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F:\ARCHIVED K DRIVE PDFS\MISC folder for posting PDFs online\"/>
    </mc:Choice>
  </mc:AlternateContent>
  <xr:revisionPtr revIDLastSave="0" documentId="8_{41A445E0-E54D-42AB-801E-C173F6D35B6C}" xr6:coauthVersionLast="36" xr6:coauthVersionMax="36" xr10:uidLastSave="{00000000-0000-0000-0000-000000000000}"/>
  <bookViews>
    <workbookView xWindow="0" yWindow="0" windowWidth="14380" windowHeight="4070" tabRatio="758" firstSheet="57" activeTab="57" xr2:uid="{00000000-000D-0000-FFFF-FFFF00000000}"/>
  </bookViews>
  <sheets>
    <sheet name="ALPINE MEADOW" sheetId="180" r:id="rId1"/>
    <sheet name="AVALON BOUNTIFUL" sheetId="118" r:id="rId2"/>
    <sheet name="AVALON VALLEY" sheetId="60" r:id="rId3"/>
    <sheet name="BELLA TERRA C C" sheetId="106" r:id="rId4"/>
    <sheet name="BELLA TERRA St. G." sheetId="104" r:id="rId5"/>
    <sheet name="BENNION dba Ava. West" sheetId="54" r:id="rId6"/>
    <sheet name="BROOKDALE" sheetId="181" r:id="rId7"/>
    <sheet name="CANYON RIM" sheetId="94" r:id="rId8"/>
    <sheet name="CANYONLANDS" sheetId="145" r:id="rId9"/>
    <sheet name="Cascades at Orch Pk" sheetId="33" r:id="rId10"/>
    <sheet name="CASCADES at RIVERWALK" sheetId="177" r:id="rId11"/>
    <sheet name="CENTRAL UT VH -PAYSON" sheetId="164" r:id="rId12"/>
    <sheet name="CITY CREEK" sheetId="19" r:id="rId13"/>
    <sheet name="COPPER RIDGE" sheetId="15" r:id="rId14"/>
    <sheet name="CORAL DESERT" sheetId="178" r:id="rId15"/>
    <sheet name="COUNTRY LIFE" sheetId="150" r:id="rId16"/>
    <sheet name="CRESTWOOD" sheetId="68" r:id="rId17"/>
    <sheet name="DRAPER" sheetId="66" r:id="rId18"/>
    <sheet name="EMERY COUNTY" sheetId="63" r:id="rId19"/>
    <sheet name="FAIRVIEW" sheetId="62" r:id="rId20"/>
    <sheet name="FOUR CORNERS" sheetId="58" r:id="rId21"/>
    <sheet name="GARFIELD CO. NH" sheetId="136" r:id="rId22"/>
    <sheet name="George E. Wahlen OGDEN VH" sheetId="141" r:id="rId23"/>
    <sheet name="HARRISON POINTE En" sheetId="174" r:id="rId24"/>
    <sheet name="HERITAGE CARE" sheetId="53" r:id="rId25"/>
    <sheet name="HERITAGE HILLS" sheetId="98" r:id="rId26"/>
    <sheet name="HERITAGE PARK" sheetId="49" r:id="rId27"/>
    <sheet name="HIGHLAND" sheetId="83" r:id="rId28"/>
    <sheet name="HOLLADAY En" sheetId="46" r:id="rId29"/>
    <sheet name="HURRICANE En" sheetId="102" r:id="rId30"/>
    <sheet name="LIFE CARE BOUNTIFUL" sheetId="43" r:id="rId31"/>
    <sheet name="LIFE CARE of SLC" sheetId="175" r:id="rId32"/>
    <sheet name="Little Cottonwood" sheetId="57" r:id="rId33"/>
    <sheet name="LOMOND PEAK" sheetId="84" r:id="rId34"/>
    <sheet name="MEADOW BROOK" sheetId="167" r:id="rId35"/>
    <sheet name="MIDTOWN" sheetId="39" r:id="rId36"/>
    <sheet name="MILLARD COUNTY" sheetId="135" r:id="rId37"/>
    <sheet name="MILLCREEK" sheetId="38" r:id="rId38"/>
    <sheet name="MISSION at ALPINE" sheetId="103" r:id="rId39"/>
    <sheet name="Mission at Bear River" sheetId="133" r:id="rId40"/>
    <sheet name="MISSION at Comm Rehab" sheetId="152" r:id="rId41"/>
    <sheet name="MISSION at HILLSIDE" sheetId="47" r:id="rId42"/>
    <sheet name="MTN VIEW" sheetId="120" r:id="rId43"/>
    <sheet name="MT OGDEN" sheetId="37" r:id="rId44"/>
    <sheet name="MT OLYMPUS" sheetId="90" r:id="rId45"/>
    <sheet name="NORTH CANYON" sheetId="24" r:id="rId46"/>
    <sheet name="OREM" sheetId="32" r:id="rId47"/>
    <sheet name="PARAMOUNT" sheetId="79" r:id="rId48"/>
    <sheet name="PARKDALE" sheetId="31" r:id="rId49"/>
    <sheet name="PARKWAY" sheetId="64" r:id="rId50"/>
    <sheet name="PINE CREEK" sheetId="113" r:id="rId51"/>
    <sheet name="PINNACLE" sheetId="72" r:id="rId52"/>
    <sheet name="PIONEER" sheetId="28" r:id="rId53"/>
    <sheet name="POINTE MEADOWS" sheetId="183" r:id="rId54"/>
    <sheet name="PROVO" sheetId="65" r:id="rId55"/>
    <sheet name="RED CLIFFS" sheetId="119" r:id="rId56"/>
    <sheet name="RICHFIELD" sheetId="25" r:id="rId57"/>
    <sheet name="RMC CLEARFIELD" sheetId="155" r:id="rId58"/>
    <sheet name="RMC Cottage on Vine" sheetId="156" r:id="rId59"/>
    <sheet name="RMC HUNTER HOLLOW" sheetId="20" r:id="rId60"/>
    <sheet name="RMC Logan" sheetId="42" r:id="rId61"/>
    <sheet name="RMC Mountain View" sheetId="157" r:id="rId62"/>
    <sheet name="RMC RIVERTON" sheetId="159" r:id="rId63"/>
    <sheet name="RMC Willow Springs" sheetId="158" r:id="rId64"/>
    <sheet name="SANDY HLTH &amp; REHAB" sheetId="16" r:id="rId65"/>
    <sheet name="SEASONS" sheetId="27" r:id="rId66"/>
    <sheet name="SOUTH DAVIS CCC" sheetId="111" r:id="rId67"/>
    <sheet name="South Davis Specialty" sheetId="184" r:id="rId68"/>
    <sheet name="So Ogden" sheetId="71" r:id="rId69"/>
    <sheet name="Southern UT VH-IVINS" sheetId="165" r:id="rId70"/>
    <sheet name="SPANISH FORK" sheetId="55" r:id="rId71"/>
    <sheet name="SPRING CREEK" sheetId="21" r:id="rId72"/>
    <sheet name="ST GEORGE" sheetId="14" r:id="rId73"/>
    <sheet name="ST. JOSEPH VILLA" sheetId="85" r:id="rId74"/>
    <sheet name="Stonehenge Am Fk 12-10-17" sheetId="185" r:id="rId75"/>
    <sheet name="Stonehenge Am Fk 6-30-18" sheetId="188" r:id="rId76"/>
    <sheet name="StoneH Cedar City 12-10-17" sheetId="186" r:id="rId77"/>
    <sheet name="StoneH Cedar City 6-30-18" sheetId="189" r:id="rId78"/>
    <sheet name="StoneH Ogden 12-10-17" sheetId="190" r:id="rId79"/>
    <sheet name="StoneH Ogden 6-30-18" sheetId="191" r:id="rId80"/>
    <sheet name="StoneH Richfield 12-10-17" sheetId="192" r:id="rId81"/>
    <sheet name="StoneH Richfield 6-30-18" sheetId="193" r:id="rId82"/>
    <sheet name="StoneH Springville 12-10-17" sheetId="194" r:id="rId83"/>
    <sheet name="StoneH Springville 6-30-18" sheetId="195" r:id="rId84"/>
    <sheet name="SUNSHINE TERRACE" sheetId="87" r:id="rId85"/>
    <sheet name="UINTAH BASIN REHAB" sheetId="86" r:id="rId86"/>
    <sheet name="UINTAH CARE" sheetId="89" r:id="rId87"/>
    <sheet name="VA Salt Lake (W.E.C. SLVH)" sheetId="142" r:id="rId88"/>
    <sheet name="WASHINGTON TERRACE" sheetId="92" r:id="rId89"/>
    <sheet name="WILLOW GLEN" sheetId="1" r:id="rId90"/>
    <sheet name="WILLOW WOOD" sheetId="50" r:id="rId91"/>
    <sheet name="WOODLAND" sheetId="95" r:id="rId92"/>
    <sheet name="SUMMARY" sheetId="97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</externalReferences>
  <definedNames>
    <definedName name="_xlnm.Print_Area" localSheetId="0">'ALPINE MEADOW'!$A$1:$Q$249</definedName>
    <definedName name="_xlnm.Print_Area" localSheetId="31">'LIFE CARE of SLC'!$A$1:$L$221</definedName>
    <definedName name="_xlnm.Print_Area" localSheetId="32">'Little Cottonwood'!$A$1:$L$221</definedName>
    <definedName name="_xlnm.Print_Area" localSheetId="33">'LOMOND PEAK'!$A$1:$J$233</definedName>
    <definedName name="_xlnm.Print_Area" localSheetId="47">PARAMOUNT!$A$1:$J$233</definedName>
    <definedName name="_xlnm.Print_Area" localSheetId="92">SUMMARY!$A$1:$S$246</definedName>
    <definedName name="_xlnm.Print_Titles" localSheetId="3">'BELLA TERRA C C'!$1:$9</definedName>
    <definedName name="_xlnm.Print_Titles" localSheetId="4">'BELLA TERRA St. G.'!$1:$9</definedName>
    <definedName name="_xlnm.Print_Titles" localSheetId="16">CRESTWOOD!$7:$9</definedName>
    <definedName name="_xlnm.Print_Titles" localSheetId="19">FAIRVIEW!$7:$9</definedName>
    <definedName name="_xlnm.Print_Titles" localSheetId="20">'FOUR CORNERS'!$1:$9</definedName>
    <definedName name="_xlnm.Print_Titles" localSheetId="24">'HERITAGE CARE'!$1:$9</definedName>
    <definedName name="_xlnm.Print_Titles" localSheetId="25">'HERITAGE HILLS'!$1:$9</definedName>
    <definedName name="_xlnm.Print_Titles" localSheetId="26">'HERITAGE PARK'!$1:$9</definedName>
    <definedName name="_xlnm.Print_Titles" localSheetId="27">HIGHLAND!$1:$9</definedName>
    <definedName name="_xlnm.Print_Titles" localSheetId="28">'HOLLADAY En'!$1:$9</definedName>
    <definedName name="_xlnm.Print_Titles" localSheetId="31">'LIFE CARE of SLC'!$1:$9</definedName>
    <definedName name="_xlnm.Print_Titles" localSheetId="32">'Little Cottonwood'!$1:$9</definedName>
    <definedName name="_xlnm.Print_Titles" localSheetId="33">'LOMOND PEAK'!$1:$9</definedName>
    <definedName name="_xlnm.Print_Titles" localSheetId="35">MIDTOWN!$1:$9</definedName>
    <definedName name="_xlnm.Print_Titles" localSheetId="37">MILLCREEK!$1:$9</definedName>
    <definedName name="_xlnm.Print_Titles" localSheetId="41">'MISSION at HILLSIDE'!$1:$9</definedName>
    <definedName name="_xlnm.Print_Titles" localSheetId="47">PARAMOUNT!$1:$9</definedName>
    <definedName name="_xlnm.Print_Titles" localSheetId="50">'PINE CREEK'!$1:$9</definedName>
    <definedName name="_xlnm.Print_Titles" localSheetId="53">'POINTE MEADOWS'!$7:$9</definedName>
    <definedName name="_xlnm.Print_Titles" localSheetId="54">PROVO!$7:$9</definedName>
    <definedName name="_xlnm.Print_Titles" localSheetId="60">'RMC Logan'!$1:$9</definedName>
    <definedName name="_xlnm.Print_Titles" localSheetId="70">'SPANISH FORK'!$1:$9</definedName>
    <definedName name="_xlnm.Print_Titles" localSheetId="92">SUMMARY!$1:$12</definedName>
    <definedName name="_xlnm.Print_Titles" localSheetId="88">'WASHINGTON TERRACE'!$1:$9</definedName>
    <definedName name="_xlnm.Print_Titles" localSheetId="90">'WILLOW WOOD'!$1:$9</definedName>
    <definedName name="_xlnm.Print_Titles" localSheetId="91">WOODLAND!$1:$9</definedName>
    <definedName name="Z_00D6F160_3E2B_11D5_8BE5_C1A1C12816BD_.wvu.PrintArea" localSheetId="31" hidden="1">'LIFE CARE of SLC'!$A$1:$L$221</definedName>
    <definedName name="Z_00D6F160_3E2B_11D5_8BE5_C1A1C12816BD_.wvu.PrintArea" localSheetId="32" hidden="1">'Little Cottonwood'!$A$1:$L$221</definedName>
    <definedName name="Z_00D6F160_3E2B_11D5_8BE5_C1A1C12816BD_.wvu.PrintTitles" localSheetId="2" hidden="1">'AVALON VALLEY'!#REF!</definedName>
    <definedName name="Z_00D6F160_3E2B_11D5_8BE5_C1A1C12816BD_.wvu.PrintTitles" localSheetId="3" hidden="1">'BELLA TERRA C C'!$1:$9</definedName>
    <definedName name="Z_00D6F160_3E2B_11D5_8BE5_C1A1C12816BD_.wvu.PrintTitles" localSheetId="4" hidden="1">'BELLA TERRA St. G.'!$1:$9</definedName>
    <definedName name="Z_00D6F160_3E2B_11D5_8BE5_C1A1C12816BD_.wvu.PrintTitles" localSheetId="5" hidden="1">'BENNION dba Ava. West'!#REF!</definedName>
    <definedName name="Z_00D6F160_3E2B_11D5_8BE5_C1A1C12816BD_.wvu.PrintTitles" localSheetId="6" hidden="1">BROOKDALE!#REF!</definedName>
    <definedName name="Z_00D6F160_3E2B_11D5_8BE5_C1A1C12816BD_.wvu.PrintTitles" localSheetId="7" hidden="1">'CANYON RIM'!#REF!</definedName>
    <definedName name="Z_00D6F160_3E2B_11D5_8BE5_C1A1C12816BD_.wvu.PrintTitles" localSheetId="8" hidden="1">CANYONLANDS!#REF!</definedName>
    <definedName name="Z_00D6F160_3E2B_11D5_8BE5_C1A1C12816BD_.wvu.PrintTitles" localSheetId="10" hidden="1">'CASCADES at RIVERWALK'!#REF!</definedName>
    <definedName name="Z_00D6F160_3E2B_11D5_8BE5_C1A1C12816BD_.wvu.PrintTitles" localSheetId="11" hidden="1">'CENTRAL UT VH -PAYSON'!#REF!</definedName>
    <definedName name="Z_00D6F160_3E2B_11D5_8BE5_C1A1C12816BD_.wvu.PrintTitles" localSheetId="16" hidden="1">CRESTWOOD!$7:$9</definedName>
    <definedName name="Z_00D6F160_3E2B_11D5_8BE5_C1A1C12816BD_.wvu.PrintTitles" localSheetId="17" hidden="1">DRAPER!#REF!</definedName>
    <definedName name="Z_00D6F160_3E2B_11D5_8BE5_C1A1C12816BD_.wvu.PrintTitles" localSheetId="18" hidden="1">'EMERY COUNTY'!#REF!</definedName>
    <definedName name="Z_00D6F160_3E2B_11D5_8BE5_C1A1C12816BD_.wvu.PrintTitles" localSheetId="19" hidden="1">FAIRVIEW!$7:$9</definedName>
    <definedName name="Z_00D6F160_3E2B_11D5_8BE5_C1A1C12816BD_.wvu.PrintTitles" localSheetId="20" hidden="1">'FOUR CORNERS'!$1:$9</definedName>
    <definedName name="Z_00D6F160_3E2B_11D5_8BE5_C1A1C12816BD_.wvu.PrintTitles" localSheetId="24" hidden="1">'HERITAGE CARE'!$1:$9</definedName>
    <definedName name="Z_00D6F160_3E2B_11D5_8BE5_C1A1C12816BD_.wvu.PrintTitles" localSheetId="25" hidden="1">'HERITAGE HILLS'!$1:$9</definedName>
    <definedName name="Z_00D6F160_3E2B_11D5_8BE5_C1A1C12816BD_.wvu.PrintTitles" localSheetId="26" hidden="1">'HERITAGE PARK'!$1:$9</definedName>
    <definedName name="Z_00D6F160_3E2B_11D5_8BE5_C1A1C12816BD_.wvu.PrintTitles" localSheetId="27" hidden="1">HIGHLAND!$1:$9</definedName>
    <definedName name="Z_00D6F160_3E2B_11D5_8BE5_C1A1C12816BD_.wvu.PrintTitles" localSheetId="28" hidden="1">'HOLLADAY En'!$1:$9</definedName>
    <definedName name="Z_00D6F160_3E2B_11D5_8BE5_C1A1C12816BD_.wvu.PrintTitles" localSheetId="29" hidden="1">'HURRICANE En'!#REF!</definedName>
    <definedName name="Z_00D6F160_3E2B_11D5_8BE5_C1A1C12816BD_.wvu.PrintTitles" localSheetId="30" hidden="1">'LIFE CARE BOUNTIFUL'!#REF!</definedName>
    <definedName name="Z_00D6F160_3E2B_11D5_8BE5_C1A1C12816BD_.wvu.PrintTitles" localSheetId="31" hidden="1">'LIFE CARE of SLC'!$1:$9</definedName>
    <definedName name="Z_00D6F160_3E2B_11D5_8BE5_C1A1C12816BD_.wvu.PrintTitles" localSheetId="32" hidden="1">'Little Cottonwood'!$1:$9</definedName>
    <definedName name="Z_00D6F160_3E2B_11D5_8BE5_C1A1C12816BD_.wvu.PrintTitles" localSheetId="33" hidden="1">'LOMOND PEAK'!$1:$9</definedName>
    <definedName name="Z_00D6F160_3E2B_11D5_8BE5_C1A1C12816BD_.wvu.PrintTitles" localSheetId="35" hidden="1">MIDTOWN!$1:$9</definedName>
    <definedName name="Z_00D6F160_3E2B_11D5_8BE5_C1A1C12816BD_.wvu.PrintTitles" localSheetId="37" hidden="1">MILLCREEK!$1:$9</definedName>
    <definedName name="Z_00D6F160_3E2B_11D5_8BE5_C1A1C12816BD_.wvu.PrintTitles" localSheetId="38" hidden="1">'MISSION at ALPINE'!#REF!</definedName>
    <definedName name="Z_00D6F160_3E2B_11D5_8BE5_C1A1C12816BD_.wvu.PrintTitles" localSheetId="41" hidden="1">'MISSION at HILLSIDE'!$1:$9</definedName>
    <definedName name="Z_00D6F160_3E2B_11D5_8BE5_C1A1C12816BD_.wvu.PrintTitles" localSheetId="47" hidden="1">PARAMOUNT!$1:$9</definedName>
    <definedName name="Z_00D6F160_3E2B_11D5_8BE5_C1A1C12816BD_.wvu.PrintTitles" localSheetId="49" hidden="1">PARKWAY!#REF!</definedName>
    <definedName name="Z_00D6F160_3E2B_11D5_8BE5_C1A1C12816BD_.wvu.PrintTitles" localSheetId="50" hidden="1">'PINE CREEK'!$1:$9</definedName>
    <definedName name="Z_00D6F160_3E2B_11D5_8BE5_C1A1C12816BD_.wvu.PrintTitles" localSheetId="53" hidden="1">'POINTE MEADOWS'!$7:$9</definedName>
    <definedName name="Z_00D6F160_3E2B_11D5_8BE5_C1A1C12816BD_.wvu.PrintTitles" localSheetId="54" hidden="1">PROVO!$7:$9</definedName>
    <definedName name="Z_00D6F160_3E2B_11D5_8BE5_C1A1C12816BD_.wvu.PrintTitles" localSheetId="57" hidden="1">'RMC CLEARFIELD'!#REF!</definedName>
    <definedName name="Z_00D6F160_3E2B_11D5_8BE5_C1A1C12816BD_.wvu.PrintTitles" localSheetId="58" hidden="1">'RMC Cottage on Vine'!#REF!</definedName>
    <definedName name="Z_00D6F160_3E2B_11D5_8BE5_C1A1C12816BD_.wvu.PrintTitles" localSheetId="60" hidden="1">'RMC Logan'!$1:$9</definedName>
    <definedName name="Z_00D6F160_3E2B_11D5_8BE5_C1A1C12816BD_.wvu.PrintTitles" localSheetId="61" hidden="1">'RMC Mountain View'!#REF!</definedName>
    <definedName name="Z_00D6F160_3E2B_11D5_8BE5_C1A1C12816BD_.wvu.PrintTitles" localSheetId="63" hidden="1">'RMC Willow Springs'!#REF!</definedName>
    <definedName name="Z_00D6F160_3E2B_11D5_8BE5_C1A1C12816BD_.wvu.PrintTitles" localSheetId="68" hidden="1">'So Ogden'!#REF!</definedName>
    <definedName name="Z_00D6F160_3E2B_11D5_8BE5_C1A1C12816BD_.wvu.PrintTitles" localSheetId="67" hidden="1">'South Davis Specialty'!#REF!</definedName>
    <definedName name="Z_00D6F160_3E2B_11D5_8BE5_C1A1C12816BD_.wvu.PrintTitles" localSheetId="70" hidden="1">'SPANISH FORK'!$1:$9</definedName>
    <definedName name="Z_00D6F160_3E2B_11D5_8BE5_C1A1C12816BD_.wvu.PrintTitles" localSheetId="71" hidden="1">'SPRING CREEK'!#REF!</definedName>
    <definedName name="Z_00D6F160_3E2B_11D5_8BE5_C1A1C12816BD_.wvu.PrintTitles" localSheetId="76" hidden="1">'StoneH Cedar City 12-10-17'!#REF!</definedName>
    <definedName name="Z_00D6F160_3E2B_11D5_8BE5_C1A1C12816BD_.wvu.PrintTitles" localSheetId="77" hidden="1">'StoneH Cedar City 6-30-18'!#REF!</definedName>
    <definedName name="Z_00D6F160_3E2B_11D5_8BE5_C1A1C12816BD_.wvu.PrintTitles" localSheetId="92" hidden="1">SUMMARY!$1:$12</definedName>
    <definedName name="Z_00D6F160_3E2B_11D5_8BE5_C1A1C12816BD_.wvu.PrintTitles" localSheetId="88" hidden="1">'WASHINGTON TERRACE'!$1:$9</definedName>
    <definedName name="Z_00D6F160_3E2B_11D5_8BE5_C1A1C12816BD_.wvu.PrintTitles" localSheetId="90" hidden="1">'WILLOW WOOD'!$1:$9</definedName>
    <definedName name="Z_00D6F160_3E2B_11D5_8BE5_C1A1C12816BD_.wvu.PrintTitles" localSheetId="91" hidden="1">WOODLAND!$1:$9</definedName>
    <definedName name="Z_8B6AA640_12E9_11D5_ABB1_E7A21A3D4A14_.wvu.PrintArea" localSheetId="31" hidden="1">'LIFE CARE of SLC'!$A$1:$L$221</definedName>
    <definedName name="Z_8B6AA640_12E9_11D5_ABB1_E7A21A3D4A14_.wvu.PrintArea" localSheetId="32" hidden="1">'Little Cottonwood'!$A$1:$L$221</definedName>
  </definedNames>
  <calcPr calcId="191029"/>
  <customWorkbookViews>
    <customWorkbookView name="abingham - Personal View" guid="{8B6AA640-12E9-11D5-ABB1-E7A21A3D4A14}" mergeInterval="0" personalView="1" maximized="1" windowWidth="796" windowHeight="464" tabRatio="773" activeSheetId="10"/>
    <customWorkbookView name="37356 - Personal View" guid="{00D6F160-3E2B-11D5-8BE5-C1A1C12816BD}" mergeInterval="0" personalView="1" maximized="1" windowWidth="1020" windowHeight="553" tabRatio="773" activeSheetId="97"/>
  </customWorkbookViews>
</workbook>
</file>

<file path=xl/calcChain.xml><?xml version="1.0" encoding="utf-8"?>
<calcChain xmlns="http://schemas.openxmlformats.org/spreadsheetml/2006/main">
  <c r="C243" i="155" l="1"/>
  <c r="C242" i="155"/>
  <c r="C241" i="155"/>
  <c r="C240" i="155"/>
  <c r="C237" i="155"/>
  <c r="C236" i="155"/>
  <c r="E233" i="155"/>
  <c r="D233" i="155"/>
  <c r="C232" i="155"/>
  <c r="C231" i="155"/>
  <c r="C230" i="155"/>
  <c r="C229" i="155"/>
  <c r="C228" i="155"/>
  <c r="C227" i="155"/>
  <c r="C226" i="155"/>
  <c r="C225" i="155"/>
  <c r="C224" i="155"/>
  <c r="C216" i="155"/>
  <c r="E210" i="155"/>
  <c r="D210" i="155"/>
  <c r="C210" i="155"/>
  <c r="E209" i="155"/>
  <c r="D209" i="155"/>
  <c r="C209" i="155"/>
  <c r="E208" i="155"/>
  <c r="D208" i="155"/>
  <c r="C208" i="155"/>
  <c r="E207" i="155"/>
  <c r="D207" i="155"/>
  <c r="C207" i="155"/>
  <c r="E206" i="155"/>
  <c r="D206" i="155"/>
  <c r="C206" i="155"/>
  <c r="E205" i="155"/>
  <c r="D205" i="155"/>
  <c r="C205" i="155"/>
  <c r="E201" i="155"/>
  <c r="D201" i="155"/>
  <c r="C201" i="155"/>
  <c r="E200" i="155"/>
  <c r="D200" i="155"/>
  <c r="C200" i="155"/>
  <c r="E199" i="155"/>
  <c r="D199" i="155"/>
  <c r="C199" i="155"/>
  <c r="E198" i="155"/>
  <c r="D198" i="155"/>
  <c r="C198" i="155"/>
  <c r="E197" i="155"/>
  <c r="D197" i="155"/>
  <c r="C197" i="155"/>
  <c r="E196" i="155"/>
  <c r="D196" i="155"/>
  <c r="C196" i="155"/>
  <c r="E195" i="155"/>
  <c r="D195" i="155"/>
  <c r="C195" i="155"/>
  <c r="E194" i="155"/>
  <c r="D194" i="155"/>
  <c r="C194" i="155"/>
  <c r="E193" i="155"/>
  <c r="D193" i="155"/>
  <c r="C193" i="155"/>
  <c r="E192" i="155"/>
  <c r="D192" i="155"/>
  <c r="C192" i="155"/>
  <c r="E191" i="155"/>
  <c r="D191" i="155"/>
  <c r="C191" i="155"/>
  <c r="E190" i="155"/>
  <c r="D190" i="155"/>
  <c r="C190" i="155"/>
  <c r="E189" i="155"/>
  <c r="D189" i="155"/>
  <c r="C189" i="155"/>
  <c r="E188" i="155"/>
  <c r="D188" i="155"/>
  <c r="C188" i="155"/>
  <c r="E187" i="155"/>
  <c r="D187" i="155"/>
  <c r="C187" i="155"/>
  <c r="E186" i="155"/>
  <c r="D186" i="155"/>
  <c r="C186" i="155"/>
  <c r="E185" i="155"/>
  <c r="D185" i="155"/>
  <c r="C185" i="155"/>
  <c r="E184" i="155"/>
  <c r="D184" i="155"/>
  <c r="C184" i="155"/>
  <c r="E183" i="155"/>
  <c r="D183" i="155"/>
  <c r="C183" i="155"/>
  <c r="E182" i="155"/>
  <c r="D182" i="155"/>
  <c r="C182" i="155"/>
  <c r="E181" i="155"/>
  <c r="D181" i="155"/>
  <c r="C181" i="155"/>
  <c r="E180" i="155"/>
  <c r="D180" i="155"/>
  <c r="C180" i="155"/>
  <c r="E179" i="155"/>
  <c r="D179" i="155"/>
  <c r="C179" i="155"/>
  <c r="E178" i="155"/>
  <c r="D178" i="155"/>
  <c r="C178" i="155"/>
  <c r="E177" i="155"/>
  <c r="D177" i="155"/>
  <c r="C177" i="155"/>
  <c r="E176" i="155"/>
  <c r="D176" i="155"/>
  <c r="C176" i="155"/>
  <c r="E175" i="155"/>
  <c r="D175" i="155"/>
  <c r="C175" i="155"/>
  <c r="E174" i="155"/>
  <c r="D174" i="155"/>
  <c r="C174" i="155"/>
  <c r="E173" i="155"/>
  <c r="D173" i="155"/>
  <c r="C173" i="155"/>
  <c r="E172" i="155"/>
  <c r="D172" i="155"/>
  <c r="C172" i="155"/>
  <c r="E171" i="155"/>
  <c r="D171" i="155"/>
  <c r="C171" i="155"/>
  <c r="E170" i="155"/>
  <c r="D170" i="155"/>
  <c r="C170" i="155"/>
  <c r="E169" i="155"/>
  <c r="D169" i="155"/>
  <c r="C169" i="155"/>
  <c r="E165" i="155"/>
  <c r="D165" i="155"/>
  <c r="C165" i="155"/>
  <c r="E164" i="155"/>
  <c r="D164" i="155"/>
  <c r="C164" i="155"/>
  <c r="E163" i="155"/>
  <c r="D163" i="155"/>
  <c r="C163" i="155"/>
  <c r="E162" i="155"/>
  <c r="D162" i="155"/>
  <c r="C162" i="155"/>
  <c r="E161" i="155"/>
  <c r="D161" i="155"/>
  <c r="C161" i="155"/>
  <c r="E160" i="155"/>
  <c r="D160" i="155"/>
  <c r="C160" i="155"/>
  <c r="E158" i="155"/>
  <c r="D158" i="155"/>
  <c r="C158" i="155"/>
  <c r="E157" i="155"/>
  <c r="D157" i="155"/>
  <c r="C157" i="155"/>
  <c r="E156" i="155"/>
  <c r="D156" i="155"/>
  <c r="C156" i="155"/>
  <c r="E155" i="155"/>
  <c r="D155" i="155"/>
  <c r="C155" i="155"/>
  <c r="E154" i="155"/>
  <c r="D154" i="155"/>
  <c r="C154" i="155"/>
  <c r="E153" i="155"/>
  <c r="D153" i="155"/>
  <c r="C153" i="155"/>
  <c r="E152" i="155"/>
  <c r="D152" i="155"/>
  <c r="C152" i="155"/>
  <c r="E151" i="155"/>
  <c r="D151" i="155"/>
  <c r="C151" i="155"/>
  <c r="E150" i="155"/>
  <c r="D150" i="155"/>
  <c r="C150" i="155"/>
  <c r="E148" i="155"/>
  <c r="D148" i="155"/>
  <c r="C148" i="155"/>
  <c r="E147" i="155"/>
  <c r="D147" i="155"/>
  <c r="C147" i="155"/>
  <c r="E146" i="155"/>
  <c r="D146" i="155"/>
  <c r="C146" i="155"/>
  <c r="E145" i="155"/>
  <c r="D145" i="155"/>
  <c r="C145" i="155"/>
  <c r="E143" i="155"/>
  <c r="D143" i="155"/>
  <c r="C143" i="155"/>
  <c r="E142" i="155"/>
  <c r="D142" i="155"/>
  <c r="C142" i="155"/>
  <c r="E141" i="155"/>
  <c r="D141" i="155"/>
  <c r="C141" i="155"/>
  <c r="E140" i="155"/>
  <c r="D140" i="155"/>
  <c r="C140" i="155"/>
  <c r="E138" i="155"/>
  <c r="D138" i="155"/>
  <c r="C138" i="155"/>
  <c r="E137" i="155"/>
  <c r="D137" i="155"/>
  <c r="C137" i="155"/>
  <c r="E136" i="155"/>
  <c r="D136" i="155"/>
  <c r="C136" i="155"/>
  <c r="E135" i="155"/>
  <c r="D135" i="155"/>
  <c r="C135" i="155"/>
  <c r="E134" i="155"/>
  <c r="D134" i="155"/>
  <c r="C134" i="155"/>
  <c r="E132" i="155"/>
  <c r="D132" i="155"/>
  <c r="C132" i="155"/>
  <c r="E131" i="155"/>
  <c r="D131" i="155"/>
  <c r="C131" i="155"/>
  <c r="E130" i="155"/>
  <c r="D130" i="155"/>
  <c r="C130" i="155"/>
  <c r="E129" i="155"/>
  <c r="D129" i="155"/>
  <c r="C129" i="155"/>
  <c r="E128" i="155"/>
  <c r="D128" i="155"/>
  <c r="C128" i="155"/>
  <c r="E123" i="155"/>
  <c r="D123" i="155"/>
  <c r="C123" i="155"/>
  <c r="E122" i="155"/>
  <c r="D122" i="155"/>
  <c r="C122" i="155"/>
  <c r="E121" i="155"/>
  <c r="D121" i="155"/>
  <c r="C121" i="155"/>
  <c r="E120" i="155"/>
  <c r="D120" i="155"/>
  <c r="C120" i="155"/>
  <c r="E119" i="155"/>
  <c r="D119" i="155"/>
  <c r="C119" i="155"/>
  <c r="E115" i="155"/>
  <c r="D115" i="155"/>
  <c r="C115" i="155"/>
  <c r="E114" i="155"/>
  <c r="D114" i="155"/>
  <c r="C114" i="155"/>
  <c r="E113" i="155"/>
  <c r="D113" i="155"/>
  <c r="C113" i="155"/>
  <c r="E112" i="155"/>
  <c r="D112" i="155"/>
  <c r="C112" i="155"/>
  <c r="E111" i="155"/>
  <c r="D111" i="155"/>
  <c r="C111" i="155"/>
  <c r="E110" i="155"/>
  <c r="D110" i="155"/>
  <c r="C110" i="155"/>
  <c r="E106" i="155"/>
  <c r="D106" i="155"/>
  <c r="C106" i="155"/>
  <c r="E105" i="155"/>
  <c r="D105" i="155"/>
  <c r="C105" i="155"/>
  <c r="E104" i="155"/>
  <c r="D104" i="155"/>
  <c r="C104" i="155"/>
  <c r="E103" i="155"/>
  <c r="D103" i="155"/>
  <c r="C103" i="155"/>
  <c r="E102" i="155"/>
  <c r="D102" i="155"/>
  <c r="C102" i="155"/>
  <c r="E101" i="155"/>
  <c r="D101" i="155"/>
  <c r="C101" i="155"/>
  <c r="E97" i="155"/>
  <c r="D97" i="155"/>
  <c r="C97" i="155"/>
  <c r="E96" i="155"/>
  <c r="D96" i="155"/>
  <c r="C96" i="155"/>
  <c r="E95" i="155"/>
  <c r="D95" i="155"/>
  <c r="C95" i="155"/>
  <c r="E94" i="155"/>
  <c r="D94" i="155"/>
  <c r="C94" i="155"/>
  <c r="E93" i="155"/>
  <c r="D93" i="155"/>
  <c r="C93" i="155"/>
  <c r="E92" i="155"/>
  <c r="D92" i="155"/>
  <c r="C92" i="155"/>
  <c r="E91" i="155"/>
  <c r="D91" i="155"/>
  <c r="C91" i="155"/>
  <c r="E90" i="155"/>
  <c r="D90" i="155"/>
  <c r="C90" i="155"/>
  <c r="E89" i="155"/>
  <c r="D89" i="155"/>
  <c r="C89" i="155"/>
  <c r="E88" i="155"/>
  <c r="D88" i="155"/>
  <c r="C88" i="155"/>
  <c r="E87" i="155"/>
  <c r="D87" i="155"/>
  <c r="C87" i="155"/>
  <c r="E83" i="155"/>
  <c r="D83" i="155"/>
  <c r="C83" i="155"/>
  <c r="E82" i="155"/>
  <c r="D82" i="155"/>
  <c r="C82" i="155"/>
  <c r="E81" i="155"/>
  <c r="D81" i="155"/>
  <c r="C81" i="155"/>
  <c r="E80" i="155"/>
  <c r="D80" i="155"/>
  <c r="C80" i="155"/>
  <c r="E79" i="155"/>
  <c r="D79" i="155"/>
  <c r="C79" i="155"/>
  <c r="E78" i="155"/>
  <c r="D78" i="155"/>
  <c r="C78" i="155"/>
  <c r="E77" i="155"/>
  <c r="D77" i="155"/>
  <c r="C77" i="155"/>
  <c r="E76" i="155"/>
  <c r="D76" i="155"/>
  <c r="C76" i="155"/>
  <c r="E75" i="155"/>
  <c r="D75" i="155"/>
  <c r="C75" i="155"/>
  <c r="E74" i="155"/>
  <c r="D74" i="155"/>
  <c r="C74" i="155"/>
  <c r="E73" i="155"/>
  <c r="D73" i="155"/>
  <c r="C73" i="155"/>
  <c r="E72" i="155"/>
  <c r="D72" i="155"/>
  <c r="C72" i="155"/>
  <c r="E71" i="155"/>
  <c r="D71" i="155"/>
  <c r="C71" i="155"/>
  <c r="E70" i="155"/>
  <c r="D70" i="155"/>
  <c r="C70" i="155"/>
  <c r="E69" i="155"/>
  <c r="D69" i="155"/>
  <c r="C69" i="155"/>
  <c r="E65" i="155"/>
  <c r="D65" i="155"/>
  <c r="C65" i="155"/>
  <c r="E64" i="155"/>
  <c r="D64" i="155"/>
  <c r="C64" i="155"/>
  <c r="E63" i="155"/>
  <c r="D63" i="155"/>
  <c r="C63" i="155"/>
  <c r="E62" i="155"/>
  <c r="D62" i="155"/>
  <c r="C62" i="155"/>
  <c r="E61" i="155"/>
  <c r="D61" i="155"/>
  <c r="C61" i="155"/>
  <c r="E60" i="155"/>
  <c r="D60" i="155"/>
  <c r="C60" i="155"/>
  <c r="E59" i="155"/>
  <c r="D59" i="155"/>
  <c r="C59" i="155"/>
  <c r="E58" i="155"/>
  <c r="D58" i="155"/>
  <c r="C58" i="155"/>
  <c r="E57" i="155"/>
  <c r="D57" i="155"/>
  <c r="C57" i="155"/>
  <c r="E56" i="155"/>
  <c r="D56" i="155"/>
  <c r="C56" i="155"/>
  <c r="E55" i="155"/>
  <c r="D55" i="155"/>
  <c r="C55" i="155"/>
  <c r="E54" i="155"/>
  <c r="D54" i="155"/>
  <c r="C54" i="155"/>
  <c r="E53" i="155"/>
  <c r="D53" i="155"/>
  <c r="C53" i="155"/>
  <c r="E52" i="155"/>
  <c r="D52" i="155"/>
  <c r="C52" i="155"/>
  <c r="E51" i="155"/>
  <c r="D51" i="155"/>
  <c r="C51" i="155"/>
  <c r="E50" i="155"/>
  <c r="D50" i="155"/>
  <c r="C50" i="155"/>
  <c r="E49" i="155"/>
  <c r="D49" i="155"/>
  <c r="C49" i="155"/>
  <c r="E48" i="155"/>
  <c r="D48" i="155"/>
  <c r="C48" i="155"/>
  <c r="E47" i="155"/>
  <c r="D47" i="155"/>
  <c r="C47" i="155"/>
  <c r="E46" i="155"/>
  <c r="D46" i="155"/>
  <c r="C46" i="155"/>
  <c r="E45" i="155"/>
  <c r="D45" i="155"/>
  <c r="C45" i="155"/>
  <c r="E44" i="155"/>
  <c r="D44" i="155"/>
  <c r="C44" i="155"/>
  <c r="E43" i="155"/>
  <c r="D43" i="155"/>
  <c r="C43" i="155"/>
  <c r="E42" i="155"/>
  <c r="D42" i="155"/>
  <c r="C42" i="155"/>
  <c r="E41" i="155"/>
  <c r="D41" i="155"/>
  <c r="C41" i="155"/>
  <c r="E40" i="155"/>
  <c r="D40" i="155"/>
  <c r="C40" i="155"/>
  <c r="E39" i="155"/>
  <c r="D39" i="155"/>
  <c r="C39" i="155"/>
  <c r="E38" i="155"/>
  <c r="D38" i="155"/>
  <c r="C38" i="155"/>
  <c r="E37" i="155"/>
  <c r="D37" i="155"/>
  <c r="C37" i="155"/>
  <c r="E36" i="155"/>
  <c r="D36" i="155"/>
  <c r="C36" i="155"/>
  <c r="E35" i="155"/>
  <c r="D35" i="155"/>
  <c r="C35" i="155"/>
  <c r="E34" i="155"/>
  <c r="D34" i="155"/>
  <c r="C34" i="155"/>
  <c r="E33" i="155"/>
  <c r="D33" i="155"/>
  <c r="C33" i="155"/>
  <c r="E32" i="155"/>
  <c r="D32" i="155"/>
  <c r="C32" i="155"/>
  <c r="E31" i="155"/>
  <c r="D31" i="155"/>
  <c r="C31" i="155"/>
  <c r="E30" i="155"/>
  <c r="D30" i="155"/>
  <c r="C30" i="155"/>
  <c r="D25" i="155"/>
  <c r="C25" i="155"/>
  <c r="D24" i="155"/>
  <c r="C24" i="155"/>
  <c r="D23" i="155"/>
  <c r="C23" i="155"/>
  <c r="D22" i="155"/>
  <c r="C22" i="155"/>
  <c r="D21" i="155"/>
  <c r="C21" i="155"/>
  <c r="D20" i="155"/>
  <c r="C20" i="155"/>
  <c r="D19" i="155"/>
  <c r="C19" i="155"/>
  <c r="D18" i="155"/>
  <c r="C18" i="155"/>
  <c r="D17" i="155"/>
  <c r="C17" i="155"/>
  <c r="D16" i="155"/>
  <c r="C16" i="155"/>
  <c r="D15" i="155"/>
  <c r="C15" i="155"/>
  <c r="D14" i="155"/>
  <c r="C14" i="155"/>
  <c r="D13" i="155"/>
  <c r="C13" i="155"/>
  <c r="D12" i="155"/>
  <c r="C12" i="155"/>
  <c r="D84" i="155" l="1"/>
  <c r="C98" i="155"/>
  <c r="C124" i="155"/>
  <c r="C166" i="155"/>
  <c r="D166" i="155"/>
  <c r="E84" i="155"/>
  <c r="D98" i="155"/>
  <c r="C107" i="155"/>
  <c r="E107" i="155"/>
  <c r="D124" i="155"/>
  <c r="E166" i="155"/>
  <c r="E202" i="155"/>
  <c r="C233" i="155"/>
  <c r="E98" i="155"/>
  <c r="D107" i="155"/>
  <c r="D116" i="155"/>
  <c r="C202" i="155"/>
  <c r="C211" i="155"/>
  <c r="E211" i="155"/>
  <c r="C26" i="155"/>
  <c r="C84" i="155"/>
  <c r="C116" i="155"/>
  <c r="E116" i="155"/>
  <c r="E124" i="155"/>
  <c r="D202" i="155"/>
  <c r="D211" i="155"/>
  <c r="D26" i="155"/>
  <c r="C66" i="155"/>
  <c r="D66" i="155"/>
  <c r="E66" i="155"/>
  <c r="I249" i="180"/>
  <c r="I248" i="180"/>
  <c r="I247" i="180"/>
  <c r="I246" i="180"/>
  <c r="C243" i="180"/>
  <c r="C242" i="180"/>
  <c r="C241" i="180"/>
  <c r="C240" i="180"/>
  <c r="C237" i="180"/>
  <c r="C236" i="180"/>
  <c r="E233" i="180"/>
  <c r="D233" i="180"/>
  <c r="C232" i="180"/>
  <c r="C231" i="180"/>
  <c r="C230" i="180"/>
  <c r="C229" i="180"/>
  <c r="C228" i="180"/>
  <c r="C227" i="180"/>
  <c r="C226" i="180"/>
  <c r="C225" i="180"/>
  <c r="C224" i="180"/>
  <c r="C216" i="180"/>
  <c r="E210" i="180"/>
  <c r="D210" i="180"/>
  <c r="C210" i="180"/>
  <c r="E209" i="180"/>
  <c r="D209" i="180"/>
  <c r="C209" i="180"/>
  <c r="E208" i="180"/>
  <c r="D208" i="180"/>
  <c r="C208" i="180"/>
  <c r="E207" i="180"/>
  <c r="D207" i="180"/>
  <c r="C207" i="180"/>
  <c r="E206" i="180"/>
  <c r="D206" i="180"/>
  <c r="C206" i="180"/>
  <c r="E205" i="180"/>
  <c r="D205" i="180"/>
  <c r="C205" i="180"/>
  <c r="E201" i="180"/>
  <c r="D201" i="180"/>
  <c r="C201" i="180"/>
  <c r="E200" i="180"/>
  <c r="D200" i="180"/>
  <c r="C200" i="180"/>
  <c r="E199" i="180"/>
  <c r="D199" i="180"/>
  <c r="C199" i="180"/>
  <c r="E198" i="180"/>
  <c r="D198" i="180"/>
  <c r="C198" i="180"/>
  <c r="E197" i="180"/>
  <c r="D197" i="180"/>
  <c r="C197" i="180"/>
  <c r="E196" i="180"/>
  <c r="D196" i="180"/>
  <c r="C196" i="180"/>
  <c r="E195" i="180"/>
  <c r="D195" i="180"/>
  <c r="C195" i="180"/>
  <c r="E194" i="180"/>
  <c r="D194" i="180"/>
  <c r="C194" i="180"/>
  <c r="E193" i="180"/>
  <c r="D193" i="180"/>
  <c r="C193" i="180"/>
  <c r="E192" i="180"/>
  <c r="D192" i="180"/>
  <c r="C192" i="180"/>
  <c r="E191" i="180"/>
  <c r="D191" i="180"/>
  <c r="C191" i="180"/>
  <c r="E190" i="180"/>
  <c r="D190" i="180"/>
  <c r="C190" i="180"/>
  <c r="E189" i="180"/>
  <c r="D189" i="180"/>
  <c r="C189" i="180"/>
  <c r="E188" i="180"/>
  <c r="D188" i="180"/>
  <c r="C188" i="180"/>
  <c r="E187" i="180"/>
  <c r="D187" i="180"/>
  <c r="C187" i="180"/>
  <c r="E186" i="180"/>
  <c r="D186" i="180"/>
  <c r="C186" i="180"/>
  <c r="E185" i="180"/>
  <c r="D185" i="180"/>
  <c r="C185" i="180"/>
  <c r="E184" i="180"/>
  <c r="D184" i="180"/>
  <c r="C184" i="180"/>
  <c r="E183" i="180"/>
  <c r="D183" i="180"/>
  <c r="C183" i="180"/>
  <c r="E182" i="180"/>
  <c r="D182" i="180"/>
  <c r="C182" i="180"/>
  <c r="E181" i="180"/>
  <c r="D181" i="180"/>
  <c r="C181" i="180"/>
  <c r="E180" i="180"/>
  <c r="D180" i="180"/>
  <c r="C180" i="180"/>
  <c r="E179" i="180"/>
  <c r="D179" i="180"/>
  <c r="C179" i="180"/>
  <c r="E178" i="180"/>
  <c r="D178" i="180"/>
  <c r="C178" i="180"/>
  <c r="E177" i="180"/>
  <c r="D177" i="180"/>
  <c r="C177" i="180"/>
  <c r="E176" i="180"/>
  <c r="D176" i="180"/>
  <c r="C176" i="180"/>
  <c r="E175" i="180"/>
  <c r="D175" i="180"/>
  <c r="C175" i="180"/>
  <c r="E174" i="180"/>
  <c r="D174" i="180"/>
  <c r="C174" i="180"/>
  <c r="E173" i="180"/>
  <c r="D173" i="180"/>
  <c r="C173" i="180"/>
  <c r="E172" i="180"/>
  <c r="D172" i="180"/>
  <c r="C172" i="180"/>
  <c r="E171" i="180"/>
  <c r="D171" i="180"/>
  <c r="C171" i="180"/>
  <c r="E170" i="180"/>
  <c r="D170" i="180"/>
  <c r="C170" i="180"/>
  <c r="E169" i="180"/>
  <c r="D169" i="180"/>
  <c r="C169" i="180"/>
  <c r="E165" i="180"/>
  <c r="D165" i="180"/>
  <c r="C165" i="180"/>
  <c r="E164" i="180"/>
  <c r="D164" i="180"/>
  <c r="C164" i="180"/>
  <c r="E163" i="180"/>
  <c r="D163" i="180"/>
  <c r="C163" i="180"/>
  <c r="E162" i="180"/>
  <c r="D162" i="180"/>
  <c r="C162" i="180"/>
  <c r="E161" i="180"/>
  <c r="D161" i="180"/>
  <c r="C161" i="180"/>
  <c r="E160" i="180"/>
  <c r="D160" i="180"/>
  <c r="C160" i="180"/>
  <c r="E158" i="180"/>
  <c r="D158" i="180"/>
  <c r="C158" i="180"/>
  <c r="E157" i="180"/>
  <c r="D157" i="180"/>
  <c r="C157" i="180"/>
  <c r="E156" i="180"/>
  <c r="D156" i="180"/>
  <c r="C156" i="180"/>
  <c r="E155" i="180"/>
  <c r="D155" i="180"/>
  <c r="C155" i="180"/>
  <c r="E154" i="180"/>
  <c r="D154" i="180"/>
  <c r="C154" i="180"/>
  <c r="E153" i="180"/>
  <c r="D153" i="180"/>
  <c r="C153" i="180"/>
  <c r="E152" i="180"/>
  <c r="D152" i="180"/>
  <c r="C152" i="180"/>
  <c r="E151" i="180"/>
  <c r="D151" i="180"/>
  <c r="C151" i="180"/>
  <c r="E150" i="180"/>
  <c r="D150" i="180"/>
  <c r="C150" i="180"/>
  <c r="E148" i="180"/>
  <c r="D148" i="180"/>
  <c r="C148" i="180"/>
  <c r="E147" i="180"/>
  <c r="D147" i="180"/>
  <c r="C147" i="180"/>
  <c r="E146" i="180"/>
  <c r="D146" i="180"/>
  <c r="C146" i="180"/>
  <c r="E145" i="180"/>
  <c r="D145" i="180"/>
  <c r="C145" i="180"/>
  <c r="E143" i="180"/>
  <c r="D143" i="180"/>
  <c r="C143" i="180"/>
  <c r="E142" i="180"/>
  <c r="D142" i="180"/>
  <c r="C142" i="180"/>
  <c r="E141" i="180"/>
  <c r="D141" i="180"/>
  <c r="C141" i="180"/>
  <c r="E140" i="180"/>
  <c r="D140" i="180"/>
  <c r="C140" i="180"/>
  <c r="E138" i="180"/>
  <c r="D138" i="180"/>
  <c r="C138" i="180"/>
  <c r="E137" i="180"/>
  <c r="D137" i="180"/>
  <c r="C137" i="180"/>
  <c r="E136" i="180"/>
  <c r="D136" i="180"/>
  <c r="C136" i="180"/>
  <c r="E135" i="180"/>
  <c r="D135" i="180"/>
  <c r="C135" i="180"/>
  <c r="E134" i="180"/>
  <c r="D134" i="180"/>
  <c r="C134" i="180"/>
  <c r="E132" i="180"/>
  <c r="D132" i="180"/>
  <c r="C132" i="180"/>
  <c r="E131" i="180"/>
  <c r="D131" i="180"/>
  <c r="C131" i="180"/>
  <c r="E130" i="180"/>
  <c r="D130" i="180"/>
  <c r="C130" i="180"/>
  <c r="E129" i="180"/>
  <c r="D129" i="180"/>
  <c r="C129" i="180"/>
  <c r="E128" i="180"/>
  <c r="D128" i="180"/>
  <c r="C128" i="180"/>
  <c r="E123" i="180"/>
  <c r="D123" i="180"/>
  <c r="C123" i="180"/>
  <c r="E122" i="180"/>
  <c r="D122" i="180"/>
  <c r="C122" i="180"/>
  <c r="E121" i="180"/>
  <c r="D121" i="180"/>
  <c r="C121" i="180"/>
  <c r="E120" i="180"/>
  <c r="D120" i="180"/>
  <c r="C120" i="180"/>
  <c r="E119" i="180"/>
  <c r="D119" i="180"/>
  <c r="C119" i="180"/>
  <c r="E115" i="180"/>
  <c r="D115" i="180"/>
  <c r="C115" i="180"/>
  <c r="E114" i="180"/>
  <c r="D114" i="180"/>
  <c r="C114" i="180"/>
  <c r="E113" i="180"/>
  <c r="D113" i="180"/>
  <c r="C113" i="180"/>
  <c r="E112" i="180"/>
  <c r="D112" i="180"/>
  <c r="C112" i="180"/>
  <c r="E111" i="180"/>
  <c r="D111" i="180"/>
  <c r="C111" i="180"/>
  <c r="E110" i="180"/>
  <c r="D110" i="180"/>
  <c r="C110" i="180"/>
  <c r="E106" i="180"/>
  <c r="D106" i="180"/>
  <c r="C106" i="180"/>
  <c r="E105" i="180"/>
  <c r="D105" i="180"/>
  <c r="C105" i="180"/>
  <c r="E104" i="180"/>
  <c r="D104" i="180"/>
  <c r="C104" i="180"/>
  <c r="E103" i="180"/>
  <c r="D103" i="180"/>
  <c r="C103" i="180"/>
  <c r="E102" i="180"/>
  <c r="D102" i="180"/>
  <c r="C102" i="180"/>
  <c r="E101" i="180"/>
  <c r="D101" i="180"/>
  <c r="C101" i="180"/>
  <c r="E97" i="180"/>
  <c r="D97" i="180"/>
  <c r="C97" i="180"/>
  <c r="E96" i="180"/>
  <c r="D96" i="180"/>
  <c r="C96" i="180"/>
  <c r="E95" i="180"/>
  <c r="D95" i="180"/>
  <c r="C95" i="180"/>
  <c r="E94" i="180"/>
  <c r="D94" i="180"/>
  <c r="C94" i="180"/>
  <c r="E93" i="180"/>
  <c r="D93" i="180"/>
  <c r="C93" i="180"/>
  <c r="E92" i="180"/>
  <c r="D92" i="180"/>
  <c r="C92" i="180"/>
  <c r="E91" i="180"/>
  <c r="D91" i="180"/>
  <c r="C91" i="180"/>
  <c r="E90" i="180"/>
  <c r="D90" i="180"/>
  <c r="C90" i="180"/>
  <c r="E89" i="180"/>
  <c r="D89" i="180"/>
  <c r="C89" i="180"/>
  <c r="E88" i="180"/>
  <c r="D88" i="180"/>
  <c r="C88" i="180"/>
  <c r="E87" i="180"/>
  <c r="D87" i="180"/>
  <c r="C87" i="180"/>
  <c r="E83" i="180"/>
  <c r="D83" i="180"/>
  <c r="C83" i="180"/>
  <c r="E82" i="180"/>
  <c r="D82" i="180"/>
  <c r="C82" i="180"/>
  <c r="E81" i="180"/>
  <c r="D81" i="180"/>
  <c r="C81" i="180"/>
  <c r="E80" i="180"/>
  <c r="D80" i="180"/>
  <c r="C80" i="180"/>
  <c r="E79" i="180"/>
  <c r="D79" i="180"/>
  <c r="C79" i="180"/>
  <c r="E78" i="180"/>
  <c r="D78" i="180"/>
  <c r="C78" i="180"/>
  <c r="E77" i="180"/>
  <c r="D77" i="180"/>
  <c r="C77" i="180"/>
  <c r="E76" i="180"/>
  <c r="D76" i="180"/>
  <c r="C76" i="180"/>
  <c r="E75" i="180"/>
  <c r="D75" i="180"/>
  <c r="C75" i="180"/>
  <c r="E74" i="180"/>
  <c r="D74" i="180"/>
  <c r="C74" i="180"/>
  <c r="E73" i="180"/>
  <c r="D73" i="180"/>
  <c r="C73" i="180"/>
  <c r="E72" i="180"/>
  <c r="D72" i="180"/>
  <c r="C72" i="180"/>
  <c r="E71" i="180"/>
  <c r="D71" i="180"/>
  <c r="C71" i="180"/>
  <c r="E70" i="180"/>
  <c r="D70" i="180"/>
  <c r="C70" i="180"/>
  <c r="E69" i="180"/>
  <c r="D69" i="180"/>
  <c r="C69" i="180"/>
  <c r="E65" i="180"/>
  <c r="D65" i="180"/>
  <c r="C65" i="180"/>
  <c r="E64" i="180"/>
  <c r="D64" i="180"/>
  <c r="C64" i="180"/>
  <c r="E63" i="180"/>
  <c r="D63" i="180"/>
  <c r="C63" i="180"/>
  <c r="E62" i="180"/>
  <c r="D62" i="180"/>
  <c r="C62" i="180"/>
  <c r="E61" i="180"/>
  <c r="D61" i="180"/>
  <c r="C61" i="180"/>
  <c r="E60" i="180"/>
  <c r="D60" i="180"/>
  <c r="C60" i="180"/>
  <c r="E59" i="180"/>
  <c r="D59" i="180"/>
  <c r="C59" i="180"/>
  <c r="E58" i="180"/>
  <c r="D58" i="180"/>
  <c r="C58" i="180"/>
  <c r="E57" i="180"/>
  <c r="D57" i="180"/>
  <c r="C57" i="180"/>
  <c r="E56" i="180"/>
  <c r="D56" i="180"/>
  <c r="C56" i="180"/>
  <c r="E55" i="180"/>
  <c r="D55" i="180"/>
  <c r="C55" i="180"/>
  <c r="E54" i="180"/>
  <c r="D54" i="180"/>
  <c r="C54" i="180"/>
  <c r="E53" i="180"/>
  <c r="D53" i="180"/>
  <c r="C53" i="180"/>
  <c r="E52" i="180"/>
  <c r="D52" i="180"/>
  <c r="C52" i="180"/>
  <c r="E51" i="180"/>
  <c r="D51" i="180"/>
  <c r="C51" i="180"/>
  <c r="E50" i="180"/>
  <c r="D50" i="180"/>
  <c r="C50" i="180"/>
  <c r="E49" i="180"/>
  <c r="D49" i="180"/>
  <c r="C49" i="180"/>
  <c r="E48" i="180"/>
  <c r="D48" i="180"/>
  <c r="C48" i="180"/>
  <c r="E47" i="180"/>
  <c r="D47" i="180"/>
  <c r="C47" i="180"/>
  <c r="E46" i="180"/>
  <c r="D46" i="180"/>
  <c r="C46" i="180"/>
  <c r="E45" i="180"/>
  <c r="D45" i="180"/>
  <c r="C45" i="180"/>
  <c r="E44" i="180"/>
  <c r="D44" i="180"/>
  <c r="C44" i="180"/>
  <c r="E43" i="180"/>
  <c r="D43" i="180"/>
  <c r="C43" i="180"/>
  <c r="E42" i="180"/>
  <c r="D42" i="180"/>
  <c r="C42" i="180"/>
  <c r="E41" i="180"/>
  <c r="D41" i="180"/>
  <c r="C41" i="180"/>
  <c r="E40" i="180"/>
  <c r="D40" i="180"/>
  <c r="C40" i="180"/>
  <c r="E39" i="180"/>
  <c r="D39" i="180"/>
  <c r="C39" i="180"/>
  <c r="E38" i="180"/>
  <c r="D38" i="180"/>
  <c r="C38" i="180"/>
  <c r="E37" i="180"/>
  <c r="D37" i="180"/>
  <c r="C37" i="180"/>
  <c r="E36" i="180"/>
  <c r="D36" i="180"/>
  <c r="C36" i="180"/>
  <c r="E35" i="180"/>
  <c r="D35" i="180"/>
  <c r="C35" i="180"/>
  <c r="E34" i="180"/>
  <c r="D34" i="180"/>
  <c r="C34" i="180"/>
  <c r="E33" i="180"/>
  <c r="D33" i="180"/>
  <c r="C33" i="180"/>
  <c r="E32" i="180"/>
  <c r="D32" i="180"/>
  <c r="C32" i="180"/>
  <c r="E31" i="180"/>
  <c r="D31" i="180"/>
  <c r="C31" i="180"/>
  <c r="E30" i="180"/>
  <c r="D30" i="180"/>
  <c r="C30" i="180"/>
  <c r="D25" i="180"/>
  <c r="C25" i="180"/>
  <c r="D24" i="180"/>
  <c r="C24" i="180"/>
  <c r="D23" i="180"/>
  <c r="C23" i="180"/>
  <c r="D22" i="180"/>
  <c r="C22" i="180"/>
  <c r="D21" i="180"/>
  <c r="C21" i="180"/>
  <c r="D20" i="180"/>
  <c r="C20" i="180"/>
  <c r="D19" i="180"/>
  <c r="C19" i="180"/>
  <c r="D18" i="180"/>
  <c r="C18" i="180"/>
  <c r="D17" i="180"/>
  <c r="C17" i="180"/>
  <c r="D16" i="180"/>
  <c r="C16" i="180"/>
  <c r="D15" i="180"/>
  <c r="C15" i="180"/>
  <c r="D14" i="180"/>
  <c r="C14" i="180"/>
  <c r="D13" i="180"/>
  <c r="C13" i="180"/>
  <c r="D12" i="180"/>
  <c r="C12" i="180"/>
  <c r="C26" i="180" l="1"/>
  <c r="C213" i="155"/>
  <c r="C217" i="155" s="1"/>
  <c r="E213" i="155"/>
  <c r="E220" i="155" s="1"/>
  <c r="D213" i="155"/>
  <c r="D220" i="155" s="1"/>
  <c r="C84" i="180"/>
  <c r="E98" i="180"/>
  <c r="C166" i="180"/>
  <c r="C202" i="180"/>
  <c r="D26" i="180"/>
  <c r="D84" i="180"/>
  <c r="C98" i="180"/>
  <c r="D107" i="180"/>
  <c r="C124" i="180"/>
  <c r="D166" i="180"/>
  <c r="D202" i="180"/>
  <c r="E202" i="180"/>
  <c r="D98" i="180"/>
  <c r="C107" i="180"/>
  <c r="E107" i="180"/>
  <c r="E116" i="180"/>
  <c r="C116" i="180"/>
  <c r="D211" i="180"/>
  <c r="C233" i="180"/>
  <c r="E84" i="180"/>
  <c r="D116" i="180"/>
  <c r="D124" i="180"/>
  <c r="E124" i="180"/>
  <c r="E166" i="180"/>
  <c r="C211" i="180"/>
  <c r="E211" i="180"/>
  <c r="C66" i="180"/>
  <c r="E66" i="180"/>
  <c r="D66" i="180"/>
  <c r="I249" i="68"/>
  <c r="I248" i="68"/>
  <c r="I247" i="68"/>
  <c r="I246" i="68"/>
  <c r="C220" i="155" l="1"/>
  <c r="C213" i="180"/>
  <c r="C220" i="180" s="1"/>
  <c r="D213" i="180"/>
  <c r="D220" i="180" s="1"/>
  <c r="E213" i="180"/>
  <c r="E220" i="180" s="1"/>
  <c r="C217" i="180"/>
  <c r="I249" i="191" l="1"/>
  <c r="I248" i="191"/>
  <c r="I247" i="191"/>
  <c r="I246" i="191"/>
  <c r="C4" i="191"/>
  <c r="C3" i="191"/>
  <c r="C243" i="191"/>
  <c r="C242" i="191"/>
  <c r="C241" i="191"/>
  <c r="C240" i="191"/>
  <c r="C237" i="191"/>
  <c r="C236" i="191"/>
  <c r="E233" i="191"/>
  <c r="D233" i="191"/>
  <c r="C232" i="191"/>
  <c r="C231" i="191"/>
  <c r="C230" i="191"/>
  <c r="C229" i="191"/>
  <c r="C228" i="191"/>
  <c r="C227" i="191"/>
  <c r="C226" i="191"/>
  <c r="C225" i="191"/>
  <c r="C224" i="191"/>
  <c r="C216" i="191"/>
  <c r="E210" i="191"/>
  <c r="D210" i="191"/>
  <c r="C210" i="191"/>
  <c r="E209" i="191"/>
  <c r="D209" i="191"/>
  <c r="C209" i="191"/>
  <c r="E208" i="191"/>
  <c r="D208" i="191"/>
  <c r="C208" i="191"/>
  <c r="E207" i="191"/>
  <c r="D207" i="191"/>
  <c r="C207" i="191"/>
  <c r="E206" i="191"/>
  <c r="D206" i="191"/>
  <c r="C206" i="191"/>
  <c r="E205" i="191"/>
  <c r="D205" i="191"/>
  <c r="C205" i="191"/>
  <c r="E201" i="191"/>
  <c r="D201" i="191"/>
  <c r="C201" i="191"/>
  <c r="E200" i="191"/>
  <c r="D200" i="191"/>
  <c r="C200" i="191"/>
  <c r="E199" i="191"/>
  <c r="D199" i="191"/>
  <c r="C199" i="191"/>
  <c r="E198" i="191"/>
  <c r="D198" i="191"/>
  <c r="C198" i="191"/>
  <c r="E197" i="191"/>
  <c r="D197" i="191"/>
  <c r="C197" i="191"/>
  <c r="E196" i="191"/>
  <c r="D196" i="191"/>
  <c r="C196" i="191"/>
  <c r="E195" i="191"/>
  <c r="D195" i="191"/>
  <c r="C195" i="191"/>
  <c r="E194" i="191"/>
  <c r="D194" i="191"/>
  <c r="C194" i="191"/>
  <c r="E193" i="191"/>
  <c r="D193" i="191"/>
  <c r="C193" i="191"/>
  <c r="E192" i="191"/>
  <c r="D192" i="191"/>
  <c r="C192" i="191"/>
  <c r="E191" i="191"/>
  <c r="D191" i="191"/>
  <c r="C191" i="191"/>
  <c r="E190" i="191"/>
  <c r="D190" i="191"/>
  <c r="C190" i="191"/>
  <c r="E189" i="191"/>
  <c r="D189" i="191"/>
  <c r="C189" i="191"/>
  <c r="E188" i="191"/>
  <c r="D188" i="191"/>
  <c r="C188" i="191"/>
  <c r="E187" i="191"/>
  <c r="D187" i="191"/>
  <c r="C187" i="191"/>
  <c r="E186" i="191"/>
  <c r="D186" i="191"/>
  <c r="C186" i="191"/>
  <c r="E185" i="191"/>
  <c r="D185" i="191"/>
  <c r="C185" i="191"/>
  <c r="E184" i="191"/>
  <c r="D184" i="191"/>
  <c r="C184" i="191"/>
  <c r="E183" i="191"/>
  <c r="D183" i="191"/>
  <c r="C183" i="191"/>
  <c r="E182" i="191"/>
  <c r="D182" i="191"/>
  <c r="C182" i="191"/>
  <c r="E181" i="191"/>
  <c r="D181" i="191"/>
  <c r="C181" i="191"/>
  <c r="E180" i="191"/>
  <c r="D180" i="191"/>
  <c r="C180" i="191"/>
  <c r="E179" i="191"/>
  <c r="D179" i="191"/>
  <c r="C179" i="191"/>
  <c r="E178" i="191"/>
  <c r="D178" i="191"/>
  <c r="C178" i="191"/>
  <c r="E177" i="191"/>
  <c r="D177" i="191"/>
  <c r="C177" i="191"/>
  <c r="E176" i="191"/>
  <c r="D176" i="191"/>
  <c r="C176" i="191"/>
  <c r="E175" i="191"/>
  <c r="D175" i="191"/>
  <c r="C175" i="191"/>
  <c r="E174" i="191"/>
  <c r="D174" i="191"/>
  <c r="C174" i="191"/>
  <c r="E173" i="191"/>
  <c r="D173" i="191"/>
  <c r="C173" i="191"/>
  <c r="E172" i="191"/>
  <c r="D172" i="191"/>
  <c r="C172" i="191"/>
  <c r="E171" i="191"/>
  <c r="D171" i="191"/>
  <c r="C171" i="191"/>
  <c r="E170" i="191"/>
  <c r="D170" i="191"/>
  <c r="C170" i="191"/>
  <c r="E169" i="191"/>
  <c r="D169" i="191"/>
  <c r="C169" i="191"/>
  <c r="E165" i="191"/>
  <c r="D165" i="191"/>
  <c r="C165" i="191"/>
  <c r="E164" i="191"/>
  <c r="D164" i="191"/>
  <c r="C164" i="191"/>
  <c r="E163" i="191"/>
  <c r="D163" i="191"/>
  <c r="C163" i="191"/>
  <c r="E162" i="191"/>
  <c r="D162" i="191"/>
  <c r="C162" i="191"/>
  <c r="E161" i="191"/>
  <c r="D161" i="191"/>
  <c r="C161" i="191"/>
  <c r="E160" i="191"/>
  <c r="D160" i="191"/>
  <c r="C160" i="191"/>
  <c r="E158" i="191"/>
  <c r="D158" i="191"/>
  <c r="C158" i="191"/>
  <c r="E157" i="191"/>
  <c r="D157" i="191"/>
  <c r="C157" i="191"/>
  <c r="E156" i="191"/>
  <c r="D156" i="191"/>
  <c r="C156" i="191"/>
  <c r="E155" i="191"/>
  <c r="D155" i="191"/>
  <c r="C155" i="191"/>
  <c r="E154" i="191"/>
  <c r="D154" i="191"/>
  <c r="C154" i="191"/>
  <c r="E153" i="191"/>
  <c r="D153" i="191"/>
  <c r="C153" i="191"/>
  <c r="E152" i="191"/>
  <c r="D152" i="191"/>
  <c r="C152" i="191"/>
  <c r="E151" i="191"/>
  <c r="D151" i="191"/>
  <c r="C151" i="191"/>
  <c r="E150" i="191"/>
  <c r="D150" i="191"/>
  <c r="C150" i="191"/>
  <c r="E148" i="191"/>
  <c r="D148" i="191"/>
  <c r="C148" i="191"/>
  <c r="E147" i="191"/>
  <c r="D147" i="191"/>
  <c r="C147" i="191"/>
  <c r="E146" i="191"/>
  <c r="D146" i="191"/>
  <c r="C146" i="191"/>
  <c r="E145" i="191"/>
  <c r="D145" i="191"/>
  <c r="C145" i="191"/>
  <c r="E143" i="191"/>
  <c r="D143" i="191"/>
  <c r="C143" i="191"/>
  <c r="E142" i="191"/>
  <c r="D142" i="191"/>
  <c r="C142" i="191"/>
  <c r="E141" i="191"/>
  <c r="D141" i="191"/>
  <c r="C141" i="191"/>
  <c r="E140" i="191"/>
  <c r="D140" i="191"/>
  <c r="C140" i="191"/>
  <c r="E138" i="191"/>
  <c r="D138" i="191"/>
  <c r="C138" i="191"/>
  <c r="E137" i="191"/>
  <c r="D137" i="191"/>
  <c r="C137" i="191"/>
  <c r="E136" i="191"/>
  <c r="D136" i="191"/>
  <c r="C136" i="191"/>
  <c r="E135" i="191"/>
  <c r="D135" i="191"/>
  <c r="C135" i="191"/>
  <c r="E134" i="191"/>
  <c r="D134" i="191"/>
  <c r="C134" i="191"/>
  <c r="E132" i="191"/>
  <c r="D132" i="191"/>
  <c r="C132" i="191"/>
  <c r="E131" i="191"/>
  <c r="D131" i="191"/>
  <c r="C131" i="191"/>
  <c r="E130" i="191"/>
  <c r="D130" i="191"/>
  <c r="C130" i="191"/>
  <c r="E129" i="191"/>
  <c r="D129" i="191"/>
  <c r="C129" i="191"/>
  <c r="E128" i="191"/>
  <c r="D128" i="191"/>
  <c r="C128" i="191"/>
  <c r="E123" i="191"/>
  <c r="D123" i="191"/>
  <c r="C123" i="191"/>
  <c r="E122" i="191"/>
  <c r="D122" i="191"/>
  <c r="C122" i="191"/>
  <c r="E121" i="191"/>
  <c r="D121" i="191"/>
  <c r="C121" i="191"/>
  <c r="E120" i="191"/>
  <c r="D120" i="191"/>
  <c r="C120" i="191"/>
  <c r="E119" i="191"/>
  <c r="D119" i="191"/>
  <c r="C119" i="191"/>
  <c r="E115" i="191"/>
  <c r="D115" i="191"/>
  <c r="C115" i="191"/>
  <c r="E114" i="191"/>
  <c r="D114" i="191"/>
  <c r="C114" i="191"/>
  <c r="E113" i="191"/>
  <c r="D113" i="191"/>
  <c r="C113" i="191"/>
  <c r="E112" i="191"/>
  <c r="D112" i="191"/>
  <c r="C112" i="191"/>
  <c r="E111" i="191"/>
  <c r="D111" i="191"/>
  <c r="C111" i="191"/>
  <c r="E110" i="191"/>
  <c r="D110" i="191"/>
  <c r="C110" i="191"/>
  <c r="E106" i="191"/>
  <c r="D106" i="191"/>
  <c r="C106" i="191"/>
  <c r="E105" i="191"/>
  <c r="D105" i="191"/>
  <c r="C105" i="191"/>
  <c r="E104" i="191"/>
  <c r="D104" i="191"/>
  <c r="C104" i="191"/>
  <c r="E103" i="191"/>
  <c r="D103" i="191"/>
  <c r="C103" i="191"/>
  <c r="E102" i="191"/>
  <c r="D102" i="191"/>
  <c r="C102" i="191"/>
  <c r="E101" i="191"/>
  <c r="D101" i="191"/>
  <c r="C101" i="191"/>
  <c r="E97" i="191"/>
  <c r="D97" i="191"/>
  <c r="C97" i="191"/>
  <c r="E96" i="191"/>
  <c r="D96" i="191"/>
  <c r="C96" i="191"/>
  <c r="E95" i="191"/>
  <c r="D95" i="191"/>
  <c r="C95" i="191"/>
  <c r="E94" i="191"/>
  <c r="D94" i="191"/>
  <c r="C94" i="191"/>
  <c r="E93" i="191"/>
  <c r="D93" i="191"/>
  <c r="C93" i="191"/>
  <c r="E92" i="191"/>
  <c r="D92" i="191"/>
  <c r="C92" i="191"/>
  <c r="E91" i="191"/>
  <c r="D91" i="191"/>
  <c r="C91" i="191"/>
  <c r="E90" i="191"/>
  <c r="D90" i="191"/>
  <c r="C90" i="191"/>
  <c r="E89" i="191"/>
  <c r="D89" i="191"/>
  <c r="C89" i="191"/>
  <c r="E88" i="191"/>
  <c r="D88" i="191"/>
  <c r="C88" i="191"/>
  <c r="E87" i="191"/>
  <c r="D87" i="191"/>
  <c r="C87" i="191"/>
  <c r="E83" i="191"/>
  <c r="D83" i="191"/>
  <c r="C83" i="191"/>
  <c r="E82" i="191"/>
  <c r="D82" i="191"/>
  <c r="C82" i="191"/>
  <c r="E81" i="191"/>
  <c r="D81" i="191"/>
  <c r="C81" i="191"/>
  <c r="E80" i="191"/>
  <c r="D80" i="191"/>
  <c r="C80" i="191"/>
  <c r="E79" i="191"/>
  <c r="D79" i="191"/>
  <c r="C79" i="191"/>
  <c r="E78" i="191"/>
  <c r="D78" i="191"/>
  <c r="C78" i="191"/>
  <c r="E77" i="191"/>
  <c r="D77" i="191"/>
  <c r="C77" i="191"/>
  <c r="E76" i="191"/>
  <c r="D76" i="191"/>
  <c r="C76" i="191"/>
  <c r="E75" i="191"/>
  <c r="D75" i="191"/>
  <c r="C75" i="191"/>
  <c r="E74" i="191"/>
  <c r="D74" i="191"/>
  <c r="C74" i="191"/>
  <c r="E73" i="191"/>
  <c r="D73" i="191"/>
  <c r="C73" i="191"/>
  <c r="E72" i="191"/>
  <c r="D72" i="191"/>
  <c r="C72" i="191"/>
  <c r="E71" i="191"/>
  <c r="D71" i="191"/>
  <c r="C71" i="191"/>
  <c r="E70" i="191"/>
  <c r="D70" i="191"/>
  <c r="C70" i="191"/>
  <c r="E69" i="191"/>
  <c r="D69" i="191"/>
  <c r="C69" i="191"/>
  <c r="E65" i="191"/>
  <c r="D65" i="191"/>
  <c r="C65" i="191"/>
  <c r="E64" i="191"/>
  <c r="D64" i="191"/>
  <c r="C64" i="191"/>
  <c r="E63" i="191"/>
  <c r="D63" i="191"/>
  <c r="C63" i="191"/>
  <c r="E62" i="191"/>
  <c r="D62" i="191"/>
  <c r="C62" i="191"/>
  <c r="E61" i="191"/>
  <c r="D61" i="191"/>
  <c r="C61" i="191"/>
  <c r="E60" i="191"/>
  <c r="D60" i="191"/>
  <c r="C60" i="191"/>
  <c r="E59" i="191"/>
  <c r="D59" i="191"/>
  <c r="C59" i="191"/>
  <c r="E58" i="191"/>
  <c r="D58" i="191"/>
  <c r="C58" i="191"/>
  <c r="E57" i="191"/>
  <c r="D57" i="191"/>
  <c r="C57" i="191"/>
  <c r="E56" i="191"/>
  <c r="D56" i="191"/>
  <c r="C56" i="191"/>
  <c r="E55" i="191"/>
  <c r="D55" i="191"/>
  <c r="C55" i="191"/>
  <c r="E54" i="191"/>
  <c r="D54" i="191"/>
  <c r="C54" i="191"/>
  <c r="E53" i="191"/>
  <c r="D53" i="191"/>
  <c r="C53" i="191"/>
  <c r="E52" i="191"/>
  <c r="D52" i="191"/>
  <c r="C52" i="191"/>
  <c r="E51" i="191"/>
  <c r="D51" i="191"/>
  <c r="C51" i="191"/>
  <c r="E50" i="191"/>
  <c r="D50" i="191"/>
  <c r="C50" i="191"/>
  <c r="E49" i="191"/>
  <c r="D49" i="191"/>
  <c r="C49" i="191"/>
  <c r="E48" i="191"/>
  <c r="D48" i="191"/>
  <c r="C48" i="191"/>
  <c r="E47" i="191"/>
  <c r="D47" i="191"/>
  <c r="C47" i="191"/>
  <c r="E46" i="191"/>
  <c r="D46" i="191"/>
  <c r="C46" i="191"/>
  <c r="E45" i="191"/>
  <c r="D45" i="191"/>
  <c r="C45" i="191"/>
  <c r="E44" i="191"/>
  <c r="D44" i="191"/>
  <c r="C44" i="191"/>
  <c r="E43" i="191"/>
  <c r="D43" i="191"/>
  <c r="C43" i="191"/>
  <c r="E42" i="191"/>
  <c r="D42" i="191"/>
  <c r="C42" i="191"/>
  <c r="E41" i="191"/>
  <c r="D41" i="191"/>
  <c r="C41" i="191"/>
  <c r="E40" i="191"/>
  <c r="D40" i="191"/>
  <c r="C40" i="191"/>
  <c r="E39" i="191"/>
  <c r="D39" i="191"/>
  <c r="C39" i="191"/>
  <c r="E38" i="191"/>
  <c r="D38" i="191"/>
  <c r="C38" i="191"/>
  <c r="E37" i="191"/>
  <c r="D37" i="191"/>
  <c r="C37" i="191"/>
  <c r="E36" i="191"/>
  <c r="D36" i="191"/>
  <c r="C36" i="191"/>
  <c r="E35" i="191"/>
  <c r="D35" i="191"/>
  <c r="C35" i="191"/>
  <c r="E34" i="191"/>
  <c r="D34" i="191"/>
  <c r="C34" i="191"/>
  <c r="E33" i="191"/>
  <c r="D33" i="191"/>
  <c r="C33" i="191"/>
  <c r="E32" i="191"/>
  <c r="D32" i="191"/>
  <c r="C32" i="191"/>
  <c r="E31" i="191"/>
  <c r="D31" i="191"/>
  <c r="C31" i="191"/>
  <c r="E30" i="191"/>
  <c r="D30" i="191"/>
  <c r="C30" i="191"/>
  <c r="D25" i="191"/>
  <c r="C25" i="191"/>
  <c r="D24" i="191"/>
  <c r="C24" i="191"/>
  <c r="D23" i="191"/>
  <c r="C23" i="191"/>
  <c r="D22" i="191"/>
  <c r="C22" i="191"/>
  <c r="D21" i="191"/>
  <c r="C21" i="191"/>
  <c r="D20" i="191"/>
  <c r="C20" i="191"/>
  <c r="D19" i="191"/>
  <c r="C19" i="191"/>
  <c r="D18" i="191"/>
  <c r="C18" i="191"/>
  <c r="D17" i="191"/>
  <c r="C17" i="191"/>
  <c r="D16" i="191"/>
  <c r="C16" i="191"/>
  <c r="D15" i="191"/>
  <c r="C15" i="191"/>
  <c r="D14" i="191"/>
  <c r="C14" i="191"/>
  <c r="D13" i="191"/>
  <c r="C13" i="191"/>
  <c r="D12" i="191"/>
  <c r="C12" i="191"/>
  <c r="D26" i="191" l="1"/>
  <c r="D84" i="191"/>
  <c r="E84" i="191"/>
  <c r="C98" i="191"/>
  <c r="C124" i="191"/>
  <c r="C166" i="191"/>
  <c r="D166" i="191"/>
  <c r="D202" i="191"/>
  <c r="C238" i="191"/>
  <c r="E98" i="191"/>
  <c r="E166" i="191"/>
  <c r="E202" i="191"/>
  <c r="C233" i="191"/>
  <c r="D107" i="191"/>
  <c r="D116" i="191"/>
  <c r="D124" i="191"/>
  <c r="C202" i="191"/>
  <c r="C211" i="191"/>
  <c r="E211" i="191"/>
  <c r="D98" i="191"/>
  <c r="C107" i="191"/>
  <c r="E107" i="191"/>
  <c r="C26" i="191"/>
  <c r="C84" i="191"/>
  <c r="C116" i="191"/>
  <c r="E116" i="191"/>
  <c r="E124" i="191"/>
  <c r="D211" i="191"/>
  <c r="C66" i="191"/>
  <c r="D66" i="191"/>
  <c r="E66" i="191"/>
  <c r="E213" i="191" l="1"/>
  <c r="E220" i="191" s="1"/>
  <c r="D213" i="191"/>
  <c r="D220" i="191" s="1"/>
  <c r="C213" i="191"/>
  <c r="C217" i="191" s="1"/>
  <c r="C220" i="191" l="1"/>
  <c r="I249" i="181"/>
  <c r="I248" i="181"/>
  <c r="I247" i="181"/>
  <c r="I246" i="181"/>
  <c r="C4" i="181"/>
  <c r="C3" i="181"/>
  <c r="C243" i="181"/>
  <c r="C242" i="181"/>
  <c r="C241" i="181"/>
  <c r="C240" i="181"/>
  <c r="C237" i="181"/>
  <c r="C236" i="181"/>
  <c r="E233" i="181"/>
  <c r="D233" i="181"/>
  <c r="C232" i="181"/>
  <c r="C231" i="181"/>
  <c r="C230" i="181"/>
  <c r="C229" i="181"/>
  <c r="C228" i="181"/>
  <c r="C227" i="181"/>
  <c r="C226" i="181"/>
  <c r="C225" i="181"/>
  <c r="C224" i="181"/>
  <c r="C216" i="181"/>
  <c r="E210" i="181"/>
  <c r="D210" i="181"/>
  <c r="C210" i="181"/>
  <c r="E209" i="181"/>
  <c r="D209" i="181"/>
  <c r="C209" i="181"/>
  <c r="E208" i="181"/>
  <c r="D208" i="181"/>
  <c r="C208" i="181"/>
  <c r="E207" i="181"/>
  <c r="D207" i="181"/>
  <c r="C207" i="181"/>
  <c r="E206" i="181"/>
  <c r="D206" i="181"/>
  <c r="C206" i="181"/>
  <c r="E205" i="181"/>
  <c r="D205" i="181"/>
  <c r="C205" i="181"/>
  <c r="E201" i="181"/>
  <c r="D201" i="181"/>
  <c r="C201" i="181"/>
  <c r="E200" i="181"/>
  <c r="D200" i="181"/>
  <c r="C200" i="181"/>
  <c r="E199" i="181"/>
  <c r="D199" i="181"/>
  <c r="C199" i="181"/>
  <c r="E198" i="181"/>
  <c r="D198" i="181"/>
  <c r="C198" i="181"/>
  <c r="E197" i="181"/>
  <c r="D197" i="181"/>
  <c r="C197" i="181"/>
  <c r="E196" i="181"/>
  <c r="D196" i="181"/>
  <c r="C196" i="181"/>
  <c r="E195" i="181"/>
  <c r="D195" i="181"/>
  <c r="C195" i="181"/>
  <c r="E194" i="181"/>
  <c r="D194" i="181"/>
  <c r="C194" i="181"/>
  <c r="E193" i="181"/>
  <c r="D193" i="181"/>
  <c r="C193" i="181"/>
  <c r="E192" i="181"/>
  <c r="D192" i="181"/>
  <c r="C192" i="181"/>
  <c r="E191" i="181"/>
  <c r="D191" i="181"/>
  <c r="C191" i="181"/>
  <c r="E190" i="181"/>
  <c r="D190" i="181"/>
  <c r="C190" i="181"/>
  <c r="E189" i="181"/>
  <c r="D189" i="181"/>
  <c r="C189" i="181"/>
  <c r="E188" i="181"/>
  <c r="D188" i="181"/>
  <c r="C188" i="181"/>
  <c r="E187" i="181"/>
  <c r="D187" i="181"/>
  <c r="C187" i="181"/>
  <c r="E186" i="181"/>
  <c r="D186" i="181"/>
  <c r="C186" i="181"/>
  <c r="E185" i="181"/>
  <c r="D185" i="181"/>
  <c r="C185" i="181"/>
  <c r="E184" i="181"/>
  <c r="D184" i="181"/>
  <c r="C184" i="181"/>
  <c r="E183" i="181"/>
  <c r="D183" i="181"/>
  <c r="C183" i="181"/>
  <c r="E182" i="181"/>
  <c r="D182" i="181"/>
  <c r="C182" i="181"/>
  <c r="E181" i="181"/>
  <c r="D181" i="181"/>
  <c r="C181" i="181"/>
  <c r="E180" i="181"/>
  <c r="D180" i="181"/>
  <c r="C180" i="181"/>
  <c r="E179" i="181"/>
  <c r="D179" i="181"/>
  <c r="C179" i="181"/>
  <c r="E178" i="181"/>
  <c r="D178" i="181"/>
  <c r="C178" i="181"/>
  <c r="E177" i="181"/>
  <c r="D177" i="181"/>
  <c r="C177" i="181"/>
  <c r="E176" i="181"/>
  <c r="D176" i="181"/>
  <c r="C176" i="181"/>
  <c r="E175" i="181"/>
  <c r="D175" i="181"/>
  <c r="C175" i="181"/>
  <c r="E174" i="181"/>
  <c r="D174" i="181"/>
  <c r="C174" i="181"/>
  <c r="E173" i="181"/>
  <c r="D173" i="181"/>
  <c r="C173" i="181"/>
  <c r="E172" i="181"/>
  <c r="D172" i="181"/>
  <c r="C172" i="181"/>
  <c r="E171" i="181"/>
  <c r="D171" i="181"/>
  <c r="C171" i="181"/>
  <c r="E170" i="181"/>
  <c r="D170" i="181"/>
  <c r="C170" i="181"/>
  <c r="E169" i="181"/>
  <c r="D169" i="181"/>
  <c r="C169" i="181"/>
  <c r="E165" i="181"/>
  <c r="D165" i="181"/>
  <c r="C165" i="181"/>
  <c r="E164" i="181"/>
  <c r="D164" i="181"/>
  <c r="C164" i="181"/>
  <c r="E163" i="181"/>
  <c r="D163" i="181"/>
  <c r="C163" i="181"/>
  <c r="E162" i="181"/>
  <c r="D162" i="181"/>
  <c r="C162" i="181"/>
  <c r="E161" i="181"/>
  <c r="D161" i="181"/>
  <c r="C161" i="181"/>
  <c r="E160" i="181"/>
  <c r="D160" i="181"/>
  <c r="C160" i="181"/>
  <c r="E158" i="181"/>
  <c r="D158" i="181"/>
  <c r="C158" i="181"/>
  <c r="E157" i="181"/>
  <c r="D157" i="181"/>
  <c r="C157" i="181"/>
  <c r="E156" i="181"/>
  <c r="D156" i="181"/>
  <c r="C156" i="181"/>
  <c r="E155" i="181"/>
  <c r="D155" i="181"/>
  <c r="C155" i="181"/>
  <c r="E154" i="181"/>
  <c r="D154" i="181"/>
  <c r="C154" i="181"/>
  <c r="E153" i="181"/>
  <c r="D153" i="181"/>
  <c r="C153" i="181"/>
  <c r="E152" i="181"/>
  <c r="D152" i="181"/>
  <c r="C152" i="181"/>
  <c r="E151" i="181"/>
  <c r="D151" i="181"/>
  <c r="C151" i="181"/>
  <c r="E150" i="181"/>
  <c r="D150" i="181"/>
  <c r="C150" i="181"/>
  <c r="E148" i="181"/>
  <c r="D148" i="181"/>
  <c r="C148" i="181"/>
  <c r="E147" i="181"/>
  <c r="D147" i="181"/>
  <c r="C147" i="181"/>
  <c r="E146" i="181"/>
  <c r="D146" i="181"/>
  <c r="C146" i="181"/>
  <c r="E145" i="181"/>
  <c r="D145" i="181"/>
  <c r="C145" i="181"/>
  <c r="E143" i="181"/>
  <c r="D143" i="181"/>
  <c r="C143" i="181"/>
  <c r="E142" i="181"/>
  <c r="D142" i="181"/>
  <c r="C142" i="181"/>
  <c r="E141" i="181"/>
  <c r="D141" i="181"/>
  <c r="C141" i="181"/>
  <c r="E140" i="181"/>
  <c r="D140" i="181"/>
  <c r="C140" i="181"/>
  <c r="E138" i="181"/>
  <c r="D138" i="181"/>
  <c r="C138" i="181"/>
  <c r="E137" i="181"/>
  <c r="D137" i="181"/>
  <c r="C137" i="181"/>
  <c r="E136" i="181"/>
  <c r="D136" i="181"/>
  <c r="C136" i="181"/>
  <c r="E135" i="181"/>
  <c r="D135" i="181"/>
  <c r="C135" i="181"/>
  <c r="E134" i="181"/>
  <c r="D134" i="181"/>
  <c r="C134" i="181"/>
  <c r="E132" i="181"/>
  <c r="D132" i="181"/>
  <c r="C132" i="181"/>
  <c r="E131" i="181"/>
  <c r="D131" i="181"/>
  <c r="C131" i="181"/>
  <c r="E130" i="181"/>
  <c r="D130" i="181"/>
  <c r="C130" i="181"/>
  <c r="E129" i="181"/>
  <c r="D129" i="181"/>
  <c r="C129" i="181"/>
  <c r="E128" i="181"/>
  <c r="D128" i="181"/>
  <c r="C128" i="181"/>
  <c r="E123" i="181"/>
  <c r="D123" i="181"/>
  <c r="C123" i="181"/>
  <c r="E122" i="181"/>
  <c r="D122" i="181"/>
  <c r="C122" i="181"/>
  <c r="E121" i="181"/>
  <c r="D121" i="181"/>
  <c r="C121" i="181"/>
  <c r="E120" i="181"/>
  <c r="D120" i="181"/>
  <c r="C120" i="181"/>
  <c r="E119" i="181"/>
  <c r="D119" i="181"/>
  <c r="C119" i="181"/>
  <c r="E115" i="181"/>
  <c r="D115" i="181"/>
  <c r="C115" i="181"/>
  <c r="E114" i="181"/>
  <c r="D114" i="181"/>
  <c r="C114" i="181"/>
  <c r="E113" i="181"/>
  <c r="D113" i="181"/>
  <c r="C113" i="181"/>
  <c r="E112" i="181"/>
  <c r="D112" i="181"/>
  <c r="C112" i="181"/>
  <c r="E111" i="181"/>
  <c r="D111" i="181"/>
  <c r="C111" i="181"/>
  <c r="E110" i="181"/>
  <c r="D110" i="181"/>
  <c r="C110" i="181"/>
  <c r="E106" i="181"/>
  <c r="D106" i="181"/>
  <c r="C106" i="181"/>
  <c r="E105" i="181"/>
  <c r="D105" i="181"/>
  <c r="C105" i="181"/>
  <c r="E104" i="181"/>
  <c r="D104" i="181"/>
  <c r="C104" i="181"/>
  <c r="E103" i="181"/>
  <c r="D103" i="181"/>
  <c r="C103" i="181"/>
  <c r="E102" i="181"/>
  <c r="D102" i="181"/>
  <c r="C102" i="181"/>
  <c r="E101" i="181"/>
  <c r="D101" i="181"/>
  <c r="C101" i="181"/>
  <c r="E97" i="181"/>
  <c r="D97" i="181"/>
  <c r="C97" i="181"/>
  <c r="E96" i="181"/>
  <c r="D96" i="181"/>
  <c r="C96" i="181"/>
  <c r="E95" i="181"/>
  <c r="D95" i="181"/>
  <c r="C95" i="181"/>
  <c r="E94" i="181"/>
  <c r="D94" i="181"/>
  <c r="C94" i="181"/>
  <c r="E93" i="181"/>
  <c r="D93" i="181"/>
  <c r="C93" i="181"/>
  <c r="E92" i="181"/>
  <c r="D92" i="181"/>
  <c r="C92" i="181"/>
  <c r="E91" i="181"/>
  <c r="D91" i="181"/>
  <c r="C91" i="181"/>
  <c r="E90" i="181"/>
  <c r="D90" i="181"/>
  <c r="C90" i="181"/>
  <c r="E89" i="181"/>
  <c r="D89" i="181"/>
  <c r="C89" i="181"/>
  <c r="E88" i="181"/>
  <c r="D88" i="181"/>
  <c r="C88" i="181"/>
  <c r="E87" i="181"/>
  <c r="D87" i="181"/>
  <c r="C87" i="181"/>
  <c r="E83" i="181"/>
  <c r="D83" i="181"/>
  <c r="C83" i="181"/>
  <c r="E82" i="181"/>
  <c r="D82" i="181"/>
  <c r="C82" i="181"/>
  <c r="E81" i="181"/>
  <c r="D81" i="181"/>
  <c r="C81" i="181"/>
  <c r="E80" i="181"/>
  <c r="D80" i="181"/>
  <c r="C80" i="181"/>
  <c r="E79" i="181"/>
  <c r="D79" i="181"/>
  <c r="C79" i="181"/>
  <c r="E78" i="181"/>
  <c r="D78" i="181"/>
  <c r="C78" i="181"/>
  <c r="E77" i="181"/>
  <c r="D77" i="181"/>
  <c r="C77" i="181"/>
  <c r="E76" i="181"/>
  <c r="D76" i="181"/>
  <c r="C76" i="181"/>
  <c r="E75" i="181"/>
  <c r="D75" i="181"/>
  <c r="C75" i="181"/>
  <c r="E74" i="181"/>
  <c r="D74" i="181"/>
  <c r="C74" i="181"/>
  <c r="E73" i="181"/>
  <c r="D73" i="181"/>
  <c r="C73" i="181"/>
  <c r="E72" i="181"/>
  <c r="D72" i="181"/>
  <c r="C72" i="181"/>
  <c r="E71" i="181"/>
  <c r="D71" i="181"/>
  <c r="C71" i="181"/>
  <c r="E70" i="181"/>
  <c r="D70" i="181"/>
  <c r="C70" i="181"/>
  <c r="E69" i="181"/>
  <c r="D69" i="181"/>
  <c r="C69" i="181"/>
  <c r="E65" i="181"/>
  <c r="D65" i="181"/>
  <c r="C65" i="181"/>
  <c r="E64" i="181"/>
  <c r="D64" i="181"/>
  <c r="C64" i="181"/>
  <c r="E63" i="181"/>
  <c r="D63" i="181"/>
  <c r="C63" i="181"/>
  <c r="E62" i="181"/>
  <c r="D62" i="181"/>
  <c r="C62" i="181"/>
  <c r="E61" i="181"/>
  <c r="D61" i="181"/>
  <c r="C61" i="181"/>
  <c r="E60" i="181"/>
  <c r="D60" i="181"/>
  <c r="C60" i="181"/>
  <c r="E59" i="181"/>
  <c r="D59" i="181"/>
  <c r="C59" i="181"/>
  <c r="E58" i="181"/>
  <c r="D58" i="181"/>
  <c r="C58" i="181"/>
  <c r="E57" i="181"/>
  <c r="D57" i="181"/>
  <c r="C57" i="181"/>
  <c r="E56" i="181"/>
  <c r="D56" i="181"/>
  <c r="C56" i="181"/>
  <c r="E55" i="181"/>
  <c r="D55" i="181"/>
  <c r="C55" i="181"/>
  <c r="E54" i="181"/>
  <c r="D54" i="181"/>
  <c r="C54" i="181"/>
  <c r="E53" i="181"/>
  <c r="D53" i="181"/>
  <c r="C53" i="181"/>
  <c r="E52" i="181"/>
  <c r="D52" i="181"/>
  <c r="C52" i="181"/>
  <c r="E51" i="181"/>
  <c r="D51" i="181"/>
  <c r="C51" i="181"/>
  <c r="E50" i="181"/>
  <c r="D50" i="181"/>
  <c r="C50" i="181"/>
  <c r="E49" i="181"/>
  <c r="D49" i="181"/>
  <c r="C49" i="181"/>
  <c r="E48" i="181"/>
  <c r="D48" i="181"/>
  <c r="C48" i="181"/>
  <c r="E47" i="181"/>
  <c r="D47" i="181"/>
  <c r="C47" i="181"/>
  <c r="E46" i="181"/>
  <c r="D46" i="181"/>
  <c r="C46" i="181"/>
  <c r="E45" i="181"/>
  <c r="D45" i="181"/>
  <c r="C45" i="181"/>
  <c r="E44" i="181"/>
  <c r="D44" i="181"/>
  <c r="C44" i="181"/>
  <c r="E43" i="181"/>
  <c r="D43" i="181"/>
  <c r="C43" i="181"/>
  <c r="E42" i="181"/>
  <c r="D42" i="181"/>
  <c r="C42" i="181"/>
  <c r="E41" i="181"/>
  <c r="D41" i="181"/>
  <c r="C41" i="181"/>
  <c r="E40" i="181"/>
  <c r="D40" i="181"/>
  <c r="C40" i="181"/>
  <c r="E39" i="181"/>
  <c r="D39" i="181"/>
  <c r="C39" i="181"/>
  <c r="E38" i="181"/>
  <c r="D38" i="181"/>
  <c r="C38" i="181"/>
  <c r="E37" i="181"/>
  <c r="D37" i="181"/>
  <c r="C37" i="181"/>
  <c r="E36" i="181"/>
  <c r="D36" i="181"/>
  <c r="C36" i="181"/>
  <c r="E35" i="181"/>
  <c r="D35" i="181"/>
  <c r="C35" i="181"/>
  <c r="E34" i="181"/>
  <c r="D34" i="181"/>
  <c r="C34" i="181"/>
  <c r="E33" i="181"/>
  <c r="D33" i="181"/>
  <c r="C33" i="181"/>
  <c r="E32" i="181"/>
  <c r="D32" i="181"/>
  <c r="C32" i="181"/>
  <c r="E31" i="181"/>
  <c r="D31" i="181"/>
  <c r="C31" i="181"/>
  <c r="E30" i="181"/>
  <c r="D30" i="181"/>
  <c r="C30" i="181"/>
  <c r="D25" i="181"/>
  <c r="C25" i="181"/>
  <c r="D24" i="181"/>
  <c r="C24" i="181"/>
  <c r="D23" i="181"/>
  <c r="C23" i="181"/>
  <c r="D22" i="181"/>
  <c r="C22" i="181"/>
  <c r="D21" i="181"/>
  <c r="C21" i="181"/>
  <c r="D20" i="181"/>
  <c r="C20" i="181"/>
  <c r="D19" i="181"/>
  <c r="C19" i="181"/>
  <c r="D18" i="181"/>
  <c r="C18" i="181"/>
  <c r="D17" i="181"/>
  <c r="C17" i="181"/>
  <c r="D16" i="181"/>
  <c r="C16" i="181"/>
  <c r="D15" i="181"/>
  <c r="C15" i="181"/>
  <c r="D14" i="181"/>
  <c r="C14" i="181"/>
  <c r="D13" i="181"/>
  <c r="C13" i="181"/>
  <c r="D12" i="181"/>
  <c r="C12" i="181"/>
  <c r="C238" i="181" l="1"/>
  <c r="D26" i="181"/>
  <c r="D84" i="181"/>
  <c r="C98" i="181"/>
  <c r="C166" i="181"/>
  <c r="D166" i="181"/>
  <c r="D202" i="181"/>
  <c r="E84" i="181"/>
  <c r="C107" i="181"/>
  <c r="E116" i="181"/>
  <c r="C124" i="181"/>
  <c r="E98" i="181"/>
  <c r="D107" i="181"/>
  <c r="D116" i="181"/>
  <c r="D124" i="181"/>
  <c r="E166" i="181"/>
  <c r="C211" i="181"/>
  <c r="E211" i="181"/>
  <c r="C233" i="181"/>
  <c r="D98" i="181"/>
  <c r="E107" i="181"/>
  <c r="E202" i="181"/>
  <c r="C26" i="181"/>
  <c r="C84" i="181"/>
  <c r="C116" i="181"/>
  <c r="E124" i="181"/>
  <c r="C202" i="181"/>
  <c r="D211" i="181"/>
  <c r="C66" i="181"/>
  <c r="D66" i="181"/>
  <c r="E66" i="181"/>
  <c r="D213" i="181" l="1"/>
  <c r="D220" i="181" s="1"/>
  <c r="C213" i="181"/>
  <c r="C217" i="181" s="1"/>
  <c r="E213" i="181"/>
  <c r="E220" i="181" s="1"/>
  <c r="C220" i="181" l="1"/>
  <c r="G25" i="118"/>
  <c r="G25" i="50" l="1"/>
  <c r="G65" i="142"/>
  <c r="G210" i="50" l="1"/>
  <c r="G65" i="50"/>
  <c r="G105" i="89" l="1"/>
  <c r="G135" i="194" l="1"/>
  <c r="G79" i="190" l="1"/>
  <c r="G91" i="189" l="1"/>
  <c r="H26" i="118" l="1"/>
  <c r="H26" i="60"/>
  <c r="H26" i="106"/>
  <c r="H26" i="104"/>
  <c r="H26" i="54"/>
  <c r="H26" i="181"/>
  <c r="H26" i="94"/>
  <c r="H26" i="145"/>
  <c r="H26" i="33"/>
  <c r="H26" i="177"/>
  <c r="H26" i="164"/>
  <c r="H26" i="19"/>
  <c r="H26" i="15"/>
  <c r="H26" i="178"/>
  <c r="H26" i="150"/>
  <c r="H26" i="68"/>
  <c r="H26" i="66"/>
  <c r="H26" i="63"/>
  <c r="H26" i="62"/>
  <c r="H26" i="58"/>
  <c r="H26" i="136"/>
  <c r="H26" i="141"/>
  <c r="H26" i="174"/>
  <c r="H26" i="53"/>
  <c r="H26" i="98"/>
  <c r="H26" i="49"/>
  <c r="H26" i="83"/>
  <c r="H26" i="46"/>
  <c r="H26" i="102"/>
  <c r="H26" i="43"/>
  <c r="H26" i="175"/>
  <c r="H26" i="57"/>
  <c r="H26" i="84"/>
  <c r="H26" i="167"/>
  <c r="H26" i="39"/>
  <c r="H26" i="135"/>
  <c r="H26" i="38"/>
  <c r="H26" i="103"/>
  <c r="H26" i="133"/>
  <c r="H26" i="152"/>
  <c r="H26" i="47"/>
  <c r="H26" i="120"/>
  <c r="H26" i="37"/>
  <c r="H26" i="90"/>
  <c r="H26" i="24"/>
  <c r="H26" i="32"/>
  <c r="H26" i="79"/>
  <c r="H26" i="31"/>
  <c r="H26" i="64"/>
  <c r="H26" i="113"/>
  <c r="H26" i="72"/>
  <c r="H26" i="28"/>
  <c r="H26" i="183"/>
  <c r="H26" i="65"/>
  <c r="H26" i="119"/>
  <c r="H26" i="25"/>
  <c r="H26" i="155"/>
  <c r="H26" i="156"/>
  <c r="H26" i="20"/>
  <c r="H26" i="42"/>
  <c r="H26" i="157"/>
  <c r="H26" i="159"/>
  <c r="H26" i="158"/>
  <c r="H26" i="16"/>
  <c r="H26" i="27"/>
  <c r="H26" i="111"/>
  <c r="H26" i="184"/>
  <c r="H26" i="71"/>
  <c r="H26" i="165"/>
  <c r="H26" i="55"/>
  <c r="H26" i="21"/>
  <c r="H26" i="14"/>
  <c r="H26" i="85"/>
  <c r="H26" i="185"/>
  <c r="H26" i="188"/>
  <c r="H26" i="186"/>
  <c r="H26" i="189"/>
  <c r="H26" i="190"/>
  <c r="H26" i="191"/>
  <c r="H26" i="192"/>
  <c r="H26" i="193"/>
  <c r="H26" i="194"/>
  <c r="H26" i="195"/>
  <c r="H26" i="87"/>
  <c r="H26" i="86"/>
  <c r="H26" i="89"/>
  <c r="H26" i="142"/>
  <c r="H26" i="92"/>
  <c r="H26" i="1"/>
  <c r="H26" i="50"/>
  <c r="H26" i="95"/>
  <c r="H26" i="180"/>
  <c r="G26" i="118"/>
  <c r="G26" i="60"/>
  <c r="G26" i="106"/>
  <c r="G26" i="104"/>
  <c r="G26" i="54"/>
  <c r="G26" i="181"/>
  <c r="G26" i="94"/>
  <c r="G26" i="145"/>
  <c r="G26" i="33"/>
  <c r="G26" i="177"/>
  <c r="G26" i="164"/>
  <c r="G26" i="19"/>
  <c r="G26" i="15"/>
  <c r="G26" i="178"/>
  <c r="G26" i="150"/>
  <c r="G26" i="66"/>
  <c r="G26" i="62"/>
  <c r="G26" i="58"/>
  <c r="G26" i="136"/>
  <c r="G26" i="141"/>
  <c r="G26" i="174"/>
  <c r="G26" i="49"/>
  <c r="G26" i="83"/>
  <c r="G26" i="46"/>
  <c r="G26" i="102"/>
  <c r="G26" i="43"/>
  <c r="G26" i="175"/>
  <c r="G26" i="57"/>
  <c r="G26" i="84"/>
  <c r="G26" i="167"/>
  <c r="G26" i="39"/>
  <c r="G26" i="38"/>
  <c r="G26" i="103"/>
  <c r="G26" i="133"/>
  <c r="G26" i="152"/>
  <c r="G26" i="47"/>
  <c r="G26" i="120"/>
  <c r="G26" i="37"/>
  <c r="G26" i="90"/>
  <c r="G26" i="24"/>
  <c r="G26" i="32"/>
  <c r="G26" i="79"/>
  <c r="G26" i="31"/>
  <c r="G26" i="64"/>
  <c r="G26" i="113"/>
  <c r="G26" i="72"/>
  <c r="G26" i="28"/>
  <c r="G26" i="183"/>
  <c r="G26" i="65"/>
  <c r="G26" i="119"/>
  <c r="G26" i="155"/>
  <c r="G26" i="156"/>
  <c r="G26" i="42"/>
  <c r="G26" i="157"/>
  <c r="G26" i="158"/>
  <c r="G26" i="16"/>
  <c r="G26" i="27"/>
  <c r="G26" i="111"/>
  <c r="G26" i="184"/>
  <c r="G26" i="71"/>
  <c r="G26" i="165"/>
  <c r="G26" i="55"/>
  <c r="G26" i="21"/>
  <c r="G26" i="14"/>
  <c r="G26" i="85"/>
  <c r="G26" i="185"/>
  <c r="G26" i="188"/>
  <c r="G26" i="186"/>
  <c r="G26" i="189"/>
  <c r="G26" i="190"/>
  <c r="G26" i="191"/>
  <c r="G26" i="192"/>
  <c r="G26" i="193"/>
  <c r="G26" i="194"/>
  <c r="G26" i="195"/>
  <c r="G26" i="87"/>
  <c r="G26" i="86"/>
  <c r="G26" i="142"/>
  <c r="G26" i="92"/>
  <c r="G26" i="1"/>
  <c r="G26" i="50"/>
  <c r="G26" i="95"/>
  <c r="E26" i="118"/>
  <c r="E26" i="60"/>
  <c r="E26" i="106"/>
  <c r="E26" i="104"/>
  <c r="E26" i="54"/>
  <c r="E26" i="94"/>
  <c r="E26" i="145"/>
  <c r="E26" i="33"/>
  <c r="E26" i="177"/>
  <c r="E26" i="164"/>
  <c r="E26" i="19"/>
  <c r="E26" i="15"/>
  <c r="E26" i="178"/>
  <c r="E26" i="150"/>
  <c r="E26" i="68"/>
  <c r="E26" i="66"/>
  <c r="E26" i="63"/>
  <c r="E26" i="62"/>
  <c r="E26" i="58"/>
  <c r="E26" i="136"/>
  <c r="E26" i="141"/>
  <c r="E26" i="174"/>
  <c r="E26" i="53"/>
  <c r="E26" i="98"/>
  <c r="E26" i="49"/>
  <c r="E26" i="83"/>
  <c r="E26" i="46"/>
  <c r="E26" i="102"/>
  <c r="E26" i="43"/>
  <c r="E26" i="175"/>
  <c r="E26" i="57"/>
  <c r="E26" i="84"/>
  <c r="E26" i="167"/>
  <c r="E26" i="39"/>
  <c r="E26" i="135"/>
  <c r="E26" i="38"/>
  <c r="E26" i="103"/>
  <c r="E26" i="133"/>
  <c r="E26" i="152"/>
  <c r="E26" i="47"/>
  <c r="E26" i="120"/>
  <c r="E26" i="37"/>
  <c r="E26" i="90"/>
  <c r="E26" i="24"/>
  <c r="E26" i="32"/>
  <c r="E26" i="79"/>
  <c r="E26" i="31"/>
  <c r="E26" i="64"/>
  <c r="E26" i="113"/>
  <c r="E26" i="72"/>
  <c r="E26" i="28"/>
  <c r="E26" i="183"/>
  <c r="E26" i="65"/>
  <c r="E26" i="119"/>
  <c r="E26" i="25"/>
  <c r="E26" i="156"/>
  <c r="E26" i="20"/>
  <c r="E26" i="42"/>
  <c r="E26" i="157"/>
  <c r="E26" i="159"/>
  <c r="E26" i="158"/>
  <c r="E26" i="16"/>
  <c r="E26" i="27"/>
  <c r="E26" i="111"/>
  <c r="E26" i="184"/>
  <c r="E26" i="71"/>
  <c r="E26" i="165"/>
  <c r="E26" i="55"/>
  <c r="E26" i="21"/>
  <c r="E26" i="14"/>
  <c r="E26" i="85"/>
  <c r="E26" i="185"/>
  <c r="E26" i="188"/>
  <c r="E26" i="186"/>
  <c r="E26" i="189"/>
  <c r="E26" i="190"/>
  <c r="E26" i="192"/>
  <c r="E26" i="193"/>
  <c r="E26" i="194"/>
  <c r="E26" i="195"/>
  <c r="E26" i="87"/>
  <c r="E26" i="86"/>
  <c r="E26" i="89"/>
  <c r="E26" i="142"/>
  <c r="E26" i="92"/>
  <c r="E26" i="1"/>
  <c r="E26" i="50"/>
  <c r="E26" i="95"/>
  <c r="G135" i="14"/>
  <c r="D65" i="16" l="1"/>
  <c r="D62" i="16"/>
  <c r="D54" i="16"/>
  <c r="D47" i="16"/>
  <c r="D43" i="16"/>
  <c r="D41" i="16"/>
  <c r="D40" i="16"/>
  <c r="D59" i="16"/>
  <c r="G106" i="16" l="1"/>
  <c r="G210" i="16"/>
  <c r="G206" i="16"/>
  <c r="D36" i="158"/>
  <c r="G138" i="158" l="1"/>
  <c r="G137" i="158"/>
  <c r="D36" i="157" l="1"/>
  <c r="G134" i="157"/>
  <c r="D70" i="156" l="1"/>
  <c r="G51" i="25" l="1"/>
  <c r="D41" i="119"/>
  <c r="D39" i="119"/>
  <c r="D62" i="119"/>
  <c r="D61" i="119"/>
  <c r="D70" i="72" l="1"/>
  <c r="D69" i="72"/>
  <c r="G65" i="65" l="1"/>
  <c r="G135" i="72"/>
  <c r="C243" i="72"/>
  <c r="C242" i="72"/>
  <c r="C241" i="72"/>
  <c r="C240" i="72"/>
  <c r="C237" i="72"/>
  <c r="C236" i="72"/>
  <c r="E233" i="72"/>
  <c r="D233" i="72"/>
  <c r="C232" i="72"/>
  <c r="C231" i="72"/>
  <c r="C230" i="72"/>
  <c r="C229" i="72"/>
  <c r="C228" i="72"/>
  <c r="C227" i="72"/>
  <c r="C226" i="72"/>
  <c r="C225" i="72"/>
  <c r="C224" i="72"/>
  <c r="C216" i="72"/>
  <c r="E210" i="72"/>
  <c r="D210" i="72"/>
  <c r="C210" i="72"/>
  <c r="E209" i="72"/>
  <c r="D209" i="72"/>
  <c r="C209" i="72"/>
  <c r="E208" i="72"/>
  <c r="D208" i="72"/>
  <c r="C208" i="72"/>
  <c r="E207" i="72"/>
  <c r="D207" i="72"/>
  <c r="C207" i="72"/>
  <c r="E206" i="72"/>
  <c r="D206" i="72"/>
  <c r="C206" i="72"/>
  <c r="E205" i="72"/>
  <c r="D205" i="72"/>
  <c r="C205" i="72"/>
  <c r="E201" i="72"/>
  <c r="D201" i="72"/>
  <c r="C201" i="72"/>
  <c r="E200" i="72"/>
  <c r="D200" i="72"/>
  <c r="C200" i="72"/>
  <c r="E199" i="72"/>
  <c r="D199" i="72"/>
  <c r="C199" i="72"/>
  <c r="E198" i="72"/>
  <c r="D198" i="72"/>
  <c r="C198" i="72"/>
  <c r="E197" i="72"/>
  <c r="D197" i="72"/>
  <c r="C197" i="72"/>
  <c r="E196" i="72"/>
  <c r="D196" i="72"/>
  <c r="C196" i="72"/>
  <c r="E195" i="72"/>
  <c r="D195" i="72"/>
  <c r="C195" i="72"/>
  <c r="E194" i="72"/>
  <c r="D194" i="72"/>
  <c r="C194" i="72"/>
  <c r="E193" i="72"/>
  <c r="D193" i="72"/>
  <c r="C193" i="72"/>
  <c r="E192" i="72"/>
  <c r="D192" i="72"/>
  <c r="C192" i="72"/>
  <c r="E191" i="72"/>
  <c r="D191" i="72"/>
  <c r="C191" i="72"/>
  <c r="E190" i="72"/>
  <c r="D190" i="72"/>
  <c r="C190" i="72"/>
  <c r="E189" i="72"/>
  <c r="D189" i="72"/>
  <c r="C189" i="72"/>
  <c r="E188" i="72"/>
  <c r="D188" i="72"/>
  <c r="C188" i="72"/>
  <c r="E187" i="72"/>
  <c r="D187" i="72"/>
  <c r="C187" i="72"/>
  <c r="E186" i="72"/>
  <c r="D186" i="72"/>
  <c r="C186" i="72"/>
  <c r="E185" i="72"/>
  <c r="D185" i="72"/>
  <c r="C185" i="72"/>
  <c r="E184" i="72"/>
  <c r="D184" i="72"/>
  <c r="C184" i="72"/>
  <c r="E183" i="72"/>
  <c r="D183" i="72"/>
  <c r="C183" i="72"/>
  <c r="E182" i="72"/>
  <c r="D182" i="72"/>
  <c r="C182" i="72"/>
  <c r="E181" i="72"/>
  <c r="D181" i="72"/>
  <c r="C181" i="72"/>
  <c r="E180" i="72"/>
  <c r="D180" i="72"/>
  <c r="C180" i="72"/>
  <c r="E179" i="72"/>
  <c r="D179" i="72"/>
  <c r="C179" i="72"/>
  <c r="E178" i="72"/>
  <c r="D178" i="72"/>
  <c r="C178" i="72"/>
  <c r="E177" i="72"/>
  <c r="D177" i="72"/>
  <c r="C177" i="72"/>
  <c r="E176" i="72"/>
  <c r="D176" i="72"/>
  <c r="C176" i="72"/>
  <c r="E175" i="72"/>
  <c r="D175" i="72"/>
  <c r="C175" i="72"/>
  <c r="E174" i="72"/>
  <c r="D174" i="72"/>
  <c r="C174" i="72"/>
  <c r="E173" i="72"/>
  <c r="D173" i="72"/>
  <c r="C173" i="72"/>
  <c r="E172" i="72"/>
  <c r="D172" i="72"/>
  <c r="C172" i="72"/>
  <c r="E171" i="72"/>
  <c r="D171" i="72"/>
  <c r="C171" i="72"/>
  <c r="E170" i="72"/>
  <c r="D170" i="72"/>
  <c r="C170" i="72"/>
  <c r="E169" i="72"/>
  <c r="D169" i="72"/>
  <c r="C169" i="72"/>
  <c r="E165" i="72"/>
  <c r="D165" i="72"/>
  <c r="C165" i="72"/>
  <c r="E164" i="72"/>
  <c r="D164" i="72"/>
  <c r="C164" i="72"/>
  <c r="E163" i="72"/>
  <c r="D163" i="72"/>
  <c r="C163" i="72"/>
  <c r="E162" i="72"/>
  <c r="D162" i="72"/>
  <c r="C162" i="72"/>
  <c r="E161" i="72"/>
  <c r="D161" i="72"/>
  <c r="C161" i="72"/>
  <c r="E160" i="72"/>
  <c r="D160" i="72"/>
  <c r="C160" i="72"/>
  <c r="E158" i="72"/>
  <c r="D158" i="72"/>
  <c r="C158" i="72"/>
  <c r="E157" i="72"/>
  <c r="D157" i="72"/>
  <c r="C157" i="72"/>
  <c r="E156" i="72"/>
  <c r="D156" i="72"/>
  <c r="C156" i="72"/>
  <c r="E155" i="72"/>
  <c r="D155" i="72"/>
  <c r="C155" i="72"/>
  <c r="E154" i="72"/>
  <c r="D154" i="72"/>
  <c r="C154" i="72"/>
  <c r="E153" i="72"/>
  <c r="D153" i="72"/>
  <c r="C153" i="72"/>
  <c r="E152" i="72"/>
  <c r="D152" i="72"/>
  <c r="C152" i="72"/>
  <c r="E151" i="72"/>
  <c r="D151" i="72"/>
  <c r="C151" i="72"/>
  <c r="E150" i="72"/>
  <c r="D150" i="72"/>
  <c r="C150" i="72"/>
  <c r="E148" i="72"/>
  <c r="D148" i="72"/>
  <c r="C148" i="72"/>
  <c r="E147" i="72"/>
  <c r="D147" i="72"/>
  <c r="C147" i="72"/>
  <c r="E146" i="72"/>
  <c r="D146" i="72"/>
  <c r="C146" i="72"/>
  <c r="E145" i="72"/>
  <c r="D145" i="72"/>
  <c r="C145" i="72"/>
  <c r="E143" i="72"/>
  <c r="D143" i="72"/>
  <c r="C143" i="72"/>
  <c r="E142" i="72"/>
  <c r="D142" i="72"/>
  <c r="C142" i="72"/>
  <c r="E141" i="72"/>
  <c r="D141" i="72"/>
  <c r="C141" i="72"/>
  <c r="E140" i="72"/>
  <c r="D140" i="72"/>
  <c r="C140" i="72"/>
  <c r="E138" i="72"/>
  <c r="D138" i="72"/>
  <c r="C138" i="72"/>
  <c r="E137" i="72"/>
  <c r="D137" i="72"/>
  <c r="C137" i="72"/>
  <c r="E136" i="72"/>
  <c r="D136" i="72"/>
  <c r="C136" i="72"/>
  <c r="E135" i="72"/>
  <c r="D135" i="72"/>
  <c r="C135" i="72"/>
  <c r="E134" i="72"/>
  <c r="D134" i="72"/>
  <c r="C134" i="72"/>
  <c r="E132" i="72"/>
  <c r="D132" i="72"/>
  <c r="C132" i="72"/>
  <c r="E131" i="72"/>
  <c r="D131" i="72"/>
  <c r="C131" i="72"/>
  <c r="E130" i="72"/>
  <c r="D130" i="72"/>
  <c r="C130" i="72"/>
  <c r="E129" i="72"/>
  <c r="D129" i="72"/>
  <c r="C129" i="72"/>
  <c r="E128" i="72"/>
  <c r="D128" i="72"/>
  <c r="C128" i="72"/>
  <c r="E123" i="72"/>
  <c r="D123" i="72"/>
  <c r="C123" i="72"/>
  <c r="E122" i="72"/>
  <c r="D122" i="72"/>
  <c r="C122" i="72"/>
  <c r="E121" i="72"/>
  <c r="D121" i="72"/>
  <c r="C121" i="72"/>
  <c r="E120" i="72"/>
  <c r="D120" i="72"/>
  <c r="C120" i="72"/>
  <c r="E119" i="72"/>
  <c r="D119" i="72"/>
  <c r="C119" i="72"/>
  <c r="E115" i="72"/>
  <c r="D115" i="72"/>
  <c r="C115" i="72"/>
  <c r="E114" i="72"/>
  <c r="D114" i="72"/>
  <c r="C114" i="72"/>
  <c r="E113" i="72"/>
  <c r="D113" i="72"/>
  <c r="C113" i="72"/>
  <c r="E112" i="72"/>
  <c r="D112" i="72"/>
  <c r="C112" i="72"/>
  <c r="E111" i="72"/>
  <c r="D111" i="72"/>
  <c r="C111" i="72"/>
  <c r="E110" i="72"/>
  <c r="D110" i="72"/>
  <c r="C110" i="72"/>
  <c r="E106" i="72"/>
  <c r="D106" i="72"/>
  <c r="C106" i="72"/>
  <c r="E105" i="72"/>
  <c r="D105" i="72"/>
  <c r="C105" i="72"/>
  <c r="E104" i="72"/>
  <c r="D104" i="72"/>
  <c r="C104" i="72"/>
  <c r="E103" i="72"/>
  <c r="D103" i="72"/>
  <c r="C103" i="72"/>
  <c r="E102" i="72"/>
  <c r="D102" i="72"/>
  <c r="C102" i="72"/>
  <c r="E101" i="72"/>
  <c r="D101" i="72"/>
  <c r="C101" i="72"/>
  <c r="E97" i="72"/>
  <c r="D97" i="72"/>
  <c r="C97" i="72"/>
  <c r="E96" i="72"/>
  <c r="D96" i="72"/>
  <c r="C96" i="72"/>
  <c r="E95" i="72"/>
  <c r="D95" i="72"/>
  <c r="C95" i="72"/>
  <c r="E94" i="72"/>
  <c r="D94" i="72"/>
  <c r="C94" i="72"/>
  <c r="E93" i="72"/>
  <c r="D93" i="72"/>
  <c r="C93" i="72"/>
  <c r="E92" i="72"/>
  <c r="D92" i="72"/>
  <c r="C92" i="72"/>
  <c r="E91" i="72"/>
  <c r="D91" i="72"/>
  <c r="C91" i="72"/>
  <c r="E90" i="72"/>
  <c r="D90" i="72"/>
  <c r="C90" i="72"/>
  <c r="E89" i="72"/>
  <c r="D89" i="72"/>
  <c r="C89" i="72"/>
  <c r="E88" i="72"/>
  <c r="D88" i="72"/>
  <c r="C88" i="72"/>
  <c r="E87" i="72"/>
  <c r="D87" i="72"/>
  <c r="C87" i="72"/>
  <c r="E83" i="72"/>
  <c r="D83" i="72"/>
  <c r="C83" i="72"/>
  <c r="E82" i="72"/>
  <c r="D82" i="72"/>
  <c r="C82" i="72"/>
  <c r="E81" i="72"/>
  <c r="D81" i="72"/>
  <c r="C81" i="72"/>
  <c r="E80" i="72"/>
  <c r="D80" i="72"/>
  <c r="C80" i="72"/>
  <c r="E79" i="72"/>
  <c r="D79" i="72"/>
  <c r="C79" i="72"/>
  <c r="E78" i="72"/>
  <c r="D78" i="72"/>
  <c r="C78" i="72"/>
  <c r="E77" i="72"/>
  <c r="D77" i="72"/>
  <c r="C77" i="72"/>
  <c r="E76" i="72"/>
  <c r="D76" i="72"/>
  <c r="C76" i="72"/>
  <c r="E75" i="72"/>
  <c r="D75" i="72"/>
  <c r="C75" i="72"/>
  <c r="E74" i="72"/>
  <c r="D74" i="72"/>
  <c r="C74" i="72"/>
  <c r="E73" i="72"/>
  <c r="D73" i="72"/>
  <c r="C73" i="72"/>
  <c r="E72" i="72"/>
  <c r="D72" i="72"/>
  <c r="C72" i="72"/>
  <c r="E71" i="72"/>
  <c r="D71" i="72"/>
  <c r="C71" i="72"/>
  <c r="E70" i="72"/>
  <c r="C70" i="72"/>
  <c r="E69" i="72"/>
  <c r="C69" i="72"/>
  <c r="E65" i="72"/>
  <c r="D65" i="72"/>
  <c r="C65" i="72"/>
  <c r="E64" i="72"/>
  <c r="D64" i="72"/>
  <c r="C64" i="72"/>
  <c r="E63" i="72"/>
  <c r="D63" i="72"/>
  <c r="C63" i="72"/>
  <c r="E62" i="72"/>
  <c r="D62" i="72"/>
  <c r="C62" i="72"/>
  <c r="E61" i="72"/>
  <c r="D61" i="72"/>
  <c r="C61" i="72"/>
  <c r="E60" i="72"/>
  <c r="D60" i="72"/>
  <c r="C60" i="72"/>
  <c r="E59" i="72"/>
  <c r="D59" i="72"/>
  <c r="C59" i="72"/>
  <c r="E58" i="72"/>
  <c r="D58" i="72"/>
  <c r="C58" i="72"/>
  <c r="E57" i="72"/>
  <c r="D57" i="72"/>
  <c r="C57" i="72"/>
  <c r="E56" i="72"/>
  <c r="D56" i="72"/>
  <c r="C56" i="72"/>
  <c r="E55" i="72"/>
  <c r="D55" i="72"/>
  <c r="C55" i="72"/>
  <c r="E54" i="72"/>
  <c r="D54" i="72"/>
  <c r="C54" i="72"/>
  <c r="E53" i="72"/>
  <c r="D53" i="72"/>
  <c r="C53" i="72"/>
  <c r="E52" i="72"/>
  <c r="D52" i="72"/>
  <c r="C52" i="72"/>
  <c r="E51" i="72"/>
  <c r="D51" i="72"/>
  <c r="C51" i="72"/>
  <c r="E50" i="72"/>
  <c r="D50" i="72"/>
  <c r="C50" i="72"/>
  <c r="E49" i="72"/>
  <c r="D49" i="72"/>
  <c r="C49" i="72"/>
  <c r="E48" i="72"/>
  <c r="D48" i="72"/>
  <c r="C48" i="72"/>
  <c r="E47" i="72"/>
  <c r="D47" i="72"/>
  <c r="C47" i="72"/>
  <c r="E46" i="72"/>
  <c r="D46" i="72"/>
  <c r="C46" i="72"/>
  <c r="E45" i="72"/>
  <c r="D45" i="72"/>
  <c r="C45" i="72"/>
  <c r="E44" i="72"/>
  <c r="D44" i="72"/>
  <c r="C44" i="72"/>
  <c r="E43" i="72"/>
  <c r="D43" i="72"/>
  <c r="C43" i="72"/>
  <c r="E42" i="72"/>
  <c r="D42" i="72"/>
  <c r="C42" i="72"/>
  <c r="E41" i="72"/>
  <c r="D41" i="72"/>
  <c r="C41" i="72"/>
  <c r="E40" i="72"/>
  <c r="D40" i="72"/>
  <c r="C40" i="72"/>
  <c r="E39" i="72"/>
  <c r="D39" i="72"/>
  <c r="C39" i="72"/>
  <c r="E38" i="72"/>
  <c r="D38" i="72"/>
  <c r="C38" i="72"/>
  <c r="E37" i="72"/>
  <c r="D37" i="72"/>
  <c r="C37" i="72"/>
  <c r="E36" i="72"/>
  <c r="D36" i="72"/>
  <c r="C36" i="72"/>
  <c r="E35" i="72"/>
  <c r="D35" i="72"/>
  <c r="C35" i="72"/>
  <c r="E34" i="72"/>
  <c r="D34" i="72"/>
  <c r="C34" i="72"/>
  <c r="E33" i="72"/>
  <c r="D33" i="72"/>
  <c r="C33" i="72"/>
  <c r="E32" i="72"/>
  <c r="D32" i="72"/>
  <c r="C32" i="72"/>
  <c r="E31" i="72"/>
  <c r="D31" i="72"/>
  <c r="C31" i="72"/>
  <c r="E30" i="72"/>
  <c r="D30" i="72"/>
  <c r="C30" i="72"/>
  <c r="D25" i="72"/>
  <c r="C25" i="72"/>
  <c r="D24" i="72"/>
  <c r="C24" i="72"/>
  <c r="D23" i="72"/>
  <c r="C23" i="72"/>
  <c r="D22" i="72"/>
  <c r="C22" i="72"/>
  <c r="D21" i="72"/>
  <c r="C21" i="72"/>
  <c r="D20" i="72"/>
  <c r="C20" i="72"/>
  <c r="D19" i="72"/>
  <c r="C19" i="72"/>
  <c r="D18" i="72"/>
  <c r="C18" i="72"/>
  <c r="D17" i="72"/>
  <c r="C17" i="72"/>
  <c r="D16" i="72"/>
  <c r="C16" i="72"/>
  <c r="C26" i="72" s="1"/>
  <c r="D15" i="72"/>
  <c r="C15" i="72"/>
  <c r="D14" i="72"/>
  <c r="C14" i="72"/>
  <c r="D13" i="72"/>
  <c r="C13" i="72"/>
  <c r="D12" i="72"/>
  <c r="C12" i="72"/>
  <c r="D84" i="72" l="1"/>
  <c r="C98" i="72"/>
  <c r="C124" i="72"/>
  <c r="C166" i="72"/>
  <c r="D166" i="72"/>
  <c r="D202" i="72"/>
  <c r="D26" i="72"/>
  <c r="D98" i="72"/>
  <c r="C107" i="72"/>
  <c r="E107" i="72"/>
  <c r="E166" i="72"/>
  <c r="E202" i="72"/>
  <c r="C233" i="72"/>
  <c r="E84" i="72"/>
  <c r="E98" i="72"/>
  <c r="D107" i="72"/>
  <c r="D116" i="72"/>
  <c r="D124" i="72"/>
  <c r="C202" i="72"/>
  <c r="C211" i="72"/>
  <c r="E211" i="72"/>
  <c r="C84" i="72"/>
  <c r="C116" i="72"/>
  <c r="E116" i="72"/>
  <c r="E124" i="72"/>
  <c r="D211" i="72"/>
  <c r="E66" i="72"/>
  <c r="C66" i="72"/>
  <c r="D66" i="72"/>
  <c r="D213" i="72" l="1"/>
  <c r="D220" i="72" s="1"/>
  <c r="E213" i="72"/>
  <c r="E220" i="72" s="1"/>
  <c r="C213" i="72"/>
  <c r="C217" i="72" s="1"/>
  <c r="C220" i="72" l="1"/>
  <c r="G210" i="37"/>
  <c r="D65" i="90" l="1"/>
  <c r="G78" i="90" l="1"/>
  <c r="D70" i="37"/>
  <c r="D69" i="37"/>
  <c r="D71" i="37" l="1"/>
  <c r="G43" i="152" l="1"/>
  <c r="G33" i="152"/>
  <c r="G65" i="103" l="1"/>
  <c r="G90" i="167" l="1"/>
  <c r="G79" i="84" l="1"/>
  <c r="G91" i="104"/>
  <c r="G155" i="104"/>
  <c r="D201" i="46" l="1"/>
  <c r="G65" i="63" l="1"/>
  <c r="D201" i="66" l="1"/>
  <c r="D201" i="19" l="1"/>
  <c r="G155" i="106" l="1"/>
  <c r="G78" i="106"/>
  <c r="L213" i="150" l="1"/>
  <c r="G65" i="20" l="1"/>
  <c r="G165" i="20"/>
  <c r="G25" i="20"/>
  <c r="G26" i="20" s="1"/>
  <c r="G200" i="158" l="1"/>
  <c r="G25" i="159"/>
  <c r="G26" i="159" s="1"/>
  <c r="G51" i="159"/>
  <c r="G104" i="20"/>
  <c r="G157" i="20"/>
  <c r="G153" i="20"/>
  <c r="G151" i="20"/>
  <c r="G152" i="20"/>
  <c r="G158" i="155"/>
  <c r="G152" i="155"/>
  <c r="G25" i="135"/>
  <c r="G26" i="135" s="1"/>
  <c r="G25" i="63"/>
  <c r="G26" i="63" s="1"/>
  <c r="G91" i="190" l="1"/>
  <c r="G51" i="50" l="1"/>
  <c r="G13" i="89" l="1"/>
  <c r="G26" i="89" s="1"/>
  <c r="G57" i="195" l="1"/>
  <c r="G138" i="195"/>
  <c r="G91" i="90"/>
  <c r="G138" i="194" l="1"/>
  <c r="G57" i="194"/>
  <c r="G91" i="191"/>
  <c r="H35" i="189"/>
  <c r="E35" i="189"/>
  <c r="H36" i="189"/>
  <c r="G123" i="189"/>
  <c r="G91" i="188" l="1"/>
  <c r="E129" i="85" l="1"/>
  <c r="G210" i="85" l="1"/>
  <c r="G135" i="85"/>
  <c r="G154" i="85"/>
  <c r="G165" i="85"/>
  <c r="G78" i="85"/>
  <c r="D70" i="85"/>
  <c r="H70" i="85"/>
  <c r="D69" i="85"/>
  <c r="D188" i="21" l="1"/>
  <c r="D154" i="21"/>
  <c r="D96" i="21"/>
  <c r="D90" i="21"/>
  <c r="D79" i="21"/>
  <c r="D73" i="21"/>
  <c r="D70" i="21"/>
  <c r="D65" i="21"/>
  <c r="D62" i="21"/>
  <c r="D59" i="21"/>
  <c r="D54" i="21"/>
  <c r="D47" i="21"/>
  <c r="D43" i="21"/>
  <c r="D41" i="21"/>
  <c r="D40" i="21"/>
  <c r="D36" i="21"/>
  <c r="H35" i="21"/>
  <c r="G210" i="21"/>
  <c r="G206" i="21"/>
  <c r="G156" i="55"/>
  <c r="G91" i="55"/>
  <c r="D36" i="159"/>
  <c r="D36" i="42"/>
  <c r="D36" i="20"/>
  <c r="D36" i="156"/>
  <c r="D71" i="156"/>
  <c r="D69" i="156"/>
  <c r="D192" i="71"/>
  <c r="D171" i="71"/>
  <c r="D132" i="71"/>
  <c r="D96" i="71"/>
  <c r="D90" i="71"/>
  <c r="D79" i="71"/>
  <c r="D73" i="71"/>
  <c r="D70" i="71"/>
  <c r="D65" i="71"/>
  <c r="D62" i="71"/>
  <c r="D61" i="71"/>
  <c r="D59" i="71"/>
  <c r="D52" i="71"/>
  <c r="D47" i="71"/>
  <c r="D43" i="71"/>
  <c r="D41" i="71"/>
  <c r="D40" i="71"/>
  <c r="D39" i="71"/>
  <c r="D36" i="71"/>
  <c r="D35" i="71"/>
  <c r="G65" i="184"/>
  <c r="G65" i="111" l="1"/>
  <c r="D188" i="16" l="1"/>
  <c r="D186" i="16"/>
  <c r="D154" i="16"/>
  <c r="D96" i="16"/>
  <c r="D90" i="16"/>
  <c r="D79" i="16"/>
  <c r="D73" i="16"/>
  <c r="D70" i="16"/>
  <c r="D36" i="16"/>
  <c r="D35" i="16"/>
  <c r="G25" i="25"/>
  <c r="G26" i="25" s="1"/>
  <c r="G65" i="25"/>
  <c r="D171" i="119"/>
  <c r="D132" i="119"/>
  <c r="D96" i="119"/>
  <c r="D90" i="119"/>
  <c r="D79" i="119"/>
  <c r="D73" i="119"/>
  <c r="D70" i="119"/>
  <c r="D65" i="119"/>
  <c r="D59" i="119"/>
  <c r="D52" i="119"/>
  <c r="D47" i="119"/>
  <c r="D43" i="119"/>
  <c r="D40" i="119"/>
  <c r="D36" i="119"/>
  <c r="D35" i="119"/>
  <c r="G206" i="119"/>
  <c r="D70" i="65"/>
  <c r="D69" i="65"/>
  <c r="G210" i="65"/>
  <c r="G210" i="72" l="1"/>
  <c r="G91" i="113" l="1"/>
  <c r="G90" i="113"/>
  <c r="G33" i="113"/>
  <c r="G41" i="113"/>
  <c r="G210" i="31"/>
  <c r="G196" i="31"/>
  <c r="G106" i="31"/>
  <c r="G102" i="31"/>
  <c r="G206" i="31" l="1"/>
  <c r="D70" i="79"/>
  <c r="D69" i="79"/>
  <c r="G65" i="32"/>
  <c r="G210" i="32"/>
  <c r="G78" i="32"/>
  <c r="D69" i="32" l="1"/>
  <c r="D70" i="32"/>
  <c r="D188" i="90"/>
  <c r="D186" i="90"/>
  <c r="D154" i="90"/>
  <c r="D90" i="90"/>
  <c r="D96" i="90"/>
  <c r="D70" i="90"/>
  <c r="D79" i="90"/>
  <c r="D62" i="90"/>
  <c r="D59" i="90"/>
  <c r="D54" i="90"/>
  <c r="D47" i="90"/>
  <c r="D43" i="90"/>
  <c r="D41" i="90"/>
  <c r="D40" i="90"/>
  <c r="D36" i="90"/>
  <c r="D35" i="90"/>
  <c r="G65" i="90"/>
  <c r="G210" i="90"/>
  <c r="G206" i="90"/>
  <c r="G90" i="90"/>
  <c r="G43" i="90"/>
  <c r="H70" i="37"/>
  <c r="G65" i="152"/>
  <c r="G91" i="152"/>
  <c r="G40" i="152"/>
  <c r="G102" i="152"/>
  <c r="G88" i="152"/>
  <c r="D83" i="152"/>
  <c r="G63" i="152"/>
  <c r="G65" i="133" l="1"/>
  <c r="G44" i="133"/>
  <c r="G92" i="84" l="1"/>
  <c r="D70" i="102"/>
  <c r="D69" i="102"/>
  <c r="G210" i="102"/>
  <c r="G155" i="102"/>
  <c r="D70" i="46"/>
  <c r="D69" i="46"/>
  <c r="G210" i="46"/>
  <c r="D73" i="83"/>
  <c r="D79" i="83"/>
  <c r="D71" i="83"/>
  <c r="D70" i="83"/>
  <c r="D59" i="83"/>
  <c r="D41" i="83"/>
  <c r="D36" i="83"/>
  <c r="D35" i="83"/>
  <c r="G210" i="174"/>
  <c r="D69" i="66"/>
  <c r="D70" i="66"/>
  <c r="D70" i="15"/>
  <c r="D69" i="15"/>
  <c r="D70" i="19"/>
  <c r="D69" i="19"/>
  <c r="C35" i="177" l="1"/>
  <c r="C36" i="177"/>
  <c r="G106" i="58"/>
  <c r="D171" i="58"/>
  <c r="D132" i="58"/>
  <c r="D96" i="58"/>
  <c r="D90" i="58"/>
  <c r="D79" i="58"/>
  <c r="D73" i="58"/>
  <c r="D70" i="58"/>
  <c r="D65" i="58"/>
  <c r="D62" i="58"/>
  <c r="D61" i="58"/>
  <c r="D59" i="58"/>
  <c r="D52" i="58"/>
  <c r="D47" i="58"/>
  <c r="D43" i="58"/>
  <c r="D41" i="58"/>
  <c r="H41" i="58"/>
  <c r="D40" i="58"/>
  <c r="D39" i="58"/>
  <c r="D35" i="58"/>
  <c r="D36" i="58"/>
  <c r="G156" i="66" l="1"/>
  <c r="G210" i="66"/>
  <c r="G33" i="177" l="1"/>
  <c r="G165" i="177"/>
  <c r="G90" i="177"/>
  <c r="G91" i="33"/>
  <c r="G90" i="33"/>
  <c r="G12" i="180"/>
  <c r="G26" i="180" s="1"/>
  <c r="D201" i="14" l="1"/>
  <c r="D201" i="85" l="1"/>
  <c r="G202" i="85"/>
  <c r="I249" i="184" l="1"/>
  <c r="I248" i="184"/>
  <c r="I247" i="184"/>
  <c r="I246" i="184"/>
  <c r="D18" i="184" l="1"/>
  <c r="C243" i="184"/>
  <c r="C242" i="184"/>
  <c r="C241" i="184"/>
  <c r="C240" i="184"/>
  <c r="C237" i="184"/>
  <c r="C236" i="184"/>
  <c r="E233" i="184"/>
  <c r="D233" i="184"/>
  <c r="C232" i="184"/>
  <c r="C231" i="184"/>
  <c r="C230" i="184"/>
  <c r="C229" i="184"/>
  <c r="C228" i="184"/>
  <c r="C227" i="184"/>
  <c r="C226" i="184"/>
  <c r="C225" i="184"/>
  <c r="C224" i="184"/>
  <c r="C216" i="184"/>
  <c r="E210" i="184"/>
  <c r="D210" i="184"/>
  <c r="C210" i="184"/>
  <c r="E209" i="184"/>
  <c r="D209" i="184"/>
  <c r="C209" i="184"/>
  <c r="E208" i="184"/>
  <c r="D208" i="184"/>
  <c r="C208" i="184"/>
  <c r="E207" i="184"/>
  <c r="D207" i="184"/>
  <c r="C207" i="184"/>
  <c r="E206" i="184"/>
  <c r="D206" i="184"/>
  <c r="C206" i="184"/>
  <c r="E205" i="184"/>
  <c r="D205" i="184"/>
  <c r="C205" i="184"/>
  <c r="E201" i="184"/>
  <c r="D201" i="184"/>
  <c r="C201" i="184"/>
  <c r="E200" i="184"/>
  <c r="D200" i="184"/>
  <c r="C200" i="184"/>
  <c r="E199" i="184"/>
  <c r="D199" i="184"/>
  <c r="C199" i="184"/>
  <c r="E198" i="184"/>
  <c r="D198" i="184"/>
  <c r="C198" i="184"/>
  <c r="E197" i="184"/>
  <c r="D197" i="184"/>
  <c r="C197" i="184"/>
  <c r="E196" i="184"/>
  <c r="D196" i="184"/>
  <c r="C196" i="184"/>
  <c r="E195" i="184"/>
  <c r="D195" i="184"/>
  <c r="C195" i="184"/>
  <c r="E194" i="184"/>
  <c r="D194" i="184"/>
  <c r="C194" i="184"/>
  <c r="E193" i="184"/>
  <c r="D193" i="184"/>
  <c r="C193" i="184"/>
  <c r="E192" i="184"/>
  <c r="D192" i="184"/>
  <c r="C192" i="184"/>
  <c r="E191" i="184"/>
  <c r="D191" i="184"/>
  <c r="C191" i="184"/>
  <c r="E190" i="184"/>
  <c r="D190" i="184"/>
  <c r="C190" i="184"/>
  <c r="E189" i="184"/>
  <c r="D189" i="184"/>
  <c r="C189" i="184"/>
  <c r="E188" i="184"/>
  <c r="D188" i="184"/>
  <c r="C188" i="184"/>
  <c r="E187" i="184"/>
  <c r="D187" i="184"/>
  <c r="C187" i="184"/>
  <c r="E186" i="184"/>
  <c r="D186" i="184"/>
  <c r="C186" i="184"/>
  <c r="E185" i="184"/>
  <c r="D185" i="184"/>
  <c r="C185" i="184"/>
  <c r="E184" i="184"/>
  <c r="D184" i="184"/>
  <c r="C184" i="184"/>
  <c r="E183" i="184"/>
  <c r="D183" i="184"/>
  <c r="C183" i="184"/>
  <c r="E182" i="184"/>
  <c r="D182" i="184"/>
  <c r="C182" i="184"/>
  <c r="E181" i="184"/>
  <c r="D181" i="184"/>
  <c r="C181" i="184"/>
  <c r="E180" i="184"/>
  <c r="D180" i="184"/>
  <c r="C180" i="184"/>
  <c r="E179" i="184"/>
  <c r="D179" i="184"/>
  <c r="C179" i="184"/>
  <c r="E178" i="184"/>
  <c r="D178" i="184"/>
  <c r="C178" i="184"/>
  <c r="E177" i="184"/>
  <c r="D177" i="184"/>
  <c r="C177" i="184"/>
  <c r="E176" i="184"/>
  <c r="D176" i="184"/>
  <c r="C176" i="184"/>
  <c r="E175" i="184"/>
  <c r="D175" i="184"/>
  <c r="C175" i="184"/>
  <c r="E174" i="184"/>
  <c r="D174" i="184"/>
  <c r="C174" i="184"/>
  <c r="E173" i="184"/>
  <c r="D173" i="184"/>
  <c r="C173" i="184"/>
  <c r="E172" i="184"/>
  <c r="D172" i="184"/>
  <c r="C172" i="184"/>
  <c r="E171" i="184"/>
  <c r="D171" i="184"/>
  <c r="C171" i="184"/>
  <c r="E170" i="184"/>
  <c r="D170" i="184"/>
  <c r="C170" i="184"/>
  <c r="E169" i="184"/>
  <c r="D169" i="184"/>
  <c r="C169" i="184"/>
  <c r="E165" i="184"/>
  <c r="D165" i="184"/>
  <c r="C165" i="184"/>
  <c r="E164" i="184"/>
  <c r="D164" i="184"/>
  <c r="C164" i="184"/>
  <c r="E163" i="184"/>
  <c r="D163" i="184"/>
  <c r="C163" i="184"/>
  <c r="E162" i="184"/>
  <c r="D162" i="184"/>
  <c r="C162" i="184"/>
  <c r="E161" i="184"/>
  <c r="D161" i="184"/>
  <c r="C161" i="184"/>
  <c r="E160" i="184"/>
  <c r="D160" i="184"/>
  <c r="C160" i="184"/>
  <c r="E158" i="184"/>
  <c r="D158" i="184"/>
  <c r="C158" i="184"/>
  <c r="E157" i="184"/>
  <c r="D157" i="184"/>
  <c r="C157" i="184"/>
  <c r="E156" i="184"/>
  <c r="D156" i="184"/>
  <c r="C156" i="184"/>
  <c r="E155" i="184"/>
  <c r="D155" i="184"/>
  <c r="C155" i="184"/>
  <c r="E154" i="184"/>
  <c r="D154" i="184"/>
  <c r="C154" i="184"/>
  <c r="E153" i="184"/>
  <c r="D153" i="184"/>
  <c r="C153" i="184"/>
  <c r="E152" i="184"/>
  <c r="D152" i="184"/>
  <c r="C152" i="184"/>
  <c r="E151" i="184"/>
  <c r="D151" i="184"/>
  <c r="C151" i="184"/>
  <c r="E150" i="184"/>
  <c r="D150" i="184"/>
  <c r="C150" i="184"/>
  <c r="E148" i="184"/>
  <c r="D148" i="184"/>
  <c r="C148" i="184"/>
  <c r="E147" i="184"/>
  <c r="D147" i="184"/>
  <c r="C147" i="184"/>
  <c r="E146" i="184"/>
  <c r="D146" i="184"/>
  <c r="C146" i="184"/>
  <c r="E145" i="184"/>
  <c r="D145" i="184"/>
  <c r="C145" i="184"/>
  <c r="E143" i="184"/>
  <c r="D143" i="184"/>
  <c r="C143" i="184"/>
  <c r="E142" i="184"/>
  <c r="D142" i="184"/>
  <c r="C142" i="184"/>
  <c r="E141" i="184"/>
  <c r="D141" i="184"/>
  <c r="C141" i="184"/>
  <c r="E140" i="184"/>
  <c r="D140" i="184"/>
  <c r="C140" i="184"/>
  <c r="E138" i="184"/>
  <c r="D138" i="184"/>
  <c r="C138" i="184"/>
  <c r="E137" i="184"/>
  <c r="D137" i="184"/>
  <c r="C137" i="184"/>
  <c r="E136" i="184"/>
  <c r="D136" i="184"/>
  <c r="C136" i="184"/>
  <c r="E135" i="184"/>
  <c r="D135" i="184"/>
  <c r="C135" i="184"/>
  <c r="E134" i="184"/>
  <c r="D134" i="184"/>
  <c r="C134" i="184"/>
  <c r="E132" i="184"/>
  <c r="D132" i="184"/>
  <c r="C132" i="184"/>
  <c r="E131" i="184"/>
  <c r="D131" i="184"/>
  <c r="C131" i="184"/>
  <c r="E130" i="184"/>
  <c r="D130" i="184"/>
  <c r="C130" i="184"/>
  <c r="E129" i="184"/>
  <c r="D129" i="184"/>
  <c r="C129" i="184"/>
  <c r="E128" i="184"/>
  <c r="D128" i="184"/>
  <c r="C128" i="184"/>
  <c r="E123" i="184"/>
  <c r="D123" i="184"/>
  <c r="C123" i="184"/>
  <c r="E122" i="184"/>
  <c r="D122" i="184"/>
  <c r="C122" i="184"/>
  <c r="E121" i="184"/>
  <c r="D121" i="184"/>
  <c r="C121" i="184"/>
  <c r="E120" i="184"/>
  <c r="D120" i="184"/>
  <c r="C120" i="184"/>
  <c r="E119" i="184"/>
  <c r="D119" i="184"/>
  <c r="C119" i="184"/>
  <c r="E115" i="184"/>
  <c r="D115" i="184"/>
  <c r="C115" i="184"/>
  <c r="E114" i="184"/>
  <c r="D114" i="184"/>
  <c r="C114" i="184"/>
  <c r="E113" i="184"/>
  <c r="D113" i="184"/>
  <c r="C113" i="184"/>
  <c r="E112" i="184"/>
  <c r="D112" i="184"/>
  <c r="C112" i="184"/>
  <c r="E111" i="184"/>
  <c r="D111" i="184"/>
  <c r="C111" i="184"/>
  <c r="E110" i="184"/>
  <c r="D110" i="184"/>
  <c r="C110" i="184"/>
  <c r="E106" i="184"/>
  <c r="D106" i="184"/>
  <c r="C106" i="184"/>
  <c r="E105" i="184"/>
  <c r="D105" i="184"/>
  <c r="C105" i="184"/>
  <c r="E104" i="184"/>
  <c r="D104" i="184"/>
  <c r="C104" i="184"/>
  <c r="E103" i="184"/>
  <c r="D103" i="184"/>
  <c r="C103" i="184"/>
  <c r="E102" i="184"/>
  <c r="D102" i="184"/>
  <c r="C102" i="184"/>
  <c r="E101" i="184"/>
  <c r="D101" i="184"/>
  <c r="C101" i="184"/>
  <c r="E97" i="184"/>
  <c r="D97" i="184"/>
  <c r="C97" i="184"/>
  <c r="E96" i="184"/>
  <c r="D96" i="184"/>
  <c r="C96" i="184"/>
  <c r="E95" i="184"/>
  <c r="D95" i="184"/>
  <c r="C95" i="184"/>
  <c r="E94" i="184"/>
  <c r="D94" i="184"/>
  <c r="C94" i="184"/>
  <c r="E93" i="184"/>
  <c r="D93" i="184"/>
  <c r="C93" i="184"/>
  <c r="E92" i="184"/>
  <c r="D92" i="184"/>
  <c r="C92" i="184"/>
  <c r="E91" i="184"/>
  <c r="D91" i="184"/>
  <c r="C91" i="184"/>
  <c r="E90" i="184"/>
  <c r="D90" i="184"/>
  <c r="C90" i="184"/>
  <c r="E89" i="184"/>
  <c r="D89" i="184"/>
  <c r="C89" i="184"/>
  <c r="E88" i="184"/>
  <c r="D88" i="184"/>
  <c r="C88" i="184"/>
  <c r="E87" i="184"/>
  <c r="D87" i="184"/>
  <c r="C87" i="184"/>
  <c r="E83" i="184"/>
  <c r="D83" i="184"/>
  <c r="C83" i="184"/>
  <c r="E82" i="184"/>
  <c r="D82" i="184"/>
  <c r="C82" i="184"/>
  <c r="E81" i="184"/>
  <c r="D81" i="184"/>
  <c r="C81" i="184"/>
  <c r="E80" i="184"/>
  <c r="D80" i="184"/>
  <c r="C80" i="184"/>
  <c r="E79" i="184"/>
  <c r="D79" i="184"/>
  <c r="C79" i="184"/>
  <c r="E78" i="184"/>
  <c r="D78" i="184"/>
  <c r="C78" i="184"/>
  <c r="E77" i="184"/>
  <c r="D77" i="184"/>
  <c r="C77" i="184"/>
  <c r="E76" i="184"/>
  <c r="D76" i="184"/>
  <c r="C76" i="184"/>
  <c r="E75" i="184"/>
  <c r="D75" i="184"/>
  <c r="C75" i="184"/>
  <c r="E74" i="184"/>
  <c r="D74" i="184"/>
  <c r="C74" i="184"/>
  <c r="E73" i="184"/>
  <c r="D73" i="184"/>
  <c r="C73" i="184"/>
  <c r="E72" i="184"/>
  <c r="D72" i="184"/>
  <c r="C72" i="184"/>
  <c r="E71" i="184"/>
  <c r="D71" i="184"/>
  <c r="C71" i="184"/>
  <c r="E70" i="184"/>
  <c r="D70" i="184"/>
  <c r="C70" i="184"/>
  <c r="E69" i="184"/>
  <c r="D69" i="184"/>
  <c r="C69" i="184"/>
  <c r="E65" i="184"/>
  <c r="D65" i="184"/>
  <c r="C65" i="184"/>
  <c r="E64" i="184"/>
  <c r="D64" i="184"/>
  <c r="C64" i="184"/>
  <c r="E63" i="184"/>
  <c r="D63" i="184"/>
  <c r="C63" i="184"/>
  <c r="E62" i="184"/>
  <c r="D62" i="184"/>
  <c r="C62" i="184"/>
  <c r="E61" i="184"/>
  <c r="D61" i="184"/>
  <c r="C61" i="184"/>
  <c r="E60" i="184"/>
  <c r="D60" i="184"/>
  <c r="C60" i="184"/>
  <c r="E59" i="184"/>
  <c r="D59" i="184"/>
  <c r="C59" i="184"/>
  <c r="E58" i="184"/>
  <c r="D58" i="184"/>
  <c r="C58" i="184"/>
  <c r="E57" i="184"/>
  <c r="D57" i="184"/>
  <c r="C57" i="184"/>
  <c r="E56" i="184"/>
  <c r="D56" i="184"/>
  <c r="C56" i="184"/>
  <c r="E55" i="184"/>
  <c r="D55" i="184"/>
  <c r="C55" i="184"/>
  <c r="E54" i="184"/>
  <c r="D54" i="184"/>
  <c r="C54" i="184"/>
  <c r="E53" i="184"/>
  <c r="D53" i="184"/>
  <c r="C53" i="184"/>
  <c r="E52" i="184"/>
  <c r="D52" i="184"/>
  <c r="C52" i="184"/>
  <c r="E51" i="184"/>
  <c r="D51" i="184"/>
  <c r="C51" i="184"/>
  <c r="E50" i="184"/>
  <c r="D50" i="184"/>
  <c r="C50" i="184"/>
  <c r="E49" i="184"/>
  <c r="D49" i="184"/>
  <c r="C49" i="184"/>
  <c r="E48" i="184"/>
  <c r="D48" i="184"/>
  <c r="C48" i="184"/>
  <c r="E47" i="184"/>
  <c r="D47" i="184"/>
  <c r="C47" i="184"/>
  <c r="E46" i="184"/>
  <c r="D46" i="184"/>
  <c r="C46" i="184"/>
  <c r="E45" i="184"/>
  <c r="D45" i="184"/>
  <c r="C45" i="184"/>
  <c r="E44" i="184"/>
  <c r="D44" i="184"/>
  <c r="C44" i="184"/>
  <c r="E43" i="184"/>
  <c r="D43" i="184"/>
  <c r="C43" i="184"/>
  <c r="E42" i="184"/>
  <c r="D42" i="184"/>
  <c r="C42" i="184"/>
  <c r="E41" i="184"/>
  <c r="D41" i="184"/>
  <c r="C41" i="184"/>
  <c r="E40" i="184"/>
  <c r="D40" i="184"/>
  <c r="C40" i="184"/>
  <c r="E39" i="184"/>
  <c r="D39" i="184"/>
  <c r="C39" i="184"/>
  <c r="E38" i="184"/>
  <c r="D38" i="184"/>
  <c r="C38" i="184"/>
  <c r="E37" i="184"/>
  <c r="D37" i="184"/>
  <c r="C37" i="184"/>
  <c r="E36" i="184"/>
  <c r="D36" i="184"/>
  <c r="C36" i="184"/>
  <c r="E35" i="184"/>
  <c r="D35" i="184"/>
  <c r="C35" i="184"/>
  <c r="E34" i="184"/>
  <c r="D34" i="184"/>
  <c r="C34" i="184"/>
  <c r="E33" i="184"/>
  <c r="D33" i="184"/>
  <c r="C33" i="184"/>
  <c r="E32" i="184"/>
  <c r="D32" i="184"/>
  <c r="C32" i="184"/>
  <c r="E31" i="184"/>
  <c r="D31" i="184"/>
  <c r="C31" i="184"/>
  <c r="E30" i="184"/>
  <c r="D30" i="184"/>
  <c r="C30" i="184"/>
  <c r="D25" i="184"/>
  <c r="C25" i="184"/>
  <c r="D24" i="184"/>
  <c r="C24" i="184"/>
  <c r="D23" i="184"/>
  <c r="C23" i="184"/>
  <c r="D22" i="184"/>
  <c r="C22" i="184"/>
  <c r="D21" i="184"/>
  <c r="C21" i="184"/>
  <c r="D20" i="184"/>
  <c r="C20" i="184"/>
  <c r="D19" i="184"/>
  <c r="C19" i="184"/>
  <c r="C18" i="184"/>
  <c r="D17" i="184"/>
  <c r="C17" i="184"/>
  <c r="D16" i="184"/>
  <c r="C16" i="184"/>
  <c r="D15" i="184"/>
  <c r="C15" i="184"/>
  <c r="D14" i="184"/>
  <c r="C14" i="184"/>
  <c r="D13" i="184"/>
  <c r="C13" i="184"/>
  <c r="D12" i="184"/>
  <c r="C12" i="184"/>
  <c r="C4" i="184"/>
  <c r="C3" i="184"/>
  <c r="C238" i="184" l="1"/>
  <c r="D26" i="184"/>
  <c r="F12" i="184"/>
  <c r="I12" i="184" s="1"/>
  <c r="C26" i="184"/>
  <c r="C98" i="184"/>
  <c r="D98" i="184"/>
  <c r="C166" i="184"/>
  <c r="D166" i="184"/>
  <c r="E84" i="184"/>
  <c r="C107" i="184"/>
  <c r="D107" i="184"/>
  <c r="E107" i="184"/>
  <c r="E116" i="184"/>
  <c r="C124" i="184"/>
  <c r="D124" i="184"/>
  <c r="E202" i="184"/>
  <c r="E98" i="184"/>
  <c r="C116" i="184"/>
  <c r="D116" i="184"/>
  <c r="E166" i="184"/>
  <c r="C211" i="184"/>
  <c r="D211" i="184"/>
  <c r="E211" i="184"/>
  <c r="C233" i="184"/>
  <c r="C84" i="184"/>
  <c r="D84" i="184"/>
  <c r="E124" i="184"/>
  <c r="C202" i="184"/>
  <c r="D202" i="184"/>
  <c r="C66" i="184"/>
  <c r="D66" i="184"/>
  <c r="E66" i="184"/>
  <c r="E213" i="184" l="1"/>
  <c r="E220" i="184" s="1"/>
  <c r="D213" i="184"/>
  <c r="D220" i="184" s="1"/>
  <c r="C213" i="184"/>
  <c r="C220" i="184" s="1"/>
  <c r="C217" i="184" l="1"/>
  <c r="I249" i="111"/>
  <c r="I248" i="111"/>
  <c r="I247" i="111"/>
  <c r="I246" i="111"/>
  <c r="C243" i="111"/>
  <c r="C242" i="111"/>
  <c r="C241" i="111"/>
  <c r="C240" i="111"/>
  <c r="C237" i="111"/>
  <c r="C236" i="111"/>
  <c r="E233" i="111"/>
  <c r="D233" i="111"/>
  <c r="C232" i="111"/>
  <c r="C231" i="111"/>
  <c r="C230" i="111"/>
  <c r="C229" i="111"/>
  <c r="C228" i="111"/>
  <c r="C227" i="111"/>
  <c r="C226" i="111"/>
  <c r="C225" i="111"/>
  <c r="C224" i="111"/>
  <c r="C216" i="111"/>
  <c r="E210" i="111"/>
  <c r="D210" i="111"/>
  <c r="C210" i="111"/>
  <c r="E209" i="111"/>
  <c r="D209" i="111"/>
  <c r="C209" i="111"/>
  <c r="E208" i="111"/>
  <c r="D208" i="111"/>
  <c r="C208" i="111"/>
  <c r="E207" i="111"/>
  <c r="D207" i="111"/>
  <c r="C207" i="111"/>
  <c r="E206" i="111"/>
  <c r="D206" i="111"/>
  <c r="C206" i="111"/>
  <c r="E205" i="111"/>
  <c r="D205" i="111"/>
  <c r="C205" i="111"/>
  <c r="E201" i="111"/>
  <c r="D201" i="111"/>
  <c r="C201" i="111"/>
  <c r="E200" i="111"/>
  <c r="D200" i="111"/>
  <c r="C200" i="111"/>
  <c r="E199" i="111"/>
  <c r="D199" i="111"/>
  <c r="C199" i="111"/>
  <c r="E198" i="111"/>
  <c r="D198" i="111"/>
  <c r="C198" i="111"/>
  <c r="E197" i="111"/>
  <c r="D197" i="111"/>
  <c r="C197" i="111"/>
  <c r="E196" i="111"/>
  <c r="D196" i="111"/>
  <c r="C196" i="111"/>
  <c r="E195" i="111"/>
  <c r="D195" i="111"/>
  <c r="C195" i="111"/>
  <c r="E194" i="111"/>
  <c r="D194" i="111"/>
  <c r="C194" i="111"/>
  <c r="E193" i="111"/>
  <c r="D193" i="111"/>
  <c r="C193" i="111"/>
  <c r="E192" i="111"/>
  <c r="D192" i="111"/>
  <c r="C192" i="111"/>
  <c r="E191" i="111"/>
  <c r="D191" i="111"/>
  <c r="C191" i="111"/>
  <c r="E190" i="111"/>
  <c r="D190" i="111"/>
  <c r="C190" i="111"/>
  <c r="E189" i="111"/>
  <c r="D189" i="111"/>
  <c r="C189" i="111"/>
  <c r="E188" i="111"/>
  <c r="D188" i="111"/>
  <c r="C188" i="111"/>
  <c r="E187" i="111"/>
  <c r="D187" i="111"/>
  <c r="C187" i="111"/>
  <c r="E186" i="111"/>
  <c r="D186" i="111"/>
  <c r="C186" i="111"/>
  <c r="E185" i="111"/>
  <c r="D185" i="111"/>
  <c r="C185" i="111"/>
  <c r="E184" i="111"/>
  <c r="D184" i="111"/>
  <c r="C184" i="111"/>
  <c r="E183" i="111"/>
  <c r="D183" i="111"/>
  <c r="C183" i="111"/>
  <c r="E182" i="111"/>
  <c r="D182" i="111"/>
  <c r="C182" i="111"/>
  <c r="E181" i="111"/>
  <c r="D181" i="111"/>
  <c r="C181" i="111"/>
  <c r="E180" i="111"/>
  <c r="D180" i="111"/>
  <c r="C180" i="111"/>
  <c r="E179" i="111"/>
  <c r="D179" i="111"/>
  <c r="C179" i="111"/>
  <c r="E178" i="111"/>
  <c r="D178" i="111"/>
  <c r="C178" i="111"/>
  <c r="E177" i="111"/>
  <c r="D177" i="111"/>
  <c r="C177" i="111"/>
  <c r="E176" i="111"/>
  <c r="D176" i="111"/>
  <c r="C176" i="111"/>
  <c r="E175" i="111"/>
  <c r="D175" i="111"/>
  <c r="C175" i="111"/>
  <c r="E174" i="111"/>
  <c r="D174" i="111"/>
  <c r="C174" i="111"/>
  <c r="E173" i="111"/>
  <c r="D173" i="111"/>
  <c r="C173" i="111"/>
  <c r="E172" i="111"/>
  <c r="D172" i="111"/>
  <c r="C172" i="111"/>
  <c r="E171" i="111"/>
  <c r="D171" i="111"/>
  <c r="C171" i="111"/>
  <c r="E170" i="111"/>
  <c r="D170" i="111"/>
  <c r="C170" i="111"/>
  <c r="E169" i="111"/>
  <c r="D169" i="111"/>
  <c r="C169" i="111"/>
  <c r="E165" i="111"/>
  <c r="D165" i="111"/>
  <c r="C165" i="111"/>
  <c r="E164" i="111"/>
  <c r="D164" i="111"/>
  <c r="C164" i="111"/>
  <c r="E163" i="111"/>
  <c r="D163" i="111"/>
  <c r="C163" i="111"/>
  <c r="E162" i="111"/>
  <c r="D162" i="111"/>
  <c r="C162" i="111"/>
  <c r="E161" i="111"/>
  <c r="D161" i="111"/>
  <c r="C161" i="111"/>
  <c r="E160" i="111"/>
  <c r="D160" i="111"/>
  <c r="C160" i="111"/>
  <c r="E158" i="111"/>
  <c r="D158" i="111"/>
  <c r="C158" i="111"/>
  <c r="E157" i="111"/>
  <c r="D157" i="111"/>
  <c r="C157" i="111"/>
  <c r="E156" i="111"/>
  <c r="D156" i="111"/>
  <c r="C156" i="111"/>
  <c r="E155" i="111"/>
  <c r="D155" i="111"/>
  <c r="C155" i="111"/>
  <c r="E154" i="111"/>
  <c r="D154" i="111"/>
  <c r="C154" i="111"/>
  <c r="E153" i="111"/>
  <c r="D153" i="111"/>
  <c r="C153" i="111"/>
  <c r="E152" i="111"/>
  <c r="D152" i="111"/>
  <c r="C152" i="111"/>
  <c r="E151" i="111"/>
  <c r="D151" i="111"/>
  <c r="C151" i="111"/>
  <c r="E150" i="111"/>
  <c r="D150" i="111"/>
  <c r="C150" i="111"/>
  <c r="E148" i="111"/>
  <c r="D148" i="111"/>
  <c r="C148" i="111"/>
  <c r="E147" i="111"/>
  <c r="D147" i="111"/>
  <c r="C147" i="111"/>
  <c r="E146" i="111"/>
  <c r="D146" i="111"/>
  <c r="C146" i="111"/>
  <c r="E145" i="111"/>
  <c r="D145" i="111"/>
  <c r="C145" i="111"/>
  <c r="E143" i="111"/>
  <c r="D143" i="111"/>
  <c r="C143" i="111"/>
  <c r="E142" i="111"/>
  <c r="D142" i="111"/>
  <c r="C142" i="111"/>
  <c r="E141" i="111"/>
  <c r="D141" i="111"/>
  <c r="C141" i="111"/>
  <c r="E140" i="111"/>
  <c r="D140" i="111"/>
  <c r="C140" i="111"/>
  <c r="E138" i="111"/>
  <c r="D138" i="111"/>
  <c r="C138" i="111"/>
  <c r="E137" i="111"/>
  <c r="D137" i="111"/>
  <c r="C137" i="111"/>
  <c r="E136" i="111"/>
  <c r="D136" i="111"/>
  <c r="C136" i="111"/>
  <c r="E135" i="111"/>
  <c r="D135" i="111"/>
  <c r="C135" i="111"/>
  <c r="E134" i="111"/>
  <c r="D134" i="111"/>
  <c r="C134" i="111"/>
  <c r="E132" i="111"/>
  <c r="D132" i="111"/>
  <c r="C132" i="111"/>
  <c r="E131" i="111"/>
  <c r="D131" i="111"/>
  <c r="C131" i="111"/>
  <c r="E130" i="111"/>
  <c r="D130" i="111"/>
  <c r="C130" i="111"/>
  <c r="E129" i="111"/>
  <c r="D129" i="111"/>
  <c r="C129" i="111"/>
  <c r="E128" i="111"/>
  <c r="D128" i="111"/>
  <c r="C128" i="111"/>
  <c r="E123" i="111"/>
  <c r="D123" i="111"/>
  <c r="C123" i="111"/>
  <c r="E122" i="111"/>
  <c r="D122" i="111"/>
  <c r="C122" i="111"/>
  <c r="E121" i="111"/>
  <c r="D121" i="111"/>
  <c r="C121" i="111"/>
  <c r="E120" i="111"/>
  <c r="D120" i="111"/>
  <c r="C120" i="111"/>
  <c r="E119" i="111"/>
  <c r="D119" i="111"/>
  <c r="C119" i="111"/>
  <c r="E115" i="111"/>
  <c r="D115" i="111"/>
  <c r="C115" i="111"/>
  <c r="E114" i="111"/>
  <c r="D114" i="111"/>
  <c r="C114" i="111"/>
  <c r="E113" i="111"/>
  <c r="D113" i="111"/>
  <c r="C113" i="111"/>
  <c r="E112" i="111"/>
  <c r="D112" i="111"/>
  <c r="C112" i="111"/>
  <c r="E111" i="111"/>
  <c r="D111" i="111"/>
  <c r="C111" i="111"/>
  <c r="E110" i="111"/>
  <c r="D110" i="111"/>
  <c r="C110" i="111"/>
  <c r="E106" i="111"/>
  <c r="D106" i="111"/>
  <c r="C106" i="111"/>
  <c r="E105" i="111"/>
  <c r="D105" i="111"/>
  <c r="C105" i="111"/>
  <c r="E104" i="111"/>
  <c r="D104" i="111"/>
  <c r="C104" i="111"/>
  <c r="E103" i="111"/>
  <c r="D103" i="111"/>
  <c r="C103" i="111"/>
  <c r="E102" i="111"/>
  <c r="D102" i="111"/>
  <c r="C102" i="111"/>
  <c r="E101" i="111"/>
  <c r="D101" i="111"/>
  <c r="C101" i="111"/>
  <c r="E97" i="111"/>
  <c r="D97" i="111"/>
  <c r="C97" i="111"/>
  <c r="E96" i="111"/>
  <c r="D96" i="111"/>
  <c r="C96" i="111"/>
  <c r="E95" i="111"/>
  <c r="D95" i="111"/>
  <c r="C95" i="111"/>
  <c r="E94" i="111"/>
  <c r="D94" i="111"/>
  <c r="C94" i="111"/>
  <c r="E93" i="111"/>
  <c r="D93" i="111"/>
  <c r="C93" i="111"/>
  <c r="E92" i="111"/>
  <c r="D92" i="111"/>
  <c r="C92" i="111"/>
  <c r="E91" i="111"/>
  <c r="D91" i="111"/>
  <c r="C91" i="111"/>
  <c r="E90" i="111"/>
  <c r="D90" i="111"/>
  <c r="C90" i="111"/>
  <c r="E89" i="111"/>
  <c r="D89" i="111"/>
  <c r="C89" i="111"/>
  <c r="E88" i="111"/>
  <c r="D88" i="111"/>
  <c r="C88" i="111"/>
  <c r="E87" i="111"/>
  <c r="D87" i="111"/>
  <c r="C87" i="111"/>
  <c r="E83" i="111"/>
  <c r="D83" i="111"/>
  <c r="C83" i="111"/>
  <c r="E82" i="111"/>
  <c r="D82" i="111"/>
  <c r="C82" i="111"/>
  <c r="E81" i="111"/>
  <c r="D81" i="111"/>
  <c r="C81" i="111"/>
  <c r="E80" i="111"/>
  <c r="D80" i="111"/>
  <c r="C80" i="111"/>
  <c r="E79" i="111"/>
  <c r="D79" i="111"/>
  <c r="C79" i="111"/>
  <c r="E78" i="111"/>
  <c r="D78" i="111"/>
  <c r="C78" i="111"/>
  <c r="E77" i="111"/>
  <c r="D77" i="111"/>
  <c r="C77" i="111"/>
  <c r="E76" i="111"/>
  <c r="D76" i="111"/>
  <c r="C76" i="111"/>
  <c r="E75" i="111"/>
  <c r="D75" i="111"/>
  <c r="C75" i="111"/>
  <c r="E74" i="111"/>
  <c r="D74" i="111"/>
  <c r="C74" i="111"/>
  <c r="E73" i="111"/>
  <c r="D73" i="111"/>
  <c r="C73" i="111"/>
  <c r="E72" i="111"/>
  <c r="D72" i="111"/>
  <c r="C72" i="111"/>
  <c r="E71" i="111"/>
  <c r="D71" i="111"/>
  <c r="C71" i="111"/>
  <c r="E70" i="111"/>
  <c r="D70" i="111"/>
  <c r="C70" i="111"/>
  <c r="E69" i="111"/>
  <c r="D69" i="111"/>
  <c r="C69" i="111"/>
  <c r="E65" i="111"/>
  <c r="D65" i="111"/>
  <c r="C65" i="111"/>
  <c r="E64" i="111"/>
  <c r="D64" i="111"/>
  <c r="C64" i="111"/>
  <c r="E63" i="111"/>
  <c r="D63" i="111"/>
  <c r="C63" i="111"/>
  <c r="E62" i="111"/>
  <c r="D62" i="111"/>
  <c r="C62" i="111"/>
  <c r="E61" i="111"/>
  <c r="D61" i="111"/>
  <c r="C61" i="111"/>
  <c r="E60" i="111"/>
  <c r="D60" i="111"/>
  <c r="C60" i="111"/>
  <c r="E59" i="111"/>
  <c r="D59" i="111"/>
  <c r="C59" i="111"/>
  <c r="E58" i="111"/>
  <c r="D58" i="111"/>
  <c r="C58" i="111"/>
  <c r="E57" i="111"/>
  <c r="D57" i="111"/>
  <c r="C57" i="111"/>
  <c r="E56" i="111"/>
  <c r="D56" i="111"/>
  <c r="C56" i="111"/>
  <c r="E55" i="111"/>
  <c r="D55" i="111"/>
  <c r="C55" i="111"/>
  <c r="E54" i="111"/>
  <c r="D54" i="111"/>
  <c r="C54" i="111"/>
  <c r="E53" i="111"/>
  <c r="D53" i="111"/>
  <c r="C53" i="111"/>
  <c r="E52" i="111"/>
  <c r="D52" i="111"/>
  <c r="C52" i="111"/>
  <c r="E51" i="111"/>
  <c r="D51" i="111"/>
  <c r="C51" i="111"/>
  <c r="E50" i="111"/>
  <c r="D50" i="111"/>
  <c r="C50" i="111"/>
  <c r="E49" i="111"/>
  <c r="D49" i="111"/>
  <c r="C49" i="111"/>
  <c r="E48" i="111"/>
  <c r="D48" i="111"/>
  <c r="C48" i="111"/>
  <c r="E47" i="111"/>
  <c r="D47" i="111"/>
  <c r="C47" i="111"/>
  <c r="E46" i="111"/>
  <c r="D46" i="111"/>
  <c r="C46" i="111"/>
  <c r="E45" i="111"/>
  <c r="D45" i="111"/>
  <c r="C45" i="111"/>
  <c r="E44" i="111"/>
  <c r="D44" i="111"/>
  <c r="C44" i="111"/>
  <c r="E43" i="111"/>
  <c r="D43" i="111"/>
  <c r="C43" i="111"/>
  <c r="E42" i="111"/>
  <c r="D42" i="111"/>
  <c r="C42" i="111"/>
  <c r="E41" i="111"/>
  <c r="D41" i="111"/>
  <c r="C41" i="111"/>
  <c r="E40" i="111"/>
  <c r="D40" i="111"/>
  <c r="C40" i="111"/>
  <c r="E39" i="111"/>
  <c r="D39" i="111"/>
  <c r="C39" i="111"/>
  <c r="E38" i="111"/>
  <c r="D38" i="111"/>
  <c r="C38" i="111"/>
  <c r="E37" i="111"/>
  <c r="D37" i="111"/>
  <c r="C37" i="111"/>
  <c r="E36" i="111"/>
  <c r="D36" i="111"/>
  <c r="C36" i="111"/>
  <c r="E35" i="111"/>
  <c r="D35" i="111"/>
  <c r="C35" i="111"/>
  <c r="E34" i="111"/>
  <c r="D34" i="111"/>
  <c r="C34" i="111"/>
  <c r="E33" i="111"/>
  <c r="D33" i="111"/>
  <c r="C33" i="111"/>
  <c r="E32" i="111"/>
  <c r="D32" i="111"/>
  <c r="C32" i="111"/>
  <c r="E31" i="111"/>
  <c r="D31" i="111"/>
  <c r="C31" i="111"/>
  <c r="E30" i="111"/>
  <c r="D30" i="111"/>
  <c r="C30" i="111"/>
  <c r="D25" i="111"/>
  <c r="C25" i="111"/>
  <c r="D24" i="111"/>
  <c r="C24" i="111"/>
  <c r="D23" i="111"/>
  <c r="C23" i="111"/>
  <c r="D22" i="111"/>
  <c r="C22" i="111"/>
  <c r="D21" i="111"/>
  <c r="C21" i="111"/>
  <c r="D20" i="111"/>
  <c r="C20" i="111"/>
  <c r="D19" i="111"/>
  <c r="C19" i="111"/>
  <c r="D18" i="111"/>
  <c r="C18" i="111"/>
  <c r="D17" i="111"/>
  <c r="C17" i="111"/>
  <c r="D16" i="111"/>
  <c r="C16" i="111"/>
  <c r="D15" i="111"/>
  <c r="C15" i="111"/>
  <c r="D14" i="111"/>
  <c r="C14" i="111"/>
  <c r="D13" i="111"/>
  <c r="C13" i="111"/>
  <c r="D12" i="111"/>
  <c r="C12" i="111"/>
  <c r="F12" i="111" s="1"/>
  <c r="I12" i="111" s="1"/>
  <c r="C4" i="111"/>
  <c r="C3" i="111"/>
  <c r="C26" i="111" l="1"/>
  <c r="C238" i="111"/>
  <c r="C84" i="111"/>
  <c r="D84" i="111"/>
  <c r="E124" i="111"/>
  <c r="C202" i="111"/>
  <c r="D202" i="111"/>
  <c r="D26" i="111"/>
  <c r="C98" i="111"/>
  <c r="D98" i="111"/>
  <c r="C166" i="111"/>
  <c r="D166" i="111"/>
  <c r="E84" i="111"/>
  <c r="C107" i="111"/>
  <c r="D107" i="111"/>
  <c r="E107" i="111"/>
  <c r="E116" i="111"/>
  <c r="C124" i="111"/>
  <c r="D124" i="111"/>
  <c r="E202" i="111"/>
  <c r="E98" i="111"/>
  <c r="C116" i="111"/>
  <c r="D116" i="111"/>
  <c r="E166" i="111"/>
  <c r="C211" i="111"/>
  <c r="D211" i="111"/>
  <c r="E211" i="111"/>
  <c r="C233" i="111"/>
  <c r="C66" i="111"/>
  <c r="D66" i="111"/>
  <c r="E66" i="111"/>
  <c r="D213" i="111" l="1"/>
  <c r="D220" i="111" s="1"/>
  <c r="C213" i="111"/>
  <c r="C220" i="111" s="1"/>
  <c r="E213" i="111"/>
  <c r="E220" i="111" s="1"/>
  <c r="C217" i="111" l="1"/>
  <c r="D18" i="133"/>
  <c r="C243" i="133"/>
  <c r="C242" i="133"/>
  <c r="C241" i="133"/>
  <c r="C240" i="133"/>
  <c r="C237" i="133"/>
  <c r="C236" i="133"/>
  <c r="E233" i="133"/>
  <c r="D233" i="133"/>
  <c r="C232" i="133"/>
  <c r="C231" i="133"/>
  <c r="C230" i="133"/>
  <c r="C229" i="133"/>
  <c r="C228" i="133"/>
  <c r="C227" i="133"/>
  <c r="C226" i="133"/>
  <c r="C225" i="133"/>
  <c r="C224" i="133"/>
  <c r="C216" i="133"/>
  <c r="E210" i="133"/>
  <c r="D210" i="133"/>
  <c r="C210" i="133"/>
  <c r="E209" i="133"/>
  <c r="D209" i="133"/>
  <c r="C209" i="133"/>
  <c r="E208" i="133"/>
  <c r="D208" i="133"/>
  <c r="C208" i="133"/>
  <c r="E207" i="133"/>
  <c r="D207" i="133"/>
  <c r="C207" i="133"/>
  <c r="E206" i="133"/>
  <c r="D206" i="133"/>
  <c r="C206" i="133"/>
  <c r="E205" i="133"/>
  <c r="D205" i="133"/>
  <c r="C205" i="133"/>
  <c r="E201" i="133"/>
  <c r="D201" i="133"/>
  <c r="C201" i="133"/>
  <c r="E200" i="133"/>
  <c r="D200" i="133"/>
  <c r="C200" i="133"/>
  <c r="E199" i="133"/>
  <c r="D199" i="133"/>
  <c r="C199" i="133"/>
  <c r="E198" i="133"/>
  <c r="D198" i="133"/>
  <c r="C198" i="133"/>
  <c r="E197" i="133"/>
  <c r="D197" i="133"/>
  <c r="C197" i="133"/>
  <c r="E196" i="133"/>
  <c r="D196" i="133"/>
  <c r="C196" i="133"/>
  <c r="E195" i="133"/>
  <c r="D195" i="133"/>
  <c r="C195" i="133"/>
  <c r="E194" i="133"/>
  <c r="D194" i="133"/>
  <c r="C194" i="133"/>
  <c r="E193" i="133"/>
  <c r="D193" i="133"/>
  <c r="C193" i="133"/>
  <c r="E192" i="133"/>
  <c r="D192" i="133"/>
  <c r="C192" i="133"/>
  <c r="E191" i="133"/>
  <c r="D191" i="133"/>
  <c r="C191" i="133"/>
  <c r="E190" i="133"/>
  <c r="D190" i="133"/>
  <c r="C190" i="133"/>
  <c r="E189" i="133"/>
  <c r="D189" i="133"/>
  <c r="C189" i="133"/>
  <c r="E188" i="133"/>
  <c r="D188" i="133"/>
  <c r="C188" i="133"/>
  <c r="E187" i="133"/>
  <c r="D187" i="133"/>
  <c r="C187" i="133"/>
  <c r="E186" i="133"/>
  <c r="D186" i="133"/>
  <c r="C186" i="133"/>
  <c r="E185" i="133"/>
  <c r="D185" i="133"/>
  <c r="C185" i="133"/>
  <c r="E184" i="133"/>
  <c r="D184" i="133"/>
  <c r="C184" i="133"/>
  <c r="E183" i="133"/>
  <c r="D183" i="133"/>
  <c r="C183" i="133"/>
  <c r="E182" i="133"/>
  <c r="D182" i="133"/>
  <c r="C182" i="133"/>
  <c r="E181" i="133"/>
  <c r="D181" i="133"/>
  <c r="C181" i="133"/>
  <c r="E180" i="133"/>
  <c r="D180" i="133"/>
  <c r="C180" i="133"/>
  <c r="E179" i="133"/>
  <c r="D179" i="133"/>
  <c r="C179" i="133"/>
  <c r="E178" i="133"/>
  <c r="D178" i="133"/>
  <c r="C178" i="133"/>
  <c r="E177" i="133"/>
  <c r="D177" i="133"/>
  <c r="C177" i="133"/>
  <c r="E176" i="133"/>
  <c r="D176" i="133"/>
  <c r="C176" i="133"/>
  <c r="E175" i="133"/>
  <c r="D175" i="133"/>
  <c r="C175" i="133"/>
  <c r="E174" i="133"/>
  <c r="D174" i="133"/>
  <c r="C174" i="133"/>
  <c r="E173" i="133"/>
  <c r="D173" i="133"/>
  <c r="C173" i="133"/>
  <c r="E172" i="133"/>
  <c r="D172" i="133"/>
  <c r="C172" i="133"/>
  <c r="E171" i="133"/>
  <c r="D171" i="133"/>
  <c r="C171" i="133"/>
  <c r="E170" i="133"/>
  <c r="D170" i="133"/>
  <c r="C170" i="133"/>
  <c r="E169" i="133"/>
  <c r="D169" i="133"/>
  <c r="C169" i="133"/>
  <c r="E165" i="133"/>
  <c r="D165" i="133"/>
  <c r="C165" i="133"/>
  <c r="E164" i="133"/>
  <c r="D164" i="133"/>
  <c r="C164" i="133"/>
  <c r="E163" i="133"/>
  <c r="D163" i="133"/>
  <c r="C163" i="133"/>
  <c r="E162" i="133"/>
  <c r="D162" i="133"/>
  <c r="C162" i="133"/>
  <c r="E161" i="133"/>
  <c r="D161" i="133"/>
  <c r="C161" i="133"/>
  <c r="E160" i="133"/>
  <c r="D160" i="133"/>
  <c r="C160" i="133"/>
  <c r="E158" i="133"/>
  <c r="D158" i="133"/>
  <c r="C158" i="133"/>
  <c r="E157" i="133"/>
  <c r="D157" i="133"/>
  <c r="C157" i="133"/>
  <c r="E156" i="133"/>
  <c r="D156" i="133"/>
  <c r="C156" i="133"/>
  <c r="E155" i="133"/>
  <c r="D155" i="133"/>
  <c r="C155" i="133"/>
  <c r="E154" i="133"/>
  <c r="D154" i="133"/>
  <c r="C154" i="133"/>
  <c r="E153" i="133"/>
  <c r="D153" i="133"/>
  <c r="C153" i="133"/>
  <c r="E152" i="133"/>
  <c r="D152" i="133"/>
  <c r="C152" i="133"/>
  <c r="E151" i="133"/>
  <c r="D151" i="133"/>
  <c r="C151" i="133"/>
  <c r="E150" i="133"/>
  <c r="D150" i="133"/>
  <c r="C150" i="133"/>
  <c r="E148" i="133"/>
  <c r="D148" i="133"/>
  <c r="C148" i="133"/>
  <c r="E147" i="133"/>
  <c r="D147" i="133"/>
  <c r="C147" i="133"/>
  <c r="E146" i="133"/>
  <c r="D146" i="133"/>
  <c r="C146" i="133"/>
  <c r="E145" i="133"/>
  <c r="D145" i="133"/>
  <c r="C145" i="133"/>
  <c r="E143" i="133"/>
  <c r="D143" i="133"/>
  <c r="C143" i="133"/>
  <c r="E142" i="133"/>
  <c r="D142" i="133"/>
  <c r="C142" i="133"/>
  <c r="E141" i="133"/>
  <c r="D141" i="133"/>
  <c r="C141" i="133"/>
  <c r="E140" i="133"/>
  <c r="D140" i="133"/>
  <c r="C140" i="133"/>
  <c r="E138" i="133"/>
  <c r="D138" i="133"/>
  <c r="C138" i="133"/>
  <c r="E137" i="133"/>
  <c r="D137" i="133"/>
  <c r="C137" i="133"/>
  <c r="E136" i="133"/>
  <c r="D136" i="133"/>
  <c r="C136" i="133"/>
  <c r="E135" i="133"/>
  <c r="D135" i="133"/>
  <c r="C135" i="133"/>
  <c r="E134" i="133"/>
  <c r="D134" i="133"/>
  <c r="C134" i="133"/>
  <c r="E132" i="133"/>
  <c r="D132" i="133"/>
  <c r="C132" i="133"/>
  <c r="E131" i="133"/>
  <c r="D131" i="133"/>
  <c r="C131" i="133"/>
  <c r="E130" i="133"/>
  <c r="D130" i="133"/>
  <c r="C130" i="133"/>
  <c r="E129" i="133"/>
  <c r="D129" i="133"/>
  <c r="C129" i="133"/>
  <c r="E128" i="133"/>
  <c r="D128" i="133"/>
  <c r="C128" i="133"/>
  <c r="E123" i="133"/>
  <c r="D123" i="133"/>
  <c r="C123" i="133"/>
  <c r="E122" i="133"/>
  <c r="D122" i="133"/>
  <c r="C122" i="133"/>
  <c r="E121" i="133"/>
  <c r="D121" i="133"/>
  <c r="C121" i="133"/>
  <c r="E120" i="133"/>
  <c r="D120" i="133"/>
  <c r="C120" i="133"/>
  <c r="E119" i="133"/>
  <c r="D119" i="133"/>
  <c r="C119" i="133"/>
  <c r="E115" i="133"/>
  <c r="D115" i="133"/>
  <c r="C115" i="133"/>
  <c r="E114" i="133"/>
  <c r="D114" i="133"/>
  <c r="C114" i="133"/>
  <c r="E113" i="133"/>
  <c r="D113" i="133"/>
  <c r="C113" i="133"/>
  <c r="E112" i="133"/>
  <c r="D112" i="133"/>
  <c r="C112" i="133"/>
  <c r="E111" i="133"/>
  <c r="D111" i="133"/>
  <c r="C111" i="133"/>
  <c r="E110" i="133"/>
  <c r="D110" i="133"/>
  <c r="C110" i="133"/>
  <c r="E106" i="133"/>
  <c r="D106" i="133"/>
  <c r="C106" i="133"/>
  <c r="E105" i="133"/>
  <c r="D105" i="133"/>
  <c r="C105" i="133"/>
  <c r="E104" i="133"/>
  <c r="D104" i="133"/>
  <c r="C104" i="133"/>
  <c r="E103" i="133"/>
  <c r="D103" i="133"/>
  <c r="C103" i="133"/>
  <c r="E102" i="133"/>
  <c r="D102" i="133"/>
  <c r="C102" i="133"/>
  <c r="E101" i="133"/>
  <c r="D101" i="133"/>
  <c r="C101" i="133"/>
  <c r="E97" i="133"/>
  <c r="D97" i="133"/>
  <c r="C97" i="133"/>
  <c r="E96" i="133"/>
  <c r="D96" i="133"/>
  <c r="C96" i="133"/>
  <c r="E95" i="133"/>
  <c r="D95" i="133"/>
  <c r="C95" i="133"/>
  <c r="E94" i="133"/>
  <c r="D94" i="133"/>
  <c r="C94" i="133"/>
  <c r="E93" i="133"/>
  <c r="D93" i="133"/>
  <c r="C93" i="133"/>
  <c r="E92" i="133"/>
  <c r="D92" i="133"/>
  <c r="C92" i="133"/>
  <c r="E91" i="133"/>
  <c r="D91" i="133"/>
  <c r="C91" i="133"/>
  <c r="E90" i="133"/>
  <c r="D90" i="133"/>
  <c r="C90" i="133"/>
  <c r="E89" i="133"/>
  <c r="D89" i="133"/>
  <c r="C89" i="133"/>
  <c r="E88" i="133"/>
  <c r="D88" i="133"/>
  <c r="C88" i="133"/>
  <c r="E87" i="133"/>
  <c r="D87" i="133"/>
  <c r="C87" i="133"/>
  <c r="E83" i="133"/>
  <c r="D83" i="133"/>
  <c r="C83" i="133"/>
  <c r="E82" i="133"/>
  <c r="D82" i="133"/>
  <c r="C82" i="133"/>
  <c r="E81" i="133"/>
  <c r="D81" i="133"/>
  <c r="C81" i="133"/>
  <c r="E80" i="133"/>
  <c r="D80" i="133"/>
  <c r="C80" i="133"/>
  <c r="E79" i="133"/>
  <c r="D79" i="133"/>
  <c r="C79" i="133"/>
  <c r="E78" i="133"/>
  <c r="D78" i="133"/>
  <c r="C78" i="133"/>
  <c r="E77" i="133"/>
  <c r="D77" i="133"/>
  <c r="C77" i="133"/>
  <c r="E76" i="133"/>
  <c r="D76" i="133"/>
  <c r="C76" i="133"/>
  <c r="E75" i="133"/>
  <c r="D75" i="133"/>
  <c r="C75" i="133"/>
  <c r="E74" i="133"/>
  <c r="D74" i="133"/>
  <c r="C74" i="133"/>
  <c r="E73" i="133"/>
  <c r="D73" i="133"/>
  <c r="C73" i="133"/>
  <c r="E72" i="133"/>
  <c r="D72" i="133"/>
  <c r="C72" i="133"/>
  <c r="E71" i="133"/>
  <c r="D71" i="133"/>
  <c r="C71" i="133"/>
  <c r="E70" i="133"/>
  <c r="D70" i="133"/>
  <c r="C70" i="133"/>
  <c r="E69" i="133"/>
  <c r="D69" i="133"/>
  <c r="C69" i="133"/>
  <c r="E65" i="133"/>
  <c r="D65" i="133"/>
  <c r="C65" i="133"/>
  <c r="E64" i="133"/>
  <c r="D64" i="133"/>
  <c r="C64" i="133"/>
  <c r="E63" i="133"/>
  <c r="D63" i="133"/>
  <c r="C63" i="133"/>
  <c r="E62" i="133"/>
  <c r="D62" i="133"/>
  <c r="C62" i="133"/>
  <c r="E61" i="133"/>
  <c r="D61" i="133"/>
  <c r="C61" i="133"/>
  <c r="E60" i="133"/>
  <c r="D60" i="133"/>
  <c r="C60" i="133"/>
  <c r="E59" i="133"/>
  <c r="D59" i="133"/>
  <c r="C59" i="133"/>
  <c r="E58" i="133"/>
  <c r="D58" i="133"/>
  <c r="C58" i="133"/>
  <c r="E57" i="133"/>
  <c r="D57" i="133"/>
  <c r="C57" i="133"/>
  <c r="E56" i="133"/>
  <c r="D56" i="133"/>
  <c r="C56" i="133"/>
  <c r="E55" i="133"/>
  <c r="D55" i="133"/>
  <c r="C55" i="133"/>
  <c r="E54" i="133"/>
  <c r="D54" i="133"/>
  <c r="C54" i="133"/>
  <c r="E53" i="133"/>
  <c r="D53" i="133"/>
  <c r="C53" i="133"/>
  <c r="E52" i="133"/>
  <c r="D52" i="133"/>
  <c r="C52" i="133"/>
  <c r="E51" i="133"/>
  <c r="D51" i="133"/>
  <c r="C51" i="133"/>
  <c r="E50" i="133"/>
  <c r="D50" i="133"/>
  <c r="C50" i="133"/>
  <c r="E49" i="133"/>
  <c r="D49" i="133"/>
  <c r="C49" i="133"/>
  <c r="E48" i="133"/>
  <c r="D48" i="133"/>
  <c r="C48" i="133"/>
  <c r="E47" i="133"/>
  <c r="D47" i="133"/>
  <c r="C47" i="133"/>
  <c r="E46" i="133"/>
  <c r="D46" i="133"/>
  <c r="C46" i="133"/>
  <c r="E45" i="133"/>
  <c r="D45" i="133"/>
  <c r="C45" i="133"/>
  <c r="E44" i="133"/>
  <c r="D44" i="133"/>
  <c r="C44" i="133"/>
  <c r="E43" i="133"/>
  <c r="D43" i="133"/>
  <c r="C43" i="133"/>
  <c r="E42" i="133"/>
  <c r="D42" i="133"/>
  <c r="C42" i="133"/>
  <c r="E41" i="133"/>
  <c r="D41" i="133"/>
  <c r="C41" i="133"/>
  <c r="E40" i="133"/>
  <c r="D40" i="133"/>
  <c r="C40" i="133"/>
  <c r="E39" i="133"/>
  <c r="D39" i="133"/>
  <c r="C39" i="133"/>
  <c r="E38" i="133"/>
  <c r="D38" i="133"/>
  <c r="C38" i="133"/>
  <c r="E37" i="133"/>
  <c r="D37" i="133"/>
  <c r="C37" i="133"/>
  <c r="E36" i="133"/>
  <c r="D36" i="133"/>
  <c r="C36" i="133"/>
  <c r="E35" i="133"/>
  <c r="D35" i="133"/>
  <c r="C35" i="133"/>
  <c r="E34" i="133"/>
  <c r="D34" i="133"/>
  <c r="C34" i="133"/>
  <c r="E33" i="133"/>
  <c r="D33" i="133"/>
  <c r="C33" i="133"/>
  <c r="E32" i="133"/>
  <c r="D32" i="133"/>
  <c r="C32" i="133"/>
  <c r="E31" i="133"/>
  <c r="D31" i="133"/>
  <c r="C31" i="133"/>
  <c r="E30" i="133"/>
  <c r="D30" i="133"/>
  <c r="C30" i="133"/>
  <c r="D25" i="133"/>
  <c r="C25" i="133"/>
  <c r="D24" i="133"/>
  <c r="C24" i="133"/>
  <c r="D23" i="133"/>
  <c r="C23" i="133"/>
  <c r="D22" i="133"/>
  <c r="C22" i="133"/>
  <c r="D21" i="133"/>
  <c r="C21" i="133"/>
  <c r="D20" i="133"/>
  <c r="C20" i="133"/>
  <c r="D19" i="133"/>
  <c r="C19" i="133"/>
  <c r="C18" i="133"/>
  <c r="D17" i="133"/>
  <c r="C17" i="133"/>
  <c r="D16" i="133"/>
  <c r="C16" i="133"/>
  <c r="D15" i="133"/>
  <c r="C15" i="133"/>
  <c r="D14" i="133"/>
  <c r="C14" i="133"/>
  <c r="D13" i="133"/>
  <c r="C13" i="133"/>
  <c r="D12" i="133"/>
  <c r="C12" i="133"/>
  <c r="F12" i="133" l="1"/>
  <c r="I12" i="133" s="1"/>
  <c r="D84" i="133"/>
  <c r="C98" i="133"/>
  <c r="C124" i="133"/>
  <c r="C166" i="133"/>
  <c r="D166" i="133"/>
  <c r="D202" i="133"/>
  <c r="C26" i="133"/>
  <c r="D26" i="133"/>
  <c r="E84" i="133"/>
  <c r="D98" i="133"/>
  <c r="C107" i="133"/>
  <c r="E107" i="133"/>
  <c r="E202" i="133"/>
  <c r="E98" i="133"/>
  <c r="D107" i="133"/>
  <c r="D116" i="133"/>
  <c r="D124" i="133"/>
  <c r="E166" i="133"/>
  <c r="C211" i="133"/>
  <c r="D211" i="133"/>
  <c r="E211" i="133"/>
  <c r="C233" i="133"/>
  <c r="C66" i="133"/>
  <c r="C84" i="133"/>
  <c r="C116" i="133"/>
  <c r="E116" i="133"/>
  <c r="E124" i="133"/>
  <c r="C202" i="133"/>
  <c r="D66" i="133"/>
  <c r="E66" i="133"/>
  <c r="D213" i="133" l="1"/>
  <c r="D220" i="133" s="1"/>
  <c r="E213" i="133"/>
  <c r="E220" i="133" s="1"/>
  <c r="C213" i="133"/>
  <c r="C217" i="133" s="1"/>
  <c r="C220" i="133" l="1"/>
  <c r="G232" i="68"/>
  <c r="G224" i="68"/>
  <c r="G24" i="68"/>
  <c r="G12" i="68"/>
  <c r="G26" i="68" l="1"/>
  <c r="G25" i="53"/>
  <c r="I249" i="94" l="1"/>
  <c r="I248" i="94"/>
  <c r="I247" i="94"/>
  <c r="I246" i="94"/>
  <c r="C243" i="94"/>
  <c r="C242" i="94"/>
  <c r="C241" i="94"/>
  <c r="C240" i="94"/>
  <c r="C237" i="94"/>
  <c r="C236" i="94"/>
  <c r="E233" i="94"/>
  <c r="D233" i="94"/>
  <c r="C232" i="94"/>
  <c r="C231" i="94"/>
  <c r="C230" i="94"/>
  <c r="C229" i="94"/>
  <c r="C228" i="94"/>
  <c r="C227" i="94"/>
  <c r="C226" i="94"/>
  <c r="C225" i="94"/>
  <c r="C224" i="94"/>
  <c r="C216" i="94"/>
  <c r="E210" i="94"/>
  <c r="D210" i="94"/>
  <c r="C210" i="94"/>
  <c r="E209" i="94"/>
  <c r="D209" i="94"/>
  <c r="C209" i="94"/>
  <c r="E208" i="94"/>
  <c r="D208" i="94"/>
  <c r="C208" i="94"/>
  <c r="E207" i="94"/>
  <c r="D207" i="94"/>
  <c r="C207" i="94"/>
  <c r="E206" i="94"/>
  <c r="D206" i="94"/>
  <c r="C206" i="94"/>
  <c r="E205" i="94"/>
  <c r="D205" i="94"/>
  <c r="C205" i="94"/>
  <c r="E201" i="94"/>
  <c r="D201" i="94"/>
  <c r="C201" i="94"/>
  <c r="E200" i="94"/>
  <c r="D200" i="94"/>
  <c r="C200" i="94"/>
  <c r="E199" i="94"/>
  <c r="D199" i="94"/>
  <c r="C199" i="94"/>
  <c r="E198" i="94"/>
  <c r="D198" i="94"/>
  <c r="C198" i="94"/>
  <c r="E197" i="94"/>
  <c r="D197" i="94"/>
  <c r="C197" i="94"/>
  <c r="E196" i="94"/>
  <c r="D196" i="94"/>
  <c r="C196" i="94"/>
  <c r="E195" i="94"/>
  <c r="D195" i="94"/>
  <c r="C195" i="94"/>
  <c r="E194" i="94"/>
  <c r="D194" i="94"/>
  <c r="C194" i="94"/>
  <c r="E193" i="94"/>
  <c r="D193" i="94"/>
  <c r="C193" i="94"/>
  <c r="E192" i="94"/>
  <c r="D192" i="94"/>
  <c r="C192" i="94"/>
  <c r="E191" i="94"/>
  <c r="D191" i="94"/>
  <c r="C191" i="94"/>
  <c r="E190" i="94"/>
  <c r="D190" i="94"/>
  <c r="C190" i="94"/>
  <c r="E189" i="94"/>
  <c r="D189" i="94"/>
  <c r="C189" i="94"/>
  <c r="E188" i="94"/>
  <c r="D188" i="94"/>
  <c r="C188" i="94"/>
  <c r="E187" i="94"/>
  <c r="D187" i="94"/>
  <c r="C187" i="94"/>
  <c r="E186" i="94"/>
  <c r="D186" i="94"/>
  <c r="C186" i="94"/>
  <c r="E185" i="94"/>
  <c r="D185" i="94"/>
  <c r="C185" i="94"/>
  <c r="E184" i="94"/>
  <c r="D184" i="94"/>
  <c r="C184" i="94"/>
  <c r="E183" i="94"/>
  <c r="D183" i="94"/>
  <c r="C183" i="94"/>
  <c r="E182" i="94"/>
  <c r="D182" i="94"/>
  <c r="C182" i="94"/>
  <c r="E181" i="94"/>
  <c r="D181" i="94"/>
  <c r="C181" i="94"/>
  <c r="E180" i="94"/>
  <c r="D180" i="94"/>
  <c r="C180" i="94"/>
  <c r="E179" i="94"/>
  <c r="D179" i="94"/>
  <c r="C179" i="94"/>
  <c r="E178" i="94"/>
  <c r="D178" i="94"/>
  <c r="C178" i="94"/>
  <c r="E177" i="94"/>
  <c r="D177" i="94"/>
  <c r="C177" i="94"/>
  <c r="E176" i="94"/>
  <c r="D176" i="94"/>
  <c r="C176" i="94"/>
  <c r="E175" i="94"/>
  <c r="D175" i="94"/>
  <c r="C175" i="94"/>
  <c r="E174" i="94"/>
  <c r="D174" i="94"/>
  <c r="C174" i="94"/>
  <c r="E173" i="94"/>
  <c r="D173" i="94"/>
  <c r="C173" i="94"/>
  <c r="E172" i="94"/>
  <c r="D172" i="94"/>
  <c r="C172" i="94"/>
  <c r="E171" i="94"/>
  <c r="D171" i="94"/>
  <c r="C171" i="94"/>
  <c r="E170" i="94"/>
  <c r="D170" i="94"/>
  <c r="C170" i="94"/>
  <c r="E169" i="94"/>
  <c r="D169" i="94"/>
  <c r="C169" i="94"/>
  <c r="E165" i="94"/>
  <c r="D165" i="94"/>
  <c r="C165" i="94"/>
  <c r="E164" i="94"/>
  <c r="D164" i="94"/>
  <c r="C164" i="94"/>
  <c r="E163" i="94"/>
  <c r="D163" i="94"/>
  <c r="C163" i="94"/>
  <c r="E162" i="94"/>
  <c r="D162" i="94"/>
  <c r="C162" i="94"/>
  <c r="E161" i="94"/>
  <c r="D161" i="94"/>
  <c r="C161" i="94"/>
  <c r="E160" i="94"/>
  <c r="D160" i="94"/>
  <c r="C160" i="94"/>
  <c r="E158" i="94"/>
  <c r="D158" i="94"/>
  <c r="C158" i="94"/>
  <c r="E157" i="94"/>
  <c r="D157" i="94"/>
  <c r="C157" i="94"/>
  <c r="E156" i="94"/>
  <c r="D156" i="94"/>
  <c r="C156" i="94"/>
  <c r="E155" i="94"/>
  <c r="D155" i="94"/>
  <c r="C155" i="94"/>
  <c r="E154" i="94"/>
  <c r="D154" i="94"/>
  <c r="C154" i="94"/>
  <c r="E153" i="94"/>
  <c r="D153" i="94"/>
  <c r="C153" i="94"/>
  <c r="E152" i="94"/>
  <c r="D152" i="94"/>
  <c r="C152" i="94"/>
  <c r="E151" i="94"/>
  <c r="D151" i="94"/>
  <c r="C151" i="94"/>
  <c r="E150" i="94"/>
  <c r="D150" i="94"/>
  <c r="C150" i="94"/>
  <c r="E148" i="94"/>
  <c r="D148" i="94"/>
  <c r="C148" i="94"/>
  <c r="E147" i="94"/>
  <c r="D147" i="94"/>
  <c r="C147" i="94"/>
  <c r="E146" i="94"/>
  <c r="D146" i="94"/>
  <c r="C146" i="94"/>
  <c r="E145" i="94"/>
  <c r="D145" i="94"/>
  <c r="C145" i="94"/>
  <c r="E143" i="94"/>
  <c r="D143" i="94"/>
  <c r="C143" i="94"/>
  <c r="E142" i="94"/>
  <c r="D142" i="94"/>
  <c r="C142" i="94"/>
  <c r="E141" i="94"/>
  <c r="D141" i="94"/>
  <c r="C141" i="94"/>
  <c r="E140" i="94"/>
  <c r="D140" i="94"/>
  <c r="C140" i="94"/>
  <c r="E138" i="94"/>
  <c r="D138" i="94"/>
  <c r="C138" i="94"/>
  <c r="E137" i="94"/>
  <c r="D137" i="94"/>
  <c r="C137" i="94"/>
  <c r="E136" i="94"/>
  <c r="D136" i="94"/>
  <c r="C136" i="94"/>
  <c r="E135" i="94"/>
  <c r="D135" i="94"/>
  <c r="C135" i="94"/>
  <c r="E134" i="94"/>
  <c r="D134" i="94"/>
  <c r="C134" i="94"/>
  <c r="E132" i="94"/>
  <c r="D132" i="94"/>
  <c r="C132" i="94"/>
  <c r="E131" i="94"/>
  <c r="D131" i="94"/>
  <c r="C131" i="94"/>
  <c r="E130" i="94"/>
  <c r="D130" i="94"/>
  <c r="C130" i="94"/>
  <c r="E129" i="94"/>
  <c r="D129" i="94"/>
  <c r="C129" i="94"/>
  <c r="E128" i="94"/>
  <c r="D128" i="94"/>
  <c r="C128" i="94"/>
  <c r="E123" i="94"/>
  <c r="D123" i="94"/>
  <c r="C123" i="94"/>
  <c r="E122" i="94"/>
  <c r="D122" i="94"/>
  <c r="C122" i="94"/>
  <c r="E121" i="94"/>
  <c r="D121" i="94"/>
  <c r="C121" i="94"/>
  <c r="E120" i="94"/>
  <c r="D120" i="94"/>
  <c r="C120" i="94"/>
  <c r="E119" i="94"/>
  <c r="D119" i="94"/>
  <c r="C119" i="94"/>
  <c r="E115" i="94"/>
  <c r="D115" i="94"/>
  <c r="C115" i="94"/>
  <c r="E114" i="94"/>
  <c r="D114" i="94"/>
  <c r="C114" i="94"/>
  <c r="E113" i="94"/>
  <c r="D113" i="94"/>
  <c r="C113" i="94"/>
  <c r="E112" i="94"/>
  <c r="D112" i="94"/>
  <c r="C112" i="94"/>
  <c r="E111" i="94"/>
  <c r="D111" i="94"/>
  <c r="C111" i="94"/>
  <c r="E110" i="94"/>
  <c r="D110" i="94"/>
  <c r="C110" i="94"/>
  <c r="E106" i="94"/>
  <c r="D106" i="94"/>
  <c r="C106" i="94"/>
  <c r="E105" i="94"/>
  <c r="D105" i="94"/>
  <c r="C105" i="94"/>
  <c r="E104" i="94"/>
  <c r="D104" i="94"/>
  <c r="C104" i="94"/>
  <c r="E103" i="94"/>
  <c r="D103" i="94"/>
  <c r="C103" i="94"/>
  <c r="E102" i="94"/>
  <c r="D102" i="94"/>
  <c r="C102" i="94"/>
  <c r="E101" i="94"/>
  <c r="D101" i="94"/>
  <c r="C101" i="94"/>
  <c r="E97" i="94"/>
  <c r="D97" i="94"/>
  <c r="C97" i="94"/>
  <c r="E96" i="94"/>
  <c r="D96" i="94"/>
  <c r="C96" i="94"/>
  <c r="E95" i="94"/>
  <c r="D95" i="94"/>
  <c r="C95" i="94"/>
  <c r="E94" i="94"/>
  <c r="D94" i="94"/>
  <c r="C94" i="94"/>
  <c r="E93" i="94"/>
  <c r="D93" i="94"/>
  <c r="C93" i="94"/>
  <c r="E92" i="94"/>
  <c r="D92" i="94"/>
  <c r="C92" i="94"/>
  <c r="E91" i="94"/>
  <c r="D91" i="94"/>
  <c r="C91" i="94"/>
  <c r="E90" i="94"/>
  <c r="D90" i="94"/>
  <c r="C90" i="94"/>
  <c r="E89" i="94"/>
  <c r="D89" i="94"/>
  <c r="C89" i="94"/>
  <c r="E88" i="94"/>
  <c r="D88" i="94"/>
  <c r="C88" i="94"/>
  <c r="E87" i="94"/>
  <c r="D87" i="94"/>
  <c r="C87" i="94"/>
  <c r="E83" i="94"/>
  <c r="D83" i="94"/>
  <c r="C83" i="94"/>
  <c r="E82" i="94"/>
  <c r="D82" i="94"/>
  <c r="C82" i="94"/>
  <c r="E81" i="94"/>
  <c r="D81" i="94"/>
  <c r="C81" i="94"/>
  <c r="E80" i="94"/>
  <c r="D80" i="94"/>
  <c r="C80" i="94"/>
  <c r="E79" i="94"/>
  <c r="D79" i="94"/>
  <c r="C79" i="94"/>
  <c r="E78" i="94"/>
  <c r="D78" i="94"/>
  <c r="C78" i="94"/>
  <c r="E77" i="94"/>
  <c r="D77" i="94"/>
  <c r="C77" i="94"/>
  <c r="E76" i="94"/>
  <c r="D76" i="94"/>
  <c r="C76" i="94"/>
  <c r="E75" i="94"/>
  <c r="D75" i="94"/>
  <c r="C75" i="94"/>
  <c r="E74" i="94"/>
  <c r="D74" i="94"/>
  <c r="C74" i="94"/>
  <c r="E73" i="94"/>
  <c r="D73" i="94"/>
  <c r="C73" i="94"/>
  <c r="E72" i="94"/>
  <c r="D72" i="94"/>
  <c r="C72" i="94"/>
  <c r="E71" i="94"/>
  <c r="D71" i="94"/>
  <c r="C71" i="94"/>
  <c r="E70" i="94"/>
  <c r="D70" i="94"/>
  <c r="C70" i="94"/>
  <c r="E69" i="94"/>
  <c r="D69" i="94"/>
  <c r="C69" i="94"/>
  <c r="E65" i="94"/>
  <c r="D65" i="94"/>
  <c r="C65" i="94"/>
  <c r="E64" i="94"/>
  <c r="D64" i="94"/>
  <c r="C64" i="94"/>
  <c r="E63" i="94"/>
  <c r="D63" i="94"/>
  <c r="C63" i="94"/>
  <c r="E62" i="94"/>
  <c r="D62" i="94"/>
  <c r="C62" i="94"/>
  <c r="E61" i="94"/>
  <c r="D61" i="94"/>
  <c r="C61" i="94"/>
  <c r="E60" i="94"/>
  <c r="D60" i="94"/>
  <c r="C60" i="94"/>
  <c r="E59" i="94"/>
  <c r="D59" i="94"/>
  <c r="C59" i="94"/>
  <c r="E58" i="94"/>
  <c r="D58" i="94"/>
  <c r="C58" i="94"/>
  <c r="E57" i="94"/>
  <c r="D57" i="94"/>
  <c r="C57" i="94"/>
  <c r="E56" i="94"/>
  <c r="D56" i="94"/>
  <c r="C56" i="94"/>
  <c r="E55" i="94"/>
  <c r="D55" i="94"/>
  <c r="C55" i="94"/>
  <c r="E54" i="94"/>
  <c r="D54" i="94"/>
  <c r="C54" i="94"/>
  <c r="E53" i="94"/>
  <c r="D53" i="94"/>
  <c r="C53" i="94"/>
  <c r="E52" i="94"/>
  <c r="D52" i="94"/>
  <c r="C52" i="94"/>
  <c r="E51" i="94"/>
  <c r="D51" i="94"/>
  <c r="C51" i="94"/>
  <c r="E50" i="94"/>
  <c r="D50" i="94"/>
  <c r="C50" i="94"/>
  <c r="E49" i="94"/>
  <c r="D49" i="94"/>
  <c r="C49" i="94"/>
  <c r="E48" i="94"/>
  <c r="D48" i="94"/>
  <c r="C48" i="94"/>
  <c r="E47" i="94"/>
  <c r="D47" i="94"/>
  <c r="C47" i="94"/>
  <c r="E46" i="94"/>
  <c r="D46" i="94"/>
  <c r="C46" i="94"/>
  <c r="E45" i="94"/>
  <c r="D45" i="94"/>
  <c r="C45" i="94"/>
  <c r="E44" i="94"/>
  <c r="D44" i="94"/>
  <c r="C44" i="94"/>
  <c r="E43" i="94"/>
  <c r="D43" i="94"/>
  <c r="C43" i="94"/>
  <c r="E42" i="94"/>
  <c r="D42" i="94"/>
  <c r="C42" i="94"/>
  <c r="E41" i="94"/>
  <c r="D41" i="94"/>
  <c r="C41" i="94"/>
  <c r="E40" i="94"/>
  <c r="D40" i="94"/>
  <c r="C40" i="94"/>
  <c r="E39" i="94"/>
  <c r="D39" i="94"/>
  <c r="C39" i="94"/>
  <c r="E38" i="94"/>
  <c r="D38" i="94"/>
  <c r="C38" i="94"/>
  <c r="E37" i="94"/>
  <c r="D37" i="94"/>
  <c r="C37" i="94"/>
  <c r="E36" i="94"/>
  <c r="D36" i="94"/>
  <c r="C36" i="94"/>
  <c r="E35" i="94"/>
  <c r="D35" i="94"/>
  <c r="C35" i="94"/>
  <c r="E34" i="94"/>
  <c r="D34" i="94"/>
  <c r="C34" i="94"/>
  <c r="E33" i="94"/>
  <c r="D33" i="94"/>
  <c r="C33" i="94"/>
  <c r="E32" i="94"/>
  <c r="D32" i="94"/>
  <c r="C32" i="94"/>
  <c r="E31" i="94"/>
  <c r="D31" i="94"/>
  <c r="C31" i="94"/>
  <c r="E30" i="94"/>
  <c r="D30" i="94"/>
  <c r="C30" i="94"/>
  <c r="D25" i="94"/>
  <c r="C25" i="94"/>
  <c r="D24" i="94"/>
  <c r="C24" i="94"/>
  <c r="D23" i="94"/>
  <c r="C23" i="94"/>
  <c r="D22" i="94"/>
  <c r="C22" i="94"/>
  <c r="D21" i="94"/>
  <c r="C21" i="94"/>
  <c r="D20" i="94"/>
  <c r="C20" i="94"/>
  <c r="D19" i="94"/>
  <c r="C19" i="94"/>
  <c r="D18" i="94"/>
  <c r="C18" i="94"/>
  <c r="D17" i="94"/>
  <c r="C17" i="94"/>
  <c r="D16" i="94"/>
  <c r="C16" i="94"/>
  <c r="D15" i="94"/>
  <c r="C15" i="94"/>
  <c r="D14" i="94"/>
  <c r="C14" i="94"/>
  <c r="D13" i="94"/>
  <c r="C13" i="94"/>
  <c r="D12" i="94"/>
  <c r="C12" i="94"/>
  <c r="C4" i="94"/>
  <c r="C238" i="94" s="1"/>
  <c r="C3" i="94"/>
  <c r="D26" i="94" l="1"/>
  <c r="F12" i="94"/>
  <c r="I12" i="94" s="1"/>
  <c r="E84" i="94"/>
  <c r="D98" i="94"/>
  <c r="C107" i="94"/>
  <c r="E107" i="94"/>
  <c r="E166" i="94"/>
  <c r="E202" i="94"/>
  <c r="C233" i="94"/>
  <c r="E98" i="94"/>
  <c r="D107" i="94"/>
  <c r="D116" i="94"/>
  <c r="D124" i="94"/>
  <c r="C202" i="94"/>
  <c r="C211" i="94"/>
  <c r="E211" i="94"/>
  <c r="C26" i="94"/>
  <c r="C84" i="94"/>
  <c r="C116" i="94"/>
  <c r="E116" i="94"/>
  <c r="E124" i="94"/>
  <c r="D211" i="94"/>
  <c r="D84" i="94"/>
  <c r="C98" i="94"/>
  <c r="C124" i="94"/>
  <c r="C166" i="94"/>
  <c r="D166" i="94"/>
  <c r="D202" i="94"/>
  <c r="C66" i="94"/>
  <c r="D66" i="94"/>
  <c r="E66" i="94"/>
  <c r="D213" i="94" l="1"/>
  <c r="D220" i="94" s="1"/>
  <c r="C213" i="94"/>
  <c r="C217" i="94" s="1"/>
  <c r="E213" i="94"/>
  <c r="E220" i="94" s="1"/>
  <c r="C220" i="94" l="1"/>
  <c r="I249" i="164"/>
  <c r="I248" i="164"/>
  <c r="I247" i="164"/>
  <c r="I246" i="164"/>
  <c r="D18" i="164"/>
  <c r="C243" i="164"/>
  <c r="C242" i="164"/>
  <c r="C241" i="164"/>
  <c r="C240" i="164"/>
  <c r="C237" i="164"/>
  <c r="C236" i="164"/>
  <c r="E233" i="164"/>
  <c r="D233" i="164"/>
  <c r="C232" i="164"/>
  <c r="C231" i="164"/>
  <c r="C230" i="164"/>
  <c r="C229" i="164"/>
  <c r="C228" i="164"/>
  <c r="C227" i="164"/>
  <c r="C226" i="164"/>
  <c r="C225" i="164"/>
  <c r="C224" i="164"/>
  <c r="C216" i="164"/>
  <c r="E210" i="164"/>
  <c r="D210" i="164"/>
  <c r="C210" i="164"/>
  <c r="E209" i="164"/>
  <c r="D209" i="164"/>
  <c r="C209" i="164"/>
  <c r="E208" i="164"/>
  <c r="D208" i="164"/>
  <c r="C208" i="164"/>
  <c r="E207" i="164"/>
  <c r="D207" i="164"/>
  <c r="C207" i="164"/>
  <c r="E206" i="164"/>
  <c r="D206" i="164"/>
  <c r="C206" i="164"/>
  <c r="E205" i="164"/>
  <c r="D205" i="164"/>
  <c r="C205" i="164"/>
  <c r="E201" i="164"/>
  <c r="D201" i="164"/>
  <c r="C201" i="164"/>
  <c r="E200" i="164"/>
  <c r="D200" i="164"/>
  <c r="C200" i="164"/>
  <c r="E199" i="164"/>
  <c r="D199" i="164"/>
  <c r="C199" i="164"/>
  <c r="E198" i="164"/>
  <c r="D198" i="164"/>
  <c r="C198" i="164"/>
  <c r="E197" i="164"/>
  <c r="D197" i="164"/>
  <c r="C197" i="164"/>
  <c r="E196" i="164"/>
  <c r="D196" i="164"/>
  <c r="C196" i="164"/>
  <c r="E195" i="164"/>
  <c r="D195" i="164"/>
  <c r="C195" i="164"/>
  <c r="E194" i="164"/>
  <c r="D194" i="164"/>
  <c r="C194" i="164"/>
  <c r="E193" i="164"/>
  <c r="D193" i="164"/>
  <c r="C193" i="164"/>
  <c r="E192" i="164"/>
  <c r="D192" i="164"/>
  <c r="C192" i="164"/>
  <c r="E191" i="164"/>
  <c r="D191" i="164"/>
  <c r="C191" i="164"/>
  <c r="E190" i="164"/>
  <c r="D190" i="164"/>
  <c r="C190" i="164"/>
  <c r="E189" i="164"/>
  <c r="D189" i="164"/>
  <c r="C189" i="164"/>
  <c r="E188" i="164"/>
  <c r="D188" i="164"/>
  <c r="C188" i="164"/>
  <c r="E187" i="164"/>
  <c r="D187" i="164"/>
  <c r="C187" i="164"/>
  <c r="E186" i="164"/>
  <c r="D186" i="164"/>
  <c r="C186" i="164"/>
  <c r="E185" i="164"/>
  <c r="D185" i="164"/>
  <c r="C185" i="164"/>
  <c r="E184" i="164"/>
  <c r="D184" i="164"/>
  <c r="C184" i="164"/>
  <c r="E183" i="164"/>
  <c r="D183" i="164"/>
  <c r="C183" i="164"/>
  <c r="E182" i="164"/>
  <c r="D182" i="164"/>
  <c r="C182" i="164"/>
  <c r="E181" i="164"/>
  <c r="D181" i="164"/>
  <c r="C181" i="164"/>
  <c r="E180" i="164"/>
  <c r="D180" i="164"/>
  <c r="C180" i="164"/>
  <c r="E179" i="164"/>
  <c r="D179" i="164"/>
  <c r="C179" i="164"/>
  <c r="E178" i="164"/>
  <c r="D178" i="164"/>
  <c r="C178" i="164"/>
  <c r="E177" i="164"/>
  <c r="D177" i="164"/>
  <c r="C177" i="164"/>
  <c r="E176" i="164"/>
  <c r="D176" i="164"/>
  <c r="C176" i="164"/>
  <c r="E175" i="164"/>
  <c r="D175" i="164"/>
  <c r="C175" i="164"/>
  <c r="E174" i="164"/>
  <c r="D174" i="164"/>
  <c r="C174" i="164"/>
  <c r="E173" i="164"/>
  <c r="D173" i="164"/>
  <c r="C173" i="164"/>
  <c r="E172" i="164"/>
  <c r="D172" i="164"/>
  <c r="C172" i="164"/>
  <c r="E171" i="164"/>
  <c r="D171" i="164"/>
  <c r="C171" i="164"/>
  <c r="E170" i="164"/>
  <c r="D170" i="164"/>
  <c r="C170" i="164"/>
  <c r="E169" i="164"/>
  <c r="D169" i="164"/>
  <c r="C169" i="164"/>
  <c r="E165" i="164"/>
  <c r="D165" i="164"/>
  <c r="C165" i="164"/>
  <c r="E164" i="164"/>
  <c r="D164" i="164"/>
  <c r="C164" i="164"/>
  <c r="E163" i="164"/>
  <c r="D163" i="164"/>
  <c r="C163" i="164"/>
  <c r="E162" i="164"/>
  <c r="D162" i="164"/>
  <c r="C162" i="164"/>
  <c r="E161" i="164"/>
  <c r="D161" i="164"/>
  <c r="C161" i="164"/>
  <c r="E160" i="164"/>
  <c r="D160" i="164"/>
  <c r="C160" i="164"/>
  <c r="E158" i="164"/>
  <c r="D158" i="164"/>
  <c r="C158" i="164"/>
  <c r="E157" i="164"/>
  <c r="D157" i="164"/>
  <c r="C157" i="164"/>
  <c r="E156" i="164"/>
  <c r="D156" i="164"/>
  <c r="C156" i="164"/>
  <c r="E155" i="164"/>
  <c r="D155" i="164"/>
  <c r="C155" i="164"/>
  <c r="E154" i="164"/>
  <c r="D154" i="164"/>
  <c r="C154" i="164"/>
  <c r="E153" i="164"/>
  <c r="D153" i="164"/>
  <c r="C153" i="164"/>
  <c r="E152" i="164"/>
  <c r="D152" i="164"/>
  <c r="C152" i="164"/>
  <c r="E151" i="164"/>
  <c r="D151" i="164"/>
  <c r="C151" i="164"/>
  <c r="E150" i="164"/>
  <c r="D150" i="164"/>
  <c r="C150" i="164"/>
  <c r="E148" i="164"/>
  <c r="D148" i="164"/>
  <c r="C148" i="164"/>
  <c r="E147" i="164"/>
  <c r="D147" i="164"/>
  <c r="C147" i="164"/>
  <c r="E146" i="164"/>
  <c r="D146" i="164"/>
  <c r="C146" i="164"/>
  <c r="E145" i="164"/>
  <c r="D145" i="164"/>
  <c r="C145" i="164"/>
  <c r="E143" i="164"/>
  <c r="D143" i="164"/>
  <c r="C143" i="164"/>
  <c r="E142" i="164"/>
  <c r="D142" i="164"/>
  <c r="C142" i="164"/>
  <c r="E141" i="164"/>
  <c r="D141" i="164"/>
  <c r="C141" i="164"/>
  <c r="E140" i="164"/>
  <c r="D140" i="164"/>
  <c r="C140" i="164"/>
  <c r="E138" i="164"/>
  <c r="D138" i="164"/>
  <c r="C138" i="164"/>
  <c r="E137" i="164"/>
  <c r="D137" i="164"/>
  <c r="C137" i="164"/>
  <c r="E136" i="164"/>
  <c r="D136" i="164"/>
  <c r="C136" i="164"/>
  <c r="E135" i="164"/>
  <c r="D135" i="164"/>
  <c r="C135" i="164"/>
  <c r="E134" i="164"/>
  <c r="D134" i="164"/>
  <c r="C134" i="164"/>
  <c r="E132" i="164"/>
  <c r="D132" i="164"/>
  <c r="C132" i="164"/>
  <c r="E131" i="164"/>
  <c r="D131" i="164"/>
  <c r="C131" i="164"/>
  <c r="E130" i="164"/>
  <c r="D130" i="164"/>
  <c r="C130" i="164"/>
  <c r="E129" i="164"/>
  <c r="D129" i="164"/>
  <c r="C129" i="164"/>
  <c r="E128" i="164"/>
  <c r="D128" i="164"/>
  <c r="C128" i="164"/>
  <c r="E123" i="164"/>
  <c r="D123" i="164"/>
  <c r="C123" i="164"/>
  <c r="E122" i="164"/>
  <c r="D122" i="164"/>
  <c r="C122" i="164"/>
  <c r="E121" i="164"/>
  <c r="D121" i="164"/>
  <c r="C121" i="164"/>
  <c r="E120" i="164"/>
  <c r="D120" i="164"/>
  <c r="C120" i="164"/>
  <c r="E119" i="164"/>
  <c r="D119" i="164"/>
  <c r="C119" i="164"/>
  <c r="E115" i="164"/>
  <c r="D115" i="164"/>
  <c r="C115" i="164"/>
  <c r="E114" i="164"/>
  <c r="D114" i="164"/>
  <c r="C114" i="164"/>
  <c r="E113" i="164"/>
  <c r="D113" i="164"/>
  <c r="C113" i="164"/>
  <c r="E112" i="164"/>
  <c r="D112" i="164"/>
  <c r="C112" i="164"/>
  <c r="E111" i="164"/>
  <c r="D111" i="164"/>
  <c r="C111" i="164"/>
  <c r="E110" i="164"/>
  <c r="D110" i="164"/>
  <c r="C110" i="164"/>
  <c r="E106" i="164"/>
  <c r="D106" i="164"/>
  <c r="C106" i="164"/>
  <c r="E105" i="164"/>
  <c r="D105" i="164"/>
  <c r="C105" i="164"/>
  <c r="E104" i="164"/>
  <c r="D104" i="164"/>
  <c r="C104" i="164"/>
  <c r="E103" i="164"/>
  <c r="D103" i="164"/>
  <c r="C103" i="164"/>
  <c r="E102" i="164"/>
  <c r="D102" i="164"/>
  <c r="C102" i="164"/>
  <c r="E101" i="164"/>
  <c r="D101" i="164"/>
  <c r="C101" i="164"/>
  <c r="E97" i="164"/>
  <c r="D97" i="164"/>
  <c r="C97" i="164"/>
  <c r="E96" i="164"/>
  <c r="D96" i="164"/>
  <c r="C96" i="164"/>
  <c r="E95" i="164"/>
  <c r="D95" i="164"/>
  <c r="C95" i="164"/>
  <c r="E94" i="164"/>
  <c r="D94" i="164"/>
  <c r="C94" i="164"/>
  <c r="E93" i="164"/>
  <c r="D93" i="164"/>
  <c r="C93" i="164"/>
  <c r="E92" i="164"/>
  <c r="D92" i="164"/>
  <c r="C92" i="164"/>
  <c r="E91" i="164"/>
  <c r="D91" i="164"/>
  <c r="C91" i="164"/>
  <c r="E90" i="164"/>
  <c r="D90" i="164"/>
  <c r="C90" i="164"/>
  <c r="E89" i="164"/>
  <c r="D89" i="164"/>
  <c r="C89" i="164"/>
  <c r="E88" i="164"/>
  <c r="D88" i="164"/>
  <c r="C88" i="164"/>
  <c r="E87" i="164"/>
  <c r="D87" i="164"/>
  <c r="C87" i="164"/>
  <c r="E83" i="164"/>
  <c r="D83" i="164"/>
  <c r="C83" i="164"/>
  <c r="E82" i="164"/>
  <c r="D82" i="164"/>
  <c r="C82" i="164"/>
  <c r="E81" i="164"/>
  <c r="D81" i="164"/>
  <c r="C81" i="164"/>
  <c r="E80" i="164"/>
  <c r="D80" i="164"/>
  <c r="C80" i="164"/>
  <c r="E79" i="164"/>
  <c r="D79" i="164"/>
  <c r="C79" i="164"/>
  <c r="E78" i="164"/>
  <c r="D78" i="164"/>
  <c r="C78" i="164"/>
  <c r="E77" i="164"/>
  <c r="D77" i="164"/>
  <c r="C77" i="164"/>
  <c r="E76" i="164"/>
  <c r="D76" i="164"/>
  <c r="C76" i="164"/>
  <c r="E75" i="164"/>
  <c r="D75" i="164"/>
  <c r="C75" i="164"/>
  <c r="E74" i="164"/>
  <c r="D74" i="164"/>
  <c r="C74" i="164"/>
  <c r="E73" i="164"/>
  <c r="D73" i="164"/>
  <c r="C73" i="164"/>
  <c r="E72" i="164"/>
  <c r="D72" i="164"/>
  <c r="C72" i="164"/>
  <c r="E71" i="164"/>
  <c r="D71" i="164"/>
  <c r="C71" i="164"/>
  <c r="E70" i="164"/>
  <c r="D70" i="164"/>
  <c r="C70" i="164"/>
  <c r="E69" i="164"/>
  <c r="D69" i="164"/>
  <c r="C69" i="164"/>
  <c r="E65" i="164"/>
  <c r="D65" i="164"/>
  <c r="C65" i="164"/>
  <c r="E64" i="164"/>
  <c r="D64" i="164"/>
  <c r="C64" i="164"/>
  <c r="E63" i="164"/>
  <c r="D63" i="164"/>
  <c r="C63" i="164"/>
  <c r="E62" i="164"/>
  <c r="D62" i="164"/>
  <c r="C62" i="164"/>
  <c r="E61" i="164"/>
  <c r="D61" i="164"/>
  <c r="C61" i="164"/>
  <c r="E60" i="164"/>
  <c r="D60" i="164"/>
  <c r="C60" i="164"/>
  <c r="E59" i="164"/>
  <c r="D59" i="164"/>
  <c r="C59" i="164"/>
  <c r="E58" i="164"/>
  <c r="D58" i="164"/>
  <c r="C58" i="164"/>
  <c r="E57" i="164"/>
  <c r="D57" i="164"/>
  <c r="C57" i="164"/>
  <c r="E56" i="164"/>
  <c r="D56" i="164"/>
  <c r="C56" i="164"/>
  <c r="E55" i="164"/>
  <c r="D55" i="164"/>
  <c r="C55" i="164"/>
  <c r="E54" i="164"/>
  <c r="D54" i="164"/>
  <c r="C54" i="164"/>
  <c r="E53" i="164"/>
  <c r="D53" i="164"/>
  <c r="C53" i="164"/>
  <c r="E52" i="164"/>
  <c r="D52" i="164"/>
  <c r="C52" i="164"/>
  <c r="E51" i="164"/>
  <c r="D51" i="164"/>
  <c r="C51" i="164"/>
  <c r="E50" i="164"/>
  <c r="D50" i="164"/>
  <c r="C50" i="164"/>
  <c r="E49" i="164"/>
  <c r="D49" i="164"/>
  <c r="C49" i="164"/>
  <c r="E48" i="164"/>
  <c r="D48" i="164"/>
  <c r="C48" i="164"/>
  <c r="E47" i="164"/>
  <c r="D47" i="164"/>
  <c r="C47" i="164"/>
  <c r="E46" i="164"/>
  <c r="D46" i="164"/>
  <c r="C46" i="164"/>
  <c r="E45" i="164"/>
  <c r="D45" i="164"/>
  <c r="C45" i="164"/>
  <c r="E44" i="164"/>
  <c r="D44" i="164"/>
  <c r="C44" i="164"/>
  <c r="E43" i="164"/>
  <c r="D43" i="164"/>
  <c r="C43" i="164"/>
  <c r="E42" i="164"/>
  <c r="D42" i="164"/>
  <c r="C42" i="164"/>
  <c r="E41" i="164"/>
  <c r="D41" i="164"/>
  <c r="C41" i="164"/>
  <c r="E40" i="164"/>
  <c r="D40" i="164"/>
  <c r="C40" i="164"/>
  <c r="E39" i="164"/>
  <c r="D39" i="164"/>
  <c r="C39" i="164"/>
  <c r="E38" i="164"/>
  <c r="D38" i="164"/>
  <c r="C38" i="164"/>
  <c r="E37" i="164"/>
  <c r="D37" i="164"/>
  <c r="C37" i="164"/>
  <c r="E36" i="164"/>
  <c r="D36" i="164"/>
  <c r="C36" i="164"/>
  <c r="E35" i="164"/>
  <c r="D35" i="164"/>
  <c r="C35" i="164"/>
  <c r="E34" i="164"/>
  <c r="D34" i="164"/>
  <c r="C34" i="164"/>
  <c r="E33" i="164"/>
  <c r="D33" i="164"/>
  <c r="C33" i="164"/>
  <c r="E32" i="164"/>
  <c r="D32" i="164"/>
  <c r="C32" i="164"/>
  <c r="E31" i="164"/>
  <c r="D31" i="164"/>
  <c r="C31" i="164"/>
  <c r="E30" i="164"/>
  <c r="D30" i="164"/>
  <c r="C30" i="164"/>
  <c r="D25" i="164"/>
  <c r="C25" i="164"/>
  <c r="D24" i="164"/>
  <c r="C24" i="164"/>
  <c r="D23" i="164"/>
  <c r="C23" i="164"/>
  <c r="D22" i="164"/>
  <c r="C22" i="164"/>
  <c r="D21" i="164"/>
  <c r="C21" i="164"/>
  <c r="D20" i="164"/>
  <c r="C20" i="164"/>
  <c r="D19" i="164"/>
  <c r="C19" i="164"/>
  <c r="C18" i="164"/>
  <c r="D17" i="164"/>
  <c r="C17" i="164"/>
  <c r="D16" i="164"/>
  <c r="C16" i="164"/>
  <c r="D15" i="164"/>
  <c r="C15" i="164"/>
  <c r="D14" i="164"/>
  <c r="C14" i="164"/>
  <c r="D13" i="164"/>
  <c r="C13" i="164"/>
  <c r="D12" i="164"/>
  <c r="C12" i="164"/>
  <c r="C4" i="164"/>
  <c r="C3" i="164"/>
  <c r="E124" i="164" l="1"/>
  <c r="C116" i="164"/>
  <c r="C202" i="164"/>
  <c r="C238" i="164"/>
  <c r="C84" i="164"/>
  <c r="F12" i="164"/>
  <c r="I12" i="164" s="1"/>
  <c r="E98" i="164"/>
  <c r="C211" i="164"/>
  <c r="C26" i="164"/>
  <c r="D84" i="164"/>
  <c r="C98" i="164"/>
  <c r="D98" i="164"/>
  <c r="C166" i="164"/>
  <c r="D166" i="164"/>
  <c r="D202" i="164"/>
  <c r="D26" i="164"/>
  <c r="E84" i="164"/>
  <c r="C107" i="164"/>
  <c r="E107" i="164"/>
  <c r="E116" i="164"/>
  <c r="C124" i="164"/>
  <c r="D124" i="164"/>
  <c r="E202" i="164"/>
  <c r="D107" i="164"/>
  <c r="D116" i="164"/>
  <c r="E166" i="164"/>
  <c r="D211" i="164"/>
  <c r="E211" i="164"/>
  <c r="C233" i="164"/>
  <c r="C66" i="164"/>
  <c r="D66" i="164"/>
  <c r="E66" i="164"/>
  <c r="G17" i="98"/>
  <c r="G12" i="98"/>
  <c r="G26" i="98" s="1"/>
  <c r="G224" i="98"/>
  <c r="D213" i="164" l="1"/>
  <c r="D220" i="164" s="1"/>
  <c r="E213" i="164"/>
  <c r="E220" i="164" s="1"/>
  <c r="C213" i="164"/>
  <c r="C217" i="164" s="1"/>
  <c r="G147" i="87"/>
  <c r="G146" i="87"/>
  <c r="G145" i="87"/>
  <c r="C220" i="164" l="1"/>
  <c r="G232" i="53"/>
  <c r="G224" i="53"/>
  <c r="G12" i="53"/>
  <c r="G26" i="53" s="1"/>
  <c r="I249" i="83" l="1"/>
  <c r="I248" i="83"/>
  <c r="I247" i="83"/>
  <c r="I246" i="83"/>
  <c r="C243" i="83"/>
  <c r="C242" i="83"/>
  <c r="C241" i="83"/>
  <c r="C240" i="83"/>
  <c r="C237" i="83"/>
  <c r="C236" i="83"/>
  <c r="E233" i="83"/>
  <c r="D233" i="83"/>
  <c r="C232" i="83"/>
  <c r="C231" i="83"/>
  <c r="C230" i="83"/>
  <c r="C229" i="83"/>
  <c r="C228" i="83"/>
  <c r="C227" i="83"/>
  <c r="C226" i="83"/>
  <c r="C225" i="83"/>
  <c r="C224" i="83"/>
  <c r="C216" i="83"/>
  <c r="E210" i="83"/>
  <c r="D210" i="83"/>
  <c r="C210" i="83"/>
  <c r="E209" i="83"/>
  <c r="D209" i="83"/>
  <c r="C209" i="83"/>
  <c r="E208" i="83"/>
  <c r="D208" i="83"/>
  <c r="C208" i="83"/>
  <c r="E207" i="83"/>
  <c r="E211" i="83" s="1"/>
  <c r="D207" i="83"/>
  <c r="C207" i="83"/>
  <c r="E206" i="83"/>
  <c r="D206" i="83"/>
  <c r="C206" i="83"/>
  <c r="E205" i="83"/>
  <c r="D205" i="83"/>
  <c r="C205" i="83"/>
  <c r="E201" i="83"/>
  <c r="D201" i="83"/>
  <c r="C201" i="83"/>
  <c r="E200" i="83"/>
  <c r="D200" i="83"/>
  <c r="C200" i="83"/>
  <c r="E199" i="83"/>
  <c r="D199" i="83"/>
  <c r="C199" i="83"/>
  <c r="E198" i="83"/>
  <c r="D198" i="83"/>
  <c r="C198" i="83"/>
  <c r="E197" i="83"/>
  <c r="D197" i="83"/>
  <c r="C197" i="83"/>
  <c r="E196" i="83"/>
  <c r="D196" i="83"/>
  <c r="C196" i="83"/>
  <c r="E195" i="83"/>
  <c r="D195" i="83"/>
  <c r="C195" i="83"/>
  <c r="E194" i="83"/>
  <c r="D194" i="83"/>
  <c r="C194" i="83"/>
  <c r="E193" i="83"/>
  <c r="D193" i="83"/>
  <c r="C193" i="83"/>
  <c r="E192" i="83"/>
  <c r="D192" i="83"/>
  <c r="C192" i="83"/>
  <c r="E191" i="83"/>
  <c r="D191" i="83"/>
  <c r="C191" i="83"/>
  <c r="E190" i="83"/>
  <c r="D190" i="83"/>
  <c r="C190" i="83"/>
  <c r="E189" i="83"/>
  <c r="D189" i="83"/>
  <c r="C189" i="83"/>
  <c r="E188" i="83"/>
  <c r="D188" i="83"/>
  <c r="C188" i="83"/>
  <c r="E187" i="83"/>
  <c r="D187" i="83"/>
  <c r="C187" i="83"/>
  <c r="E186" i="83"/>
  <c r="D186" i="83"/>
  <c r="C186" i="83"/>
  <c r="E185" i="83"/>
  <c r="D185" i="83"/>
  <c r="C185" i="83"/>
  <c r="E184" i="83"/>
  <c r="D184" i="83"/>
  <c r="C184" i="83"/>
  <c r="E183" i="83"/>
  <c r="D183" i="83"/>
  <c r="C183" i="83"/>
  <c r="E182" i="83"/>
  <c r="D182" i="83"/>
  <c r="C182" i="83"/>
  <c r="E181" i="83"/>
  <c r="D181" i="83"/>
  <c r="C181" i="83"/>
  <c r="E180" i="83"/>
  <c r="D180" i="83"/>
  <c r="C180" i="83"/>
  <c r="E179" i="83"/>
  <c r="D179" i="83"/>
  <c r="C179" i="83"/>
  <c r="E178" i="83"/>
  <c r="D178" i="83"/>
  <c r="C178" i="83"/>
  <c r="E177" i="83"/>
  <c r="D177" i="83"/>
  <c r="C177" i="83"/>
  <c r="E176" i="83"/>
  <c r="D176" i="83"/>
  <c r="C176" i="83"/>
  <c r="E175" i="83"/>
  <c r="D175" i="83"/>
  <c r="C175" i="83"/>
  <c r="E174" i="83"/>
  <c r="D174" i="83"/>
  <c r="C174" i="83"/>
  <c r="E173" i="83"/>
  <c r="D173" i="83"/>
  <c r="C173" i="83"/>
  <c r="E172" i="83"/>
  <c r="D172" i="83"/>
  <c r="C172" i="83"/>
  <c r="E171" i="83"/>
  <c r="D171" i="83"/>
  <c r="C171" i="83"/>
  <c r="E170" i="83"/>
  <c r="D170" i="83"/>
  <c r="C170" i="83"/>
  <c r="E169" i="83"/>
  <c r="D169" i="83"/>
  <c r="C169" i="83"/>
  <c r="E165" i="83"/>
  <c r="D165" i="83"/>
  <c r="C165" i="83"/>
  <c r="E164" i="83"/>
  <c r="D164" i="83"/>
  <c r="C164" i="83"/>
  <c r="E163" i="83"/>
  <c r="D163" i="83"/>
  <c r="C163" i="83"/>
  <c r="E162" i="83"/>
  <c r="D162" i="83"/>
  <c r="C162" i="83"/>
  <c r="E161" i="83"/>
  <c r="D161" i="83"/>
  <c r="C161" i="83"/>
  <c r="E160" i="83"/>
  <c r="D160" i="83"/>
  <c r="C160" i="83"/>
  <c r="E158" i="83"/>
  <c r="D158" i="83"/>
  <c r="C158" i="83"/>
  <c r="E157" i="83"/>
  <c r="D157" i="83"/>
  <c r="C157" i="83"/>
  <c r="E156" i="83"/>
  <c r="D156" i="83"/>
  <c r="C156" i="83"/>
  <c r="E155" i="83"/>
  <c r="D155" i="83"/>
  <c r="C155" i="83"/>
  <c r="E154" i="83"/>
  <c r="D154" i="83"/>
  <c r="C154" i="83"/>
  <c r="E153" i="83"/>
  <c r="D153" i="83"/>
  <c r="C153" i="83"/>
  <c r="E152" i="83"/>
  <c r="D152" i="83"/>
  <c r="C152" i="83"/>
  <c r="E151" i="83"/>
  <c r="D151" i="83"/>
  <c r="C151" i="83"/>
  <c r="E150" i="83"/>
  <c r="D150" i="83"/>
  <c r="C150" i="83"/>
  <c r="E148" i="83"/>
  <c r="D148" i="83"/>
  <c r="C148" i="83"/>
  <c r="E147" i="83"/>
  <c r="D147" i="83"/>
  <c r="C147" i="83"/>
  <c r="E146" i="83"/>
  <c r="D146" i="83"/>
  <c r="C146" i="83"/>
  <c r="E145" i="83"/>
  <c r="D145" i="83"/>
  <c r="C145" i="83"/>
  <c r="E143" i="83"/>
  <c r="D143" i="83"/>
  <c r="C143" i="83"/>
  <c r="E142" i="83"/>
  <c r="D142" i="83"/>
  <c r="C142" i="83"/>
  <c r="E141" i="83"/>
  <c r="D141" i="83"/>
  <c r="C141" i="83"/>
  <c r="E140" i="83"/>
  <c r="D140" i="83"/>
  <c r="C140" i="83"/>
  <c r="E138" i="83"/>
  <c r="D138" i="83"/>
  <c r="C138" i="83"/>
  <c r="E137" i="83"/>
  <c r="D137" i="83"/>
  <c r="C137" i="83"/>
  <c r="E136" i="83"/>
  <c r="D136" i="83"/>
  <c r="C136" i="83"/>
  <c r="E135" i="83"/>
  <c r="D135" i="83"/>
  <c r="C135" i="83"/>
  <c r="E134" i="83"/>
  <c r="D134" i="83"/>
  <c r="C134" i="83"/>
  <c r="E132" i="83"/>
  <c r="D132" i="83"/>
  <c r="C132" i="83"/>
  <c r="E131" i="83"/>
  <c r="D131" i="83"/>
  <c r="C131" i="83"/>
  <c r="E130" i="83"/>
  <c r="D130" i="83"/>
  <c r="C130" i="83"/>
  <c r="E129" i="83"/>
  <c r="D129" i="83"/>
  <c r="C129" i="83"/>
  <c r="E128" i="83"/>
  <c r="D128" i="83"/>
  <c r="C128" i="83"/>
  <c r="E123" i="83"/>
  <c r="D123" i="83"/>
  <c r="C123" i="83"/>
  <c r="E122" i="83"/>
  <c r="D122" i="83"/>
  <c r="C122" i="83"/>
  <c r="E121" i="83"/>
  <c r="D121" i="83"/>
  <c r="C121" i="83"/>
  <c r="E120" i="83"/>
  <c r="D120" i="83"/>
  <c r="C120" i="83"/>
  <c r="E119" i="83"/>
  <c r="D119" i="83"/>
  <c r="C119" i="83"/>
  <c r="E115" i="83"/>
  <c r="D115" i="83"/>
  <c r="C115" i="83"/>
  <c r="E114" i="83"/>
  <c r="D114" i="83"/>
  <c r="C114" i="83"/>
  <c r="E113" i="83"/>
  <c r="D113" i="83"/>
  <c r="C113" i="83"/>
  <c r="E112" i="83"/>
  <c r="D112" i="83"/>
  <c r="C112" i="83"/>
  <c r="E111" i="83"/>
  <c r="D111" i="83"/>
  <c r="C111" i="83"/>
  <c r="E110" i="83"/>
  <c r="D110" i="83"/>
  <c r="C110" i="83"/>
  <c r="E106" i="83"/>
  <c r="D106" i="83"/>
  <c r="C106" i="83"/>
  <c r="E105" i="83"/>
  <c r="D105" i="83"/>
  <c r="C105" i="83"/>
  <c r="E104" i="83"/>
  <c r="D104" i="83"/>
  <c r="C104" i="83"/>
  <c r="E103" i="83"/>
  <c r="D103" i="83"/>
  <c r="C103" i="83"/>
  <c r="E102" i="83"/>
  <c r="D102" i="83"/>
  <c r="C102" i="83"/>
  <c r="E101" i="83"/>
  <c r="D101" i="83"/>
  <c r="C101" i="83"/>
  <c r="E97" i="83"/>
  <c r="D97" i="83"/>
  <c r="C97" i="83"/>
  <c r="E96" i="83"/>
  <c r="D96" i="83"/>
  <c r="C96" i="83"/>
  <c r="E95" i="83"/>
  <c r="D95" i="83"/>
  <c r="C95" i="83"/>
  <c r="E94" i="83"/>
  <c r="D94" i="83"/>
  <c r="C94" i="83"/>
  <c r="E93" i="83"/>
  <c r="D93" i="83"/>
  <c r="C93" i="83"/>
  <c r="E92" i="83"/>
  <c r="D92" i="83"/>
  <c r="C92" i="83"/>
  <c r="E91" i="83"/>
  <c r="D91" i="83"/>
  <c r="C91" i="83"/>
  <c r="E90" i="83"/>
  <c r="D90" i="83"/>
  <c r="C90" i="83"/>
  <c r="E89" i="83"/>
  <c r="D89" i="83"/>
  <c r="C89" i="83"/>
  <c r="E88" i="83"/>
  <c r="D88" i="83"/>
  <c r="C88" i="83"/>
  <c r="E87" i="83"/>
  <c r="E98" i="83" s="1"/>
  <c r="D87" i="83"/>
  <c r="C87" i="83"/>
  <c r="E83" i="83"/>
  <c r="D83" i="83"/>
  <c r="C83" i="83"/>
  <c r="E82" i="83"/>
  <c r="D82" i="83"/>
  <c r="C82" i="83"/>
  <c r="E81" i="83"/>
  <c r="D81" i="83"/>
  <c r="C81" i="83"/>
  <c r="E80" i="83"/>
  <c r="D80" i="83"/>
  <c r="C80" i="83"/>
  <c r="E79" i="83"/>
  <c r="C79" i="83"/>
  <c r="E78" i="83"/>
  <c r="D78" i="83"/>
  <c r="C78" i="83"/>
  <c r="E77" i="83"/>
  <c r="D77" i="83"/>
  <c r="C77" i="83"/>
  <c r="E76" i="83"/>
  <c r="D76" i="83"/>
  <c r="C76" i="83"/>
  <c r="E75" i="83"/>
  <c r="D75" i="83"/>
  <c r="C75" i="83"/>
  <c r="E74" i="83"/>
  <c r="D74" i="83"/>
  <c r="C74" i="83"/>
  <c r="E73" i="83"/>
  <c r="C73" i="83"/>
  <c r="E72" i="83"/>
  <c r="D72" i="83"/>
  <c r="C72" i="83"/>
  <c r="E71" i="83"/>
  <c r="C71" i="83"/>
  <c r="E70" i="83"/>
  <c r="C70" i="83"/>
  <c r="E69" i="83"/>
  <c r="D69" i="83"/>
  <c r="C69" i="83"/>
  <c r="E65" i="83"/>
  <c r="D65" i="83"/>
  <c r="C65" i="83"/>
  <c r="E64" i="83"/>
  <c r="D64" i="83"/>
  <c r="C64" i="83"/>
  <c r="E63" i="83"/>
  <c r="D63" i="83"/>
  <c r="C63" i="83"/>
  <c r="E62" i="83"/>
  <c r="D62" i="83"/>
  <c r="C62" i="83"/>
  <c r="E61" i="83"/>
  <c r="D61" i="83"/>
  <c r="C61" i="83"/>
  <c r="E60" i="83"/>
  <c r="D60" i="83"/>
  <c r="C60" i="83"/>
  <c r="E59" i="83"/>
  <c r="C59" i="83"/>
  <c r="E58" i="83"/>
  <c r="D58" i="83"/>
  <c r="C58" i="83"/>
  <c r="E57" i="83"/>
  <c r="D57" i="83"/>
  <c r="C57" i="83"/>
  <c r="E56" i="83"/>
  <c r="D56" i="83"/>
  <c r="C56" i="83"/>
  <c r="E55" i="83"/>
  <c r="D55" i="83"/>
  <c r="C55" i="83"/>
  <c r="E54" i="83"/>
  <c r="D54" i="83"/>
  <c r="C54" i="83"/>
  <c r="E53" i="83"/>
  <c r="D53" i="83"/>
  <c r="C53" i="83"/>
  <c r="E52" i="83"/>
  <c r="D52" i="83"/>
  <c r="C52" i="83"/>
  <c r="E51" i="83"/>
  <c r="D51" i="83"/>
  <c r="C51" i="83"/>
  <c r="E50" i="83"/>
  <c r="D50" i="83"/>
  <c r="C50" i="83"/>
  <c r="E49" i="83"/>
  <c r="D49" i="83"/>
  <c r="C49" i="83"/>
  <c r="E48" i="83"/>
  <c r="D48" i="83"/>
  <c r="C48" i="83"/>
  <c r="E47" i="83"/>
  <c r="D47" i="83"/>
  <c r="C47" i="83"/>
  <c r="E46" i="83"/>
  <c r="D46" i="83"/>
  <c r="C46" i="83"/>
  <c r="E45" i="83"/>
  <c r="D45" i="83"/>
  <c r="C45" i="83"/>
  <c r="E44" i="83"/>
  <c r="D44" i="83"/>
  <c r="C44" i="83"/>
  <c r="E43" i="83"/>
  <c r="D43" i="83"/>
  <c r="C43" i="83"/>
  <c r="E42" i="83"/>
  <c r="D42" i="83"/>
  <c r="C42" i="83"/>
  <c r="E41" i="83"/>
  <c r="C41" i="83"/>
  <c r="E40" i="83"/>
  <c r="D40" i="83"/>
  <c r="C40" i="83"/>
  <c r="E39" i="83"/>
  <c r="D39" i="83"/>
  <c r="C39" i="83"/>
  <c r="E38" i="83"/>
  <c r="D38" i="83"/>
  <c r="C38" i="83"/>
  <c r="E37" i="83"/>
  <c r="D37" i="83"/>
  <c r="C37" i="83"/>
  <c r="E36" i="83"/>
  <c r="C36" i="83"/>
  <c r="E35" i="83"/>
  <c r="C35" i="83"/>
  <c r="E34" i="83"/>
  <c r="D34" i="83"/>
  <c r="C34" i="83"/>
  <c r="E33" i="83"/>
  <c r="D33" i="83"/>
  <c r="C33" i="83"/>
  <c r="E32" i="83"/>
  <c r="D32" i="83"/>
  <c r="C32" i="83"/>
  <c r="E31" i="83"/>
  <c r="D31" i="83"/>
  <c r="C31" i="83"/>
  <c r="E30" i="83"/>
  <c r="D30" i="83"/>
  <c r="C30" i="83"/>
  <c r="D25" i="83"/>
  <c r="C25" i="83"/>
  <c r="D24" i="83"/>
  <c r="C24" i="83"/>
  <c r="D23" i="83"/>
  <c r="C23" i="83"/>
  <c r="D22" i="83"/>
  <c r="C22" i="83"/>
  <c r="D21" i="83"/>
  <c r="C21" i="83"/>
  <c r="D20" i="83"/>
  <c r="C20" i="83"/>
  <c r="D19" i="83"/>
  <c r="C19" i="83"/>
  <c r="D18" i="83"/>
  <c r="C18" i="83"/>
  <c r="D17" i="83"/>
  <c r="C17" i="83"/>
  <c r="D16" i="83"/>
  <c r="C16" i="83"/>
  <c r="D15" i="83"/>
  <c r="C15" i="83"/>
  <c r="D14" i="83"/>
  <c r="C14" i="83"/>
  <c r="D13" i="83"/>
  <c r="C13" i="83"/>
  <c r="D12" i="83"/>
  <c r="C12" i="83"/>
  <c r="F12" i="83" s="1"/>
  <c r="I12" i="83" s="1"/>
  <c r="C4" i="83"/>
  <c r="C238" i="83" s="1"/>
  <c r="C3" i="83"/>
  <c r="C26" i="83" l="1"/>
  <c r="E166" i="83"/>
  <c r="C233" i="83"/>
  <c r="C116" i="83"/>
  <c r="C211" i="83"/>
  <c r="D116" i="83"/>
  <c r="D211" i="83"/>
  <c r="D124" i="83"/>
  <c r="D26" i="83"/>
  <c r="C84" i="83"/>
  <c r="D84" i="83"/>
  <c r="E124" i="83"/>
  <c r="C202" i="83"/>
  <c r="C98" i="83"/>
  <c r="D98" i="83"/>
  <c r="C166" i="83"/>
  <c r="D166" i="83"/>
  <c r="D202" i="83"/>
  <c r="E84" i="83"/>
  <c r="C107" i="83"/>
  <c r="D107" i="83"/>
  <c r="E107" i="83"/>
  <c r="E116" i="83"/>
  <c r="C124" i="83"/>
  <c r="E202" i="83"/>
  <c r="C66" i="83"/>
  <c r="D66" i="83"/>
  <c r="E66" i="83"/>
  <c r="D213" i="83" l="1"/>
  <c r="D220" i="83" s="1"/>
  <c r="E213" i="83"/>
  <c r="E220" i="83" s="1"/>
  <c r="C213" i="83"/>
  <c r="C220" i="83" s="1"/>
  <c r="C217" i="83" l="1"/>
  <c r="G232" i="165"/>
  <c r="G229" i="165"/>
  <c r="G228" i="165"/>
  <c r="G227" i="165"/>
  <c r="G226" i="165"/>
  <c r="G224" i="165"/>
  <c r="G78" i="104" l="1"/>
  <c r="G120" i="150" l="1"/>
  <c r="G119" i="150"/>
  <c r="D18" i="39" l="1"/>
  <c r="C243" i="39"/>
  <c r="C242" i="39"/>
  <c r="C241" i="39"/>
  <c r="C240" i="39"/>
  <c r="C237" i="39"/>
  <c r="C236" i="39"/>
  <c r="E233" i="39"/>
  <c r="D233" i="39"/>
  <c r="C232" i="39"/>
  <c r="C231" i="39"/>
  <c r="C230" i="39"/>
  <c r="C229" i="39"/>
  <c r="C228" i="39"/>
  <c r="C227" i="39"/>
  <c r="C226" i="39"/>
  <c r="C225" i="39"/>
  <c r="C224" i="39"/>
  <c r="C216" i="39"/>
  <c r="E210" i="39"/>
  <c r="D210" i="39"/>
  <c r="C210" i="39"/>
  <c r="E209" i="39"/>
  <c r="D209" i="39"/>
  <c r="C209" i="39"/>
  <c r="E208" i="39"/>
  <c r="D208" i="39"/>
  <c r="C208" i="39"/>
  <c r="E207" i="39"/>
  <c r="D207" i="39"/>
  <c r="C207" i="39"/>
  <c r="E206" i="39"/>
  <c r="D206" i="39"/>
  <c r="C206" i="39"/>
  <c r="E205" i="39"/>
  <c r="D205" i="39"/>
  <c r="C205" i="39"/>
  <c r="E201" i="39"/>
  <c r="D201" i="39"/>
  <c r="C201" i="39"/>
  <c r="E200" i="39"/>
  <c r="D200" i="39"/>
  <c r="C200" i="39"/>
  <c r="E199" i="39"/>
  <c r="D199" i="39"/>
  <c r="C199" i="39"/>
  <c r="E198" i="39"/>
  <c r="D198" i="39"/>
  <c r="C198" i="39"/>
  <c r="E197" i="39"/>
  <c r="D197" i="39"/>
  <c r="C197" i="39"/>
  <c r="E196" i="39"/>
  <c r="D196" i="39"/>
  <c r="C196" i="39"/>
  <c r="E195" i="39"/>
  <c r="D195" i="39"/>
  <c r="C195" i="39"/>
  <c r="E194" i="39"/>
  <c r="D194" i="39"/>
  <c r="C194" i="39"/>
  <c r="E193" i="39"/>
  <c r="D193" i="39"/>
  <c r="C193" i="39"/>
  <c r="E192" i="39"/>
  <c r="D192" i="39"/>
  <c r="C192" i="39"/>
  <c r="E191" i="39"/>
  <c r="D191" i="39"/>
  <c r="C191" i="39"/>
  <c r="E190" i="39"/>
  <c r="D190" i="39"/>
  <c r="C190" i="39"/>
  <c r="E189" i="39"/>
  <c r="D189" i="39"/>
  <c r="C189" i="39"/>
  <c r="E188" i="39"/>
  <c r="D188" i="39"/>
  <c r="C188" i="39"/>
  <c r="E187" i="39"/>
  <c r="D187" i="39"/>
  <c r="C187" i="39"/>
  <c r="E186" i="39"/>
  <c r="D186" i="39"/>
  <c r="C186" i="39"/>
  <c r="E185" i="39"/>
  <c r="D185" i="39"/>
  <c r="C185" i="39"/>
  <c r="E184" i="39"/>
  <c r="D184" i="39"/>
  <c r="C184" i="39"/>
  <c r="E183" i="39"/>
  <c r="D183" i="39"/>
  <c r="C183" i="39"/>
  <c r="E182" i="39"/>
  <c r="D182" i="39"/>
  <c r="C182" i="39"/>
  <c r="E181" i="39"/>
  <c r="D181" i="39"/>
  <c r="C181" i="39"/>
  <c r="E180" i="39"/>
  <c r="D180" i="39"/>
  <c r="C180" i="39"/>
  <c r="E179" i="39"/>
  <c r="D179" i="39"/>
  <c r="C179" i="39"/>
  <c r="E178" i="39"/>
  <c r="D178" i="39"/>
  <c r="C178" i="39"/>
  <c r="E177" i="39"/>
  <c r="D177" i="39"/>
  <c r="C177" i="39"/>
  <c r="E176" i="39"/>
  <c r="D176" i="39"/>
  <c r="C176" i="39"/>
  <c r="E175" i="39"/>
  <c r="D175" i="39"/>
  <c r="C175" i="39"/>
  <c r="E174" i="39"/>
  <c r="D174" i="39"/>
  <c r="C174" i="39"/>
  <c r="E173" i="39"/>
  <c r="D173" i="39"/>
  <c r="C173" i="39"/>
  <c r="E172" i="39"/>
  <c r="D172" i="39"/>
  <c r="C172" i="39"/>
  <c r="E171" i="39"/>
  <c r="D171" i="39"/>
  <c r="C171" i="39"/>
  <c r="E170" i="39"/>
  <c r="D170" i="39"/>
  <c r="C170" i="39"/>
  <c r="E169" i="39"/>
  <c r="D169" i="39"/>
  <c r="C169" i="39"/>
  <c r="E165" i="39"/>
  <c r="D165" i="39"/>
  <c r="C165" i="39"/>
  <c r="E164" i="39"/>
  <c r="D164" i="39"/>
  <c r="C164" i="39"/>
  <c r="E163" i="39"/>
  <c r="D163" i="39"/>
  <c r="C163" i="39"/>
  <c r="E162" i="39"/>
  <c r="D162" i="39"/>
  <c r="C162" i="39"/>
  <c r="E161" i="39"/>
  <c r="D161" i="39"/>
  <c r="C161" i="39"/>
  <c r="E160" i="39"/>
  <c r="D160" i="39"/>
  <c r="C160" i="39"/>
  <c r="E158" i="39"/>
  <c r="D158" i="39"/>
  <c r="C158" i="39"/>
  <c r="E157" i="39"/>
  <c r="D157" i="39"/>
  <c r="C157" i="39"/>
  <c r="E156" i="39"/>
  <c r="D156" i="39"/>
  <c r="C156" i="39"/>
  <c r="E155" i="39"/>
  <c r="D155" i="39"/>
  <c r="C155" i="39"/>
  <c r="E154" i="39"/>
  <c r="D154" i="39"/>
  <c r="C154" i="39"/>
  <c r="E153" i="39"/>
  <c r="D153" i="39"/>
  <c r="C153" i="39"/>
  <c r="E152" i="39"/>
  <c r="D152" i="39"/>
  <c r="C152" i="39"/>
  <c r="E151" i="39"/>
  <c r="D151" i="39"/>
  <c r="C151" i="39"/>
  <c r="E150" i="39"/>
  <c r="D150" i="39"/>
  <c r="C150" i="39"/>
  <c r="E148" i="39"/>
  <c r="D148" i="39"/>
  <c r="C148" i="39"/>
  <c r="E147" i="39"/>
  <c r="D147" i="39"/>
  <c r="C147" i="39"/>
  <c r="E146" i="39"/>
  <c r="D146" i="39"/>
  <c r="C146" i="39"/>
  <c r="E145" i="39"/>
  <c r="D145" i="39"/>
  <c r="C145" i="39"/>
  <c r="E143" i="39"/>
  <c r="D143" i="39"/>
  <c r="C143" i="39"/>
  <c r="E142" i="39"/>
  <c r="D142" i="39"/>
  <c r="C142" i="39"/>
  <c r="E141" i="39"/>
  <c r="D141" i="39"/>
  <c r="C141" i="39"/>
  <c r="E140" i="39"/>
  <c r="D140" i="39"/>
  <c r="C140" i="39"/>
  <c r="E138" i="39"/>
  <c r="D138" i="39"/>
  <c r="C138" i="39"/>
  <c r="E137" i="39"/>
  <c r="D137" i="39"/>
  <c r="C137" i="39"/>
  <c r="E136" i="39"/>
  <c r="D136" i="39"/>
  <c r="C136" i="39"/>
  <c r="E135" i="39"/>
  <c r="D135" i="39"/>
  <c r="C135" i="39"/>
  <c r="E134" i="39"/>
  <c r="D134" i="39"/>
  <c r="C134" i="39"/>
  <c r="E132" i="39"/>
  <c r="D132" i="39"/>
  <c r="C132" i="39"/>
  <c r="E131" i="39"/>
  <c r="D131" i="39"/>
  <c r="C131" i="39"/>
  <c r="E130" i="39"/>
  <c r="D130" i="39"/>
  <c r="C130" i="39"/>
  <c r="E129" i="39"/>
  <c r="D129" i="39"/>
  <c r="C129" i="39"/>
  <c r="E128" i="39"/>
  <c r="D128" i="39"/>
  <c r="C128" i="39"/>
  <c r="E123" i="39"/>
  <c r="D123" i="39"/>
  <c r="C123" i="39"/>
  <c r="E122" i="39"/>
  <c r="D122" i="39"/>
  <c r="C122" i="39"/>
  <c r="E121" i="39"/>
  <c r="D121" i="39"/>
  <c r="C121" i="39"/>
  <c r="E120" i="39"/>
  <c r="D120" i="39"/>
  <c r="C120" i="39"/>
  <c r="E119" i="39"/>
  <c r="D119" i="39"/>
  <c r="C119" i="39"/>
  <c r="E115" i="39"/>
  <c r="D115" i="39"/>
  <c r="C115" i="39"/>
  <c r="E114" i="39"/>
  <c r="D114" i="39"/>
  <c r="C114" i="39"/>
  <c r="E113" i="39"/>
  <c r="D113" i="39"/>
  <c r="C113" i="39"/>
  <c r="E112" i="39"/>
  <c r="D112" i="39"/>
  <c r="C112" i="39"/>
  <c r="E111" i="39"/>
  <c r="D111" i="39"/>
  <c r="C111" i="39"/>
  <c r="E110" i="39"/>
  <c r="D110" i="39"/>
  <c r="C110" i="39"/>
  <c r="E106" i="39"/>
  <c r="D106" i="39"/>
  <c r="C106" i="39"/>
  <c r="E105" i="39"/>
  <c r="D105" i="39"/>
  <c r="C105" i="39"/>
  <c r="E104" i="39"/>
  <c r="D104" i="39"/>
  <c r="C104" i="39"/>
  <c r="E103" i="39"/>
  <c r="D103" i="39"/>
  <c r="C103" i="39"/>
  <c r="E102" i="39"/>
  <c r="D102" i="39"/>
  <c r="C102" i="39"/>
  <c r="E101" i="39"/>
  <c r="D101" i="39"/>
  <c r="C101" i="39"/>
  <c r="E97" i="39"/>
  <c r="D97" i="39"/>
  <c r="C97" i="39"/>
  <c r="E96" i="39"/>
  <c r="D96" i="39"/>
  <c r="C96" i="39"/>
  <c r="E95" i="39"/>
  <c r="D95" i="39"/>
  <c r="C95" i="39"/>
  <c r="E94" i="39"/>
  <c r="D94" i="39"/>
  <c r="C94" i="39"/>
  <c r="E93" i="39"/>
  <c r="D93" i="39"/>
  <c r="C93" i="39"/>
  <c r="E92" i="39"/>
  <c r="D92" i="39"/>
  <c r="C92" i="39"/>
  <c r="E91" i="39"/>
  <c r="D91" i="39"/>
  <c r="C91" i="39"/>
  <c r="E90" i="39"/>
  <c r="D90" i="39"/>
  <c r="C90" i="39"/>
  <c r="E89" i="39"/>
  <c r="D89" i="39"/>
  <c r="C89" i="39"/>
  <c r="E88" i="39"/>
  <c r="D88" i="39"/>
  <c r="C88" i="39"/>
  <c r="E87" i="39"/>
  <c r="D87" i="39"/>
  <c r="C87" i="39"/>
  <c r="E83" i="39"/>
  <c r="D83" i="39"/>
  <c r="C83" i="39"/>
  <c r="E82" i="39"/>
  <c r="D82" i="39"/>
  <c r="C82" i="39"/>
  <c r="E81" i="39"/>
  <c r="D81" i="39"/>
  <c r="C81" i="39"/>
  <c r="E80" i="39"/>
  <c r="D80" i="39"/>
  <c r="C80" i="39"/>
  <c r="E79" i="39"/>
  <c r="D79" i="39"/>
  <c r="C79" i="39"/>
  <c r="E78" i="39"/>
  <c r="D78" i="39"/>
  <c r="C78" i="39"/>
  <c r="E77" i="39"/>
  <c r="D77" i="39"/>
  <c r="C77" i="39"/>
  <c r="E76" i="39"/>
  <c r="D76" i="39"/>
  <c r="C76" i="39"/>
  <c r="E75" i="39"/>
  <c r="D75" i="39"/>
  <c r="C75" i="39"/>
  <c r="E74" i="39"/>
  <c r="D74" i="39"/>
  <c r="C74" i="39"/>
  <c r="E73" i="39"/>
  <c r="D73" i="39"/>
  <c r="C73" i="39"/>
  <c r="E72" i="39"/>
  <c r="D72" i="39"/>
  <c r="C72" i="39"/>
  <c r="E71" i="39"/>
  <c r="D71" i="39"/>
  <c r="C71" i="39"/>
  <c r="E70" i="39"/>
  <c r="D70" i="39"/>
  <c r="C70" i="39"/>
  <c r="E69" i="39"/>
  <c r="D69" i="39"/>
  <c r="C69" i="39"/>
  <c r="E65" i="39"/>
  <c r="D65" i="39"/>
  <c r="C65" i="39"/>
  <c r="E64" i="39"/>
  <c r="D64" i="39"/>
  <c r="C64" i="39"/>
  <c r="E63" i="39"/>
  <c r="D63" i="39"/>
  <c r="C63" i="39"/>
  <c r="E62" i="39"/>
  <c r="D62" i="39"/>
  <c r="C62" i="39"/>
  <c r="E61" i="39"/>
  <c r="D61" i="39"/>
  <c r="C61" i="39"/>
  <c r="E60" i="39"/>
  <c r="D60" i="39"/>
  <c r="C60" i="39"/>
  <c r="E59" i="39"/>
  <c r="D59" i="39"/>
  <c r="C59" i="39"/>
  <c r="E58" i="39"/>
  <c r="D58" i="39"/>
  <c r="C58" i="39"/>
  <c r="E57" i="39"/>
  <c r="D57" i="39"/>
  <c r="C57" i="39"/>
  <c r="E56" i="39"/>
  <c r="D56" i="39"/>
  <c r="C56" i="39"/>
  <c r="E55" i="39"/>
  <c r="D55" i="39"/>
  <c r="C55" i="39"/>
  <c r="E54" i="39"/>
  <c r="D54" i="39"/>
  <c r="C54" i="39"/>
  <c r="E53" i="39"/>
  <c r="D53" i="39"/>
  <c r="C53" i="39"/>
  <c r="E52" i="39"/>
  <c r="D52" i="39"/>
  <c r="C52" i="39"/>
  <c r="E51" i="39"/>
  <c r="D51" i="39"/>
  <c r="C51" i="39"/>
  <c r="E50" i="39"/>
  <c r="D50" i="39"/>
  <c r="C50" i="39"/>
  <c r="E49" i="39"/>
  <c r="D49" i="39"/>
  <c r="C49" i="39"/>
  <c r="E48" i="39"/>
  <c r="D48" i="39"/>
  <c r="C48" i="39"/>
  <c r="E47" i="39"/>
  <c r="D47" i="39"/>
  <c r="C47" i="39"/>
  <c r="E46" i="39"/>
  <c r="D46" i="39"/>
  <c r="C46" i="39"/>
  <c r="E45" i="39"/>
  <c r="D45" i="39"/>
  <c r="C45" i="39"/>
  <c r="E44" i="39"/>
  <c r="D44" i="39"/>
  <c r="C44" i="39"/>
  <c r="E43" i="39"/>
  <c r="D43" i="39"/>
  <c r="C43" i="39"/>
  <c r="E42" i="39"/>
  <c r="D42" i="39"/>
  <c r="C42" i="39"/>
  <c r="E41" i="39"/>
  <c r="D41" i="39"/>
  <c r="C41" i="39"/>
  <c r="E40" i="39"/>
  <c r="D40" i="39"/>
  <c r="C40" i="39"/>
  <c r="E39" i="39"/>
  <c r="D39" i="39"/>
  <c r="C39" i="39"/>
  <c r="E38" i="39"/>
  <c r="D38" i="39"/>
  <c r="C38" i="39"/>
  <c r="E37" i="39"/>
  <c r="D37" i="39"/>
  <c r="C37" i="39"/>
  <c r="E36" i="39"/>
  <c r="D36" i="39"/>
  <c r="C36" i="39"/>
  <c r="E35" i="39"/>
  <c r="D35" i="39"/>
  <c r="C35" i="39"/>
  <c r="E34" i="39"/>
  <c r="D34" i="39"/>
  <c r="C34" i="39"/>
  <c r="E33" i="39"/>
  <c r="D33" i="39"/>
  <c r="C33" i="39"/>
  <c r="E32" i="39"/>
  <c r="D32" i="39"/>
  <c r="C32" i="39"/>
  <c r="E31" i="39"/>
  <c r="D31" i="39"/>
  <c r="C31" i="39"/>
  <c r="E30" i="39"/>
  <c r="D30" i="39"/>
  <c r="C30" i="39"/>
  <c r="D25" i="39"/>
  <c r="C25" i="39"/>
  <c r="D24" i="39"/>
  <c r="C24" i="39"/>
  <c r="D23" i="39"/>
  <c r="C23" i="39"/>
  <c r="D22" i="39"/>
  <c r="C22" i="39"/>
  <c r="D21" i="39"/>
  <c r="C21" i="39"/>
  <c r="D20" i="39"/>
  <c r="C20" i="39"/>
  <c r="D19" i="39"/>
  <c r="C19" i="39"/>
  <c r="C18" i="39"/>
  <c r="D17" i="39"/>
  <c r="C17" i="39"/>
  <c r="D16" i="39"/>
  <c r="C16" i="39"/>
  <c r="D15" i="39"/>
  <c r="C15" i="39"/>
  <c r="D14" i="39"/>
  <c r="C14" i="39"/>
  <c r="D13" i="39"/>
  <c r="C13" i="39"/>
  <c r="D12" i="39"/>
  <c r="C12" i="39"/>
  <c r="F12" i="39" l="1"/>
  <c r="I12" i="39" s="1"/>
  <c r="C26" i="39"/>
  <c r="C98" i="39"/>
  <c r="D98" i="39"/>
  <c r="C166" i="39"/>
  <c r="D166" i="39"/>
  <c r="D26" i="39"/>
  <c r="E116" i="39"/>
  <c r="E84" i="39"/>
  <c r="C107" i="39"/>
  <c r="D107" i="39"/>
  <c r="E107" i="39"/>
  <c r="D124" i="39"/>
  <c r="E202" i="39"/>
  <c r="E98" i="39"/>
  <c r="C116" i="39"/>
  <c r="D116" i="39"/>
  <c r="E166" i="39"/>
  <c r="C211" i="39"/>
  <c r="D211" i="39"/>
  <c r="E211" i="39"/>
  <c r="C233" i="39"/>
  <c r="C124" i="39"/>
  <c r="C84" i="39"/>
  <c r="D84" i="39"/>
  <c r="E124" i="39"/>
  <c r="C202" i="39"/>
  <c r="D202" i="39"/>
  <c r="C66" i="39"/>
  <c r="D66" i="39"/>
  <c r="E66" i="39"/>
  <c r="D201" i="15"/>
  <c r="D213" i="39" l="1"/>
  <c r="D220" i="39" s="1"/>
  <c r="C213" i="39"/>
  <c r="C217" i="39" s="1"/>
  <c r="E213" i="39"/>
  <c r="E220" i="39" s="1"/>
  <c r="C210" i="62"/>
  <c r="C220" i="39" l="1"/>
  <c r="G65" i="164"/>
  <c r="G65" i="95" l="1"/>
  <c r="G65" i="1" l="1"/>
  <c r="G65" i="165" l="1"/>
  <c r="G65" i="54" l="1"/>
  <c r="G65" i="118"/>
  <c r="G66" i="118" l="1"/>
  <c r="I249" i="106" l="1"/>
  <c r="I248" i="106"/>
  <c r="I247" i="106"/>
  <c r="I246" i="106"/>
  <c r="C243" i="106"/>
  <c r="C242" i="106"/>
  <c r="C241" i="106"/>
  <c r="C240" i="106"/>
  <c r="C237" i="106"/>
  <c r="C236" i="106"/>
  <c r="E233" i="106"/>
  <c r="D233" i="106"/>
  <c r="C232" i="106"/>
  <c r="C231" i="106"/>
  <c r="C230" i="106"/>
  <c r="C229" i="106"/>
  <c r="C228" i="106"/>
  <c r="C227" i="106"/>
  <c r="C226" i="106"/>
  <c r="C225" i="106"/>
  <c r="C224" i="106"/>
  <c r="C216" i="106"/>
  <c r="E210" i="106"/>
  <c r="D210" i="106"/>
  <c r="C210" i="106"/>
  <c r="E209" i="106"/>
  <c r="D209" i="106"/>
  <c r="C209" i="106"/>
  <c r="E208" i="106"/>
  <c r="D208" i="106"/>
  <c r="C208" i="106"/>
  <c r="E207" i="106"/>
  <c r="D207" i="106"/>
  <c r="C207" i="106"/>
  <c r="E206" i="106"/>
  <c r="D206" i="106"/>
  <c r="C206" i="106"/>
  <c r="E205" i="106"/>
  <c r="D205" i="106"/>
  <c r="C205" i="106"/>
  <c r="E201" i="106"/>
  <c r="D201" i="106"/>
  <c r="C201" i="106"/>
  <c r="E200" i="106"/>
  <c r="D200" i="106"/>
  <c r="C200" i="106"/>
  <c r="E199" i="106"/>
  <c r="D199" i="106"/>
  <c r="C199" i="106"/>
  <c r="E198" i="106"/>
  <c r="D198" i="106"/>
  <c r="C198" i="106"/>
  <c r="E197" i="106"/>
  <c r="D197" i="106"/>
  <c r="C197" i="106"/>
  <c r="E196" i="106"/>
  <c r="D196" i="106"/>
  <c r="C196" i="106"/>
  <c r="E195" i="106"/>
  <c r="D195" i="106"/>
  <c r="C195" i="106"/>
  <c r="E194" i="106"/>
  <c r="D194" i="106"/>
  <c r="C194" i="106"/>
  <c r="E193" i="106"/>
  <c r="D193" i="106"/>
  <c r="C193" i="106"/>
  <c r="E192" i="106"/>
  <c r="D192" i="106"/>
  <c r="C192" i="106"/>
  <c r="E191" i="106"/>
  <c r="D191" i="106"/>
  <c r="C191" i="106"/>
  <c r="E190" i="106"/>
  <c r="D190" i="106"/>
  <c r="C190" i="106"/>
  <c r="E189" i="106"/>
  <c r="D189" i="106"/>
  <c r="C189" i="106"/>
  <c r="E188" i="106"/>
  <c r="D188" i="106"/>
  <c r="C188" i="106"/>
  <c r="E187" i="106"/>
  <c r="D187" i="106"/>
  <c r="C187" i="106"/>
  <c r="E186" i="106"/>
  <c r="D186" i="106"/>
  <c r="C186" i="106"/>
  <c r="E185" i="106"/>
  <c r="D185" i="106"/>
  <c r="C185" i="106"/>
  <c r="E184" i="106"/>
  <c r="D184" i="106"/>
  <c r="C184" i="106"/>
  <c r="E183" i="106"/>
  <c r="D183" i="106"/>
  <c r="C183" i="106"/>
  <c r="E182" i="106"/>
  <c r="D182" i="106"/>
  <c r="C182" i="106"/>
  <c r="E181" i="106"/>
  <c r="D181" i="106"/>
  <c r="C181" i="106"/>
  <c r="E180" i="106"/>
  <c r="D180" i="106"/>
  <c r="C180" i="106"/>
  <c r="E179" i="106"/>
  <c r="D179" i="106"/>
  <c r="C179" i="106"/>
  <c r="E178" i="106"/>
  <c r="D178" i="106"/>
  <c r="C178" i="106"/>
  <c r="E177" i="106"/>
  <c r="D177" i="106"/>
  <c r="C177" i="106"/>
  <c r="E176" i="106"/>
  <c r="D176" i="106"/>
  <c r="C176" i="106"/>
  <c r="E175" i="106"/>
  <c r="D175" i="106"/>
  <c r="C175" i="106"/>
  <c r="E174" i="106"/>
  <c r="D174" i="106"/>
  <c r="C174" i="106"/>
  <c r="E173" i="106"/>
  <c r="D173" i="106"/>
  <c r="C173" i="106"/>
  <c r="E172" i="106"/>
  <c r="D172" i="106"/>
  <c r="C172" i="106"/>
  <c r="E171" i="106"/>
  <c r="D171" i="106"/>
  <c r="C171" i="106"/>
  <c r="E170" i="106"/>
  <c r="D170" i="106"/>
  <c r="C170" i="106"/>
  <c r="E169" i="106"/>
  <c r="D169" i="106"/>
  <c r="C169" i="106"/>
  <c r="E165" i="106"/>
  <c r="D165" i="106"/>
  <c r="C165" i="106"/>
  <c r="E164" i="106"/>
  <c r="D164" i="106"/>
  <c r="C164" i="106"/>
  <c r="E163" i="106"/>
  <c r="D163" i="106"/>
  <c r="C163" i="106"/>
  <c r="E162" i="106"/>
  <c r="D162" i="106"/>
  <c r="C162" i="106"/>
  <c r="E161" i="106"/>
  <c r="D161" i="106"/>
  <c r="C161" i="106"/>
  <c r="E160" i="106"/>
  <c r="D160" i="106"/>
  <c r="C160" i="106"/>
  <c r="E158" i="106"/>
  <c r="D158" i="106"/>
  <c r="C158" i="106"/>
  <c r="E157" i="106"/>
  <c r="D157" i="106"/>
  <c r="C157" i="106"/>
  <c r="E156" i="106"/>
  <c r="D156" i="106"/>
  <c r="C156" i="106"/>
  <c r="E155" i="106"/>
  <c r="D155" i="106"/>
  <c r="C155" i="106"/>
  <c r="E154" i="106"/>
  <c r="D154" i="106"/>
  <c r="C154" i="106"/>
  <c r="E153" i="106"/>
  <c r="D153" i="106"/>
  <c r="C153" i="106"/>
  <c r="E152" i="106"/>
  <c r="D152" i="106"/>
  <c r="C152" i="106"/>
  <c r="E151" i="106"/>
  <c r="D151" i="106"/>
  <c r="C151" i="106"/>
  <c r="E150" i="106"/>
  <c r="D150" i="106"/>
  <c r="C150" i="106"/>
  <c r="E148" i="106"/>
  <c r="D148" i="106"/>
  <c r="C148" i="106"/>
  <c r="E147" i="106"/>
  <c r="D147" i="106"/>
  <c r="C147" i="106"/>
  <c r="E146" i="106"/>
  <c r="D146" i="106"/>
  <c r="C146" i="106"/>
  <c r="E145" i="106"/>
  <c r="D145" i="106"/>
  <c r="C145" i="106"/>
  <c r="E143" i="106"/>
  <c r="D143" i="106"/>
  <c r="C143" i="106"/>
  <c r="E142" i="106"/>
  <c r="D142" i="106"/>
  <c r="C142" i="106"/>
  <c r="E141" i="106"/>
  <c r="D141" i="106"/>
  <c r="C141" i="106"/>
  <c r="E140" i="106"/>
  <c r="D140" i="106"/>
  <c r="C140" i="106"/>
  <c r="E138" i="106"/>
  <c r="D138" i="106"/>
  <c r="C138" i="106"/>
  <c r="E137" i="106"/>
  <c r="D137" i="106"/>
  <c r="C137" i="106"/>
  <c r="E136" i="106"/>
  <c r="D136" i="106"/>
  <c r="C136" i="106"/>
  <c r="E135" i="106"/>
  <c r="D135" i="106"/>
  <c r="C135" i="106"/>
  <c r="E134" i="106"/>
  <c r="D134" i="106"/>
  <c r="C134" i="106"/>
  <c r="E132" i="106"/>
  <c r="D132" i="106"/>
  <c r="C132" i="106"/>
  <c r="E131" i="106"/>
  <c r="D131" i="106"/>
  <c r="C131" i="106"/>
  <c r="E130" i="106"/>
  <c r="D130" i="106"/>
  <c r="C130" i="106"/>
  <c r="E129" i="106"/>
  <c r="D129" i="106"/>
  <c r="C129" i="106"/>
  <c r="E128" i="106"/>
  <c r="D128" i="106"/>
  <c r="C128" i="106"/>
  <c r="E123" i="106"/>
  <c r="D123" i="106"/>
  <c r="C123" i="106"/>
  <c r="E122" i="106"/>
  <c r="D122" i="106"/>
  <c r="C122" i="106"/>
  <c r="E121" i="106"/>
  <c r="D121" i="106"/>
  <c r="C121" i="106"/>
  <c r="E120" i="106"/>
  <c r="D120" i="106"/>
  <c r="C120" i="106"/>
  <c r="E119" i="106"/>
  <c r="D119" i="106"/>
  <c r="C119" i="106"/>
  <c r="E115" i="106"/>
  <c r="D115" i="106"/>
  <c r="C115" i="106"/>
  <c r="E114" i="106"/>
  <c r="D114" i="106"/>
  <c r="C114" i="106"/>
  <c r="E113" i="106"/>
  <c r="D113" i="106"/>
  <c r="C113" i="106"/>
  <c r="E112" i="106"/>
  <c r="D112" i="106"/>
  <c r="C112" i="106"/>
  <c r="E111" i="106"/>
  <c r="D111" i="106"/>
  <c r="C111" i="106"/>
  <c r="E110" i="106"/>
  <c r="D110" i="106"/>
  <c r="C110" i="106"/>
  <c r="E106" i="106"/>
  <c r="D106" i="106"/>
  <c r="C106" i="106"/>
  <c r="E105" i="106"/>
  <c r="D105" i="106"/>
  <c r="C105" i="106"/>
  <c r="E104" i="106"/>
  <c r="D104" i="106"/>
  <c r="C104" i="106"/>
  <c r="E103" i="106"/>
  <c r="D103" i="106"/>
  <c r="C103" i="106"/>
  <c r="E102" i="106"/>
  <c r="D102" i="106"/>
  <c r="C102" i="106"/>
  <c r="E101" i="106"/>
  <c r="D101" i="106"/>
  <c r="C101" i="106"/>
  <c r="E97" i="106"/>
  <c r="D97" i="106"/>
  <c r="C97" i="106"/>
  <c r="E96" i="106"/>
  <c r="D96" i="106"/>
  <c r="C96" i="106"/>
  <c r="E95" i="106"/>
  <c r="D95" i="106"/>
  <c r="C95" i="106"/>
  <c r="E94" i="106"/>
  <c r="D94" i="106"/>
  <c r="C94" i="106"/>
  <c r="E93" i="106"/>
  <c r="D93" i="106"/>
  <c r="C93" i="106"/>
  <c r="E92" i="106"/>
  <c r="D92" i="106"/>
  <c r="C92" i="106"/>
  <c r="E91" i="106"/>
  <c r="D91" i="106"/>
  <c r="C91" i="106"/>
  <c r="E90" i="106"/>
  <c r="D90" i="106"/>
  <c r="C90" i="106"/>
  <c r="E89" i="106"/>
  <c r="D89" i="106"/>
  <c r="C89" i="106"/>
  <c r="E88" i="106"/>
  <c r="D88" i="106"/>
  <c r="C88" i="106"/>
  <c r="E87" i="106"/>
  <c r="D87" i="106"/>
  <c r="C87" i="106"/>
  <c r="E83" i="106"/>
  <c r="D83" i="106"/>
  <c r="C83" i="106"/>
  <c r="E82" i="106"/>
  <c r="D82" i="106"/>
  <c r="C82" i="106"/>
  <c r="E81" i="106"/>
  <c r="D81" i="106"/>
  <c r="C81" i="106"/>
  <c r="E80" i="106"/>
  <c r="D80" i="106"/>
  <c r="C80" i="106"/>
  <c r="E79" i="106"/>
  <c r="D79" i="106"/>
  <c r="C79" i="106"/>
  <c r="E78" i="106"/>
  <c r="D78" i="106"/>
  <c r="C78" i="106"/>
  <c r="E77" i="106"/>
  <c r="D77" i="106"/>
  <c r="C77" i="106"/>
  <c r="E76" i="106"/>
  <c r="D76" i="106"/>
  <c r="C76" i="106"/>
  <c r="E75" i="106"/>
  <c r="D75" i="106"/>
  <c r="C75" i="106"/>
  <c r="E74" i="106"/>
  <c r="D74" i="106"/>
  <c r="C74" i="106"/>
  <c r="E73" i="106"/>
  <c r="D73" i="106"/>
  <c r="C73" i="106"/>
  <c r="E72" i="106"/>
  <c r="D72" i="106"/>
  <c r="C72" i="106"/>
  <c r="E71" i="106"/>
  <c r="D71" i="106"/>
  <c r="C71" i="106"/>
  <c r="E70" i="106"/>
  <c r="D70" i="106"/>
  <c r="C70" i="106"/>
  <c r="E69" i="106"/>
  <c r="D69" i="106"/>
  <c r="C69" i="106"/>
  <c r="E65" i="106"/>
  <c r="D65" i="106"/>
  <c r="C65" i="106"/>
  <c r="E64" i="106"/>
  <c r="D64" i="106"/>
  <c r="C64" i="106"/>
  <c r="E63" i="106"/>
  <c r="D63" i="106"/>
  <c r="C63" i="106"/>
  <c r="E62" i="106"/>
  <c r="D62" i="106"/>
  <c r="C62" i="106"/>
  <c r="E61" i="106"/>
  <c r="D61" i="106"/>
  <c r="C61" i="106"/>
  <c r="E60" i="106"/>
  <c r="D60" i="106"/>
  <c r="C60" i="106"/>
  <c r="E59" i="106"/>
  <c r="D59" i="106"/>
  <c r="C59" i="106"/>
  <c r="E58" i="106"/>
  <c r="D58" i="106"/>
  <c r="C58" i="106"/>
  <c r="E57" i="106"/>
  <c r="D57" i="106"/>
  <c r="C57" i="106"/>
  <c r="E56" i="106"/>
  <c r="D56" i="106"/>
  <c r="C56" i="106"/>
  <c r="E55" i="106"/>
  <c r="D55" i="106"/>
  <c r="C55" i="106"/>
  <c r="E54" i="106"/>
  <c r="D54" i="106"/>
  <c r="C54" i="106"/>
  <c r="E53" i="106"/>
  <c r="D53" i="106"/>
  <c r="C53" i="106"/>
  <c r="E52" i="106"/>
  <c r="D52" i="106"/>
  <c r="C52" i="106"/>
  <c r="E51" i="106"/>
  <c r="D51" i="106"/>
  <c r="C51" i="106"/>
  <c r="E50" i="106"/>
  <c r="D50" i="106"/>
  <c r="C50" i="106"/>
  <c r="E49" i="106"/>
  <c r="D49" i="106"/>
  <c r="C49" i="106"/>
  <c r="E48" i="106"/>
  <c r="D48" i="106"/>
  <c r="C48" i="106"/>
  <c r="E47" i="106"/>
  <c r="D47" i="106"/>
  <c r="C47" i="106"/>
  <c r="E46" i="106"/>
  <c r="D46" i="106"/>
  <c r="C46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E35" i="106"/>
  <c r="D35" i="106"/>
  <c r="C35" i="106"/>
  <c r="E34" i="106"/>
  <c r="D34" i="106"/>
  <c r="C34" i="106"/>
  <c r="E33" i="106"/>
  <c r="D33" i="106"/>
  <c r="C33" i="106"/>
  <c r="E32" i="106"/>
  <c r="D32" i="106"/>
  <c r="C32" i="106"/>
  <c r="E31" i="106"/>
  <c r="D31" i="106"/>
  <c r="C31" i="106"/>
  <c r="E30" i="106"/>
  <c r="D30" i="106"/>
  <c r="C30" i="106"/>
  <c r="D25" i="106"/>
  <c r="C25" i="106"/>
  <c r="D24" i="106"/>
  <c r="C24" i="106"/>
  <c r="D23" i="106"/>
  <c r="C23" i="106"/>
  <c r="D22" i="106"/>
  <c r="C22" i="106"/>
  <c r="D21" i="106"/>
  <c r="C21" i="106"/>
  <c r="D20" i="106"/>
  <c r="C20" i="106"/>
  <c r="D19" i="106"/>
  <c r="C19" i="106"/>
  <c r="D18" i="106"/>
  <c r="C18" i="106"/>
  <c r="D17" i="106"/>
  <c r="C17" i="106"/>
  <c r="D16" i="106"/>
  <c r="C16" i="106"/>
  <c r="D15" i="106"/>
  <c r="C15" i="106"/>
  <c r="D14" i="106"/>
  <c r="C14" i="106"/>
  <c r="D13" i="106"/>
  <c r="C13" i="106"/>
  <c r="D12" i="106"/>
  <c r="C12" i="106"/>
  <c r="C4" i="106"/>
  <c r="C3" i="106"/>
  <c r="D26" i="106" l="1"/>
  <c r="F12" i="106"/>
  <c r="I12" i="106" s="1"/>
  <c r="E84" i="106"/>
  <c r="C107" i="106"/>
  <c r="D107" i="106"/>
  <c r="E107" i="106"/>
  <c r="E116" i="106"/>
  <c r="C124" i="106"/>
  <c r="D124" i="106"/>
  <c r="E202" i="106"/>
  <c r="C238" i="106"/>
  <c r="E124" i="106"/>
  <c r="C202" i="106"/>
  <c r="D202" i="106"/>
  <c r="C26" i="106"/>
  <c r="C84" i="106"/>
  <c r="D84" i="106"/>
  <c r="C98" i="106"/>
  <c r="D98" i="106"/>
  <c r="C166" i="106"/>
  <c r="D166" i="106"/>
  <c r="E98" i="106"/>
  <c r="C116" i="106"/>
  <c r="D116" i="106"/>
  <c r="E166" i="106"/>
  <c r="C211" i="106"/>
  <c r="D211" i="106"/>
  <c r="E211" i="106"/>
  <c r="C233" i="106"/>
  <c r="C66" i="106"/>
  <c r="D66" i="106"/>
  <c r="E66" i="106"/>
  <c r="D213" i="106" l="1"/>
  <c r="D220" i="106" s="1"/>
  <c r="E213" i="106"/>
  <c r="E220" i="106" s="1"/>
  <c r="C213" i="106"/>
  <c r="C220" i="106" s="1"/>
  <c r="C217" i="106" l="1"/>
  <c r="I249" i="104"/>
  <c r="I248" i="104"/>
  <c r="I247" i="104"/>
  <c r="I246" i="104"/>
  <c r="C243" i="104"/>
  <c r="C242" i="104"/>
  <c r="C241" i="104"/>
  <c r="C240" i="104"/>
  <c r="C237" i="104"/>
  <c r="C236" i="104"/>
  <c r="E233" i="104"/>
  <c r="D233" i="104"/>
  <c r="C232" i="104"/>
  <c r="C231" i="104"/>
  <c r="C230" i="104"/>
  <c r="C229" i="104"/>
  <c r="C228" i="104"/>
  <c r="C227" i="104"/>
  <c r="C226" i="104"/>
  <c r="C225" i="104"/>
  <c r="C224" i="104"/>
  <c r="C216" i="104"/>
  <c r="E210" i="104"/>
  <c r="D210" i="104"/>
  <c r="C210" i="104"/>
  <c r="E209" i="104"/>
  <c r="D209" i="104"/>
  <c r="C209" i="104"/>
  <c r="E208" i="104"/>
  <c r="D208" i="104"/>
  <c r="C208" i="104"/>
  <c r="E207" i="104"/>
  <c r="D207" i="104"/>
  <c r="C207" i="104"/>
  <c r="E206" i="104"/>
  <c r="D206" i="104"/>
  <c r="C206" i="104"/>
  <c r="E205" i="104"/>
  <c r="D205" i="104"/>
  <c r="C205" i="104"/>
  <c r="E201" i="104"/>
  <c r="D201" i="104"/>
  <c r="C201" i="104"/>
  <c r="E200" i="104"/>
  <c r="D200" i="104"/>
  <c r="C200" i="104"/>
  <c r="E199" i="104"/>
  <c r="D199" i="104"/>
  <c r="C199" i="104"/>
  <c r="E198" i="104"/>
  <c r="D198" i="104"/>
  <c r="C198" i="104"/>
  <c r="E197" i="104"/>
  <c r="D197" i="104"/>
  <c r="C197" i="104"/>
  <c r="E196" i="104"/>
  <c r="D196" i="104"/>
  <c r="C196" i="104"/>
  <c r="E195" i="104"/>
  <c r="D195" i="104"/>
  <c r="C195" i="104"/>
  <c r="E194" i="104"/>
  <c r="D194" i="104"/>
  <c r="C194" i="104"/>
  <c r="E193" i="104"/>
  <c r="D193" i="104"/>
  <c r="C193" i="104"/>
  <c r="E192" i="104"/>
  <c r="D192" i="104"/>
  <c r="C192" i="104"/>
  <c r="E191" i="104"/>
  <c r="D191" i="104"/>
  <c r="C191" i="104"/>
  <c r="E190" i="104"/>
  <c r="D190" i="104"/>
  <c r="C190" i="104"/>
  <c r="E189" i="104"/>
  <c r="D189" i="104"/>
  <c r="C189" i="104"/>
  <c r="E188" i="104"/>
  <c r="D188" i="104"/>
  <c r="C188" i="104"/>
  <c r="E187" i="104"/>
  <c r="D187" i="104"/>
  <c r="C187" i="104"/>
  <c r="E186" i="104"/>
  <c r="D186" i="104"/>
  <c r="C186" i="104"/>
  <c r="E185" i="104"/>
  <c r="D185" i="104"/>
  <c r="C185" i="104"/>
  <c r="E184" i="104"/>
  <c r="D184" i="104"/>
  <c r="C184" i="104"/>
  <c r="E183" i="104"/>
  <c r="D183" i="104"/>
  <c r="C183" i="104"/>
  <c r="E182" i="104"/>
  <c r="D182" i="104"/>
  <c r="C182" i="104"/>
  <c r="E181" i="104"/>
  <c r="D181" i="104"/>
  <c r="C181" i="104"/>
  <c r="E180" i="104"/>
  <c r="D180" i="104"/>
  <c r="C180" i="104"/>
  <c r="E179" i="104"/>
  <c r="D179" i="104"/>
  <c r="C179" i="104"/>
  <c r="E178" i="104"/>
  <c r="D178" i="104"/>
  <c r="C178" i="104"/>
  <c r="E177" i="104"/>
  <c r="D177" i="104"/>
  <c r="C177" i="104"/>
  <c r="E176" i="104"/>
  <c r="D176" i="104"/>
  <c r="C176" i="104"/>
  <c r="E175" i="104"/>
  <c r="D175" i="104"/>
  <c r="C175" i="104"/>
  <c r="E174" i="104"/>
  <c r="D174" i="104"/>
  <c r="C174" i="104"/>
  <c r="E173" i="104"/>
  <c r="D173" i="104"/>
  <c r="C173" i="104"/>
  <c r="E172" i="104"/>
  <c r="D172" i="104"/>
  <c r="C172" i="104"/>
  <c r="E171" i="104"/>
  <c r="D171" i="104"/>
  <c r="C171" i="104"/>
  <c r="E170" i="104"/>
  <c r="D170" i="104"/>
  <c r="C170" i="104"/>
  <c r="E169" i="104"/>
  <c r="D169" i="104"/>
  <c r="C169" i="104"/>
  <c r="E165" i="104"/>
  <c r="D165" i="104"/>
  <c r="C165" i="104"/>
  <c r="E164" i="104"/>
  <c r="D164" i="104"/>
  <c r="C164" i="104"/>
  <c r="E163" i="104"/>
  <c r="D163" i="104"/>
  <c r="C163" i="104"/>
  <c r="E162" i="104"/>
  <c r="D162" i="104"/>
  <c r="C162" i="104"/>
  <c r="E161" i="104"/>
  <c r="D161" i="104"/>
  <c r="C161" i="104"/>
  <c r="E160" i="104"/>
  <c r="D160" i="104"/>
  <c r="C160" i="104"/>
  <c r="E158" i="104"/>
  <c r="D158" i="104"/>
  <c r="C158" i="104"/>
  <c r="E157" i="104"/>
  <c r="D157" i="104"/>
  <c r="C157" i="104"/>
  <c r="E156" i="104"/>
  <c r="D156" i="104"/>
  <c r="C156" i="104"/>
  <c r="E155" i="104"/>
  <c r="D155" i="104"/>
  <c r="C155" i="104"/>
  <c r="E154" i="104"/>
  <c r="D154" i="104"/>
  <c r="C154" i="104"/>
  <c r="E153" i="104"/>
  <c r="D153" i="104"/>
  <c r="C153" i="104"/>
  <c r="E152" i="104"/>
  <c r="D152" i="104"/>
  <c r="C152" i="104"/>
  <c r="E151" i="104"/>
  <c r="D151" i="104"/>
  <c r="C151" i="104"/>
  <c r="E150" i="104"/>
  <c r="D150" i="104"/>
  <c r="C150" i="104"/>
  <c r="E148" i="104"/>
  <c r="D148" i="104"/>
  <c r="C148" i="104"/>
  <c r="E147" i="104"/>
  <c r="D147" i="104"/>
  <c r="C147" i="104"/>
  <c r="E146" i="104"/>
  <c r="D146" i="104"/>
  <c r="C146" i="104"/>
  <c r="E145" i="104"/>
  <c r="D145" i="104"/>
  <c r="C145" i="104"/>
  <c r="E143" i="104"/>
  <c r="D143" i="104"/>
  <c r="C143" i="104"/>
  <c r="E142" i="104"/>
  <c r="D142" i="104"/>
  <c r="C142" i="104"/>
  <c r="E141" i="104"/>
  <c r="D141" i="104"/>
  <c r="C141" i="104"/>
  <c r="E140" i="104"/>
  <c r="D140" i="104"/>
  <c r="C140" i="104"/>
  <c r="E138" i="104"/>
  <c r="D138" i="104"/>
  <c r="C138" i="104"/>
  <c r="E137" i="104"/>
  <c r="D137" i="104"/>
  <c r="C137" i="104"/>
  <c r="E136" i="104"/>
  <c r="D136" i="104"/>
  <c r="C136" i="104"/>
  <c r="E135" i="104"/>
  <c r="D135" i="104"/>
  <c r="C135" i="104"/>
  <c r="E134" i="104"/>
  <c r="D134" i="104"/>
  <c r="C134" i="104"/>
  <c r="E132" i="104"/>
  <c r="D132" i="104"/>
  <c r="C132" i="104"/>
  <c r="E131" i="104"/>
  <c r="D131" i="104"/>
  <c r="C131" i="104"/>
  <c r="E130" i="104"/>
  <c r="D130" i="104"/>
  <c r="C130" i="104"/>
  <c r="E129" i="104"/>
  <c r="D129" i="104"/>
  <c r="C129" i="104"/>
  <c r="E128" i="104"/>
  <c r="D128" i="104"/>
  <c r="C128" i="104"/>
  <c r="E123" i="104"/>
  <c r="D123" i="104"/>
  <c r="C123" i="104"/>
  <c r="E122" i="104"/>
  <c r="D122" i="104"/>
  <c r="C122" i="104"/>
  <c r="E121" i="104"/>
  <c r="D121" i="104"/>
  <c r="C121" i="104"/>
  <c r="E120" i="104"/>
  <c r="D120" i="104"/>
  <c r="C120" i="104"/>
  <c r="E119" i="104"/>
  <c r="D119" i="104"/>
  <c r="C119" i="104"/>
  <c r="E115" i="104"/>
  <c r="D115" i="104"/>
  <c r="C115" i="104"/>
  <c r="E114" i="104"/>
  <c r="D114" i="104"/>
  <c r="C114" i="104"/>
  <c r="E113" i="104"/>
  <c r="D113" i="104"/>
  <c r="C113" i="104"/>
  <c r="E112" i="104"/>
  <c r="D112" i="104"/>
  <c r="C112" i="104"/>
  <c r="E111" i="104"/>
  <c r="D111" i="104"/>
  <c r="C111" i="104"/>
  <c r="E110" i="104"/>
  <c r="D110" i="104"/>
  <c r="C110" i="104"/>
  <c r="E106" i="104"/>
  <c r="D106" i="104"/>
  <c r="C106" i="104"/>
  <c r="E105" i="104"/>
  <c r="D105" i="104"/>
  <c r="C105" i="104"/>
  <c r="E104" i="104"/>
  <c r="D104" i="104"/>
  <c r="C104" i="104"/>
  <c r="E103" i="104"/>
  <c r="D103" i="104"/>
  <c r="C103" i="104"/>
  <c r="E102" i="104"/>
  <c r="D102" i="104"/>
  <c r="C102" i="104"/>
  <c r="E101" i="104"/>
  <c r="D101" i="104"/>
  <c r="C101" i="104"/>
  <c r="E97" i="104"/>
  <c r="D97" i="104"/>
  <c r="C97" i="104"/>
  <c r="E96" i="104"/>
  <c r="D96" i="104"/>
  <c r="C96" i="104"/>
  <c r="E95" i="104"/>
  <c r="D95" i="104"/>
  <c r="C95" i="104"/>
  <c r="E94" i="104"/>
  <c r="D94" i="104"/>
  <c r="C94" i="104"/>
  <c r="E93" i="104"/>
  <c r="D93" i="104"/>
  <c r="C93" i="104"/>
  <c r="E92" i="104"/>
  <c r="D92" i="104"/>
  <c r="C92" i="104"/>
  <c r="E91" i="104"/>
  <c r="D91" i="104"/>
  <c r="C91" i="104"/>
  <c r="E90" i="104"/>
  <c r="D90" i="104"/>
  <c r="C90" i="104"/>
  <c r="E89" i="104"/>
  <c r="D89" i="104"/>
  <c r="C89" i="104"/>
  <c r="E88" i="104"/>
  <c r="D88" i="104"/>
  <c r="C88" i="104"/>
  <c r="E87" i="104"/>
  <c r="D87" i="104"/>
  <c r="C87" i="104"/>
  <c r="E83" i="104"/>
  <c r="D83" i="104"/>
  <c r="C83" i="104"/>
  <c r="E82" i="104"/>
  <c r="D82" i="104"/>
  <c r="C82" i="104"/>
  <c r="E81" i="104"/>
  <c r="D81" i="104"/>
  <c r="C81" i="104"/>
  <c r="E80" i="104"/>
  <c r="D80" i="104"/>
  <c r="C80" i="104"/>
  <c r="E79" i="104"/>
  <c r="D79" i="104"/>
  <c r="C79" i="104"/>
  <c r="E78" i="104"/>
  <c r="D78" i="104"/>
  <c r="C78" i="104"/>
  <c r="E77" i="104"/>
  <c r="D77" i="104"/>
  <c r="C77" i="104"/>
  <c r="E76" i="104"/>
  <c r="D76" i="104"/>
  <c r="C76" i="104"/>
  <c r="E75" i="104"/>
  <c r="D75" i="104"/>
  <c r="C75" i="104"/>
  <c r="E74" i="104"/>
  <c r="D74" i="104"/>
  <c r="C74" i="104"/>
  <c r="E73" i="104"/>
  <c r="D73" i="104"/>
  <c r="C73" i="104"/>
  <c r="E72" i="104"/>
  <c r="D72" i="104"/>
  <c r="C72" i="104"/>
  <c r="E71" i="104"/>
  <c r="D71" i="104"/>
  <c r="C71" i="104"/>
  <c r="E70" i="104"/>
  <c r="D70" i="104"/>
  <c r="C70" i="104"/>
  <c r="E69" i="104"/>
  <c r="D69" i="104"/>
  <c r="C69" i="104"/>
  <c r="E65" i="104"/>
  <c r="D65" i="104"/>
  <c r="C65" i="104"/>
  <c r="E64" i="104"/>
  <c r="D64" i="104"/>
  <c r="C64" i="104"/>
  <c r="E63" i="104"/>
  <c r="D63" i="104"/>
  <c r="C63" i="104"/>
  <c r="E62" i="104"/>
  <c r="D62" i="104"/>
  <c r="C62" i="104"/>
  <c r="E61" i="104"/>
  <c r="D61" i="104"/>
  <c r="C61" i="104"/>
  <c r="E60" i="104"/>
  <c r="D60" i="104"/>
  <c r="C60" i="104"/>
  <c r="E59" i="104"/>
  <c r="D59" i="104"/>
  <c r="C59" i="104"/>
  <c r="E58" i="104"/>
  <c r="D58" i="104"/>
  <c r="C58" i="104"/>
  <c r="E57" i="104"/>
  <c r="D57" i="104"/>
  <c r="C57" i="104"/>
  <c r="E56" i="104"/>
  <c r="D56" i="104"/>
  <c r="C56" i="104"/>
  <c r="E55" i="104"/>
  <c r="D55" i="104"/>
  <c r="C55" i="104"/>
  <c r="E54" i="104"/>
  <c r="D54" i="104"/>
  <c r="C54" i="104"/>
  <c r="E53" i="104"/>
  <c r="D53" i="104"/>
  <c r="C53" i="104"/>
  <c r="E52" i="104"/>
  <c r="D52" i="104"/>
  <c r="C52" i="104"/>
  <c r="E51" i="104"/>
  <c r="D51" i="104"/>
  <c r="C51" i="104"/>
  <c r="E50" i="104"/>
  <c r="D50" i="104"/>
  <c r="C50" i="104"/>
  <c r="E49" i="104"/>
  <c r="D49" i="104"/>
  <c r="C49" i="104"/>
  <c r="E48" i="104"/>
  <c r="D48" i="104"/>
  <c r="C48" i="104"/>
  <c r="E47" i="104"/>
  <c r="D47" i="104"/>
  <c r="C47" i="104"/>
  <c r="E46" i="104"/>
  <c r="D46" i="104"/>
  <c r="C46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E35" i="104"/>
  <c r="D35" i="104"/>
  <c r="C35" i="104"/>
  <c r="E34" i="104"/>
  <c r="D34" i="104"/>
  <c r="C34" i="104"/>
  <c r="E33" i="104"/>
  <c r="D33" i="104"/>
  <c r="C33" i="104"/>
  <c r="E32" i="104"/>
  <c r="D32" i="104"/>
  <c r="C32" i="104"/>
  <c r="E31" i="104"/>
  <c r="D31" i="104"/>
  <c r="C31" i="104"/>
  <c r="E30" i="104"/>
  <c r="D30" i="104"/>
  <c r="C30" i="104"/>
  <c r="D25" i="104"/>
  <c r="C25" i="104"/>
  <c r="D24" i="104"/>
  <c r="C24" i="104"/>
  <c r="D23" i="104"/>
  <c r="C23" i="104"/>
  <c r="D22" i="104"/>
  <c r="C22" i="104"/>
  <c r="D21" i="104"/>
  <c r="C21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D13" i="104"/>
  <c r="C13" i="104"/>
  <c r="D12" i="104"/>
  <c r="C12" i="104"/>
  <c r="C4" i="104"/>
  <c r="C3" i="104"/>
  <c r="D26" i="104" l="1"/>
  <c r="F12" i="104"/>
  <c r="I12" i="104" s="1"/>
  <c r="E124" i="104"/>
  <c r="C202" i="104"/>
  <c r="D211" i="104"/>
  <c r="C238" i="104"/>
  <c r="D84" i="104"/>
  <c r="C98" i="104"/>
  <c r="D116" i="104"/>
  <c r="E84" i="104"/>
  <c r="C107" i="104"/>
  <c r="C166" i="104"/>
  <c r="E98" i="104"/>
  <c r="D107" i="104"/>
  <c r="C124" i="104"/>
  <c r="E202" i="104"/>
  <c r="D98" i="104"/>
  <c r="E107" i="104"/>
  <c r="E116" i="104"/>
  <c r="D166" i="104"/>
  <c r="D202" i="104"/>
  <c r="C26" i="104"/>
  <c r="C84" i="104"/>
  <c r="C116" i="104"/>
  <c r="D124" i="104"/>
  <c r="E166" i="104"/>
  <c r="C211" i="104"/>
  <c r="E211" i="104"/>
  <c r="C233" i="104"/>
  <c r="C66" i="104"/>
  <c r="D66" i="104"/>
  <c r="E66" i="104"/>
  <c r="E213" i="104" l="1"/>
  <c r="E220" i="104" s="1"/>
  <c r="D213" i="104"/>
  <c r="D220" i="104" s="1"/>
  <c r="C213" i="104"/>
  <c r="C220" i="104" s="1"/>
  <c r="C217" i="104" l="1"/>
  <c r="F12" i="181"/>
  <c r="I12" i="181" s="1"/>
  <c r="I249" i="195" l="1"/>
  <c r="I248" i="195"/>
  <c r="I247" i="195"/>
  <c r="C243" i="195" l="1"/>
  <c r="C242" i="195"/>
  <c r="C241" i="195"/>
  <c r="C240" i="195"/>
  <c r="C237" i="195"/>
  <c r="C236" i="195"/>
  <c r="E233" i="195"/>
  <c r="D233" i="195"/>
  <c r="C232" i="195"/>
  <c r="C231" i="195"/>
  <c r="C230" i="195"/>
  <c r="C229" i="195"/>
  <c r="C228" i="195"/>
  <c r="C227" i="195"/>
  <c r="C226" i="195"/>
  <c r="C225" i="195"/>
  <c r="C224" i="195"/>
  <c r="C216" i="195"/>
  <c r="E210" i="195"/>
  <c r="D210" i="195"/>
  <c r="C210" i="195"/>
  <c r="E209" i="195"/>
  <c r="D209" i="195"/>
  <c r="C209" i="195"/>
  <c r="E208" i="195"/>
  <c r="D208" i="195"/>
  <c r="C208" i="195"/>
  <c r="E207" i="195"/>
  <c r="D207" i="195"/>
  <c r="C207" i="195"/>
  <c r="E206" i="195"/>
  <c r="D206" i="195"/>
  <c r="C206" i="195"/>
  <c r="E205" i="195"/>
  <c r="D205" i="195"/>
  <c r="C205" i="195"/>
  <c r="E201" i="195"/>
  <c r="D201" i="195"/>
  <c r="C201" i="195"/>
  <c r="E200" i="195"/>
  <c r="D200" i="195"/>
  <c r="C200" i="195"/>
  <c r="E199" i="195"/>
  <c r="D199" i="195"/>
  <c r="C199" i="195"/>
  <c r="E198" i="195"/>
  <c r="D198" i="195"/>
  <c r="C198" i="195"/>
  <c r="E197" i="195"/>
  <c r="D197" i="195"/>
  <c r="C197" i="195"/>
  <c r="E196" i="195"/>
  <c r="D196" i="195"/>
  <c r="C196" i="195"/>
  <c r="E195" i="195"/>
  <c r="D195" i="195"/>
  <c r="C195" i="195"/>
  <c r="E194" i="195"/>
  <c r="D194" i="195"/>
  <c r="C194" i="195"/>
  <c r="E193" i="195"/>
  <c r="D193" i="195"/>
  <c r="C193" i="195"/>
  <c r="E192" i="195"/>
  <c r="D192" i="195"/>
  <c r="C192" i="195"/>
  <c r="E191" i="195"/>
  <c r="D191" i="195"/>
  <c r="C191" i="195"/>
  <c r="E190" i="195"/>
  <c r="D190" i="195"/>
  <c r="C190" i="195"/>
  <c r="E189" i="195"/>
  <c r="D189" i="195"/>
  <c r="C189" i="195"/>
  <c r="E188" i="195"/>
  <c r="D188" i="195"/>
  <c r="C188" i="195"/>
  <c r="E187" i="195"/>
  <c r="D187" i="195"/>
  <c r="C187" i="195"/>
  <c r="E186" i="195"/>
  <c r="D186" i="195"/>
  <c r="C186" i="195"/>
  <c r="E185" i="195"/>
  <c r="D185" i="195"/>
  <c r="C185" i="195"/>
  <c r="E184" i="195"/>
  <c r="D184" i="195"/>
  <c r="C184" i="195"/>
  <c r="E183" i="195"/>
  <c r="D183" i="195"/>
  <c r="C183" i="195"/>
  <c r="E182" i="195"/>
  <c r="D182" i="195"/>
  <c r="C182" i="195"/>
  <c r="E181" i="195"/>
  <c r="D181" i="195"/>
  <c r="C181" i="195"/>
  <c r="E180" i="195"/>
  <c r="D180" i="195"/>
  <c r="C180" i="195"/>
  <c r="E179" i="195"/>
  <c r="D179" i="195"/>
  <c r="C179" i="195"/>
  <c r="E178" i="195"/>
  <c r="D178" i="195"/>
  <c r="C178" i="195"/>
  <c r="E177" i="195"/>
  <c r="D177" i="195"/>
  <c r="C177" i="195"/>
  <c r="E176" i="195"/>
  <c r="D176" i="195"/>
  <c r="C176" i="195"/>
  <c r="E175" i="195"/>
  <c r="D175" i="195"/>
  <c r="C175" i="195"/>
  <c r="E174" i="195"/>
  <c r="D174" i="195"/>
  <c r="C174" i="195"/>
  <c r="E173" i="195"/>
  <c r="D173" i="195"/>
  <c r="C173" i="195"/>
  <c r="E172" i="195"/>
  <c r="D172" i="195"/>
  <c r="C172" i="195"/>
  <c r="E171" i="195"/>
  <c r="D171" i="195"/>
  <c r="C171" i="195"/>
  <c r="E170" i="195"/>
  <c r="D170" i="195"/>
  <c r="C170" i="195"/>
  <c r="E169" i="195"/>
  <c r="D169" i="195"/>
  <c r="C169" i="195"/>
  <c r="E165" i="195"/>
  <c r="D165" i="195"/>
  <c r="C165" i="195"/>
  <c r="E164" i="195"/>
  <c r="D164" i="195"/>
  <c r="C164" i="195"/>
  <c r="E163" i="195"/>
  <c r="D163" i="195"/>
  <c r="C163" i="195"/>
  <c r="E162" i="195"/>
  <c r="D162" i="195"/>
  <c r="C162" i="195"/>
  <c r="E161" i="195"/>
  <c r="D161" i="195"/>
  <c r="C161" i="195"/>
  <c r="E160" i="195"/>
  <c r="D160" i="195"/>
  <c r="C160" i="195"/>
  <c r="E158" i="195"/>
  <c r="D158" i="195"/>
  <c r="C158" i="195"/>
  <c r="E157" i="195"/>
  <c r="D157" i="195"/>
  <c r="C157" i="195"/>
  <c r="E156" i="195"/>
  <c r="D156" i="195"/>
  <c r="C156" i="195"/>
  <c r="E155" i="195"/>
  <c r="D155" i="195"/>
  <c r="C155" i="195"/>
  <c r="E154" i="195"/>
  <c r="D154" i="195"/>
  <c r="C154" i="195"/>
  <c r="E153" i="195"/>
  <c r="D153" i="195"/>
  <c r="C153" i="195"/>
  <c r="E152" i="195"/>
  <c r="D152" i="195"/>
  <c r="C152" i="195"/>
  <c r="E151" i="195"/>
  <c r="D151" i="195"/>
  <c r="C151" i="195"/>
  <c r="E150" i="195"/>
  <c r="D150" i="195"/>
  <c r="C150" i="195"/>
  <c r="E148" i="195"/>
  <c r="D148" i="195"/>
  <c r="C148" i="195"/>
  <c r="E147" i="195"/>
  <c r="D147" i="195"/>
  <c r="C147" i="195"/>
  <c r="E146" i="195"/>
  <c r="D146" i="195"/>
  <c r="C146" i="195"/>
  <c r="E145" i="195"/>
  <c r="D145" i="195"/>
  <c r="C145" i="195"/>
  <c r="E143" i="195"/>
  <c r="D143" i="195"/>
  <c r="C143" i="195"/>
  <c r="E142" i="195"/>
  <c r="D142" i="195"/>
  <c r="C142" i="195"/>
  <c r="E141" i="195"/>
  <c r="D141" i="195"/>
  <c r="C141" i="195"/>
  <c r="E140" i="195"/>
  <c r="D140" i="195"/>
  <c r="C140" i="195"/>
  <c r="E138" i="195"/>
  <c r="D138" i="195"/>
  <c r="C138" i="195"/>
  <c r="E137" i="195"/>
  <c r="D137" i="195"/>
  <c r="C137" i="195"/>
  <c r="E136" i="195"/>
  <c r="D136" i="195"/>
  <c r="C136" i="195"/>
  <c r="E135" i="195"/>
  <c r="D135" i="195"/>
  <c r="C135" i="195"/>
  <c r="E134" i="195"/>
  <c r="D134" i="195"/>
  <c r="C134" i="195"/>
  <c r="E132" i="195"/>
  <c r="D132" i="195"/>
  <c r="C132" i="195"/>
  <c r="E131" i="195"/>
  <c r="D131" i="195"/>
  <c r="C131" i="195"/>
  <c r="E130" i="195"/>
  <c r="D130" i="195"/>
  <c r="C130" i="195"/>
  <c r="E129" i="195"/>
  <c r="D129" i="195"/>
  <c r="C129" i="195"/>
  <c r="E128" i="195"/>
  <c r="D128" i="195"/>
  <c r="C128" i="195"/>
  <c r="E123" i="195"/>
  <c r="D123" i="195"/>
  <c r="C123" i="195"/>
  <c r="E122" i="195"/>
  <c r="D122" i="195"/>
  <c r="C122" i="195"/>
  <c r="E121" i="195"/>
  <c r="D121" i="195"/>
  <c r="C121" i="195"/>
  <c r="E120" i="195"/>
  <c r="D120" i="195"/>
  <c r="C120" i="195"/>
  <c r="E119" i="195"/>
  <c r="D119" i="195"/>
  <c r="C119" i="195"/>
  <c r="E115" i="195"/>
  <c r="D115" i="195"/>
  <c r="C115" i="195"/>
  <c r="E114" i="195"/>
  <c r="D114" i="195"/>
  <c r="C114" i="195"/>
  <c r="E113" i="195"/>
  <c r="D113" i="195"/>
  <c r="C113" i="195"/>
  <c r="E112" i="195"/>
  <c r="D112" i="195"/>
  <c r="C112" i="195"/>
  <c r="E111" i="195"/>
  <c r="D111" i="195"/>
  <c r="C111" i="195"/>
  <c r="E110" i="195"/>
  <c r="D110" i="195"/>
  <c r="C110" i="195"/>
  <c r="E106" i="195"/>
  <c r="D106" i="195"/>
  <c r="C106" i="195"/>
  <c r="E105" i="195"/>
  <c r="D105" i="195"/>
  <c r="C105" i="195"/>
  <c r="E104" i="195"/>
  <c r="D104" i="195"/>
  <c r="C104" i="195"/>
  <c r="E103" i="195"/>
  <c r="D103" i="195"/>
  <c r="C103" i="195"/>
  <c r="E102" i="195"/>
  <c r="D102" i="195"/>
  <c r="C102" i="195"/>
  <c r="E101" i="195"/>
  <c r="D101" i="195"/>
  <c r="C101" i="195"/>
  <c r="E97" i="195"/>
  <c r="D97" i="195"/>
  <c r="C97" i="195"/>
  <c r="E96" i="195"/>
  <c r="D96" i="195"/>
  <c r="C96" i="195"/>
  <c r="E95" i="195"/>
  <c r="D95" i="195"/>
  <c r="C95" i="195"/>
  <c r="E94" i="195"/>
  <c r="D94" i="195"/>
  <c r="C94" i="195"/>
  <c r="E93" i="195"/>
  <c r="D93" i="195"/>
  <c r="C93" i="195"/>
  <c r="E92" i="195"/>
  <c r="D92" i="195"/>
  <c r="C92" i="195"/>
  <c r="E91" i="195"/>
  <c r="D91" i="195"/>
  <c r="C91" i="195"/>
  <c r="E90" i="195"/>
  <c r="D90" i="195"/>
  <c r="C90" i="195"/>
  <c r="E89" i="195"/>
  <c r="D89" i="195"/>
  <c r="C89" i="195"/>
  <c r="E88" i="195"/>
  <c r="D88" i="195"/>
  <c r="C88" i="195"/>
  <c r="E87" i="195"/>
  <c r="D87" i="195"/>
  <c r="C87" i="195"/>
  <c r="E83" i="195"/>
  <c r="D83" i="195"/>
  <c r="C83" i="195"/>
  <c r="E82" i="195"/>
  <c r="D82" i="195"/>
  <c r="C82" i="195"/>
  <c r="E81" i="195"/>
  <c r="D81" i="195"/>
  <c r="C81" i="195"/>
  <c r="E80" i="195"/>
  <c r="D80" i="195"/>
  <c r="C80" i="195"/>
  <c r="E79" i="195"/>
  <c r="D79" i="195"/>
  <c r="C79" i="195"/>
  <c r="E78" i="195"/>
  <c r="D78" i="195"/>
  <c r="C78" i="195"/>
  <c r="E77" i="195"/>
  <c r="D77" i="195"/>
  <c r="C77" i="195"/>
  <c r="E76" i="195"/>
  <c r="D76" i="195"/>
  <c r="C76" i="195"/>
  <c r="E75" i="195"/>
  <c r="D75" i="195"/>
  <c r="C75" i="195"/>
  <c r="E74" i="195"/>
  <c r="D74" i="195"/>
  <c r="C74" i="195"/>
  <c r="E73" i="195"/>
  <c r="D73" i="195"/>
  <c r="C73" i="195"/>
  <c r="E72" i="195"/>
  <c r="D72" i="195"/>
  <c r="C72" i="195"/>
  <c r="E71" i="195"/>
  <c r="D71" i="195"/>
  <c r="C71" i="195"/>
  <c r="E70" i="195"/>
  <c r="D70" i="195"/>
  <c r="C70" i="195"/>
  <c r="E69" i="195"/>
  <c r="D69" i="195"/>
  <c r="C69" i="195"/>
  <c r="E65" i="195"/>
  <c r="D65" i="195"/>
  <c r="C65" i="195"/>
  <c r="E64" i="195"/>
  <c r="D64" i="195"/>
  <c r="C64" i="195"/>
  <c r="E63" i="195"/>
  <c r="D63" i="195"/>
  <c r="C63" i="195"/>
  <c r="E62" i="195"/>
  <c r="D62" i="195"/>
  <c r="C62" i="195"/>
  <c r="E61" i="195"/>
  <c r="D61" i="195"/>
  <c r="C61" i="195"/>
  <c r="E60" i="195"/>
  <c r="D60" i="195"/>
  <c r="C60" i="195"/>
  <c r="E59" i="195"/>
  <c r="D59" i="195"/>
  <c r="C59" i="195"/>
  <c r="E58" i="195"/>
  <c r="D58" i="195"/>
  <c r="C58" i="195"/>
  <c r="E57" i="195"/>
  <c r="D57" i="195"/>
  <c r="C57" i="195"/>
  <c r="E56" i="195"/>
  <c r="D56" i="195"/>
  <c r="C56" i="195"/>
  <c r="E55" i="195"/>
  <c r="D55" i="195"/>
  <c r="C55" i="195"/>
  <c r="E54" i="195"/>
  <c r="D54" i="195"/>
  <c r="C54" i="195"/>
  <c r="E53" i="195"/>
  <c r="D53" i="195"/>
  <c r="C53" i="195"/>
  <c r="E52" i="195"/>
  <c r="D52" i="195"/>
  <c r="C52" i="195"/>
  <c r="E51" i="195"/>
  <c r="D51" i="195"/>
  <c r="C51" i="195"/>
  <c r="E50" i="195"/>
  <c r="D50" i="195"/>
  <c r="C50" i="195"/>
  <c r="E49" i="195"/>
  <c r="D49" i="195"/>
  <c r="C49" i="195"/>
  <c r="E48" i="195"/>
  <c r="D48" i="195"/>
  <c r="C48" i="195"/>
  <c r="E47" i="195"/>
  <c r="D47" i="195"/>
  <c r="C47" i="195"/>
  <c r="E46" i="195"/>
  <c r="D46" i="195"/>
  <c r="C46" i="195"/>
  <c r="E45" i="195"/>
  <c r="D45" i="195"/>
  <c r="C45" i="195"/>
  <c r="E44" i="195"/>
  <c r="D44" i="195"/>
  <c r="C44" i="195"/>
  <c r="E43" i="195"/>
  <c r="D43" i="195"/>
  <c r="C43" i="195"/>
  <c r="E42" i="195"/>
  <c r="D42" i="195"/>
  <c r="C42" i="195"/>
  <c r="E41" i="195"/>
  <c r="D41" i="195"/>
  <c r="C41" i="195"/>
  <c r="E40" i="195"/>
  <c r="D40" i="195"/>
  <c r="C40" i="195"/>
  <c r="E39" i="195"/>
  <c r="D39" i="195"/>
  <c r="C39" i="195"/>
  <c r="E38" i="195"/>
  <c r="D38" i="195"/>
  <c r="C38" i="195"/>
  <c r="E37" i="195"/>
  <c r="D37" i="195"/>
  <c r="C37" i="195"/>
  <c r="E36" i="195"/>
  <c r="D36" i="195"/>
  <c r="C36" i="195"/>
  <c r="E35" i="195"/>
  <c r="D35" i="195"/>
  <c r="C35" i="195"/>
  <c r="E34" i="195"/>
  <c r="D34" i="195"/>
  <c r="C34" i="195"/>
  <c r="E33" i="195"/>
  <c r="D33" i="195"/>
  <c r="C33" i="195"/>
  <c r="E32" i="195"/>
  <c r="D32" i="195"/>
  <c r="C32" i="195"/>
  <c r="E31" i="195"/>
  <c r="D31" i="195"/>
  <c r="C31" i="195"/>
  <c r="E30" i="195"/>
  <c r="D30" i="195"/>
  <c r="C30" i="195"/>
  <c r="D25" i="195"/>
  <c r="C25" i="195"/>
  <c r="D24" i="195"/>
  <c r="C24" i="195"/>
  <c r="D23" i="195"/>
  <c r="C23" i="195"/>
  <c r="D22" i="195"/>
  <c r="C22" i="195"/>
  <c r="D21" i="195"/>
  <c r="C21" i="195"/>
  <c r="D20" i="195"/>
  <c r="C20" i="195"/>
  <c r="D19" i="195"/>
  <c r="C19" i="195"/>
  <c r="D18" i="195"/>
  <c r="C18" i="195"/>
  <c r="D17" i="195"/>
  <c r="C17" i="195"/>
  <c r="D16" i="195"/>
  <c r="C16" i="195"/>
  <c r="D15" i="195"/>
  <c r="C15" i="195"/>
  <c r="D14" i="195"/>
  <c r="C14" i="195"/>
  <c r="D13" i="195"/>
  <c r="C13" i="195"/>
  <c r="D12" i="195"/>
  <c r="C12" i="195"/>
  <c r="C4" i="195"/>
  <c r="C3" i="195"/>
  <c r="C238" i="195" l="1"/>
  <c r="D26" i="195"/>
  <c r="F12" i="195"/>
  <c r="I12" i="195" s="1"/>
  <c r="C84" i="195"/>
  <c r="C26" i="195"/>
  <c r="E84" i="195"/>
  <c r="E124" i="195"/>
  <c r="C202" i="195"/>
  <c r="E98" i="195"/>
  <c r="D166" i="195"/>
  <c r="D98" i="195"/>
  <c r="C107" i="195"/>
  <c r="D107" i="195"/>
  <c r="E107" i="195"/>
  <c r="E116" i="195"/>
  <c r="C124" i="195"/>
  <c r="E202" i="195"/>
  <c r="D84" i="195"/>
  <c r="C98" i="195"/>
  <c r="C166" i="195"/>
  <c r="D202" i="195"/>
  <c r="C116" i="195"/>
  <c r="D116" i="195"/>
  <c r="D124" i="195"/>
  <c r="E166" i="195"/>
  <c r="C211" i="195"/>
  <c r="D211" i="195"/>
  <c r="E211" i="195"/>
  <c r="C233" i="195"/>
  <c r="C66" i="195"/>
  <c r="D66" i="195"/>
  <c r="E66" i="195"/>
  <c r="C213" i="195" l="1"/>
  <c r="C217" i="195" s="1"/>
  <c r="D213" i="195"/>
  <c r="D220" i="195" s="1"/>
  <c r="E213" i="195"/>
  <c r="C220" i="195" l="1"/>
  <c r="E220" i="195"/>
  <c r="F237" i="195"/>
  <c r="F236" i="195"/>
  <c r="H233" i="195"/>
  <c r="G233" i="195"/>
  <c r="F232" i="195"/>
  <c r="F231" i="195"/>
  <c r="F230" i="195"/>
  <c r="F229" i="195"/>
  <c r="F228" i="195"/>
  <c r="F227" i="195"/>
  <c r="F226" i="195"/>
  <c r="F225" i="195"/>
  <c r="F224" i="195"/>
  <c r="M213" i="195"/>
  <c r="L213" i="195"/>
  <c r="H211" i="195"/>
  <c r="G211" i="195"/>
  <c r="H202" i="195"/>
  <c r="G202" i="195"/>
  <c r="F198" i="195"/>
  <c r="F196" i="195"/>
  <c r="F194" i="195"/>
  <c r="F192" i="195"/>
  <c r="F190" i="195"/>
  <c r="F188" i="195"/>
  <c r="F186" i="195"/>
  <c r="F184" i="195"/>
  <c r="F183" i="195"/>
  <c r="F182" i="195"/>
  <c r="F181" i="195"/>
  <c r="F180" i="195"/>
  <c r="F178" i="195"/>
  <c r="F177" i="195"/>
  <c r="H166" i="195"/>
  <c r="G166" i="195"/>
  <c r="F165" i="195"/>
  <c r="F164" i="195"/>
  <c r="F163" i="195"/>
  <c r="F162" i="195"/>
  <c r="F161" i="195"/>
  <c r="F160" i="195"/>
  <c r="F158" i="195"/>
  <c r="F157" i="195"/>
  <c r="F156" i="195"/>
  <c r="F155" i="195"/>
  <c r="F154" i="195"/>
  <c r="F153" i="195"/>
  <c r="F152" i="195"/>
  <c r="F151" i="195"/>
  <c r="F150" i="195"/>
  <c r="F148" i="195"/>
  <c r="F147" i="195"/>
  <c r="F146" i="195"/>
  <c r="F145" i="195"/>
  <c r="F143" i="195"/>
  <c r="F142" i="195"/>
  <c r="F141" i="195"/>
  <c r="F140" i="195"/>
  <c r="F138" i="195"/>
  <c r="F137" i="195"/>
  <c r="F136" i="195"/>
  <c r="F135" i="195"/>
  <c r="F134" i="195"/>
  <c r="F132" i="195"/>
  <c r="F131" i="195"/>
  <c r="F130" i="195"/>
  <c r="F129" i="195"/>
  <c r="H124" i="195"/>
  <c r="G124" i="195"/>
  <c r="F123" i="195"/>
  <c r="F122" i="195"/>
  <c r="F121" i="195"/>
  <c r="F120" i="195"/>
  <c r="F119" i="195"/>
  <c r="H116" i="195"/>
  <c r="G116" i="195"/>
  <c r="H107" i="195"/>
  <c r="G107" i="195"/>
  <c r="F104" i="195"/>
  <c r="H98" i="195"/>
  <c r="G98" i="195"/>
  <c r="F97" i="195"/>
  <c r="F96" i="195"/>
  <c r="F95" i="195"/>
  <c r="F94" i="195"/>
  <c r="F93" i="195"/>
  <c r="F92" i="195"/>
  <c r="F91" i="195"/>
  <c r="F90" i="195"/>
  <c r="F89" i="195"/>
  <c r="F88" i="195"/>
  <c r="F87" i="195"/>
  <c r="H84" i="195"/>
  <c r="G84" i="195"/>
  <c r="F82" i="195"/>
  <c r="F78" i="195"/>
  <c r="F76" i="195"/>
  <c r="F74" i="195"/>
  <c r="F72" i="195"/>
  <c r="F70" i="195"/>
  <c r="H66" i="195"/>
  <c r="G66" i="195"/>
  <c r="F63" i="195"/>
  <c r="F61" i="195"/>
  <c r="F59" i="195"/>
  <c r="F58" i="195"/>
  <c r="F57" i="195"/>
  <c r="F56" i="195"/>
  <c r="F55" i="195"/>
  <c r="F54" i="195"/>
  <c r="F53" i="195"/>
  <c r="F52" i="195"/>
  <c r="F51" i="195"/>
  <c r="F50" i="195"/>
  <c r="F49" i="195"/>
  <c r="F48" i="195"/>
  <c r="F47" i="195"/>
  <c r="F46" i="195"/>
  <c r="F45" i="195"/>
  <c r="F44" i="195"/>
  <c r="F43" i="195"/>
  <c r="F42" i="195"/>
  <c r="F41" i="195"/>
  <c r="F40" i="195"/>
  <c r="F39" i="195"/>
  <c r="F38" i="195"/>
  <c r="F37" i="195"/>
  <c r="F36" i="195"/>
  <c r="F35" i="195"/>
  <c r="F34" i="195"/>
  <c r="F33" i="195"/>
  <c r="F32" i="195"/>
  <c r="F31" i="195"/>
  <c r="F25" i="195"/>
  <c r="F24" i="195"/>
  <c r="F23" i="195"/>
  <c r="F22" i="195"/>
  <c r="F21" i="195"/>
  <c r="F20" i="195"/>
  <c r="F19" i="195"/>
  <c r="F18" i="195"/>
  <c r="F17" i="195"/>
  <c r="F15" i="195"/>
  <c r="F14" i="195"/>
  <c r="F13" i="195"/>
  <c r="F238" i="195"/>
  <c r="A1" i="195"/>
  <c r="D18" i="194"/>
  <c r="I247" i="194"/>
  <c r="I246" i="194"/>
  <c r="C243" i="194"/>
  <c r="C242" i="194"/>
  <c r="C241" i="194"/>
  <c r="C240" i="194"/>
  <c r="C237" i="194"/>
  <c r="C236" i="194"/>
  <c r="E233" i="194"/>
  <c r="D233" i="194"/>
  <c r="C232" i="194"/>
  <c r="C231" i="194"/>
  <c r="C230" i="194"/>
  <c r="C229" i="194"/>
  <c r="C228" i="194"/>
  <c r="C227" i="194"/>
  <c r="C226" i="194"/>
  <c r="C225" i="194"/>
  <c r="C224" i="194"/>
  <c r="C216" i="194"/>
  <c r="E210" i="194"/>
  <c r="D210" i="194"/>
  <c r="C210" i="194"/>
  <c r="E209" i="194"/>
  <c r="D209" i="194"/>
  <c r="C209" i="194"/>
  <c r="E208" i="194"/>
  <c r="D208" i="194"/>
  <c r="C208" i="194"/>
  <c r="E207" i="194"/>
  <c r="D207" i="194"/>
  <c r="C207" i="194"/>
  <c r="E206" i="194"/>
  <c r="D206" i="194"/>
  <c r="C206" i="194"/>
  <c r="E205" i="194"/>
  <c r="D205" i="194"/>
  <c r="C205" i="194"/>
  <c r="E201" i="194"/>
  <c r="D201" i="194"/>
  <c r="C201" i="194"/>
  <c r="E200" i="194"/>
  <c r="D200" i="194"/>
  <c r="C200" i="194"/>
  <c r="E199" i="194"/>
  <c r="D199" i="194"/>
  <c r="C199" i="194"/>
  <c r="E198" i="194"/>
  <c r="D198" i="194"/>
  <c r="C198" i="194"/>
  <c r="E197" i="194"/>
  <c r="D197" i="194"/>
  <c r="C197" i="194"/>
  <c r="E196" i="194"/>
  <c r="D196" i="194"/>
  <c r="C196" i="194"/>
  <c r="E195" i="194"/>
  <c r="D195" i="194"/>
  <c r="C195" i="194"/>
  <c r="E194" i="194"/>
  <c r="D194" i="194"/>
  <c r="C194" i="194"/>
  <c r="E193" i="194"/>
  <c r="D193" i="194"/>
  <c r="C193" i="194"/>
  <c r="E192" i="194"/>
  <c r="D192" i="194"/>
  <c r="C192" i="194"/>
  <c r="E191" i="194"/>
  <c r="D191" i="194"/>
  <c r="C191" i="194"/>
  <c r="E190" i="194"/>
  <c r="D190" i="194"/>
  <c r="C190" i="194"/>
  <c r="E189" i="194"/>
  <c r="D189" i="194"/>
  <c r="C189" i="194"/>
  <c r="E188" i="194"/>
  <c r="D188" i="194"/>
  <c r="C188" i="194"/>
  <c r="E187" i="194"/>
  <c r="D187" i="194"/>
  <c r="C187" i="194"/>
  <c r="E186" i="194"/>
  <c r="D186" i="194"/>
  <c r="C186" i="194"/>
  <c r="E185" i="194"/>
  <c r="D185" i="194"/>
  <c r="C185" i="194"/>
  <c r="E184" i="194"/>
  <c r="D184" i="194"/>
  <c r="C184" i="194"/>
  <c r="E183" i="194"/>
  <c r="D183" i="194"/>
  <c r="C183" i="194"/>
  <c r="E182" i="194"/>
  <c r="D182" i="194"/>
  <c r="C182" i="194"/>
  <c r="E181" i="194"/>
  <c r="D181" i="194"/>
  <c r="C181" i="194"/>
  <c r="E180" i="194"/>
  <c r="D180" i="194"/>
  <c r="C180" i="194"/>
  <c r="E179" i="194"/>
  <c r="D179" i="194"/>
  <c r="C179" i="194"/>
  <c r="E178" i="194"/>
  <c r="D178" i="194"/>
  <c r="C178" i="194"/>
  <c r="E177" i="194"/>
  <c r="D177" i="194"/>
  <c r="C177" i="194"/>
  <c r="E176" i="194"/>
  <c r="D176" i="194"/>
  <c r="C176" i="194"/>
  <c r="E175" i="194"/>
  <c r="D175" i="194"/>
  <c r="C175" i="194"/>
  <c r="E174" i="194"/>
  <c r="D174" i="194"/>
  <c r="C174" i="194"/>
  <c r="E173" i="194"/>
  <c r="D173" i="194"/>
  <c r="C173" i="194"/>
  <c r="E172" i="194"/>
  <c r="D172" i="194"/>
  <c r="C172" i="194"/>
  <c r="E171" i="194"/>
  <c r="D171" i="194"/>
  <c r="C171" i="194"/>
  <c r="E170" i="194"/>
  <c r="D170" i="194"/>
  <c r="C170" i="194"/>
  <c r="E169" i="194"/>
  <c r="D169" i="194"/>
  <c r="C169" i="194"/>
  <c r="E165" i="194"/>
  <c r="D165" i="194"/>
  <c r="C165" i="194"/>
  <c r="E164" i="194"/>
  <c r="D164" i="194"/>
  <c r="C164" i="194"/>
  <c r="E163" i="194"/>
  <c r="D163" i="194"/>
  <c r="C163" i="194"/>
  <c r="E162" i="194"/>
  <c r="D162" i="194"/>
  <c r="C162" i="194"/>
  <c r="E161" i="194"/>
  <c r="D161" i="194"/>
  <c r="C161" i="194"/>
  <c r="E160" i="194"/>
  <c r="D160" i="194"/>
  <c r="C160" i="194"/>
  <c r="E158" i="194"/>
  <c r="D158" i="194"/>
  <c r="C158" i="194"/>
  <c r="E157" i="194"/>
  <c r="D157" i="194"/>
  <c r="C157" i="194"/>
  <c r="E156" i="194"/>
  <c r="D156" i="194"/>
  <c r="C156" i="194"/>
  <c r="E155" i="194"/>
  <c r="D155" i="194"/>
  <c r="C155" i="194"/>
  <c r="E154" i="194"/>
  <c r="D154" i="194"/>
  <c r="C154" i="194"/>
  <c r="E153" i="194"/>
  <c r="D153" i="194"/>
  <c r="C153" i="194"/>
  <c r="E152" i="194"/>
  <c r="D152" i="194"/>
  <c r="C152" i="194"/>
  <c r="E151" i="194"/>
  <c r="D151" i="194"/>
  <c r="C151" i="194"/>
  <c r="E150" i="194"/>
  <c r="D150" i="194"/>
  <c r="C150" i="194"/>
  <c r="E148" i="194"/>
  <c r="D148" i="194"/>
  <c r="C148" i="194"/>
  <c r="E147" i="194"/>
  <c r="D147" i="194"/>
  <c r="C147" i="194"/>
  <c r="E146" i="194"/>
  <c r="D146" i="194"/>
  <c r="C146" i="194"/>
  <c r="E145" i="194"/>
  <c r="D145" i="194"/>
  <c r="C145" i="194"/>
  <c r="E143" i="194"/>
  <c r="D143" i="194"/>
  <c r="C143" i="194"/>
  <c r="E142" i="194"/>
  <c r="D142" i="194"/>
  <c r="C142" i="194"/>
  <c r="E141" i="194"/>
  <c r="D141" i="194"/>
  <c r="C141" i="194"/>
  <c r="E140" i="194"/>
  <c r="D140" i="194"/>
  <c r="C140" i="194"/>
  <c r="E138" i="194"/>
  <c r="D138" i="194"/>
  <c r="C138" i="194"/>
  <c r="E137" i="194"/>
  <c r="D137" i="194"/>
  <c r="C137" i="194"/>
  <c r="E136" i="194"/>
  <c r="D136" i="194"/>
  <c r="C136" i="194"/>
  <c r="E135" i="194"/>
  <c r="D135" i="194"/>
  <c r="C135" i="194"/>
  <c r="E134" i="194"/>
  <c r="D134" i="194"/>
  <c r="C134" i="194"/>
  <c r="E132" i="194"/>
  <c r="D132" i="194"/>
  <c r="C132" i="194"/>
  <c r="E131" i="194"/>
  <c r="D131" i="194"/>
  <c r="C131" i="194"/>
  <c r="E130" i="194"/>
  <c r="D130" i="194"/>
  <c r="C130" i="194"/>
  <c r="E129" i="194"/>
  <c r="D129" i="194"/>
  <c r="C129" i="194"/>
  <c r="E128" i="194"/>
  <c r="D128" i="194"/>
  <c r="C128" i="194"/>
  <c r="E123" i="194"/>
  <c r="D123" i="194"/>
  <c r="C123" i="194"/>
  <c r="E122" i="194"/>
  <c r="D122" i="194"/>
  <c r="C122" i="194"/>
  <c r="E121" i="194"/>
  <c r="D121" i="194"/>
  <c r="C121" i="194"/>
  <c r="E120" i="194"/>
  <c r="D120" i="194"/>
  <c r="C120" i="194"/>
  <c r="E119" i="194"/>
  <c r="D119" i="194"/>
  <c r="C119" i="194"/>
  <c r="E115" i="194"/>
  <c r="D115" i="194"/>
  <c r="C115" i="194"/>
  <c r="E114" i="194"/>
  <c r="D114" i="194"/>
  <c r="C114" i="194"/>
  <c r="E113" i="194"/>
  <c r="D113" i="194"/>
  <c r="C113" i="194"/>
  <c r="E112" i="194"/>
  <c r="D112" i="194"/>
  <c r="C112" i="194"/>
  <c r="E111" i="194"/>
  <c r="D111" i="194"/>
  <c r="C111" i="194"/>
  <c r="E110" i="194"/>
  <c r="D110" i="194"/>
  <c r="C110" i="194"/>
  <c r="E106" i="194"/>
  <c r="D106" i="194"/>
  <c r="C106" i="194"/>
  <c r="E105" i="194"/>
  <c r="D105" i="194"/>
  <c r="C105" i="194"/>
  <c r="E104" i="194"/>
  <c r="D104" i="194"/>
  <c r="C104" i="194"/>
  <c r="E103" i="194"/>
  <c r="D103" i="194"/>
  <c r="C103" i="194"/>
  <c r="E102" i="194"/>
  <c r="D102" i="194"/>
  <c r="C102" i="194"/>
  <c r="E101" i="194"/>
  <c r="D101" i="194"/>
  <c r="C101" i="194"/>
  <c r="E97" i="194"/>
  <c r="D97" i="194"/>
  <c r="C97" i="194"/>
  <c r="E96" i="194"/>
  <c r="D96" i="194"/>
  <c r="C96" i="194"/>
  <c r="E95" i="194"/>
  <c r="D95" i="194"/>
  <c r="C95" i="194"/>
  <c r="E94" i="194"/>
  <c r="D94" i="194"/>
  <c r="C94" i="194"/>
  <c r="E93" i="194"/>
  <c r="D93" i="194"/>
  <c r="C93" i="194"/>
  <c r="E92" i="194"/>
  <c r="D92" i="194"/>
  <c r="C92" i="194"/>
  <c r="E91" i="194"/>
  <c r="D91" i="194"/>
  <c r="C91" i="194"/>
  <c r="E90" i="194"/>
  <c r="D90" i="194"/>
  <c r="C90" i="194"/>
  <c r="E89" i="194"/>
  <c r="D89" i="194"/>
  <c r="C89" i="194"/>
  <c r="E88" i="194"/>
  <c r="D88" i="194"/>
  <c r="C88" i="194"/>
  <c r="E87" i="194"/>
  <c r="D87" i="194"/>
  <c r="C87" i="194"/>
  <c r="E83" i="194"/>
  <c r="D83" i="194"/>
  <c r="C83" i="194"/>
  <c r="E82" i="194"/>
  <c r="D82" i="194"/>
  <c r="C82" i="194"/>
  <c r="E81" i="194"/>
  <c r="D81" i="194"/>
  <c r="C81" i="194"/>
  <c r="E80" i="194"/>
  <c r="D80" i="194"/>
  <c r="C80" i="194"/>
  <c r="E79" i="194"/>
  <c r="D79" i="194"/>
  <c r="C79" i="194"/>
  <c r="E78" i="194"/>
  <c r="D78" i="194"/>
  <c r="C78" i="194"/>
  <c r="E77" i="194"/>
  <c r="D77" i="194"/>
  <c r="C77" i="194"/>
  <c r="E76" i="194"/>
  <c r="D76" i="194"/>
  <c r="C76" i="194"/>
  <c r="E75" i="194"/>
  <c r="D75" i="194"/>
  <c r="C75" i="194"/>
  <c r="E74" i="194"/>
  <c r="D74" i="194"/>
  <c r="C74" i="194"/>
  <c r="E73" i="194"/>
  <c r="D73" i="194"/>
  <c r="C73" i="194"/>
  <c r="E72" i="194"/>
  <c r="D72" i="194"/>
  <c r="C72" i="194"/>
  <c r="E71" i="194"/>
  <c r="D71" i="194"/>
  <c r="C71" i="194"/>
  <c r="E70" i="194"/>
  <c r="D70" i="194"/>
  <c r="C70" i="194"/>
  <c r="E69" i="194"/>
  <c r="D69" i="194"/>
  <c r="C69" i="194"/>
  <c r="E65" i="194"/>
  <c r="D65" i="194"/>
  <c r="C65" i="194"/>
  <c r="E64" i="194"/>
  <c r="D64" i="194"/>
  <c r="C64" i="194"/>
  <c r="E63" i="194"/>
  <c r="D63" i="194"/>
  <c r="C63" i="194"/>
  <c r="E62" i="194"/>
  <c r="D62" i="194"/>
  <c r="C62" i="194"/>
  <c r="E61" i="194"/>
  <c r="D61" i="194"/>
  <c r="C61" i="194"/>
  <c r="E60" i="194"/>
  <c r="D60" i="194"/>
  <c r="C60" i="194"/>
  <c r="E59" i="194"/>
  <c r="D59" i="194"/>
  <c r="C59" i="194"/>
  <c r="E58" i="194"/>
  <c r="D58" i="194"/>
  <c r="C58" i="194"/>
  <c r="E57" i="194"/>
  <c r="D57" i="194"/>
  <c r="C57" i="194"/>
  <c r="E56" i="194"/>
  <c r="D56" i="194"/>
  <c r="C56" i="194"/>
  <c r="E55" i="194"/>
  <c r="D55" i="194"/>
  <c r="C55" i="194"/>
  <c r="E54" i="194"/>
  <c r="D54" i="194"/>
  <c r="C54" i="194"/>
  <c r="E53" i="194"/>
  <c r="D53" i="194"/>
  <c r="C53" i="194"/>
  <c r="E52" i="194"/>
  <c r="D52" i="194"/>
  <c r="C52" i="194"/>
  <c r="E51" i="194"/>
  <c r="D51" i="194"/>
  <c r="C51" i="194"/>
  <c r="E50" i="194"/>
  <c r="D50" i="194"/>
  <c r="C50" i="194"/>
  <c r="E49" i="194"/>
  <c r="D49" i="194"/>
  <c r="C49" i="194"/>
  <c r="E48" i="194"/>
  <c r="D48" i="194"/>
  <c r="C48" i="194"/>
  <c r="E47" i="194"/>
  <c r="D47" i="194"/>
  <c r="C47" i="194"/>
  <c r="E46" i="194"/>
  <c r="D46" i="194"/>
  <c r="C46" i="194"/>
  <c r="E45" i="194"/>
  <c r="D45" i="194"/>
  <c r="C45" i="194"/>
  <c r="E44" i="194"/>
  <c r="D44" i="194"/>
  <c r="C44" i="194"/>
  <c r="E43" i="194"/>
  <c r="D43" i="194"/>
  <c r="C43" i="194"/>
  <c r="E42" i="194"/>
  <c r="D42" i="194"/>
  <c r="C42" i="194"/>
  <c r="E41" i="194"/>
  <c r="D41" i="194"/>
  <c r="C41" i="194"/>
  <c r="E40" i="194"/>
  <c r="D40" i="194"/>
  <c r="C40" i="194"/>
  <c r="E39" i="194"/>
  <c r="D39" i="194"/>
  <c r="C39" i="194"/>
  <c r="E38" i="194"/>
  <c r="D38" i="194"/>
  <c r="C38" i="194"/>
  <c r="E37" i="194"/>
  <c r="D37" i="194"/>
  <c r="C37" i="194"/>
  <c r="E36" i="194"/>
  <c r="D36" i="194"/>
  <c r="C36" i="194"/>
  <c r="E35" i="194"/>
  <c r="D35" i="194"/>
  <c r="C35" i="194"/>
  <c r="E34" i="194"/>
  <c r="D34" i="194"/>
  <c r="C34" i="194"/>
  <c r="E33" i="194"/>
  <c r="D33" i="194"/>
  <c r="C33" i="194"/>
  <c r="E32" i="194"/>
  <c r="D32" i="194"/>
  <c r="C32" i="194"/>
  <c r="E31" i="194"/>
  <c r="D31" i="194"/>
  <c r="C31" i="194"/>
  <c r="E30" i="194"/>
  <c r="D30" i="194"/>
  <c r="C30" i="194"/>
  <c r="D25" i="194"/>
  <c r="C25" i="194"/>
  <c r="D24" i="194"/>
  <c r="C24" i="194"/>
  <c r="D23" i="194"/>
  <c r="C23" i="194"/>
  <c r="D22" i="194"/>
  <c r="C22" i="194"/>
  <c r="D21" i="194"/>
  <c r="C21" i="194"/>
  <c r="D20" i="194"/>
  <c r="C20" i="194"/>
  <c r="D19" i="194"/>
  <c r="C19" i="194"/>
  <c r="C18" i="194"/>
  <c r="D17" i="194"/>
  <c r="C17" i="194"/>
  <c r="D16" i="194"/>
  <c r="C16" i="194"/>
  <c r="D15" i="194"/>
  <c r="C15" i="194"/>
  <c r="D14" i="194"/>
  <c r="C14" i="194"/>
  <c r="D13" i="194"/>
  <c r="C13" i="194"/>
  <c r="D12" i="194"/>
  <c r="C12" i="194"/>
  <c r="C4" i="194"/>
  <c r="C3" i="194"/>
  <c r="M22" i="195" l="1"/>
  <c r="M23" i="195"/>
  <c r="D26" i="194"/>
  <c r="F12" i="194"/>
  <c r="I12" i="194" s="1"/>
  <c r="C238" i="194"/>
  <c r="G213" i="195"/>
  <c r="E84" i="194"/>
  <c r="D98" i="194"/>
  <c r="E98" i="194"/>
  <c r="D107" i="194"/>
  <c r="D116" i="194"/>
  <c r="D124" i="194"/>
  <c r="C202" i="194"/>
  <c r="C211" i="194"/>
  <c r="E211" i="194"/>
  <c r="C107" i="194"/>
  <c r="E202" i="194"/>
  <c r="C84" i="194"/>
  <c r="C116" i="194"/>
  <c r="E116" i="194"/>
  <c r="E124" i="194"/>
  <c r="D211" i="194"/>
  <c r="E107" i="194"/>
  <c r="E166" i="194"/>
  <c r="C233" i="194"/>
  <c r="C26" i="194"/>
  <c r="D84" i="194"/>
  <c r="C98" i="194"/>
  <c r="C124" i="194"/>
  <c r="C166" i="194"/>
  <c r="D166" i="194"/>
  <c r="D202" i="194"/>
  <c r="I14" i="195"/>
  <c r="I15" i="195"/>
  <c r="I19" i="195"/>
  <c r="I25" i="195"/>
  <c r="I35" i="195"/>
  <c r="I36" i="195"/>
  <c r="I46" i="195"/>
  <c r="I50" i="195"/>
  <c r="I53" i="195"/>
  <c r="I57" i="195"/>
  <c r="I58" i="195"/>
  <c r="I70" i="195"/>
  <c r="I82" i="195"/>
  <c r="I89" i="195"/>
  <c r="I91" i="195"/>
  <c r="I94" i="195"/>
  <c r="I104" i="195"/>
  <c r="I130" i="195"/>
  <c r="I131" i="195"/>
  <c r="I140" i="195"/>
  <c r="I141" i="195"/>
  <c r="I142" i="195"/>
  <c r="I145" i="195"/>
  <c r="I146" i="195"/>
  <c r="I147" i="195"/>
  <c r="I148" i="195"/>
  <c r="I153" i="195"/>
  <c r="I154" i="195"/>
  <c r="I155" i="195"/>
  <c r="I156" i="195"/>
  <c r="I163" i="195"/>
  <c r="I178" i="195"/>
  <c r="I186" i="195"/>
  <c r="I198" i="195"/>
  <c r="I227" i="195"/>
  <c r="I231" i="195"/>
  <c r="I13" i="195"/>
  <c r="I17" i="195"/>
  <c r="I18" i="195"/>
  <c r="I22" i="195"/>
  <c r="I23" i="195"/>
  <c r="I24" i="195"/>
  <c r="I34" i="195"/>
  <c r="I42" i="195"/>
  <c r="I43" i="195"/>
  <c r="I47" i="195"/>
  <c r="I51" i="195"/>
  <c r="I55" i="195"/>
  <c r="I56" i="195"/>
  <c r="I61" i="195"/>
  <c r="I72" i="195"/>
  <c r="I95" i="195"/>
  <c r="I97" i="195"/>
  <c r="I123" i="195"/>
  <c r="I138" i="195"/>
  <c r="I143" i="195"/>
  <c r="I157" i="195"/>
  <c r="I158" i="195"/>
  <c r="I160" i="195"/>
  <c r="I164" i="195"/>
  <c r="I177" i="195"/>
  <c r="I188" i="195"/>
  <c r="I192" i="195"/>
  <c r="I194" i="195"/>
  <c r="I228" i="195"/>
  <c r="I232" i="195"/>
  <c r="I237" i="195"/>
  <c r="I21" i="195"/>
  <c r="I31" i="195"/>
  <c r="I32" i="195"/>
  <c r="I33" i="195"/>
  <c r="I40" i="195"/>
  <c r="I41" i="195"/>
  <c r="I44" i="195"/>
  <c r="I48" i="195"/>
  <c r="I52" i="195"/>
  <c r="I54" i="195"/>
  <c r="I74" i="195"/>
  <c r="I76" i="195"/>
  <c r="I78" i="195"/>
  <c r="I88" i="195"/>
  <c r="I90" i="195"/>
  <c r="I92" i="195"/>
  <c r="I120" i="195"/>
  <c r="I122" i="195"/>
  <c r="I161" i="195"/>
  <c r="I165" i="195"/>
  <c r="I181" i="195"/>
  <c r="I182" i="195"/>
  <c r="I196" i="195"/>
  <c r="I225" i="195"/>
  <c r="I229" i="195"/>
  <c r="I238" i="195"/>
  <c r="I20" i="195"/>
  <c r="I37" i="195"/>
  <c r="I38" i="195"/>
  <c r="I39" i="195"/>
  <c r="I45" i="195"/>
  <c r="I49" i="195"/>
  <c r="I59" i="195"/>
  <c r="I63" i="195"/>
  <c r="I93" i="195"/>
  <c r="I96" i="195"/>
  <c r="I121" i="195"/>
  <c r="I129" i="195"/>
  <c r="I132" i="195"/>
  <c r="I134" i="195"/>
  <c r="I135" i="195"/>
  <c r="I136" i="195"/>
  <c r="I137" i="195"/>
  <c r="I150" i="195"/>
  <c r="I151" i="195"/>
  <c r="I152" i="195"/>
  <c r="I162" i="195"/>
  <c r="I180" i="195"/>
  <c r="I183" i="195"/>
  <c r="I184" i="195"/>
  <c r="I190" i="195"/>
  <c r="I226" i="195"/>
  <c r="I230" i="195"/>
  <c r="F233" i="195"/>
  <c r="F75" i="195"/>
  <c r="I87" i="195"/>
  <c r="F98" i="195"/>
  <c r="F16" i="195"/>
  <c r="F65" i="195"/>
  <c r="F77" i="195"/>
  <c r="F79" i="195"/>
  <c r="F80" i="195"/>
  <c r="F114" i="195"/>
  <c r="F115" i="195"/>
  <c r="F69" i="195"/>
  <c r="F83" i="195"/>
  <c r="F113" i="195"/>
  <c r="F124" i="195"/>
  <c r="I119" i="195"/>
  <c r="F30" i="195"/>
  <c r="F71" i="195"/>
  <c r="F73" i="195"/>
  <c r="F112" i="195"/>
  <c r="F62" i="195"/>
  <c r="H213" i="195"/>
  <c r="F81" i="195"/>
  <c r="F105" i="195"/>
  <c r="F102" i="195"/>
  <c r="F106" i="195"/>
  <c r="F110" i="195"/>
  <c r="F60" i="195"/>
  <c r="F64" i="195"/>
  <c r="F103" i="195"/>
  <c r="F111" i="195"/>
  <c r="F128" i="195"/>
  <c r="F189" i="195"/>
  <c r="F193" i="195"/>
  <c r="F197" i="195"/>
  <c r="F201" i="195"/>
  <c r="F101" i="195"/>
  <c r="F240" i="195"/>
  <c r="I236" i="195"/>
  <c r="F187" i="195"/>
  <c r="F191" i="195"/>
  <c r="F195" i="195"/>
  <c r="F199" i="195"/>
  <c r="I224" i="195"/>
  <c r="F169" i="195"/>
  <c r="F170" i="195"/>
  <c r="F171" i="195"/>
  <c r="F172" i="195"/>
  <c r="F173" i="195"/>
  <c r="F174" i="195"/>
  <c r="F175" i="195"/>
  <c r="F176" i="195"/>
  <c r="F179" i="195"/>
  <c r="F185" i="195"/>
  <c r="F200" i="195"/>
  <c r="F208" i="195"/>
  <c r="F209" i="195"/>
  <c r="F205" i="195"/>
  <c r="F206" i="195"/>
  <c r="F207" i="195"/>
  <c r="F210" i="195"/>
  <c r="C66" i="194"/>
  <c r="D66" i="194"/>
  <c r="E66" i="194"/>
  <c r="H220" i="195" l="1"/>
  <c r="D213" i="194"/>
  <c r="D220" i="194" s="1"/>
  <c r="I16" i="195"/>
  <c r="I26" i="195" s="1"/>
  <c r="F26" i="195"/>
  <c r="O19" i="195"/>
  <c r="O20" i="195"/>
  <c r="E213" i="194"/>
  <c r="G220" i="195"/>
  <c r="C213" i="194"/>
  <c r="I170" i="195"/>
  <c r="I199" i="195"/>
  <c r="I191" i="195"/>
  <c r="F241" i="195"/>
  <c r="I103" i="195"/>
  <c r="I102" i="195"/>
  <c r="I112" i="195"/>
  <c r="I71" i="195"/>
  <c r="I65" i="195"/>
  <c r="O23" i="195"/>
  <c r="O18" i="195"/>
  <c r="I185" i="195"/>
  <c r="I210" i="195"/>
  <c r="I209" i="195"/>
  <c r="I179" i="195"/>
  <c r="I173" i="195"/>
  <c r="I201" i="195"/>
  <c r="I193" i="195"/>
  <c r="I62" i="195"/>
  <c r="I73" i="195"/>
  <c r="I113" i="195"/>
  <c r="I114" i="195"/>
  <c r="I75" i="195"/>
  <c r="I174" i="195"/>
  <c r="I207" i="195"/>
  <c r="I176" i="195"/>
  <c r="I172" i="195"/>
  <c r="I195" i="195"/>
  <c r="I187" i="195"/>
  <c r="I64" i="195"/>
  <c r="I105" i="195"/>
  <c r="I79" i="195"/>
  <c r="O24" i="195"/>
  <c r="O22" i="195"/>
  <c r="O17" i="195"/>
  <c r="I206" i="195"/>
  <c r="I208" i="195"/>
  <c r="I200" i="195"/>
  <c r="I175" i="195"/>
  <c r="I171" i="195"/>
  <c r="I197" i="195"/>
  <c r="I189" i="195"/>
  <c r="I111" i="195"/>
  <c r="I60" i="195"/>
  <c r="I106" i="195"/>
  <c r="I81" i="195"/>
  <c r="I83" i="195"/>
  <c r="I115" i="195"/>
  <c r="I80" i="195"/>
  <c r="I77" i="195"/>
  <c r="O21" i="195"/>
  <c r="F242" i="195"/>
  <c r="F116" i="195"/>
  <c r="I110" i="195"/>
  <c r="I124" i="195"/>
  <c r="I205" i="195"/>
  <c r="F211" i="195"/>
  <c r="I233" i="195"/>
  <c r="I101" i="195"/>
  <c r="F107" i="195"/>
  <c r="I128" i="195"/>
  <c r="F166" i="195"/>
  <c r="F66" i="195"/>
  <c r="I30" i="195"/>
  <c r="I98" i="195"/>
  <c r="I240" i="195"/>
  <c r="M19" i="195"/>
  <c r="I69" i="195"/>
  <c r="F84" i="195"/>
  <c r="F202" i="195"/>
  <c r="I169" i="195"/>
  <c r="O179" i="195" l="1"/>
  <c r="C217" i="194"/>
  <c r="C220" i="194"/>
  <c r="O206" i="195"/>
  <c r="O185" i="195"/>
  <c r="E220" i="194"/>
  <c r="O111" i="195"/>
  <c r="O115" i="195"/>
  <c r="O73" i="195"/>
  <c r="O173" i="195"/>
  <c r="F243" i="195"/>
  <c r="O75" i="195"/>
  <c r="O77" i="195"/>
  <c r="O112" i="195"/>
  <c r="O103" i="195"/>
  <c r="O199" i="195"/>
  <c r="M20" i="195"/>
  <c r="O200" i="195"/>
  <c r="O114" i="195"/>
  <c r="O105" i="195"/>
  <c r="O193" i="195"/>
  <c r="O207" i="195"/>
  <c r="O60" i="195"/>
  <c r="O195" i="195"/>
  <c r="O113" i="195"/>
  <c r="O80" i="195"/>
  <c r="O62" i="195"/>
  <c r="O209" i="195"/>
  <c r="O98" i="195"/>
  <c r="O81" i="195"/>
  <c r="O79" i="195"/>
  <c r="O64" i="195"/>
  <c r="O119" i="195"/>
  <c r="O197" i="195"/>
  <c r="F213" i="195"/>
  <c r="I107" i="195"/>
  <c r="O107" i="195" s="1"/>
  <c r="O101" i="195"/>
  <c r="I241" i="195"/>
  <c r="J232" i="195"/>
  <c r="J230" i="195"/>
  <c r="J228" i="195"/>
  <c r="J226" i="195"/>
  <c r="J224" i="195"/>
  <c r="J229" i="195"/>
  <c r="J231" i="195"/>
  <c r="J233" i="195"/>
  <c r="J225" i="195"/>
  <c r="J227" i="195"/>
  <c r="O134" i="195"/>
  <c r="O130" i="195"/>
  <c r="O178" i="195"/>
  <c r="M18" i="195"/>
  <c r="O136" i="195"/>
  <c r="O33" i="195"/>
  <c r="O46" i="195"/>
  <c r="O88" i="195"/>
  <c r="O42" i="195"/>
  <c r="O31" i="195"/>
  <c r="O44" i="195"/>
  <c r="O51" i="195"/>
  <c r="O104" i="195"/>
  <c r="O89" i="195"/>
  <c r="O147" i="195"/>
  <c r="O58" i="195"/>
  <c r="O177" i="195"/>
  <c r="O120" i="195"/>
  <c r="O154" i="195"/>
  <c r="O61" i="195"/>
  <c r="O148" i="195"/>
  <c r="O146" i="195"/>
  <c r="O160" i="195"/>
  <c r="O142" i="195"/>
  <c r="O163" i="195"/>
  <c r="O192" i="195"/>
  <c r="O145" i="195"/>
  <c r="O182" i="195"/>
  <c r="O50" i="195"/>
  <c r="O34" i="195"/>
  <c r="O45" i="195"/>
  <c r="O48" i="195"/>
  <c r="O35" i="195"/>
  <c r="O38" i="195"/>
  <c r="O54" i="195"/>
  <c r="O95" i="195"/>
  <c r="O78" i="195"/>
  <c r="O157" i="195"/>
  <c r="O90" i="195"/>
  <c r="O122" i="195"/>
  <c r="O76" i="195"/>
  <c r="O74" i="195"/>
  <c r="O152" i="195"/>
  <c r="O181" i="195"/>
  <c r="O150" i="195"/>
  <c r="O162" i="195"/>
  <c r="O151" i="195"/>
  <c r="O165" i="195"/>
  <c r="O198" i="195"/>
  <c r="O188" i="195"/>
  <c r="O59" i="195"/>
  <c r="O40" i="195"/>
  <c r="O47" i="195"/>
  <c r="O63" i="195"/>
  <c r="O96" i="195"/>
  <c r="O143" i="195"/>
  <c r="O55" i="195"/>
  <c r="O94" i="195"/>
  <c r="O137" i="195"/>
  <c r="O184" i="195"/>
  <c r="O138" i="195"/>
  <c r="O161" i="195"/>
  <c r="O190" i="195"/>
  <c r="O196" i="195"/>
  <c r="O36" i="195"/>
  <c r="O37" i="195"/>
  <c r="O49" i="195"/>
  <c r="O32" i="195"/>
  <c r="O52" i="195"/>
  <c r="O43" i="195"/>
  <c r="O57" i="195"/>
  <c r="O131" i="195"/>
  <c r="O132" i="195"/>
  <c r="O91" i="195"/>
  <c r="O82" i="195"/>
  <c r="O92" i="195"/>
  <c r="O123" i="195"/>
  <c r="O72" i="195"/>
  <c r="O93" i="195"/>
  <c r="O121" i="195"/>
  <c r="O141" i="195"/>
  <c r="O155" i="195"/>
  <c r="O186" i="195"/>
  <c r="O153" i="195"/>
  <c r="O164" i="195"/>
  <c r="O156" i="195"/>
  <c r="O180" i="195"/>
  <c r="O194" i="195"/>
  <c r="O41" i="195"/>
  <c r="O39" i="195"/>
  <c r="O53" i="195"/>
  <c r="O56" i="195"/>
  <c r="O70" i="195"/>
  <c r="O135" i="195"/>
  <c r="O97" i="195"/>
  <c r="O129" i="195"/>
  <c r="O140" i="195"/>
  <c r="O158" i="195"/>
  <c r="O183" i="195"/>
  <c r="O124" i="195"/>
  <c r="O187" i="195"/>
  <c r="I66" i="195"/>
  <c r="O66" i="195" s="1"/>
  <c r="O30" i="195"/>
  <c r="I242" i="195"/>
  <c r="O189" i="195"/>
  <c r="O170" i="195"/>
  <c r="O210" i="195"/>
  <c r="O176" i="195"/>
  <c r="O87" i="195"/>
  <c r="I166" i="195"/>
  <c r="O166" i="195" s="1"/>
  <c r="O128" i="195"/>
  <c r="O171" i="195"/>
  <c r="O205" i="195"/>
  <c r="I211" i="195"/>
  <c r="O211" i="195" s="1"/>
  <c r="I116" i="195"/>
  <c r="O116" i="195" s="1"/>
  <c r="O110" i="195"/>
  <c r="O172" i="195"/>
  <c r="I84" i="195"/>
  <c r="O84" i="195" s="1"/>
  <c r="O69" i="195"/>
  <c r="O16" i="195"/>
  <c r="I202" i="195"/>
  <c r="O202" i="195" s="1"/>
  <c r="O169" i="195"/>
  <c r="O102" i="195"/>
  <c r="O174" i="195"/>
  <c r="O71" i="195"/>
  <c r="O208" i="195"/>
  <c r="O65" i="195"/>
  <c r="O106" i="195"/>
  <c r="O201" i="195"/>
  <c r="O191" i="195"/>
  <c r="O175" i="195"/>
  <c r="O83" i="195"/>
  <c r="F237" i="194"/>
  <c r="F236" i="194"/>
  <c r="H233" i="194"/>
  <c r="G233" i="194"/>
  <c r="F232" i="194"/>
  <c r="F231" i="194"/>
  <c r="F230" i="194"/>
  <c r="F229" i="194"/>
  <c r="F228" i="194"/>
  <c r="F227" i="194"/>
  <c r="F226" i="194"/>
  <c r="F225" i="194"/>
  <c r="F224" i="194"/>
  <c r="M213" i="194"/>
  <c r="L213" i="194"/>
  <c r="H211" i="194"/>
  <c r="G211" i="194"/>
  <c r="H202" i="194"/>
  <c r="G202" i="194"/>
  <c r="F201" i="194"/>
  <c r="F177" i="194"/>
  <c r="F175" i="194"/>
  <c r="F173" i="194"/>
  <c r="F170" i="194"/>
  <c r="F169" i="194"/>
  <c r="H166" i="194"/>
  <c r="G166" i="194"/>
  <c r="F164" i="194"/>
  <c r="F163" i="194"/>
  <c r="F162" i="194"/>
  <c r="F160" i="194"/>
  <c r="F158" i="194"/>
  <c r="F156" i="194"/>
  <c r="F155" i="194"/>
  <c r="F153" i="194"/>
  <c r="F151" i="194"/>
  <c r="F146" i="194"/>
  <c r="F145" i="194"/>
  <c r="F143" i="194"/>
  <c r="F142" i="194"/>
  <c r="F141" i="194"/>
  <c r="F138" i="194"/>
  <c r="F137" i="194"/>
  <c r="F136" i="194"/>
  <c r="F135" i="194"/>
  <c r="F131" i="194"/>
  <c r="F129" i="194"/>
  <c r="F128" i="194"/>
  <c r="H124" i="194"/>
  <c r="G124" i="194"/>
  <c r="F121" i="194"/>
  <c r="H116" i="194"/>
  <c r="G116" i="194"/>
  <c r="H107" i="194"/>
  <c r="G107" i="194"/>
  <c r="F106" i="194"/>
  <c r="F103" i="194"/>
  <c r="F102" i="194"/>
  <c r="H98" i="194"/>
  <c r="G98" i="194"/>
  <c r="F97" i="194"/>
  <c r="F96" i="194"/>
  <c r="F95" i="194"/>
  <c r="F94" i="194"/>
  <c r="F93" i="194"/>
  <c r="F92" i="194"/>
  <c r="F91" i="194"/>
  <c r="F90" i="194"/>
  <c r="F89" i="194"/>
  <c r="F88" i="194"/>
  <c r="F87" i="194"/>
  <c r="H84" i="194"/>
  <c r="G84" i="194"/>
  <c r="F80" i="194"/>
  <c r="F78" i="194"/>
  <c r="F76" i="194"/>
  <c r="F74" i="194"/>
  <c r="F73" i="194"/>
  <c r="F72" i="194"/>
  <c r="F70" i="194"/>
  <c r="H66" i="194"/>
  <c r="G66" i="194"/>
  <c r="F65" i="194"/>
  <c r="F61" i="194"/>
  <c r="F60" i="194"/>
  <c r="F59" i="194"/>
  <c r="F57" i="194"/>
  <c r="F56" i="194"/>
  <c r="F43" i="194"/>
  <c r="F35" i="194"/>
  <c r="F31" i="194"/>
  <c r="F25" i="194"/>
  <c r="F23" i="194"/>
  <c r="F22" i="194"/>
  <c r="F21" i="194"/>
  <c r="F20" i="194"/>
  <c r="F19" i="194"/>
  <c r="F18" i="194"/>
  <c r="F17" i="194"/>
  <c r="F16" i="194"/>
  <c r="F15" i="194"/>
  <c r="F14" i="194"/>
  <c r="F13" i="194"/>
  <c r="A1" i="194"/>
  <c r="M23" i="194" l="1"/>
  <c r="M22" i="194"/>
  <c r="I13" i="194"/>
  <c r="G213" i="194"/>
  <c r="I31" i="194"/>
  <c r="I60" i="194"/>
  <c r="I73" i="194"/>
  <c r="I136" i="194"/>
  <c r="I151" i="194"/>
  <c r="I158" i="194"/>
  <c r="I226" i="194"/>
  <c r="I18" i="194"/>
  <c r="I70" i="194"/>
  <c r="I131" i="194"/>
  <c r="I142" i="194"/>
  <c r="I163" i="194"/>
  <c r="I177" i="194"/>
  <c r="I227" i="194"/>
  <c r="I231" i="194"/>
  <c r="F220" i="195"/>
  <c r="I74" i="194"/>
  <c r="I94" i="194"/>
  <c r="I137" i="194"/>
  <c r="I145" i="194"/>
  <c r="I230" i="194"/>
  <c r="I17" i="194"/>
  <c r="I19" i="194"/>
  <c r="I23" i="194"/>
  <c r="I35" i="194"/>
  <c r="I59" i="194"/>
  <c r="I65" i="194"/>
  <c r="I80" i="194"/>
  <c r="I91" i="194"/>
  <c r="I95" i="194"/>
  <c r="I138" i="194"/>
  <c r="I14" i="194"/>
  <c r="I15" i="194"/>
  <c r="I21" i="194"/>
  <c r="I22" i="194"/>
  <c r="I25" i="194"/>
  <c r="I57" i="194"/>
  <c r="I78" i="194"/>
  <c r="I90" i="194"/>
  <c r="I92" i="194"/>
  <c r="I97" i="194"/>
  <c r="I102" i="194"/>
  <c r="I141" i="194"/>
  <c r="I143" i="194"/>
  <c r="I155" i="194"/>
  <c r="I156" i="194"/>
  <c r="I170" i="194"/>
  <c r="I201" i="194"/>
  <c r="I228" i="194"/>
  <c r="I232" i="194"/>
  <c r="I237" i="194"/>
  <c r="I20" i="194"/>
  <c r="I43" i="194"/>
  <c r="I56" i="194"/>
  <c r="I72" i="194"/>
  <c r="I106" i="194"/>
  <c r="I153" i="194"/>
  <c r="I162" i="194"/>
  <c r="I173" i="194"/>
  <c r="I61" i="194"/>
  <c r="I76" i="194"/>
  <c r="I88" i="194"/>
  <c r="I89" i="194"/>
  <c r="I93" i="194"/>
  <c r="I96" i="194"/>
  <c r="I103" i="194"/>
  <c r="I121" i="194"/>
  <c r="I129" i="194"/>
  <c r="I135" i="194"/>
  <c r="I146" i="194"/>
  <c r="I160" i="194"/>
  <c r="I164" i="194"/>
  <c r="I175" i="194"/>
  <c r="I225" i="194"/>
  <c r="I229" i="194"/>
  <c r="I243" i="195"/>
  <c r="J24" i="195"/>
  <c r="J16" i="195"/>
  <c r="J14" i="195"/>
  <c r="J12" i="195"/>
  <c r="O26" i="195"/>
  <c r="J25" i="195"/>
  <c r="J23" i="195"/>
  <c r="J22" i="195"/>
  <c r="J21" i="195"/>
  <c r="J20" i="195"/>
  <c r="J17" i="195"/>
  <c r="M16" i="195"/>
  <c r="J26" i="195"/>
  <c r="J19" i="195"/>
  <c r="J18" i="195"/>
  <c r="J15" i="195"/>
  <c r="J13" i="195"/>
  <c r="I213" i="195"/>
  <c r="F39" i="194"/>
  <c r="F24" i="194"/>
  <c r="F26" i="194" s="1"/>
  <c r="F32" i="194"/>
  <c r="F36" i="194"/>
  <c r="F40" i="194"/>
  <c r="F44" i="194"/>
  <c r="F46" i="194"/>
  <c r="F48" i="194"/>
  <c r="F50" i="194"/>
  <c r="F52" i="194"/>
  <c r="F55" i="194"/>
  <c r="F63" i="194"/>
  <c r="F77" i="194"/>
  <c r="F81" i="194"/>
  <c r="I87" i="194"/>
  <c r="F98" i="194"/>
  <c r="F123" i="194"/>
  <c r="F134" i="194"/>
  <c r="F33" i="194"/>
  <c r="F37" i="194"/>
  <c r="F41" i="194"/>
  <c r="F122" i="194"/>
  <c r="F132" i="194"/>
  <c r="F82" i="194"/>
  <c r="F30" i="194"/>
  <c r="F34" i="194"/>
  <c r="F38" i="194"/>
  <c r="F42" i="194"/>
  <c r="F45" i="194"/>
  <c r="F47" i="194"/>
  <c r="F49" i="194"/>
  <c r="F51" i="194"/>
  <c r="F53" i="194"/>
  <c r="F75" i="194"/>
  <c r="F79" i="194"/>
  <c r="F83" i="194"/>
  <c r="F105" i="194"/>
  <c r="I128" i="194"/>
  <c r="F64" i="194"/>
  <c r="F69" i="194"/>
  <c r="F71" i="194"/>
  <c r="F113" i="194"/>
  <c r="F119" i="194"/>
  <c r="F152" i="194"/>
  <c r="F181" i="194"/>
  <c r="F185" i="194"/>
  <c r="F189" i="194"/>
  <c r="F193" i="194"/>
  <c r="F197" i="194"/>
  <c r="F210" i="194"/>
  <c r="F111" i="194"/>
  <c r="F120" i="194"/>
  <c r="F148" i="194"/>
  <c r="F150" i="194"/>
  <c r="I236" i="194"/>
  <c r="F238" i="194"/>
  <c r="F54" i="194"/>
  <c r="F58" i="194"/>
  <c r="F62" i="194"/>
  <c r="H213" i="194"/>
  <c r="F104" i="194"/>
  <c r="F114" i="194"/>
  <c r="F130" i="194"/>
  <c r="F172" i="194"/>
  <c r="F176" i="194"/>
  <c r="F183" i="194"/>
  <c r="F187" i="194"/>
  <c r="F191" i="194"/>
  <c r="F195" i="194"/>
  <c r="F199" i="194"/>
  <c r="F101" i="194"/>
  <c r="F115" i="194"/>
  <c r="F147" i="194"/>
  <c r="F157" i="194"/>
  <c r="F174" i="194"/>
  <c r="F178" i="194"/>
  <c r="F180" i="194"/>
  <c r="F110" i="194"/>
  <c r="F112" i="194"/>
  <c r="F140" i="194"/>
  <c r="F154" i="194"/>
  <c r="F161" i="194"/>
  <c r="F165" i="194"/>
  <c r="I169" i="194"/>
  <c r="F171" i="194"/>
  <c r="F179" i="194"/>
  <c r="F182" i="194"/>
  <c r="F184" i="194"/>
  <c r="F186" i="194"/>
  <c r="F188" i="194"/>
  <c r="F190" i="194"/>
  <c r="F192" i="194"/>
  <c r="F194" i="194"/>
  <c r="F196" i="194"/>
  <c r="F198" i="194"/>
  <c r="F200" i="194"/>
  <c r="F207" i="194"/>
  <c r="F208" i="194"/>
  <c r="F233" i="194"/>
  <c r="I224" i="194"/>
  <c r="F205" i="194"/>
  <c r="F206" i="194"/>
  <c r="F209" i="194"/>
  <c r="I249" i="193"/>
  <c r="I248" i="193"/>
  <c r="I247" i="193"/>
  <c r="C243" i="193"/>
  <c r="C242" i="193"/>
  <c r="C241" i="193"/>
  <c r="C240" i="193"/>
  <c r="C237" i="193"/>
  <c r="C236" i="193"/>
  <c r="E233" i="193"/>
  <c r="D233" i="193"/>
  <c r="C232" i="193"/>
  <c r="C231" i="193"/>
  <c r="C230" i="193"/>
  <c r="C229" i="193"/>
  <c r="C228" i="193"/>
  <c r="C227" i="193"/>
  <c r="C226" i="193"/>
  <c r="C225" i="193"/>
  <c r="C224" i="193"/>
  <c r="C216" i="193"/>
  <c r="E210" i="193"/>
  <c r="D210" i="193"/>
  <c r="C210" i="193"/>
  <c r="E209" i="193"/>
  <c r="D209" i="193"/>
  <c r="C209" i="193"/>
  <c r="E208" i="193"/>
  <c r="D208" i="193"/>
  <c r="C208" i="193"/>
  <c r="E207" i="193"/>
  <c r="D207" i="193"/>
  <c r="C207" i="193"/>
  <c r="E206" i="193"/>
  <c r="D206" i="193"/>
  <c r="C206" i="193"/>
  <c r="E205" i="193"/>
  <c r="D205" i="193"/>
  <c r="C205" i="193"/>
  <c r="E201" i="193"/>
  <c r="D201" i="193"/>
  <c r="C201" i="193"/>
  <c r="E200" i="193"/>
  <c r="D200" i="193"/>
  <c r="C200" i="193"/>
  <c r="E199" i="193"/>
  <c r="D199" i="193"/>
  <c r="C199" i="193"/>
  <c r="E198" i="193"/>
  <c r="D198" i="193"/>
  <c r="C198" i="193"/>
  <c r="E197" i="193"/>
  <c r="D197" i="193"/>
  <c r="C197" i="193"/>
  <c r="E196" i="193"/>
  <c r="D196" i="193"/>
  <c r="C196" i="193"/>
  <c r="E195" i="193"/>
  <c r="D195" i="193"/>
  <c r="C195" i="193"/>
  <c r="E194" i="193"/>
  <c r="D194" i="193"/>
  <c r="C194" i="193"/>
  <c r="E193" i="193"/>
  <c r="D193" i="193"/>
  <c r="C193" i="193"/>
  <c r="E192" i="193"/>
  <c r="D192" i="193"/>
  <c r="C192" i="193"/>
  <c r="E191" i="193"/>
  <c r="D191" i="193"/>
  <c r="C191" i="193"/>
  <c r="E190" i="193"/>
  <c r="D190" i="193"/>
  <c r="C190" i="193"/>
  <c r="E189" i="193"/>
  <c r="D189" i="193"/>
  <c r="C189" i="193"/>
  <c r="E188" i="193"/>
  <c r="D188" i="193"/>
  <c r="C188" i="193"/>
  <c r="E187" i="193"/>
  <c r="D187" i="193"/>
  <c r="C187" i="193"/>
  <c r="E186" i="193"/>
  <c r="D186" i="193"/>
  <c r="C186" i="193"/>
  <c r="E185" i="193"/>
  <c r="D185" i="193"/>
  <c r="C185" i="193"/>
  <c r="E184" i="193"/>
  <c r="D184" i="193"/>
  <c r="C184" i="193"/>
  <c r="E183" i="193"/>
  <c r="D183" i="193"/>
  <c r="C183" i="193"/>
  <c r="E182" i="193"/>
  <c r="D182" i="193"/>
  <c r="C182" i="193"/>
  <c r="E181" i="193"/>
  <c r="D181" i="193"/>
  <c r="C181" i="193"/>
  <c r="E180" i="193"/>
  <c r="D180" i="193"/>
  <c r="C180" i="193"/>
  <c r="E179" i="193"/>
  <c r="D179" i="193"/>
  <c r="C179" i="193"/>
  <c r="E178" i="193"/>
  <c r="D178" i="193"/>
  <c r="C178" i="193"/>
  <c r="E177" i="193"/>
  <c r="D177" i="193"/>
  <c r="C177" i="193"/>
  <c r="E176" i="193"/>
  <c r="D176" i="193"/>
  <c r="C176" i="193"/>
  <c r="E175" i="193"/>
  <c r="D175" i="193"/>
  <c r="C175" i="193"/>
  <c r="E174" i="193"/>
  <c r="D174" i="193"/>
  <c r="C174" i="193"/>
  <c r="E173" i="193"/>
  <c r="D173" i="193"/>
  <c r="C173" i="193"/>
  <c r="E172" i="193"/>
  <c r="D172" i="193"/>
  <c r="C172" i="193"/>
  <c r="E171" i="193"/>
  <c r="D171" i="193"/>
  <c r="C171" i="193"/>
  <c r="E170" i="193"/>
  <c r="D170" i="193"/>
  <c r="C170" i="193"/>
  <c r="E169" i="193"/>
  <c r="D169" i="193"/>
  <c r="C169" i="193"/>
  <c r="E165" i="193"/>
  <c r="D165" i="193"/>
  <c r="C165" i="193"/>
  <c r="E164" i="193"/>
  <c r="D164" i="193"/>
  <c r="C164" i="193"/>
  <c r="E163" i="193"/>
  <c r="D163" i="193"/>
  <c r="C163" i="193"/>
  <c r="E162" i="193"/>
  <c r="D162" i="193"/>
  <c r="C162" i="193"/>
  <c r="E161" i="193"/>
  <c r="D161" i="193"/>
  <c r="C161" i="193"/>
  <c r="E160" i="193"/>
  <c r="D160" i="193"/>
  <c r="C160" i="193"/>
  <c r="E158" i="193"/>
  <c r="D158" i="193"/>
  <c r="C158" i="193"/>
  <c r="E157" i="193"/>
  <c r="D157" i="193"/>
  <c r="C157" i="193"/>
  <c r="E156" i="193"/>
  <c r="D156" i="193"/>
  <c r="C156" i="193"/>
  <c r="E155" i="193"/>
  <c r="D155" i="193"/>
  <c r="C155" i="193"/>
  <c r="E154" i="193"/>
  <c r="D154" i="193"/>
  <c r="C154" i="193"/>
  <c r="E153" i="193"/>
  <c r="D153" i="193"/>
  <c r="C153" i="193"/>
  <c r="E152" i="193"/>
  <c r="D152" i="193"/>
  <c r="C152" i="193"/>
  <c r="E151" i="193"/>
  <c r="D151" i="193"/>
  <c r="C151" i="193"/>
  <c r="E150" i="193"/>
  <c r="D150" i="193"/>
  <c r="C150" i="193"/>
  <c r="E148" i="193"/>
  <c r="D148" i="193"/>
  <c r="C148" i="193"/>
  <c r="E147" i="193"/>
  <c r="D147" i="193"/>
  <c r="C147" i="193"/>
  <c r="E146" i="193"/>
  <c r="D146" i="193"/>
  <c r="C146" i="193"/>
  <c r="E145" i="193"/>
  <c r="D145" i="193"/>
  <c r="C145" i="193"/>
  <c r="E143" i="193"/>
  <c r="D143" i="193"/>
  <c r="C143" i="193"/>
  <c r="E142" i="193"/>
  <c r="D142" i="193"/>
  <c r="C142" i="193"/>
  <c r="E141" i="193"/>
  <c r="D141" i="193"/>
  <c r="C141" i="193"/>
  <c r="E140" i="193"/>
  <c r="D140" i="193"/>
  <c r="C140" i="193"/>
  <c r="E138" i="193"/>
  <c r="D138" i="193"/>
  <c r="C138" i="193"/>
  <c r="E137" i="193"/>
  <c r="D137" i="193"/>
  <c r="C137" i="193"/>
  <c r="E136" i="193"/>
  <c r="D136" i="193"/>
  <c r="C136" i="193"/>
  <c r="E135" i="193"/>
  <c r="D135" i="193"/>
  <c r="C135" i="193"/>
  <c r="E134" i="193"/>
  <c r="D134" i="193"/>
  <c r="C134" i="193"/>
  <c r="E132" i="193"/>
  <c r="D132" i="193"/>
  <c r="C132" i="193"/>
  <c r="E131" i="193"/>
  <c r="D131" i="193"/>
  <c r="C131" i="193"/>
  <c r="E130" i="193"/>
  <c r="D130" i="193"/>
  <c r="C130" i="193"/>
  <c r="E129" i="193"/>
  <c r="D129" i="193"/>
  <c r="C129" i="193"/>
  <c r="E128" i="193"/>
  <c r="D128" i="193"/>
  <c r="C128" i="193"/>
  <c r="E123" i="193"/>
  <c r="D123" i="193"/>
  <c r="C123" i="193"/>
  <c r="E122" i="193"/>
  <c r="D122" i="193"/>
  <c r="C122" i="193"/>
  <c r="E121" i="193"/>
  <c r="D121" i="193"/>
  <c r="C121" i="193"/>
  <c r="E120" i="193"/>
  <c r="D120" i="193"/>
  <c r="C120" i="193"/>
  <c r="E119" i="193"/>
  <c r="D119" i="193"/>
  <c r="C119" i="193"/>
  <c r="E115" i="193"/>
  <c r="D115" i="193"/>
  <c r="C115" i="193"/>
  <c r="E114" i="193"/>
  <c r="D114" i="193"/>
  <c r="C114" i="193"/>
  <c r="E113" i="193"/>
  <c r="D113" i="193"/>
  <c r="C113" i="193"/>
  <c r="E112" i="193"/>
  <c r="D112" i="193"/>
  <c r="C112" i="193"/>
  <c r="E111" i="193"/>
  <c r="D111" i="193"/>
  <c r="C111" i="193"/>
  <c r="E110" i="193"/>
  <c r="D110" i="193"/>
  <c r="C110" i="193"/>
  <c r="E106" i="193"/>
  <c r="D106" i="193"/>
  <c r="C106" i="193"/>
  <c r="E105" i="193"/>
  <c r="D105" i="193"/>
  <c r="C105" i="193"/>
  <c r="E104" i="193"/>
  <c r="D104" i="193"/>
  <c r="C104" i="193"/>
  <c r="E103" i="193"/>
  <c r="D103" i="193"/>
  <c r="C103" i="193"/>
  <c r="E102" i="193"/>
  <c r="D102" i="193"/>
  <c r="C102" i="193"/>
  <c r="E101" i="193"/>
  <c r="D101" i="193"/>
  <c r="C101" i="193"/>
  <c r="E97" i="193"/>
  <c r="D97" i="193"/>
  <c r="C97" i="193"/>
  <c r="E96" i="193"/>
  <c r="D96" i="193"/>
  <c r="C96" i="193"/>
  <c r="E95" i="193"/>
  <c r="D95" i="193"/>
  <c r="C95" i="193"/>
  <c r="E94" i="193"/>
  <c r="D94" i="193"/>
  <c r="C94" i="193"/>
  <c r="E93" i="193"/>
  <c r="D93" i="193"/>
  <c r="C93" i="193"/>
  <c r="E92" i="193"/>
  <c r="D92" i="193"/>
  <c r="C92" i="193"/>
  <c r="E91" i="193"/>
  <c r="D91" i="193"/>
  <c r="C91" i="193"/>
  <c r="E90" i="193"/>
  <c r="D90" i="193"/>
  <c r="C90" i="193"/>
  <c r="E89" i="193"/>
  <c r="D89" i="193"/>
  <c r="C89" i="193"/>
  <c r="E88" i="193"/>
  <c r="D88" i="193"/>
  <c r="C88" i="193"/>
  <c r="E87" i="193"/>
  <c r="D87" i="193"/>
  <c r="C87" i="193"/>
  <c r="E83" i="193"/>
  <c r="D83" i="193"/>
  <c r="C83" i="193"/>
  <c r="E82" i="193"/>
  <c r="D82" i="193"/>
  <c r="C82" i="193"/>
  <c r="E81" i="193"/>
  <c r="D81" i="193"/>
  <c r="C81" i="193"/>
  <c r="E80" i="193"/>
  <c r="D80" i="193"/>
  <c r="C80" i="193"/>
  <c r="E79" i="193"/>
  <c r="D79" i="193"/>
  <c r="C79" i="193"/>
  <c r="E78" i="193"/>
  <c r="D78" i="193"/>
  <c r="C78" i="193"/>
  <c r="E77" i="193"/>
  <c r="D77" i="193"/>
  <c r="C77" i="193"/>
  <c r="E76" i="193"/>
  <c r="D76" i="193"/>
  <c r="C76" i="193"/>
  <c r="E75" i="193"/>
  <c r="D75" i="193"/>
  <c r="C75" i="193"/>
  <c r="E74" i="193"/>
  <c r="D74" i="193"/>
  <c r="C74" i="193"/>
  <c r="E73" i="193"/>
  <c r="D73" i="193"/>
  <c r="C73" i="193"/>
  <c r="E72" i="193"/>
  <c r="D72" i="193"/>
  <c r="C72" i="193"/>
  <c r="E71" i="193"/>
  <c r="D71" i="193"/>
  <c r="C71" i="193"/>
  <c r="E70" i="193"/>
  <c r="D70" i="193"/>
  <c r="C70" i="193"/>
  <c r="E69" i="193"/>
  <c r="D69" i="193"/>
  <c r="C69" i="193"/>
  <c r="E65" i="193"/>
  <c r="D65" i="193"/>
  <c r="C65" i="193"/>
  <c r="E64" i="193"/>
  <c r="D64" i="193"/>
  <c r="C64" i="193"/>
  <c r="E63" i="193"/>
  <c r="D63" i="193"/>
  <c r="C63" i="193"/>
  <c r="E62" i="193"/>
  <c r="D62" i="193"/>
  <c r="C62" i="193"/>
  <c r="E61" i="193"/>
  <c r="D61" i="193"/>
  <c r="C61" i="193"/>
  <c r="E60" i="193"/>
  <c r="D60" i="193"/>
  <c r="C60" i="193"/>
  <c r="E59" i="193"/>
  <c r="D59" i="193"/>
  <c r="C59" i="193"/>
  <c r="E58" i="193"/>
  <c r="D58" i="193"/>
  <c r="C58" i="193"/>
  <c r="E57" i="193"/>
  <c r="D57" i="193"/>
  <c r="C57" i="193"/>
  <c r="E56" i="193"/>
  <c r="D56" i="193"/>
  <c r="C56" i="193"/>
  <c r="E55" i="193"/>
  <c r="D55" i="193"/>
  <c r="C55" i="193"/>
  <c r="E54" i="193"/>
  <c r="D54" i="193"/>
  <c r="C54" i="193"/>
  <c r="E53" i="193"/>
  <c r="D53" i="193"/>
  <c r="C53" i="193"/>
  <c r="E52" i="193"/>
  <c r="D52" i="193"/>
  <c r="C52" i="193"/>
  <c r="E51" i="193"/>
  <c r="D51" i="193"/>
  <c r="C51" i="193"/>
  <c r="E50" i="193"/>
  <c r="D50" i="193"/>
  <c r="C50" i="193"/>
  <c r="E49" i="193"/>
  <c r="D49" i="193"/>
  <c r="C49" i="193"/>
  <c r="E48" i="193"/>
  <c r="D48" i="193"/>
  <c r="C48" i="193"/>
  <c r="E47" i="193"/>
  <c r="D47" i="193"/>
  <c r="C47" i="193"/>
  <c r="E46" i="193"/>
  <c r="D46" i="193"/>
  <c r="C46" i="193"/>
  <c r="E45" i="193"/>
  <c r="D45" i="193"/>
  <c r="C45" i="193"/>
  <c r="E44" i="193"/>
  <c r="D44" i="193"/>
  <c r="C44" i="193"/>
  <c r="E43" i="193"/>
  <c r="D43" i="193"/>
  <c r="C43" i="193"/>
  <c r="E42" i="193"/>
  <c r="D42" i="193"/>
  <c r="C42" i="193"/>
  <c r="E41" i="193"/>
  <c r="D41" i="193"/>
  <c r="C41" i="193"/>
  <c r="E40" i="193"/>
  <c r="D40" i="193"/>
  <c r="C40" i="193"/>
  <c r="E39" i="193"/>
  <c r="D39" i="193"/>
  <c r="C39" i="193"/>
  <c r="E38" i="193"/>
  <c r="D38" i="193"/>
  <c r="C38" i="193"/>
  <c r="E37" i="193"/>
  <c r="D37" i="193"/>
  <c r="C37" i="193"/>
  <c r="E36" i="193"/>
  <c r="D36" i="193"/>
  <c r="C36" i="193"/>
  <c r="E35" i="193"/>
  <c r="D35" i="193"/>
  <c r="C35" i="193"/>
  <c r="E34" i="193"/>
  <c r="D34" i="193"/>
  <c r="C34" i="193"/>
  <c r="E33" i="193"/>
  <c r="D33" i="193"/>
  <c r="C33" i="193"/>
  <c r="E32" i="193"/>
  <c r="D32" i="193"/>
  <c r="C32" i="193"/>
  <c r="E31" i="193"/>
  <c r="D31" i="193"/>
  <c r="C31" i="193"/>
  <c r="E30" i="193"/>
  <c r="D30" i="193"/>
  <c r="C30" i="193"/>
  <c r="D25" i="193"/>
  <c r="C25" i="193"/>
  <c r="D24" i="193"/>
  <c r="C24" i="193"/>
  <c r="D23" i="193"/>
  <c r="C23" i="193"/>
  <c r="D22" i="193"/>
  <c r="C22" i="193"/>
  <c r="D21" i="193"/>
  <c r="C21" i="193"/>
  <c r="D20" i="193"/>
  <c r="C20" i="193"/>
  <c r="D19" i="193"/>
  <c r="C19" i="193"/>
  <c r="D18" i="193"/>
  <c r="C18" i="193"/>
  <c r="D17" i="193"/>
  <c r="C17" i="193"/>
  <c r="D16" i="193"/>
  <c r="C16" i="193"/>
  <c r="D15" i="193"/>
  <c r="C15" i="193"/>
  <c r="D14" i="193"/>
  <c r="C14" i="193"/>
  <c r="D13" i="193"/>
  <c r="C13" i="193"/>
  <c r="D12" i="193"/>
  <c r="C12" i="193"/>
  <c r="C4" i="193"/>
  <c r="C3" i="193"/>
  <c r="H220" i="194" l="1"/>
  <c r="D26" i="193"/>
  <c r="O22" i="194"/>
  <c r="I16" i="194"/>
  <c r="O16" i="194" s="1"/>
  <c r="C238" i="193"/>
  <c r="F12" i="193"/>
  <c r="I12" i="193" s="1"/>
  <c r="G220" i="194"/>
  <c r="I206" i="194"/>
  <c r="I198" i="194"/>
  <c r="I190" i="194"/>
  <c r="I182" i="194"/>
  <c r="I147" i="194"/>
  <c r="I176" i="194"/>
  <c r="I238" i="194"/>
  <c r="I111" i="194"/>
  <c r="I181" i="194"/>
  <c r="I64" i="194"/>
  <c r="I38" i="194"/>
  <c r="O19" i="194"/>
  <c r="I200" i="194"/>
  <c r="I179" i="194"/>
  <c r="I171" i="194"/>
  <c r="I140" i="194"/>
  <c r="I112" i="194"/>
  <c r="I178" i="194"/>
  <c r="I114" i="194"/>
  <c r="I104" i="194"/>
  <c r="I120" i="194"/>
  <c r="I152" i="194"/>
  <c r="I113" i="194"/>
  <c r="I51" i="194"/>
  <c r="I37" i="194"/>
  <c r="I55" i="194"/>
  <c r="I48" i="194"/>
  <c r="I40" i="194"/>
  <c r="I32" i="194"/>
  <c r="O20" i="194"/>
  <c r="O18" i="194"/>
  <c r="I194" i="194"/>
  <c r="I180" i="194"/>
  <c r="I187" i="194"/>
  <c r="I197" i="194"/>
  <c r="I53" i="194"/>
  <c r="I82" i="194"/>
  <c r="I134" i="194"/>
  <c r="I77" i="194"/>
  <c r="I24" i="194"/>
  <c r="I39" i="194"/>
  <c r="I208" i="194"/>
  <c r="I196" i="194"/>
  <c r="I192" i="194"/>
  <c r="I188" i="194"/>
  <c r="I184" i="194"/>
  <c r="I161" i="194"/>
  <c r="I157" i="194"/>
  <c r="I115" i="194"/>
  <c r="I199" i="194"/>
  <c r="I191" i="194"/>
  <c r="I183" i="194"/>
  <c r="I172" i="194"/>
  <c r="I150" i="194"/>
  <c r="I210" i="194"/>
  <c r="I193" i="194"/>
  <c r="I185" i="194"/>
  <c r="I71" i="194"/>
  <c r="I83" i="194"/>
  <c r="I75" i="194"/>
  <c r="I49" i="194"/>
  <c r="I42" i="194"/>
  <c r="I34" i="194"/>
  <c r="I132" i="194"/>
  <c r="I123" i="194"/>
  <c r="I81" i="194"/>
  <c r="I63" i="194"/>
  <c r="I52" i="194"/>
  <c r="I46" i="194"/>
  <c r="O23" i="194"/>
  <c r="O17" i="194"/>
  <c r="I207" i="194"/>
  <c r="I186" i="194"/>
  <c r="I165" i="194"/>
  <c r="I195" i="194"/>
  <c r="I58" i="194"/>
  <c r="I189" i="194"/>
  <c r="I79" i="194"/>
  <c r="I45" i="194"/>
  <c r="I122" i="194"/>
  <c r="I209" i="194"/>
  <c r="I154" i="194"/>
  <c r="I174" i="194"/>
  <c r="I130" i="194"/>
  <c r="I62" i="194"/>
  <c r="I54" i="194"/>
  <c r="I148" i="194"/>
  <c r="I105" i="194"/>
  <c r="I47" i="194"/>
  <c r="I41" i="194"/>
  <c r="I33" i="194"/>
  <c r="I50" i="194"/>
  <c r="I44" i="194"/>
  <c r="I36" i="194"/>
  <c r="O21" i="194"/>
  <c r="I220" i="195"/>
  <c r="D84" i="193"/>
  <c r="C98" i="193"/>
  <c r="C124" i="193"/>
  <c r="D211" i="193"/>
  <c r="E84" i="193"/>
  <c r="D98" i="193"/>
  <c r="C107" i="193"/>
  <c r="E107" i="193"/>
  <c r="D124" i="193"/>
  <c r="C166" i="193"/>
  <c r="D166" i="193"/>
  <c r="D202" i="193"/>
  <c r="E98" i="193"/>
  <c r="D107" i="193"/>
  <c r="D116" i="193"/>
  <c r="E166" i="193"/>
  <c r="E202" i="193"/>
  <c r="C233" i="193"/>
  <c r="C26" i="193"/>
  <c r="C84" i="193"/>
  <c r="C116" i="193"/>
  <c r="E116" i="193"/>
  <c r="E124" i="193"/>
  <c r="C202" i="193"/>
  <c r="C211" i="193"/>
  <c r="E211" i="193"/>
  <c r="J210" i="195"/>
  <c r="J209" i="195"/>
  <c r="J208" i="195"/>
  <c r="J207" i="195"/>
  <c r="J206" i="195"/>
  <c r="J205" i="195"/>
  <c r="J202" i="195"/>
  <c r="J213" i="195"/>
  <c r="O213" i="195"/>
  <c r="J211" i="195"/>
  <c r="J201" i="195"/>
  <c r="J200" i="195"/>
  <c r="J199" i="195"/>
  <c r="J198" i="195"/>
  <c r="J197" i="195"/>
  <c r="J196" i="195"/>
  <c r="J195" i="195"/>
  <c r="J194" i="195"/>
  <c r="J193" i="195"/>
  <c r="J192" i="195"/>
  <c r="J191" i="195"/>
  <c r="J190" i="195"/>
  <c r="J189" i="195"/>
  <c r="J188" i="195"/>
  <c r="J187" i="195"/>
  <c r="J186" i="195"/>
  <c r="J185" i="195"/>
  <c r="J184" i="195"/>
  <c r="J183" i="195"/>
  <c r="J182" i="195"/>
  <c r="J181" i="195"/>
  <c r="J180" i="195"/>
  <c r="J165" i="195"/>
  <c r="J164" i="195"/>
  <c r="J163" i="195"/>
  <c r="J162" i="195"/>
  <c r="J161" i="195"/>
  <c r="J160" i="195"/>
  <c r="J158" i="195"/>
  <c r="J157" i="195"/>
  <c r="J156" i="195"/>
  <c r="J155" i="195"/>
  <c r="J154" i="195"/>
  <c r="J153" i="195"/>
  <c r="J152" i="195"/>
  <c r="J151" i="195"/>
  <c r="J150" i="195"/>
  <c r="J148" i="195"/>
  <c r="J147" i="195"/>
  <c r="J146" i="195"/>
  <c r="J145" i="195"/>
  <c r="J143" i="195"/>
  <c r="J142" i="195"/>
  <c r="J141" i="195"/>
  <c r="J140" i="195"/>
  <c r="J138" i="195"/>
  <c r="J137" i="195"/>
  <c r="J178" i="195"/>
  <c r="J174" i="195"/>
  <c r="J170" i="195"/>
  <c r="J136" i="195"/>
  <c r="J135" i="195"/>
  <c r="J134" i="195"/>
  <c r="J132" i="195"/>
  <c r="J131" i="195"/>
  <c r="J130" i="195"/>
  <c r="J129" i="195"/>
  <c r="J128" i="195"/>
  <c r="J116" i="195"/>
  <c r="J97" i="195"/>
  <c r="J96" i="195"/>
  <c r="J95" i="195"/>
  <c r="J94" i="195"/>
  <c r="J93" i="195"/>
  <c r="J92" i="195"/>
  <c r="J91" i="195"/>
  <c r="J90" i="195"/>
  <c r="J89" i="195"/>
  <c r="J179" i="195"/>
  <c r="J175" i="195"/>
  <c r="J169" i="195"/>
  <c r="J123" i="195"/>
  <c r="J122" i="195"/>
  <c r="J121" i="195"/>
  <c r="J120" i="195"/>
  <c r="J119" i="195"/>
  <c r="J107" i="195"/>
  <c r="J66" i="195"/>
  <c r="J176" i="195"/>
  <c r="J172" i="195"/>
  <c r="J177" i="195"/>
  <c r="J166" i="195"/>
  <c r="J111" i="195"/>
  <c r="J104" i="195"/>
  <c r="J88" i="195"/>
  <c r="J84" i="195"/>
  <c r="J81" i="195"/>
  <c r="J77" i="195"/>
  <c r="J73" i="195"/>
  <c r="J64" i="195"/>
  <c r="J60" i="195"/>
  <c r="J173" i="195"/>
  <c r="J171" i="195"/>
  <c r="J110" i="195"/>
  <c r="J103" i="195"/>
  <c r="J101" i="195"/>
  <c r="J98" i="195"/>
  <c r="J82" i="195"/>
  <c r="J78" i="195"/>
  <c r="J106" i="195"/>
  <c r="J102" i="195"/>
  <c r="J87" i="195"/>
  <c r="J83" i="195"/>
  <c r="J79" i="195"/>
  <c r="J75" i="195"/>
  <c r="J71" i="195"/>
  <c r="J62" i="195"/>
  <c r="J115" i="195"/>
  <c r="J80" i="195"/>
  <c r="J69" i="195"/>
  <c r="J63" i="195"/>
  <c r="J57" i="195"/>
  <c r="J53" i="195"/>
  <c r="J112" i="195"/>
  <c r="J70" i="195"/>
  <c r="J61" i="195"/>
  <c r="J59" i="195"/>
  <c r="J56" i="195"/>
  <c r="J54" i="195"/>
  <c r="J74" i="195"/>
  <c r="J72" i="195"/>
  <c r="J65" i="195"/>
  <c r="J124" i="195"/>
  <c r="J113" i="195"/>
  <c r="J105" i="195"/>
  <c r="J76" i="195"/>
  <c r="J58" i="195"/>
  <c r="J51" i="195"/>
  <c r="J50" i="195"/>
  <c r="J49" i="195"/>
  <c r="J48" i="195"/>
  <c r="J47" i="195"/>
  <c r="J46" i="195"/>
  <c r="J45" i="195"/>
  <c r="J44" i="195"/>
  <c r="J43" i="195"/>
  <c r="J42" i="195"/>
  <c r="J41" i="195"/>
  <c r="J40" i="195"/>
  <c r="J39" i="195"/>
  <c r="J38" i="195"/>
  <c r="J37" i="195"/>
  <c r="J36" i="195"/>
  <c r="J35" i="195"/>
  <c r="J34" i="195"/>
  <c r="J33" i="195"/>
  <c r="J32" i="195"/>
  <c r="J31" i="195"/>
  <c r="J30" i="195"/>
  <c r="M17" i="195"/>
  <c r="J114" i="195"/>
  <c r="J55" i="195"/>
  <c r="J52" i="195"/>
  <c r="M19" i="194"/>
  <c r="F124" i="194"/>
  <c r="I119" i="194"/>
  <c r="F166" i="194"/>
  <c r="F66" i="194"/>
  <c r="I30" i="194"/>
  <c r="F202" i="194"/>
  <c r="F107" i="194"/>
  <c r="I101" i="194"/>
  <c r="F240" i="194"/>
  <c r="F241" i="194" s="1"/>
  <c r="I98" i="194"/>
  <c r="F84" i="194"/>
  <c r="I69" i="194"/>
  <c r="F211" i="194"/>
  <c r="I205" i="194"/>
  <c r="I233" i="194"/>
  <c r="O128" i="194" s="1"/>
  <c r="F116" i="194"/>
  <c r="I110" i="194"/>
  <c r="D66" i="193"/>
  <c r="C66" i="193"/>
  <c r="E66" i="193"/>
  <c r="I240" i="194" l="1"/>
  <c r="I242" i="194" s="1"/>
  <c r="I26" i="194"/>
  <c r="O179" i="194"/>
  <c r="O157" i="194"/>
  <c r="O55" i="194"/>
  <c r="C213" i="193"/>
  <c r="D213" i="193"/>
  <c r="D220" i="193" s="1"/>
  <c r="I202" i="194"/>
  <c r="O202" i="194" s="1"/>
  <c r="E213" i="193"/>
  <c r="I166" i="194"/>
  <c r="O166" i="194" s="1"/>
  <c r="M20" i="194"/>
  <c r="O24" i="194"/>
  <c r="O188" i="194"/>
  <c r="F242" i="194"/>
  <c r="F243" i="194" s="1"/>
  <c r="O112" i="194"/>
  <c r="O191" i="194"/>
  <c r="O50" i="194"/>
  <c r="O104" i="194"/>
  <c r="O123" i="194"/>
  <c r="O64" i="194"/>
  <c r="O172" i="194"/>
  <c r="O195" i="194"/>
  <c r="O40" i="194"/>
  <c r="O37" i="194"/>
  <c r="O192" i="194"/>
  <c r="O132" i="194"/>
  <c r="F213" i="194"/>
  <c r="O182" i="194"/>
  <c r="O33" i="194"/>
  <c r="O148" i="194"/>
  <c r="O48" i="194"/>
  <c r="O115" i="194"/>
  <c r="O154" i="194"/>
  <c r="O79" i="194"/>
  <c r="O152" i="194"/>
  <c r="O198" i="194"/>
  <c r="O51" i="194"/>
  <c r="J24" i="194"/>
  <c r="J16" i="194"/>
  <c r="J14" i="194"/>
  <c r="J12" i="194"/>
  <c r="J23" i="194"/>
  <c r="J20" i="194"/>
  <c r="J19" i="194"/>
  <c r="J17" i="194"/>
  <c r="M16" i="194"/>
  <c r="J22" i="194"/>
  <c r="O26" i="194"/>
  <c r="J26" i="194"/>
  <c r="J21" i="194"/>
  <c r="J18" i="194"/>
  <c r="J15" i="194"/>
  <c r="J13" i="194"/>
  <c r="J25" i="194"/>
  <c r="I107" i="194"/>
  <c r="O107" i="194" s="1"/>
  <c r="O101" i="194"/>
  <c r="O140" i="194"/>
  <c r="O39" i="194"/>
  <c r="O134" i="194"/>
  <c r="O38" i="194"/>
  <c r="O83" i="194"/>
  <c r="O120" i="194"/>
  <c r="O183" i="194"/>
  <c r="O32" i="194"/>
  <c r="O81" i="194"/>
  <c r="O47" i="194"/>
  <c r="O113" i="194"/>
  <c r="I116" i="194"/>
  <c r="O116" i="194" s="1"/>
  <c r="O110" i="194"/>
  <c r="O200" i="194"/>
  <c r="O206" i="194"/>
  <c r="O199" i="194"/>
  <c r="I211" i="194"/>
  <c r="O211" i="194" s="1"/>
  <c r="O205" i="194"/>
  <c r="O34" i="194"/>
  <c r="O181" i="194"/>
  <c r="O58" i="194"/>
  <c r="O161" i="194"/>
  <c r="O186" i="194"/>
  <c r="O209" i="194"/>
  <c r="O184" i="194"/>
  <c r="O77" i="194"/>
  <c r="O41" i="194"/>
  <c r="O46" i="194"/>
  <c r="I66" i="194"/>
  <c r="O66" i="194" s="1"/>
  <c r="O30" i="194"/>
  <c r="O45" i="194"/>
  <c r="O105" i="194"/>
  <c r="O185" i="194"/>
  <c r="O150" i="194"/>
  <c r="O165" i="194"/>
  <c r="O207" i="194"/>
  <c r="O174" i="194"/>
  <c r="O42" i="194"/>
  <c r="I84" i="194"/>
  <c r="O84" i="194" s="1"/>
  <c r="O69" i="194"/>
  <c r="O189" i="194"/>
  <c r="O176" i="194"/>
  <c r="O190" i="194"/>
  <c r="O193" i="194"/>
  <c r="O196" i="194"/>
  <c r="O36" i="194"/>
  <c r="O87" i="194"/>
  <c r="O122" i="194"/>
  <c r="O71" i="194"/>
  <c r="O54" i="194"/>
  <c r="O147" i="194"/>
  <c r="O52" i="194"/>
  <c r="O82" i="194"/>
  <c r="O53" i="194"/>
  <c r="O210" i="194"/>
  <c r="I241" i="194"/>
  <c r="J232" i="194"/>
  <c r="J231" i="194"/>
  <c r="J230" i="194"/>
  <c r="J229" i="194"/>
  <c r="J228" i="194"/>
  <c r="J227" i="194"/>
  <c r="J226" i="194"/>
  <c r="J225" i="194"/>
  <c r="J224" i="194"/>
  <c r="J233" i="194"/>
  <c r="O155" i="194"/>
  <c r="O146" i="194"/>
  <c r="O158" i="194"/>
  <c r="M18" i="194"/>
  <c r="O141" i="194"/>
  <c r="O35" i="194"/>
  <c r="O43" i="194"/>
  <c r="O91" i="194"/>
  <c r="O151" i="194"/>
  <c r="O80" i="194"/>
  <c r="O97" i="194"/>
  <c r="O131" i="194"/>
  <c r="O156" i="194"/>
  <c r="O121" i="194"/>
  <c r="O106" i="194"/>
  <c r="O56" i="194"/>
  <c r="O60" i="194"/>
  <c r="O78" i="194"/>
  <c r="O73" i="194"/>
  <c r="O94" i="194"/>
  <c r="O137" i="194"/>
  <c r="O70" i="194"/>
  <c r="O88" i="194"/>
  <c r="O103" i="194"/>
  <c r="O201" i="194"/>
  <c r="O61" i="194"/>
  <c r="O89" i="194"/>
  <c r="O136" i="194"/>
  <c r="O160" i="194"/>
  <c r="O173" i="194"/>
  <c r="O102" i="194"/>
  <c r="O31" i="194"/>
  <c r="O57" i="194"/>
  <c r="O93" i="194"/>
  <c r="O129" i="194"/>
  <c r="O142" i="194"/>
  <c r="O72" i="194"/>
  <c r="O92" i="194"/>
  <c r="O74" i="194"/>
  <c r="O65" i="194"/>
  <c r="O145" i="194"/>
  <c r="O153" i="194"/>
  <c r="O162" i="194"/>
  <c r="O177" i="194"/>
  <c r="O175" i="194"/>
  <c r="O90" i="194"/>
  <c r="O59" i="194"/>
  <c r="O135" i="194"/>
  <c r="O96" i="194"/>
  <c r="O143" i="194"/>
  <c r="O76" i="194"/>
  <c r="O95" i="194"/>
  <c r="O138" i="194"/>
  <c r="O170" i="194"/>
  <c r="O163" i="194"/>
  <c r="O164" i="194"/>
  <c r="O171" i="194"/>
  <c r="O49" i="194"/>
  <c r="O197" i="194"/>
  <c r="O187" i="194"/>
  <c r="O178" i="194"/>
  <c r="O169" i="194"/>
  <c r="O194" i="194"/>
  <c r="O114" i="194"/>
  <c r="O44" i="194"/>
  <c r="O98" i="194"/>
  <c r="O62" i="194"/>
  <c r="O130" i="194"/>
  <c r="O180" i="194"/>
  <c r="O208" i="194"/>
  <c r="O63" i="194"/>
  <c r="O75" i="194"/>
  <c r="I124" i="194"/>
  <c r="O124" i="194" s="1"/>
  <c r="O119" i="194"/>
  <c r="O111" i="194"/>
  <c r="C220" i="193" l="1"/>
  <c r="F220" i="194"/>
  <c r="C217" i="193"/>
  <c r="E220" i="193"/>
  <c r="I243" i="194"/>
  <c r="I213" i="194"/>
  <c r="F237" i="193"/>
  <c r="F236" i="193"/>
  <c r="H233" i="193"/>
  <c r="G233" i="193"/>
  <c r="F232" i="193"/>
  <c r="F231" i="193"/>
  <c r="F230" i="193"/>
  <c r="F229" i="193"/>
  <c r="F228" i="193"/>
  <c r="F227" i="193"/>
  <c r="F226" i="193"/>
  <c r="F225" i="193"/>
  <c r="F224" i="193"/>
  <c r="M213" i="193"/>
  <c r="L213" i="193"/>
  <c r="H211" i="193"/>
  <c r="G211" i="193"/>
  <c r="H202" i="193"/>
  <c r="G202" i="193"/>
  <c r="F201" i="193"/>
  <c r="F199" i="193"/>
  <c r="F177" i="193"/>
  <c r="F175" i="193"/>
  <c r="F174" i="193"/>
  <c r="F173" i="193"/>
  <c r="F172" i="193"/>
  <c r="F171" i="193"/>
  <c r="F170" i="193"/>
  <c r="H166" i="193"/>
  <c r="G166" i="193"/>
  <c r="F164" i="193"/>
  <c r="F163" i="193"/>
  <c r="F162" i="193"/>
  <c r="F161" i="193"/>
  <c r="F160" i="193"/>
  <c r="F158" i="193"/>
  <c r="F157" i="193"/>
  <c r="F156" i="193"/>
  <c r="F154" i="193"/>
  <c r="F152" i="193"/>
  <c r="F150" i="193"/>
  <c r="F147" i="193"/>
  <c r="F145" i="193"/>
  <c r="F142" i="193"/>
  <c r="F141" i="193"/>
  <c r="F140" i="193"/>
  <c r="F137" i="193"/>
  <c r="F135" i="193"/>
  <c r="F132" i="193"/>
  <c r="F130" i="193"/>
  <c r="H124" i="193"/>
  <c r="G124" i="193"/>
  <c r="F122" i="193"/>
  <c r="F121" i="193"/>
  <c r="H116" i="193"/>
  <c r="G116" i="193"/>
  <c r="F112" i="193"/>
  <c r="H107" i="193"/>
  <c r="G107" i="193"/>
  <c r="F106" i="193"/>
  <c r="F104" i="193"/>
  <c r="F103" i="193"/>
  <c r="F102" i="193"/>
  <c r="F101" i="193"/>
  <c r="H98" i="193"/>
  <c r="G98" i="193"/>
  <c r="F94" i="193"/>
  <c r="F91" i="193"/>
  <c r="F89" i="193"/>
  <c r="F87" i="193"/>
  <c r="H84" i="193"/>
  <c r="G84" i="193"/>
  <c r="F83" i="193"/>
  <c r="F82" i="193"/>
  <c r="F81" i="193"/>
  <c r="F80" i="193"/>
  <c r="F70" i="193"/>
  <c r="F69" i="193"/>
  <c r="H66" i="193"/>
  <c r="G66" i="193"/>
  <c r="F65" i="193"/>
  <c r="F61" i="193"/>
  <c r="F57" i="193"/>
  <c r="F53" i="193"/>
  <c r="F51" i="193"/>
  <c r="F50" i="193"/>
  <c r="F49" i="193"/>
  <c r="F47" i="193"/>
  <c r="F46" i="193"/>
  <c r="F45" i="193"/>
  <c r="F43" i="193"/>
  <c r="F42" i="193"/>
  <c r="F41" i="193"/>
  <c r="F40" i="193"/>
  <c r="F38" i="193"/>
  <c r="F37" i="193"/>
  <c r="F36" i="193"/>
  <c r="F35" i="193"/>
  <c r="F34" i="193"/>
  <c r="F33" i="193"/>
  <c r="F32" i="193"/>
  <c r="F25" i="193"/>
  <c r="F24" i="193"/>
  <c r="F23" i="193"/>
  <c r="F22" i="193"/>
  <c r="F21" i="193"/>
  <c r="F20" i="193"/>
  <c r="F17" i="193"/>
  <c r="F15" i="193"/>
  <c r="F14" i="193"/>
  <c r="A1" i="193"/>
  <c r="I247" i="192"/>
  <c r="I246" i="192"/>
  <c r="C243" i="192"/>
  <c r="C242" i="192"/>
  <c r="C241" i="192"/>
  <c r="C240" i="192"/>
  <c r="C237" i="192"/>
  <c r="C236" i="192"/>
  <c r="E233" i="192"/>
  <c r="D233" i="192"/>
  <c r="C232" i="192"/>
  <c r="C231" i="192"/>
  <c r="C230" i="192"/>
  <c r="C229" i="192"/>
  <c r="C228" i="192"/>
  <c r="C227" i="192"/>
  <c r="C226" i="192"/>
  <c r="C225" i="192"/>
  <c r="C224" i="192"/>
  <c r="C216" i="192"/>
  <c r="E210" i="192"/>
  <c r="D210" i="192"/>
  <c r="C210" i="192"/>
  <c r="E209" i="192"/>
  <c r="D209" i="192"/>
  <c r="C209" i="192"/>
  <c r="E208" i="192"/>
  <c r="D208" i="192"/>
  <c r="C208" i="192"/>
  <c r="E207" i="192"/>
  <c r="D207" i="192"/>
  <c r="C207" i="192"/>
  <c r="E206" i="192"/>
  <c r="D206" i="192"/>
  <c r="C206" i="192"/>
  <c r="E205" i="192"/>
  <c r="D205" i="192"/>
  <c r="C205" i="192"/>
  <c r="E201" i="192"/>
  <c r="D201" i="192"/>
  <c r="C201" i="192"/>
  <c r="E200" i="192"/>
  <c r="D200" i="192"/>
  <c r="C200" i="192"/>
  <c r="E199" i="192"/>
  <c r="D199" i="192"/>
  <c r="C199" i="192"/>
  <c r="E198" i="192"/>
  <c r="D198" i="192"/>
  <c r="C198" i="192"/>
  <c r="E197" i="192"/>
  <c r="D197" i="192"/>
  <c r="C197" i="192"/>
  <c r="E196" i="192"/>
  <c r="D196" i="192"/>
  <c r="C196" i="192"/>
  <c r="E195" i="192"/>
  <c r="D195" i="192"/>
  <c r="C195" i="192"/>
  <c r="E194" i="192"/>
  <c r="D194" i="192"/>
  <c r="C194" i="192"/>
  <c r="E193" i="192"/>
  <c r="D193" i="192"/>
  <c r="C193" i="192"/>
  <c r="E192" i="192"/>
  <c r="D192" i="192"/>
  <c r="C192" i="192"/>
  <c r="E191" i="192"/>
  <c r="D191" i="192"/>
  <c r="C191" i="192"/>
  <c r="E190" i="192"/>
  <c r="D190" i="192"/>
  <c r="C190" i="192"/>
  <c r="E189" i="192"/>
  <c r="D189" i="192"/>
  <c r="C189" i="192"/>
  <c r="E188" i="192"/>
  <c r="D188" i="192"/>
  <c r="C188" i="192"/>
  <c r="E187" i="192"/>
  <c r="D187" i="192"/>
  <c r="C187" i="192"/>
  <c r="E186" i="192"/>
  <c r="D186" i="192"/>
  <c r="C186" i="192"/>
  <c r="E185" i="192"/>
  <c r="D185" i="192"/>
  <c r="C185" i="192"/>
  <c r="E184" i="192"/>
  <c r="D184" i="192"/>
  <c r="C184" i="192"/>
  <c r="E183" i="192"/>
  <c r="D183" i="192"/>
  <c r="C183" i="192"/>
  <c r="E182" i="192"/>
  <c r="D182" i="192"/>
  <c r="C182" i="192"/>
  <c r="E181" i="192"/>
  <c r="D181" i="192"/>
  <c r="C181" i="192"/>
  <c r="E180" i="192"/>
  <c r="D180" i="192"/>
  <c r="C180" i="192"/>
  <c r="E179" i="192"/>
  <c r="D179" i="192"/>
  <c r="C179" i="192"/>
  <c r="E178" i="192"/>
  <c r="D178" i="192"/>
  <c r="C178" i="192"/>
  <c r="E177" i="192"/>
  <c r="D177" i="192"/>
  <c r="C177" i="192"/>
  <c r="E176" i="192"/>
  <c r="D176" i="192"/>
  <c r="C176" i="192"/>
  <c r="E175" i="192"/>
  <c r="D175" i="192"/>
  <c r="C175" i="192"/>
  <c r="E174" i="192"/>
  <c r="D174" i="192"/>
  <c r="C174" i="192"/>
  <c r="E173" i="192"/>
  <c r="D173" i="192"/>
  <c r="C173" i="192"/>
  <c r="E172" i="192"/>
  <c r="D172" i="192"/>
  <c r="C172" i="192"/>
  <c r="E171" i="192"/>
  <c r="D171" i="192"/>
  <c r="C171" i="192"/>
  <c r="E170" i="192"/>
  <c r="D170" i="192"/>
  <c r="C170" i="192"/>
  <c r="E169" i="192"/>
  <c r="D169" i="192"/>
  <c r="C169" i="192"/>
  <c r="E165" i="192"/>
  <c r="D165" i="192"/>
  <c r="C165" i="192"/>
  <c r="E164" i="192"/>
  <c r="D164" i="192"/>
  <c r="C164" i="192"/>
  <c r="E163" i="192"/>
  <c r="D163" i="192"/>
  <c r="C163" i="192"/>
  <c r="E162" i="192"/>
  <c r="D162" i="192"/>
  <c r="C162" i="192"/>
  <c r="E161" i="192"/>
  <c r="D161" i="192"/>
  <c r="C161" i="192"/>
  <c r="E160" i="192"/>
  <c r="D160" i="192"/>
  <c r="C160" i="192"/>
  <c r="E158" i="192"/>
  <c r="D158" i="192"/>
  <c r="C158" i="192"/>
  <c r="E157" i="192"/>
  <c r="D157" i="192"/>
  <c r="C157" i="192"/>
  <c r="E156" i="192"/>
  <c r="D156" i="192"/>
  <c r="C156" i="192"/>
  <c r="E155" i="192"/>
  <c r="D155" i="192"/>
  <c r="C155" i="192"/>
  <c r="E154" i="192"/>
  <c r="D154" i="192"/>
  <c r="C154" i="192"/>
  <c r="E153" i="192"/>
  <c r="D153" i="192"/>
  <c r="C153" i="192"/>
  <c r="E152" i="192"/>
  <c r="D152" i="192"/>
  <c r="C152" i="192"/>
  <c r="E151" i="192"/>
  <c r="D151" i="192"/>
  <c r="C151" i="192"/>
  <c r="E150" i="192"/>
  <c r="D150" i="192"/>
  <c r="C150" i="192"/>
  <c r="E148" i="192"/>
  <c r="D148" i="192"/>
  <c r="C148" i="192"/>
  <c r="E147" i="192"/>
  <c r="D147" i="192"/>
  <c r="C147" i="192"/>
  <c r="E146" i="192"/>
  <c r="D146" i="192"/>
  <c r="C146" i="192"/>
  <c r="E145" i="192"/>
  <c r="D145" i="192"/>
  <c r="C145" i="192"/>
  <c r="E143" i="192"/>
  <c r="D143" i="192"/>
  <c r="C143" i="192"/>
  <c r="E142" i="192"/>
  <c r="D142" i="192"/>
  <c r="C142" i="192"/>
  <c r="E141" i="192"/>
  <c r="D141" i="192"/>
  <c r="C141" i="192"/>
  <c r="E140" i="192"/>
  <c r="D140" i="192"/>
  <c r="C140" i="192"/>
  <c r="E138" i="192"/>
  <c r="D138" i="192"/>
  <c r="C138" i="192"/>
  <c r="E137" i="192"/>
  <c r="D137" i="192"/>
  <c r="C137" i="192"/>
  <c r="E136" i="192"/>
  <c r="D136" i="192"/>
  <c r="C136" i="192"/>
  <c r="E135" i="192"/>
  <c r="D135" i="192"/>
  <c r="C135" i="192"/>
  <c r="E134" i="192"/>
  <c r="D134" i="192"/>
  <c r="C134" i="192"/>
  <c r="E132" i="192"/>
  <c r="D132" i="192"/>
  <c r="C132" i="192"/>
  <c r="E131" i="192"/>
  <c r="D131" i="192"/>
  <c r="C131" i="192"/>
  <c r="E130" i="192"/>
  <c r="D130" i="192"/>
  <c r="C130" i="192"/>
  <c r="E129" i="192"/>
  <c r="D129" i="192"/>
  <c r="C129" i="192"/>
  <c r="E128" i="192"/>
  <c r="D128" i="192"/>
  <c r="C128" i="192"/>
  <c r="E123" i="192"/>
  <c r="D123" i="192"/>
  <c r="C123" i="192"/>
  <c r="E122" i="192"/>
  <c r="D122" i="192"/>
  <c r="C122" i="192"/>
  <c r="E121" i="192"/>
  <c r="D121" i="192"/>
  <c r="C121" i="192"/>
  <c r="E120" i="192"/>
  <c r="D120" i="192"/>
  <c r="C120" i="192"/>
  <c r="E119" i="192"/>
  <c r="D119" i="192"/>
  <c r="C119" i="192"/>
  <c r="E115" i="192"/>
  <c r="D115" i="192"/>
  <c r="C115" i="192"/>
  <c r="E114" i="192"/>
  <c r="D114" i="192"/>
  <c r="C114" i="192"/>
  <c r="E113" i="192"/>
  <c r="D113" i="192"/>
  <c r="C113" i="192"/>
  <c r="E112" i="192"/>
  <c r="D112" i="192"/>
  <c r="C112" i="192"/>
  <c r="E111" i="192"/>
  <c r="D111" i="192"/>
  <c r="C111" i="192"/>
  <c r="E110" i="192"/>
  <c r="D110" i="192"/>
  <c r="C110" i="192"/>
  <c r="E106" i="192"/>
  <c r="D106" i="192"/>
  <c r="C106" i="192"/>
  <c r="E105" i="192"/>
  <c r="D105" i="192"/>
  <c r="C105" i="192"/>
  <c r="E104" i="192"/>
  <c r="D104" i="192"/>
  <c r="C104" i="192"/>
  <c r="E103" i="192"/>
  <c r="D103" i="192"/>
  <c r="C103" i="192"/>
  <c r="E102" i="192"/>
  <c r="D102" i="192"/>
  <c r="C102" i="192"/>
  <c r="E101" i="192"/>
  <c r="D101" i="192"/>
  <c r="C101" i="192"/>
  <c r="E97" i="192"/>
  <c r="D97" i="192"/>
  <c r="C97" i="192"/>
  <c r="E96" i="192"/>
  <c r="D96" i="192"/>
  <c r="C96" i="192"/>
  <c r="E95" i="192"/>
  <c r="D95" i="192"/>
  <c r="C95" i="192"/>
  <c r="E94" i="192"/>
  <c r="D94" i="192"/>
  <c r="C94" i="192"/>
  <c r="E93" i="192"/>
  <c r="D93" i="192"/>
  <c r="C93" i="192"/>
  <c r="E92" i="192"/>
  <c r="D92" i="192"/>
  <c r="C92" i="192"/>
  <c r="E91" i="192"/>
  <c r="D91" i="192"/>
  <c r="C91" i="192"/>
  <c r="E90" i="192"/>
  <c r="D90" i="192"/>
  <c r="C90" i="192"/>
  <c r="E89" i="192"/>
  <c r="D89" i="192"/>
  <c r="C89" i="192"/>
  <c r="E88" i="192"/>
  <c r="D88" i="192"/>
  <c r="C88" i="192"/>
  <c r="E87" i="192"/>
  <c r="D87" i="192"/>
  <c r="C87" i="192"/>
  <c r="E83" i="192"/>
  <c r="D83" i="192"/>
  <c r="C83" i="192"/>
  <c r="E82" i="192"/>
  <c r="D82" i="192"/>
  <c r="C82" i="192"/>
  <c r="E81" i="192"/>
  <c r="D81" i="192"/>
  <c r="C81" i="192"/>
  <c r="E80" i="192"/>
  <c r="D80" i="192"/>
  <c r="C80" i="192"/>
  <c r="E79" i="192"/>
  <c r="D79" i="192"/>
  <c r="C79" i="192"/>
  <c r="E78" i="192"/>
  <c r="D78" i="192"/>
  <c r="C78" i="192"/>
  <c r="E77" i="192"/>
  <c r="D77" i="192"/>
  <c r="C77" i="192"/>
  <c r="E76" i="192"/>
  <c r="D76" i="192"/>
  <c r="C76" i="192"/>
  <c r="E75" i="192"/>
  <c r="D75" i="192"/>
  <c r="C75" i="192"/>
  <c r="E74" i="192"/>
  <c r="D74" i="192"/>
  <c r="C74" i="192"/>
  <c r="E73" i="192"/>
  <c r="D73" i="192"/>
  <c r="C73" i="192"/>
  <c r="E72" i="192"/>
  <c r="D72" i="192"/>
  <c r="C72" i="192"/>
  <c r="E71" i="192"/>
  <c r="D71" i="192"/>
  <c r="C71" i="192"/>
  <c r="E70" i="192"/>
  <c r="D70" i="192"/>
  <c r="C70" i="192"/>
  <c r="E69" i="192"/>
  <c r="D69" i="192"/>
  <c r="C69" i="192"/>
  <c r="E65" i="192"/>
  <c r="D65" i="192"/>
  <c r="C65" i="192"/>
  <c r="E64" i="192"/>
  <c r="D64" i="192"/>
  <c r="C64" i="192"/>
  <c r="E63" i="192"/>
  <c r="D63" i="192"/>
  <c r="C63" i="192"/>
  <c r="E62" i="192"/>
  <c r="D62" i="192"/>
  <c r="C62" i="192"/>
  <c r="E61" i="192"/>
  <c r="D61" i="192"/>
  <c r="C61" i="192"/>
  <c r="E60" i="192"/>
  <c r="D60" i="192"/>
  <c r="C60" i="192"/>
  <c r="E59" i="192"/>
  <c r="D59" i="192"/>
  <c r="C59" i="192"/>
  <c r="E58" i="192"/>
  <c r="D58" i="192"/>
  <c r="C58" i="192"/>
  <c r="E57" i="192"/>
  <c r="D57" i="192"/>
  <c r="C57" i="192"/>
  <c r="E56" i="192"/>
  <c r="D56" i="192"/>
  <c r="C56" i="192"/>
  <c r="E55" i="192"/>
  <c r="D55" i="192"/>
  <c r="C55" i="192"/>
  <c r="E54" i="192"/>
  <c r="D54" i="192"/>
  <c r="C54" i="192"/>
  <c r="E53" i="192"/>
  <c r="D53" i="192"/>
  <c r="C53" i="192"/>
  <c r="E52" i="192"/>
  <c r="D52" i="192"/>
  <c r="C52" i="192"/>
  <c r="E51" i="192"/>
  <c r="D51" i="192"/>
  <c r="C51" i="192"/>
  <c r="E50" i="192"/>
  <c r="D50" i="192"/>
  <c r="C50" i="192"/>
  <c r="E49" i="192"/>
  <c r="D49" i="192"/>
  <c r="C49" i="192"/>
  <c r="E48" i="192"/>
  <c r="D48" i="192"/>
  <c r="C48" i="192"/>
  <c r="E47" i="192"/>
  <c r="D47" i="192"/>
  <c r="C47" i="192"/>
  <c r="E46" i="192"/>
  <c r="D46" i="192"/>
  <c r="C46" i="192"/>
  <c r="E45" i="192"/>
  <c r="D45" i="192"/>
  <c r="C45" i="192"/>
  <c r="E44" i="192"/>
  <c r="D44" i="192"/>
  <c r="C44" i="192"/>
  <c r="E43" i="192"/>
  <c r="D43" i="192"/>
  <c r="C43" i="192"/>
  <c r="E42" i="192"/>
  <c r="D42" i="192"/>
  <c r="C42" i="192"/>
  <c r="E41" i="192"/>
  <c r="D41" i="192"/>
  <c r="C41" i="192"/>
  <c r="E40" i="192"/>
  <c r="D40" i="192"/>
  <c r="C40" i="192"/>
  <c r="E39" i="192"/>
  <c r="D39" i="192"/>
  <c r="C39" i="192"/>
  <c r="E38" i="192"/>
  <c r="D38" i="192"/>
  <c r="C38" i="192"/>
  <c r="E37" i="192"/>
  <c r="D37" i="192"/>
  <c r="C37" i="192"/>
  <c r="E36" i="192"/>
  <c r="D36" i="192"/>
  <c r="C36" i="192"/>
  <c r="E35" i="192"/>
  <c r="D35" i="192"/>
  <c r="C35" i="192"/>
  <c r="E34" i="192"/>
  <c r="D34" i="192"/>
  <c r="C34" i="192"/>
  <c r="E33" i="192"/>
  <c r="D33" i="192"/>
  <c r="C33" i="192"/>
  <c r="E32" i="192"/>
  <c r="D32" i="192"/>
  <c r="C32" i="192"/>
  <c r="E31" i="192"/>
  <c r="D31" i="192"/>
  <c r="C31" i="192"/>
  <c r="E30" i="192"/>
  <c r="D30" i="192"/>
  <c r="C30" i="192"/>
  <c r="D25" i="192"/>
  <c r="C25" i="192"/>
  <c r="D24" i="192"/>
  <c r="C24" i="192"/>
  <c r="D23" i="192"/>
  <c r="C23" i="192"/>
  <c r="D22" i="192"/>
  <c r="C22" i="192"/>
  <c r="D21" i="192"/>
  <c r="C21" i="192"/>
  <c r="D20" i="192"/>
  <c r="C20" i="192"/>
  <c r="D19" i="192"/>
  <c r="C19" i="192"/>
  <c r="D18" i="192"/>
  <c r="C18" i="192"/>
  <c r="D17" i="192"/>
  <c r="C17" i="192"/>
  <c r="D16" i="192"/>
  <c r="C16" i="192"/>
  <c r="D15" i="192"/>
  <c r="C15" i="192"/>
  <c r="D14" i="192"/>
  <c r="C14" i="192"/>
  <c r="D13" i="192"/>
  <c r="C13" i="192"/>
  <c r="D12" i="192"/>
  <c r="C12" i="192"/>
  <c r="C4" i="192"/>
  <c r="C3" i="192"/>
  <c r="M22" i="193" l="1"/>
  <c r="M23" i="193"/>
  <c r="D26" i="192"/>
  <c r="C238" i="192"/>
  <c r="F12" i="192"/>
  <c r="I12" i="192" s="1"/>
  <c r="G213" i="193"/>
  <c r="D124" i="192"/>
  <c r="C202" i="192"/>
  <c r="E211" i="192"/>
  <c r="C26" i="192"/>
  <c r="D107" i="192"/>
  <c r="C211" i="192"/>
  <c r="D116" i="192"/>
  <c r="I17" i="193"/>
  <c r="I22" i="193"/>
  <c r="I40" i="193"/>
  <c r="I41" i="193"/>
  <c r="I45" i="193"/>
  <c r="I50" i="193"/>
  <c r="I81" i="193"/>
  <c r="I94" i="193"/>
  <c r="I103" i="193"/>
  <c r="I140" i="193"/>
  <c r="I141" i="193"/>
  <c r="I147" i="193"/>
  <c r="I156" i="193"/>
  <c r="I157" i="193"/>
  <c r="I160" i="193"/>
  <c r="I163" i="193"/>
  <c r="I171" i="193"/>
  <c r="I173" i="193"/>
  <c r="I174" i="193"/>
  <c r="I201" i="193"/>
  <c r="I227" i="193"/>
  <c r="I231" i="193"/>
  <c r="I21" i="193"/>
  <c r="I23" i="193"/>
  <c r="I24" i="193"/>
  <c r="I46" i="193"/>
  <c r="I51" i="193"/>
  <c r="I57" i="193"/>
  <c r="I80" i="193"/>
  <c r="I83" i="193"/>
  <c r="I104" i="193"/>
  <c r="I130" i="193"/>
  <c r="I137" i="193"/>
  <c r="I150" i="193"/>
  <c r="I158" i="193"/>
  <c r="I161" i="193"/>
  <c r="I164" i="193"/>
  <c r="I175" i="193"/>
  <c r="I199" i="193"/>
  <c r="I224" i="193"/>
  <c r="I228" i="193"/>
  <c r="I232" i="193"/>
  <c r="I237" i="193"/>
  <c r="I14" i="193"/>
  <c r="I15" i="193"/>
  <c r="I20" i="193"/>
  <c r="I25" i="193"/>
  <c r="I36" i="193"/>
  <c r="I37" i="193"/>
  <c r="I38" i="193"/>
  <c r="I47" i="193"/>
  <c r="I53" i="193"/>
  <c r="I61" i="193"/>
  <c r="I82" i="193"/>
  <c r="I101" i="193"/>
  <c r="I106" i="193"/>
  <c r="I112" i="193"/>
  <c r="I121" i="193"/>
  <c r="I145" i="193"/>
  <c r="I152" i="193"/>
  <c r="I170" i="193"/>
  <c r="I172" i="193"/>
  <c r="I225" i="193"/>
  <c r="I229" i="193"/>
  <c r="I32" i="193"/>
  <c r="I33" i="193"/>
  <c r="I34" i="193"/>
  <c r="I35" i="193"/>
  <c r="I42" i="193"/>
  <c r="I43" i="193"/>
  <c r="I49" i="193"/>
  <c r="I65" i="193"/>
  <c r="I70" i="193"/>
  <c r="I89" i="193"/>
  <c r="I91" i="193"/>
  <c r="I102" i="193"/>
  <c r="I122" i="193"/>
  <c r="I132" i="193"/>
  <c r="I135" i="193"/>
  <c r="I142" i="193"/>
  <c r="I154" i="193"/>
  <c r="I162" i="193"/>
  <c r="I177" i="193"/>
  <c r="I226" i="193"/>
  <c r="I230" i="193"/>
  <c r="O213" i="194"/>
  <c r="J211" i="194"/>
  <c r="J201" i="194"/>
  <c r="J200" i="194"/>
  <c r="J199" i="194"/>
  <c r="J198" i="194"/>
  <c r="J197" i="194"/>
  <c r="J196" i="194"/>
  <c r="J195" i="194"/>
  <c r="J194" i="194"/>
  <c r="J193" i="194"/>
  <c r="J192" i="194"/>
  <c r="J191" i="194"/>
  <c r="J190" i="194"/>
  <c r="J189" i="194"/>
  <c r="J188" i="194"/>
  <c r="J187" i="194"/>
  <c r="J186" i="194"/>
  <c r="J185" i="194"/>
  <c r="J184" i="194"/>
  <c r="J183" i="194"/>
  <c r="J182" i="194"/>
  <c r="J181" i="194"/>
  <c r="J180" i="194"/>
  <c r="J179" i="194"/>
  <c r="J209" i="194"/>
  <c r="J165" i="194"/>
  <c r="J164" i="194"/>
  <c r="J163" i="194"/>
  <c r="J162" i="194"/>
  <c r="J161" i="194"/>
  <c r="J160" i="194"/>
  <c r="J158" i="194"/>
  <c r="J157" i="194"/>
  <c r="J156" i="194"/>
  <c r="J155" i="194"/>
  <c r="J154" i="194"/>
  <c r="J153" i="194"/>
  <c r="J152" i="194"/>
  <c r="J151" i="194"/>
  <c r="J150" i="194"/>
  <c r="J148" i="194"/>
  <c r="J147" i="194"/>
  <c r="J146" i="194"/>
  <c r="J145" i="194"/>
  <c r="J143" i="194"/>
  <c r="J142" i="194"/>
  <c r="J141" i="194"/>
  <c r="J140" i="194"/>
  <c r="J138" i="194"/>
  <c r="J137" i="194"/>
  <c r="J136" i="194"/>
  <c r="J135" i="194"/>
  <c r="J134" i="194"/>
  <c r="J132" i="194"/>
  <c r="J131" i="194"/>
  <c r="J130" i="194"/>
  <c r="J129" i="194"/>
  <c r="J128" i="194"/>
  <c r="J116" i="194"/>
  <c r="J213" i="194"/>
  <c r="J207" i="194"/>
  <c r="J206" i="194"/>
  <c r="J205" i="194"/>
  <c r="J178" i="194"/>
  <c r="J176" i="194"/>
  <c r="J174" i="194"/>
  <c r="J172" i="194"/>
  <c r="J202" i="194"/>
  <c r="J169" i="194"/>
  <c r="J210" i="194"/>
  <c r="J208" i="194"/>
  <c r="J121" i="194"/>
  <c r="J112" i="194"/>
  <c r="J110" i="194"/>
  <c r="J107" i="194"/>
  <c r="J105" i="194"/>
  <c r="J97" i="194"/>
  <c r="J96" i="194"/>
  <c r="J95" i="194"/>
  <c r="J94" i="194"/>
  <c r="J93" i="194"/>
  <c r="J92" i="194"/>
  <c r="J91" i="194"/>
  <c r="J90" i="194"/>
  <c r="J89" i="194"/>
  <c r="J88" i="194"/>
  <c r="J87" i="194"/>
  <c r="J84" i="194"/>
  <c r="J177" i="194"/>
  <c r="J173" i="194"/>
  <c r="J122" i="194"/>
  <c r="J115" i="194"/>
  <c r="J106" i="194"/>
  <c r="J102" i="194"/>
  <c r="J66" i="194"/>
  <c r="J175" i="194"/>
  <c r="J166" i="194"/>
  <c r="J114" i="194"/>
  <c r="J98" i="194"/>
  <c r="J62" i="194"/>
  <c r="J58" i="194"/>
  <c r="J54" i="194"/>
  <c r="J111" i="194"/>
  <c r="J171" i="194"/>
  <c r="J170" i="194"/>
  <c r="J120" i="194"/>
  <c r="J119" i="194"/>
  <c r="J104" i="194"/>
  <c r="J103" i="194"/>
  <c r="J71" i="194"/>
  <c r="J69" i="194"/>
  <c r="J64" i="194"/>
  <c r="J60" i="194"/>
  <c r="J124" i="194"/>
  <c r="J82" i="194"/>
  <c r="J78" i="194"/>
  <c r="J74" i="194"/>
  <c r="J59" i="194"/>
  <c r="J53" i="194"/>
  <c r="J51" i="194"/>
  <c r="J49" i="194"/>
  <c r="J47" i="194"/>
  <c r="J45" i="194"/>
  <c r="J42" i="194"/>
  <c r="J38" i="194"/>
  <c r="J34" i="194"/>
  <c r="J30" i="194"/>
  <c r="J77" i="194"/>
  <c r="J57" i="194"/>
  <c r="J39" i="194"/>
  <c r="J31" i="194"/>
  <c r="J113" i="194"/>
  <c r="J83" i="194"/>
  <c r="J79" i="194"/>
  <c r="J75" i="194"/>
  <c r="J65" i="194"/>
  <c r="J61" i="194"/>
  <c r="J41" i="194"/>
  <c r="J37" i="194"/>
  <c r="J33" i="194"/>
  <c r="J55" i="194"/>
  <c r="J35" i="194"/>
  <c r="M17" i="194"/>
  <c r="J101" i="194"/>
  <c r="J80" i="194"/>
  <c r="J76" i="194"/>
  <c r="J72" i="194"/>
  <c r="J70" i="194"/>
  <c r="J52" i="194"/>
  <c r="J50" i="194"/>
  <c r="J48" i="194"/>
  <c r="J46" i="194"/>
  <c r="J44" i="194"/>
  <c r="J40" i="194"/>
  <c r="J36" i="194"/>
  <c r="J32" i="194"/>
  <c r="J123" i="194"/>
  <c r="J81" i="194"/>
  <c r="J73" i="194"/>
  <c r="J63" i="194"/>
  <c r="J56" i="194"/>
  <c r="J43" i="194"/>
  <c r="I220" i="194"/>
  <c r="C84" i="192"/>
  <c r="C116" i="192"/>
  <c r="E116" i="192"/>
  <c r="E124" i="192"/>
  <c r="D211" i="192"/>
  <c r="D84" i="192"/>
  <c r="E84" i="192"/>
  <c r="C98" i="192"/>
  <c r="C124" i="192"/>
  <c r="C166" i="192"/>
  <c r="D166" i="192"/>
  <c r="D202" i="192"/>
  <c r="D98" i="192"/>
  <c r="E98" i="192"/>
  <c r="C107" i="192"/>
  <c r="E107" i="192"/>
  <c r="E166" i="192"/>
  <c r="E202" i="192"/>
  <c r="C233" i="192"/>
  <c r="F233" i="193"/>
  <c r="I69" i="193"/>
  <c r="F30" i="193"/>
  <c r="F44" i="193"/>
  <c r="F48" i="193"/>
  <c r="F52" i="193"/>
  <c r="F56" i="193"/>
  <c r="F60" i="193"/>
  <c r="F64" i="193"/>
  <c r="I87" i="193"/>
  <c r="F13" i="193"/>
  <c r="F16" i="193"/>
  <c r="F19" i="193"/>
  <c r="F31" i="193"/>
  <c r="F39" i="193"/>
  <c r="F55" i="193"/>
  <c r="F59" i="193"/>
  <c r="F63" i="193"/>
  <c r="F72" i="193"/>
  <c r="F73" i="193"/>
  <c r="F74" i="193"/>
  <c r="F75" i="193"/>
  <c r="F76" i="193"/>
  <c r="F77" i="193"/>
  <c r="F78" i="193"/>
  <c r="F79" i="193"/>
  <c r="F128" i="193"/>
  <c r="F129" i="193"/>
  <c r="F54" i="193"/>
  <c r="F58" i="193"/>
  <c r="F62" i="193"/>
  <c r="F92" i="193"/>
  <c r="F18" i="193"/>
  <c r="F88" i="193"/>
  <c r="F95" i="193"/>
  <c r="F96" i="193"/>
  <c r="F105" i="193"/>
  <c r="F120" i="193"/>
  <c r="F143" i="193"/>
  <c r="F146" i="193"/>
  <c r="F148" i="193"/>
  <c r="F151" i="193"/>
  <c r="F182" i="193"/>
  <c r="F186" i="193"/>
  <c r="F190" i="193"/>
  <c r="F194" i="193"/>
  <c r="F208" i="193"/>
  <c r="F238" i="193"/>
  <c r="F71" i="193"/>
  <c r="F90" i="193"/>
  <c r="F93" i="193"/>
  <c r="F97" i="193"/>
  <c r="F119" i="193"/>
  <c r="F123" i="193"/>
  <c r="F134" i="193"/>
  <c r="F136" i="193"/>
  <c r="F153" i="193"/>
  <c r="F169" i="193"/>
  <c r="F180" i="193"/>
  <c r="F183" i="193"/>
  <c r="F187" i="193"/>
  <c r="F191" i="193"/>
  <c r="F207" i="193"/>
  <c r="F113" i="193"/>
  <c r="F115" i="193"/>
  <c r="F155" i="193"/>
  <c r="F181" i="193"/>
  <c r="F184" i="193"/>
  <c r="F188" i="193"/>
  <c r="F192" i="193"/>
  <c r="F206" i="193"/>
  <c r="F110" i="193"/>
  <c r="F131" i="193"/>
  <c r="F138" i="193"/>
  <c r="F165" i="193"/>
  <c r="F176" i="193"/>
  <c r="F178" i="193"/>
  <c r="F179" i="193"/>
  <c r="F185" i="193"/>
  <c r="F189" i="193"/>
  <c r="F193" i="193"/>
  <c r="H213" i="193"/>
  <c r="F111" i="193"/>
  <c r="F114" i="193"/>
  <c r="F196" i="193"/>
  <c r="F198" i="193"/>
  <c r="F200" i="193"/>
  <c r="F210" i="193"/>
  <c r="F195" i="193"/>
  <c r="F197" i="193"/>
  <c r="F209" i="193"/>
  <c r="F205" i="193"/>
  <c r="I236" i="193"/>
  <c r="C66" i="192"/>
  <c r="D66" i="192"/>
  <c r="E66" i="192"/>
  <c r="H220" i="193" l="1"/>
  <c r="F26" i="193"/>
  <c r="O21" i="193"/>
  <c r="O22" i="193"/>
  <c r="C213" i="192"/>
  <c r="O23" i="193"/>
  <c r="G220" i="193"/>
  <c r="O24" i="193"/>
  <c r="E213" i="192"/>
  <c r="I233" i="193"/>
  <c r="O20" i="193"/>
  <c r="O17" i="193"/>
  <c r="D213" i="192"/>
  <c r="I210" i="193"/>
  <c r="I114" i="193"/>
  <c r="I193" i="193"/>
  <c r="I185" i="193"/>
  <c r="I178" i="193"/>
  <c r="I138" i="193"/>
  <c r="I181" i="193"/>
  <c r="I187" i="193"/>
  <c r="I153" i="193"/>
  <c r="I136" i="193"/>
  <c r="I93" i="193"/>
  <c r="I71" i="193"/>
  <c r="I208" i="193"/>
  <c r="I190" i="193"/>
  <c r="I182" i="193"/>
  <c r="I148" i="193"/>
  <c r="I143" i="193"/>
  <c r="I95" i="193"/>
  <c r="I79" i="193"/>
  <c r="I76" i="193"/>
  <c r="I72" i="193"/>
  <c r="I13" i="193"/>
  <c r="I52" i="193"/>
  <c r="I197" i="193"/>
  <c r="I209" i="193"/>
  <c r="I111" i="193"/>
  <c r="I165" i="193"/>
  <c r="I206" i="193"/>
  <c r="I188" i="193"/>
  <c r="I207" i="193"/>
  <c r="I180" i="193"/>
  <c r="I134" i="193"/>
  <c r="I194" i="193"/>
  <c r="I151" i="193"/>
  <c r="I146" i="193"/>
  <c r="I58" i="193"/>
  <c r="I129" i="193"/>
  <c r="I75" i="193"/>
  <c r="I63" i="193"/>
  <c r="I39" i="193"/>
  <c r="I19" i="193"/>
  <c r="I60" i="193"/>
  <c r="I198" i="193"/>
  <c r="I195" i="193"/>
  <c r="I200" i="193"/>
  <c r="I196" i="193"/>
  <c r="I189" i="193"/>
  <c r="I179" i="193"/>
  <c r="I176" i="193"/>
  <c r="I131" i="193"/>
  <c r="I192" i="193"/>
  <c r="I155" i="193"/>
  <c r="I115" i="193"/>
  <c r="I191" i="193"/>
  <c r="I183" i="193"/>
  <c r="I90" i="193"/>
  <c r="I238" i="193"/>
  <c r="I186" i="193"/>
  <c r="I88" i="193"/>
  <c r="I78" i="193"/>
  <c r="I74" i="193"/>
  <c r="I59" i="193"/>
  <c r="I31" i="193"/>
  <c r="I56" i="193"/>
  <c r="I48" i="193"/>
  <c r="I184" i="193"/>
  <c r="I113" i="193"/>
  <c r="I123" i="193"/>
  <c r="I97" i="193"/>
  <c r="I120" i="193"/>
  <c r="I96" i="193"/>
  <c r="I18" i="193"/>
  <c r="I92" i="193"/>
  <c r="I62" i="193"/>
  <c r="I54" i="193"/>
  <c r="I77" i="193"/>
  <c r="I73" i="193"/>
  <c r="I55" i="193"/>
  <c r="I64" i="193"/>
  <c r="I44" i="193"/>
  <c r="F240" i="193"/>
  <c r="F211" i="193"/>
  <c r="I205" i="193"/>
  <c r="M19" i="193"/>
  <c r="F116" i="193"/>
  <c r="I110" i="193"/>
  <c r="I169" i="193"/>
  <c r="F202" i="193"/>
  <c r="I105" i="193"/>
  <c r="F107" i="193"/>
  <c r="F166" i="193"/>
  <c r="I128" i="193"/>
  <c r="F98" i="193"/>
  <c r="F66" i="193"/>
  <c r="I30" i="193"/>
  <c r="F124" i="193"/>
  <c r="I119" i="193"/>
  <c r="F84" i="193"/>
  <c r="O161" i="193" l="1"/>
  <c r="O191" i="193"/>
  <c r="O165" i="193"/>
  <c r="O101" i="193"/>
  <c r="O42" i="193"/>
  <c r="O137" i="193"/>
  <c r="J228" i="193"/>
  <c r="I16" i="193"/>
  <c r="O102" i="193"/>
  <c r="C220" i="192"/>
  <c r="C217" i="192"/>
  <c r="O73" i="193"/>
  <c r="O43" i="193"/>
  <c r="O61" i="193"/>
  <c r="O78" i="193"/>
  <c r="O140" i="193"/>
  <c r="O173" i="193"/>
  <c r="O141" i="193"/>
  <c r="O150" i="193"/>
  <c r="J232" i="193"/>
  <c r="O187" i="193"/>
  <c r="O199" i="193"/>
  <c r="O201" i="193"/>
  <c r="O189" i="193"/>
  <c r="O156" i="193"/>
  <c r="O79" i="193"/>
  <c r="O83" i="193"/>
  <c r="O47" i="193"/>
  <c r="O93" i="193"/>
  <c r="O50" i="193"/>
  <c r="O75" i="193"/>
  <c r="O179" i="193"/>
  <c r="J224" i="193"/>
  <c r="O81" i="193"/>
  <c r="O54" i="193"/>
  <c r="O32" i="193"/>
  <c r="O132" i="193"/>
  <c r="O60" i="193"/>
  <c r="O112" i="193"/>
  <c r="O33" i="193"/>
  <c r="O37" i="193"/>
  <c r="O135" i="193"/>
  <c r="O57" i="193"/>
  <c r="O142" i="193"/>
  <c r="O160" i="193"/>
  <c r="O122" i="193"/>
  <c r="O69" i="193"/>
  <c r="O53" i="193"/>
  <c r="O104" i="193"/>
  <c r="O91" i="193"/>
  <c r="O134" i="193"/>
  <c r="O164" i="193"/>
  <c r="O131" i="193"/>
  <c r="O195" i="193"/>
  <c r="O106" i="193"/>
  <c r="O171" i="193"/>
  <c r="O55" i="193"/>
  <c r="O184" i="193"/>
  <c r="M18" i="193"/>
  <c r="O152" i="193"/>
  <c r="O158" i="193"/>
  <c r="J225" i="193"/>
  <c r="J229" i="193"/>
  <c r="J233" i="193"/>
  <c r="O56" i="193"/>
  <c r="O80" i="193"/>
  <c r="O153" i="193"/>
  <c r="O45" i="193"/>
  <c r="O62" i="193"/>
  <c r="O89" i="193"/>
  <c r="O148" i="193"/>
  <c r="O185" i="193"/>
  <c r="O34" i="193"/>
  <c r="O70" i="193"/>
  <c r="O157" i="193"/>
  <c r="O121" i="193"/>
  <c r="O206" i="193"/>
  <c r="O170" i="193"/>
  <c r="O114" i="193"/>
  <c r="O90" i="193"/>
  <c r="O163" i="193"/>
  <c r="O82" i="193"/>
  <c r="O138" i="193"/>
  <c r="O145" i="193"/>
  <c r="O174" i="193"/>
  <c r="O162" i="193"/>
  <c r="J226" i="193"/>
  <c r="J230" i="193"/>
  <c r="O38" i="193"/>
  <c r="O72" i="193"/>
  <c r="O46" i="193"/>
  <c r="O36" i="193"/>
  <c r="O103" i="193"/>
  <c r="O51" i="193"/>
  <c r="O59" i="193"/>
  <c r="O41" i="193"/>
  <c r="O130" i="193"/>
  <c r="O76" i="193"/>
  <c r="O94" i="193"/>
  <c r="O207" i="193"/>
  <c r="O123" i="193"/>
  <c r="O49" i="193"/>
  <c r="O77" i="193"/>
  <c r="O151" i="193"/>
  <c r="O35" i="193"/>
  <c r="O87" i="193"/>
  <c r="O74" i="193"/>
  <c r="O96" i="193"/>
  <c r="O155" i="193"/>
  <c r="O111" i="193"/>
  <c r="O40" i="193"/>
  <c r="O44" i="193"/>
  <c r="O39" i="193"/>
  <c r="O58" i="193"/>
  <c r="O190" i="193"/>
  <c r="O177" i="193"/>
  <c r="O65" i="193"/>
  <c r="O136" i="193"/>
  <c r="O175" i="193"/>
  <c r="O186" i="193"/>
  <c r="O196" i="193"/>
  <c r="O147" i="193"/>
  <c r="O154" i="193"/>
  <c r="O172" i="193"/>
  <c r="J227" i="193"/>
  <c r="J231" i="193"/>
  <c r="O64" i="193"/>
  <c r="O183" i="193"/>
  <c r="O176" i="193"/>
  <c r="O97" i="193"/>
  <c r="I240" i="193"/>
  <c r="O31" i="193"/>
  <c r="O63" i="193"/>
  <c r="I98" i="193"/>
  <c r="O98" i="193" s="1"/>
  <c r="O143" i="193"/>
  <c r="O192" i="193"/>
  <c r="O193" i="193"/>
  <c r="O92" i="193"/>
  <c r="O180" i="193"/>
  <c r="O120" i="193"/>
  <c r="O200" i="193"/>
  <c r="O146" i="193"/>
  <c r="O188" i="193"/>
  <c r="O48" i="193"/>
  <c r="O129" i="193"/>
  <c r="O181" i="193"/>
  <c r="O95" i="193"/>
  <c r="O178" i="193"/>
  <c r="O71" i="193"/>
  <c r="O52" i="193"/>
  <c r="O194" i="193"/>
  <c r="O208" i="193"/>
  <c r="O113" i="193"/>
  <c r="O198" i="193"/>
  <c r="O115" i="193"/>
  <c r="O88" i="193"/>
  <c r="D220" i="192"/>
  <c r="E220" i="192"/>
  <c r="I84" i="193"/>
  <c r="O84" i="193" s="1"/>
  <c r="O18" i="193"/>
  <c r="O197" i="193"/>
  <c r="F213" i="193"/>
  <c r="O182" i="193"/>
  <c r="O210" i="193"/>
  <c r="F242" i="193"/>
  <c r="O19" i="193"/>
  <c r="O209" i="193"/>
  <c r="F241" i="193"/>
  <c r="I202" i="193"/>
  <c r="O202" i="193" s="1"/>
  <c r="O169" i="193"/>
  <c r="I211" i="193"/>
  <c r="O211" i="193" s="1"/>
  <c r="O205" i="193"/>
  <c r="I66" i="193"/>
  <c r="O66" i="193" s="1"/>
  <c r="O30" i="193"/>
  <c r="I166" i="193"/>
  <c r="O166" i="193" s="1"/>
  <c r="O128" i="193"/>
  <c r="O105" i="193"/>
  <c r="I107" i="193"/>
  <c r="O107" i="193" s="1"/>
  <c r="I124" i="193"/>
  <c r="O124" i="193" s="1"/>
  <c r="O119" i="193"/>
  <c r="I116" i="193"/>
  <c r="O116" i="193" s="1"/>
  <c r="O110" i="193"/>
  <c r="I26" i="193" l="1"/>
  <c r="M16" i="193" s="1"/>
  <c r="O16" i="193"/>
  <c r="I241" i="193"/>
  <c r="I242" i="193"/>
  <c r="M20" i="193"/>
  <c r="F220" i="193"/>
  <c r="F243" i="193"/>
  <c r="J20" i="193"/>
  <c r="I213" i="193"/>
  <c r="J12" i="193" l="1"/>
  <c r="J26" i="193"/>
  <c r="J25" i="193"/>
  <c r="J14" i="193"/>
  <c r="J19" i="193"/>
  <c r="J22" i="193"/>
  <c r="J16" i="193"/>
  <c r="J17" i="193"/>
  <c r="J23" i="193"/>
  <c r="J21" i="193"/>
  <c r="J13" i="193"/>
  <c r="J15" i="193"/>
  <c r="J18" i="193"/>
  <c r="O26" i="193"/>
  <c r="J24" i="193"/>
  <c r="I243" i="193"/>
  <c r="O213" i="193"/>
  <c r="J211" i="193"/>
  <c r="J201" i="193"/>
  <c r="J200" i="193"/>
  <c r="J199" i="193"/>
  <c r="J198" i="193"/>
  <c r="J197" i="193"/>
  <c r="J196" i="193"/>
  <c r="J195" i="193"/>
  <c r="J194" i="193"/>
  <c r="J193" i="193"/>
  <c r="J192" i="193"/>
  <c r="J191" i="193"/>
  <c r="J190" i="193"/>
  <c r="J189" i="193"/>
  <c r="J188" i="193"/>
  <c r="J187" i="193"/>
  <c r="J186" i="193"/>
  <c r="J185" i="193"/>
  <c r="J184" i="193"/>
  <c r="J183" i="193"/>
  <c r="J182" i="193"/>
  <c r="J181" i="193"/>
  <c r="J180" i="193"/>
  <c r="J179" i="193"/>
  <c r="J205" i="193"/>
  <c r="J209" i="193"/>
  <c r="J165" i="193"/>
  <c r="J164" i="193"/>
  <c r="J163" i="193"/>
  <c r="J162" i="193"/>
  <c r="J161" i="193"/>
  <c r="J160" i="193"/>
  <c r="J158" i="193"/>
  <c r="J157" i="193"/>
  <c r="J156" i="193"/>
  <c r="J155" i="193"/>
  <c r="J154" i="193"/>
  <c r="J153" i="193"/>
  <c r="J152" i="193"/>
  <c r="J151" i="193"/>
  <c r="J150" i="193"/>
  <c r="J148" i="193"/>
  <c r="J147" i="193"/>
  <c r="J146" i="193"/>
  <c r="J145" i="193"/>
  <c r="J143" i="193"/>
  <c r="J142" i="193"/>
  <c r="J141" i="193"/>
  <c r="J140" i="193"/>
  <c r="J138" i="193"/>
  <c r="J137" i="193"/>
  <c r="J136" i="193"/>
  <c r="J135" i="193"/>
  <c r="J134" i="193"/>
  <c r="J132" i="193"/>
  <c r="J131" i="193"/>
  <c r="J130" i="193"/>
  <c r="J129" i="193"/>
  <c r="J128" i="193"/>
  <c r="J116" i="193"/>
  <c r="J208" i="193"/>
  <c r="J207" i="193"/>
  <c r="J206" i="193"/>
  <c r="J178" i="193"/>
  <c r="J176" i="193"/>
  <c r="J174" i="193"/>
  <c r="J172" i="193"/>
  <c r="J169" i="193"/>
  <c r="J213" i="193"/>
  <c r="J202" i="193"/>
  <c r="J177" i="193"/>
  <c r="J175" i="193"/>
  <c r="J173" i="193"/>
  <c r="J170" i="193"/>
  <c r="J166" i="193"/>
  <c r="J123" i="193"/>
  <c r="J119" i="193"/>
  <c r="J114" i="193"/>
  <c r="J111" i="193"/>
  <c r="J103" i="193"/>
  <c r="J65" i="193"/>
  <c r="J64" i="193"/>
  <c r="J63" i="193"/>
  <c r="J62" i="193"/>
  <c r="J61" i="193"/>
  <c r="J60" i="193"/>
  <c r="J59" i="193"/>
  <c r="J58" i="193"/>
  <c r="J57" i="193"/>
  <c r="J56" i="193"/>
  <c r="J55" i="193"/>
  <c r="J54" i="193"/>
  <c r="J53" i="193"/>
  <c r="J52" i="193"/>
  <c r="J51" i="193"/>
  <c r="J50" i="193"/>
  <c r="J49" i="193"/>
  <c r="J48" i="193"/>
  <c r="J47" i="193"/>
  <c r="J46" i="193"/>
  <c r="J45" i="193"/>
  <c r="J44" i="193"/>
  <c r="J43" i="193"/>
  <c r="J42" i="193"/>
  <c r="J41" i="193"/>
  <c r="J40" i="193"/>
  <c r="J39" i="193"/>
  <c r="J38" i="193"/>
  <c r="J37" i="193"/>
  <c r="J36" i="193"/>
  <c r="J35" i="193"/>
  <c r="J34" i="193"/>
  <c r="J33" i="193"/>
  <c r="J32" i="193"/>
  <c r="J31" i="193"/>
  <c r="J171" i="193"/>
  <c r="J110" i="193"/>
  <c r="J105" i="193"/>
  <c r="J97" i="193"/>
  <c r="J93" i="193"/>
  <c r="J90" i="193"/>
  <c r="J84" i="193"/>
  <c r="J83" i="193"/>
  <c r="J81" i="193"/>
  <c r="J79" i="193"/>
  <c r="J77" i="193"/>
  <c r="J75" i="193"/>
  <c r="J73" i="193"/>
  <c r="J70" i="193"/>
  <c r="J121" i="193"/>
  <c r="J113" i="193"/>
  <c r="J112" i="193"/>
  <c r="J98" i="193"/>
  <c r="J94" i="193"/>
  <c r="J91" i="193"/>
  <c r="J87" i="193"/>
  <c r="J210" i="193"/>
  <c r="J120" i="193"/>
  <c r="J115" i="193"/>
  <c r="J104" i="193"/>
  <c r="J101" i="193"/>
  <c r="J95" i="193"/>
  <c r="J92" i="193"/>
  <c r="J88" i="193"/>
  <c r="J82" i="193"/>
  <c r="J80" i="193"/>
  <c r="J78" i="193"/>
  <c r="J76" i="193"/>
  <c r="J74" i="193"/>
  <c r="J72" i="193"/>
  <c r="J69" i="193"/>
  <c r="J124" i="193"/>
  <c r="J122" i="193"/>
  <c r="J66" i="193"/>
  <c r="J107" i="193"/>
  <c r="J106" i="193"/>
  <c r="J102" i="193"/>
  <c r="J96" i="193"/>
  <c r="J89" i="193"/>
  <c r="M17" i="193"/>
  <c r="J71" i="193"/>
  <c r="J30" i="193"/>
  <c r="I220" i="193"/>
  <c r="F237" i="192" l="1"/>
  <c r="F236" i="192"/>
  <c r="H233" i="192"/>
  <c r="G233" i="192"/>
  <c r="F232" i="192"/>
  <c r="F231" i="192"/>
  <c r="F230" i="192"/>
  <c r="F229" i="192"/>
  <c r="F228" i="192"/>
  <c r="F227" i="192"/>
  <c r="F226" i="192"/>
  <c r="F225" i="192"/>
  <c r="F224" i="192"/>
  <c r="M213" i="192"/>
  <c r="L213" i="192"/>
  <c r="M22" i="192" s="1"/>
  <c r="H211" i="192"/>
  <c r="G211" i="192"/>
  <c r="F206" i="192"/>
  <c r="H202" i="192"/>
  <c r="G202" i="192"/>
  <c r="F199" i="192"/>
  <c r="F185" i="192"/>
  <c r="F183" i="192"/>
  <c r="F182" i="192"/>
  <c r="F181" i="192"/>
  <c r="F180" i="192"/>
  <c r="F179" i="192"/>
  <c r="F178" i="192"/>
  <c r="F177" i="192"/>
  <c r="F176" i="192"/>
  <c r="F175" i="192"/>
  <c r="F169" i="192"/>
  <c r="H166" i="192"/>
  <c r="G166" i="192"/>
  <c r="F165" i="192"/>
  <c r="F164" i="192"/>
  <c r="F161" i="192"/>
  <c r="F160" i="192"/>
  <c r="F157" i="192"/>
  <c r="F156" i="192"/>
  <c r="F153" i="192"/>
  <c r="F150" i="192"/>
  <c r="F148" i="192"/>
  <c r="F145" i="192"/>
  <c r="F143" i="192"/>
  <c r="F138" i="192"/>
  <c r="F134" i="192"/>
  <c r="F132" i="192"/>
  <c r="F129" i="192"/>
  <c r="H124" i="192"/>
  <c r="G124" i="192"/>
  <c r="H116" i="192"/>
  <c r="G116" i="192"/>
  <c r="F115" i="192"/>
  <c r="F114" i="192"/>
  <c r="F113" i="192"/>
  <c r="F112" i="192"/>
  <c r="F110" i="192"/>
  <c r="H107" i="192"/>
  <c r="G107" i="192"/>
  <c r="F106" i="192"/>
  <c r="F103" i="192"/>
  <c r="F102" i="192"/>
  <c r="F101" i="192"/>
  <c r="H98" i="192"/>
  <c r="G98" i="192"/>
  <c r="F97" i="192"/>
  <c r="F95" i="192"/>
  <c r="F94" i="192"/>
  <c r="F93" i="192"/>
  <c r="F90" i="192"/>
  <c r="H84" i="192"/>
  <c r="G84" i="192"/>
  <c r="F83" i="192"/>
  <c r="F81" i="192"/>
  <c r="F79" i="192"/>
  <c r="F78" i="192"/>
  <c r="F76" i="192"/>
  <c r="F74" i="192"/>
  <c r="F72" i="192"/>
  <c r="F71" i="192"/>
  <c r="F69" i="192"/>
  <c r="H66" i="192"/>
  <c r="G66" i="192"/>
  <c r="F65" i="192"/>
  <c r="F64" i="192"/>
  <c r="F63" i="192"/>
  <c r="F62" i="192"/>
  <c r="F61" i="192"/>
  <c r="F60" i="192"/>
  <c r="F59" i="192"/>
  <c r="F58" i="192"/>
  <c r="F57" i="192"/>
  <c r="F56" i="192"/>
  <c r="F55" i="192"/>
  <c r="F54" i="192"/>
  <c r="F53" i="192"/>
  <c r="F52" i="192"/>
  <c r="F51" i="192"/>
  <c r="F50" i="192"/>
  <c r="F49" i="192"/>
  <c r="F48" i="192"/>
  <c r="F47" i="192"/>
  <c r="F46" i="192"/>
  <c r="F45" i="192"/>
  <c r="F44" i="192"/>
  <c r="F43" i="192"/>
  <c r="F41" i="192"/>
  <c r="F40" i="192"/>
  <c r="F38" i="192"/>
  <c r="F37" i="192"/>
  <c r="F35" i="192"/>
  <c r="F34" i="192"/>
  <c r="F33" i="192"/>
  <c r="F32" i="192"/>
  <c r="F31" i="192"/>
  <c r="F30" i="192"/>
  <c r="F25" i="192"/>
  <c r="F24" i="192"/>
  <c r="M23" i="192"/>
  <c r="F23" i="192"/>
  <c r="F22" i="192"/>
  <c r="F21" i="192"/>
  <c r="F20" i="192"/>
  <c r="F19" i="192"/>
  <c r="F18" i="192"/>
  <c r="F17" i="192"/>
  <c r="F15" i="192"/>
  <c r="F14" i="192"/>
  <c r="F13" i="192"/>
  <c r="F238" i="192"/>
  <c r="A1" i="192"/>
  <c r="F12" i="191" l="1"/>
  <c r="I12" i="191" s="1"/>
  <c r="I169" i="192"/>
  <c r="G213" i="192"/>
  <c r="I19" i="192"/>
  <c r="I30" i="192"/>
  <c r="I37" i="192"/>
  <c r="I45" i="192"/>
  <c r="I64" i="192"/>
  <c r="I76" i="192"/>
  <c r="I148" i="192"/>
  <c r="I176" i="192"/>
  <c r="I14" i="192"/>
  <c r="I15" i="192"/>
  <c r="I17" i="192"/>
  <c r="I18" i="192"/>
  <c r="I22" i="192"/>
  <c r="I23" i="192"/>
  <c r="I24" i="192"/>
  <c r="I33" i="192"/>
  <c r="I38" i="192"/>
  <c r="I48" i="192"/>
  <c r="I52" i="192"/>
  <c r="I59" i="192"/>
  <c r="I63" i="192"/>
  <c r="I71" i="192"/>
  <c r="I95" i="192"/>
  <c r="I132" i="192"/>
  <c r="I134" i="192"/>
  <c r="I143" i="192"/>
  <c r="I150" i="192"/>
  <c r="I153" i="192"/>
  <c r="I156" i="192"/>
  <c r="I175" i="192"/>
  <c r="I179" i="192"/>
  <c r="I180" i="192"/>
  <c r="I199" i="192"/>
  <c r="I226" i="192"/>
  <c r="I230" i="192"/>
  <c r="I32" i="192"/>
  <c r="I47" i="192"/>
  <c r="I93" i="192"/>
  <c r="I103" i="192"/>
  <c r="I161" i="192"/>
  <c r="I181" i="192"/>
  <c r="I229" i="192"/>
  <c r="I238" i="192"/>
  <c r="I21" i="192"/>
  <c r="I34" i="192"/>
  <c r="I35" i="192"/>
  <c r="I40" i="192"/>
  <c r="I44" i="192"/>
  <c r="I46" i="192"/>
  <c r="I49" i="192"/>
  <c r="I53" i="192"/>
  <c r="I58" i="192"/>
  <c r="I62" i="192"/>
  <c r="I78" i="192"/>
  <c r="I79" i="192"/>
  <c r="I83" i="192"/>
  <c r="I94" i="192"/>
  <c r="I106" i="192"/>
  <c r="I115" i="192"/>
  <c r="I129" i="192"/>
  <c r="I138" i="192"/>
  <c r="I160" i="192"/>
  <c r="I164" i="192"/>
  <c r="I178" i="192"/>
  <c r="I182" i="192"/>
  <c r="I183" i="192"/>
  <c r="I185" i="192"/>
  <c r="I227" i="192"/>
  <c r="I231" i="192"/>
  <c r="I43" i="192"/>
  <c r="I51" i="192"/>
  <c r="I60" i="192"/>
  <c r="I74" i="192"/>
  <c r="I90" i="192"/>
  <c r="I112" i="192"/>
  <c r="I157" i="192"/>
  <c r="I165" i="192"/>
  <c r="I225" i="192"/>
  <c r="I13" i="192"/>
  <c r="I20" i="192"/>
  <c r="I25" i="192"/>
  <c r="I31" i="192"/>
  <c r="I41" i="192"/>
  <c r="I50" i="192"/>
  <c r="I54" i="192"/>
  <c r="I55" i="192"/>
  <c r="I56" i="192"/>
  <c r="I57" i="192"/>
  <c r="I61" i="192"/>
  <c r="I65" i="192"/>
  <c r="I72" i="192"/>
  <c r="I81" i="192"/>
  <c r="I97" i="192"/>
  <c r="I102" i="192"/>
  <c r="I113" i="192"/>
  <c r="I114" i="192"/>
  <c r="I145" i="192"/>
  <c r="I177" i="192"/>
  <c r="I206" i="192"/>
  <c r="I228" i="192"/>
  <c r="I232" i="192"/>
  <c r="I237" i="192"/>
  <c r="F16" i="192"/>
  <c r="F92" i="192"/>
  <c r="F122" i="192"/>
  <c r="F36" i="192"/>
  <c r="F39" i="192"/>
  <c r="F42" i="192"/>
  <c r="F82" i="192"/>
  <c r="F87" i="192"/>
  <c r="I69" i="192"/>
  <c r="I101" i="192"/>
  <c r="F105" i="192"/>
  <c r="F130" i="192"/>
  <c r="F136" i="192"/>
  <c r="F77" i="192"/>
  <c r="F205" i="192"/>
  <c r="F70" i="192"/>
  <c r="F73" i="192"/>
  <c r="F75" i="192"/>
  <c r="F80" i="192"/>
  <c r="F88" i="192"/>
  <c r="F91" i="192"/>
  <c r="F104" i="192"/>
  <c r="F135" i="192"/>
  <c r="F141" i="192"/>
  <c r="F154" i="192"/>
  <c r="F155" i="192"/>
  <c r="F96" i="192"/>
  <c r="F128" i="192"/>
  <c r="F140" i="192"/>
  <c r="F146" i="192"/>
  <c r="F151" i="192"/>
  <c r="F158" i="192"/>
  <c r="F162" i="192"/>
  <c r="F170" i="192"/>
  <c r="F89" i="192"/>
  <c r="I110" i="192"/>
  <c r="F111" i="192"/>
  <c r="F131" i="192"/>
  <c r="F163" i="192"/>
  <c r="F174" i="192"/>
  <c r="F190" i="192"/>
  <c r="F207" i="192"/>
  <c r="H213" i="192"/>
  <c r="F119" i="192"/>
  <c r="F121" i="192"/>
  <c r="F137" i="192"/>
  <c r="F142" i="192"/>
  <c r="F147" i="192"/>
  <c r="F152" i="192"/>
  <c r="F171" i="192"/>
  <c r="F173" i="192"/>
  <c r="F184" i="192"/>
  <c r="F186" i="192"/>
  <c r="F209" i="192"/>
  <c r="F172" i="192"/>
  <c r="F198" i="192"/>
  <c r="F120" i="192"/>
  <c r="F123" i="192"/>
  <c r="F187" i="192"/>
  <c r="F194" i="192"/>
  <c r="F191" i="192"/>
  <c r="F195" i="192"/>
  <c r="F201" i="192"/>
  <c r="F208" i="192"/>
  <c r="F233" i="192"/>
  <c r="I224" i="192"/>
  <c r="F188" i="192"/>
  <c r="F192" i="192"/>
  <c r="F196" i="192"/>
  <c r="F200" i="192"/>
  <c r="F189" i="192"/>
  <c r="F193" i="192"/>
  <c r="F197" i="192"/>
  <c r="F210" i="192"/>
  <c r="F240" i="192"/>
  <c r="I236" i="192"/>
  <c r="H220" i="192" l="1"/>
  <c r="O18" i="192"/>
  <c r="F26" i="192"/>
  <c r="I16" i="192"/>
  <c r="I26" i="192" s="1"/>
  <c r="O17" i="192"/>
  <c r="O22" i="192"/>
  <c r="O20" i="192"/>
  <c r="G220" i="192"/>
  <c r="I187" i="192"/>
  <c r="I142" i="192"/>
  <c r="I158" i="192"/>
  <c r="I75" i="192"/>
  <c r="F242" i="192"/>
  <c r="I200" i="192"/>
  <c r="I188" i="192"/>
  <c r="I195" i="192"/>
  <c r="I194" i="192"/>
  <c r="I120" i="192"/>
  <c r="I184" i="192"/>
  <c r="I171" i="192"/>
  <c r="I137" i="192"/>
  <c r="I207" i="192"/>
  <c r="I174" i="192"/>
  <c r="I89" i="192"/>
  <c r="I155" i="192"/>
  <c r="I88" i="192"/>
  <c r="I73" i="192"/>
  <c r="I77" i="192"/>
  <c r="I136" i="192"/>
  <c r="I105" i="192"/>
  <c r="I42" i="192"/>
  <c r="I122" i="192"/>
  <c r="O23" i="192"/>
  <c r="I193" i="192"/>
  <c r="I192" i="192"/>
  <c r="I198" i="192"/>
  <c r="I209" i="192"/>
  <c r="I173" i="192"/>
  <c r="I111" i="192"/>
  <c r="I116" i="192" s="1"/>
  <c r="I146" i="192"/>
  <c r="I210" i="192"/>
  <c r="I197" i="192"/>
  <c r="I189" i="192"/>
  <c r="I196" i="192"/>
  <c r="I208" i="192"/>
  <c r="I191" i="192"/>
  <c r="I172" i="192"/>
  <c r="I152" i="192"/>
  <c r="I131" i="192"/>
  <c r="I162" i="192"/>
  <c r="I151" i="192"/>
  <c r="I140" i="192"/>
  <c r="I96" i="192"/>
  <c r="I141" i="192"/>
  <c r="I135" i="192"/>
  <c r="I70" i="192"/>
  <c r="I39" i="192"/>
  <c r="O19" i="192"/>
  <c r="I121" i="192"/>
  <c r="I170" i="192"/>
  <c r="I91" i="192"/>
  <c r="I36" i="192"/>
  <c r="I201" i="192"/>
  <c r="I123" i="192"/>
  <c r="I186" i="192"/>
  <c r="I147" i="192"/>
  <c r="I190" i="192"/>
  <c r="I163" i="192"/>
  <c r="I154" i="192"/>
  <c r="I104" i="192"/>
  <c r="I80" i="192"/>
  <c r="I130" i="192"/>
  <c r="I82" i="192"/>
  <c r="I92" i="192"/>
  <c r="O21" i="192"/>
  <c r="O24" i="192"/>
  <c r="F241" i="192"/>
  <c r="I240" i="192"/>
  <c r="M19" i="192"/>
  <c r="F124" i="192"/>
  <c r="I119" i="192"/>
  <c r="F211" i="192"/>
  <c r="I205" i="192"/>
  <c r="F107" i="192"/>
  <c r="I233" i="192"/>
  <c r="F202" i="192"/>
  <c r="F116" i="192"/>
  <c r="F166" i="192"/>
  <c r="I128" i="192"/>
  <c r="F84" i="192"/>
  <c r="F66" i="192"/>
  <c r="I87" i="192"/>
  <c r="F98" i="192"/>
  <c r="O170" i="192" l="1"/>
  <c r="I66" i="192"/>
  <c r="I107" i="192"/>
  <c r="O107" i="192" s="1"/>
  <c r="I202" i="192"/>
  <c r="O202" i="192" s="1"/>
  <c r="I84" i="192"/>
  <c r="M20" i="192"/>
  <c r="F243" i="192"/>
  <c r="O120" i="192"/>
  <c r="O154" i="192"/>
  <c r="F213" i="192"/>
  <c r="O122" i="192"/>
  <c r="O174" i="192"/>
  <c r="I242" i="192"/>
  <c r="O137" i="192"/>
  <c r="O210" i="192"/>
  <c r="O96" i="192"/>
  <c r="O89" i="192"/>
  <c r="O142" i="192"/>
  <c r="O198" i="192"/>
  <c r="O39" i="192"/>
  <c r="O66" i="192"/>
  <c r="O69" i="192"/>
  <c r="O186" i="192"/>
  <c r="O191" i="192"/>
  <c r="O207" i="192"/>
  <c r="O123" i="192"/>
  <c r="I166" i="192"/>
  <c r="O166" i="192" s="1"/>
  <c r="O128" i="192"/>
  <c r="O16" i="192"/>
  <c r="O141" i="192"/>
  <c r="O70" i="192"/>
  <c r="I124" i="192"/>
  <c r="O124" i="192" s="1"/>
  <c r="O119" i="192"/>
  <c r="O209" i="192"/>
  <c r="O193" i="192"/>
  <c r="O73" i="192"/>
  <c r="O110" i="192"/>
  <c r="O187" i="192"/>
  <c r="O200" i="192"/>
  <c r="O75" i="192"/>
  <c r="O131" i="192"/>
  <c r="O184" i="192"/>
  <c r="O195" i="192"/>
  <c r="O189" i="192"/>
  <c r="O92" i="192"/>
  <c r="O77" i="192"/>
  <c r="O155" i="192"/>
  <c r="O163" i="192"/>
  <c r="O105" i="192"/>
  <c r="O104" i="192"/>
  <c r="O194" i="192"/>
  <c r="O197" i="192"/>
  <c r="I98" i="192"/>
  <c r="O98" i="192" s="1"/>
  <c r="O87" i="192"/>
  <c r="O101" i="192"/>
  <c r="O88" i="192"/>
  <c r="O140" i="192"/>
  <c r="O116" i="192"/>
  <c r="O208" i="192"/>
  <c r="O82" i="192"/>
  <c r="O91" i="192"/>
  <c r="O162" i="192"/>
  <c r="O121" i="192"/>
  <c r="O172" i="192"/>
  <c r="O80" i="192"/>
  <c r="O151" i="192"/>
  <c r="O190" i="192"/>
  <c r="O84" i="192"/>
  <c r="I211" i="192"/>
  <c r="O211" i="192" s="1"/>
  <c r="O205" i="192"/>
  <c r="O146" i="192"/>
  <c r="O152" i="192"/>
  <c r="O201" i="192"/>
  <c r="J233" i="192"/>
  <c r="J232" i="192"/>
  <c r="J231" i="192"/>
  <c r="J230" i="192"/>
  <c r="J229" i="192"/>
  <c r="J228" i="192"/>
  <c r="J227" i="192"/>
  <c r="J226" i="192"/>
  <c r="J225" i="192"/>
  <c r="J224" i="192"/>
  <c r="I241" i="192"/>
  <c r="M18" i="192"/>
  <c r="O113" i="192"/>
  <c r="O114" i="192"/>
  <c r="O112" i="192"/>
  <c r="O115" i="192"/>
  <c r="O32" i="192"/>
  <c r="O35" i="192"/>
  <c r="O45" i="192"/>
  <c r="O30" i="192"/>
  <c r="O63" i="192"/>
  <c r="O65" i="192"/>
  <c r="O94" i="192"/>
  <c r="O71" i="192"/>
  <c r="O55" i="192"/>
  <c r="O79" i="192"/>
  <c r="O43" i="192"/>
  <c r="O48" i="192"/>
  <c r="O76" i="192"/>
  <c r="O143" i="192"/>
  <c r="O161" i="192"/>
  <c r="O180" i="192"/>
  <c r="O153" i="192"/>
  <c r="O160" i="192"/>
  <c r="O40" i="192"/>
  <c r="O31" i="192"/>
  <c r="O37" i="192"/>
  <c r="O61" i="192"/>
  <c r="O78" i="192"/>
  <c r="O106" i="192"/>
  <c r="O150" i="192"/>
  <c r="O56" i="192"/>
  <c r="O138" i="192"/>
  <c r="O53" i="192"/>
  <c r="O60" i="192"/>
  <c r="O102" i="192"/>
  <c r="O50" i="192"/>
  <c r="O176" i="192"/>
  <c r="O129" i="192"/>
  <c r="O165" i="192"/>
  <c r="O156" i="192"/>
  <c r="O97" i="192"/>
  <c r="O157" i="192"/>
  <c r="O181" i="192"/>
  <c r="O206" i="192"/>
  <c r="O47" i="192"/>
  <c r="O33" i="192"/>
  <c r="O38" i="192"/>
  <c r="O51" i="192"/>
  <c r="O81" i="192"/>
  <c r="O58" i="192"/>
  <c r="O95" i="192"/>
  <c r="O54" i="192"/>
  <c r="O64" i="192"/>
  <c r="O103" i="192"/>
  <c r="O44" i="192"/>
  <c r="O52" i="192"/>
  <c r="O182" i="192"/>
  <c r="O169" i="192"/>
  <c r="O145" i="192"/>
  <c r="O178" i="192"/>
  <c r="O175" i="192"/>
  <c r="O59" i="192"/>
  <c r="O34" i="192"/>
  <c r="O57" i="192"/>
  <c r="O49" i="192"/>
  <c r="O93" i="192"/>
  <c r="O132" i="192"/>
  <c r="O62" i="192"/>
  <c r="O74" i="192"/>
  <c r="O41" i="192"/>
  <c r="O46" i="192"/>
  <c r="O72" i="192"/>
  <c r="O83" i="192"/>
  <c r="O148" i="192"/>
  <c r="O134" i="192"/>
  <c r="O164" i="192"/>
  <c r="O90" i="192"/>
  <c r="O177" i="192"/>
  <c r="O185" i="192"/>
  <c r="O199" i="192"/>
  <c r="O179" i="192"/>
  <c r="O183" i="192"/>
  <c r="O188" i="192"/>
  <c r="O135" i="192"/>
  <c r="O158" i="192"/>
  <c r="O147" i="192"/>
  <c r="O42" i="192"/>
  <c r="O192" i="192"/>
  <c r="O36" i="192"/>
  <c r="O136" i="192"/>
  <c r="O171" i="192"/>
  <c r="O196" i="192"/>
  <c r="O130" i="192"/>
  <c r="O111" i="192"/>
  <c r="O173" i="192"/>
  <c r="F237" i="191"/>
  <c r="F236" i="191"/>
  <c r="H233" i="191"/>
  <c r="G233" i="191"/>
  <c r="F232" i="191"/>
  <c r="F231" i="191"/>
  <c r="F230" i="191"/>
  <c r="F229" i="191"/>
  <c r="F228" i="191"/>
  <c r="F227" i="191"/>
  <c r="F226" i="191"/>
  <c r="F225" i="191"/>
  <c r="F224" i="191"/>
  <c r="M213" i="191"/>
  <c r="L213" i="191"/>
  <c r="H211" i="191"/>
  <c r="G211" i="191"/>
  <c r="F209" i="191"/>
  <c r="H202" i="191"/>
  <c r="G202" i="191"/>
  <c r="F198" i="191"/>
  <c r="F197" i="191"/>
  <c r="F196" i="191"/>
  <c r="F194" i="191"/>
  <c r="F193" i="191"/>
  <c r="F192" i="191"/>
  <c r="F190" i="191"/>
  <c r="F189" i="191"/>
  <c r="F188" i="191"/>
  <c r="F186" i="191"/>
  <c r="F185" i="191"/>
  <c r="F184" i="191"/>
  <c r="F182" i="191"/>
  <c r="F181" i="191"/>
  <c r="F180" i="191"/>
  <c r="H166" i="191"/>
  <c r="G166" i="191"/>
  <c r="F165" i="191"/>
  <c r="F164" i="191"/>
  <c r="F163" i="191"/>
  <c r="F162" i="191"/>
  <c r="F161" i="191"/>
  <c r="F160" i="191"/>
  <c r="F158" i="191"/>
  <c r="F157" i="191"/>
  <c r="F156" i="191"/>
  <c r="F155" i="191"/>
  <c r="F154" i="191"/>
  <c r="F153" i="191"/>
  <c r="F152" i="191"/>
  <c r="F151" i="191"/>
  <c r="F150" i="191"/>
  <c r="F148" i="191"/>
  <c r="F147" i="191"/>
  <c r="F146" i="191"/>
  <c r="F145" i="191"/>
  <c r="F143" i="191"/>
  <c r="F142" i="191"/>
  <c r="F141" i="191"/>
  <c r="F140" i="191"/>
  <c r="F138" i="191"/>
  <c r="F137" i="191"/>
  <c r="F136" i="191"/>
  <c r="F135" i="191"/>
  <c r="F134" i="191"/>
  <c r="F132" i="191"/>
  <c r="F130" i="191"/>
  <c r="F129" i="191"/>
  <c r="F128" i="191"/>
  <c r="H124" i="191"/>
  <c r="G124" i="191"/>
  <c r="F123" i="191"/>
  <c r="H116" i="191"/>
  <c r="G116" i="191"/>
  <c r="H107" i="191"/>
  <c r="G107" i="191"/>
  <c r="H98" i="191"/>
  <c r="G98" i="191"/>
  <c r="F97" i="191"/>
  <c r="F96" i="191"/>
  <c r="F95" i="191"/>
  <c r="F94" i="191"/>
  <c r="F93" i="191"/>
  <c r="F92" i="191"/>
  <c r="F91" i="191"/>
  <c r="F90" i="191"/>
  <c r="F89" i="191"/>
  <c r="F88" i="191"/>
  <c r="F87" i="191"/>
  <c r="H84" i="191"/>
  <c r="G84" i="191"/>
  <c r="F79" i="191"/>
  <c r="F78" i="191"/>
  <c r="H66" i="191"/>
  <c r="G66" i="191"/>
  <c r="F65" i="191"/>
  <c r="F64" i="191"/>
  <c r="F63" i="191"/>
  <c r="F62" i="191"/>
  <c r="F61" i="191"/>
  <c r="F60" i="191"/>
  <c r="F59" i="191"/>
  <c r="F58" i="191"/>
  <c r="F57" i="191"/>
  <c r="F56" i="191"/>
  <c r="F55" i="191"/>
  <c r="F54" i="191"/>
  <c r="F53" i="191"/>
  <c r="F52" i="191"/>
  <c r="F51" i="191"/>
  <c r="F50" i="191"/>
  <c r="F49" i="191"/>
  <c r="F40" i="191"/>
  <c r="F38" i="191"/>
  <c r="F37" i="191"/>
  <c r="F36" i="191"/>
  <c r="F35" i="191"/>
  <c r="F34" i="191"/>
  <c r="F32" i="191"/>
  <c r="F31" i="191"/>
  <c r="F25" i="191"/>
  <c r="F24" i="191"/>
  <c r="F23" i="191"/>
  <c r="F22" i="191"/>
  <c r="F21" i="191"/>
  <c r="F20" i="191"/>
  <c r="F19" i="191"/>
  <c r="F18" i="191"/>
  <c r="F17" i="191"/>
  <c r="F15" i="191"/>
  <c r="F14" i="191"/>
  <c r="F13" i="191"/>
  <c r="F238" i="191"/>
  <c r="A1" i="191"/>
  <c r="A1" i="190"/>
  <c r="I247" i="190"/>
  <c r="I246" i="190"/>
  <c r="C243" i="190"/>
  <c r="C242" i="190"/>
  <c r="C241" i="190"/>
  <c r="C240" i="190"/>
  <c r="C237" i="190"/>
  <c r="C236" i="190"/>
  <c r="E233" i="190"/>
  <c r="D233" i="190"/>
  <c r="C232" i="190"/>
  <c r="C231" i="190"/>
  <c r="C230" i="190"/>
  <c r="C229" i="190"/>
  <c r="C228" i="190"/>
  <c r="C227" i="190"/>
  <c r="C226" i="190"/>
  <c r="C225" i="190"/>
  <c r="C224" i="190"/>
  <c r="C216" i="190"/>
  <c r="E210" i="190"/>
  <c r="D210" i="190"/>
  <c r="C210" i="190"/>
  <c r="E209" i="190"/>
  <c r="D209" i="190"/>
  <c r="C209" i="190"/>
  <c r="E208" i="190"/>
  <c r="D208" i="190"/>
  <c r="C208" i="190"/>
  <c r="E207" i="190"/>
  <c r="D207" i="190"/>
  <c r="C207" i="190"/>
  <c r="E206" i="190"/>
  <c r="D206" i="190"/>
  <c r="C206" i="190"/>
  <c r="E205" i="190"/>
  <c r="D205" i="190"/>
  <c r="C205" i="190"/>
  <c r="E201" i="190"/>
  <c r="D201" i="190"/>
  <c r="C201" i="190"/>
  <c r="E200" i="190"/>
  <c r="D200" i="190"/>
  <c r="C200" i="190"/>
  <c r="E199" i="190"/>
  <c r="D199" i="190"/>
  <c r="C199" i="190"/>
  <c r="E198" i="190"/>
  <c r="D198" i="190"/>
  <c r="C198" i="190"/>
  <c r="E197" i="190"/>
  <c r="D197" i="190"/>
  <c r="C197" i="190"/>
  <c r="E196" i="190"/>
  <c r="D196" i="190"/>
  <c r="C196" i="190"/>
  <c r="E195" i="190"/>
  <c r="D195" i="190"/>
  <c r="C195" i="190"/>
  <c r="E194" i="190"/>
  <c r="D194" i="190"/>
  <c r="C194" i="190"/>
  <c r="E193" i="190"/>
  <c r="D193" i="190"/>
  <c r="C193" i="190"/>
  <c r="E192" i="190"/>
  <c r="D192" i="190"/>
  <c r="C192" i="190"/>
  <c r="E191" i="190"/>
  <c r="D191" i="190"/>
  <c r="C191" i="190"/>
  <c r="E190" i="190"/>
  <c r="D190" i="190"/>
  <c r="C190" i="190"/>
  <c r="E189" i="190"/>
  <c r="D189" i="190"/>
  <c r="C189" i="190"/>
  <c r="E188" i="190"/>
  <c r="D188" i="190"/>
  <c r="C188" i="190"/>
  <c r="E187" i="190"/>
  <c r="D187" i="190"/>
  <c r="C187" i="190"/>
  <c r="E186" i="190"/>
  <c r="D186" i="190"/>
  <c r="C186" i="190"/>
  <c r="E185" i="190"/>
  <c r="D185" i="190"/>
  <c r="C185" i="190"/>
  <c r="E184" i="190"/>
  <c r="D184" i="190"/>
  <c r="C184" i="190"/>
  <c r="E183" i="190"/>
  <c r="D183" i="190"/>
  <c r="C183" i="190"/>
  <c r="E182" i="190"/>
  <c r="D182" i="190"/>
  <c r="C182" i="190"/>
  <c r="E181" i="190"/>
  <c r="D181" i="190"/>
  <c r="C181" i="190"/>
  <c r="E180" i="190"/>
  <c r="D180" i="190"/>
  <c r="C180" i="190"/>
  <c r="E179" i="190"/>
  <c r="D179" i="190"/>
  <c r="C179" i="190"/>
  <c r="E178" i="190"/>
  <c r="D178" i="190"/>
  <c r="C178" i="190"/>
  <c r="E177" i="190"/>
  <c r="D177" i="190"/>
  <c r="C177" i="190"/>
  <c r="E176" i="190"/>
  <c r="D176" i="190"/>
  <c r="C176" i="190"/>
  <c r="E175" i="190"/>
  <c r="D175" i="190"/>
  <c r="C175" i="190"/>
  <c r="E174" i="190"/>
  <c r="D174" i="190"/>
  <c r="C174" i="190"/>
  <c r="E173" i="190"/>
  <c r="D173" i="190"/>
  <c r="C173" i="190"/>
  <c r="E172" i="190"/>
  <c r="D172" i="190"/>
  <c r="C172" i="190"/>
  <c r="E171" i="190"/>
  <c r="D171" i="190"/>
  <c r="C171" i="190"/>
  <c r="E170" i="190"/>
  <c r="D170" i="190"/>
  <c r="C170" i="190"/>
  <c r="E169" i="190"/>
  <c r="D169" i="190"/>
  <c r="C169" i="190"/>
  <c r="E165" i="190"/>
  <c r="D165" i="190"/>
  <c r="C165" i="190"/>
  <c r="E164" i="190"/>
  <c r="D164" i="190"/>
  <c r="C164" i="190"/>
  <c r="E163" i="190"/>
  <c r="D163" i="190"/>
  <c r="C163" i="190"/>
  <c r="E162" i="190"/>
  <c r="D162" i="190"/>
  <c r="C162" i="190"/>
  <c r="E161" i="190"/>
  <c r="D161" i="190"/>
  <c r="C161" i="190"/>
  <c r="E160" i="190"/>
  <c r="D160" i="190"/>
  <c r="C160" i="190"/>
  <c r="E158" i="190"/>
  <c r="D158" i="190"/>
  <c r="C158" i="190"/>
  <c r="E157" i="190"/>
  <c r="D157" i="190"/>
  <c r="C157" i="190"/>
  <c r="E156" i="190"/>
  <c r="D156" i="190"/>
  <c r="C156" i="190"/>
  <c r="E155" i="190"/>
  <c r="D155" i="190"/>
  <c r="C155" i="190"/>
  <c r="E154" i="190"/>
  <c r="D154" i="190"/>
  <c r="C154" i="190"/>
  <c r="E153" i="190"/>
  <c r="D153" i="190"/>
  <c r="C153" i="190"/>
  <c r="E152" i="190"/>
  <c r="D152" i="190"/>
  <c r="C152" i="190"/>
  <c r="E151" i="190"/>
  <c r="D151" i="190"/>
  <c r="C151" i="190"/>
  <c r="E150" i="190"/>
  <c r="D150" i="190"/>
  <c r="C150" i="190"/>
  <c r="E148" i="190"/>
  <c r="D148" i="190"/>
  <c r="C148" i="190"/>
  <c r="E147" i="190"/>
  <c r="D147" i="190"/>
  <c r="C147" i="190"/>
  <c r="E146" i="190"/>
  <c r="D146" i="190"/>
  <c r="C146" i="190"/>
  <c r="E145" i="190"/>
  <c r="D145" i="190"/>
  <c r="C145" i="190"/>
  <c r="E143" i="190"/>
  <c r="D143" i="190"/>
  <c r="C143" i="190"/>
  <c r="E142" i="190"/>
  <c r="D142" i="190"/>
  <c r="C142" i="190"/>
  <c r="E141" i="190"/>
  <c r="D141" i="190"/>
  <c r="C141" i="190"/>
  <c r="E140" i="190"/>
  <c r="D140" i="190"/>
  <c r="C140" i="190"/>
  <c r="E138" i="190"/>
  <c r="D138" i="190"/>
  <c r="C138" i="190"/>
  <c r="E137" i="190"/>
  <c r="D137" i="190"/>
  <c r="C137" i="190"/>
  <c r="E136" i="190"/>
  <c r="D136" i="190"/>
  <c r="C136" i="190"/>
  <c r="E135" i="190"/>
  <c r="D135" i="190"/>
  <c r="C135" i="190"/>
  <c r="E134" i="190"/>
  <c r="D134" i="190"/>
  <c r="C134" i="190"/>
  <c r="E132" i="190"/>
  <c r="D132" i="190"/>
  <c r="C132" i="190"/>
  <c r="E131" i="190"/>
  <c r="D131" i="190"/>
  <c r="C131" i="190"/>
  <c r="E130" i="190"/>
  <c r="D130" i="190"/>
  <c r="C130" i="190"/>
  <c r="E129" i="190"/>
  <c r="D129" i="190"/>
  <c r="C129" i="190"/>
  <c r="E128" i="190"/>
  <c r="D128" i="190"/>
  <c r="C128" i="190"/>
  <c r="E123" i="190"/>
  <c r="D123" i="190"/>
  <c r="C123" i="190"/>
  <c r="E122" i="190"/>
  <c r="D122" i="190"/>
  <c r="C122" i="190"/>
  <c r="E121" i="190"/>
  <c r="D121" i="190"/>
  <c r="C121" i="190"/>
  <c r="E120" i="190"/>
  <c r="D120" i="190"/>
  <c r="C120" i="190"/>
  <c r="E119" i="190"/>
  <c r="D119" i="190"/>
  <c r="C119" i="190"/>
  <c r="E115" i="190"/>
  <c r="D115" i="190"/>
  <c r="C115" i="190"/>
  <c r="E114" i="190"/>
  <c r="D114" i="190"/>
  <c r="C114" i="190"/>
  <c r="E113" i="190"/>
  <c r="D113" i="190"/>
  <c r="C113" i="190"/>
  <c r="E112" i="190"/>
  <c r="D112" i="190"/>
  <c r="C112" i="190"/>
  <c r="E111" i="190"/>
  <c r="D111" i="190"/>
  <c r="C111" i="190"/>
  <c r="E110" i="190"/>
  <c r="D110" i="190"/>
  <c r="C110" i="190"/>
  <c r="E106" i="190"/>
  <c r="D106" i="190"/>
  <c r="C106" i="190"/>
  <c r="E105" i="190"/>
  <c r="D105" i="190"/>
  <c r="C105" i="190"/>
  <c r="E104" i="190"/>
  <c r="D104" i="190"/>
  <c r="C104" i="190"/>
  <c r="E103" i="190"/>
  <c r="D103" i="190"/>
  <c r="C103" i="190"/>
  <c r="E102" i="190"/>
  <c r="D102" i="190"/>
  <c r="C102" i="190"/>
  <c r="E101" i="190"/>
  <c r="D101" i="190"/>
  <c r="C101" i="190"/>
  <c r="E97" i="190"/>
  <c r="D97" i="190"/>
  <c r="C97" i="190"/>
  <c r="E96" i="190"/>
  <c r="D96" i="190"/>
  <c r="C96" i="190"/>
  <c r="E95" i="190"/>
  <c r="D95" i="190"/>
  <c r="C95" i="190"/>
  <c r="E94" i="190"/>
  <c r="D94" i="190"/>
  <c r="C94" i="190"/>
  <c r="E93" i="190"/>
  <c r="D93" i="190"/>
  <c r="C93" i="190"/>
  <c r="E92" i="190"/>
  <c r="D92" i="190"/>
  <c r="C92" i="190"/>
  <c r="E91" i="190"/>
  <c r="D91" i="190"/>
  <c r="C91" i="190"/>
  <c r="E90" i="190"/>
  <c r="D90" i="190"/>
  <c r="C90" i="190"/>
  <c r="E89" i="190"/>
  <c r="D89" i="190"/>
  <c r="C89" i="190"/>
  <c r="E88" i="190"/>
  <c r="D88" i="190"/>
  <c r="C88" i="190"/>
  <c r="E87" i="190"/>
  <c r="D87" i="190"/>
  <c r="C87" i="190"/>
  <c r="E83" i="190"/>
  <c r="D83" i="190"/>
  <c r="C83" i="190"/>
  <c r="E82" i="190"/>
  <c r="D82" i="190"/>
  <c r="C82" i="190"/>
  <c r="E81" i="190"/>
  <c r="D81" i="190"/>
  <c r="C81" i="190"/>
  <c r="E80" i="190"/>
  <c r="D80" i="190"/>
  <c r="C80" i="190"/>
  <c r="E79" i="190"/>
  <c r="D79" i="190"/>
  <c r="C79" i="190"/>
  <c r="E78" i="190"/>
  <c r="D78" i="190"/>
  <c r="C78" i="190"/>
  <c r="E77" i="190"/>
  <c r="D77" i="190"/>
  <c r="C77" i="190"/>
  <c r="E76" i="190"/>
  <c r="D76" i="190"/>
  <c r="C76" i="190"/>
  <c r="E75" i="190"/>
  <c r="D75" i="190"/>
  <c r="C75" i="190"/>
  <c r="E74" i="190"/>
  <c r="D74" i="190"/>
  <c r="C74" i="190"/>
  <c r="E73" i="190"/>
  <c r="D73" i="190"/>
  <c r="C73" i="190"/>
  <c r="E72" i="190"/>
  <c r="D72" i="190"/>
  <c r="C72" i="190"/>
  <c r="E71" i="190"/>
  <c r="D71" i="190"/>
  <c r="C71" i="190"/>
  <c r="E70" i="190"/>
  <c r="D70" i="190"/>
  <c r="C70" i="190"/>
  <c r="E69" i="190"/>
  <c r="D69" i="190"/>
  <c r="C69" i="190"/>
  <c r="E65" i="190"/>
  <c r="D65" i="190"/>
  <c r="C65" i="190"/>
  <c r="E64" i="190"/>
  <c r="D64" i="190"/>
  <c r="C64" i="190"/>
  <c r="E63" i="190"/>
  <c r="D63" i="190"/>
  <c r="C63" i="190"/>
  <c r="E62" i="190"/>
  <c r="D62" i="190"/>
  <c r="C62" i="190"/>
  <c r="E61" i="190"/>
  <c r="D61" i="190"/>
  <c r="C61" i="190"/>
  <c r="E60" i="190"/>
  <c r="D60" i="190"/>
  <c r="C60" i="190"/>
  <c r="E59" i="190"/>
  <c r="D59" i="190"/>
  <c r="C59" i="190"/>
  <c r="E58" i="190"/>
  <c r="D58" i="190"/>
  <c r="C58" i="190"/>
  <c r="E57" i="190"/>
  <c r="D57" i="190"/>
  <c r="C57" i="190"/>
  <c r="E56" i="190"/>
  <c r="D56" i="190"/>
  <c r="C56" i="190"/>
  <c r="E55" i="190"/>
  <c r="D55" i="190"/>
  <c r="C55" i="190"/>
  <c r="E54" i="190"/>
  <c r="D54" i="190"/>
  <c r="C54" i="190"/>
  <c r="E53" i="190"/>
  <c r="D53" i="190"/>
  <c r="C53" i="190"/>
  <c r="E52" i="190"/>
  <c r="D52" i="190"/>
  <c r="C52" i="190"/>
  <c r="E51" i="190"/>
  <c r="D51" i="190"/>
  <c r="C51" i="190"/>
  <c r="E50" i="190"/>
  <c r="D50" i="190"/>
  <c r="C50" i="190"/>
  <c r="E49" i="190"/>
  <c r="D49" i="190"/>
  <c r="C49" i="190"/>
  <c r="E48" i="190"/>
  <c r="D48" i="190"/>
  <c r="C48" i="190"/>
  <c r="E47" i="190"/>
  <c r="D47" i="190"/>
  <c r="C47" i="190"/>
  <c r="E46" i="190"/>
  <c r="D46" i="190"/>
  <c r="C46" i="190"/>
  <c r="E45" i="190"/>
  <c r="D45" i="190"/>
  <c r="C45" i="190"/>
  <c r="E44" i="190"/>
  <c r="D44" i="190"/>
  <c r="C44" i="190"/>
  <c r="E43" i="190"/>
  <c r="D43" i="190"/>
  <c r="C43" i="190"/>
  <c r="E42" i="190"/>
  <c r="D42" i="190"/>
  <c r="C42" i="190"/>
  <c r="E41" i="190"/>
  <c r="D41" i="190"/>
  <c r="C41" i="190"/>
  <c r="E40" i="190"/>
  <c r="D40" i="190"/>
  <c r="C40" i="190"/>
  <c r="E39" i="190"/>
  <c r="D39" i="190"/>
  <c r="C39" i="190"/>
  <c r="E38" i="190"/>
  <c r="D38" i="190"/>
  <c r="C38" i="190"/>
  <c r="E37" i="190"/>
  <c r="D37" i="190"/>
  <c r="C37" i="190"/>
  <c r="E36" i="190"/>
  <c r="D36" i="190"/>
  <c r="C36" i="190"/>
  <c r="E35" i="190"/>
  <c r="D35" i="190"/>
  <c r="C35" i="190"/>
  <c r="E34" i="190"/>
  <c r="D34" i="190"/>
  <c r="C34" i="190"/>
  <c r="E33" i="190"/>
  <c r="D33" i="190"/>
  <c r="C33" i="190"/>
  <c r="E32" i="190"/>
  <c r="D32" i="190"/>
  <c r="C32" i="190"/>
  <c r="E31" i="190"/>
  <c r="D31" i="190"/>
  <c r="C31" i="190"/>
  <c r="E30" i="190"/>
  <c r="D30" i="190"/>
  <c r="C30" i="190"/>
  <c r="D25" i="190"/>
  <c r="C25" i="190"/>
  <c r="D24" i="190"/>
  <c r="C24" i="190"/>
  <c r="D23" i="190"/>
  <c r="C23" i="190"/>
  <c r="D22" i="190"/>
  <c r="C22" i="190"/>
  <c r="D21" i="190"/>
  <c r="C21" i="190"/>
  <c r="D20" i="190"/>
  <c r="C20" i="190"/>
  <c r="D19" i="190"/>
  <c r="C19" i="190"/>
  <c r="D18" i="190"/>
  <c r="C18" i="190"/>
  <c r="D17" i="190"/>
  <c r="C17" i="190"/>
  <c r="D16" i="190"/>
  <c r="C16" i="190"/>
  <c r="D15" i="190"/>
  <c r="C15" i="190"/>
  <c r="D14" i="190"/>
  <c r="C14" i="190"/>
  <c r="D13" i="190"/>
  <c r="C13" i="190"/>
  <c r="D12" i="190"/>
  <c r="C12" i="190"/>
  <c r="C4" i="190"/>
  <c r="C3" i="190"/>
  <c r="M23" i="191" l="1"/>
  <c r="F220" i="192"/>
  <c r="M22" i="191"/>
  <c r="H213" i="191"/>
  <c r="D26" i="190"/>
  <c r="I23" i="191"/>
  <c r="C238" i="190"/>
  <c r="F12" i="190"/>
  <c r="I12" i="190" s="1"/>
  <c r="D124" i="190"/>
  <c r="C233" i="190"/>
  <c r="I17" i="191"/>
  <c r="I24" i="191"/>
  <c r="I54" i="191"/>
  <c r="I79" i="191"/>
  <c r="I95" i="191"/>
  <c r="I138" i="191"/>
  <c r="I142" i="191"/>
  <c r="I147" i="191"/>
  <c r="I186" i="191"/>
  <c r="I194" i="191"/>
  <c r="I198" i="191"/>
  <c r="I209" i="191"/>
  <c r="I231" i="191"/>
  <c r="E98" i="190"/>
  <c r="D107" i="190"/>
  <c r="D116" i="190"/>
  <c r="C202" i="190"/>
  <c r="C211" i="190"/>
  <c r="E211" i="190"/>
  <c r="I21" i="191"/>
  <c r="I34" i="191"/>
  <c r="I35" i="191"/>
  <c r="I40" i="191"/>
  <c r="I51" i="191"/>
  <c r="I57" i="191"/>
  <c r="I61" i="191"/>
  <c r="I92" i="191"/>
  <c r="I123" i="191"/>
  <c r="I143" i="191"/>
  <c r="I150" i="191"/>
  <c r="I151" i="191"/>
  <c r="I152" i="191"/>
  <c r="I161" i="191"/>
  <c r="I165" i="191"/>
  <c r="I184" i="191"/>
  <c r="I185" i="191"/>
  <c r="I192" i="191"/>
  <c r="I193" i="191"/>
  <c r="I196" i="191"/>
  <c r="I197" i="191"/>
  <c r="I228" i="191"/>
  <c r="I232" i="191"/>
  <c r="I237" i="191"/>
  <c r="C107" i="190"/>
  <c r="E107" i="190"/>
  <c r="I31" i="191"/>
  <c r="I37" i="191"/>
  <c r="I50" i="191"/>
  <c r="I58" i="191"/>
  <c r="I87" i="191"/>
  <c r="I146" i="191"/>
  <c r="I158" i="191"/>
  <c r="I164" i="191"/>
  <c r="C26" i="190"/>
  <c r="C84" i="190"/>
  <c r="C116" i="190"/>
  <c r="E116" i="190"/>
  <c r="E124" i="190"/>
  <c r="D202" i="190"/>
  <c r="D211" i="190"/>
  <c r="I238" i="191"/>
  <c r="I19" i="191"/>
  <c r="I20" i="191"/>
  <c r="I52" i="191"/>
  <c r="I56" i="191"/>
  <c r="I60" i="191"/>
  <c r="I64" i="191"/>
  <c r="I65" i="191"/>
  <c r="I90" i="191"/>
  <c r="I91" i="191"/>
  <c r="I93" i="191"/>
  <c r="I96" i="191"/>
  <c r="I128" i="191"/>
  <c r="I129" i="191"/>
  <c r="I132" i="191"/>
  <c r="I134" i="191"/>
  <c r="I153" i="191"/>
  <c r="I162" i="191"/>
  <c r="I182" i="191"/>
  <c r="I190" i="191"/>
  <c r="I225" i="191"/>
  <c r="I229" i="191"/>
  <c r="E84" i="190"/>
  <c r="D98" i="190"/>
  <c r="E166" i="190"/>
  <c r="E202" i="190"/>
  <c r="I22" i="191"/>
  <c r="I36" i="191"/>
  <c r="I62" i="191"/>
  <c r="I78" i="191"/>
  <c r="I97" i="191"/>
  <c r="I145" i="191"/>
  <c r="I148" i="191"/>
  <c r="I160" i="191"/>
  <c r="I227" i="191"/>
  <c r="D84" i="190"/>
  <c r="C98" i="190"/>
  <c r="C124" i="190"/>
  <c r="C166" i="190"/>
  <c r="D166" i="190"/>
  <c r="I13" i="191"/>
  <c r="I14" i="191"/>
  <c r="I15" i="191"/>
  <c r="I18" i="191"/>
  <c r="I25" i="191"/>
  <c r="I32" i="191"/>
  <c r="I38" i="191"/>
  <c r="I49" i="191"/>
  <c r="I53" i="191"/>
  <c r="I55" i="191"/>
  <c r="I59" i="191"/>
  <c r="I63" i="191"/>
  <c r="I88" i="191"/>
  <c r="I89" i="191"/>
  <c r="I94" i="191"/>
  <c r="I130" i="191"/>
  <c r="I135" i="191"/>
  <c r="I136" i="191"/>
  <c r="I137" i="191"/>
  <c r="I140" i="191"/>
  <c r="I141" i="191"/>
  <c r="I154" i="191"/>
  <c r="I155" i="191"/>
  <c r="I156" i="191"/>
  <c r="I157" i="191"/>
  <c r="I163" i="191"/>
  <c r="I180" i="191"/>
  <c r="I181" i="191"/>
  <c r="I188" i="191"/>
  <c r="I189" i="191"/>
  <c r="I226" i="191"/>
  <c r="I230" i="191"/>
  <c r="I243" i="192"/>
  <c r="I213" i="192"/>
  <c r="O26" i="192"/>
  <c r="J25" i="192"/>
  <c r="J23" i="192"/>
  <c r="J22" i="192"/>
  <c r="J21" i="192"/>
  <c r="J20" i="192"/>
  <c r="J24" i="192"/>
  <c r="J12" i="192"/>
  <c r="J26" i="192"/>
  <c r="M16" i="192"/>
  <c r="J15" i="192"/>
  <c r="J16" i="192"/>
  <c r="J19" i="192"/>
  <c r="J13" i="192"/>
  <c r="J14" i="192"/>
  <c r="J18" i="192"/>
  <c r="J17" i="192"/>
  <c r="F30" i="191"/>
  <c r="F42" i="191"/>
  <c r="F44" i="191"/>
  <c r="F46" i="191"/>
  <c r="F48" i="191"/>
  <c r="F69" i="191"/>
  <c r="F77" i="191"/>
  <c r="F33" i="191"/>
  <c r="F41" i="191"/>
  <c r="F70" i="191"/>
  <c r="F71" i="191"/>
  <c r="F72" i="191"/>
  <c r="F76" i="191"/>
  <c r="F45" i="191"/>
  <c r="F47" i="191"/>
  <c r="F73" i="191"/>
  <c r="F75" i="191"/>
  <c r="F131" i="191"/>
  <c r="F16" i="191"/>
  <c r="F39" i="191"/>
  <c r="F43" i="191"/>
  <c r="F74" i="191"/>
  <c r="F98" i="191"/>
  <c r="F113" i="191"/>
  <c r="F115" i="191"/>
  <c r="F183" i="191"/>
  <c r="F102" i="191"/>
  <c r="F103" i="191"/>
  <c r="F104" i="191"/>
  <c r="F105" i="191"/>
  <c r="F106" i="191"/>
  <c r="F122" i="191"/>
  <c r="G213" i="191"/>
  <c r="F80" i="191"/>
  <c r="F81" i="191"/>
  <c r="F82" i="191"/>
  <c r="F83" i="191"/>
  <c r="F111" i="191"/>
  <c r="F112" i="191"/>
  <c r="F114" i="191"/>
  <c r="F119" i="191"/>
  <c r="F120" i="191"/>
  <c r="F121" i="191"/>
  <c r="F101" i="191"/>
  <c r="F179" i="191"/>
  <c r="F195" i="191"/>
  <c r="F110" i="191"/>
  <c r="F191" i="191"/>
  <c r="F187" i="191"/>
  <c r="F169" i="191"/>
  <c r="F170" i="191"/>
  <c r="F171" i="191"/>
  <c r="F172" i="191"/>
  <c r="F173" i="191"/>
  <c r="F174" i="191"/>
  <c r="F175" i="191"/>
  <c r="F176" i="191"/>
  <c r="F177" i="191"/>
  <c r="F178" i="191"/>
  <c r="F199" i="191"/>
  <c r="F201" i="191"/>
  <c r="I224" i="191"/>
  <c r="F233" i="191"/>
  <c r="F240" i="191"/>
  <c r="I236" i="191"/>
  <c r="F208" i="191"/>
  <c r="F200" i="191"/>
  <c r="F205" i="191"/>
  <c r="F206" i="191"/>
  <c r="F207" i="191"/>
  <c r="F210" i="191"/>
  <c r="C66" i="190"/>
  <c r="D66" i="190"/>
  <c r="E66" i="190"/>
  <c r="H220" i="191" l="1"/>
  <c r="C213" i="190"/>
  <c r="O23" i="191"/>
  <c r="F26" i="191"/>
  <c r="I16" i="191"/>
  <c r="I26" i="191" s="1"/>
  <c r="E213" i="190"/>
  <c r="D213" i="190"/>
  <c r="O18" i="191"/>
  <c r="G220" i="191"/>
  <c r="I206" i="191"/>
  <c r="F242" i="191"/>
  <c r="I176" i="191"/>
  <c r="I106" i="191"/>
  <c r="I175" i="191"/>
  <c r="I81" i="191"/>
  <c r="I98" i="191"/>
  <c r="I43" i="191"/>
  <c r="I72" i="191"/>
  <c r="I70" i="191"/>
  <c r="I48" i="191"/>
  <c r="O21" i="191"/>
  <c r="O24" i="191"/>
  <c r="I199" i="191"/>
  <c r="I172" i="191"/>
  <c r="I82" i="191"/>
  <c r="I102" i="191"/>
  <c r="I131" i="191"/>
  <c r="I166" i="191" s="1"/>
  <c r="I46" i="191"/>
  <c r="O19" i="191"/>
  <c r="I179" i="191"/>
  <c r="I121" i="191"/>
  <c r="I112" i="191"/>
  <c r="I105" i="191"/>
  <c r="I115" i="191"/>
  <c r="I210" i="191"/>
  <c r="I178" i="191"/>
  <c r="I174" i="191"/>
  <c r="I170" i="191"/>
  <c r="I187" i="191"/>
  <c r="I191" i="191"/>
  <c r="I195" i="191"/>
  <c r="I111" i="191"/>
  <c r="I80" i="191"/>
  <c r="I104" i="191"/>
  <c r="I113" i="191"/>
  <c r="I74" i="191"/>
  <c r="I73" i="191"/>
  <c r="I45" i="191"/>
  <c r="I76" i="191"/>
  <c r="I77" i="191"/>
  <c r="I44" i="191"/>
  <c r="O20" i="191"/>
  <c r="I183" i="191"/>
  <c r="I47" i="191"/>
  <c r="I42" i="191"/>
  <c r="I201" i="191"/>
  <c r="I171" i="191"/>
  <c r="I207" i="191"/>
  <c r="I200" i="191"/>
  <c r="I208" i="191"/>
  <c r="I177" i="191"/>
  <c r="I173" i="191"/>
  <c r="I120" i="191"/>
  <c r="I114" i="191"/>
  <c r="I83" i="191"/>
  <c r="I122" i="191"/>
  <c r="I103" i="191"/>
  <c r="I39" i="191"/>
  <c r="I75" i="191"/>
  <c r="I71" i="191"/>
  <c r="I41" i="191"/>
  <c r="I33" i="191"/>
  <c r="O22" i="191"/>
  <c r="O17" i="191"/>
  <c r="O213" i="192"/>
  <c r="J211" i="192"/>
  <c r="J201" i="192"/>
  <c r="J200" i="192"/>
  <c r="J199" i="192"/>
  <c r="J198" i="192"/>
  <c r="J210" i="192"/>
  <c r="J209" i="192"/>
  <c r="J208" i="192"/>
  <c r="J207" i="192"/>
  <c r="J206" i="192"/>
  <c r="J205" i="192"/>
  <c r="J202" i="192"/>
  <c r="J197" i="192"/>
  <c r="J193" i="192"/>
  <c r="J189" i="192"/>
  <c r="J196" i="192"/>
  <c r="J192" i="192"/>
  <c r="J188" i="192"/>
  <c r="J213" i="192"/>
  <c r="J195" i="192"/>
  <c r="J191" i="192"/>
  <c r="J187" i="192"/>
  <c r="J186" i="192"/>
  <c r="J185" i="192"/>
  <c r="J184" i="192"/>
  <c r="J183" i="192"/>
  <c r="J182" i="192"/>
  <c r="J181" i="192"/>
  <c r="J180" i="192"/>
  <c r="J179" i="192"/>
  <c r="J178" i="192"/>
  <c r="J177" i="192"/>
  <c r="J176" i="192"/>
  <c r="J175" i="192"/>
  <c r="J174" i="192"/>
  <c r="J173" i="192"/>
  <c r="J172" i="192"/>
  <c r="J171" i="192"/>
  <c r="J170" i="192"/>
  <c r="J169" i="192"/>
  <c r="J124" i="192"/>
  <c r="J106" i="192"/>
  <c r="J105" i="192"/>
  <c r="J104" i="192"/>
  <c r="J103" i="192"/>
  <c r="J102" i="192"/>
  <c r="J101" i="192"/>
  <c r="J190" i="192"/>
  <c r="J164" i="192"/>
  <c r="J160" i="192"/>
  <c r="J156" i="192"/>
  <c r="J152" i="192"/>
  <c r="J147" i="192"/>
  <c r="J142" i="192"/>
  <c r="J137" i="192"/>
  <c r="J132" i="192"/>
  <c r="J128" i="192"/>
  <c r="J123" i="192"/>
  <c r="J120" i="192"/>
  <c r="J116" i="192"/>
  <c r="J115" i="192"/>
  <c r="J113" i="192"/>
  <c r="J194" i="192"/>
  <c r="J165" i="192"/>
  <c r="J161" i="192"/>
  <c r="J157" i="192"/>
  <c r="J153" i="192"/>
  <c r="J148" i="192"/>
  <c r="J143" i="192"/>
  <c r="J138" i="192"/>
  <c r="J134" i="192"/>
  <c r="J129" i="192"/>
  <c r="J162" i="192"/>
  <c r="J158" i="192"/>
  <c r="J154" i="192"/>
  <c r="J150" i="192"/>
  <c r="J145" i="192"/>
  <c r="J140" i="192"/>
  <c r="J135" i="192"/>
  <c r="J130" i="192"/>
  <c r="J121" i="192"/>
  <c r="J119" i="192"/>
  <c r="J114" i="192"/>
  <c r="J112" i="192"/>
  <c r="J98" i="192"/>
  <c r="J94" i="192"/>
  <c r="J91" i="192"/>
  <c r="J65" i="192"/>
  <c r="J64" i="192"/>
  <c r="J63" i="192"/>
  <c r="J62" i="192"/>
  <c r="J61" i="192"/>
  <c r="J60" i="192"/>
  <c r="J59" i="192"/>
  <c r="J58" i="192"/>
  <c r="J57" i="192"/>
  <c r="J155" i="192"/>
  <c r="J141" i="192"/>
  <c r="J122" i="192"/>
  <c r="J89" i="192"/>
  <c r="J88" i="192"/>
  <c r="J77" i="192"/>
  <c r="J66" i="192"/>
  <c r="J136" i="192"/>
  <c r="J96" i="192"/>
  <c r="J95" i="192"/>
  <c r="J82" i="192"/>
  <c r="J80" i="192"/>
  <c r="J75" i="192"/>
  <c r="J73" i="192"/>
  <c r="J70" i="192"/>
  <c r="J166" i="192"/>
  <c r="J163" i="192"/>
  <c r="J131" i="192"/>
  <c r="J111" i="192"/>
  <c r="J93" i="192"/>
  <c r="J92" i="192"/>
  <c r="J84" i="192"/>
  <c r="J83" i="192"/>
  <c r="J78" i="192"/>
  <c r="J76" i="192"/>
  <c r="J71" i="192"/>
  <c r="J151" i="192"/>
  <c r="J146" i="192"/>
  <c r="J90" i="192"/>
  <c r="J87" i="192"/>
  <c r="J69" i="192"/>
  <c r="J55" i="192"/>
  <c r="J39" i="192"/>
  <c r="J35" i="192"/>
  <c r="J31" i="192"/>
  <c r="J97" i="192"/>
  <c r="J79" i="192"/>
  <c r="J74" i="192"/>
  <c r="J56" i="192"/>
  <c r="J51" i="192"/>
  <c r="J49" i="192"/>
  <c r="J47" i="192"/>
  <c r="J45" i="192"/>
  <c r="J42" i="192"/>
  <c r="J40" i="192"/>
  <c r="J36" i="192"/>
  <c r="J32" i="192"/>
  <c r="J110" i="192"/>
  <c r="J81" i="192"/>
  <c r="J37" i="192"/>
  <c r="J33" i="192"/>
  <c r="J50" i="192"/>
  <c r="J43" i="192"/>
  <c r="J41" i="192"/>
  <c r="J107" i="192"/>
  <c r="J72" i="192"/>
  <c r="J54" i="192"/>
  <c r="J53" i="192"/>
  <c r="J52" i="192"/>
  <c r="J48" i="192"/>
  <c r="J46" i="192"/>
  <c r="J44" i="192"/>
  <c r="J38" i="192"/>
  <c r="J34" i="192"/>
  <c r="J30" i="192"/>
  <c r="M17" i="192"/>
  <c r="I220" i="192"/>
  <c r="F202" i="191"/>
  <c r="I169" i="191"/>
  <c r="F166" i="191"/>
  <c r="I30" i="191"/>
  <c r="F66" i="191"/>
  <c r="F241" i="191"/>
  <c r="I240" i="191"/>
  <c r="M19" i="191"/>
  <c r="I233" i="191"/>
  <c r="F124" i="191"/>
  <c r="I119" i="191"/>
  <c r="I110" i="191"/>
  <c r="F116" i="191"/>
  <c r="I101" i="191"/>
  <c r="F107" i="191"/>
  <c r="F84" i="191"/>
  <c r="I69" i="191"/>
  <c r="I205" i="191"/>
  <c r="F211" i="191"/>
  <c r="C217" i="190"/>
  <c r="C220" i="190"/>
  <c r="E220" i="190" l="1"/>
  <c r="D220" i="190"/>
  <c r="O114" i="191"/>
  <c r="O45" i="191"/>
  <c r="O183" i="191"/>
  <c r="O191" i="191"/>
  <c r="O187" i="191"/>
  <c r="O176" i="191"/>
  <c r="O76" i="191"/>
  <c r="M20" i="191"/>
  <c r="O48" i="191"/>
  <c r="O81" i="191"/>
  <c r="O112" i="191"/>
  <c r="F243" i="191"/>
  <c r="O98" i="191"/>
  <c r="O206" i="191"/>
  <c r="O39" i="191"/>
  <c r="F213" i="191"/>
  <c r="O43" i="191"/>
  <c r="O104" i="191"/>
  <c r="O179" i="191"/>
  <c r="O42" i="191"/>
  <c r="O71" i="191"/>
  <c r="O75" i="191"/>
  <c r="O105" i="191"/>
  <c r="O102" i="191"/>
  <c r="O170" i="191"/>
  <c r="O74" i="191"/>
  <c r="O122" i="191"/>
  <c r="O77" i="191"/>
  <c r="O120" i="191"/>
  <c r="O199" i="191"/>
  <c r="O73" i="191"/>
  <c r="O111" i="191"/>
  <c r="O115" i="191"/>
  <c r="O80" i="191"/>
  <c r="O172" i="191"/>
  <c r="O46" i="191"/>
  <c r="O131" i="191"/>
  <c r="O166" i="191"/>
  <c r="O82" i="191"/>
  <c r="O121" i="191"/>
  <c r="O178" i="191"/>
  <c r="O201" i="191"/>
  <c r="O47" i="191"/>
  <c r="I107" i="191"/>
  <c r="O107" i="191" s="1"/>
  <c r="O101" i="191"/>
  <c r="O16" i="191"/>
  <c r="I241" i="191"/>
  <c r="J232" i="191"/>
  <c r="J230" i="191"/>
  <c r="J228" i="191"/>
  <c r="J226" i="191"/>
  <c r="J224" i="191"/>
  <c r="J233" i="191"/>
  <c r="J227" i="191"/>
  <c r="J229" i="191"/>
  <c r="J231" i="191"/>
  <c r="O145" i="191"/>
  <c r="O142" i="191"/>
  <c r="O147" i="191"/>
  <c r="O132" i="191"/>
  <c r="O135" i="191"/>
  <c r="M18" i="191"/>
  <c r="O140" i="191"/>
  <c r="O137" i="191"/>
  <c r="O88" i="191"/>
  <c r="J225" i="191"/>
  <c r="O92" i="191"/>
  <c r="O38" i="191"/>
  <c r="O62" i="191"/>
  <c r="O65" i="191"/>
  <c r="O134" i="191"/>
  <c r="O40" i="191"/>
  <c r="O61" i="191"/>
  <c r="O130" i="191"/>
  <c r="O49" i="191"/>
  <c r="O148" i="191"/>
  <c r="O143" i="191"/>
  <c r="O87" i="191"/>
  <c r="O138" i="191"/>
  <c r="O152" i="191"/>
  <c r="O193" i="191"/>
  <c r="O209" i="191"/>
  <c r="O157" i="191"/>
  <c r="O180" i="191"/>
  <c r="O162" i="191"/>
  <c r="O185" i="191"/>
  <c r="O192" i="191"/>
  <c r="O93" i="191"/>
  <c r="O51" i="191"/>
  <c r="O37" i="191"/>
  <c r="O64" i="191"/>
  <c r="O94" i="191"/>
  <c r="O50" i="191"/>
  <c r="O55" i="191"/>
  <c r="O63" i="191"/>
  <c r="O52" i="191"/>
  <c r="O31" i="191"/>
  <c r="O89" i="191"/>
  <c r="O97" i="191"/>
  <c r="O146" i="191"/>
  <c r="O96" i="191"/>
  <c r="O155" i="191"/>
  <c r="O198" i="191"/>
  <c r="O156" i="191"/>
  <c r="O161" i="191"/>
  <c r="O186" i="191"/>
  <c r="O54" i="191"/>
  <c r="O95" i="191"/>
  <c r="O163" i="191"/>
  <c r="O53" i="191"/>
  <c r="O32" i="191"/>
  <c r="O57" i="191"/>
  <c r="O56" i="191"/>
  <c r="O91" i="191"/>
  <c r="O151" i="191"/>
  <c r="O188" i="191"/>
  <c r="O128" i="191"/>
  <c r="O181" i="191"/>
  <c r="O129" i="191"/>
  <c r="O160" i="191"/>
  <c r="O184" i="191"/>
  <c r="O165" i="191"/>
  <c r="O189" i="191"/>
  <c r="O196" i="191"/>
  <c r="O154" i="191"/>
  <c r="O150" i="191"/>
  <c r="O58" i="191"/>
  <c r="O194" i="191"/>
  <c r="O60" i="191"/>
  <c r="O90" i="191"/>
  <c r="O36" i="191"/>
  <c r="O59" i="191"/>
  <c r="O79" i="191"/>
  <c r="O123" i="191"/>
  <c r="O34" i="191"/>
  <c r="O78" i="191"/>
  <c r="O35" i="191"/>
  <c r="O141" i="191"/>
  <c r="O136" i="191"/>
  <c r="O164" i="191"/>
  <c r="O190" i="191"/>
  <c r="O153" i="191"/>
  <c r="O197" i="191"/>
  <c r="O158" i="191"/>
  <c r="O182" i="191"/>
  <c r="O200" i="191"/>
  <c r="O70" i="191"/>
  <c r="O175" i="191"/>
  <c r="I116" i="191"/>
  <c r="O116" i="191" s="1"/>
  <c r="O110" i="191"/>
  <c r="O174" i="191"/>
  <c r="O207" i="191"/>
  <c r="O177" i="191"/>
  <c r="O44" i="191"/>
  <c r="O72" i="191"/>
  <c r="O103" i="191"/>
  <c r="O173" i="191"/>
  <c r="I211" i="191"/>
  <c r="O211" i="191" s="1"/>
  <c r="O205" i="191"/>
  <c r="I124" i="191"/>
  <c r="O124" i="191" s="1"/>
  <c r="O119" i="191"/>
  <c r="I84" i="191"/>
  <c r="O84" i="191" s="1"/>
  <c r="O69" i="191"/>
  <c r="O33" i="191"/>
  <c r="O106" i="191"/>
  <c r="O195" i="191"/>
  <c r="I242" i="191"/>
  <c r="O208" i="191"/>
  <c r="O210" i="191"/>
  <c r="I66" i="191"/>
  <c r="O66" i="191" s="1"/>
  <c r="O30" i="191"/>
  <c r="O41" i="191"/>
  <c r="O113" i="191"/>
  <c r="O83" i="191"/>
  <c r="O171" i="191"/>
  <c r="I202" i="191"/>
  <c r="O202" i="191" s="1"/>
  <c r="O169" i="191"/>
  <c r="F237" i="190"/>
  <c r="F236" i="190"/>
  <c r="H233" i="190"/>
  <c r="G233" i="190"/>
  <c r="F232" i="190"/>
  <c r="F231" i="190"/>
  <c r="F230" i="190"/>
  <c r="F229" i="190"/>
  <c r="F228" i="190"/>
  <c r="F227" i="190"/>
  <c r="F226" i="190"/>
  <c r="F225" i="190"/>
  <c r="F224" i="190"/>
  <c r="M213" i="190"/>
  <c r="L213" i="190"/>
  <c r="H211" i="190"/>
  <c r="G211" i="190"/>
  <c r="F207" i="190"/>
  <c r="F206" i="190"/>
  <c r="F205" i="190"/>
  <c r="H202" i="190"/>
  <c r="G202" i="190"/>
  <c r="F201" i="190"/>
  <c r="F187" i="190"/>
  <c r="F186" i="190"/>
  <c r="F185" i="190"/>
  <c r="F184" i="190"/>
  <c r="F183" i="190"/>
  <c r="F182" i="190"/>
  <c r="F181" i="190"/>
  <c r="F180" i="190"/>
  <c r="F179" i="190"/>
  <c r="F178" i="190"/>
  <c r="F177" i="190"/>
  <c r="F176" i="190"/>
  <c r="F175" i="190"/>
  <c r="F174" i="190"/>
  <c r="F173" i="190"/>
  <c r="F172" i="190"/>
  <c r="F171" i="190"/>
  <c r="F170" i="190"/>
  <c r="F169" i="190"/>
  <c r="H166" i="190"/>
  <c r="G166" i="190"/>
  <c r="F165" i="190"/>
  <c r="F164" i="190"/>
  <c r="F163" i="190"/>
  <c r="F162" i="190"/>
  <c r="F158" i="190"/>
  <c r="F157" i="190"/>
  <c r="F156" i="190"/>
  <c r="F155" i="190"/>
  <c r="F154" i="190"/>
  <c r="F153" i="190"/>
  <c r="F152" i="190"/>
  <c r="F150" i="190"/>
  <c r="F147" i="190"/>
  <c r="F145" i="190"/>
  <c r="F142" i="190"/>
  <c r="F140" i="190"/>
  <c r="F137" i="190"/>
  <c r="F135" i="190"/>
  <c r="F132" i="190"/>
  <c r="F131" i="190"/>
  <c r="F130" i="190"/>
  <c r="F128" i="190"/>
  <c r="H124" i="190"/>
  <c r="G124" i="190"/>
  <c r="F122" i="190"/>
  <c r="H116" i="190"/>
  <c r="G116" i="190"/>
  <c r="H107" i="190"/>
  <c r="G107" i="190"/>
  <c r="F105" i="190"/>
  <c r="F104" i="190"/>
  <c r="F101" i="190"/>
  <c r="H98" i="190"/>
  <c r="G98" i="190"/>
  <c r="F95" i="190"/>
  <c r="F94" i="190"/>
  <c r="F92" i="190"/>
  <c r="F91" i="190"/>
  <c r="H84" i="190"/>
  <c r="G84" i="190"/>
  <c r="F83" i="190"/>
  <c r="F82" i="190"/>
  <c r="F81" i="190"/>
  <c r="F80" i="190"/>
  <c r="F79" i="190"/>
  <c r="F78" i="190"/>
  <c r="F77" i="190"/>
  <c r="F76" i="190"/>
  <c r="F75" i="190"/>
  <c r="F74" i="190"/>
  <c r="F73" i="190"/>
  <c r="F72" i="190"/>
  <c r="F70" i="190"/>
  <c r="F69" i="190"/>
  <c r="H66" i="190"/>
  <c r="G66" i="190"/>
  <c r="F64" i="190"/>
  <c r="F63" i="190"/>
  <c r="F60" i="190"/>
  <c r="F59" i="190"/>
  <c r="F58" i="190"/>
  <c r="F56" i="190"/>
  <c r="F55" i="190"/>
  <c r="F54" i="190"/>
  <c r="F52" i="190"/>
  <c r="F51" i="190"/>
  <c r="F50" i="190"/>
  <c r="F48" i="190"/>
  <c r="F47" i="190"/>
  <c r="F46" i="190"/>
  <c r="F45" i="190"/>
  <c r="F44" i="190"/>
  <c r="F43" i="190"/>
  <c r="F41" i="190"/>
  <c r="F40" i="190"/>
  <c r="F39" i="190"/>
  <c r="F38" i="190"/>
  <c r="F37" i="190"/>
  <c r="F36" i="190"/>
  <c r="F34" i="190"/>
  <c r="F33" i="190"/>
  <c r="F32" i="190"/>
  <c r="F31" i="190"/>
  <c r="F30" i="190"/>
  <c r="F24" i="190"/>
  <c r="M22" i="190"/>
  <c r="F21" i="190"/>
  <c r="F19" i="190"/>
  <c r="F17" i="190"/>
  <c r="F16" i="190"/>
  <c r="F15" i="190"/>
  <c r="F14" i="190"/>
  <c r="F13" i="190"/>
  <c r="F238" i="190"/>
  <c r="G213" i="190" l="1"/>
  <c r="H213" i="190"/>
  <c r="M23" i="190"/>
  <c r="F220" i="191"/>
  <c r="I154" i="190"/>
  <c r="I163" i="190"/>
  <c r="I157" i="190"/>
  <c r="G220" i="190"/>
  <c r="I13" i="190"/>
  <c r="I51" i="190"/>
  <c r="I81" i="190"/>
  <c r="I91" i="190"/>
  <c r="I152" i="190"/>
  <c r="I185" i="190"/>
  <c r="I17" i="190"/>
  <c r="I38" i="190"/>
  <c r="I48" i="190"/>
  <c r="I63" i="190"/>
  <c r="I64" i="190"/>
  <c r="I74" i="190"/>
  <c r="I78" i="190"/>
  <c r="I83" i="190"/>
  <c r="I92" i="190"/>
  <c r="I132" i="190"/>
  <c r="I147" i="190"/>
  <c r="I150" i="190"/>
  <c r="I158" i="190"/>
  <c r="I162" i="190"/>
  <c r="I165" i="190"/>
  <c r="I172" i="190"/>
  <c r="I173" i="190"/>
  <c r="I174" i="190"/>
  <c r="I175" i="190"/>
  <c r="I176" i="190"/>
  <c r="I177" i="190"/>
  <c r="I178" i="190"/>
  <c r="I179" i="190"/>
  <c r="I180" i="190"/>
  <c r="I181" i="190"/>
  <c r="I182" i="190"/>
  <c r="I183" i="190"/>
  <c r="I187" i="190"/>
  <c r="I205" i="190"/>
  <c r="I228" i="190"/>
  <c r="I232" i="190"/>
  <c r="I237" i="190"/>
  <c r="I19" i="190"/>
  <c r="I33" i="190"/>
  <c r="I75" i="190"/>
  <c r="I80" i="190"/>
  <c r="I184" i="190"/>
  <c r="I231" i="190"/>
  <c r="I24" i="190"/>
  <c r="I32" i="190"/>
  <c r="I36" i="190"/>
  <c r="I37" i="190"/>
  <c r="I39" i="190"/>
  <c r="I45" i="190"/>
  <c r="I52" i="190"/>
  <c r="I31" i="190"/>
  <c r="I41" i="190"/>
  <c r="I46" i="190"/>
  <c r="I56" i="190"/>
  <c r="I58" i="190"/>
  <c r="I59" i="190"/>
  <c r="I60" i="190"/>
  <c r="I70" i="190"/>
  <c r="I73" i="190"/>
  <c r="I77" i="190"/>
  <c r="I104" i="190"/>
  <c r="I130" i="190"/>
  <c r="I131" i="190"/>
  <c r="I137" i="190"/>
  <c r="I145" i="190"/>
  <c r="I153" i="190"/>
  <c r="I171" i="190"/>
  <c r="I201" i="190"/>
  <c r="I206" i="190"/>
  <c r="I207" i="190"/>
  <c r="I225" i="190"/>
  <c r="I229" i="190"/>
  <c r="I238" i="190"/>
  <c r="I14" i="190"/>
  <c r="I34" i="190"/>
  <c r="I44" i="190"/>
  <c r="I79" i="190"/>
  <c r="I82" i="190"/>
  <c r="I95" i="190"/>
  <c r="I105" i="190"/>
  <c r="I140" i="190"/>
  <c r="I164" i="190"/>
  <c r="I227" i="190"/>
  <c r="I15" i="190"/>
  <c r="I21" i="190"/>
  <c r="I40" i="190"/>
  <c r="I43" i="190"/>
  <c r="I47" i="190"/>
  <c r="I50" i="190"/>
  <c r="I54" i="190"/>
  <c r="I55" i="190"/>
  <c r="I72" i="190"/>
  <c r="I76" i="190"/>
  <c r="I94" i="190"/>
  <c r="I122" i="190"/>
  <c r="I135" i="190"/>
  <c r="I142" i="190"/>
  <c r="I155" i="190"/>
  <c r="I156" i="190"/>
  <c r="I170" i="190"/>
  <c r="I186" i="190"/>
  <c r="I226" i="190"/>
  <c r="I230" i="190"/>
  <c r="I243" i="191"/>
  <c r="I213" i="191"/>
  <c r="J17" i="191"/>
  <c r="M16" i="191"/>
  <c r="J24" i="191"/>
  <c r="O26" i="191"/>
  <c r="J25" i="191"/>
  <c r="J23" i="191"/>
  <c r="J22" i="191"/>
  <c r="J21" i="191"/>
  <c r="J20" i="191"/>
  <c r="J14" i="191"/>
  <c r="J12" i="191"/>
  <c r="J26" i="191"/>
  <c r="J19" i="191"/>
  <c r="J18" i="191"/>
  <c r="J16" i="191"/>
  <c r="J15" i="191"/>
  <c r="J13" i="191"/>
  <c r="F18" i="190"/>
  <c r="F22" i="190"/>
  <c r="F25" i="190"/>
  <c r="F49" i="190"/>
  <c r="F53" i="190"/>
  <c r="I30" i="190"/>
  <c r="F20" i="190"/>
  <c r="F35" i="190"/>
  <c r="F42" i="190"/>
  <c r="F57" i="190"/>
  <c r="F71" i="190"/>
  <c r="F23" i="190"/>
  <c r="F61" i="190"/>
  <c r="F62" i="190"/>
  <c r="F65" i="190"/>
  <c r="I69" i="190"/>
  <c r="F113" i="190"/>
  <c r="F123" i="190"/>
  <c r="F89" i="190"/>
  <c r="F90" i="190"/>
  <c r="F97" i="190"/>
  <c r="F119" i="190"/>
  <c r="I128" i="190"/>
  <c r="F129" i="190"/>
  <c r="F134" i="190"/>
  <c r="F87" i="190"/>
  <c r="F88" i="190"/>
  <c r="F93" i="190"/>
  <c r="F96" i="190"/>
  <c r="I101" i="190"/>
  <c r="F103" i="190"/>
  <c r="F120" i="190"/>
  <c r="F138" i="190"/>
  <c r="F102" i="190"/>
  <c r="F106" i="190"/>
  <c r="F143" i="190"/>
  <c r="F148" i="190"/>
  <c r="F111" i="190"/>
  <c r="F114" i="190"/>
  <c r="F121" i="190"/>
  <c r="F136" i="190"/>
  <c r="F141" i="190"/>
  <c r="F146" i="190"/>
  <c r="F151" i="190"/>
  <c r="F160" i="190"/>
  <c r="F115" i="190"/>
  <c r="F161" i="190"/>
  <c r="F197" i="190"/>
  <c r="F110" i="190"/>
  <c r="F112" i="190"/>
  <c r="I169" i="190"/>
  <c r="F189" i="190"/>
  <c r="F193" i="190"/>
  <c r="F190" i="190"/>
  <c r="F194" i="190"/>
  <c r="F198" i="190"/>
  <c r="F209" i="190"/>
  <c r="F233" i="190"/>
  <c r="I224" i="190"/>
  <c r="F191" i="190"/>
  <c r="F195" i="190"/>
  <c r="F199" i="190"/>
  <c r="F188" i="190"/>
  <c r="F192" i="190"/>
  <c r="F196" i="190"/>
  <c r="F200" i="190"/>
  <c r="F208" i="190"/>
  <c r="F210" i="190"/>
  <c r="F240" i="190"/>
  <c r="I236" i="190"/>
  <c r="I249" i="189"/>
  <c r="I248" i="189"/>
  <c r="I247" i="189"/>
  <c r="C243" i="189"/>
  <c r="C242" i="189"/>
  <c r="C241" i="189"/>
  <c r="C240" i="189"/>
  <c r="C237" i="189"/>
  <c r="C236" i="189"/>
  <c r="E233" i="189"/>
  <c r="D233" i="189"/>
  <c r="C232" i="189"/>
  <c r="C231" i="189"/>
  <c r="C230" i="189"/>
  <c r="C229" i="189"/>
  <c r="C228" i="189"/>
  <c r="C227" i="189"/>
  <c r="C226" i="189"/>
  <c r="C225" i="189"/>
  <c r="C224" i="189"/>
  <c r="C216" i="189"/>
  <c r="E210" i="189"/>
  <c r="D210" i="189"/>
  <c r="C210" i="189"/>
  <c r="E209" i="189"/>
  <c r="D209" i="189"/>
  <c r="C209" i="189"/>
  <c r="E208" i="189"/>
  <c r="D208" i="189"/>
  <c r="C208" i="189"/>
  <c r="E207" i="189"/>
  <c r="D207" i="189"/>
  <c r="C207" i="189"/>
  <c r="E206" i="189"/>
  <c r="D206" i="189"/>
  <c r="C206" i="189"/>
  <c r="E205" i="189"/>
  <c r="D205" i="189"/>
  <c r="C205" i="189"/>
  <c r="E201" i="189"/>
  <c r="D201" i="189"/>
  <c r="C201" i="189"/>
  <c r="E200" i="189"/>
  <c r="D200" i="189"/>
  <c r="C200" i="189"/>
  <c r="E199" i="189"/>
  <c r="D199" i="189"/>
  <c r="C199" i="189"/>
  <c r="E198" i="189"/>
  <c r="D198" i="189"/>
  <c r="C198" i="189"/>
  <c r="E197" i="189"/>
  <c r="D197" i="189"/>
  <c r="C197" i="189"/>
  <c r="E196" i="189"/>
  <c r="D196" i="189"/>
  <c r="C196" i="189"/>
  <c r="E195" i="189"/>
  <c r="D195" i="189"/>
  <c r="C195" i="189"/>
  <c r="E194" i="189"/>
  <c r="D194" i="189"/>
  <c r="C194" i="189"/>
  <c r="E193" i="189"/>
  <c r="D193" i="189"/>
  <c r="C193" i="189"/>
  <c r="E192" i="189"/>
  <c r="D192" i="189"/>
  <c r="C192" i="189"/>
  <c r="E191" i="189"/>
  <c r="D191" i="189"/>
  <c r="C191" i="189"/>
  <c r="E190" i="189"/>
  <c r="D190" i="189"/>
  <c r="C190" i="189"/>
  <c r="E189" i="189"/>
  <c r="D189" i="189"/>
  <c r="C189" i="189"/>
  <c r="E188" i="189"/>
  <c r="D188" i="189"/>
  <c r="C188" i="189"/>
  <c r="E187" i="189"/>
  <c r="D187" i="189"/>
  <c r="C187" i="189"/>
  <c r="E186" i="189"/>
  <c r="D186" i="189"/>
  <c r="C186" i="189"/>
  <c r="E185" i="189"/>
  <c r="D185" i="189"/>
  <c r="C185" i="189"/>
  <c r="E184" i="189"/>
  <c r="D184" i="189"/>
  <c r="C184" i="189"/>
  <c r="E183" i="189"/>
  <c r="D183" i="189"/>
  <c r="C183" i="189"/>
  <c r="E182" i="189"/>
  <c r="D182" i="189"/>
  <c r="C182" i="189"/>
  <c r="E181" i="189"/>
  <c r="D181" i="189"/>
  <c r="C181" i="189"/>
  <c r="E180" i="189"/>
  <c r="D180" i="189"/>
  <c r="C180" i="189"/>
  <c r="E179" i="189"/>
  <c r="D179" i="189"/>
  <c r="C179" i="189"/>
  <c r="E178" i="189"/>
  <c r="D178" i="189"/>
  <c r="C178" i="189"/>
  <c r="E177" i="189"/>
  <c r="D177" i="189"/>
  <c r="C177" i="189"/>
  <c r="E176" i="189"/>
  <c r="D176" i="189"/>
  <c r="C176" i="189"/>
  <c r="E175" i="189"/>
  <c r="D175" i="189"/>
  <c r="C175" i="189"/>
  <c r="E174" i="189"/>
  <c r="D174" i="189"/>
  <c r="C174" i="189"/>
  <c r="E173" i="189"/>
  <c r="D173" i="189"/>
  <c r="C173" i="189"/>
  <c r="E172" i="189"/>
  <c r="D172" i="189"/>
  <c r="C172" i="189"/>
  <c r="E171" i="189"/>
  <c r="D171" i="189"/>
  <c r="C171" i="189"/>
  <c r="E170" i="189"/>
  <c r="D170" i="189"/>
  <c r="C170" i="189"/>
  <c r="E169" i="189"/>
  <c r="D169" i="189"/>
  <c r="C169" i="189"/>
  <c r="E165" i="189"/>
  <c r="D165" i="189"/>
  <c r="C165" i="189"/>
  <c r="E164" i="189"/>
  <c r="D164" i="189"/>
  <c r="C164" i="189"/>
  <c r="E163" i="189"/>
  <c r="D163" i="189"/>
  <c r="C163" i="189"/>
  <c r="E162" i="189"/>
  <c r="D162" i="189"/>
  <c r="C162" i="189"/>
  <c r="E161" i="189"/>
  <c r="D161" i="189"/>
  <c r="C161" i="189"/>
  <c r="E160" i="189"/>
  <c r="D160" i="189"/>
  <c r="C160" i="189"/>
  <c r="E158" i="189"/>
  <c r="D158" i="189"/>
  <c r="C158" i="189"/>
  <c r="E157" i="189"/>
  <c r="D157" i="189"/>
  <c r="C157" i="189"/>
  <c r="E156" i="189"/>
  <c r="D156" i="189"/>
  <c r="C156" i="189"/>
  <c r="E155" i="189"/>
  <c r="D155" i="189"/>
  <c r="C155" i="189"/>
  <c r="E154" i="189"/>
  <c r="D154" i="189"/>
  <c r="C154" i="189"/>
  <c r="E153" i="189"/>
  <c r="D153" i="189"/>
  <c r="C153" i="189"/>
  <c r="E152" i="189"/>
  <c r="D152" i="189"/>
  <c r="C152" i="189"/>
  <c r="E151" i="189"/>
  <c r="D151" i="189"/>
  <c r="C151" i="189"/>
  <c r="E150" i="189"/>
  <c r="D150" i="189"/>
  <c r="C150" i="189"/>
  <c r="E148" i="189"/>
  <c r="D148" i="189"/>
  <c r="C148" i="189"/>
  <c r="E147" i="189"/>
  <c r="D147" i="189"/>
  <c r="C147" i="189"/>
  <c r="E146" i="189"/>
  <c r="D146" i="189"/>
  <c r="C146" i="189"/>
  <c r="E145" i="189"/>
  <c r="D145" i="189"/>
  <c r="C145" i="189"/>
  <c r="E143" i="189"/>
  <c r="D143" i="189"/>
  <c r="C143" i="189"/>
  <c r="E142" i="189"/>
  <c r="D142" i="189"/>
  <c r="C142" i="189"/>
  <c r="E141" i="189"/>
  <c r="D141" i="189"/>
  <c r="C141" i="189"/>
  <c r="E140" i="189"/>
  <c r="D140" i="189"/>
  <c r="C140" i="189"/>
  <c r="E138" i="189"/>
  <c r="D138" i="189"/>
  <c r="C138" i="189"/>
  <c r="E137" i="189"/>
  <c r="D137" i="189"/>
  <c r="C137" i="189"/>
  <c r="E136" i="189"/>
  <c r="D136" i="189"/>
  <c r="C136" i="189"/>
  <c r="E135" i="189"/>
  <c r="D135" i="189"/>
  <c r="C135" i="189"/>
  <c r="E134" i="189"/>
  <c r="D134" i="189"/>
  <c r="C134" i="189"/>
  <c r="E132" i="189"/>
  <c r="D132" i="189"/>
  <c r="C132" i="189"/>
  <c r="E131" i="189"/>
  <c r="D131" i="189"/>
  <c r="C131" i="189"/>
  <c r="E130" i="189"/>
  <c r="D130" i="189"/>
  <c r="C130" i="189"/>
  <c r="E129" i="189"/>
  <c r="D129" i="189"/>
  <c r="C129" i="189"/>
  <c r="E128" i="189"/>
  <c r="D128" i="189"/>
  <c r="C128" i="189"/>
  <c r="E123" i="189"/>
  <c r="D123" i="189"/>
  <c r="C123" i="189"/>
  <c r="E122" i="189"/>
  <c r="D122" i="189"/>
  <c r="C122" i="189"/>
  <c r="E121" i="189"/>
  <c r="D121" i="189"/>
  <c r="C121" i="189"/>
  <c r="E120" i="189"/>
  <c r="D120" i="189"/>
  <c r="C120" i="189"/>
  <c r="E119" i="189"/>
  <c r="D119" i="189"/>
  <c r="C119" i="189"/>
  <c r="E115" i="189"/>
  <c r="D115" i="189"/>
  <c r="C115" i="189"/>
  <c r="E114" i="189"/>
  <c r="D114" i="189"/>
  <c r="C114" i="189"/>
  <c r="E113" i="189"/>
  <c r="D113" i="189"/>
  <c r="C113" i="189"/>
  <c r="E112" i="189"/>
  <c r="D112" i="189"/>
  <c r="C112" i="189"/>
  <c r="E111" i="189"/>
  <c r="D111" i="189"/>
  <c r="C111" i="189"/>
  <c r="E110" i="189"/>
  <c r="D110" i="189"/>
  <c r="C110" i="189"/>
  <c r="E106" i="189"/>
  <c r="D106" i="189"/>
  <c r="C106" i="189"/>
  <c r="E105" i="189"/>
  <c r="D105" i="189"/>
  <c r="C105" i="189"/>
  <c r="E104" i="189"/>
  <c r="D104" i="189"/>
  <c r="C104" i="189"/>
  <c r="E103" i="189"/>
  <c r="D103" i="189"/>
  <c r="C103" i="189"/>
  <c r="E102" i="189"/>
  <c r="D102" i="189"/>
  <c r="C102" i="189"/>
  <c r="E101" i="189"/>
  <c r="D101" i="189"/>
  <c r="C101" i="189"/>
  <c r="E97" i="189"/>
  <c r="D97" i="189"/>
  <c r="C97" i="189"/>
  <c r="E96" i="189"/>
  <c r="D96" i="189"/>
  <c r="C96" i="189"/>
  <c r="E95" i="189"/>
  <c r="D95" i="189"/>
  <c r="C95" i="189"/>
  <c r="E94" i="189"/>
  <c r="D94" i="189"/>
  <c r="C94" i="189"/>
  <c r="E93" i="189"/>
  <c r="D93" i="189"/>
  <c r="C93" i="189"/>
  <c r="E92" i="189"/>
  <c r="D92" i="189"/>
  <c r="C92" i="189"/>
  <c r="E91" i="189"/>
  <c r="D91" i="189"/>
  <c r="C91" i="189"/>
  <c r="E90" i="189"/>
  <c r="D90" i="189"/>
  <c r="C90" i="189"/>
  <c r="E89" i="189"/>
  <c r="D89" i="189"/>
  <c r="C89" i="189"/>
  <c r="E88" i="189"/>
  <c r="D88" i="189"/>
  <c r="C88" i="189"/>
  <c r="E87" i="189"/>
  <c r="D87" i="189"/>
  <c r="C87" i="189"/>
  <c r="E83" i="189"/>
  <c r="D83" i="189"/>
  <c r="C83" i="189"/>
  <c r="E82" i="189"/>
  <c r="D82" i="189"/>
  <c r="C82" i="189"/>
  <c r="E81" i="189"/>
  <c r="D81" i="189"/>
  <c r="C81" i="189"/>
  <c r="E80" i="189"/>
  <c r="D80" i="189"/>
  <c r="C80" i="189"/>
  <c r="E79" i="189"/>
  <c r="D79" i="189"/>
  <c r="C79" i="189"/>
  <c r="E78" i="189"/>
  <c r="D78" i="189"/>
  <c r="C78" i="189"/>
  <c r="E77" i="189"/>
  <c r="D77" i="189"/>
  <c r="C77" i="189"/>
  <c r="E76" i="189"/>
  <c r="D76" i="189"/>
  <c r="C76" i="189"/>
  <c r="E75" i="189"/>
  <c r="D75" i="189"/>
  <c r="C75" i="189"/>
  <c r="E74" i="189"/>
  <c r="D74" i="189"/>
  <c r="C74" i="189"/>
  <c r="E73" i="189"/>
  <c r="D73" i="189"/>
  <c r="C73" i="189"/>
  <c r="E72" i="189"/>
  <c r="D72" i="189"/>
  <c r="C72" i="189"/>
  <c r="E71" i="189"/>
  <c r="D71" i="189"/>
  <c r="C71" i="189"/>
  <c r="E70" i="189"/>
  <c r="D70" i="189"/>
  <c r="C70" i="189"/>
  <c r="E69" i="189"/>
  <c r="D69" i="189"/>
  <c r="C69" i="189"/>
  <c r="E65" i="189"/>
  <c r="D65" i="189"/>
  <c r="C65" i="189"/>
  <c r="E64" i="189"/>
  <c r="D64" i="189"/>
  <c r="C64" i="189"/>
  <c r="E63" i="189"/>
  <c r="D63" i="189"/>
  <c r="C63" i="189"/>
  <c r="E62" i="189"/>
  <c r="D62" i="189"/>
  <c r="C62" i="189"/>
  <c r="E61" i="189"/>
  <c r="D61" i="189"/>
  <c r="C61" i="189"/>
  <c r="E60" i="189"/>
  <c r="D60" i="189"/>
  <c r="C60" i="189"/>
  <c r="E59" i="189"/>
  <c r="D59" i="189"/>
  <c r="C59" i="189"/>
  <c r="E58" i="189"/>
  <c r="D58" i="189"/>
  <c r="C58" i="189"/>
  <c r="E57" i="189"/>
  <c r="D57" i="189"/>
  <c r="C57" i="189"/>
  <c r="E56" i="189"/>
  <c r="D56" i="189"/>
  <c r="C56" i="189"/>
  <c r="E55" i="189"/>
  <c r="D55" i="189"/>
  <c r="C55" i="189"/>
  <c r="E54" i="189"/>
  <c r="D54" i="189"/>
  <c r="C54" i="189"/>
  <c r="E53" i="189"/>
  <c r="D53" i="189"/>
  <c r="C53" i="189"/>
  <c r="E52" i="189"/>
  <c r="D52" i="189"/>
  <c r="C52" i="189"/>
  <c r="E51" i="189"/>
  <c r="D51" i="189"/>
  <c r="C51" i="189"/>
  <c r="E50" i="189"/>
  <c r="D50" i="189"/>
  <c r="C50" i="189"/>
  <c r="E49" i="189"/>
  <c r="D49" i="189"/>
  <c r="C49" i="189"/>
  <c r="E48" i="189"/>
  <c r="D48" i="189"/>
  <c r="C48" i="189"/>
  <c r="E47" i="189"/>
  <c r="D47" i="189"/>
  <c r="C47" i="189"/>
  <c r="E46" i="189"/>
  <c r="D46" i="189"/>
  <c r="C46" i="189"/>
  <c r="E45" i="189"/>
  <c r="D45" i="189"/>
  <c r="C45" i="189"/>
  <c r="E44" i="189"/>
  <c r="D44" i="189"/>
  <c r="C44" i="189"/>
  <c r="E43" i="189"/>
  <c r="D43" i="189"/>
  <c r="C43" i="189"/>
  <c r="E42" i="189"/>
  <c r="D42" i="189"/>
  <c r="C42" i="189"/>
  <c r="E41" i="189"/>
  <c r="D41" i="189"/>
  <c r="C41" i="189"/>
  <c r="E40" i="189"/>
  <c r="D40" i="189"/>
  <c r="C40" i="189"/>
  <c r="E39" i="189"/>
  <c r="D39" i="189"/>
  <c r="C39" i="189"/>
  <c r="E38" i="189"/>
  <c r="D38" i="189"/>
  <c r="C38" i="189"/>
  <c r="E37" i="189"/>
  <c r="D37" i="189"/>
  <c r="C37" i="189"/>
  <c r="E36" i="189"/>
  <c r="D36" i="189"/>
  <c r="C36" i="189"/>
  <c r="D35" i="189"/>
  <c r="C35" i="189"/>
  <c r="E34" i="189"/>
  <c r="D34" i="189"/>
  <c r="C34" i="189"/>
  <c r="E33" i="189"/>
  <c r="D33" i="189"/>
  <c r="C33" i="189"/>
  <c r="E32" i="189"/>
  <c r="D32" i="189"/>
  <c r="C32" i="189"/>
  <c r="E31" i="189"/>
  <c r="D31" i="189"/>
  <c r="C31" i="189"/>
  <c r="E30" i="189"/>
  <c r="D30" i="189"/>
  <c r="C30" i="189"/>
  <c r="D25" i="189"/>
  <c r="C25" i="189"/>
  <c r="D24" i="189"/>
  <c r="C24" i="189"/>
  <c r="D23" i="189"/>
  <c r="C23" i="189"/>
  <c r="D22" i="189"/>
  <c r="C22" i="189"/>
  <c r="D21" i="189"/>
  <c r="C21" i="189"/>
  <c r="D20" i="189"/>
  <c r="C20" i="189"/>
  <c r="D19" i="189"/>
  <c r="C19" i="189"/>
  <c r="D18" i="189"/>
  <c r="C18" i="189"/>
  <c r="D17" i="189"/>
  <c r="C17" i="189"/>
  <c r="D16" i="189"/>
  <c r="C16" i="189"/>
  <c r="D15" i="189"/>
  <c r="C15" i="189"/>
  <c r="D14" i="189"/>
  <c r="C14" i="189"/>
  <c r="D13" i="189"/>
  <c r="C13" i="189"/>
  <c r="D12" i="189"/>
  <c r="C12" i="189"/>
  <c r="C4" i="189"/>
  <c r="C3" i="189"/>
  <c r="C238" i="189" l="1"/>
  <c r="H220" i="190"/>
  <c r="D26" i="189"/>
  <c r="F26" i="190"/>
  <c r="I16" i="190"/>
  <c r="O16" i="190" s="1"/>
  <c r="F12" i="189"/>
  <c r="I12" i="189" s="1"/>
  <c r="O24" i="190"/>
  <c r="F242" i="190"/>
  <c r="E98" i="189"/>
  <c r="D107" i="189"/>
  <c r="C233" i="189"/>
  <c r="I188" i="190"/>
  <c r="I190" i="190"/>
  <c r="I151" i="190"/>
  <c r="I134" i="190"/>
  <c r="I220" i="191"/>
  <c r="C26" i="189"/>
  <c r="D124" i="189"/>
  <c r="C202" i="189"/>
  <c r="C211" i="189"/>
  <c r="E211" i="189"/>
  <c r="I208" i="190"/>
  <c r="I197" i="190"/>
  <c r="I103" i="190"/>
  <c r="I61" i="190"/>
  <c r="O19" i="190"/>
  <c r="D84" i="189"/>
  <c r="C98" i="189"/>
  <c r="C116" i="189"/>
  <c r="E116" i="189"/>
  <c r="E124" i="189"/>
  <c r="D211" i="189"/>
  <c r="I200" i="190"/>
  <c r="I192" i="190"/>
  <c r="F211" i="190"/>
  <c r="I198" i="190"/>
  <c r="I189" i="190"/>
  <c r="I115" i="190"/>
  <c r="I160" i="190"/>
  <c r="I146" i="190"/>
  <c r="I121" i="190"/>
  <c r="I143" i="190"/>
  <c r="I88" i="190"/>
  <c r="I90" i="190"/>
  <c r="I113" i="190"/>
  <c r="I23" i="190"/>
  <c r="I42" i="190"/>
  <c r="I18" i="190"/>
  <c r="O17" i="190"/>
  <c r="E166" i="189"/>
  <c r="E202" i="189"/>
  <c r="I196" i="190"/>
  <c r="I136" i="190"/>
  <c r="I114" i="190"/>
  <c r="I148" i="190"/>
  <c r="I106" i="190"/>
  <c r="I120" i="190"/>
  <c r="I93" i="190"/>
  <c r="I97" i="190"/>
  <c r="I123" i="190"/>
  <c r="I20" i="190"/>
  <c r="C66" i="189"/>
  <c r="C84" i="189"/>
  <c r="E107" i="189"/>
  <c r="D116" i="189"/>
  <c r="I210" i="190"/>
  <c r="I199" i="190"/>
  <c r="I191" i="190"/>
  <c r="I209" i="190"/>
  <c r="I112" i="190"/>
  <c r="I111" i="190"/>
  <c r="I102" i="190"/>
  <c r="I129" i="190"/>
  <c r="I65" i="190"/>
  <c r="I57" i="190"/>
  <c r="I53" i="190"/>
  <c r="I25" i="190"/>
  <c r="O21" i="190"/>
  <c r="E84" i="189"/>
  <c r="D98" i="189"/>
  <c r="C107" i="189"/>
  <c r="C124" i="189"/>
  <c r="C166" i="189"/>
  <c r="D166" i="189"/>
  <c r="D202" i="189"/>
  <c r="I195" i="190"/>
  <c r="I194" i="190"/>
  <c r="I193" i="190"/>
  <c r="I161" i="190"/>
  <c r="I141" i="190"/>
  <c r="I138" i="190"/>
  <c r="I96" i="190"/>
  <c r="I89" i="190"/>
  <c r="I62" i="190"/>
  <c r="I71" i="190"/>
  <c r="I35" i="190"/>
  <c r="I49" i="190"/>
  <c r="I22" i="190"/>
  <c r="J210" i="191"/>
  <c r="J209" i="191"/>
  <c r="J208" i="191"/>
  <c r="J207" i="191"/>
  <c r="J206" i="191"/>
  <c r="J205" i="191"/>
  <c r="J202" i="191"/>
  <c r="J213" i="191"/>
  <c r="O213" i="191"/>
  <c r="J211" i="191"/>
  <c r="J201" i="191"/>
  <c r="J200" i="191"/>
  <c r="J199" i="191"/>
  <c r="J198" i="191"/>
  <c r="J197" i="191"/>
  <c r="J196" i="191"/>
  <c r="J195" i="191"/>
  <c r="J194" i="191"/>
  <c r="J193" i="191"/>
  <c r="J192" i="191"/>
  <c r="J191" i="191"/>
  <c r="J190" i="191"/>
  <c r="J189" i="191"/>
  <c r="J188" i="191"/>
  <c r="J187" i="191"/>
  <c r="J186" i="191"/>
  <c r="J185" i="191"/>
  <c r="J184" i="191"/>
  <c r="J183" i="191"/>
  <c r="J182" i="191"/>
  <c r="J181" i="191"/>
  <c r="J180" i="191"/>
  <c r="J179" i="191"/>
  <c r="J178" i="191"/>
  <c r="J177" i="191"/>
  <c r="J176" i="191"/>
  <c r="J175" i="191"/>
  <c r="J174" i="191"/>
  <c r="J173" i="191"/>
  <c r="J172" i="191"/>
  <c r="J171" i="191"/>
  <c r="J170" i="191"/>
  <c r="J169" i="191"/>
  <c r="J165" i="191"/>
  <c r="J164" i="191"/>
  <c r="J163" i="191"/>
  <c r="J162" i="191"/>
  <c r="J161" i="191"/>
  <c r="J160" i="191"/>
  <c r="J158" i="191"/>
  <c r="J157" i="191"/>
  <c r="J156" i="191"/>
  <c r="J155" i="191"/>
  <c r="J154" i="191"/>
  <c r="J153" i="191"/>
  <c r="J152" i="191"/>
  <c r="J151" i="191"/>
  <c r="J150" i="191"/>
  <c r="J148" i="191"/>
  <c r="J147" i="191"/>
  <c r="J146" i="191"/>
  <c r="J145" i="191"/>
  <c r="J143" i="191"/>
  <c r="J142" i="191"/>
  <c r="J141" i="191"/>
  <c r="J140" i="191"/>
  <c r="J138" i="191"/>
  <c r="J137" i="191"/>
  <c r="J136" i="191"/>
  <c r="J135" i="191"/>
  <c r="J134" i="191"/>
  <c r="J132" i="191"/>
  <c r="J131" i="191"/>
  <c r="J130" i="191"/>
  <c r="J166" i="191"/>
  <c r="J124" i="191"/>
  <c r="J106" i="191"/>
  <c r="J105" i="191"/>
  <c r="J104" i="191"/>
  <c r="J103" i="191"/>
  <c r="J102" i="191"/>
  <c r="J101" i="191"/>
  <c r="J129" i="191"/>
  <c r="J128" i="191"/>
  <c r="J116" i="191"/>
  <c r="J97" i="191"/>
  <c r="J96" i="191"/>
  <c r="J95" i="191"/>
  <c r="J94" i="191"/>
  <c r="J93" i="191"/>
  <c r="J92" i="191"/>
  <c r="J91" i="191"/>
  <c r="J90" i="191"/>
  <c r="J89" i="191"/>
  <c r="J88" i="191"/>
  <c r="J87" i="191"/>
  <c r="J84" i="191"/>
  <c r="J123" i="191"/>
  <c r="J122" i="191"/>
  <c r="J121" i="191"/>
  <c r="J120" i="191"/>
  <c r="J119" i="191"/>
  <c r="J107" i="191"/>
  <c r="J83" i="191"/>
  <c r="J82" i="191"/>
  <c r="J81" i="191"/>
  <c r="J80" i="191"/>
  <c r="J79" i="191"/>
  <c r="J114" i="191"/>
  <c r="J112" i="191"/>
  <c r="J111" i="191"/>
  <c r="J110" i="191"/>
  <c r="J66" i="191"/>
  <c r="J77" i="191"/>
  <c r="J76" i="191"/>
  <c r="J75" i="191"/>
  <c r="J74" i="191"/>
  <c r="J73" i="191"/>
  <c r="J72" i="191"/>
  <c r="J71" i="191"/>
  <c r="J70" i="191"/>
  <c r="J69" i="191"/>
  <c r="J113" i="191"/>
  <c r="J64" i="191"/>
  <c r="J41" i="191"/>
  <c r="J37" i="191"/>
  <c r="J33" i="191"/>
  <c r="J57" i="191"/>
  <c r="J115" i="191"/>
  <c r="J78" i="191"/>
  <c r="J65" i="191"/>
  <c r="J62" i="191"/>
  <c r="J60" i="191"/>
  <c r="J58" i="191"/>
  <c r="J56" i="191"/>
  <c r="J54" i="191"/>
  <c r="J53" i="191"/>
  <c r="J52" i="191"/>
  <c r="J51" i="191"/>
  <c r="J50" i="191"/>
  <c r="J49" i="191"/>
  <c r="J48" i="191"/>
  <c r="J47" i="191"/>
  <c r="J46" i="191"/>
  <c r="J45" i="191"/>
  <c r="J44" i="191"/>
  <c r="J42" i="191"/>
  <c r="J38" i="191"/>
  <c r="J34" i="191"/>
  <c r="J30" i="191"/>
  <c r="J61" i="191"/>
  <c r="J55" i="191"/>
  <c r="J36" i="191"/>
  <c r="J32" i="191"/>
  <c r="J43" i="191"/>
  <c r="J39" i="191"/>
  <c r="J35" i="191"/>
  <c r="J31" i="191"/>
  <c r="J98" i="191"/>
  <c r="J63" i="191"/>
  <c r="J59" i="191"/>
  <c r="J40" i="191"/>
  <c r="M17" i="191"/>
  <c r="F202" i="190"/>
  <c r="I240" i="190"/>
  <c r="I242" i="190" s="1"/>
  <c r="M19" i="190"/>
  <c r="F116" i="190"/>
  <c r="I110" i="190"/>
  <c r="F84" i="190"/>
  <c r="F241" i="190"/>
  <c r="I87" i="190"/>
  <c r="F98" i="190"/>
  <c r="F166" i="190"/>
  <c r="F66" i="190"/>
  <c r="F124" i="190"/>
  <c r="I119" i="190"/>
  <c r="F107" i="190"/>
  <c r="I233" i="190"/>
  <c r="D66" i="189"/>
  <c r="E66" i="189"/>
  <c r="C213" i="189" l="1"/>
  <c r="C217" i="189" s="1"/>
  <c r="F243" i="190"/>
  <c r="I26" i="190"/>
  <c r="O26" i="190" s="1"/>
  <c r="E213" i="189"/>
  <c r="E220" i="189" s="1"/>
  <c r="I107" i="190"/>
  <c r="O107" i="190" s="1"/>
  <c r="O115" i="190"/>
  <c r="I202" i="190"/>
  <c r="O202" i="190" s="1"/>
  <c r="I166" i="190"/>
  <c r="O166" i="190" s="1"/>
  <c r="O199" i="190"/>
  <c r="O30" i="190"/>
  <c r="O123" i="190"/>
  <c r="O57" i="190"/>
  <c r="O136" i="190"/>
  <c r="O35" i="190"/>
  <c r="D213" i="189"/>
  <c r="O148" i="190"/>
  <c r="O61" i="190"/>
  <c r="O189" i="190"/>
  <c r="I66" i="190"/>
  <c r="O66" i="190" s="1"/>
  <c r="M20" i="190"/>
  <c r="O18" i="190"/>
  <c r="O101" i="190"/>
  <c r="O138" i="190"/>
  <c r="I84" i="190"/>
  <c r="O84" i="190" s="1"/>
  <c r="O129" i="190"/>
  <c r="O22" i="190"/>
  <c r="O23" i="190"/>
  <c r="C220" i="189"/>
  <c r="O146" i="190"/>
  <c r="O112" i="190"/>
  <c r="O53" i="190"/>
  <c r="O114" i="190"/>
  <c r="O191" i="190"/>
  <c r="O128" i="190"/>
  <c r="I211" i="190"/>
  <c r="O211" i="190" s="1"/>
  <c r="O20" i="190"/>
  <c r="F213" i="190"/>
  <c r="O93" i="190"/>
  <c r="O151" i="190"/>
  <c r="O188" i="190"/>
  <c r="O96" i="190"/>
  <c r="O190" i="190"/>
  <c r="O120" i="190"/>
  <c r="O210" i="190"/>
  <c r="O90" i="190"/>
  <c r="O143" i="190"/>
  <c r="O89" i="190"/>
  <c r="O169" i="190"/>
  <c r="O42" i="190"/>
  <c r="O65" i="190"/>
  <c r="O103" i="190"/>
  <c r="O193" i="190"/>
  <c r="O49" i="190"/>
  <c r="O62" i="190"/>
  <c r="I124" i="190"/>
  <c r="O124" i="190" s="1"/>
  <c r="O119" i="190"/>
  <c r="J233" i="190"/>
  <c r="J232" i="190"/>
  <c r="J231" i="190"/>
  <c r="J230" i="190"/>
  <c r="J229" i="190"/>
  <c r="J228" i="190"/>
  <c r="J227" i="190"/>
  <c r="J226" i="190"/>
  <c r="J225" i="190"/>
  <c r="J224" i="190"/>
  <c r="I241" i="190"/>
  <c r="O140" i="190"/>
  <c r="M18" i="190"/>
  <c r="O37" i="190"/>
  <c r="O52" i="190"/>
  <c r="O78" i="190"/>
  <c r="O82" i="190"/>
  <c r="O150" i="190"/>
  <c r="O54" i="190"/>
  <c r="O60" i="190"/>
  <c r="O152" i="190"/>
  <c r="O155" i="190"/>
  <c r="O164" i="190"/>
  <c r="O176" i="190"/>
  <c r="O31" i="190"/>
  <c r="O32" i="190"/>
  <c r="O38" i="190"/>
  <c r="O44" i="190"/>
  <c r="O55" i="190"/>
  <c r="O79" i="190"/>
  <c r="O92" i="190"/>
  <c r="O43" i="190"/>
  <c r="O51" i="190"/>
  <c r="O63" i="190"/>
  <c r="O105" i="190"/>
  <c r="O56" i="190"/>
  <c r="O83" i="190"/>
  <c r="O39" i="190"/>
  <c r="O64" i="190"/>
  <c r="O156" i="190"/>
  <c r="O187" i="190"/>
  <c r="O34" i="190"/>
  <c r="O45" i="190"/>
  <c r="O59" i="190"/>
  <c r="O80" i="190"/>
  <c r="O130" i="190"/>
  <c r="O47" i="190"/>
  <c r="O72" i="190"/>
  <c r="O46" i="190"/>
  <c r="O91" i="190"/>
  <c r="O40" i="190"/>
  <c r="O73" i="190"/>
  <c r="O154" i="190"/>
  <c r="O137" i="190"/>
  <c r="O157" i="190"/>
  <c r="O170" i="190"/>
  <c r="O147" i="190"/>
  <c r="O178" i="190"/>
  <c r="O171" i="190"/>
  <c r="O185" i="190"/>
  <c r="O165" i="190"/>
  <c r="O180" i="190"/>
  <c r="O70" i="190"/>
  <c r="O48" i="190"/>
  <c r="O75" i="190"/>
  <c r="O81" i="190"/>
  <c r="O135" i="190"/>
  <c r="O77" i="190"/>
  <c r="O50" i="190"/>
  <c r="O95" i="190"/>
  <c r="O33" i="190"/>
  <c r="O41" i="190"/>
  <c r="O76" i="190"/>
  <c r="O122" i="190"/>
  <c r="O158" i="190"/>
  <c r="O132" i="190"/>
  <c r="O174" i="190"/>
  <c r="O104" i="190"/>
  <c r="O142" i="190"/>
  <c r="O131" i="190"/>
  <c r="O186" i="190"/>
  <c r="O173" i="190"/>
  <c r="O162" i="190"/>
  <c r="O184" i="190"/>
  <c r="O175" i="190"/>
  <c r="O206" i="190"/>
  <c r="O94" i="190"/>
  <c r="O58" i="190"/>
  <c r="O74" i="190"/>
  <c r="O145" i="190"/>
  <c r="O36" i="190"/>
  <c r="O182" i="190"/>
  <c r="O177" i="190"/>
  <c r="O201" i="190"/>
  <c r="O163" i="190"/>
  <c r="O172" i="190"/>
  <c r="O179" i="190"/>
  <c r="O207" i="190"/>
  <c r="O153" i="190"/>
  <c r="O181" i="190"/>
  <c r="O183" i="190"/>
  <c r="O205" i="190"/>
  <c r="O195" i="190"/>
  <c r="O71" i="190"/>
  <c r="O69" i="190"/>
  <c r="O197" i="190"/>
  <c r="O106" i="190"/>
  <c r="O161" i="190"/>
  <c r="O209" i="190"/>
  <c r="O141" i="190"/>
  <c r="O97" i="190"/>
  <c r="O88" i="190"/>
  <c r="O110" i="190"/>
  <c r="I116" i="190"/>
  <c r="O116" i="190" s="1"/>
  <c r="O192" i="190"/>
  <c r="O102" i="190"/>
  <c r="O208" i="190"/>
  <c r="J16" i="190"/>
  <c r="I98" i="190"/>
  <c r="O98" i="190" s="1"/>
  <c r="O87" i="190"/>
  <c r="O200" i="190"/>
  <c r="O111" i="190"/>
  <c r="O196" i="190"/>
  <c r="O113" i="190"/>
  <c r="O121" i="190"/>
  <c r="O134" i="190"/>
  <c r="O160" i="190"/>
  <c r="O194" i="190"/>
  <c r="O198" i="190"/>
  <c r="F237" i="189"/>
  <c r="F236" i="189"/>
  <c r="H233" i="189"/>
  <c r="G233" i="189"/>
  <c r="F232" i="189"/>
  <c r="F231" i="189"/>
  <c r="F230" i="189"/>
  <c r="F229" i="189"/>
  <c r="F228" i="189"/>
  <c r="F227" i="189"/>
  <c r="F226" i="189"/>
  <c r="F225" i="189"/>
  <c r="F224" i="189"/>
  <c r="M213" i="189"/>
  <c r="L213" i="189"/>
  <c r="H211" i="189"/>
  <c r="G211" i="189"/>
  <c r="H202" i="189"/>
  <c r="G202" i="189"/>
  <c r="F201" i="189"/>
  <c r="F178" i="189"/>
  <c r="F175" i="189"/>
  <c r="F174" i="189"/>
  <c r="F173" i="189"/>
  <c r="F171" i="189"/>
  <c r="F170" i="189"/>
  <c r="H166" i="189"/>
  <c r="G166" i="189"/>
  <c r="F164" i="189"/>
  <c r="F163" i="189"/>
  <c r="F162" i="189"/>
  <c r="F160" i="189"/>
  <c r="F158" i="189"/>
  <c r="F156" i="189"/>
  <c r="F154" i="189"/>
  <c r="F152" i="189"/>
  <c r="F150" i="189"/>
  <c r="F147" i="189"/>
  <c r="F145" i="189"/>
  <c r="F142" i="189"/>
  <c r="F140" i="189"/>
  <c r="F137" i="189"/>
  <c r="F135" i="189"/>
  <c r="F132" i="189"/>
  <c r="F130" i="189"/>
  <c r="F128" i="189"/>
  <c r="H124" i="189"/>
  <c r="G124" i="189"/>
  <c r="F121" i="189"/>
  <c r="F119" i="189"/>
  <c r="H116" i="189"/>
  <c r="G116" i="189"/>
  <c r="F112" i="189"/>
  <c r="H107" i="189"/>
  <c r="G107" i="189"/>
  <c r="F106" i="189"/>
  <c r="F104" i="189"/>
  <c r="F102" i="189"/>
  <c r="H98" i="189"/>
  <c r="G98" i="189"/>
  <c r="H84" i="189"/>
  <c r="G84" i="189"/>
  <c r="F82" i="189"/>
  <c r="F79" i="189"/>
  <c r="F78" i="189"/>
  <c r="F77" i="189"/>
  <c r="F76" i="189"/>
  <c r="F75" i="189"/>
  <c r="F72" i="189"/>
  <c r="F71" i="189"/>
  <c r="F70" i="189"/>
  <c r="F69" i="189"/>
  <c r="H66" i="189"/>
  <c r="G66" i="189"/>
  <c r="F65" i="189"/>
  <c r="F64" i="189"/>
  <c r="F63" i="189"/>
  <c r="F62" i="189"/>
  <c r="F56" i="189"/>
  <c r="F55" i="189"/>
  <c r="F53" i="189"/>
  <c r="F52" i="189"/>
  <c r="F49" i="189"/>
  <c r="F48" i="189"/>
  <c r="F45" i="189"/>
  <c r="F43" i="189"/>
  <c r="F42" i="189"/>
  <c r="F40" i="189"/>
  <c r="F39" i="189"/>
  <c r="F38" i="189"/>
  <c r="F37" i="189"/>
  <c r="F36" i="189"/>
  <c r="F35" i="189"/>
  <c r="F34" i="189"/>
  <c r="F32" i="189"/>
  <c r="F31" i="189"/>
  <c r="F30" i="189"/>
  <c r="F25" i="189"/>
  <c r="F24" i="189"/>
  <c r="F23" i="189"/>
  <c r="M22" i="189"/>
  <c r="F22" i="189"/>
  <c r="F21" i="189"/>
  <c r="F20" i="189"/>
  <c r="F19" i="189"/>
  <c r="F18" i="189"/>
  <c r="F17" i="189"/>
  <c r="F16" i="189"/>
  <c r="F15" i="189"/>
  <c r="F13" i="189"/>
  <c r="A1" i="189"/>
  <c r="I246" i="186"/>
  <c r="I247" i="186"/>
  <c r="C243" i="186"/>
  <c r="C242" i="186"/>
  <c r="C241" i="186"/>
  <c r="C240" i="186"/>
  <c r="C237" i="186"/>
  <c r="C236" i="186"/>
  <c r="E233" i="186"/>
  <c r="D233" i="186"/>
  <c r="C232" i="186"/>
  <c r="C231" i="186"/>
  <c r="C230" i="186"/>
  <c r="C229" i="186"/>
  <c r="C228" i="186"/>
  <c r="C227" i="186"/>
  <c r="C226" i="186"/>
  <c r="C225" i="186"/>
  <c r="C224" i="186"/>
  <c r="C216" i="186"/>
  <c r="E210" i="186"/>
  <c r="D210" i="186"/>
  <c r="C210" i="186"/>
  <c r="E209" i="186"/>
  <c r="D209" i="186"/>
  <c r="C209" i="186"/>
  <c r="E208" i="186"/>
  <c r="D208" i="186"/>
  <c r="C208" i="186"/>
  <c r="E207" i="186"/>
  <c r="D207" i="186"/>
  <c r="C207" i="186"/>
  <c r="E206" i="186"/>
  <c r="D206" i="186"/>
  <c r="C206" i="186"/>
  <c r="E205" i="186"/>
  <c r="D205" i="186"/>
  <c r="C205" i="186"/>
  <c r="E201" i="186"/>
  <c r="D201" i="186"/>
  <c r="C201" i="186"/>
  <c r="E200" i="186"/>
  <c r="D200" i="186"/>
  <c r="C200" i="186"/>
  <c r="E199" i="186"/>
  <c r="D199" i="186"/>
  <c r="C199" i="186"/>
  <c r="E198" i="186"/>
  <c r="D198" i="186"/>
  <c r="C198" i="186"/>
  <c r="E197" i="186"/>
  <c r="D197" i="186"/>
  <c r="C197" i="186"/>
  <c r="E196" i="186"/>
  <c r="D196" i="186"/>
  <c r="C196" i="186"/>
  <c r="E195" i="186"/>
  <c r="D195" i="186"/>
  <c r="C195" i="186"/>
  <c r="E194" i="186"/>
  <c r="D194" i="186"/>
  <c r="C194" i="186"/>
  <c r="E193" i="186"/>
  <c r="D193" i="186"/>
  <c r="C193" i="186"/>
  <c r="E192" i="186"/>
  <c r="D192" i="186"/>
  <c r="C192" i="186"/>
  <c r="E191" i="186"/>
  <c r="D191" i="186"/>
  <c r="C191" i="186"/>
  <c r="E190" i="186"/>
  <c r="D190" i="186"/>
  <c r="C190" i="186"/>
  <c r="E189" i="186"/>
  <c r="D189" i="186"/>
  <c r="C189" i="186"/>
  <c r="E188" i="186"/>
  <c r="D188" i="186"/>
  <c r="C188" i="186"/>
  <c r="E187" i="186"/>
  <c r="D187" i="186"/>
  <c r="C187" i="186"/>
  <c r="E186" i="186"/>
  <c r="D186" i="186"/>
  <c r="C186" i="186"/>
  <c r="E185" i="186"/>
  <c r="D185" i="186"/>
  <c r="C185" i="186"/>
  <c r="E184" i="186"/>
  <c r="D184" i="186"/>
  <c r="C184" i="186"/>
  <c r="E183" i="186"/>
  <c r="D183" i="186"/>
  <c r="C183" i="186"/>
  <c r="E182" i="186"/>
  <c r="D182" i="186"/>
  <c r="C182" i="186"/>
  <c r="E181" i="186"/>
  <c r="D181" i="186"/>
  <c r="C181" i="186"/>
  <c r="E180" i="186"/>
  <c r="D180" i="186"/>
  <c r="C180" i="186"/>
  <c r="E179" i="186"/>
  <c r="D179" i="186"/>
  <c r="C179" i="186"/>
  <c r="E178" i="186"/>
  <c r="D178" i="186"/>
  <c r="C178" i="186"/>
  <c r="E177" i="186"/>
  <c r="D177" i="186"/>
  <c r="C177" i="186"/>
  <c r="E176" i="186"/>
  <c r="D176" i="186"/>
  <c r="C176" i="186"/>
  <c r="E175" i="186"/>
  <c r="D175" i="186"/>
  <c r="C175" i="186"/>
  <c r="E174" i="186"/>
  <c r="D174" i="186"/>
  <c r="C174" i="186"/>
  <c r="E173" i="186"/>
  <c r="D173" i="186"/>
  <c r="C173" i="186"/>
  <c r="E172" i="186"/>
  <c r="D172" i="186"/>
  <c r="C172" i="186"/>
  <c r="E171" i="186"/>
  <c r="D171" i="186"/>
  <c r="C171" i="186"/>
  <c r="E170" i="186"/>
  <c r="D170" i="186"/>
  <c r="C170" i="186"/>
  <c r="E169" i="186"/>
  <c r="D169" i="186"/>
  <c r="C169" i="186"/>
  <c r="E165" i="186"/>
  <c r="D165" i="186"/>
  <c r="C165" i="186"/>
  <c r="E164" i="186"/>
  <c r="D164" i="186"/>
  <c r="C164" i="186"/>
  <c r="E163" i="186"/>
  <c r="D163" i="186"/>
  <c r="C163" i="186"/>
  <c r="E162" i="186"/>
  <c r="D162" i="186"/>
  <c r="C162" i="186"/>
  <c r="E161" i="186"/>
  <c r="D161" i="186"/>
  <c r="C161" i="186"/>
  <c r="E160" i="186"/>
  <c r="D160" i="186"/>
  <c r="C160" i="186"/>
  <c r="E158" i="186"/>
  <c r="D158" i="186"/>
  <c r="C158" i="186"/>
  <c r="E157" i="186"/>
  <c r="D157" i="186"/>
  <c r="C157" i="186"/>
  <c r="E156" i="186"/>
  <c r="D156" i="186"/>
  <c r="C156" i="186"/>
  <c r="E155" i="186"/>
  <c r="D155" i="186"/>
  <c r="C155" i="186"/>
  <c r="E154" i="186"/>
  <c r="D154" i="186"/>
  <c r="C154" i="186"/>
  <c r="E153" i="186"/>
  <c r="D153" i="186"/>
  <c r="C153" i="186"/>
  <c r="E152" i="186"/>
  <c r="D152" i="186"/>
  <c r="C152" i="186"/>
  <c r="E151" i="186"/>
  <c r="D151" i="186"/>
  <c r="C151" i="186"/>
  <c r="E150" i="186"/>
  <c r="D150" i="186"/>
  <c r="C150" i="186"/>
  <c r="E148" i="186"/>
  <c r="D148" i="186"/>
  <c r="C148" i="186"/>
  <c r="E147" i="186"/>
  <c r="D147" i="186"/>
  <c r="C147" i="186"/>
  <c r="E146" i="186"/>
  <c r="D146" i="186"/>
  <c r="C146" i="186"/>
  <c r="E145" i="186"/>
  <c r="D145" i="186"/>
  <c r="C145" i="186"/>
  <c r="E143" i="186"/>
  <c r="D143" i="186"/>
  <c r="C143" i="186"/>
  <c r="E142" i="186"/>
  <c r="D142" i="186"/>
  <c r="C142" i="186"/>
  <c r="E141" i="186"/>
  <c r="D141" i="186"/>
  <c r="C141" i="186"/>
  <c r="E140" i="186"/>
  <c r="D140" i="186"/>
  <c r="C140" i="186"/>
  <c r="E138" i="186"/>
  <c r="D138" i="186"/>
  <c r="C138" i="186"/>
  <c r="E137" i="186"/>
  <c r="D137" i="186"/>
  <c r="C137" i="186"/>
  <c r="E136" i="186"/>
  <c r="D136" i="186"/>
  <c r="C136" i="186"/>
  <c r="E135" i="186"/>
  <c r="D135" i="186"/>
  <c r="C135" i="186"/>
  <c r="E134" i="186"/>
  <c r="D134" i="186"/>
  <c r="C134" i="186"/>
  <c r="E132" i="186"/>
  <c r="D132" i="186"/>
  <c r="C132" i="186"/>
  <c r="E131" i="186"/>
  <c r="D131" i="186"/>
  <c r="C131" i="186"/>
  <c r="E130" i="186"/>
  <c r="D130" i="186"/>
  <c r="C130" i="186"/>
  <c r="E129" i="186"/>
  <c r="D129" i="186"/>
  <c r="C129" i="186"/>
  <c r="E128" i="186"/>
  <c r="D128" i="186"/>
  <c r="C128" i="186"/>
  <c r="E123" i="186"/>
  <c r="D123" i="186"/>
  <c r="C123" i="186"/>
  <c r="E122" i="186"/>
  <c r="D122" i="186"/>
  <c r="C122" i="186"/>
  <c r="E121" i="186"/>
  <c r="D121" i="186"/>
  <c r="C121" i="186"/>
  <c r="E120" i="186"/>
  <c r="D120" i="186"/>
  <c r="C120" i="186"/>
  <c r="E119" i="186"/>
  <c r="D119" i="186"/>
  <c r="C119" i="186"/>
  <c r="E115" i="186"/>
  <c r="D115" i="186"/>
  <c r="C115" i="186"/>
  <c r="E114" i="186"/>
  <c r="D114" i="186"/>
  <c r="C114" i="186"/>
  <c r="E113" i="186"/>
  <c r="D113" i="186"/>
  <c r="C113" i="186"/>
  <c r="E112" i="186"/>
  <c r="D112" i="186"/>
  <c r="C112" i="186"/>
  <c r="E111" i="186"/>
  <c r="D111" i="186"/>
  <c r="C111" i="186"/>
  <c r="E110" i="186"/>
  <c r="D110" i="186"/>
  <c r="C110" i="186"/>
  <c r="E106" i="186"/>
  <c r="D106" i="186"/>
  <c r="C106" i="186"/>
  <c r="E105" i="186"/>
  <c r="D105" i="186"/>
  <c r="C105" i="186"/>
  <c r="E104" i="186"/>
  <c r="D104" i="186"/>
  <c r="C104" i="186"/>
  <c r="E103" i="186"/>
  <c r="D103" i="186"/>
  <c r="C103" i="186"/>
  <c r="E102" i="186"/>
  <c r="D102" i="186"/>
  <c r="C102" i="186"/>
  <c r="E101" i="186"/>
  <c r="D101" i="186"/>
  <c r="C101" i="186"/>
  <c r="E97" i="186"/>
  <c r="D97" i="186"/>
  <c r="C97" i="186"/>
  <c r="E96" i="186"/>
  <c r="D96" i="186"/>
  <c r="C96" i="186"/>
  <c r="E95" i="186"/>
  <c r="D95" i="186"/>
  <c r="C95" i="186"/>
  <c r="E94" i="186"/>
  <c r="D94" i="186"/>
  <c r="C94" i="186"/>
  <c r="E93" i="186"/>
  <c r="D93" i="186"/>
  <c r="C93" i="186"/>
  <c r="E92" i="186"/>
  <c r="D92" i="186"/>
  <c r="C92" i="186"/>
  <c r="E91" i="186"/>
  <c r="D91" i="186"/>
  <c r="C91" i="186"/>
  <c r="E90" i="186"/>
  <c r="D90" i="186"/>
  <c r="C90" i="186"/>
  <c r="E89" i="186"/>
  <c r="D89" i="186"/>
  <c r="C89" i="186"/>
  <c r="E88" i="186"/>
  <c r="D88" i="186"/>
  <c r="C88" i="186"/>
  <c r="E87" i="186"/>
  <c r="D87" i="186"/>
  <c r="C87" i="186"/>
  <c r="E83" i="186"/>
  <c r="D83" i="186"/>
  <c r="C83" i="186"/>
  <c r="E82" i="186"/>
  <c r="D82" i="186"/>
  <c r="C82" i="186"/>
  <c r="E81" i="186"/>
  <c r="D81" i="186"/>
  <c r="C81" i="186"/>
  <c r="E80" i="186"/>
  <c r="D80" i="186"/>
  <c r="C80" i="186"/>
  <c r="E79" i="186"/>
  <c r="D79" i="186"/>
  <c r="C79" i="186"/>
  <c r="E78" i="186"/>
  <c r="D78" i="186"/>
  <c r="C78" i="186"/>
  <c r="E77" i="186"/>
  <c r="D77" i="186"/>
  <c r="C77" i="186"/>
  <c r="E76" i="186"/>
  <c r="D76" i="186"/>
  <c r="C76" i="186"/>
  <c r="E75" i="186"/>
  <c r="D75" i="186"/>
  <c r="C75" i="186"/>
  <c r="E74" i="186"/>
  <c r="D74" i="186"/>
  <c r="C74" i="186"/>
  <c r="E73" i="186"/>
  <c r="D73" i="186"/>
  <c r="C73" i="186"/>
  <c r="E72" i="186"/>
  <c r="D72" i="186"/>
  <c r="C72" i="186"/>
  <c r="E71" i="186"/>
  <c r="D71" i="186"/>
  <c r="C71" i="186"/>
  <c r="E70" i="186"/>
  <c r="D70" i="186"/>
  <c r="C70" i="186"/>
  <c r="E69" i="186"/>
  <c r="D69" i="186"/>
  <c r="C69" i="186"/>
  <c r="E65" i="186"/>
  <c r="D65" i="186"/>
  <c r="C65" i="186"/>
  <c r="E64" i="186"/>
  <c r="D64" i="186"/>
  <c r="C64" i="186"/>
  <c r="E63" i="186"/>
  <c r="D63" i="186"/>
  <c r="C63" i="186"/>
  <c r="E62" i="186"/>
  <c r="D62" i="186"/>
  <c r="C62" i="186"/>
  <c r="E61" i="186"/>
  <c r="D61" i="186"/>
  <c r="C61" i="186"/>
  <c r="E60" i="186"/>
  <c r="D60" i="186"/>
  <c r="C60" i="186"/>
  <c r="E59" i="186"/>
  <c r="D59" i="186"/>
  <c r="C59" i="186"/>
  <c r="E58" i="186"/>
  <c r="D58" i="186"/>
  <c r="C58" i="186"/>
  <c r="E57" i="186"/>
  <c r="D57" i="186"/>
  <c r="C57" i="186"/>
  <c r="E56" i="186"/>
  <c r="D56" i="186"/>
  <c r="C56" i="186"/>
  <c r="E55" i="186"/>
  <c r="D55" i="186"/>
  <c r="C55" i="186"/>
  <c r="E54" i="186"/>
  <c r="D54" i="186"/>
  <c r="C54" i="186"/>
  <c r="E53" i="186"/>
  <c r="D53" i="186"/>
  <c r="C53" i="186"/>
  <c r="E52" i="186"/>
  <c r="D52" i="186"/>
  <c r="C52" i="186"/>
  <c r="E51" i="186"/>
  <c r="D51" i="186"/>
  <c r="C51" i="186"/>
  <c r="E50" i="186"/>
  <c r="D50" i="186"/>
  <c r="C50" i="186"/>
  <c r="E49" i="186"/>
  <c r="D49" i="186"/>
  <c r="C49" i="186"/>
  <c r="E48" i="186"/>
  <c r="D48" i="186"/>
  <c r="C48" i="186"/>
  <c r="E47" i="186"/>
  <c r="D47" i="186"/>
  <c r="C47" i="186"/>
  <c r="E46" i="186"/>
  <c r="D46" i="186"/>
  <c r="C46" i="186"/>
  <c r="E45" i="186"/>
  <c r="D45" i="186"/>
  <c r="C45" i="186"/>
  <c r="E44" i="186"/>
  <c r="D44" i="186"/>
  <c r="C44" i="186"/>
  <c r="E43" i="186"/>
  <c r="D43" i="186"/>
  <c r="C43" i="186"/>
  <c r="E42" i="186"/>
  <c r="D42" i="186"/>
  <c r="C42" i="186"/>
  <c r="E41" i="186"/>
  <c r="D41" i="186"/>
  <c r="C41" i="186"/>
  <c r="E40" i="186"/>
  <c r="D40" i="186"/>
  <c r="C40" i="186"/>
  <c r="E39" i="186"/>
  <c r="D39" i="186"/>
  <c r="C39" i="186"/>
  <c r="E38" i="186"/>
  <c r="D38" i="186"/>
  <c r="C38" i="186"/>
  <c r="E37" i="186"/>
  <c r="D37" i="186"/>
  <c r="C37" i="186"/>
  <c r="E36" i="186"/>
  <c r="D36" i="186"/>
  <c r="C36" i="186"/>
  <c r="E35" i="186"/>
  <c r="D35" i="186"/>
  <c r="C35" i="186"/>
  <c r="E34" i="186"/>
  <c r="D34" i="186"/>
  <c r="C34" i="186"/>
  <c r="E33" i="186"/>
  <c r="D33" i="186"/>
  <c r="C33" i="186"/>
  <c r="E32" i="186"/>
  <c r="D32" i="186"/>
  <c r="C32" i="186"/>
  <c r="E31" i="186"/>
  <c r="D31" i="186"/>
  <c r="C31" i="186"/>
  <c r="E30" i="186"/>
  <c r="D30" i="186"/>
  <c r="C30" i="186"/>
  <c r="D25" i="186"/>
  <c r="C25" i="186"/>
  <c r="D24" i="186"/>
  <c r="C24" i="186"/>
  <c r="D23" i="186"/>
  <c r="C23" i="186"/>
  <c r="D22" i="186"/>
  <c r="C22" i="186"/>
  <c r="D21" i="186"/>
  <c r="C21" i="186"/>
  <c r="D20" i="186"/>
  <c r="C20" i="186"/>
  <c r="D19" i="186"/>
  <c r="C19" i="186"/>
  <c r="D18" i="186"/>
  <c r="C18" i="186"/>
  <c r="D17" i="186"/>
  <c r="C17" i="186"/>
  <c r="D16" i="186"/>
  <c r="D26" i="186" s="1"/>
  <c r="C16" i="186"/>
  <c r="D15" i="186"/>
  <c r="C15" i="186"/>
  <c r="D14" i="186"/>
  <c r="C14" i="186"/>
  <c r="D13" i="186"/>
  <c r="C13" i="186"/>
  <c r="D12" i="186"/>
  <c r="C12" i="186"/>
  <c r="C4" i="186"/>
  <c r="C3" i="186"/>
  <c r="J15" i="190" l="1"/>
  <c r="J24" i="190"/>
  <c r="J22" i="190"/>
  <c r="M23" i="189"/>
  <c r="G213" i="189"/>
  <c r="J20" i="190"/>
  <c r="M16" i="190"/>
  <c r="J14" i="190"/>
  <c r="F26" i="189"/>
  <c r="J12" i="190"/>
  <c r="J18" i="190"/>
  <c r="J19" i="190"/>
  <c r="J17" i="190"/>
  <c r="J13" i="190"/>
  <c r="J26" i="190"/>
  <c r="J21" i="190"/>
  <c r="J23" i="190"/>
  <c r="J25" i="190"/>
  <c r="F12" i="186"/>
  <c r="I12" i="186" s="1"/>
  <c r="I15" i="189"/>
  <c r="I18" i="189"/>
  <c r="I31" i="189"/>
  <c r="I45" i="189"/>
  <c r="I52" i="189"/>
  <c r="I154" i="189"/>
  <c r="I227" i="189"/>
  <c r="I25" i="189"/>
  <c r="I35" i="189"/>
  <c r="I37" i="189"/>
  <c r="I130" i="189"/>
  <c r="I62" i="189"/>
  <c r="I63" i="189"/>
  <c r="I76" i="189"/>
  <c r="I150" i="189"/>
  <c r="I231" i="189"/>
  <c r="C238" i="186"/>
  <c r="I22" i="189"/>
  <c r="I40" i="189"/>
  <c r="D220" i="189"/>
  <c r="I13" i="189"/>
  <c r="I21" i="189"/>
  <c r="I24" i="189"/>
  <c r="I38" i="189"/>
  <c r="I39" i="189"/>
  <c r="I48" i="189"/>
  <c r="I75" i="189"/>
  <c r="I106" i="189"/>
  <c r="I112" i="189"/>
  <c r="I121" i="189"/>
  <c r="I140" i="189"/>
  <c r="I147" i="189"/>
  <c r="I163" i="189"/>
  <c r="I175" i="189"/>
  <c r="I225" i="189"/>
  <c r="I229" i="189"/>
  <c r="F220" i="190"/>
  <c r="I17" i="189"/>
  <c r="I55" i="189"/>
  <c r="I64" i="189"/>
  <c r="I82" i="189"/>
  <c r="I102" i="189"/>
  <c r="I158" i="189"/>
  <c r="I236" i="189"/>
  <c r="I23" i="189"/>
  <c r="I32" i="189"/>
  <c r="I34" i="189"/>
  <c r="I36" i="189"/>
  <c r="I53" i="189"/>
  <c r="I70" i="189"/>
  <c r="I72" i="189"/>
  <c r="I78" i="189"/>
  <c r="I104" i="189"/>
  <c r="I135" i="189"/>
  <c r="I142" i="189"/>
  <c r="I162" i="189"/>
  <c r="I170" i="189"/>
  <c r="I173" i="189"/>
  <c r="I174" i="189"/>
  <c r="I178" i="189"/>
  <c r="F233" i="189"/>
  <c r="I228" i="189"/>
  <c r="I232" i="189"/>
  <c r="I237" i="189"/>
  <c r="I243" i="190"/>
  <c r="I19" i="189"/>
  <c r="I20" i="189"/>
  <c r="I42" i="189"/>
  <c r="I43" i="189"/>
  <c r="I49" i="189"/>
  <c r="I56" i="189"/>
  <c r="I65" i="189"/>
  <c r="I69" i="189"/>
  <c r="I71" i="189"/>
  <c r="I77" i="189"/>
  <c r="I79" i="189"/>
  <c r="I132" i="189"/>
  <c r="I137" i="189"/>
  <c r="I145" i="189"/>
  <c r="I152" i="189"/>
  <c r="I156" i="189"/>
  <c r="I160" i="189"/>
  <c r="I164" i="189"/>
  <c r="I171" i="189"/>
  <c r="I201" i="189"/>
  <c r="I226" i="189"/>
  <c r="I230" i="189"/>
  <c r="C26" i="186"/>
  <c r="C84" i="186"/>
  <c r="C116" i="186"/>
  <c r="E116" i="186"/>
  <c r="E124" i="186"/>
  <c r="D211" i="186"/>
  <c r="D84" i="186"/>
  <c r="C98" i="186"/>
  <c r="C124" i="186"/>
  <c r="C166" i="186"/>
  <c r="D166" i="186"/>
  <c r="D202" i="186"/>
  <c r="E84" i="186"/>
  <c r="D98" i="186"/>
  <c r="C107" i="186"/>
  <c r="E107" i="186"/>
  <c r="E166" i="186"/>
  <c r="E202" i="186"/>
  <c r="C233" i="186"/>
  <c r="E98" i="186"/>
  <c r="D107" i="186"/>
  <c r="D116" i="186"/>
  <c r="D124" i="186"/>
  <c r="C202" i="186"/>
  <c r="C211" i="186"/>
  <c r="E211" i="186"/>
  <c r="I213" i="190"/>
  <c r="I224" i="189"/>
  <c r="O17" i="189"/>
  <c r="F90" i="189"/>
  <c r="I119" i="189"/>
  <c r="F181" i="189"/>
  <c r="F238" i="189"/>
  <c r="F240" i="189" s="1"/>
  <c r="F242" i="189" s="1"/>
  <c r="F46" i="189"/>
  <c r="F50" i="189"/>
  <c r="F54" i="189"/>
  <c r="F58" i="189"/>
  <c r="F59" i="189"/>
  <c r="F60" i="189"/>
  <c r="F61" i="189"/>
  <c r="F73" i="189"/>
  <c r="F101" i="189"/>
  <c r="F131" i="189"/>
  <c r="F136" i="189"/>
  <c r="F47" i="189"/>
  <c r="F51" i="189"/>
  <c r="F57" i="189"/>
  <c r="F74" i="189"/>
  <c r="F80" i="189"/>
  <c r="F83" i="189"/>
  <c r="F96" i="189"/>
  <c r="F122" i="189"/>
  <c r="F14" i="189"/>
  <c r="I30" i="189"/>
  <c r="F33" i="189"/>
  <c r="F41" i="189"/>
  <c r="F44" i="189"/>
  <c r="F81" i="189"/>
  <c r="F103" i="189"/>
  <c r="F105" i="189"/>
  <c r="F120" i="189"/>
  <c r="F129" i="189"/>
  <c r="F134" i="189"/>
  <c r="F138" i="189"/>
  <c r="H213" i="189"/>
  <c r="F87" i="189"/>
  <c r="F91" i="189"/>
  <c r="F94" i="189"/>
  <c r="F97" i="189"/>
  <c r="F143" i="189"/>
  <c r="F148" i="189"/>
  <c r="F153" i="189"/>
  <c r="F169" i="189"/>
  <c r="F177" i="189"/>
  <c r="F88" i="189"/>
  <c r="F92" i="189"/>
  <c r="F113" i="189"/>
  <c r="F115" i="189"/>
  <c r="F157" i="189"/>
  <c r="F161" i="189"/>
  <c r="F208" i="189"/>
  <c r="F89" i="189"/>
  <c r="F93" i="189"/>
  <c r="F95" i="189"/>
  <c r="F110" i="189"/>
  <c r="F123" i="189"/>
  <c r="I128" i="189"/>
  <c r="F165" i="189"/>
  <c r="F111" i="189"/>
  <c r="F114" i="189"/>
  <c r="F141" i="189"/>
  <c r="F146" i="189"/>
  <c r="F151" i="189"/>
  <c r="F155" i="189"/>
  <c r="F172" i="189"/>
  <c r="F176" i="189"/>
  <c r="F183" i="189"/>
  <c r="F185" i="189"/>
  <c r="F187" i="189"/>
  <c r="F189" i="189"/>
  <c r="F191" i="189"/>
  <c r="F193" i="189"/>
  <c r="F197" i="189"/>
  <c r="F206" i="189"/>
  <c r="F180" i="189"/>
  <c r="F179" i="189"/>
  <c r="F182" i="189"/>
  <c r="F184" i="189"/>
  <c r="F186" i="189"/>
  <c r="F188" i="189"/>
  <c r="F190" i="189"/>
  <c r="F192" i="189"/>
  <c r="F195" i="189"/>
  <c r="F199" i="189"/>
  <c r="F194" i="189"/>
  <c r="F196" i="189"/>
  <c r="F198" i="189"/>
  <c r="F200" i="189"/>
  <c r="F209" i="189"/>
  <c r="F207" i="189"/>
  <c r="F210" i="189"/>
  <c r="F205" i="189"/>
  <c r="D66" i="186"/>
  <c r="C66" i="186"/>
  <c r="E66" i="186"/>
  <c r="D213" i="186" l="1"/>
  <c r="G220" i="189"/>
  <c r="O24" i="189"/>
  <c r="I233" i="189"/>
  <c r="O106" i="189" s="1"/>
  <c r="O20" i="189"/>
  <c r="O23" i="189"/>
  <c r="O19" i="189"/>
  <c r="H220" i="189"/>
  <c r="E213" i="186"/>
  <c r="E220" i="186" s="1"/>
  <c r="C213" i="186"/>
  <c r="O18" i="189"/>
  <c r="I198" i="189"/>
  <c r="I186" i="189"/>
  <c r="I193" i="189"/>
  <c r="I176" i="189"/>
  <c r="I208" i="189"/>
  <c r="I148" i="189"/>
  <c r="I96" i="189"/>
  <c r="I58" i="189"/>
  <c r="I196" i="189"/>
  <c r="I195" i="189"/>
  <c r="I151" i="189"/>
  <c r="I111" i="189"/>
  <c r="I157" i="189"/>
  <c r="I134" i="189"/>
  <c r="I122" i="189"/>
  <c r="I57" i="189"/>
  <c r="I61" i="189"/>
  <c r="O22" i="189"/>
  <c r="M19" i="189"/>
  <c r="I210" i="189"/>
  <c r="O35" i="189"/>
  <c r="I190" i="189"/>
  <c r="I180" i="189"/>
  <c r="I185" i="189"/>
  <c r="I114" i="189"/>
  <c r="I93" i="189"/>
  <c r="I88" i="189"/>
  <c r="I97" i="189"/>
  <c r="I33" i="189"/>
  <c r="I74" i="189"/>
  <c r="I46" i="189"/>
  <c r="I194" i="189"/>
  <c r="I192" i="189"/>
  <c r="I197" i="189"/>
  <c r="I187" i="189"/>
  <c r="I146" i="189"/>
  <c r="I177" i="189"/>
  <c r="I44" i="189"/>
  <c r="I14" i="189"/>
  <c r="I83" i="189"/>
  <c r="I51" i="189"/>
  <c r="I131" i="189"/>
  <c r="I60" i="189"/>
  <c r="I54" i="189"/>
  <c r="I181" i="189"/>
  <c r="O21" i="189"/>
  <c r="F241" i="189"/>
  <c r="I182" i="189"/>
  <c r="I206" i="189"/>
  <c r="I189" i="189"/>
  <c r="I155" i="189"/>
  <c r="I113" i="189"/>
  <c r="I105" i="189"/>
  <c r="I73" i="189"/>
  <c r="I238" i="189"/>
  <c r="I209" i="189"/>
  <c r="I188" i="189"/>
  <c r="I184" i="189"/>
  <c r="I191" i="189"/>
  <c r="I183" i="189"/>
  <c r="I89" i="189"/>
  <c r="I92" i="189"/>
  <c r="I153" i="189"/>
  <c r="I143" i="189"/>
  <c r="I94" i="189"/>
  <c r="I129" i="189"/>
  <c r="I120" i="189"/>
  <c r="I81" i="189"/>
  <c r="I90" i="189"/>
  <c r="I207" i="189"/>
  <c r="I200" i="189"/>
  <c r="I199" i="189"/>
  <c r="I179" i="189"/>
  <c r="I172" i="189"/>
  <c r="I141" i="189"/>
  <c r="I165" i="189"/>
  <c r="I123" i="189"/>
  <c r="I95" i="189"/>
  <c r="I161" i="189"/>
  <c r="I115" i="189"/>
  <c r="I91" i="189"/>
  <c r="I138" i="189"/>
  <c r="I103" i="189"/>
  <c r="I41" i="189"/>
  <c r="I80" i="189"/>
  <c r="I47" i="189"/>
  <c r="I136" i="189"/>
  <c r="I59" i="189"/>
  <c r="I50" i="189"/>
  <c r="D220" i="186"/>
  <c r="O213" i="190"/>
  <c r="J211" i="190"/>
  <c r="J210" i="190"/>
  <c r="J209" i="190"/>
  <c r="J208" i="190"/>
  <c r="J207" i="190"/>
  <c r="J206" i="190"/>
  <c r="J205" i="190"/>
  <c r="J202" i="190"/>
  <c r="J200" i="190"/>
  <c r="J196" i="190"/>
  <c r="J192" i="190"/>
  <c r="J188" i="190"/>
  <c r="J166" i="190"/>
  <c r="J199" i="190"/>
  <c r="J195" i="190"/>
  <c r="J191" i="190"/>
  <c r="J187" i="190"/>
  <c r="J186" i="190"/>
  <c r="J185" i="190"/>
  <c r="J184" i="190"/>
  <c r="J183" i="190"/>
  <c r="J182" i="190"/>
  <c r="J181" i="190"/>
  <c r="J180" i="190"/>
  <c r="J179" i="190"/>
  <c r="J178" i="190"/>
  <c r="J177" i="190"/>
  <c r="J176" i="190"/>
  <c r="J175" i="190"/>
  <c r="J174" i="190"/>
  <c r="J173" i="190"/>
  <c r="J172" i="190"/>
  <c r="J171" i="190"/>
  <c r="J170" i="190"/>
  <c r="J169" i="190"/>
  <c r="J213" i="190"/>
  <c r="J198" i="190"/>
  <c r="J194" i="190"/>
  <c r="J190" i="190"/>
  <c r="J165" i="190"/>
  <c r="J164" i="190"/>
  <c r="J163" i="190"/>
  <c r="J162" i="190"/>
  <c r="J161" i="190"/>
  <c r="J160" i="190"/>
  <c r="J158" i="190"/>
  <c r="J157" i="190"/>
  <c r="J156" i="190"/>
  <c r="J155" i="190"/>
  <c r="J154" i="190"/>
  <c r="J153" i="190"/>
  <c r="J152" i="190"/>
  <c r="J151" i="190"/>
  <c r="J150" i="190"/>
  <c r="J148" i="190"/>
  <c r="J147" i="190"/>
  <c r="J146" i="190"/>
  <c r="J145" i="190"/>
  <c r="J143" i="190"/>
  <c r="J142" i="190"/>
  <c r="J141" i="190"/>
  <c r="J140" i="190"/>
  <c r="J138" i="190"/>
  <c r="J137" i="190"/>
  <c r="J136" i="190"/>
  <c r="J135" i="190"/>
  <c r="J134" i="190"/>
  <c r="J132" i="190"/>
  <c r="J131" i="190"/>
  <c r="J130" i="190"/>
  <c r="J129" i="190"/>
  <c r="J128" i="190"/>
  <c r="J116" i="190"/>
  <c r="J97" i="190"/>
  <c r="J96" i="190"/>
  <c r="J95" i="190"/>
  <c r="J94" i="190"/>
  <c r="J93" i="190"/>
  <c r="J92" i="190"/>
  <c r="J121" i="190"/>
  <c r="J112" i="190"/>
  <c r="J110" i="190"/>
  <c r="J107" i="190"/>
  <c r="J105" i="190"/>
  <c r="J91" i="190"/>
  <c r="J90" i="190"/>
  <c r="J89" i="190"/>
  <c r="J88" i="190"/>
  <c r="J87" i="190"/>
  <c r="J193" i="190"/>
  <c r="J189" i="190"/>
  <c r="J122" i="190"/>
  <c r="J115" i="190"/>
  <c r="J197" i="190"/>
  <c r="J123" i="190"/>
  <c r="J119" i="190"/>
  <c r="J114" i="190"/>
  <c r="J111" i="190"/>
  <c r="J103" i="190"/>
  <c r="J83" i="190"/>
  <c r="J82" i="190"/>
  <c r="J81" i="190"/>
  <c r="J80" i="190"/>
  <c r="J79" i="190"/>
  <c r="J78" i="190"/>
  <c r="J77" i="190"/>
  <c r="J76" i="190"/>
  <c r="J75" i="190"/>
  <c r="J74" i="190"/>
  <c r="J73" i="190"/>
  <c r="J72" i="190"/>
  <c r="J71" i="190"/>
  <c r="J70" i="190"/>
  <c r="J69" i="190"/>
  <c r="J113" i="190"/>
  <c r="J104" i="190"/>
  <c r="J101" i="190"/>
  <c r="J98" i="190"/>
  <c r="J63" i="190"/>
  <c r="J59" i="190"/>
  <c r="J55" i="190"/>
  <c r="J51" i="190"/>
  <c r="J47" i="190"/>
  <c r="J201" i="190"/>
  <c r="J124" i="190"/>
  <c r="J64" i="190"/>
  <c r="J60" i="190"/>
  <c r="J56" i="190"/>
  <c r="J52" i="190"/>
  <c r="J48" i="190"/>
  <c r="J44" i="190"/>
  <c r="J41" i="190"/>
  <c r="J40" i="190"/>
  <c r="J106" i="190"/>
  <c r="J102" i="190"/>
  <c r="J84" i="190"/>
  <c r="J65" i="190"/>
  <c r="J61" i="190"/>
  <c r="J57" i="190"/>
  <c r="J53" i="190"/>
  <c r="J49" i="190"/>
  <c r="J45" i="190"/>
  <c r="J42" i="190"/>
  <c r="J120" i="190"/>
  <c r="J43" i="190"/>
  <c r="J38" i="190"/>
  <c r="J35" i="190"/>
  <c r="J32" i="190"/>
  <c r="J34" i="190"/>
  <c r="J31" i="190"/>
  <c r="J33" i="190"/>
  <c r="M17" i="190"/>
  <c r="J62" i="190"/>
  <c r="J37" i="190"/>
  <c r="J30" i="190"/>
  <c r="J66" i="190"/>
  <c r="J58" i="190"/>
  <c r="J54" i="190"/>
  <c r="J50" i="190"/>
  <c r="J46" i="190"/>
  <c r="J39" i="190"/>
  <c r="J36" i="190"/>
  <c r="I220" i="190"/>
  <c r="F243" i="189"/>
  <c r="O137" i="189"/>
  <c r="O164" i="189"/>
  <c r="O30" i="189"/>
  <c r="O174" i="189"/>
  <c r="O147" i="189"/>
  <c r="O152" i="189"/>
  <c r="F84" i="189"/>
  <c r="O70" i="189"/>
  <c r="O145" i="189"/>
  <c r="F66" i="189"/>
  <c r="O104" i="189"/>
  <c r="O119" i="189"/>
  <c r="O34" i="189"/>
  <c r="O64" i="189"/>
  <c r="O52" i="189"/>
  <c r="O40" i="189"/>
  <c r="F166" i="189"/>
  <c r="O173" i="189"/>
  <c r="O175" i="189"/>
  <c r="O72" i="189"/>
  <c r="O142" i="189"/>
  <c r="F124" i="189"/>
  <c r="O48" i="189"/>
  <c r="O62" i="189"/>
  <c r="O49" i="189"/>
  <c r="O39" i="189"/>
  <c r="F211" i="189"/>
  <c r="I205" i="189"/>
  <c r="O178" i="189"/>
  <c r="O197" i="189"/>
  <c r="I169" i="189"/>
  <c r="F202" i="189"/>
  <c r="O201" i="189"/>
  <c r="F107" i="189"/>
  <c r="I101" i="189"/>
  <c r="O71" i="189"/>
  <c r="O45" i="189"/>
  <c r="O42" i="189"/>
  <c r="J232" i="189"/>
  <c r="J229" i="189"/>
  <c r="J228" i="189"/>
  <c r="J225" i="189"/>
  <c r="J224" i="189"/>
  <c r="O158" i="189"/>
  <c r="O140" i="189"/>
  <c r="O135" i="189"/>
  <c r="O130" i="189"/>
  <c r="F116" i="189"/>
  <c r="I110" i="189"/>
  <c r="O160" i="189"/>
  <c r="F98" i="189"/>
  <c r="I87" i="189"/>
  <c r="O38" i="189"/>
  <c r="O77" i="189"/>
  <c r="O31" i="189"/>
  <c r="C217" i="186"/>
  <c r="C220" i="186"/>
  <c r="J226" i="189" l="1"/>
  <c r="O69" i="189"/>
  <c r="O171" i="189"/>
  <c r="O76" i="189"/>
  <c r="O36" i="189"/>
  <c r="O65" i="189"/>
  <c r="O156" i="189"/>
  <c r="O78" i="189"/>
  <c r="O170" i="189"/>
  <c r="O37" i="189"/>
  <c r="O154" i="189"/>
  <c r="M18" i="189"/>
  <c r="O162" i="189"/>
  <c r="J230" i="189"/>
  <c r="O56" i="189"/>
  <c r="O75" i="189"/>
  <c r="O32" i="189"/>
  <c r="O63" i="189"/>
  <c r="O55" i="189"/>
  <c r="O132" i="189"/>
  <c r="J233" i="189"/>
  <c r="J227" i="189"/>
  <c r="J231" i="189"/>
  <c r="O79" i="189"/>
  <c r="O121" i="189"/>
  <c r="O163" i="189"/>
  <c r="O43" i="189"/>
  <c r="O150" i="189"/>
  <c r="O194" i="189"/>
  <c r="O53" i="189"/>
  <c r="O82" i="189"/>
  <c r="O112" i="189"/>
  <c r="O102" i="189"/>
  <c r="O128" i="189"/>
  <c r="O182" i="189"/>
  <c r="O94" i="189"/>
  <c r="O141" i="189"/>
  <c r="O131" i="189"/>
  <c r="O54" i="189"/>
  <c r="O44" i="189"/>
  <c r="O185" i="189"/>
  <c r="O74" i="189"/>
  <c r="O97" i="189"/>
  <c r="O83" i="189"/>
  <c r="O93" i="189"/>
  <c r="O146" i="189"/>
  <c r="O190" i="189"/>
  <c r="O41" i="189"/>
  <c r="O165" i="189"/>
  <c r="O199" i="189"/>
  <c r="O136" i="189"/>
  <c r="O179" i="189"/>
  <c r="O183" i="189"/>
  <c r="O151" i="189"/>
  <c r="O189" i="189"/>
  <c r="O184" i="189"/>
  <c r="O59" i="189"/>
  <c r="O96" i="189"/>
  <c r="O95" i="189"/>
  <c r="O73" i="189"/>
  <c r="O92" i="189"/>
  <c r="O157" i="189"/>
  <c r="O143" i="189"/>
  <c r="O81" i="189"/>
  <c r="O115" i="189"/>
  <c r="I16" i="189"/>
  <c r="O122" i="189"/>
  <c r="O129" i="189"/>
  <c r="O47" i="189"/>
  <c r="O193" i="189"/>
  <c r="O196" i="189"/>
  <c r="O33" i="189"/>
  <c r="O209" i="189"/>
  <c r="O61" i="189"/>
  <c r="O51" i="189"/>
  <c r="O113" i="189"/>
  <c r="O208" i="189"/>
  <c r="O172" i="189"/>
  <c r="O50" i="189"/>
  <c r="O57" i="189"/>
  <c r="O134" i="189"/>
  <c r="O89" i="189"/>
  <c r="O111" i="189"/>
  <c r="O105" i="189"/>
  <c r="O58" i="189"/>
  <c r="O90" i="189"/>
  <c r="O103" i="189"/>
  <c r="O191" i="189"/>
  <c r="O186" i="189"/>
  <c r="O148" i="189"/>
  <c r="I84" i="189"/>
  <c r="O84" i="189" s="1"/>
  <c r="O80" i="189"/>
  <c r="O153" i="189"/>
  <c r="O161" i="189"/>
  <c r="O176" i="189"/>
  <c r="O206" i="189"/>
  <c r="O188" i="189"/>
  <c r="O200" i="189"/>
  <c r="O155" i="189"/>
  <c r="O91" i="189"/>
  <c r="O138" i="189"/>
  <c r="I166" i="189"/>
  <c r="O166" i="189" s="1"/>
  <c r="O120" i="189"/>
  <c r="I124" i="189"/>
  <c r="O124" i="189" s="1"/>
  <c r="O123" i="189"/>
  <c r="O180" i="189"/>
  <c r="O88" i="189"/>
  <c r="O114" i="189"/>
  <c r="I66" i="189"/>
  <c r="O66" i="189" s="1"/>
  <c r="I240" i="189"/>
  <c r="O195" i="189"/>
  <c r="O46" i="189"/>
  <c r="O177" i="189"/>
  <c r="O187" i="189"/>
  <c r="O181" i="189"/>
  <c r="O192" i="189"/>
  <c r="O210" i="189"/>
  <c r="O60" i="189"/>
  <c r="O207" i="189"/>
  <c r="O198" i="189"/>
  <c r="F213" i="189"/>
  <c r="I98" i="189"/>
  <c r="O98" i="189" s="1"/>
  <c r="O87" i="189"/>
  <c r="I116" i="189"/>
  <c r="O116" i="189" s="1"/>
  <c r="O110" i="189"/>
  <c r="I211" i="189"/>
  <c r="O211" i="189" s="1"/>
  <c r="O205" i="189"/>
  <c r="O101" i="189"/>
  <c r="I107" i="189"/>
  <c r="O107" i="189" s="1"/>
  <c r="I202" i="189"/>
  <c r="O202" i="189" s="1"/>
  <c r="O169" i="189"/>
  <c r="I26" i="189" l="1"/>
  <c r="O16" i="189"/>
  <c r="F220" i="189"/>
  <c r="M20" i="189"/>
  <c r="I242" i="189"/>
  <c r="I241" i="189"/>
  <c r="I213" i="189"/>
  <c r="J18" i="189" l="1"/>
  <c r="J20" i="189"/>
  <c r="J23" i="189"/>
  <c r="J25" i="189"/>
  <c r="J24" i="189"/>
  <c r="J12" i="189"/>
  <c r="J19" i="189"/>
  <c r="J16" i="189"/>
  <c r="J26" i="189"/>
  <c r="J21" i="189"/>
  <c r="J14" i="189"/>
  <c r="O26" i="189"/>
  <c r="J15" i="189"/>
  <c r="J17" i="189"/>
  <c r="J22" i="189"/>
  <c r="J13" i="189"/>
  <c r="M16" i="189"/>
  <c r="I243" i="189"/>
  <c r="O213" i="189"/>
  <c r="J211" i="189"/>
  <c r="J201" i="189"/>
  <c r="J200" i="189"/>
  <c r="J199" i="189"/>
  <c r="J198" i="189"/>
  <c r="J197" i="189"/>
  <c r="J196" i="189"/>
  <c r="J195" i="189"/>
  <c r="J194" i="189"/>
  <c r="J193" i="189"/>
  <c r="J192" i="189"/>
  <c r="J191" i="189"/>
  <c r="J190" i="189"/>
  <c r="J189" i="189"/>
  <c r="J188" i="189"/>
  <c r="J187" i="189"/>
  <c r="J186" i="189"/>
  <c r="J185" i="189"/>
  <c r="J184" i="189"/>
  <c r="J183" i="189"/>
  <c r="J182" i="189"/>
  <c r="J181" i="189"/>
  <c r="J180" i="189"/>
  <c r="J179" i="189"/>
  <c r="J205" i="189"/>
  <c r="J213" i="189"/>
  <c r="J210" i="189"/>
  <c r="J207" i="189"/>
  <c r="J209" i="189"/>
  <c r="J165" i="189"/>
  <c r="J164" i="189"/>
  <c r="J163" i="189"/>
  <c r="J162" i="189"/>
  <c r="J161" i="189"/>
  <c r="J160" i="189"/>
  <c r="J158" i="189"/>
  <c r="J157" i="189"/>
  <c r="J156" i="189"/>
  <c r="J155" i="189"/>
  <c r="J154" i="189"/>
  <c r="J153" i="189"/>
  <c r="J152" i="189"/>
  <c r="J151" i="189"/>
  <c r="J150" i="189"/>
  <c r="J148" i="189"/>
  <c r="J147" i="189"/>
  <c r="J146" i="189"/>
  <c r="J145" i="189"/>
  <c r="J143" i="189"/>
  <c r="J142" i="189"/>
  <c r="J141" i="189"/>
  <c r="J140" i="189"/>
  <c r="J138" i="189"/>
  <c r="J137" i="189"/>
  <c r="J136" i="189"/>
  <c r="J135" i="189"/>
  <c r="J134" i="189"/>
  <c r="J132" i="189"/>
  <c r="J131" i="189"/>
  <c r="J130" i="189"/>
  <c r="J129" i="189"/>
  <c r="J128" i="189"/>
  <c r="J116" i="189"/>
  <c r="J208" i="189"/>
  <c r="J177" i="189"/>
  <c r="J173" i="189"/>
  <c r="J121" i="189"/>
  <c r="J176" i="189"/>
  <c r="J172" i="189"/>
  <c r="J169" i="189"/>
  <c r="J202" i="189"/>
  <c r="J175" i="189"/>
  <c r="J170" i="189"/>
  <c r="J166" i="189"/>
  <c r="J123" i="189"/>
  <c r="J119" i="189"/>
  <c r="J114" i="189"/>
  <c r="J111" i="189"/>
  <c r="J103" i="189"/>
  <c r="J98" i="189"/>
  <c r="J83" i="189"/>
  <c r="J82" i="189"/>
  <c r="J81" i="189"/>
  <c r="J80" i="189"/>
  <c r="J79" i="189"/>
  <c r="J78" i="189"/>
  <c r="J77" i="189"/>
  <c r="J76" i="189"/>
  <c r="J75" i="189"/>
  <c r="J74" i="189"/>
  <c r="J73" i="189"/>
  <c r="J171" i="189"/>
  <c r="J124" i="189"/>
  <c r="J122" i="189"/>
  <c r="J110" i="189"/>
  <c r="J105" i="189"/>
  <c r="J95" i="189"/>
  <c r="J93" i="189"/>
  <c r="J89" i="189"/>
  <c r="J66" i="189"/>
  <c r="J206" i="189"/>
  <c r="J174" i="189"/>
  <c r="J113" i="189"/>
  <c r="J112" i="189"/>
  <c r="J92" i="189"/>
  <c r="J88" i="189"/>
  <c r="J72" i="189"/>
  <c r="J71" i="189"/>
  <c r="J70" i="189"/>
  <c r="J69" i="189"/>
  <c r="J178" i="189"/>
  <c r="J120" i="189"/>
  <c r="J115" i="189"/>
  <c r="J104" i="189"/>
  <c r="J101" i="189"/>
  <c r="J97" i="189"/>
  <c r="J94" i="189"/>
  <c r="J91" i="189"/>
  <c r="J87" i="189"/>
  <c r="J65" i="189"/>
  <c r="J64" i="189"/>
  <c r="J63" i="189"/>
  <c r="J62" i="189"/>
  <c r="J61" i="189"/>
  <c r="J60" i="189"/>
  <c r="J59" i="189"/>
  <c r="J58" i="189"/>
  <c r="J57" i="189"/>
  <c r="J56" i="189"/>
  <c r="J55" i="189"/>
  <c r="J54" i="189"/>
  <c r="J53" i="189"/>
  <c r="J52" i="189"/>
  <c r="J51" i="189"/>
  <c r="J50" i="189"/>
  <c r="J49" i="189"/>
  <c r="J48" i="189"/>
  <c r="J47" i="189"/>
  <c r="J46" i="189"/>
  <c r="J45" i="189"/>
  <c r="J44" i="189"/>
  <c r="J43" i="189"/>
  <c r="J42" i="189"/>
  <c r="J41" i="189"/>
  <c r="J40" i="189"/>
  <c r="J39" i="189"/>
  <c r="J38" i="189"/>
  <c r="J37" i="189"/>
  <c r="J36" i="189"/>
  <c r="J35" i="189"/>
  <c r="J34" i="189"/>
  <c r="J33" i="189"/>
  <c r="J32" i="189"/>
  <c r="J31" i="189"/>
  <c r="J30" i="189"/>
  <c r="M17" i="189"/>
  <c r="J90" i="189"/>
  <c r="J84" i="189"/>
  <c r="J107" i="189"/>
  <c r="J106" i="189"/>
  <c r="J102" i="189"/>
  <c r="J96" i="189"/>
  <c r="I220" i="189"/>
  <c r="I249" i="188" l="1"/>
  <c r="I248" i="188"/>
  <c r="I247" i="188"/>
  <c r="C243" i="188"/>
  <c r="C242" i="188"/>
  <c r="C241" i="188"/>
  <c r="C240" i="188"/>
  <c r="C237" i="188"/>
  <c r="C236" i="188"/>
  <c r="E233" i="188"/>
  <c r="D233" i="188"/>
  <c r="C232" i="188"/>
  <c r="C231" i="188"/>
  <c r="C230" i="188"/>
  <c r="C229" i="188"/>
  <c r="C228" i="188"/>
  <c r="C227" i="188"/>
  <c r="C226" i="188"/>
  <c r="C225" i="188"/>
  <c r="C224" i="188"/>
  <c r="C216" i="188"/>
  <c r="E210" i="188"/>
  <c r="D210" i="188"/>
  <c r="C210" i="188"/>
  <c r="E209" i="188"/>
  <c r="D209" i="188"/>
  <c r="C209" i="188"/>
  <c r="E208" i="188"/>
  <c r="D208" i="188"/>
  <c r="C208" i="188"/>
  <c r="E207" i="188"/>
  <c r="D207" i="188"/>
  <c r="C207" i="188"/>
  <c r="E206" i="188"/>
  <c r="D206" i="188"/>
  <c r="C206" i="188"/>
  <c r="E205" i="188"/>
  <c r="D205" i="188"/>
  <c r="C205" i="188"/>
  <c r="E201" i="188"/>
  <c r="D201" i="188"/>
  <c r="C201" i="188"/>
  <c r="E200" i="188"/>
  <c r="D200" i="188"/>
  <c r="C200" i="188"/>
  <c r="E199" i="188"/>
  <c r="D199" i="188"/>
  <c r="C199" i="188"/>
  <c r="E198" i="188"/>
  <c r="D198" i="188"/>
  <c r="C198" i="188"/>
  <c r="E197" i="188"/>
  <c r="D197" i="188"/>
  <c r="C197" i="188"/>
  <c r="E196" i="188"/>
  <c r="D196" i="188"/>
  <c r="C196" i="188"/>
  <c r="E195" i="188"/>
  <c r="D195" i="188"/>
  <c r="C195" i="188"/>
  <c r="E194" i="188"/>
  <c r="D194" i="188"/>
  <c r="C194" i="188"/>
  <c r="E193" i="188"/>
  <c r="D193" i="188"/>
  <c r="C193" i="188"/>
  <c r="E192" i="188"/>
  <c r="D192" i="188"/>
  <c r="C192" i="188"/>
  <c r="E191" i="188"/>
  <c r="D191" i="188"/>
  <c r="C191" i="188"/>
  <c r="E190" i="188"/>
  <c r="D190" i="188"/>
  <c r="C190" i="188"/>
  <c r="E189" i="188"/>
  <c r="D189" i="188"/>
  <c r="C189" i="188"/>
  <c r="E188" i="188"/>
  <c r="D188" i="188"/>
  <c r="C188" i="188"/>
  <c r="E187" i="188"/>
  <c r="D187" i="188"/>
  <c r="C187" i="188"/>
  <c r="E186" i="188"/>
  <c r="D186" i="188"/>
  <c r="C186" i="188"/>
  <c r="E185" i="188"/>
  <c r="D185" i="188"/>
  <c r="C185" i="188"/>
  <c r="E184" i="188"/>
  <c r="D184" i="188"/>
  <c r="C184" i="188"/>
  <c r="E183" i="188"/>
  <c r="D183" i="188"/>
  <c r="C183" i="188"/>
  <c r="E182" i="188"/>
  <c r="D182" i="188"/>
  <c r="C182" i="188"/>
  <c r="E181" i="188"/>
  <c r="D181" i="188"/>
  <c r="C181" i="188"/>
  <c r="E180" i="188"/>
  <c r="D180" i="188"/>
  <c r="C180" i="188"/>
  <c r="E179" i="188"/>
  <c r="D179" i="188"/>
  <c r="C179" i="188"/>
  <c r="E178" i="188"/>
  <c r="D178" i="188"/>
  <c r="C178" i="188"/>
  <c r="E177" i="188"/>
  <c r="D177" i="188"/>
  <c r="C177" i="188"/>
  <c r="E176" i="188"/>
  <c r="D176" i="188"/>
  <c r="C176" i="188"/>
  <c r="E175" i="188"/>
  <c r="D175" i="188"/>
  <c r="C175" i="188"/>
  <c r="E174" i="188"/>
  <c r="D174" i="188"/>
  <c r="C174" i="188"/>
  <c r="E173" i="188"/>
  <c r="D173" i="188"/>
  <c r="C173" i="188"/>
  <c r="E172" i="188"/>
  <c r="D172" i="188"/>
  <c r="C172" i="188"/>
  <c r="E171" i="188"/>
  <c r="D171" i="188"/>
  <c r="C171" i="188"/>
  <c r="E170" i="188"/>
  <c r="D170" i="188"/>
  <c r="C170" i="188"/>
  <c r="E169" i="188"/>
  <c r="D169" i="188"/>
  <c r="C169" i="188"/>
  <c r="E165" i="188"/>
  <c r="D165" i="188"/>
  <c r="C165" i="188"/>
  <c r="E164" i="188"/>
  <c r="D164" i="188"/>
  <c r="C164" i="188"/>
  <c r="E163" i="188"/>
  <c r="D163" i="188"/>
  <c r="C163" i="188"/>
  <c r="E162" i="188"/>
  <c r="D162" i="188"/>
  <c r="C162" i="188"/>
  <c r="E161" i="188"/>
  <c r="D161" i="188"/>
  <c r="C161" i="188"/>
  <c r="E160" i="188"/>
  <c r="D160" i="188"/>
  <c r="C160" i="188"/>
  <c r="E158" i="188"/>
  <c r="D158" i="188"/>
  <c r="C158" i="188"/>
  <c r="E157" i="188"/>
  <c r="D157" i="188"/>
  <c r="C157" i="188"/>
  <c r="E156" i="188"/>
  <c r="D156" i="188"/>
  <c r="C156" i="188"/>
  <c r="E155" i="188"/>
  <c r="D155" i="188"/>
  <c r="C155" i="188"/>
  <c r="E154" i="188"/>
  <c r="D154" i="188"/>
  <c r="C154" i="188"/>
  <c r="E153" i="188"/>
  <c r="D153" i="188"/>
  <c r="C153" i="188"/>
  <c r="E152" i="188"/>
  <c r="D152" i="188"/>
  <c r="C152" i="188"/>
  <c r="E151" i="188"/>
  <c r="D151" i="188"/>
  <c r="C151" i="188"/>
  <c r="E150" i="188"/>
  <c r="D150" i="188"/>
  <c r="C150" i="188"/>
  <c r="E148" i="188"/>
  <c r="D148" i="188"/>
  <c r="C148" i="188"/>
  <c r="E147" i="188"/>
  <c r="D147" i="188"/>
  <c r="C147" i="188"/>
  <c r="E146" i="188"/>
  <c r="D146" i="188"/>
  <c r="C146" i="188"/>
  <c r="E145" i="188"/>
  <c r="D145" i="188"/>
  <c r="C145" i="188"/>
  <c r="E143" i="188"/>
  <c r="D143" i="188"/>
  <c r="C143" i="188"/>
  <c r="E142" i="188"/>
  <c r="D142" i="188"/>
  <c r="C142" i="188"/>
  <c r="E141" i="188"/>
  <c r="D141" i="188"/>
  <c r="C141" i="188"/>
  <c r="E140" i="188"/>
  <c r="D140" i="188"/>
  <c r="C140" i="188"/>
  <c r="E138" i="188"/>
  <c r="D138" i="188"/>
  <c r="C138" i="188"/>
  <c r="E137" i="188"/>
  <c r="D137" i="188"/>
  <c r="C137" i="188"/>
  <c r="E136" i="188"/>
  <c r="D136" i="188"/>
  <c r="C136" i="188"/>
  <c r="E135" i="188"/>
  <c r="D135" i="188"/>
  <c r="C135" i="188"/>
  <c r="E134" i="188"/>
  <c r="D134" i="188"/>
  <c r="C134" i="188"/>
  <c r="E132" i="188"/>
  <c r="D132" i="188"/>
  <c r="C132" i="188"/>
  <c r="E131" i="188"/>
  <c r="D131" i="188"/>
  <c r="C131" i="188"/>
  <c r="E130" i="188"/>
  <c r="D130" i="188"/>
  <c r="C130" i="188"/>
  <c r="E129" i="188"/>
  <c r="D129" i="188"/>
  <c r="C129" i="188"/>
  <c r="E128" i="188"/>
  <c r="D128" i="188"/>
  <c r="C128" i="188"/>
  <c r="E123" i="188"/>
  <c r="D123" i="188"/>
  <c r="C123" i="188"/>
  <c r="E122" i="188"/>
  <c r="D122" i="188"/>
  <c r="C122" i="188"/>
  <c r="E121" i="188"/>
  <c r="D121" i="188"/>
  <c r="C121" i="188"/>
  <c r="E120" i="188"/>
  <c r="D120" i="188"/>
  <c r="C120" i="188"/>
  <c r="E119" i="188"/>
  <c r="D119" i="188"/>
  <c r="C119" i="188"/>
  <c r="E115" i="188"/>
  <c r="D115" i="188"/>
  <c r="C115" i="188"/>
  <c r="E114" i="188"/>
  <c r="D114" i="188"/>
  <c r="C114" i="188"/>
  <c r="E113" i="188"/>
  <c r="D113" i="188"/>
  <c r="C113" i="188"/>
  <c r="E112" i="188"/>
  <c r="D112" i="188"/>
  <c r="C112" i="188"/>
  <c r="E111" i="188"/>
  <c r="D111" i="188"/>
  <c r="C111" i="188"/>
  <c r="E110" i="188"/>
  <c r="D110" i="188"/>
  <c r="C110" i="188"/>
  <c r="E106" i="188"/>
  <c r="D106" i="188"/>
  <c r="C106" i="188"/>
  <c r="E105" i="188"/>
  <c r="D105" i="188"/>
  <c r="C105" i="188"/>
  <c r="E104" i="188"/>
  <c r="D104" i="188"/>
  <c r="C104" i="188"/>
  <c r="E103" i="188"/>
  <c r="D103" i="188"/>
  <c r="C103" i="188"/>
  <c r="E102" i="188"/>
  <c r="D102" i="188"/>
  <c r="C102" i="188"/>
  <c r="E101" i="188"/>
  <c r="D101" i="188"/>
  <c r="C101" i="188"/>
  <c r="E97" i="188"/>
  <c r="D97" i="188"/>
  <c r="C97" i="188"/>
  <c r="E96" i="188"/>
  <c r="D96" i="188"/>
  <c r="C96" i="188"/>
  <c r="E95" i="188"/>
  <c r="D95" i="188"/>
  <c r="C95" i="188"/>
  <c r="E94" i="188"/>
  <c r="D94" i="188"/>
  <c r="C94" i="188"/>
  <c r="E93" i="188"/>
  <c r="D93" i="188"/>
  <c r="C93" i="188"/>
  <c r="E92" i="188"/>
  <c r="D92" i="188"/>
  <c r="C92" i="188"/>
  <c r="E91" i="188"/>
  <c r="D91" i="188"/>
  <c r="C91" i="188"/>
  <c r="E90" i="188"/>
  <c r="D90" i="188"/>
  <c r="C90" i="188"/>
  <c r="E89" i="188"/>
  <c r="D89" i="188"/>
  <c r="C89" i="188"/>
  <c r="E88" i="188"/>
  <c r="D88" i="188"/>
  <c r="C88" i="188"/>
  <c r="E87" i="188"/>
  <c r="D87" i="188"/>
  <c r="C87" i="188"/>
  <c r="E83" i="188"/>
  <c r="D83" i="188"/>
  <c r="C83" i="188"/>
  <c r="E82" i="188"/>
  <c r="D82" i="188"/>
  <c r="C82" i="188"/>
  <c r="E81" i="188"/>
  <c r="D81" i="188"/>
  <c r="C81" i="188"/>
  <c r="E80" i="188"/>
  <c r="D80" i="188"/>
  <c r="C80" i="188"/>
  <c r="E79" i="188"/>
  <c r="D79" i="188"/>
  <c r="C79" i="188"/>
  <c r="E78" i="188"/>
  <c r="D78" i="188"/>
  <c r="C78" i="188"/>
  <c r="E77" i="188"/>
  <c r="D77" i="188"/>
  <c r="C77" i="188"/>
  <c r="E76" i="188"/>
  <c r="D76" i="188"/>
  <c r="C76" i="188"/>
  <c r="E75" i="188"/>
  <c r="D75" i="188"/>
  <c r="C75" i="188"/>
  <c r="E74" i="188"/>
  <c r="D74" i="188"/>
  <c r="C74" i="188"/>
  <c r="E73" i="188"/>
  <c r="D73" i="188"/>
  <c r="C73" i="188"/>
  <c r="E72" i="188"/>
  <c r="D72" i="188"/>
  <c r="C72" i="188"/>
  <c r="E71" i="188"/>
  <c r="D71" i="188"/>
  <c r="C71" i="188"/>
  <c r="E70" i="188"/>
  <c r="D70" i="188"/>
  <c r="C70" i="188"/>
  <c r="E69" i="188"/>
  <c r="D69" i="188"/>
  <c r="C69" i="188"/>
  <c r="E65" i="188"/>
  <c r="D65" i="188"/>
  <c r="C65" i="188"/>
  <c r="E64" i="188"/>
  <c r="D64" i="188"/>
  <c r="C64" i="188"/>
  <c r="E63" i="188"/>
  <c r="D63" i="188"/>
  <c r="C63" i="188"/>
  <c r="E62" i="188"/>
  <c r="D62" i="188"/>
  <c r="C62" i="188"/>
  <c r="E61" i="188"/>
  <c r="D61" i="188"/>
  <c r="C61" i="188"/>
  <c r="E60" i="188"/>
  <c r="D60" i="188"/>
  <c r="C60" i="188"/>
  <c r="E59" i="188"/>
  <c r="D59" i="188"/>
  <c r="C59" i="188"/>
  <c r="E58" i="188"/>
  <c r="D58" i="188"/>
  <c r="C58" i="188"/>
  <c r="E57" i="188"/>
  <c r="D57" i="188"/>
  <c r="C57" i="188"/>
  <c r="E56" i="188"/>
  <c r="D56" i="188"/>
  <c r="C56" i="188"/>
  <c r="E55" i="188"/>
  <c r="D55" i="188"/>
  <c r="C55" i="188"/>
  <c r="E54" i="188"/>
  <c r="D54" i="188"/>
  <c r="C54" i="188"/>
  <c r="E53" i="188"/>
  <c r="D53" i="188"/>
  <c r="C53" i="188"/>
  <c r="E52" i="188"/>
  <c r="D52" i="188"/>
  <c r="C52" i="188"/>
  <c r="E51" i="188"/>
  <c r="D51" i="188"/>
  <c r="C51" i="188"/>
  <c r="E50" i="188"/>
  <c r="D50" i="188"/>
  <c r="C50" i="188"/>
  <c r="E49" i="188"/>
  <c r="D49" i="188"/>
  <c r="C49" i="188"/>
  <c r="E48" i="188"/>
  <c r="D48" i="188"/>
  <c r="C48" i="188"/>
  <c r="E47" i="188"/>
  <c r="D47" i="188"/>
  <c r="C47" i="188"/>
  <c r="E46" i="188"/>
  <c r="D46" i="188"/>
  <c r="C46" i="188"/>
  <c r="E45" i="188"/>
  <c r="D45" i="188"/>
  <c r="C45" i="188"/>
  <c r="E44" i="188"/>
  <c r="D44" i="188"/>
  <c r="C44" i="188"/>
  <c r="E43" i="188"/>
  <c r="D43" i="188"/>
  <c r="C43" i="188"/>
  <c r="E42" i="188"/>
  <c r="D42" i="188"/>
  <c r="C42" i="188"/>
  <c r="E41" i="188"/>
  <c r="D41" i="188"/>
  <c r="C41" i="188"/>
  <c r="E40" i="188"/>
  <c r="D40" i="188"/>
  <c r="C40" i="188"/>
  <c r="E39" i="188"/>
  <c r="D39" i="188"/>
  <c r="C39" i="188"/>
  <c r="E38" i="188"/>
  <c r="D38" i="188"/>
  <c r="C38" i="188"/>
  <c r="E37" i="188"/>
  <c r="D37" i="188"/>
  <c r="C37" i="188"/>
  <c r="E36" i="188"/>
  <c r="D36" i="188"/>
  <c r="C36" i="188"/>
  <c r="E35" i="188"/>
  <c r="D35" i="188"/>
  <c r="C35" i="188"/>
  <c r="E34" i="188"/>
  <c r="D34" i="188"/>
  <c r="C34" i="188"/>
  <c r="E33" i="188"/>
  <c r="D33" i="188"/>
  <c r="C33" i="188"/>
  <c r="E32" i="188"/>
  <c r="D32" i="188"/>
  <c r="C32" i="188"/>
  <c r="E31" i="188"/>
  <c r="D31" i="188"/>
  <c r="C31" i="188"/>
  <c r="E30" i="188"/>
  <c r="D30" i="188"/>
  <c r="C30" i="188"/>
  <c r="D25" i="188"/>
  <c r="C25" i="188"/>
  <c r="D24" i="188"/>
  <c r="C24" i="188"/>
  <c r="D23" i="188"/>
  <c r="C23" i="188"/>
  <c r="D22" i="188"/>
  <c r="C22" i="188"/>
  <c r="D21" i="188"/>
  <c r="C21" i="188"/>
  <c r="D20" i="188"/>
  <c r="C20" i="188"/>
  <c r="D19" i="188"/>
  <c r="C19" i="188"/>
  <c r="D18" i="188"/>
  <c r="C18" i="188"/>
  <c r="D17" i="188"/>
  <c r="C17" i="188"/>
  <c r="D16" i="188"/>
  <c r="D26" i="188" s="1"/>
  <c r="C16" i="188"/>
  <c r="D15" i="188"/>
  <c r="C15" i="188"/>
  <c r="D14" i="188"/>
  <c r="C14" i="188"/>
  <c r="D13" i="188"/>
  <c r="C13" i="188"/>
  <c r="D12" i="188"/>
  <c r="C12" i="188"/>
  <c r="C4" i="188"/>
  <c r="C3" i="188"/>
  <c r="F12" i="188" l="1"/>
  <c r="I12" i="188" s="1"/>
  <c r="C238" i="188"/>
  <c r="D107" i="188"/>
  <c r="D116" i="188"/>
  <c r="D124" i="188"/>
  <c r="C202" i="188"/>
  <c r="C211" i="188"/>
  <c r="E211" i="188"/>
  <c r="C26" i="188"/>
  <c r="C84" i="188"/>
  <c r="C116" i="188"/>
  <c r="E116" i="188"/>
  <c r="E124" i="188"/>
  <c r="C124" i="188"/>
  <c r="D211" i="188"/>
  <c r="D84" i="188"/>
  <c r="E84" i="188"/>
  <c r="C98" i="188"/>
  <c r="C166" i="188"/>
  <c r="D166" i="188"/>
  <c r="D202" i="188"/>
  <c r="D98" i="188"/>
  <c r="E98" i="188"/>
  <c r="C107" i="188"/>
  <c r="E107" i="188"/>
  <c r="E166" i="188"/>
  <c r="E202" i="188"/>
  <c r="C233" i="188"/>
  <c r="C66" i="188"/>
  <c r="D66" i="188"/>
  <c r="E66" i="188"/>
  <c r="C213" i="188" l="1"/>
  <c r="C220" i="188" s="1"/>
  <c r="D213" i="188"/>
  <c r="D220" i="188" s="1"/>
  <c r="E213" i="188"/>
  <c r="E220" i="188" s="1"/>
  <c r="C217" i="188" l="1"/>
  <c r="F237" i="188"/>
  <c r="F236" i="188"/>
  <c r="H233" i="188"/>
  <c r="G233" i="188"/>
  <c r="F232" i="188"/>
  <c r="F231" i="188"/>
  <c r="F230" i="188"/>
  <c r="F229" i="188"/>
  <c r="F228" i="188"/>
  <c r="F227" i="188"/>
  <c r="F226" i="188"/>
  <c r="F225" i="188"/>
  <c r="F224" i="188"/>
  <c r="M213" i="188"/>
  <c r="L213" i="188"/>
  <c r="H211" i="188"/>
  <c r="G211" i="188"/>
  <c r="F208" i="188"/>
  <c r="H202" i="188"/>
  <c r="G202" i="188"/>
  <c r="F199" i="188"/>
  <c r="F197" i="188"/>
  <c r="F195" i="188"/>
  <c r="F193" i="188"/>
  <c r="F177" i="188"/>
  <c r="F176" i="188"/>
  <c r="F173" i="188"/>
  <c r="F172" i="188"/>
  <c r="F171" i="188"/>
  <c r="F170" i="188"/>
  <c r="H166" i="188"/>
  <c r="G166" i="188"/>
  <c r="F154" i="188"/>
  <c r="F143" i="188"/>
  <c r="F140" i="188"/>
  <c r="F135" i="188"/>
  <c r="H124" i="188"/>
  <c r="G124" i="188"/>
  <c r="F123" i="188"/>
  <c r="F121" i="188"/>
  <c r="H116" i="188"/>
  <c r="G116" i="188"/>
  <c r="F115" i="188"/>
  <c r="F114" i="188"/>
  <c r="F113" i="188"/>
  <c r="F112" i="188"/>
  <c r="F111" i="188"/>
  <c r="H107" i="188"/>
  <c r="G107" i="188"/>
  <c r="F106" i="188"/>
  <c r="F105" i="188"/>
  <c r="F104" i="188"/>
  <c r="F102" i="188"/>
  <c r="F101" i="188"/>
  <c r="H98" i="188"/>
  <c r="G98" i="188"/>
  <c r="F97" i="188"/>
  <c r="F93" i="188"/>
  <c r="F90" i="188"/>
  <c r="H84" i="188"/>
  <c r="G84" i="188"/>
  <c r="F83" i="188"/>
  <c r="F82" i="188"/>
  <c r="F80" i="188"/>
  <c r="F78" i="188"/>
  <c r="F76" i="188"/>
  <c r="F75" i="188"/>
  <c r="F74" i="188"/>
  <c r="F72" i="188"/>
  <c r="F70" i="188"/>
  <c r="H66" i="188"/>
  <c r="G66" i="188"/>
  <c r="F64" i="188"/>
  <c r="F63" i="188"/>
  <c r="F62" i="188"/>
  <c r="F61" i="188"/>
  <c r="F60" i="188"/>
  <c r="F59" i="188"/>
  <c r="F58" i="188"/>
  <c r="F57" i="188"/>
  <c r="F56" i="188"/>
  <c r="F55" i="188"/>
  <c r="F54" i="188"/>
  <c r="F53" i="188"/>
  <c r="F52" i="188"/>
  <c r="F51" i="188"/>
  <c r="F50" i="188"/>
  <c r="F49" i="188"/>
  <c r="F47" i="188"/>
  <c r="F46" i="188"/>
  <c r="F45" i="188"/>
  <c r="F43" i="188"/>
  <c r="F42" i="188"/>
  <c r="F41" i="188"/>
  <c r="F40" i="188"/>
  <c r="F38" i="188"/>
  <c r="F37" i="188"/>
  <c r="F36" i="188"/>
  <c r="F35" i="188"/>
  <c r="F34" i="188"/>
  <c r="F33" i="188"/>
  <c r="F32" i="188"/>
  <c r="F31" i="188"/>
  <c r="F24" i="188"/>
  <c r="F23" i="188"/>
  <c r="F22" i="188"/>
  <c r="F19" i="188"/>
  <c r="F17" i="188"/>
  <c r="F16" i="188"/>
  <c r="F15" i="188"/>
  <c r="F14" i="188"/>
  <c r="F13" i="188"/>
  <c r="A1" i="188"/>
  <c r="I247" i="185"/>
  <c r="I246" i="185"/>
  <c r="C243" i="185"/>
  <c r="C242" i="185"/>
  <c r="C241" i="185"/>
  <c r="C240" i="185"/>
  <c r="C237" i="185"/>
  <c r="C236" i="185"/>
  <c r="E233" i="185"/>
  <c r="D233" i="185"/>
  <c r="C232" i="185"/>
  <c r="C231" i="185"/>
  <c r="C230" i="185"/>
  <c r="C229" i="185"/>
  <c r="C228" i="185"/>
  <c r="C227" i="185"/>
  <c r="C226" i="185"/>
  <c r="C225" i="185"/>
  <c r="C224" i="185"/>
  <c r="C216" i="185"/>
  <c r="E210" i="185"/>
  <c r="D210" i="185"/>
  <c r="C210" i="185"/>
  <c r="E209" i="185"/>
  <c r="D209" i="185"/>
  <c r="C209" i="185"/>
  <c r="E208" i="185"/>
  <c r="D208" i="185"/>
  <c r="C208" i="185"/>
  <c r="E207" i="185"/>
  <c r="D207" i="185"/>
  <c r="C207" i="185"/>
  <c r="E206" i="185"/>
  <c r="D206" i="185"/>
  <c r="C206" i="185"/>
  <c r="E205" i="185"/>
  <c r="D205" i="185"/>
  <c r="C205" i="185"/>
  <c r="E201" i="185"/>
  <c r="D201" i="185"/>
  <c r="C201" i="185"/>
  <c r="E200" i="185"/>
  <c r="D200" i="185"/>
  <c r="C200" i="185"/>
  <c r="E199" i="185"/>
  <c r="D199" i="185"/>
  <c r="C199" i="185"/>
  <c r="E198" i="185"/>
  <c r="D198" i="185"/>
  <c r="C198" i="185"/>
  <c r="E197" i="185"/>
  <c r="D197" i="185"/>
  <c r="C197" i="185"/>
  <c r="E196" i="185"/>
  <c r="D196" i="185"/>
  <c r="C196" i="185"/>
  <c r="E195" i="185"/>
  <c r="D195" i="185"/>
  <c r="C195" i="185"/>
  <c r="E194" i="185"/>
  <c r="D194" i="185"/>
  <c r="C194" i="185"/>
  <c r="E193" i="185"/>
  <c r="D193" i="185"/>
  <c r="C193" i="185"/>
  <c r="E192" i="185"/>
  <c r="D192" i="185"/>
  <c r="C192" i="185"/>
  <c r="E191" i="185"/>
  <c r="D191" i="185"/>
  <c r="C191" i="185"/>
  <c r="E190" i="185"/>
  <c r="D190" i="185"/>
  <c r="C190" i="185"/>
  <c r="E189" i="185"/>
  <c r="D189" i="185"/>
  <c r="C189" i="185"/>
  <c r="E188" i="185"/>
  <c r="D188" i="185"/>
  <c r="C188" i="185"/>
  <c r="E187" i="185"/>
  <c r="D187" i="185"/>
  <c r="C187" i="185"/>
  <c r="E186" i="185"/>
  <c r="D186" i="185"/>
  <c r="C186" i="185"/>
  <c r="E185" i="185"/>
  <c r="D185" i="185"/>
  <c r="C185" i="185"/>
  <c r="E184" i="185"/>
  <c r="D184" i="185"/>
  <c r="C184" i="185"/>
  <c r="E183" i="185"/>
  <c r="D183" i="185"/>
  <c r="C183" i="185"/>
  <c r="E182" i="185"/>
  <c r="D182" i="185"/>
  <c r="C182" i="185"/>
  <c r="E181" i="185"/>
  <c r="D181" i="185"/>
  <c r="C181" i="185"/>
  <c r="E180" i="185"/>
  <c r="D180" i="185"/>
  <c r="C180" i="185"/>
  <c r="E179" i="185"/>
  <c r="D179" i="185"/>
  <c r="C179" i="185"/>
  <c r="E178" i="185"/>
  <c r="D178" i="185"/>
  <c r="C178" i="185"/>
  <c r="E177" i="185"/>
  <c r="D177" i="185"/>
  <c r="C177" i="185"/>
  <c r="E176" i="185"/>
  <c r="D176" i="185"/>
  <c r="C176" i="185"/>
  <c r="E175" i="185"/>
  <c r="D175" i="185"/>
  <c r="C175" i="185"/>
  <c r="E174" i="185"/>
  <c r="D174" i="185"/>
  <c r="C174" i="185"/>
  <c r="E173" i="185"/>
  <c r="D173" i="185"/>
  <c r="C173" i="185"/>
  <c r="E172" i="185"/>
  <c r="D172" i="185"/>
  <c r="C172" i="185"/>
  <c r="E171" i="185"/>
  <c r="D171" i="185"/>
  <c r="C171" i="185"/>
  <c r="E170" i="185"/>
  <c r="D170" i="185"/>
  <c r="C170" i="185"/>
  <c r="E169" i="185"/>
  <c r="D169" i="185"/>
  <c r="C169" i="185"/>
  <c r="E165" i="185"/>
  <c r="D165" i="185"/>
  <c r="C165" i="185"/>
  <c r="E164" i="185"/>
  <c r="D164" i="185"/>
  <c r="C164" i="185"/>
  <c r="E163" i="185"/>
  <c r="D163" i="185"/>
  <c r="C163" i="185"/>
  <c r="E162" i="185"/>
  <c r="D162" i="185"/>
  <c r="C162" i="185"/>
  <c r="E161" i="185"/>
  <c r="D161" i="185"/>
  <c r="C161" i="185"/>
  <c r="E160" i="185"/>
  <c r="D160" i="185"/>
  <c r="C160" i="185"/>
  <c r="E158" i="185"/>
  <c r="D158" i="185"/>
  <c r="C158" i="185"/>
  <c r="E157" i="185"/>
  <c r="D157" i="185"/>
  <c r="C157" i="185"/>
  <c r="E156" i="185"/>
  <c r="D156" i="185"/>
  <c r="C156" i="185"/>
  <c r="E155" i="185"/>
  <c r="D155" i="185"/>
  <c r="C155" i="185"/>
  <c r="E154" i="185"/>
  <c r="D154" i="185"/>
  <c r="C154" i="185"/>
  <c r="E153" i="185"/>
  <c r="D153" i="185"/>
  <c r="C153" i="185"/>
  <c r="E152" i="185"/>
  <c r="D152" i="185"/>
  <c r="C152" i="185"/>
  <c r="E151" i="185"/>
  <c r="D151" i="185"/>
  <c r="C151" i="185"/>
  <c r="E150" i="185"/>
  <c r="D150" i="185"/>
  <c r="C150" i="185"/>
  <c r="E148" i="185"/>
  <c r="D148" i="185"/>
  <c r="C148" i="185"/>
  <c r="E147" i="185"/>
  <c r="D147" i="185"/>
  <c r="C147" i="185"/>
  <c r="E146" i="185"/>
  <c r="D146" i="185"/>
  <c r="C146" i="185"/>
  <c r="E145" i="185"/>
  <c r="D145" i="185"/>
  <c r="C145" i="185"/>
  <c r="E143" i="185"/>
  <c r="D143" i="185"/>
  <c r="C143" i="185"/>
  <c r="E142" i="185"/>
  <c r="D142" i="185"/>
  <c r="C142" i="185"/>
  <c r="E141" i="185"/>
  <c r="D141" i="185"/>
  <c r="C141" i="185"/>
  <c r="E140" i="185"/>
  <c r="D140" i="185"/>
  <c r="C140" i="185"/>
  <c r="E138" i="185"/>
  <c r="D138" i="185"/>
  <c r="C138" i="185"/>
  <c r="E137" i="185"/>
  <c r="D137" i="185"/>
  <c r="C137" i="185"/>
  <c r="E136" i="185"/>
  <c r="D136" i="185"/>
  <c r="C136" i="185"/>
  <c r="E135" i="185"/>
  <c r="D135" i="185"/>
  <c r="C135" i="185"/>
  <c r="E134" i="185"/>
  <c r="D134" i="185"/>
  <c r="C134" i="185"/>
  <c r="E132" i="185"/>
  <c r="D132" i="185"/>
  <c r="C132" i="185"/>
  <c r="E131" i="185"/>
  <c r="D131" i="185"/>
  <c r="C131" i="185"/>
  <c r="E130" i="185"/>
  <c r="D130" i="185"/>
  <c r="C130" i="185"/>
  <c r="E129" i="185"/>
  <c r="D129" i="185"/>
  <c r="C129" i="185"/>
  <c r="E128" i="185"/>
  <c r="D128" i="185"/>
  <c r="C128" i="185"/>
  <c r="E123" i="185"/>
  <c r="D123" i="185"/>
  <c r="C123" i="185"/>
  <c r="E122" i="185"/>
  <c r="D122" i="185"/>
  <c r="C122" i="185"/>
  <c r="E121" i="185"/>
  <c r="D121" i="185"/>
  <c r="C121" i="185"/>
  <c r="E120" i="185"/>
  <c r="D120" i="185"/>
  <c r="C120" i="185"/>
  <c r="E119" i="185"/>
  <c r="D119" i="185"/>
  <c r="C119" i="185"/>
  <c r="E115" i="185"/>
  <c r="D115" i="185"/>
  <c r="C115" i="185"/>
  <c r="E114" i="185"/>
  <c r="D114" i="185"/>
  <c r="C114" i="185"/>
  <c r="E113" i="185"/>
  <c r="D113" i="185"/>
  <c r="C113" i="185"/>
  <c r="E112" i="185"/>
  <c r="D112" i="185"/>
  <c r="C112" i="185"/>
  <c r="E111" i="185"/>
  <c r="D111" i="185"/>
  <c r="C111" i="185"/>
  <c r="E110" i="185"/>
  <c r="D110" i="185"/>
  <c r="C110" i="185"/>
  <c r="E106" i="185"/>
  <c r="D106" i="185"/>
  <c r="C106" i="185"/>
  <c r="E105" i="185"/>
  <c r="D105" i="185"/>
  <c r="C105" i="185"/>
  <c r="E104" i="185"/>
  <c r="D104" i="185"/>
  <c r="C104" i="185"/>
  <c r="E103" i="185"/>
  <c r="D103" i="185"/>
  <c r="C103" i="185"/>
  <c r="E102" i="185"/>
  <c r="D102" i="185"/>
  <c r="C102" i="185"/>
  <c r="E101" i="185"/>
  <c r="D101" i="185"/>
  <c r="C101" i="185"/>
  <c r="E97" i="185"/>
  <c r="D97" i="185"/>
  <c r="C97" i="185"/>
  <c r="E96" i="185"/>
  <c r="D96" i="185"/>
  <c r="C96" i="185"/>
  <c r="E95" i="185"/>
  <c r="D95" i="185"/>
  <c r="C95" i="185"/>
  <c r="E94" i="185"/>
  <c r="D94" i="185"/>
  <c r="C94" i="185"/>
  <c r="E93" i="185"/>
  <c r="D93" i="185"/>
  <c r="C93" i="185"/>
  <c r="E92" i="185"/>
  <c r="D92" i="185"/>
  <c r="C92" i="185"/>
  <c r="E91" i="185"/>
  <c r="D91" i="185"/>
  <c r="C91" i="185"/>
  <c r="E90" i="185"/>
  <c r="D90" i="185"/>
  <c r="C90" i="185"/>
  <c r="E89" i="185"/>
  <c r="D89" i="185"/>
  <c r="C89" i="185"/>
  <c r="E88" i="185"/>
  <c r="D88" i="185"/>
  <c r="C88" i="185"/>
  <c r="E87" i="185"/>
  <c r="D87" i="185"/>
  <c r="C87" i="185"/>
  <c r="E83" i="185"/>
  <c r="D83" i="185"/>
  <c r="C83" i="185"/>
  <c r="E82" i="185"/>
  <c r="D82" i="185"/>
  <c r="C82" i="185"/>
  <c r="E81" i="185"/>
  <c r="D81" i="185"/>
  <c r="C81" i="185"/>
  <c r="E80" i="185"/>
  <c r="D80" i="185"/>
  <c r="C80" i="185"/>
  <c r="E79" i="185"/>
  <c r="D79" i="185"/>
  <c r="C79" i="185"/>
  <c r="E78" i="185"/>
  <c r="D78" i="185"/>
  <c r="C78" i="185"/>
  <c r="E77" i="185"/>
  <c r="D77" i="185"/>
  <c r="C77" i="185"/>
  <c r="E76" i="185"/>
  <c r="D76" i="185"/>
  <c r="C76" i="185"/>
  <c r="E75" i="185"/>
  <c r="D75" i="185"/>
  <c r="C75" i="185"/>
  <c r="E74" i="185"/>
  <c r="D74" i="185"/>
  <c r="C74" i="185"/>
  <c r="E73" i="185"/>
  <c r="D73" i="185"/>
  <c r="C73" i="185"/>
  <c r="E72" i="185"/>
  <c r="D72" i="185"/>
  <c r="C72" i="185"/>
  <c r="E71" i="185"/>
  <c r="D71" i="185"/>
  <c r="C71" i="185"/>
  <c r="E70" i="185"/>
  <c r="D70" i="185"/>
  <c r="C70" i="185"/>
  <c r="E69" i="185"/>
  <c r="D69" i="185"/>
  <c r="C69" i="185"/>
  <c r="E65" i="185"/>
  <c r="D65" i="185"/>
  <c r="C65" i="185"/>
  <c r="E64" i="185"/>
  <c r="D64" i="185"/>
  <c r="C64" i="185"/>
  <c r="E63" i="185"/>
  <c r="D63" i="185"/>
  <c r="C63" i="185"/>
  <c r="E62" i="185"/>
  <c r="D62" i="185"/>
  <c r="C62" i="185"/>
  <c r="E61" i="185"/>
  <c r="D61" i="185"/>
  <c r="C61" i="185"/>
  <c r="E60" i="185"/>
  <c r="D60" i="185"/>
  <c r="C60" i="185"/>
  <c r="E59" i="185"/>
  <c r="D59" i="185"/>
  <c r="C59" i="185"/>
  <c r="E58" i="185"/>
  <c r="D58" i="185"/>
  <c r="C58" i="185"/>
  <c r="E57" i="185"/>
  <c r="D57" i="185"/>
  <c r="C57" i="185"/>
  <c r="E56" i="185"/>
  <c r="D56" i="185"/>
  <c r="C56" i="185"/>
  <c r="E55" i="185"/>
  <c r="D55" i="185"/>
  <c r="C55" i="185"/>
  <c r="E54" i="185"/>
  <c r="D54" i="185"/>
  <c r="C54" i="185"/>
  <c r="E53" i="185"/>
  <c r="D53" i="185"/>
  <c r="C53" i="185"/>
  <c r="E52" i="185"/>
  <c r="D52" i="185"/>
  <c r="C52" i="185"/>
  <c r="E51" i="185"/>
  <c r="D51" i="185"/>
  <c r="C51" i="185"/>
  <c r="E50" i="185"/>
  <c r="D50" i="185"/>
  <c r="C50" i="185"/>
  <c r="E49" i="185"/>
  <c r="D49" i="185"/>
  <c r="C49" i="185"/>
  <c r="E48" i="185"/>
  <c r="D48" i="185"/>
  <c r="C48" i="185"/>
  <c r="E47" i="185"/>
  <c r="D47" i="185"/>
  <c r="C47" i="185"/>
  <c r="E46" i="185"/>
  <c r="D46" i="185"/>
  <c r="C46" i="185"/>
  <c r="E45" i="185"/>
  <c r="D45" i="185"/>
  <c r="C45" i="185"/>
  <c r="E44" i="185"/>
  <c r="D44" i="185"/>
  <c r="C44" i="185"/>
  <c r="E43" i="185"/>
  <c r="D43" i="185"/>
  <c r="C43" i="185"/>
  <c r="E42" i="185"/>
  <c r="D42" i="185"/>
  <c r="C42" i="185"/>
  <c r="E41" i="185"/>
  <c r="D41" i="185"/>
  <c r="C41" i="185"/>
  <c r="E40" i="185"/>
  <c r="D40" i="185"/>
  <c r="C40" i="185"/>
  <c r="E39" i="185"/>
  <c r="D39" i="185"/>
  <c r="C39" i="185"/>
  <c r="E38" i="185"/>
  <c r="D38" i="185"/>
  <c r="C38" i="185"/>
  <c r="E37" i="185"/>
  <c r="D37" i="185"/>
  <c r="C37" i="185"/>
  <c r="E36" i="185"/>
  <c r="D36" i="185"/>
  <c r="C36" i="185"/>
  <c r="E35" i="185"/>
  <c r="D35" i="185"/>
  <c r="C35" i="185"/>
  <c r="E34" i="185"/>
  <c r="D34" i="185"/>
  <c r="C34" i="185"/>
  <c r="E33" i="185"/>
  <c r="D33" i="185"/>
  <c r="C33" i="185"/>
  <c r="E32" i="185"/>
  <c r="D32" i="185"/>
  <c r="C32" i="185"/>
  <c r="E31" i="185"/>
  <c r="D31" i="185"/>
  <c r="C31" i="185"/>
  <c r="E30" i="185"/>
  <c r="D30" i="185"/>
  <c r="C30" i="185"/>
  <c r="D25" i="185"/>
  <c r="C25" i="185"/>
  <c r="D24" i="185"/>
  <c r="C24" i="185"/>
  <c r="D23" i="185"/>
  <c r="C23" i="185"/>
  <c r="D22" i="185"/>
  <c r="C22" i="185"/>
  <c r="D21" i="185"/>
  <c r="C21" i="185"/>
  <c r="D20" i="185"/>
  <c r="C20" i="185"/>
  <c r="D19" i="185"/>
  <c r="C19" i="185"/>
  <c r="D18" i="185"/>
  <c r="C18" i="185"/>
  <c r="D17" i="185"/>
  <c r="C17" i="185"/>
  <c r="D16" i="185"/>
  <c r="C16" i="185"/>
  <c r="D15" i="185"/>
  <c r="C15" i="185"/>
  <c r="D14" i="185"/>
  <c r="C14" i="185"/>
  <c r="D13" i="185"/>
  <c r="C13" i="185"/>
  <c r="D12" i="185"/>
  <c r="C12" i="185"/>
  <c r="M22" i="188" l="1"/>
  <c r="M23" i="188"/>
  <c r="D26" i="185"/>
  <c r="F12" i="185"/>
  <c r="I12" i="185" s="1"/>
  <c r="D116" i="185"/>
  <c r="D124" i="185"/>
  <c r="C26" i="185"/>
  <c r="C84" i="185"/>
  <c r="C116" i="185"/>
  <c r="E124" i="185"/>
  <c r="C202" i="185"/>
  <c r="D211" i="185"/>
  <c r="D107" i="185"/>
  <c r="E166" i="185"/>
  <c r="C211" i="185"/>
  <c r="D84" i="185"/>
  <c r="C98" i="185"/>
  <c r="C166" i="185"/>
  <c r="D166" i="185"/>
  <c r="D202" i="185"/>
  <c r="E98" i="185"/>
  <c r="E211" i="185"/>
  <c r="C233" i="185"/>
  <c r="E84" i="185"/>
  <c r="D98" i="185"/>
  <c r="C107" i="185"/>
  <c r="E107" i="185"/>
  <c r="E116" i="185"/>
  <c r="C124" i="185"/>
  <c r="E202" i="185"/>
  <c r="I135" i="188"/>
  <c r="I13" i="188"/>
  <c r="I14" i="188"/>
  <c r="I15" i="188"/>
  <c r="I19" i="188"/>
  <c r="I31" i="188"/>
  <c r="I32" i="188"/>
  <c r="I33" i="188"/>
  <c r="I34" i="188"/>
  <c r="I35" i="188"/>
  <c r="I36" i="188"/>
  <c r="I37" i="188"/>
  <c r="I38" i="188"/>
  <c r="I43" i="188"/>
  <c r="I47" i="188"/>
  <c r="I51" i="188"/>
  <c r="I76" i="188"/>
  <c r="I78" i="188"/>
  <c r="I93" i="188"/>
  <c r="I101" i="188"/>
  <c r="I105" i="188"/>
  <c r="I111" i="188"/>
  <c r="I113" i="188"/>
  <c r="I115" i="188"/>
  <c r="I143" i="188"/>
  <c r="I170" i="188"/>
  <c r="I176" i="188"/>
  <c r="I177" i="188"/>
  <c r="I225" i="188"/>
  <c r="I229" i="188"/>
  <c r="I23" i="188"/>
  <c r="I24" i="188"/>
  <c r="I40" i="188"/>
  <c r="I41" i="188"/>
  <c r="I42" i="188"/>
  <c r="I52" i="188"/>
  <c r="I83" i="188"/>
  <c r="I102" i="188"/>
  <c r="I106" i="188"/>
  <c r="I112" i="188"/>
  <c r="I172" i="188"/>
  <c r="I173" i="188"/>
  <c r="I199" i="188"/>
  <c r="I208" i="188"/>
  <c r="I226" i="188"/>
  <c r="I230" i="188"/>
  <c r="I17" i="188"/>
  <c r="I22" i="188"/>
  <c r="I45" i="188"/>
  <c r="I49" i="188"/>
  <c r="I53" i="188"/>
  <c r="I70" i="188"/>
  <c r="I75" i="188"/>
  <c r="I82" i="188"/>
  <c r="I121" i="188"/>
  <c r="I123" i="188"/>
  <c r="I140" i="188"/>
  <c r="I154" i="188"/>
  <c r="I171" i="188"/>
  <c r="I195" i="188"/>
  <c r="I197" i="188"/>
  <c r="I227" i="188"/>
  <c r="I231" i="188"/>
  <c r="I46" i="188"/>
  <c r="I50" i="188"/>
  <c r="I54" i="188"/>
  <c r="I55" i="188"/>
  <c r="I56" i="188"/>
  <c r="I57" i="188"/>
  <c r="I58" i="188"/>
  <c r="I59" i="188"/>
  <c r="I60" i="188"/>
  <c r="I61" i="188"/>
  <c r="I62" i="188"/>
  <c r="I63" i="188"/>
  <c r="I64" i="188"/>
  <c r="I72" i="188"/>
  <c r="I74" i="188"/>
  <c r="I80" i="188"/>
  <c r="I90" i="188"/>
  <c r="I97" i="188"/>
  <c r="I104" i="188"/>
  <c r="I114" i="188"/>
  <c r="I193" i="188"/>
  <c r="I224" i="188"/>
  <c r="I228" i="188"/>
  <c r="I232" i="188"/>
  <c r="I237" i="188"/>
  <c r="F233" i="188"/>
  <c r="F91" i="188"/>
  <c r="F92" i="188"/>
  <c r="F94" i="188"/>
  <c r="F122" i="188"/>
  <c r="F238" i="188"/>
  <c r="F21" i="188"/>
  <c r="F25" i="188"/>
  <c r="F39" i="188"/>
  <c r="F69" i="188"/>
  <c r="F71" i="188"/>
  <c r="F77" i="188"/>
  <c r="F81" i="188"/>
  <c r="F87" i="188"/>
  <c r="F88" i="188"/>
  <c r="F95" i="188"/>
  <c r="F18" i="188"/>
  <c r="F30" i="188"/>
  <c r="F44" i="188"/>
  <c r="F48" i="188"/>
  <c r="F110" i="188"/>
  <c r="F138" i="188"/>
  <c r="F164" i="188"/>
  <c r="F20" i="188"/>
  <c r="F65" i="188"/>
  <c r="G213" i="188"/>
  <c r="F73" i="188"/>
  <c r="F103" i="188"/>
  <c r="F79" i="188"/>
  <c r="F89" i="188"/>
  <c r="F96" i="188"/>
  <c r="F134" i="188"/>
  <c r="F145" i="188"/>
  <c r="F162" i="188"/>
  <c r="F175" i="188"/>
  <c r="F200" i="188"/>
  <c r="F160" i="188"/>
  <c r="F120" i="188"/>
  <c r="F129" i="188"/>
  <c r="F130" i="188"/>
  <c r="F151" i="188"/>
  <c r="F158" i="188"/>
  <c r="H213" i="188"/>
  <c r="F119" i="188"/>
  <c r="F131" i="188"/>
  <c r="F136" i="188"/>
  <c r="F141" i="188"/>
  <c r="F146" i="188"/>
  <c r="F152" i="188"/>
  <c r="F155" i="188"/>
  <c r="F165" i="188"/>
  <c r="F169" i="188"/>
  <c r="F174" i="188"/>
  <c r="F178" i="188"/>
  <c r="F179" i="188"/>
  <c r="F181" i="188"/>
  <c r="F183" i="188"/>
  <c r="F185" i="188"/>
  <c r="F187" i="188"/>
  <c r="F190" i="188"/>
  <c r="F196" i="188"/>
  <c r="F128" i="188"/>
  <c r="F132" i="188"/>
  <c r="F137" i="188"/>
  <c r="F142" i="188"/>
  <c r="F147" i="188"/>
  <c r="F156" i="188"/>
  <c r="F161" i="188"/>
  <c r="F163" i="188"/>
  <c r="F191" i="188"/>
  <c r="F148" i="188"/>
  <c r="F150" i="188"/>
  <c r="F153" i="188"/>
  <c r="F157" i="188"/>
  <c r="F180" i="188"/>
  <c r="F182" i="188"/>
  <c r="F184" i="188"/>
  <c r="F186" i="188"/>
  <c r="F188" i="188"/>
  <c r="F192" i="188"/>
  <c r="F189" i="188"/>
  <c r="F194" i="188"/>
  <c r="F198" i="188"/>
  <c r="F209" i="188"/>
  <c r="F201" i="188"/>
  <c r="F205" i="188"/>
  <c r="F206" i="188"/>
  <c r="F207" i="188"/>
  <c r="F210" i="188"/>
  <c r="I236" i="188"/>
  <c r="C66" i="185"/>
  <c r="D66" i="185"/>
  <c r="E66" i="185"/>
  <c r="H220" i="188" l="1"/>
  <c r="F26" i="188"/>
  <c r="I16" i="188"/>
  <c r="E213" i="185"/>
  <c r="D213" i="185"/>
  <c r="C213" i="185"/>
  <c r="C217" i="185" s="1"/>
  <c r="G220" i="188"/>
  <c r="O23" i="188"/>
  <c r="O19" i="188"/>
  <c r="I233" i="188"/>
  <c r="O36" i="188" s="1"/>
  <c r="I153" i="188"/>
  <c r="I147" i="188"/>
  <c r="I137" i="188"/>
  <c r="I190" i="188"/>
  <c r="I185" i="188"/>
  <c r="I181" i="188"/>
  <c r="I178" i="188"/>
  <c r="I165" i="188"/>
  <c r="I146" i="188"/>
  <c r="I130" i="188"/>
  <c r="I200" i="188"/>
  <c r="I145" i="188"/>
  <c r="I89" i="188"/>
  <c r="I20" i="188"/>
  <c r="I164" i="188"/>
  <c r="I71" i="188"/>
  <c r="I25" i="188"/>
  <c r="I94" i="188"/>
  <c r="I91" i="188"/>
  <c r="I150" i="188"/>
  <c r="I141" i="188"/>
  <c r="I162" i="188"/>
  <c r="I79" i="188"/>
  <c r="I73" i="188"/>
  <c r="I88" i="188"/>
  <c r="I81" i="188"/>
  <c r="I238" i="188"/>
  <c r="O22" i="188"/>
  <c r="I161" i="188"/>
  <c r="I209" i="188"/>
  <c r="I184" i="188"/>
  <c r="I191" i="188"/>
  <c r="I155" i="188"/>
  <c r="I207" i="188"/>
  <c r="I156" i="188"/>
  <c r="I183" i="188"/>
  <c r="I179" i="188"/>
  <c r="I152" i="188"/>
  <c r="I151" i="188"/>
  <c r="I129" i="188"/>
  <c r="I160" i="188"/>
  <c r="I175" i="188"/>
  <c r="I134" i="188"/>
  <c r="I96" i="188"/>
  <c r="I138" i="188"/>
  <c r="I48" i="188"/>
  <c r="I95" i="188"/>
  <c r="I77" i="188"/>
  <c r="I21" i="188"/>
  <c r="O24" i="188"/>
  <c r="I189" i="188"/>
  <c r="I210" i="188"/>
  <c r="I188" i="188"/>
  <c r="I180" i="188"/>
  <c r="I131" i="188"/>
  <c r="I198" i="188"/>
  <c r="I148" i="188"/>
  <c r="I142" i="188"/>
  <c r="I132" i="188"/>
  <c r="I187" i="188"/>
  <c r="I174" i="188"/>
  <c r="I206" i="188"/>
  <c r="I201" i="188"/>
  <c r="I194" i="188"/>
  <c r="I192" i="188"/>
  <c r="I186" i="188"/>
  <c r="I182" i="188"/>
  <c r="I157" i="188"/>
  <c r="I163" i="188"/>
  <c r="I196" i="188"/>
  <c r="I136" i="188"/>
  <c r="I158" i="188"/>
  <c r="I120" i="188"/>
  <c r="I103" i="188"/>
  <c r="I65" i="188"/>
  <c r="I44" i="188"/>
  <c r="I18" i="188"/>
  <c r="I39" i="188"/>
  <c r="I122" i="188"/>
  <c r="I92" i="188"/>
  <c r="O17" i="188"/>
  <c r="F240" i="188"/>
  <c r="F241" i="188" s="1"/>
  <c r="F202" i="188"/>
  <c r="I169" i="188"/>
  <c r="F98" i="188"/>
  <c r="I87" i="188"/>
  <c r="F166" i="188"/>
  <c r="I128" i="188"/>
  <c r="I119" i="188"/>
  <c r="F124" i="188"/>
  <c r="I110" i="188"/>
  <c r="F116" i="188"/>
  <c r="I30" i="188"/>
  <c r="F66" i="188"/>
  <c r="O170" i="188"/>
  <c r="F107" i="188"/>
  <c r="I69" i="188"/>
  <c r="F84" i="188"/>
  <c r="M19" i="188"/>
  <c r="I205" i="188"/>
  <c r="F211" i="188"/>
  <c r="O16" i="188"/>
  <c r="O74" i="188" l="1"/>
  <c r="I107" i="188"/>
  <c r="O157" i="188"/>
  <c r="O34" i="188"/>
  <c r="O37" i="188"/>
  <c r="J228" i="188"/>
  <c r="O193" i="188"/>
  <c r="E220" i="185"/>
  <c r="O94" i="188"/>
  <c r="I26" i="188"/>
  <c r="O44" i="188"/>
  <c r="O190" i="188"/>
  <c r="O153" i="188"/>
  <c r="C220" i="185"/>
  <c r="D220" i="185"/>
  <c r="O122" i="188"/>
  <c r="O182" i="188"/>
  <c r="O42" i="188"/>
  <c r="O183" i="188"/>
  <c r="O197" i="188"/>
  <c r="O113" i="188"/>
  <c r="O51" i="188"/>
  <c r="M18" i="188"/>
  <c r="J226" i="188"/>
  <c r="O35" i="188"/>
  <c r="O145" i="188"/>
  <c r="O148" i="188"/>
  <c r="I240" i="188"/>
  <c r="O141" i="188"/>
  <c r="O105" i="188"/>
  <c r="O54" i="188"/>
  <c r="O136" i="188"/>
  <c r="J232" i="188"/>
  <c r="O73" i="188"/>
  <c r="O53" i="188"/>
  <c r="O151" i="188"/>
  <c r="O60" i="188"/>
  <c r="O209" i="188"/>
  <c r="O140" i="188"/>
  <c r="O56" i="188"/>
  <c r="O95" i="188"/>
  <c r="J225" i="188"/>
  <c r="J230" i="188"/>
  <c r="O83" i="188"/>
  <c r="O88" i="188"/>
  <c r="O38" i="188"/>
  <c r="O107" i="188"/>
  <c r="O134" i="188"/>
  <c r="O142" i="188"/>
  <c r="O164" i="188"/>
  <c r="O165" i="188"/>
  <c r="J227" i="188"/>
  <c r="O59" i="188"/>
  <c r="O92" i="188"/>
  <c r="O101" i="188"/>
  <c r="O102" i="188"/>
  <c r="O93" i="188"/>
  <c r="O200" i="188"/>
  <c r="O152" i="188"/>
  <c r="O187" i="188"/>
  <c r="O176" i="188"/>
  <c r="O192" i="188"/>
  <c r="O50" i="188"/>
  <c r="O57" i="188"/>
  <c r="O104" i="188"/>
  <c r="O112" i="188"/>
  <c r="O76" i="188"/>
  <c r="O158" i="188"/>
  <c r="O155" i="188"/>
  <c r="O156" i="188"/>
  <c r="O180" i="188"/>
  <c r="O206" i="188"/>
  <c r="O31" i="188"/>
  <c r="O49" i="188"/>
  <c r="O77" i="188"/>
  <c r="O173" i="188"/>
  <c r="O97" i="188"/>
  <c r="O65" i="188"/>
  <c r="O178" i="188"/>
  <c r="O172" i="188"/>
  <c r="O207" i="188"/>
  <c r="O114" i="188"/>
  <c r="O162" i="188"/>
  <c r="O194" i="188"/>
  <c r="O45" i="188"/>
  <c r="O78" i="188"/>
  <c r="O82" i="188"/>
  <c r="O115" i="188"/>
  <c r="J229" i="188"/>
  <c r="J233" i="188"/>
  <c r="O55" i="188"/>
  <c r="O33" i="188"/>
  <c r="O64" i="188"/>
  <c r="O91" i="188"/>
  <c r="O71" i="188"/>
  <c r="O154" i="188"/>
  <c r="O147" i="188"/>
  <c r="O111" i="188"/>
  <c r="J224" i="188"/>
  <c r="J231" i="188"/>
  <c r="O32" i="188"/>
  <c r="O41" i="188"/>
  <c r="O72" i="188"/>
  <c r="O123" i="188"/>
  <c r="O138" i="188"/>
  <c r="O106" i="188"/>
  <c r="O120" i="188"/>
  <c r="O174" i="188"/>
  <c r="O163" i="188"/>
  <c r="O198" i="188"/>
  <c r="O43" i="188"/>
  <c r="O46" i="188"/>
  <c r="O39" i="188"/>
  <c r="O135" i="188"/>
  <c r="O121" i="188"/>
  <c r="O160" i="188"/>
  <c r="O177" i="188"/>
  <c r="O199" i="188"/>
  <c r="O195" i="188"/>
  <c r="O184" i="188"/>
  <c r="O52" i="188"/>
  <c r="O63" i="188"/>
  <c r="O103" i="188"/>
  <c r="O181" i="188"/>
  <c r="O208" i="188"/>
  <c r="O80" i="188"/>
  <c r="O143" i="188"/>
  <c r="O137" i="188"/>
  <c r="O47" i="188"/>
  <c r="O61" i="188"/>
  <c r="O81" i="188"/>
  <c r="O48" i="188"/>
  <c r="O171" i="188"/>
  <c r="O79" i="188"/>
  <c r="O179" i="188"/>
  <c r="O191" i="188"/>
  <c r="O62" i="188"/>
  <c r="O58" i="188"/>
  <c r="O90" i="188"/>
  <c r="O70" i="188"/>
  <c r="O89" i="188"/>
  <c r="O129" i="188"/>
  <c r="O131" i="188"/>
  <c r="O132" i="188"/>
  <c r="O150" i="188"/>
  <c r="O188" i="188"/>
  <c r="O40" i="188"/>
  <c r="O75" i="188"/>
  <c r="O175" i="188"/>
  <c r="O146" i="188"/>
  <c r="O185" i="188"/>
  <c r="O189" i="188"/>
  <c r="O96" i="188"/>
  <c r="O130" i="188"/>
  <c r="O186" i="188"/>
  <c r="O210" i="188"/>
  <c r="O201" i="188"/>
  <c r="O161" i="188"/>
  <c r="O18" i="188"/>
  <c r="O21" i="188"/>
  <c r="O20" i="188"/>
  <c r="O196" i="188"/>
  <c r="F242" i="188"/>
  <c r="F213" i="188"/>
  <c r="O30" i="188"/>
  <c r="I66" i="188"/>
  <c r="O66" i="188" s="1"/>
  <c r="I166" i="188"/>
  <c r="O166" i="188" s="1"/>
  <c r="O128" i="188"/>
  <c r="I211" i="188"/>
  <c r="O211" i="188" s="1"/>
  <c r="O205" i="188"/>
  <c r="I84" i="188"/>
  <c r="O84" i="188" s="1"/>
  <c r="O69" i="188"/>
  <c r="O110" i="188"/>
  <c r="I116" i="188"/>
  <c r="O116" i="188" s="1"/>
  <c r="O119" i="188"/>
  <c r="I124" i="188"/>
  <c r="O124" i="188" s="1"/>
  <c r="J23" i="188"/>
  <c r="J16" i="188"/>
  <c r="J26" i="188"/>
  <c r="I98" i="188"/>
  <c r="O98" i="188" s="1"/>
  <c r="O87" i="188"/>
  <c r="I202" i="188"/>
  <c r="O202" i="188" s="1"/>
  <c r="O169" i="188"/>
  <c r="J24" i="188" l="1"/>
  <c r="J14" i="188"/>
  <c r="O26" i="188"/>
  <c r="J15" i="188"/>
  <c r="J17" i="188"/>
  <c r="J22" i="188"/>
  <c r="J20" i="188"/>
  <c r="J19" i="188"/>
  <c r="J25" i="188"/>
  <c r="J18" i="188"/>
  <c r="J12" i="188"/>
  <c r="J13" i="188"/>
  <c r="J21" i="188"/>
  <c r="M16" i="188"/>
  <c r="I242" i="188"/>
  <c r="M20" i="188"/>
  <c r="I241" i="188"/>
  <c r="F220" i="188"/>
  <c r="F243" i="188"/>
  <c r="I213" i="188"/>
  <c r="I243" i="188" l="1"/>
  <c r="J210" i="188"/>
  <c r="J209" i="188"/>
  <c r="J208" i="188"/>
  <c r="J207" i="188"/>
  <c r="J206" i="188"/>
  <c r="J205" i="188"/>
  <c r="J202" i="188"/>
  <c r="J213" i="188"/>
  <c r="O213" i="188"/>
  <c r="J211" i="188"/>
  <c r="J201" i="188"/>
  <c r="J200" i="188"/>
  <c r="J199" i="188"/>
  <c r="J198" i="188"/>
  <c r="J197" i="188"/>
  <c r="J196" i="188"/>
  <c r="J195" i="188"/>
  <c r="J194" i="188"/>
  <c r="J193" i="188"/>
  <c r="J192" i="188"/>
  <c r="J191" i="188"/>
  <c r="J190" i="188"/>
  <c r="J189" i="188"/>
  <c r="J188" i="188"/>
  <c r="J187" i="188"/>
  <c r="J186" i="188"/>
  <c r="J185" i="188"/>
  <c r="J184" i="188"/>
  <c r="J183" i="188"/>
  <c r="J182" i="188"/>
  <c r="J181" i="188"/>
  <c r="J180" i="188"/>
  <c r="J179" i="188"/>
  <c r="J165" i="188"/>
  <c r="J164" i="188"/>
  <c r="J166" i="188"/>
  <c r="J175" i="188"/>
  <c r="J157" i="188"/>
  <c r="J153" i="188"/>
  <c r="J150" i="188"/>
  <c r="J148" i="188"/>
  <c r="J178" i="188"/>
  <c r="J174" i="188"/>
  <c r="J171" i="188"/>
  <c r="J169" i="188"/>
  <c r="J163" i="188"/>
  <c r="J161" i="188"/>
  <c r="J156" i="188"/>
  <c r="J147" i="188"/>
  <c r="J142" i="188"/>
  <c r="J137" i="188"/>
  <c r="J132" i="188"/>
  <c r="J128" i="188"/>
  <c r="J120" i="188"/>
  <c r="J115" i="188"/>
  <c r="J114" i="188"/>
  <c r="J113" i="188"/>
  <c r="J112" i="188"/>
  <c r="J111" i="188"/>
  <c r="J110" i="188"/>
  <c r="J177" i="188"/>
  <c r="J173" i="188"/>
  <c r="J155" i="188"/>
  <c r="J152" i="188"/>
  <c r="J146" i="188"/>
  <c r="J141" i="188"/>
  <c r="J136" i="188"/>
  <c r="J131" i="188"/>
  <c r="J124" i="188"/>
  <c r="J123" i="188"/>
  <c r="J121" i="188"/>
  <c r="J106" i="188"/>
  <c r="J105" i="188"/>
  <c r="J104" i="188"/>
  <c r="J103" i="188"/>
  <c r="J102" i="188"/>
  <c r="J101" i="188"/>
  <c r="J65" i="188"/>
  <c r="J64" i="188"/>
  <c r="J138" i="188"/>
  <c r="J130" i="188"/>
  <c r="J96" i="188"/>
  <c r="J89" i="188"/>
  <c r="J172" i="188"/>
  <c r="J170" i="188"/>
  <c r="J158" i="188"/>
  <c r="J154" i="188"/>
  <c r="J151" i="188"/>
  <c r="J129" i="188"/>
  <c r="J122" i="188"/>
  <c r="J116" i="188"/>
  <c r="J107" i="188"/>
  <c r="J97" i="188"/>
  <c r="J93" i="188"/>
  <c r="J90" i="188"/>
  <c r="J84" i="188"/>
  <c r="J83" i="188"/>
  <c r="J81" i="188"/>
  <c r="J79" i="188"/>
  <c r="J176" i="188"/>
  <c r="J160" i="188"/>
  <c r="J143" i="188"/>
  <c r="J135" i="188"/>
  <c r="J119" i="188"/>
  <c r="J98" i="188"/>
  <c r="J94" i="188"/>
  <c r="J91" i="188"/>
  <c r="J87" i="188"/>
  <c r="J71" i="188"/>
  <c r="J95" i="188"/>
  <c r="J88" i="188"/>
  <c r="J77" i="188"/>
  <c r="J74" i="188"/>
  <c r="J60" i="188"/>
  <c r="J56" i="188"/>
  <c r="J52" i="188"/>
  <c r="J48" i="188"/>
  <c r="J44" i="188"/>
  <c r="J42" i="188"/>
  <c r="J38" i="188"/>
  <c r="J34" i="188"/>
  <c r="J30" i="188"/>
  <c r="J59" i="188"/>
  <c r="J162" i="188"/>
  <c r="J145" i="188"/>
  <c r="J134" i="188"/>
  <c r="J92" i="188"/>
  <c r="J80" i="188"/>
  <c r="J75" i="188"/>
  <c r="J72" i="188"/>
  <c r="J69" i="188"/>
  <c r="J66" i="188"/>
  <c r="J61" i="188"/>
  <c r="J57" i="188"/>
  <c r="J53" i="188"/>
  <c r="J49" i="188"/>
  <c r="J45" i="188"/>
  <c r="J39" i="188"/>
  <c r="J35" i="188"/>
  <c r="J31" i="188"/>
  <c r="J47" i="188"/>
  <c r="J41" i="188"/>
  <c r="J140" i="188"/>
  <c r="J78" i="188"/>
  <c r="J73" i="188"/>
  <c r="J62" i="188"/>
  <c r="J58" i="188"/>
  <c r="J54" i="188"/>
  <c r="J50" i="188"/>
  <c r="J46" i="188"/>
  <c r="J43" i="188"/>
  <c r="J40" i="188"/>
  <c r="J36" i="188"/>
  <c r="J32" i="188"/>
  <c r="M17" i="188"/>
  <c r="J82" i="188"/>
  <c r="J76" i="188"/>
  <c r="J70" i="188"/>
  <c r="J63" i="188"/>
  <c r="J55" i="188"/>
  <c r="J51" i="188"/>
  <c r="J37" i="188"/>
  <c r="J33" i="188"/>
  <c r="I220" i="188"/>
  <c r="F237" i="186" l="1"/>
  <c r="F236" i="186"/>
  <c r="H233" i="186"/>
  <c r="G233" i="186"/>
  <c r="F232" i="186"/>
  <c r="F231" i="186"/>
  <c r="F230" i="186"/>
  <c r="F229" i="186"/>
  <c r="F228" i="186"/>
  <c r="F227" i="186"/>
  <c r="F226" i="186"/>
  <c r="F225" i="186"/>
  <c r="F224" i="186"/>
  <c r="M213" i="186"/>
  <c r="L213" i="186"/>
  <c r="M22" i="186" s="1"/>
  <c r="H211" i="186"/>
  <c r="G211" i="186"/>
  <c r="H202" i="186"/>
  <c r="G202" i="186"/>
  <c r="F175" i="186"/>
  <c r="F171" i="186"/>
  <c r="F169" i="186"/>
  <c r="H166" i="186"/>
  <c r="G166" i="186"/>
  <c r="H124" i="186"/>
  <c r="G124" i="186"/>
  <c r="F122" i="186"/>
  <c r="H116" i="186"/>
  <c r="G116" i="186"/>
  <c r="F113" i="186"/>
  <c r="F112" i="186"/>
  <c r="F111" i="186"/>
  <c r="F110" i="186"/>
  <c r="H107" i="186"/>
  <c r="G107" i="186"/>
  <c r="F105" i="186"/>
  <c r="F104" i="186"/>
  <c r="F101" i="186"/>
  <c r="H98" i="186"/>
  <c r="G98" i="186"/>
  <c r="F93" i="186"/>
  <c r="F90" i="186"/>
  <c r="H84" i="186"/>
  <c r="G84" i="186"/>
  <c r="F74" i="186"/>
  <c r="F71" i="186"/>
  <c r="H66" i="186"/>
  <c r="G66" i="186"/>
  <c r="F65" i="186"/>
  <c r="F64" i="186"/>
  <c r="F63" i="186"/>
  <c r="F61" i="186"/>
  <c r="F60" i="186"/>
  <c r="F59" i="186"/>
  <c r="F57" i="186"/>
  <c r="F56" i="186"/>
  <c r="F55" i="186"/>
  <c r="F54" i="186"/>
  <c r="F51" i="186"/>
  <c r="F50" i="186"/>
  <c r="F49" i="186"/>
  <c r="F47" i="186"/>
  <c r="F44" i="186"/>
  <c r="F42" i="186"/>
  <c r="F40" i="186"/>
  <c r="F38" i="186"/>
  <c r="F36" i="186"/>
  <c r="F35" i="186"/>
  <c r="F33" i="186"/>
  <c r="F32" i="186"/>
  <c r="F31" i="186"/>
  <c r="F30" i="186"/>
  <c r="F25" i="186"/>
  <c r="F24" i="186"/>
  <c r="F23" i="186"/>
  <c r="F22" i="186"/>
  <c r="F21" i="186"/>
  <c r="F19" i="186"/>
  <c r="F18" i="186"/>
  <c r="F15" i="186"/>
  <c r="F14" i="186"/>
  <c r="A1" i="186"/>
  <c r="M23" i="186" l="1"/>
  <c r="I14" i="186"/>
  <c r="I19" i="186"/>
  <c r="I21" i="186"/>
  <c r="I31" i="186"/>
  <c r="I36" i="186"/>
  <c r="I40" i="186"/>
  <c r="I44" i="186"/>
  <c r="I47" i="186"/>
  <c r="I64" i="186"/>
  <c r="I104" i="186"/>
  <c r="I225" i="186"/>
  <c r="I229" i="186"/>
  <c r="I23" i="186"/>
  <c r="I25" i="186"/>
  <c r="I33" i="186"/>
  <c r="I35" i="186"/>
  <c r="I38" i="186"/>
  <c r="I49" i="186"/>
  <c r="I55" i="186"/>
  <c r="I59" i="186"/>
  <c r="I61" i="186"/>
  <c r="I90" i="186"/>
  <c r="I105" i="186"/>
  <c r="I110" i="186"/>
  <c r="I122" i="186"/>
  <c r="I175" i="186"/>
  <c r="I226" i="186"/>
  <c r="I230" i="186"/>
  <c r="I15" i="186"/>
  <c r="I18" i="186"/>
  <c r="I22" i="186"/>
  <c r="I42" i="186"/>
  <c r="I50" i="186"/>
  <c r="I54" i="186"/>
  <c r="I56" i="186"/>
  <c r="I57" i="186"/>
  <c r="I60" i="186"/>
  <c r="I93" i="186"/>
  <c r="I111" i="186"/>
  <c r="I227" i="186"/>
  <c r="I231" i="186"/>
  <c r="I24" i="186"/>
  <c r="I32" i="186"/>
  <c r="I51" i="186"/>
  <c r="I63" i="186"/>
  <c r="I65" i="186"/>
  <c r="I71" i="186"/>
  <c r="I74" i="186"/>
  <c r="I101" i="186"/>
  <c r="I112" i="186"/>
  <c r="I113" i="186"/>
  <c r="I171" i="186"/>
  <c r="I228" i="186"/>
  <c r="I232" i="186"/>
  <c r="I237" i="186"/>
  <c r="F20" i="186"/>
  <c r="F76" i="186"/>
  <c r="F77" i="186"/>
  <c r="F79" i="186"/>
  <c r="F177" i="186"/>
  <c r="F185" i="186"/>
  <c r="F186" i="186"/>
  <c r="F187" i="186"/>
  <c r="F188" i="186"/>
  <c r="F189" i="186"/>
  <c r="F238" i="186"/>
  <c r="F13" i="186"/>
  <c r="F16" i="186"/>
  <c r="F34" i="186"/>
  <c r="F41" i="186"/>
  <c r="F48" i="186"/>
  <c r="F53" i="186"/>
  <c r="F58" i="186"/>
  <c r="F62" i="186"/>
  <c r="G213" i="186"/>
  <c r="F78" i="186"/>
  <c r="F97" i="186"/>
  <c r="F103" i="186"/>
  <c r="F119" i="186"/>
  <c r="F134" i="186"/>
  <c r="F160" i="186"/>
  <c r="F164" i="186"/>
  <c r="F179" i="186"/>
  <c r="F206" i="186"/>
  <c r="F207" i="186"/>
  <c r="F37" i="186"/>
  <c r="F39" i="186"/>
  <c r="F52" i="186"/>
  <c r="F72" i="186"/>
  <c r="F80" i="186"/>
  <c r="F82" i="186"/>
  <c r="F173" i="186"/>
  <c r="F201" i="186"/>
  <c r="F205" i="186"/>
  <c r="I30" i="186"/>
  <c r="F69" i="186"/>
  <c r="F95" i="186"/>
  <c r="F152" i="186"/>
  <c r="F43" i="186"/>
  <c r="F46" i="186"/>
  <c r="F70" i="186"/>
  <c r="F83" i="186"/>
  <c r="F45" i="186"/>
  <c r="F73" i="186"/>
  <c r="F87" i="186"/>
  <c r="F88" i="186"/>
  <c r="F17" i="186"/>
  <c r="F75" i="186"/>
  <c r="F81" i="186"/>
  <c r="F91" i="186"/>
  <c r="F92" i="186"/>
  <c r="F94" i="186"/>
  <c r="F129" i="186"/>
  <c r="F89" i="186"/>
  <c r="F96" i="186"/>
  <c r="F102" i="186"/>
  <c r="F106" i="186"/>
  <c r="F151" i="186"/>
  <c r="F161" i="186"/>
  <c r="I169" i="186"/>
  <c r="F174" i="186"/>
  <c r="F178" i="186"/>
  <c r="F182" i="186"/>
  <c r="F114" i="186"/>
  <c r="F115" i="186"/>
  <c r="F120" i="186"/>
  <c r="F150" i="186"/>
  <c r="F165" i="186"/>
  <c r="F170" i="186"/>
  <c r="F172" i="186"/>
  <c r="F176" i="186"/>
  <c r="F180" i="186"/>
  <c r="F184" i="186"/>
  <c r="H213" i="186"/>
  <c r="F121" i="186"/>
  <c r="F123" i="186"/>
  <c r="F130" i="186"/>
  <c r="F135" i="186"/>
  <c r="F138" i="186"/>
  <c r="F140" i="186"/>
  <c r="F143" i="186"/>
  <c r="F145" i="186"/>
  <c r="F146" i="186"/>
  <c r="F147" i="186"/>
  <c r="F148" i="186"/>
  <c r="F153" i="186"/>
  <c r="F154" i="186"/>
  <c r="F155" i="186"/>
  <c r="F156" i="186"/>
  <c r="F157" i="186"/>
  <c r="F158" i="186"/>
  <c r="F162" i="186"/>
  <c r="F131" i="186"/>
  <c r="F136" i="186"/>
  <c r="F141" i="186"/>
  <c r="F163" i="186"/>
  <c r="F181" i="186"/>
  <c r="F183" i="186"/>
  <c r="F128" i="186"/>
  <c r="F132" i="186"/>
  <c r="F137" i="186"/>
  <c r="F142" i="186"/>
  <c r="F199" i="186"/>
  <c r="F209" i="186"/>
  <c r="F233" i="186"/>
  <c r="I224" i="186"/>
  <c r="F200" i="186"/>
  <c r="F208" i="186"/>
  <c r="F210" i="186"/>
  <c r="I236" i="186"/>
  <c r="F190" i="186"/>
  <c r="F191" i="186"/>
  <c r="F192" i="186"/>
  <c r="F193" i="186"/>
  <c r="F194" i="186"/>
  <c r="F195" i="186"/>
  <c r="F196" i="186"/>
  <c r="F197" i="186"/>
  <c r="F198" i="186"/>
  <c r="H220" i="186" l="1"/>
  <c r="O24" i="186"/>
  <c r="F26" i="186"/>
  <c r="G220" i="186"/>
  <c r="O22" i="186"/>
  <c r="O21" i="186"/>
  <c r="I191" i="186"/>
  <c r="I210" i="186"/>
  <c r="I208" i="186"/>
  <c r="I142" i="186"/>
  <c r="I156" i="186"/>
  <c r="I147" i="186"/>
  <c r="I140" i="186"/>
  <c r="I121" i="186"/>
  <c r="I184" i="186"/>
  <c r="I150" i="186"/>
  <c r="I174" i="186"/>
  <c r="I96" i="186"/>
  <c r="I70" i="186"/>
  <c r="I72" i="186"/>
  <c r="I207" i="186"/>
  <c r="I160" i="186"/>
  <c r="I97" i="186"/>
  <c r="I48" i="186"/>
  <c r="I187" i="186"/>
  <c r="I76" i="186"/>
  <c r="I20" i="186"/>
  <c r="I132" i="186"/>
  <c r="I183" i="186"/>
  <c r="I141" i="186"/>
  <c r="I131" i="186"/>
  <c r="I162" i="186"/>
  <c r="I155" i="186"/>
  <c r="I146" i="186"/>
  <c r="I138" i="186"/>
  <c r="I130" i="186"/>
  <c r="I176" i="186"/>
  <c r="I170" i="186"/>
  <c r="I115" i="186"/>
  <c r="I151" i="186"/>
  <c r="I106" i="186"/>
  <c r="I89" i="186"/>
  <c r="I129" i="186"/>
  <c r="I92" i="186"/>
  <c r="I46" i="186"/>
  <c r="I152" i="186"/>
  <c r="I52" i="186"/>
  <c r="I37" i="186"/>
  <c r="I206" i="186"/>
  <c r="I134" i="186"/>
  <c r="I62" i="186"/>
  <c r="I238" i="186"/>
  <c r="I240" i="186" s="1"/>
  <c r="I186" i="186"/>
  <c r="O19" i="186"/>
  <c r="I195" i="186"/>
  <c r="I194" i="186"/>
  <c r="I190" i="186"/>
  <c r="I193" i="186"/>
  <c r="I209" i="186"/>
  <c r="I158" i="186"/>
  <c r="I154" i="186"/>
  <c r="I145" i="186"/>
  <c r="I135" i="186"/>
  <c r="I120" i="186"/>
  <c r="I178" i="186"/>
  <c r="I102" i="186"/>
  <c r="I94" i="186"/>
  <c r="I91" i="186"/>
  <c r="I81" i="186"/>
  <c r="I17" i="186"/>
  <c r="I73" i="186"/>
  <c r="I43" i="186"/>
  <c r="I95" i="186"/>
  <c r="I205" i="186"/>
  <c r="I173" i="186"/>
  <c r="I82" i="186"/>
  <c r="I179" i="186"/>
  <c r="I119" i="186"/>
  <c r="I58" i="186"/>
  <c r="I41" i="186"/>
  <c r="I189" i="186"/>
  <c r="I185" i="186"/>
  <c r="I79" i="186"/>
  <c r="O18" i="186"/>
  <c r="I198" i="186"/>
  <c r="I200" i="186"/>
  <c r="I163" i="186"/>
  <c r="I197" i="186"/>
  <c r="I196" i="186"/>
  <c r="I192" i="186"/>
  <c r="I199" i="186"/>
  <c r="I137" i="186"/>
  <c r="I181" i="186"/>
  <c r="I136" i="186"/>
  <c r="I157" i="186"/>
  <c r="I153" i="186"/>
  <c r="I148" i="186"/>
  <c r="I143" i="186"/>
  <c r="I123" i="186"/>
  <c r="I180" i="186"/>
  <c r="I172" i="186"/>
  <c r="I165" i="186"/>
  <c r="I182" i="186"/>
  <c r="I161" i="186"/>
  <c r="I75" i="186"/>
  <c r="I88" i="186"/>
  <c r="I45" i="186"/>
  <c r="I83" i="186"/>
  <c r="I201" i="186"/>
  <c r="I80" i="186"/>
  <c r="I39" i="186"/>
  <c r="I164" i="186"/>
  <c r="I103" i="186"/>
  <c r="I78" i="186"/>
  <c r="I53" i="186"/>
  <c r="I34" i="186"/>
  <c r="I13" i="186"/>
  <c r="I188" i="186"/>
  <c r="I177" i="186"/>
  <c r="I77" i="186"/>
  <c r="O23" i="186"/>
  <c r="F240" i="186"/>
  <c r="F241" i="186" s="1"/>
  <c r="F166" i="186"/>
  <c r="I128" i="186"/>
  <c r="I114" i="186"/>
  <c r="F116" i="186"/>
  <c r="F202" i="186"/>
  <c r="F66" i="186"/>
  <c r="F211" i="186"/>
  <c r="F124" i="186"/>
  <c r="F107" i="186"/>
  <c r="I69" i="186"/>
  <c r="F84" i="186"/>
  <c r="I233" i="186"/>
  <c r="M19" i="186"/>
  <c r="F98" i="186"/>
  <c r="I87" i="186"/>
  <c r="I107" i="186" l="1"/>
  <c r="I211" i="186"/>
  <c r="I124" i="186"/>
  <c r="I16" i="186"/>
  <c r="O17" i="186"/>
  <c r="I66" i="186"/>
  <c r="O66" i="186" s="1"/>
  <c r="I202" i="186"/>
  <c r="O202" i="186" s="1"/>
  <c r="O155" i="186"/>
  <c r="F242" i="186"/>
  <c r="M20" i="186"/>
  <c r="O20" i="186"/>
  <c r="O94" i="186"/>
  <c r="O137" i="186"/>
  <c r="O130" i="186"/>
  <c r="O147" i="186"/>
  <c r="O169" i="186"/>
  <c r="O199" i="186"/>
  <c r="O30" i="186"/>
  <c r="O150" i="186"/>
  <c r="O75" i="186"/>
  <c r="O157" i="186"/>
  <c r="O152" i="186"/>
  <c r="O129" i="186"/>
  <c r="O172" i="186"/>
  <c r="O200" i="186"/>
  <c r="O46" i="186"/>
  <c r="O124" i="186"/>
  <c r="O190" i="186"/>
  <c r="O135" i="186"/>
  <c r="O181" i="186"/>
  <c r="O146" i="186"/>
  <c r="O156" i="186"/>
  <c r="O194" i="186"/>
  <c r="O145" i="186"/>
  <c r="O43" i="186"/>
  <c r="O178" i="186"/>
  <c r="O92" i="186"/>
  <c r="O180" i="186"/>
  <c r="O131" i="186"/>
  <c r="O197" i="186"/>
  <c r="O102" i="186"/>
  <c r="O123" i="186"/>
  <c r="O209" i="186"/>
  <c r="O136" i="186"/>
  <c r="O191" i="186"/>
  <c r="O95" i="186"/>
  <c r="O184" i="186"/>
  <c r="O161" i="186"/>
  <c r="O121" i="186"/>
  <c r="O163" i="186"/>
  <c r="I242" i="186"/>
  <c r="O88" i="186"/>
  <c r="O174" i="186"/>
  <c r="O143" i="186"/>
  <c r="F213" i="186"/>
  <c r="O151" i="186"/>
  <c r="O120" i="186"/>
  <c r="I84" i="186"/>
  <c r="O84" i="186" s="1"/>
  <c r="O69" i="186"/>
  <c r="J233" i="186"/>
  <c r="J232" i="186"/>
  <c r="J231" i="186"/>
  <c r="J230" i="186"/>
  <c r="J229" i="186"/>
  <c r="J228" i="186"/>
  <c r="J227" i="186"/>
  <c r="J226" i="186"/>
  <c r="J225" i="186"/>
  <c r="J224" i="186"/>
  <c r="I241" i="186"/>
  <c r="O201" i="186"/>
  <c r="O189" i="186"/>
  <c r="O185" i="186"/>
  <c r="O112" i="186"/>
  <c r="O186" i="186"/>
  <c r="M18" i="186"/>
  <c r="O33" i="186"/>
  <c r="O32" i="186"/>
  <c r="O54" i="186"/>
  <c r="O51" i="186"/>
  <c r="O39" i="186"/>
  <c r="O71" i="186"/>
  <c r="O31" i="186"/>
  <c r="O61" i="186"/>
  <c r="O72" i="186"/>
  <c r="O74" i="186"/>
  <c r="O93" i="186"/>
  <c r="O113" i="186"/>
  <c r="O80" i="186"/>
  <c r="O122" i="186"/>
  <c r="O187" i="186"/>
  <c r="O103" i="186"/>
  <c r="O134" i="186"/>
  <c r="O119" i="186"/>
  <c r="O36" i="186"/>
  <c r="O38" i="186"/>
  <c r="O65" i="186"/>
  <c r="O34" i="186"/>
  <c r="O53" i="186"/>
  <c r="O40" i="186"/>
  <c r="O35" i="186"/>
  <c r="O47" i="186"/>
  <c r="O63" i="186"/>
  <c r="O77" i="186"/>
  <c r="O97" i="186"/>
  <c r="O82" i="186"/>
  <c r="O110" i="186"/>
  <c r="O171" i="186"/>
  <c r="O104" i="186"/>
  <c r="O177" i="186"/>
  <c r="O205" i="186"/>
  <c r="O42" i="186"/>
  <c r="O44" i="186"/>
  <c r="O105" i="186"/>
  <c r="O41" i="186"/>
  <c r="O58" i="186"/>
  <c r="O52" i="186"/>
  <c r="O50" i="186"/>
  <c r="O57" i="186"/>
  <c r="O79" i="186"/>
  <c r="O164" i="186"/>
  <c r="O76" i="186"/>
  <c r="O90" i="186"/>
  <c r="O179" i="186"/>
  <c r="O60" i="186"/>
  <c r="O49" i="186"/>
  <c r="O48" i="186"/>
  <c r="O62" i="186"/>
  <c r="O37" i="186"/>
  <c r="O56" i="186"/>
  <c r="O64" i="186"/>
  <c r="O59" i="186"/>
  <c r="O55" i="186"/>
  <c r="O111" i="186"/>
  <c r="O78" i="186"/>
  <c r="O101" i="186"/>
  <c r="O160" i="186"/>
  <c r="O173" i="186"/>
  <c r="O206" i="186"/>
  <c r="O188" i="186"/>
  <c r="O175" i="186"/>
  <c r="O207" i="186"/>
  <c r="O83" i="186"/>
  <c r="O107" i="186"/>
  <c r="O148" i="186"/>
  <c r="O183" i="186"/>
  <c r="O208" i="186"/>
  <c r="O198" i="186"/>
  <c r="O70" i="186"/>
  <c r="O96" i="186"/>
  <c r="O182" i="186"/>
  <c r="O170" i="186"/>
  <c r="O154" i="186"/>
  <c r="O195" i="186"/>
  <c r="O211" i="186"/>
  <c r="O91" i="186"/>
  <c r="O115" i="186"/>
  <c r="O162" i="186"/>
  <c r="O196" i="186"/>
  <c r="O73" i="186"/>
  <c r="O81" i="186"/>
  <c r="O165" i="186"/>
  <c r="O140" i="186"/>
  <c r="O141" i="186"/>
  <c r="O193" i="186"/>
  <c r="O89" i="186"/>
  <c r="O153" i="186"/>
  <c r="O132" i="186"/>
  <c r="O210" i="186"/>
  <c r="O45" i="186"/>
  <c r="O106" i="186"/>
  <c r="O176" i="186"/>
  <c r="O158" i="186"/>
  <c r="O142" i="186"/>
  <c r="O138" i="186"/>
  <c r="O192" i="186"/>
  <c r="O87" i="186"/>
  <c r="I98" i="186"/>
  <c r="O98" i="186" s="1"/>
  <c r="O114" i="186"/>
  <c r="I116" i="186"/>
  <c r="O116" i="186" s="1"/>
  <c r="I166" i="186"/>
  <c r="O166" i="186" s="1"/>
  <c r="O128" i="186"/>
  <c r="I26" i="186" l="1"/>
  <c r="O16" i="186"/>
  <c r="F243" i="186"/>
  <c r="F220" i="186"/>
  <c r="I243" i="186"/>
  <c r="I213" i="186"/>
  <c r="J23" i="186" l="1"/>
  <c r="M16" i="186"/>
  <c r="J24" i="186"/>
  <c r="J14" i="186"/>
  <c r="J22" i="186"/>
  <c r="J19" i="186"/>
  <c r="J18" i="186"/>
  <c r="J12" i="186"/>
  <c r="O26" i="186"/>
  <c r="J21" i="186"/>
  <c r="J15" i="186"/>
  <c r="J17" i="186"/>
  <c r="J26" i="186"/>
  <c r="J25" i="186"/>
  <c r="J20" i="186"/>
  <c r="J13" i="186"/>
  <c r="J16" i="186"/>
  <c r="O213" i="186"/>
  <c r="J211" i="186"/>
  <c r="J201" i="186"/>
  <c r="J200" i="186"/>
  <c r="J199" i="186"/>
  <c r="J198" i="186"/>
  <c r="J197" i="186"/>
  <c r="J196" i="186"/>
  <c r="J195" i="186"/>
  <c r="J194" i="186"/>
  <c r="J193" i="186"/>
  <c r="J192" i="186"/>
  <c r="J191" i="186"/>
  <c r="J190" i="186"/>
  <c r="J189" i="186"/>
  <c r="J188" i="186"/>
  <c r="J187" i="186"/>
  <c r="J186" i="186"/>
  <c r="J185" i="186"/>
  <c r="J210" i="186"/>
  <c r="J209" i="186"/>
  <c r="J208" i="186"/>
  <c r="J207" i="186"/>
  <c r="J206" i="186"/>
  <c r="J205" i="186"/>
  <c r="J202" i="186"/>
  <c r="J184" i="186"/>
  <c r="J165" i="186"/>
  <c r="J164" i="186"/>
  <c r="J163" i="186"/>
  <c r="J162" i="186"/>
  <c r="J161" i="186"/>
  <c r="J160" i="186"/>
  <c r="J158" i="186"/>
  <c r="J157" i="186"/>
  <c r="J156" i="186"/>
  <c r="J155" i="186"/>
  <c r="J154" i="186"/>
  <c r="J153" i="186"/>
  <c r="J152" i="186"/>
  <c r="J151" i="186"/>
  <c r="J150" i="186"/>
  <c r="J148" i="186"/>
  <c r="J147" i="186"/>
  <c r="J146" i="186"/>
  <c r="J145" i="186"/>
  <c r="J213" i="186"/>
  <c r="J166" i="186"/>
  <c r="J115" i="186"/>
  <c r="J114" i="186"/>
  <c r="J113" i="186"/>
  <c r="J112" i="186"/>
  <c r="J111" i="186"/>
  <c r="J110" i="186"/>
  <c r="J98" i="186"/>
  <c r="J170" i="186"/>
  <c r="J142" i="186"/>
  <c r="J137" i="186"/>
  <c r="J132" i="186"/>
  <c r="J128" i="186"/>
  <c r="J120" i="186"/>
  <c r="J182" i="186"/>
  <c r="J180" i="186"/>
  <c r="J178" i="186"/>
  <c r="J176" i="186"/>
  <c r="J174" i="186"/>
  <c r="J172" i="186"/>
  <c r="J141" i="186"/>
  <c r="J136" i="186"/>
  <c r="J131" i="186"/>
  <c r="J124" i="186"/>
  <c r="J123" i="186"/>
  <c r="J121" i="186"/>
  <c r="J104" i="186"/>
  <c r="J101" i="186"/>
  <c r="J171" i="186"/>
  <c r="J169" i="186"/>
  <c r="J143" i="186"/>
  <c r="J140" i="186"/>
  <c r="J138" i="186"/>
  <c r="J135" i="186"/>
  <c r="J130" i="186"/>
  <c r="J105" i="186"/>
  <c r="J65" i="186"/>
  <c r="J129" i="186"/>
  <c r="J116" i="186"/>
  <c r="J96" i="186"/>
  <c r="J89" i="186"/>
  <c r="J66" i="186"/>
  <c r="J181" i="186"/>
  <c r="J177" i="186"/>
  <c r="J173" i="186"/>
  <c r="J122" i="186"/>
  <c r="J107" i="186"/>
  <c r="J97" i="186"/>
  <c r="J93" i="186"/>
  <c r="J90" i="186"/>
  <c r="J84" i="186"/>
  <c r="J83" i="186"/>
  <c r="J81" i="186"/>
  <c r="J79" i="186"/>
  <c r="J134" i="186"/>
  <c r="J106" i="186"/>
  <c r="J103" i="186"/>
  <c r="J102" i="186"/>
  <c r="J94" i="186"/>
  <c r="J91" i="186"/>
  <c r="J87" i="186"/>
  <c r="J71" i="186"/>
  <c r="J183" i="186"/>
  <c r="J76" i="186"/>
  <c r="J70" i="186"/>
  <c r="J64" i="186"/>
  <c r="J62" i="186"/>
  <c r="J60" i="186"/>
  <c r="J58" i="186"/>
  <c r="J56" i="186"/>
  <c r="J54" i="186"/>
  <c r="J50" i="186"/>
  <c r="J46" i="186"/>
  <c r="J43" i="186"/>
  <c r="J39" i="186"/>
  <c r="J35" i="186"/>
  <c r="J31" i="186"/>
  <c r="M17" i="186"/>
  <c r="J45" i="186"/>
  <c r="J42" i="186"/>
  <c r="J30" i="186"/>
  <c r="J119" i="186"/>
  <c r="J95" i="186"/>
  <c r="J82" i="186"/>
  <c r="J77" i="186"/>
  <c r="J74" i="186"/>
  <c r="J51" i="186"/>
  <c r="J47" i="186"/>
  <c r="J40" i="186"/>
  <c r="J36" i="186"/>
  <c r="J32" i="186"/>
  <c r="J53" i="186"/>
  <c r="J38" i="186"/>
  <c r="J175" i="186"/>
  <c r="J92" i="186"/>
  <c r="J75" i="186"/>
  <c r="J72" i="186"/>
  <c r="J69" i="186"/>
  <c r="J63" i="186"/>
  <c r="J61" i="186"/>
  <c r="J59" i="186"/>
  <c r="J57" i="186"/>
  <c r="J55" i="186"/>
  <c r="J52" i="186"/>
  <c r="J48" i="186"/>
  <c r="J44" i="186"/>
  <c r="J41" i="186"/>
  <c r="J37" i="186"/>
  <c r="J33" i="186"/>
  <c r="J179" i="186"/>
  <c r="J88" i="186"/>
  <c r="J80" i="186"/>
  <c r="J78" i="186"/>
  <c r="J73" i="186"/>
  <c r="J49" i="186"/>
  <c r="J34" i="186"/>
  <c r="I220" i="186"/>
  <c r="C4" i="185" l="1"/>
  <c r="C3" i="185"/>
  <c r="C238" i="185" l="1"/>
  <c r="F237" i="185"/>
  <c r="F236" i="185"/>
  <c r="H233" i="185"/>
  <c r="G233" i="185"/>
  <c r="F232" i="185"/>
  <c r="F231" i="185"/>
  <c r="F230" i="185"/>
  <c r="F229" i="185"/>
  <c r="F228" i="185"/>
  <c r="F227" i="185"/>
  <c r="F226" i="185"/>
  <c r="F225" i="185"/>
  <c r="F224" i="185"/>
  <c r="M213" i="185"/>
  <c r="L213" i="185"/>
  <c r="H211" i="185"/>
  <c r="G211" i="185"/>
  <c r="F207" i="185"/>
  <c r="F205" i="185"/>
  <c r="H202" i="185"/>
  <c r="G202" i="185"/>
  <c r="F201" i="185"/>
  <c r="F200" i="185"/>
  <c r="F187" i="185"/>
  <c r="F186" i="185"/>
  <c r="F185" i="185"/>
  <c r="F184" i="185"/>
  <c r="F183" i="185"/>
  <c r="F182" i="185"/>
  <c r="F181" i="185"/>
  <c r="F180" i="185"/>
  <c r="F179" i="185"/>
  <c r="F178" i="185"/>
  <c r="F177" i="185"/>
  <c r="F176" i="185"/>
  <c r="F175" i="185"/>
  <c r="F174" i="185"/>
  <c r="F173" i="185"/>
  <c r="F172" i="185"/>
  <c r="F171" i="185"/>
  <c r="F170" i="185"/>
  <c r="F169" i="185"/>
  <c r="H166" i="185"/>
  <c r="G166" i="185"/>
  <c r="F165" i="185"/>
  <c r="F161" i="185"/>
  <c r="F158" i="185"/>
  <c r="F157" i="185"/>
  <c r="F153" i="185"/>
  <c r="F152" i="185"/>
  <c r="F151" i="185"/>
  <c r="F150" i="185"/>
  <c r="F148" i="185"/>
  <c r="F146" i="185"/>
  <c r="F145" i="185"/>
  <c r="F143" i="185"/>
  <c r="F141" i="185"/>
  <c r="F138" i="185"/>
  <c r="F136" i="185"/>
  <c r="F134" i="185"/>
  <c r="F131" i="185"/>
  <c r="F129" i="185"/>
  <c r="H124" i="185"/>
  <c r="G124" i="185"/>
  <c r="F122" i="185"/>
  <c r="H116" i="185"/>
  <c r="G116" i="185"/>
  <c r="H107" i="185"/>
  <c r="G107" i="185"/>
  <c r="F103" i="185"/>
  <c r="H98" i="185"/>
  <c r="G98" i="185"/>
  <c r="F97" i="185"/>
  <c r="F96" i="185"/>
  <c r="F95" i="185"/>
  <c r="F93" i="185"/>
  <c r="F92" i="185"/>
  <c r="F91" i="185"/>
  <c r="F90" i="185"/>
  <c r="F89" i="185"/>
  <c r="F88" i="185"/>
  <c r="F87" i="185"/>
  <c r="H84" i="185"/>
  <c r="G84" i="185"/>
  <c r="F72" i="185"/>
  <c r="F70" i="185"/>
  <c r="H66" i="185"/>
  <c r="G66" i="185"/>
  <c r="F65" i="185"/>
  <c r="F64" i="185"/>
  <c r="F63" i="185"/>
  <c r="F62" i="185"/>
  <c r="F61" i="185"/>
  <c r="F60" i="185"/>
  <c r="F58" i="185"/>
  <c r="F57" i="185"/>
  <c r="F56" i="185"/>
  <c r="F55" i="185"/>
  <c r="F53" i="185"/>
  <c r="F52" i="185"/>
  <c r="F49" i="185"/>
  <c r="F48" i="185"/>
  <c r="F45" i="185"/>
  <c r="F43" i="185"/>
  <c r="F38" i="185"/>
  <c r="F37" i="185"/>
  <c r="F36" i="185"/>
  <c r="F35" i="185"/>
  <c r="F34" i="185"/>
  <c r="F33" i="185"/>
  <c r="F32" i="185"/>
  <c r="F31" i="185"/>
  <c r="F30" i="185"/>
  <c r="F25" i="185"/>
  <c r="F24" i="185"/>
  <c r="M23" i="185"/>
  <c r="F23" i="185"/>
  <c r="F22" i="185"/>
  <c r="F21" i="185"/>
  <c r="F20" i="185"/>
  <c r="F19" i="185"/>
  <c r="F18" i="185"/>
  <c r="F17" i="185"/>
  <c r="F16" i="185"/>
  <c r="F15" i="185"/>
  <c r="F14" i="185"/>
  <c r="F13" i="185"/>
  <c r="A1" i="185"/>
  <c r="H213" i="185" l="1"/>
  <c r="M22" i="185"/>
  <c r="F26" i="185"/>
  <c r="I14" i="185"/>
  <c r="I17" i="185"/>
  <c r="I23" i="185"/>
  <c r="I63" i="185"/>
  <c r="I95" i="185"/>
  <c r="I122" i="185"/>
  <c r="I141" i="185"/>
  <c r="I151" i="185"/>
  <c r="I152" i="185"/>
  <c r="I165" i="185"/>
  <c r="I172" i="185"/>
  <c r="I173" i="185"/>
  <c r="I174" i="185"/>
  <c r="I175" i="185"/>
  <c r="I176" i="185"/>
  <c r="I177" i="185"/>
  <c r="I178" i="185"/>
  <c r="I179" i="185"/>
  <c r="I180" i="185"/>
  <c r="I181" i="185"/>
  <c r="I182" i="185"/>
  <c r="I183" i="185"/>
  <c r="I200" i="185"/>
  <c r="I207" i="185"/>
  <c r="I226" i="185"/>
  <c r="I230" i="185"/>
  <c r="I21" i="185"/>
  <c r="I24" i="185"/>
  <c r="I25" i="185"/>
  <c r="I31" i="185"/>
  <c r="I36" i="185"/>
  <c r="I43" i="185"/>
  <c r="I52" i="185"/>
  <c r="I55" i="185"/>
  <c r="I60" i="185"/>
  <c r="I72" i="185"/>
  <c r="I89" i="185"/>
  <c r="I103" i="185"/>
  <c r="I129" i="185"/>
  <c r="I134" i="185"/>
  <c r="I146" i="185"/>
  <c r="I153" i="185"/>
  <c r="I171" i="185"/>
  <c r="I227" i="185"/>
  <c r="I231" i="185"/>
  <c r="I15" i="185"/>
  <c r="I22" i="185"/>
  <c r="I38" i="185"/>
  <c r="I56" i="185"/>
  <c r="I65" i="185"/>
  <c r="I32" i="185"/>
  <c r="I53" i="185"/>
  <c r="I62" i="185"/>
  <c r="I88" i="185"/>
  <c r="I97" i="185"/>
  <c r="I158" i="185"/>
  <c r="I161" i="185"/>
  <c r="I170" i="185"/>
  <c r="I205" i="185"/>
  <c r="I228" i="185"/>
  <c r="I232" i="185"/>
  <c r="I237" i="185"/>
  <c r="I13" i="185"/>
  <c r="I18" i="185"/>
  <c r="I37" i="185"/>
  <c r="I49" i="185"/>
  <c r="I90" i="185"/>
  <c r="I150" i="185"/>
  <c r="I20" i="185"/>
  <c r="I35" i="185"/>
  <c r="I45" i="185"/>
  <c r="I58" i="185"/>
  <c r="I64" i="185"/>
  <c r="I92" i="185"/>
  <c r="I145" i="185"/>
  <c r="I19" i="185"/>
  <c r="I33" i="185"/>
  <c r="I34" i="185"/>
  <c r="I48" i="185"/>
  <c r="I57" i="185"/>
  <c r="I61" i="185"/>
  <c r="I70" i="185"/>
  <c r="I91" i="185"/>
  <c r="I93" i="185"/>
  <c r="I96" i="185"/>
  <c r="I131" i="185"/>
  <c r="I136" i="185"/>
  <c r="I138" i="185"/>
  <c r="I143" i="185"/>
  <c r="I148" i="185"/>
  <c r="I157" i="185"/>
  <c r="I184" i="185"/>
  <c r="I185" i="185"/>
  <c r="I186" i="185"/>
  <c r="I187" i="185"/>
  <c r="I201" i="185"/>
  <c r="I225" i="185"/>
  <c r="I229" i="185"/>
  <c r="I30" i="185"/>
  <c r="F41" i="185"/>
  <c r="F46" i="185"/>
  <c r="F50" i="185"/>
  <c r="F102" i="185"/>
  <c r="F104" i="185"/>
  <c r="F106" i="185"/>
  <c r="F154" i="185"/>
  <c r="F206" i="185"/>
  <c r="F238" i="185"/>
  <c r="F42" i="185"/>
  <c r="F54" i="185"/>
  <c r="F39" i="185"/>
  <c r="F40" i="185"/>
  <c r="F47" i="185"/>
  <c r="F51" i="185"/>
  <c r="F59" i="185"/>
  <c r="F76" i="185"/>
  <c r="F94" i="185"/>
  <c r="F98" i="185" s="1"/>
  <c r="F110" i="185"/>
  <c r="F44" i="185"/>
  <c r="F142" i="185"/>
  <c r="F156" i="185"/>
  <c r="F80" i="185"/>
  <c r="F119" i="185"/>
  <c r="F121" i="185"/>
  <c r="F73" i="185"/>
  <c r="F77" i="185"/>
  <c r="F81" i="185"/>
  <c r="F101" i="185"/>
  <c r="F111" i="185"/>
  <c r="F113" i="185"/>
  <c r="F114" i="185"/>
  <c r="F120" i="185"/>
  <c r="F123" i="185"/>
  <c r="F128" i="185"/>
  <c r="F130" i="185"/>
  <c r="F132" i="185"/>
  <c r="F135" i="185"/>
  <c r="F137" i="185"/>
  <c r="F140" i="185"/>
  <c r="F147" i="185"/>
  <c r="I169" i="185"/>
  <c r="F71" i="185"/>
  <c r="F74" i="185"/>
  <c r="F78" i="185"/>
  <c r="F82" i="185"/>
  <c r="F105" i="185"/>
  <c r="F112" i="185"/>
  <c r="F155" i="185"/>
  <c r="F69" i="185"/>
  <c r="F75" i="185"/>
  <c r="F79" i="185"/>
  <c r="F83" i="185"/>
  <c r="I87" i="185"/>
  <c r="F162" i="185"/>
  <c r="G213" i="185"/>
  <c r="F115" i="185"/>
  <c r="F163" i="185"/>
  <c r="F233" i="185"/>
  <c r="I224" i="185"/>
  <c r="F160" i="185"/>
  <c r="F164" i="185"/>
  <c r="F208" i="185"/>
  <c r="F210" i="185"/>
  <c r="F199" i="185"/>
  <c r="F209" i="185"/>
  <c r="I236" i="185"/>
  <c r="F188" i="185"/>
  <c r="F189" i="185"/>
  <c r="F190" i="185"/>
  <c r="F191" i="185"/>
  <c r="F192" i="185"/>
  <c r="F193" i="185"/>
  <c r="F194" i="185"/>
  <c r="F195" i="185"/>
  <c r="F196" i="185"/>
  <c r="F197" i="185"/>
  <c r="F198" i="185"/>
  <c r="H220" i="185" l="1"/>
  <c r="O17" i="185"/>
  <c r="I16" i="185"/>
  <c r="O16" i="185" s="1"/>
  <c r="G220" i="185"/>
  <c r="I115" i="185"/>
  <c r="I79" i="185"/>
  <c r="I81" i="185"/>
  <c r="I42" i="185"/>
  <c r="I238" i="185"/>
  <c r="O19" i="185"/>
  <c r="O24" i="185"/>
  <c r="I195" i="185"/>
  <c r="I191" i="185"/>
  <c r="I199" i="185"/>
  <c r="I160" i="185"/>
  <c r="I163" i="185"/>
  <c r="I83" i="185"/>
  <c r="I105" i="185"/>
  <c r="I132" i="185"/>
  <c r="I73" i="185"/>
  <c r="I142" i="185"/>
  <c r="I51" i="185"/>
  <c r="I40" i="185"/>
  <c r="I106" i="185"/>
  <c r="I102" i="185"/>
  <c r="I41" i="185"/>
  <c r="O23" i="185"/>
  <c r="O22" i="185"/>
  <c r="I196" i="185"/>
  <c r="I209" i="185"/>
  <c r="I164" i="185"/>
  <c r="I112" i="185"/>
  <c r="I82" i="185"/>
  <c r="I71" i="185"/>
  <c r="I123" i="185"/>
  <c r="I114" i="185"/>
  <c r="I59" i="185"/>
  <c r="I154" i="185"/>
  <c r="I198" i="185"/>
  <c r="I194" i="185"/>
  <c r="I190" i="185"/>
  <c r="I74" i="185"/>
  <c r="I137" i="185"/>
  <c r="I130" i="185"/>
  <c r="I120" i="185"/>
  <c r="I113" i="185"/>
  <c r="I77" i="185"/>
  <c r="I121" i="185"/>
  <c r="I76" i="185"/>
  <c r="I47" i="185"/>
  <c r="I39" i="185"/>
  <c r="I54" i="185"/>
  <c r="I206" i="185"/>
  <c r="I50" i="185"/>
  <c r="O18" i="185"/>
  <c r="O20" i="185"/>
  <c r="I192" i="185"/>
  <c r="I147" i="185"/>
  <c r="I197" i="185"/>
  <c r="I193" i="185"/>
  <c r="I189" i="185"/>
  <c r="I188" i="185"/>
  <c r="I210" i="185"/>
  <c r="I208" i="185"/>
  <c r="I162" i="185"/>
  <c r="I75" i="185"/>
  <c r="I155" i="185"/>
  <c r="I78" i="185"/>
  <c r="I140" i="185"/>
  <c r="I135" i="185"/>
  <c r="I111" i="185"/>
  <c r="I80" i="185"/>
  <c r="I156" i="185"/>
  <c r="I44" i="185"/>
  <c r="I94" i="185"/>
  <c r="I104" i="185"/>
  <c r="I46" i="185"/>
  <c r="O21" i="185"/>
  <c r="F240" i="185"/>
  <c r="I98" i="185"/>
  <c r="F84" i="185"/>
  <c r="I69" i="185"/>
  <c r="F124" i="185"/>
  <c r="I119" i="185"/>
  <c r="F116" i="185"/>
  <c r="I110" i="185"/>
  <c r="M19" i="185"/>
  <c r="I101" i="185"/>
  <c r="F107" i="185"/>
  <c r="F211" i="185"/>
  <c r="I233" i="185"/>
  <c r="F202" i="185"/>
  <c r="F166" i="185"/>
  <c r="I128" i="185"/>
  <c r="F66" i="185"/>
  <c r="I249" i="85"/>
  <c r="I248" i="85"/>
  <c r="I247" i="85"/>
  <c r="I246" i="85"/>
  <c r="C243" i="85"/>
  <c r="C242" i="85"/>
  <c r="C241" i="85"/>
  <c r="C240" i="85"/>
  <c r="C237" i="85"/>
  <c r="C236" i="85"/>
  <c r="E233" i="85"/>
  <c r="D233" i="85"/>
  <c r="C232" i="85"/>
  <c r="C231" i="85"/>
  <c r="C230" i="85"/>
  <c r="C229" i="85"/>
  <c r="C228" i="85"/>
  <c r="C227" i="85"/>
  <c r="C226" i="85"/>
  <c r="C225" i="85"/>
  <c r="C224" i="85"/>
  <c r="C216" i="85"/>
  <c r="E210" i="85"/>
  <c r="D210" i="85"/>
  <c r="C210" i="85"/>
  <c r="E209" i="85"/>
  <c r="D209" i="85"/>
  <c r="C209" i="85"/>
  <c r="E208" i="85"/>
  <c r="D208" i="85"/>
  <c r="C208" i="85"/>
  <c r="E207" i="85"/>
  <c r="D207" i="85"/>
  <c r="C207" i="85"/>
  <c r="E206" i="85"/>
  <c r="D206" i="85"/>
  <c r="C206" i="85"/>
  <c r="E205" i="85"/>
  <c r="D205" i="85"/>
  <c r="C205" i="85"/>
  <c r="E201" i="85"/>
  <c r="C201" i="85"/>
  <c r="E200" i="85"/>
  <c r="D200" i="85"/>
  <c r="C200" i="85"/>
  <c r="E199" i="85"/>
  <c r="D199" i="85"/>
  <c r="C199" i="85"/>
  <c r="E198" i="85"/>
  <c r="D198" i="85"/>
  <c r="C198" i="85"/>
  <c r="E197" i="85"/>
  <c r="D197" i="85"/>
  <c r="C197" i="85"/>
  <c r="E196" i="85"/>
  <c r="D196" i="85"/>
  <c r="C196" i="85"/>
  <c r="E195" i="85"/>
  <c r="D195" i="85"/>
  <c r="C195" i="85"/>
  <c r="E194" i="85"/>
  <c r="D194" i="85"/>
  <c r="C194" i="85"/>
  <c r="E193" i="85"/>
  <c r="D193" i="85"/>
  <c r="C193" i="85"/>
  <c r="E192" i="85"/>
  <c r="D192" i="85"/>
  <c r="C192" i="85"/>
  <c r="E191" i="85"/>
  <c r="D191" i="85"/>
  <c r="C191" i="85"/>
  <c r="E190" i="85"/>
  <c r="D190" i="85"/>
  <c r="C190" i="85"/>
  <c r="E189" i="85"/>
  <c r="D189" i="85"/>
  <c r="C189" i="85"/>
  <c r="E188" i="85"/>
  <c r="D188" i="85"/>
  <c r="C188" i="85"/>
  <c r="E187" i="85"/>
  <c r="D187" i="85"/>
  <c r="C187" i="85"/>
  <c r="E186" i="85"/>
  <c r="D186" i="85"/>
  <c r="C186" i="85"/>
  <c r="E185" i="85"/>
  <c r="D185" i="85"/>
  <c r="C185" i="85"/>
  <c r="E184" i="85"/>
  <c r="D184" i="85"/>
  <c r="C184" i="85"/>
  <c r="E183" i="85"/>
  <c r="D183" i="85"/>
  <c r="C183" i="85"/>
  <c r="E182" i="85"/>
  <c r="D182" i="85"/>
  <c r="C182" i="85"/>
  <c r="E181" i="85"/>
  <c r="D181" i="85"/>
  <c r="C181" i="85"/>
  <c r="E180" i="85"/>
  <c r="D180" i="85"/>
  <c r="C180" i="85"/>
  <c r="E179" i="85"/>
  <c r="D179" i="85"/>
  <c r="C179" i="85"/>
  <c r="E178" i="85"/>
  <c r="D178" i="85"/>
  <c r="C178" i="85"/>
  <c r="E177" i="85"/>
  <c r="D177" i="85"/>
  <c r="C177" i="85"/>
  <c r="E176" i="85"/>
  <c r="D176" i="85"/>
  <c r="C176" i="85"/>
  <c r="E175" i="85"/>
  <c r="D175" i="85"/>
  <c r="C175" i="85"/>
  <c r="E174" i="85"/>
  <c r="D174" i="85"/>
  <c r="C174" i="85"/>
  <c r="E173" i="85"/>
  <c r="D173" i="85"/>
  <c r="C173" i="85"/>
  <c r="E172" i="85"/>
  <c r="D172" i="85"/>
  <c r="C172" i="85"/>
  <c r="E171" i="85"/>
  <c r="D171" i="85"/>
  <c r="C171" i="85"/>
  <c r="E170" i="85"/>
  <c r="D170" i="85"/>
  <c r="C170" i="85"/>
  <c r="E169" i="85"/>
  <c r="D169" i="85"/>
  <c r="C169" i="85"/>
  <c r="E165" i="85"/>
  <c r="D165" i="85"/>
  <c r="C165" i="85"/>
  <c r="E164" i="85"/>
  <c r="D164" i="85"/>
  <c r="C164" i="85"/>
  <c r="E163" i="85"/>
  <c r="D163" i="85"/>
  <c r="C163" i="85"/>
  <c r="E162" i="85"/>
  <c r="D162" i="85"/>
  <c r="C162" i="85"/>
  <c r="E161" i="85"/>
  <c r="D161" i="85"/>
  <c r="C161" i="85"/>
  <c r="E160" i="85"/>
  <c r="D160" i="85"/>
  <c r="C160" i="85"/>
  <c r="E158" i="85"/>
  <c r="D158" i="85"/>
  <c r="C158" i="85"/>
  <c r="E157" i="85"/>
  <c r="D157" i="85"/>
  <c r="C157" i="85"/>
  <c r="E156" i="85"/>
  <c r="D156" i="85"/>
  <c r="C156" i="85"/>
  <c r="E155" i="85"/>
  <c r="D155" i="85"/>
  <c r="C155" i="85"/>
  <c r="E154" i="85"/>
  <c r="D154" i="85"/>
  <c r="C154" i="85"/>
  <c r="E153" i="85"/>
  <c r="D153" i="85"/>
  <c r="C153" i="85"/>
  <c r="E152" i="85"/>
  <c r="D152" i="85"/>
  <c r="C152" i="85"/>
  <c r="E151" i="85"/>
  <c r="D151" i="85"/>
  <c r="C151" i="85"/>
  <c r="E150" i="85"/>
  <c r="D150" i="85"/>
  <c r="C150" i="85"/>
  <c r="E148" i="85"/>
  <c r="D148" i="85"/>
  <c r="C148" i="85"/>
  <c r="E147" i="85"/>
  <c r="D147" i="85"/>
  <c r="C147" i="85"/>
  <c r="E146" i="85"/>
  <c r="D146" i="85"/>
  <c r="C146" i="85"/>
  <c r="E145" i="85"/>
  <c r="D145" i="85"/>
  <c r="C145" i="85"/>
  <c r="E143" i="85"/>
  <c r="D143" i="85"/>
  <c r="C143" i="85"/>
  <c r="E142" i="85"/>
  <c r="D142" i="85"/>
  <c r="C142" i="85"/>
  <c r="E141" i="85"/>
  <c r="D141" i="85"/>
  <c r="C141" i="85"/>
  <c r="E140" i="85"/>
  <c r="D140" i="85"/>
  <c r="C140" i="85"/>
  <c r="E138" i="85"/>
  <c r="D138" i="85"/>
  <c r="C138" i="85"/>
  <c r="E137" i="85"/>
  <c r="D137" i="85"/>
  <c r="C137" i="85"/>
  <c r="E136" i="85"/>
  <c r="D136" i="85"/>
  <c r="C136" i="85"/>
  <c r="E135" i="85"/>
  <c r="D135" i="85"/>
  <c r="C135" i="85"/>
  <c r="E134" i="85"/>
  <c r="D134" i="85"/>
  <c r="C134" i="85"/>
  <c r="E132" i="85"/>
  <c r="D132" i="85"/>
  <c r="C132" i="85"/>
  <c r="E131" i="85"/>
  <c r="D131" i="85"/>
  <c r="C131" i="85"/>
  <c r="E130" i="85"/>
  <c r="D130" i="85"/>
  <c r="C130" i="85"/>
  <c r="D129" i="85"/>
  <c r="C129" i="85"/>
  <c r="E128" i="85"/>
  <c r="D128" i="85"/>
  <c r="C128" i="85"/>
  <c r="E123" i="85"/>
  <c r="D123" i="85"/>
  <c r="C123" i="85"/>
  <c r="E122" i="85"/>
  <c r="D122" i="85"/>
  <c r="C122" i="85"/>
  <c r="E121" i="85"/>
  <c r="D121" i="85"/>
  <c r="C121" i="85"/>
  <c r="E120" i="85"/>
  <c r="D120" i="85"/>
  <c r="C120" i="85"/>
  <c r="E119" i="85"/>
  <c r="D119" i="85"/>
  <c r="C119" i="85"/>
  <c r="E115" i="85"/>
  <c r="D115" i="85"/>
  <c r="C115" i="85"/>
  <c r="E114" i="85"/>
  <c r="D114" i="85"/>
  <c r="C114" i="85"/>
  <c r="E113" i="85"/>
  <c r="D113" i="85"/>
  <c r="C113" i="85"/>
  <c r="E112" i="85"/>
  <c r="D112" i="85"/>
  <c r="C112" i="85"/>
  <c r="E111" i="85"/>
  <c r="D111" i="85"/>
  <c r="C111" i="85"/>
  <c r="E110" i="85"/>
  <c r="D110" i="85"/>
  <c r="C110" i="85"/>
  <c r="E106" i="85"/>
  <c r="D106" i="85"/>
  <c r="C106" i="85"/>
  <c r="E105" i="85"/>
  <c r="D105" i="85"/>
  <c r="C105" i="85"/>
  <c r="E104" i="85"/>
  <c r="D104" i="85"/>
  <c r="C104" i="85"/>
  <c r="E103" i="85"/>
  <c r="D103" i="85"/>
  <c r="C103" i="85"/>
  <c r="E102" i="85"/>
  <c r="D102" i="85"/>
  <c r="C102" i="85"/>
  <c r="E101" i="85"/>
  <c r="D101" i="85"/>
  <c r="C101" i="85"/>
  <c r="E97" i="85"/>
  <c r="D97" i="85"/>
  <c r="C97" i="85"/>
  <c r="E96" i="85"/>
  <c r="D96" i="85"/>
  <c r="C96" i="85"/>
  <c r="E95" i="85"/>
  <c r="D95" i="85"/>
  <c r="C95" i="85"/>
  <c r="E94" i="85"/>
  <c r="D94" i="85"/>
  <c r="C94" i="85"/>
  <c r="E93" i="85"/>
  <c r="D93" i="85"/>
  <c r="C93" i="85"/>
  <c r="E92" i="85"/>
  <c r="D92" i="85"/>
  <c r="C92" i="85"/>
  <c r="E91" i="85"/>
  <c r="D91" i="85"/>
  <c r="C91" i="85"/>
  <c r="E90" i="85"/>
  <c r="D90" i="85"/>
  <c r="C90" i="85"/>
  <c r="E89" i="85"/>
  <c r="D89" i="85"/>
  <c r="C89" i="85"/>
  <c r="E88" i="85"/>
  <c r="D88" i="85"/>
  <c r="C88" i="85"/>
  <c r="E87" i="85"/>
  <c r="D87" i="85"/>
  <c r="C87" i="85"/>
  <c r="E83" i="85"/>
  <c r="D83" i="85"/>
  <c r="C83" i="85"/>
  <c r="E82" i="85"/>
  <c r="D82" i="85"/>
  <c r="C82" i="85"/>
  <c r="E81" i="85"/>
  <c r="D81" i="85"/>
  <c r="C81" i="85"/>
  <c r="E80" i="85"/>
  <c r="D80" i="85"/>
  <c r="C80" i="85"/>
  <c r="E79" i="85"/>
  <c r="D79" i="85"/>
  <c r="C79" i="85"/>
  <c r="E78" i="85"/>
  <c r="D78" i="85"/>
  <c r="C78" i="85"/>
  <c r="E77" i="85"/>
  <c r="D77" i="85"/>
  <c r="C77" i="85"/>
  <c r="E76" i="85"/>
  <c r="D76" i="85"/>
  <c r="C76" i="85"/>
  <c r="E75" i="85"/>
  <c r="D75" i="85"/>
  <c r="C75" i="85"/>
  <c r="E74" i="85"/>
  <c r="D74" i="85"/>
  <c r="C74" i="85"/>
  <c r="E73" i="85"/>
  <c r="D73" i="85"/>
  <c r="C73" i="85"/>
  <c r="E72" i="85"/>
  <c r="D72" i="85"/>
  <c r="C72" i="85"/>
  <c r="E71" i="85"/>
  <c r="D71" i="85"/>
  <c r="C71" i="85"/>
  <c r="E70" i="85"/>
  <c r="C70" i="85"/>
  <c r="E69" i="85"/>
  <c r="C69" i="85"/>
  <c r="E65" i="85"/>
  <c r="D65" i="85"/>
  <c r="C65" i="85"/>
  <c r="E64" i="85"/>
  <c r="D64" i="85"/>
  <c r="C64" i="85"/>
  <c r="E63" i="85"/>
  <c r="D63" i="85"/>
  <c r="C63" i="85"/>
  <c r="E62" i="85"/>
  <c r="D62" i="85"/>
  <c r="C62" i="85"/>
  <c r="E61" i="85"/>
  <c r="D61" i="85"/>
  <c r="C61" i="85"/>
  <c r="E60" i="85"/>
  <c r="D60" i="85"/>
  <c r="C60" i="85"/>
  <c r="E59" i="85"/>
  <c r="D59" i="85"/>
  <c r="C59" i="85"/>
  <c r="E58" i="85"/>
  <c r="D58" i="85"/>
  <c r="C58" i="85"/>
  <c r="E57" i="85"/>
  <c r="D57" i="85"/>
  <c r="C57" i="85"/>
  <c r="E56" i="85"/>
  <c r="D56" i="85"/>
  <c r="C56" i="85"/>
  <c r="E55" i="85"/>
  <c r="D55" i="85"/>
  <c r="C55" i="85"/>
  <c r="E54" i="85"/>
  <c r="D54" i="85"/>
  <c r="C54" i="85"/>
  <c r="E53" i="85"/>
  <c r="D53" i="85"/>
  <c r="C53" i="85"/>
  <c r="E52" i="85"/>
  <c r="D52" i="85"/>
  <c r="C52" i="85"/>
  <c r="E51" i="85"/>
  <c r="D51" i="85"/>
  <c r="C51" i="85"/>
  <c r="E50" i="85"/>
  <c r="D50" i="85"/>
  <c r="C50" i="85"/>
  <c r="E49" i="85"/>
  <c r="D49" i="85"/>
  <c r="C49" i="85"/>
  <c r="E48" i="85"/>
  <c r="D48" i="85"/>
  <c r="C48" i="85"/>
  <c r="E47" i="85"/>
  <c r="D47" i="85"/>
  <c r="C47" i="85"/>
  <c r="E46" i="85"/>
  <c r="D46" i="85"/>
  <c r="C46" i="85"/>
  <c r="E45" i="85"/>
  <c r="D45" i="85"/>
  <c r="C45" i="85"/>
  <c r="E44" i="85"/>
  <c r="D44" i="85"/>
  <c r="C44" i="85"/>
  <c r="E43" i="85"/>
  <c r="D43" i="85"/>
  <c r="C43" i="85"/>
  <c r="E42" i="85"/>
  <c r="D42" i="85"/>
  <c r="C42" i="85"/>
  <c r="E41" i="85"/>
  <c r="D41" i="85"/>
  <c r="C41" i="85"/>
  <c r="E40" i="85"/>
  <c r="D40" i="85"/>
  <c r="C40" i="85"/>
  <c r="E39" i="85"/>
  <c r="D39" i="85"/>
  <c r="C39" i="85"/>
  <c r="E38" i="85"/>
  <c r="D38" i="85"/>
  <c r="C38" i="85"/>
  <c r="E37" i="85"/>
  <c r="D37" i="85"/>
  <c r="C37" i="85"/>
  <c r="E36" i="85"/>
  <c r="D36" i="85"/>
  <c r="C36" i="85"/>
  <c r="E35" i="85"/>
  <c r="D35" i="85"/>
  <c r="C35" i="85"/>
  <c r="E34" i="85"/>
  <c r="D34" i="85"/>
  <c r="C34" i="85"/>
  <c r="E33" i="85"/>
  <c r="D33" i="85"/>
  <c r="C33" i="85"/>
  <c r="E32" i="85"/>
  <c r="D32" i="85"/>
  <c r="C32" i="85"/>
  <c r="E31" i="85"/>
  <c r="D31" i="85"/>
  <c r="C31" i="85"/>
  <c r="E30" i="85"/>
  <c r="D30" i="85"/>
  <c r="C30" i="85"/>
  <c r="D25" i="85"/>
  <c r="C25" i="85"/>
  <c r="D24" i="85"/>
  <c r="C24" i="85"/>
  <c r="D23" i="85"/>
  <c r="C23" i="85"/>
  <c r="D22" i="85"/>
  <c r="C22" i="85"/>
  <c r="D21" i="85"/>
  <c r="C21" i="85"/>
  <c r="D20" i="85"/>
  <c r="C20" i="85"/>
  <c r="D19" i="85"/>
  <c r="C19" i="85"/>
  <c r="D18" i="85"/>
  <c r="C18" i="85"/>
  <c r="D17" i="85"/>
  <c r="C17" i="85"/>
  <c r="D16" i="85"/>
  <c r="C16" i="85"/>
  <c r="D15" i="85"/>
  <c r="C15" i="85"/>
  <c r="D14" i="85"/>
  <c r="C14" i="85"/>
  <c r="D13" i="85"/>
  <c r="C13" i="85"/>
  <c r="D12" i="85"/>
  <c r="C12" i="85"/>
  <c r="C4" i="85"/>
  <c r="C3" i="85"/>
  <c r="D26" i="85" l="1"/>
  <c r="F206" i="85"/>
  <c r="F210" i="85"/>
  <c r="F205" i="85"/>
  <c r="F209" i="85"/>
  <c r="I26" i="185"/>
  <c r="F12" i="85"/>
  <c r="I12" i="85" s="1"/>
  <c r="I240" i="185"/>
  <c r="I242" i="185" s="1"/>
  <c r="F208" i="85"/>
  <c r="F207" i="85"/>
  <c r="O208" i="185"/>
  <c r="I66" i="185"/>
  <c r="O66" i="185" s="1"/>
  <c r="F242" i="185"/>
  <c r="I211" i="185"/>
  <c r="O211" i="185" s="1"/>
  <c r="I202" i="185"/>
  <c r="O202" i="185" s="1"/>
  <c r="O135" i="185"/>
  <c r="O154" i="185"/>
  <c r="O79" i="185"/>
  <c r="O46" i="185"/>
  <c r="O142" i="185"/>
  <c r="O54" i="185"/>
  <c r="O47" i="185"/>
  <c r="O30" i="185"/>
  <c r="O163" i="185"/>
  <c r="F241" i="185"/>
  <c r="O190" i="185"/>
  <c r="O123" i="185"/>
  <c r="O112" i="185"/>
  <c r="O189" i="185"/>
  <c r="O132" i="185"/>
  <c r="O194" i="185"/>
  <c r="O42" i="185"/>
  <c r="O77" i="185"/>
  <c r="O147" i="185"/>
  <c r="O192" i="185"/>
  <c r="O102" i="185"/>
  <c r="O40" i="185"/>
  <c r="O44" i="185"/>
  <c r="O120" i="185"/>
  <c r="O74" i="185"/>
  <c r="O80" i="185"/>
  <c r="O71" i="185"/>
  <c r="O210" i="185"/>
  <c r="F213" i="185"/>
  <c r="O75" i="185"/>
  <c r="O50" i="185"/>
  <c r="O76" i="185"/>
  <c r="O169" i="185"/>
  <c r="O41" i="185"/>
  <c r="O81" i="185"/>
  <c r="O115" i="185"/>
  <c r="O195" i="185"/>
  <c r="J18" i="185"/>
  <c r="J24" i="185"/>
  <c r="J233" i="185"/>
  <c r="J232" i="185"/>
  <c r="J231" i="185"/>
  <c r="J230" i="185"/>
  <c r="J229" i="185"/>
  <c r="J228" i="185"/>
  <c r="J227" i="185"/>
  <c r="J226" i="185"/>
  <c r="J225" i="185"/>
  <c r="J224" i="185"/>
  <c r="O200" i="185"/>
  <c r="O157" i="185"/>
  <c r="O148" i="185"/>
  <c r="O138" i="185"/>
  <c r="M18" i="185"/>
  <c r="O96" i="185"/>
  <c r="O89" i="185"/>
  <c r="O143" i="185"/>
  <c r="O158" i="185"/>
  <c r="O32" i="185"/>
  <c r="O48" i="185"/>
  <c r="O52" i="185"/>
  <c r="O38" i="185"/>
  <c r="O90" i="185"/>
  <c r="O134" i="185"/>
  <c r="O58" i="185"/>
  <c r="O60" i="185"/>
  <c r="O95" i="185"/>
  <c r="O141" i="185"/>
  <c r="O161" i="185"/>
  <c r="O145" i="185"/>
  <c r="O176" i="185"/>
  <c r="O153" i="185"/>
  <c r="O177" i="185"/>
  <c r="O180" i="185"/>
  <c r="O36" i="185"/>
  <c r="O55" i="185"/>
  <c r="O57" i="185"/>
  <c r="O43" i="185"/>
  <c r="O34" i="185"/>
  <c r="O187" i="185"/>
  <c r="O62" i="185"/>
  <c r="O179" i="185"/>
  <c r="O61" i="185"/>
  <c r="O175" i="185"/>
  <c r="O150" i="185"/>
  <c r="O31" i="185"/>
  <c r="O97" i="185"/>
  <c r="O35" i="185"/>
  <c r="O49" i="185"/>
  <c r="O53" i="185"/>
  <c r="O92" i="185"/>
  <c r="O122" i="185"/>
  <c r="O63" i="185"/>
  <c r="O93" i="185"/>
  <c r="O70" i="185"/>
  <c r="O88" i="185"/>
  <c r="O131" i="185"/>
  <c r="O152" i="185"/>
  <c r="O183" i="185"/>
  <c r="O170" i="185"/>
  <c r="O186" i="185"/>
  <c r="O181" i="185"/>
  <c r="O184" i="185"/>
  <c r="O182" i="185"/>
  <c r="O45" i="185"/>
  <c r="O37" i="185"/>
  <c r="O56" i="185"/>
  <c r="O33" i="185"/>
  <c r="O64" i="185"/>
  <c r="O65" i="185"/>
  <c r="O129" i="185"/>
  <c r="O72" i="185"/>
  <c r="O103" i="185"/>
  <c r="O91" i="185"/>
  <c r="O136" i="185"/>
  <c r="O146" i="185"/>
  <c r="O165" i="185"/>
  <c r="O174" i="185"/>
  <c r="O171" i="185"/>
  <c r="O185" i="185"/>
  <c r="O172" i="185"/>
  <c r="O178" i="185"/>
  <c r="O173" i="185"/>
  <c r="O201" i="185"/>
  <c r="O151" i="185"/>
  <c r="O207" i="185"/>
  <c r="O205" i="185"/>
  <c r="O113" i="185"/>
  <c r="O121" i="185"/>
  <c r="O106" i="185"/>
  <c r="O59" i="185"/>
  <c r="O155" i="185"/>
  <c r="O164" i="185"/>
  <c r="O198" i="185"/>
  <c r="O193" i="185"/>
  <c r="O51" i="185"/>
  <c r="O82" i="185"/>
  <c r="O83" i="185"/>
  <c r="O199" i="185"/>
  <c r="O87" i="185"/>
  <c r="O188" i="185"/>
  <c r="O104" i="185"/>
  <c r="O94" i="185"/>
  <c r="O111" i="185"/>
  <c r="O140" i="185"/>
  <c r="O78" i="185"/>
  <c r="O137" i="185"/>
  <c r="O197" i="185"/>
  <c r="O39" i="185"/>
  <c r="O73" i="185"/>
  <c r="O206" i="185"/>
  <c r="I116" i="185"/>
  <c r="O116" i="185" s="1"/>
  <c r="O110" i="185"/>
  <c r="O209" i="185"/>
  <c r="O160" i="185"/>
  <c r="O156" i="185"/>
  <c r="O114" i="185"/>
  <c r="O105" i="185"/>
  <c r="O162" i="185"/>
  <c r="O191" i="185"/>
  <c r="O98" i="185"/>
  <c r="O196" i="185"/>
  <c r="I166" i="185"/>
  <c r="O166" i="185" s="1"/>
  <c r="O128" i="185"/>
  <c r="I84" i="185"/>
  <c r="O84" i="185" s="1"/>
  <c r="O69" i="185"/>
  <c r="I107" i="185"/>
  <c r="O107" i="185" s="1"/>
  <c r="O101" i="185"/>
  <c r="I124" i="185"/>
  <c r="O124" i="185" s="1"/>
  <c r="O119" i="185"/>
  <c r="O130" i="185"/>
  <c r="C238" i="85"/>
  <c r="C26" i="85"/>
  <c r="C84" i="85"/>
  <c r="C116" i="85"/>
  <c r="E116" i="85"/>
  <c r="E124" i="85"/>
  <c r="D211" i="85"/>
  <c r="D84" i="85"/>
  <c r="E84" i="85"/>
  <c r="C98" i="85"/>
  <c r="C124" i="85"/>
  <c r="C166" i="85"/>
  <c r="D166" i="85"/>
  <c r="D202" i="85"/>
  <c r="D98" i="85"/>
  <c r="E98" i="85"/>
  <c r="C107" i="85"/>
  <c r="E107" i="85"/>
  <c r="E166" i="85"/>
  <c r="E202" i="85"/>
  <c r="C233" i="85"/>
  <c r="D107" i="85"/>
  <c r="D116" i="85"/>
  <c r="D124" i="85"/>
  <c r="C202" i="85"/>
  <c r="C211" i="85"/>
  <c r="E211" i="85"/>
  <c r="D66" i="85"/>
  <c r="C66" i="85"/>
  <c r="E66" i="85"/>
  <c r="J14" i="185" l="1"/>
  <c r="M16" i="185"/>
  <c r="J20" i="185"/>
  <c r="J19" i="185"/>
  <c r="J16" i="185"/>
  <c r="J22" i="185"/>
  <c r="J17" i="185"/>
  <c r="J21" i="185"/>
  <c r="J12" i="185"/>
  <c r="J15" i="185"/>
  <c r="O26" i="185"/>
  <c r="J25" i="185"/>
  <c r="J23" i="185"/>
  <c r="J13" i="185"/>
  <c r="J26" i="185"/>
  <c r="I241" i="185"/>
  <c r="M20" i="185"/>
  <c r="F243" i="185"/>
  <c r="F220" i="185"/>
  <c r="I213" i="185"/>
  <c r="E213" i="85"/>
  <c r="E220" i="85" s="1"/>
  <c r="C213" i="85"/>
  <c r="C217" i="85" s="1"/>
  <c r="D213" i="85"/>
  <c r="D220" i="85" s="1"/>
  <c r="I243" i="185" l="1"/>
  <c r="J186" i="185"/>
  <c r="J76" i="185"/>
  <c r="J110" i="185"/>
  <c r="J36" i="185"/>
  <c r="J93" i="185"/>
  <c r="J52" i="185"/>
  <c r="J59" i="185"/>
  <c r="J119" i="185"/>
  <c r="J40" i="185"/>
  <c r="J56" i="185"/>
  <c r="J66" i="185"/>
  <c r="J88" i="185"/>
  <c r="J97" i="185"/>
  <c r="J62" i="185"/>
  <c r="J44" i="185"/>
  <c r="J81" i="185"/>
  <c r="J82" i="185"/>
  <c r="J115" i="185"/>
  <c r="J32" i="185"/>
  <c r="J48" i="185"/>
  <c r="J112" i="185"/>
  <c r="J75" i="185"/>
  <c r="J89" i="185"/>
  <c r="J130" i="185"/>
  <c r="J135" i="185"/>
  <c r="J140" i="185"/>
  <c r="J145" i="185"/>
  <c r="J150" i="185"/>
  <c r="J154" i="185"/>
  <c r="J158" i="185"/>
  <c r="J163" i="185"/>
  <c r="J170" i="185"/>
  <c r="J174" i="185"/>
  <c r="J178" i="185"/>
  <c r="J182" i="185"/>
  <c r="J202" i="185"/>
  <c r="J208" i="185"/>
  <c r="J190" i="185"/>
  <c r="J194" i="185"/>
  <c r="J198" i="185"/>
  <c r="J211" i="185"/>
  <c r="J58" i="185"/>
  <c r="M17" i="185"/>
  <c r="J37" i="185"/>
  <c r="J45" i="185"/>
  <c r="J53" i="185"/>
  <c r="J103" i="185"/>
  <c r="J61" i="185"/>
  <c r="J101" i="185"/>
  <c r="J121" i="185"/>
  <c r="J122" i="185"/>
  <c r="J94" i="185"/>
  <c r="J131" i="185"/>
  <c r="J141" i="185"/>
  <c r="J151" i="185"/>
  <c r="J160" i="185"/>
  <c r="J164" i="185"/>
  <c r="J171" i="185"/>
  <c r="J179" i="185"/>
  <c r="J183" i="185"/>
  <c r="J187" i="185"/>
  <c r="J205" i="185"/>
  <c r="J209" i="185"/>
  <c r="J191" i="185"/>
  <c r="J195" i="185"/>
  <c r="J199" i="185"/>
  <c r="O213" i="185"/>
  <c r="I220" i="185"/>
  <c r="J64" i="185"/>
  <c r="J80" i="185"/>
  <c r="J30" i="185"/>
  <c r="J34" i="185"/>
  <c r="J38" i="185"/>
  <c r="J42" i="185"/>
  <c r="J46" i="185"/>
  <c r="J50" i="185"/>
  <c r="J54" i="185"/>
  <c r="J73" i="185"/>
  <c r="J107" i="185"/>
  <c r="J114" i="185"/>
  <c r="J63" i="185"/>
  <c r="J74" i="185"/>
  <c r="J123" i="185"/>
  <c r="J83" i="185"/>
  <c r="J84" i="185"/>
  <c r="J102" i="185"/>
  <c r="J213" i="185"/>
  <c r="J91" i="185"/>
  <c r="J95" i="185"/>
  <c r="J128" i="185"/>
  <c r="J132" i="185"/>
  <c r="J137" i="185"/>
  <c r="J142" i="185"/>
  <c r="J147" i="185"/>
  <c r="J152" i="185"/>
  <c r="J156" i="185"/>
  <c r="J161" i="185"/>
  <c r="J165" i="185"/>
  <c r="J172" i="185"/>
  <c r="J176" i="185"/>
  <c r="J180" i="185"/>
  <c r="J184" i="185"/>
  <c r="J166" i="185"/>
  <c r="J206" i="185"/>
  <c r="J210" i="185"/>
  <c r="J192" i="185"/>
  <c r="J196" i="185"/>
  <c r="J200" i="185"/>
  <c r="J70" i="185"/>
  <c r="J33" i="185"/>
  <c r="J41" i="185"/>
  <c r="J49" i="185"/>
  <c r="J57" i="185"/>
  <c r="J113" i="185"/>
  <c r="J71" i="185"/>
  <c r="J79" i="185"/>
  <c r="J98" i="185"/>
  <c r="J90" i="185"/>
  <c r="J116" i="185"/>
  <c r="J136" i="185"/>
  <c r="J146" i="185"/>
  <c r="J155" i="185"/>
  <c r="J175" i="185"/>
  <c r="J60" i="185"/>
  <c r="J72" i="185"/>
  <c r="J105" i="185"/>
  <c r="J31" i="185"/>
  <c r="J35" i="185"/>
  <c r="J39" i="185"/>
  <c r="J43" i="185"/>
  <c r="J47" i="185"/>
  <c r="J51" i="185"/>
  <c r="J55" i="185"/>
  <c r="J77" i="185"/>
  <c r="J111" i="185"/>
  <c r="J120" i="185"/>
  <c r="J65" i="185"/>
  <c r="J78" i="185"/>
  <c r="J69" i="185"/>
  <c r="J104" i="185"/>
  <c r="J87" i="185"/>
  <c r="J106" i="185"/>
  <c r="J124" i="185"/>
  <c r="J92" i="185"/>
  <c r="J96" i="185"/>
  <c r="J129" i="185"/>
  <c r="J134" i="185"/>
  <c r="J138" i="185"/>
  <c r="J143" i="185"/>
  <c r="J148" i="185"/>
  <c r="J153" i="185"/>
  <c r="J157" i="185"/>
  <c r="J162" i="185"/>
  <c r="J169" i="185"/>
  <c r="J173" i="185"/>
  <c r="J177" i="185"/>
  <c r="J181" i="185"/>
  <c r="J185" i="185"/>
  <c r="J188" i="185"/>
  <c r="J207" i="185"/>
  <c r="J189" i="185"/>
  <c r="J193" i="185"/>
  <c r="J197" i="185"/>
  <c r="J201" i="185"/>
  <c r="C220" i="85"/>
  <c r="I249" i="14"/>
  <c r="I248" i="14"/>
  <c r="I247" i="14"/>
  <c r="I246" i="14"/>
  <c r="C243" i="14"/>
  <c r="C242" i="14"/>
  <c r="C241" i="14"/>
  <c r="C240" i="14"/>
  <c r="C237" i="14"/>
  <c r="C236" i="14"/>
  <c r="E233" i="14"/>
  <c r="D233" i="14"/>
  <c r="C232" i="14"/>
  <c r="C231" i="14"/>
  <c r="C230" i="14"/>
  <c r="C229" i="14"/>
  <c r="C228" i="14"/>
  <c r="C227" i="14"/>
  <c r="C226" i="14"/>
  <c r="C225" i="14"/>
  <c r="C224" i="14"/>
  <c r="C216" i="14"/>
  <c r="E210" i="14"/>
  <c r="D210" i="14"/>
  <c r="C210" i="14"/>
  <c r="E209" i="14"/>
  <c r="D209" i="14"/>
  <c r="C209" i="14"/>
  <c r="E208" i="14"/>
  <c r="D208" i="14"/>
  <c r="C208" i="14"/>
  <c r="E207" i="14"/>
  <c r="D207" i="14"/>
  <c r="C207" i="14"/>
  <c r="E206" i="14"/>
  <c r="D206" i="14"/>
  <c r="C206" i="14"/>
  <c r="E205" i="14"/>
  <c r="D205" i="14"/>
  <c r="C205" i="14"/>
  <c r="E201" i="14"/>
  <c r="C201" i="14"/>
  <c r="E200" i="14"/>
  <c r="D200" i="14"/>
  <c r="C200" i="14"/>
  <c r="E199" i="14"/>
  <c r="D199" i="14"/>
  <c r="C199" i="14"/>
  <c r="E198" i="14"/>
  <c r="D198" i="14"/>
  <c r="C198" i="14"/>
  <c r="E197" i="14"/>
  <c r="D197" i="14"/>
  <c r="C197" i="14"/>
  <c r="E196" i="14"/>
  <c r="D196" i="14"/>
  <c r="C196" i="14"/>
  <c r="E195" i="14"/>
  <c r="D195" i="14"/>
  <c r="C195" i="14"/>
  <c r="E194" i="14"/>
  <c r="D194" i="14"/>
  <c r="C194" i="14"/>
  <c r="E193" i="14"/>
  <c r="D193" i="14"/>
  <c r="C193" i="14"/>
  <c r="E192" i="14"/>
  <c r="D192" i="14"/>
  <c r="C192" i="14"/>
  <c r="E191" i="14"/>
  <c r="D191" i="14"/>
  <c r="C191" i="14"/>
  <c r="E190" i="14"/>
  <c r="D190" i="14"/>
  <c r="C190" i="14"/>
  <c r="E189" i="14"/>
  <c r="D189" i="14"/>
  <c r="C189" i="14"/>
  <c r="E188" i="14"/>
  <c r="D188" i="14"/>
  <c r="C188" i="14"/>
  <c r="E187" i="14"/>
  <c r="D187" i="14"/>
  <c r="C187" i="14"/>
  <c r="E186" i="14"/>
  <c r="D186" i="14"/>
  <c r="C186" i="14"/>
  <c r="E185" i="14"/>
  <c r="D185" i="14"/>
  <c r="C185" i="14"/>
  <c r="E184" i="14"/>
  <c r="D184" i="14"/>
  <c r="C184" i="14"/>
  <c r="E183" i="14"/>
  <c r="D183" i="14"/>
  <c r="C183" i="14"/>
  <c r="E182" i="14"/>
  <c r="D182" i="14"/>
  <c r="C182" i="14"/>
  <c r="E181" i="14"/>
  <c r="D181" i="14"/>
  <c r="C181" i="14"/>
  <c r="E180" i="14"/>
  <c r="D180" i="14"/>
  <c r="C180" i="14"/>
  <c r="E179" i="14"/>
  <c r="D179" i="14"/>
  <c r="C179" i="14"/>
  <c r="E178" i="14"/>
  <c r="D178" i="14"/>
  <c r="C178" i="14"/>
  <c r="E177" i="14"/>
  <c r="D177" i="14"/>
  <c r="C177" i="14"/>
  <c r="E176" i="14"/>
  <c r="D176" i="14"/>
  <c r="C176" i="14"/>
  <c r="E175" i="14"/>
  <c r="D175" i="14"/>
  <c r="C175" i="14"/>
  <c r="E174" i="14"/>
  <c r="D174" i="14"/>
  <c r="C174" i="14"/>
  <c r="E173" i="14"/>
  <c r="D173" i="14"/>
  <c r="C173" i="14"/>
  <c r="E172" i="14"/>
  <c r="D172" i="14"/>
  <c r="C172" i="14"/>
  <c r="E171" i="14"/>
  <c r="D171" i="14"/>
  <c r="C171" i="14"/>
  <c r="E170" i="14"/>
  <c r="D170" i="14"/>
  <c r="C170" i="14"/>
  <c r="E169" i="14"/>
  <c r="D169" i="14"/>
  <c r="C169" i="14"/>
  <c r="E165" i="14"/>
  <c r="D165" i="14"/>
  <c r="C165" i="14"/>
  <c r="E164" i="14"/>
  <c r="D164" i="14"/>
  <c r="C164" i="14"/>
  <c r="E163" i="14"/>
  <c r="D163" i="14"/>
  <c r="C163" i="14"/>
  <c r="E162" i="14"/>
  <c r="D162" i="14"/>
  <c r="C162" i="14"/>
  <c r="E161" i="14"/>
  <c r="D161" i="14"/>
  <c r="C161" i="14"/>
  <c r="E160" i="14"/>
  <c r="D160" i="14"/>
  <c r="C160" i="14"/>
  <c r="E158" i="14"/>
  <c r="D158" i="14"/>
  <c r="C158" i="14"/>
  <c r="E157" i="14"/>
  <c r="D157" i="14"/>
  <c r="C157" i="14"/>
  <c r="E156" i="14"/>
  <c r="D156" i="14"/>
  <c r="C156" i="14"/>
  <c r="E155" i="14"/>
  <c r="D155" i="14"/>
  <c r="C155" i="14"/>
  <c r="E154" i="14"/>
  <c r="D154" i="14"/>
  <c r="C154" i="14"/>
  <c r="E153" i="14"/>
  <c r="D153" i="14"/>
  <c r="C153" i="14"/>
  <c r="E152" i="14"/>
  <c r="D152" i="14"/>
  <c r="C152" i="14"/>
  <c r="E151" i="14"/>
  <c r="D151" i="14"/>
  <c r="C151" i="14"/>
  <c r="E150" i="14"/>
  <c r="D150" i="14"/>
  <c r="C150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28" i="14"/>
  <c r="D128" i="14"/>
  <c r="C128" i="14"/>
  <c r="E123" i="14"/>
  <c r="D123" i="14"/>
  <c r="C123" i="14"/>
  <c r="E122" i="14"/>
  <c r="D122" i="14"/>
  <c r="C122" i="14"/>
  <c r="E121" i="14"/>
  <c r="D121" i="14"/>
  <c r="C121" i="14"/>
  <c r="E120" i="14"/>
  <c r="D120" i="14"/>
  <c r="C120" i="14"/>
  <c r="E119" i="14"/>
  <c r="D119" i="14"/>
  <c r="C119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8" i="14"/>
  <c r="D38" i="14"/>
  <c r="C38" i="14"/>
  <c r="E37" i="14"/>
  <c r="D37" i="14"/>
  <c r="C37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31" i="14"/>
  <c r="D31" i="14"/>
  <c r="C31" i="14"/>
  <c r="E30" i="14"/>
  <c r="D30" i="14"/>
  <c r="C30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D26" i="14" s="1"/>
  <c r="C16" i="14"/>
  <c r="D15" i="14"/>
  <c r="C15" i="14"/>
  <c r="D14" i="14"/>
  <c r="C14" i="14"/>
  <c r="D13" i="14"/>
  <c r="C13" i="14"/>
  <c r="D12" i="14"/>
  <c r="C12" i="14"/>
  <c r="C4" i="14"/>
  <c r="C3" i="14"/>
  <c r="C84" i="14" l="1"/>
  <c r="C116" i="14"/>
  <c r="E116" i="14"/>
  <c r="E124" i="14"/>
  <c r="C202" i="14"/>
  <c r="D202" i="14"/>
  <c r="F12" i="14"/>
  <c r="I12" i="14" s="1"/>
  <c r="F16" i="14"/>
  <c r="C26" i="14"/>
  <c r="C238" i="14"/>
  <c r="D84" i="14"/>
  <c r="C98" i="14"/>
  <c r="C124" i="14"/>
  <c r="C166" i="14"/>
  <c r="D166" i="14"/>
  <c r="E84" i="14"/>
  <c r="D98" i="14"/>
  <c r="C107" i="14"/>
  <c r="E107" i="14"/>
  <c r="D124" i="14"/>
  <c r="E202" i="14"/>
  <c r="E98" i="14"/>
  <c r="D107" i="14"/>
  <c r="D116" i="14"/>
  <c r="E166" i="14"/>
  <c r="C211" i="14"/>
  <c r="D211" i="14"/>
  <c r="E211" i="14"/>
  <c r="C233" i="14"/>
  <c r="C66" i="14"/>
  <c r="D66" i="14"/>
  <c r="E66" i="14"/>
  <c r="D213" i="14" l="1"/>
  <c r="D220" i="14" s="1"/>
  <c r="E213" i="14"/>
  <c r="E220" i="14" s="1"/>
  <c r="C213" i="14"/>
  <c r="C217" i="14" s="1"/>
  <c r="C220" i="14" l="1"/>
  <c r="D18" i="37"/>
  <c r="I249" i="37"/>
  <c r="I248" i="37"/>
  <c r="I247" i="37"/>
  <c r="I246" i="37"/>
  <c r="C243" i="37"/>
  <c r="C242" i="37"/>
  <c r="C241" i="37"/>
  <c r="C240" i="37"/>
  <c r="C237" i="37"/>
  <c r="C236" i="37"/>
  <c r="E233" i="37"/>
  <c r="D233" i="37"/>
  <c r="C232" i="37"/>
  <c r="C231" i="37"/>
  <c r="C230" i="37"/>
  <c r="C229" i="37"/>
  <c r="C228" i="37"/>
  <c r="C227" i="37"/>
  <c r="C226" i="37"/>
  <c r="C225" i="37"/>
  <c r="C224" i="37"/>
  <c r="C216" i="37"/>
  <c r="E210" i="37"/>
  <c r="D210" i="37"/>
  <c r="C210" i="37"/>
  <c r="E209" i="37"/>
  <c r="D209" i="37"/>
  <c r="C209" i="37"/>
  <c r="E208" i="37"/>
  <c r="D208" i="37"/>
  <c r="C208" i="37"/>
  <c r="E207" i="37"/>
  <c r="D207" i="37"/>
  <c r="C207" i="37"/>
  <c r="E206" i="37"/>
  <c r="D206" i="37"/>
  <c r="C206" i="37"/>
  <c r="E205" i="37"/>
  <c r="D205" i="37"/>
  <c r="C205" i="37"/>
  <c r="E201" i="37"/>
  <c r="D201" i="37"/>
  <c r="C201" i="37"/>
  <c r="E200" i="37"/>
  <c r="D200" i="37"/>
  <c r="C200" i="37"/>
  <c r="E199" i="37"/>
  <c r="D199" i="37"/>
  <c r="C199" i="37"/>
  <c r="E198" i="37"/>
  <c r="D198" i="37"/>
  <c r="C198" i="37"/>
  <c r="E197" i="37"/>
  <c r="D197" i="37"/>
  <c r="C197" i="37"/>
  <c r="E196" i="37"/>
  <c r="D196" i="37"/>
  <c r="C196" i="37"/>
  <c r="E195" i="37"/>
  <c r="D195" i="37"/>
  <c r="C195" i="37"/>
  <c r="E194" i="37"/>
  <c r="D194" i="37"/>
  <c r="C194" i="37"/>
  <c r="E193" i="37"/>
  <c r="D193" i="37"/>
  <c r="C193" i="37"/>
  <c r="E192" i="37"/>
  <c r="D192" i="37"/>
  <c r="C192" i="37"/>
  <c r="E191" i="37"/>
  <c r="D191" i="37"/>
  <c r="C191" i="37"/>
  <c r="E190" i="37"/>
  <c r="D190" i="37"/>
  <c r="C190" i="37"/>
  <c r="E189" i="37"/>
  <c r="D189" i="37"/>
  <c r="C189" i="37"/>
  <c r="E188" i="37"/>
  <c r="D188" i="37"/>
  <c r="C188" i="37"/>
  <c r="E187" i="37"/>
  <c r="D187" i="37"/>
  <c r="C187" i="37"/>
  <c r="E186" i="37"/>
  <c r="D186" i="37"/>
  <c r="C186" i="37"/>
  <c r="E185" i="37"/>
  <c r="D185" i="37"/>
  <c r="C185" i="37"/>
  <c r="E184" i="37"/>
  <c r="D184" i="37"/>
  <c r="C184" i="37"/>
  <c r="E183" i="37"/>
  <c r="D183" i="37"/>
  <c r="C183" i="37"/>
  <c r="E182" i="37"/>
  <c r="D182" i="37"/>
  <c r="C182" i="37"/>
  <c r="E181" i="37"/>
  <c r="D181" i="37"/>
  <c r="C181" i="37"/>
  <c r="E180" i="37"/>
  <c r="D180" i="37"/>
  <c r="C180" i="37"/>
  <c r="E179" i="37"/>
  <c r="D179" i="37"/>
  <c r="C179" i="37"/>
  <c r="E178" i="37"/>
  <c r="D178" i="37"/>
  <c r="C178" i="37"/>
  <c r="E177" i="37"/>
  <c r="D177" i="37"/>
  <c r="C177" i="37"/>
  <c r="E176" i="37"/>
  <c r="D176" i="37"/>
  <c r="C176" i="37"/>
  <c r="E175" i="37"/>
  <c r="D175" i="37"/>
  <c r="C175" i="37"/>
  <c r="E174" i="37"/>
  <c r="D174" i="37"/>
  <c r="C174" i="37"/>
  <c r="E173" i="37"/>
  <c r="D173" i="37"/>
  <c r="C173" i="37"/>
  <c r="E172" i="37"/>
  <c r="D172" i="37"/>
  <c r="C172" i="37"/>
  <c r="E171" i="37"/>
  <c r="D171" i="37"/>
  <c r="C171" i="37"/>
  <c r="E170" i="37"/>
  <c r="D170" i="37"/>
  <c r="C170" i="37"/>
  <c r="E169" i="37"/>
  <c r="D169" i="37"/>
  <c r="C169" i="37"/>
  <c r="E165" i="37"/>
  <c r="D165" i="37"/>
  <c r="C165" i="37"/>
  <c r="E164" i="37"/>
  <c r="D164" i="37"/>
  <c r="C164" i="37"/>
  <c r="E163" i="37"/>
  <c r="D163" i="37"/>
  <c r="C163" i="37"/>
  <c r="E162" i="37"/>
  <c r="D162" i="37"/>
  <c r="C162" i="37"/>
  <c r="E161" i="37"/>
  <c r="D161" i="37"/>
  <c r="C161" i="37"/>
  <c r="E160" i="37"/>
  <c r="D160" i="37"/>
  <c r="C160" i="37"/>
  <c r="E158" i="37"/>
  <c r="D158" i="37"/>
  <c r="C158" i="37"/>
  <c r="E157" i="37"/>
  <c r="D157" i="37"/>
  <c r="C157" i="37"/>
  <c r="E156" i="37"/>
  <c r="D156" i="37"/>
  <c r="C156" i="37"/>
  <c r="E155" i="37"/>
  <c r="D155" i="37"/>
  <c r="C155" i="37"/>
  <c r="E154" i="37"/>
  <c r="D154" i="37"/>
  <c r="C154" i="37"/>
  <c r="E153" i="37"/>
  <c r="D153" i="37"/>
  <c r="C153" i="37"/>
  <c r="E152" i="37"/>
  <c r="D152" i="37"/>
  <c r="C152" i="37"/>
  <c r="E151" i="37"/>
  <c r="D151" i="37"/>
  <c r="C151" i="37"/>
  <c r="E150" i="37"/>
  <c r="D150" i="37"/>
  <c r="C150" i="37"/>
  <c r="E148" i="37"/>
  <c r="D148" i="37"/>
  <c r="C148" i="37"/>
  <c r="E147" i="37"/>
  <c r="D147" i="37"/>
  <c r="C147" i="37"/>
  <c r="E146" i="37"/>
  <c r="D146" i="37"/>
  <c r="C146" i="37"/>
  <c r="E145" i="37"/>
  <c r="D145" i="37"/>
  <c r="C145" i="37"/>
  <c r="E143" i="37"/>
  <c r="D143" i="37"/>
  <c r="C143" i="37"/>
  <c r="E142" i="37"/>
  <c r="D142" i="37"/>
  <c r="C142" i="37"/>
  <c r="E141" i="37"/>
  <c r="D141" i="37"/>
  <c r="C141" i="37"/>
  <c r="E140" i="37"/>
  <c r="D140" i="37"/>
  <c r="C140" i="37"/>
  <c r="E138" i="37"/>
  <c r="D138" i="37"/>
  <c r="C138" i="37"/>
  <c r="E137" i="37"/>
  <c r="D137" i="37"/>
  <c r="C137" i="37"/>
  <c r="E136" i="37"/>
  <c r="D136" i="37"/>
  <c r="C136" i="37"/>
  <c r="E135" i="37"/>
  <c r="D135" i="37"/>
  <c r="C135" i="37"/>
  <c r="E134" i="37"/>
  <c r="D134" i="37"/>
  <c r="C134" i="37"/>
  <c r="E132" i="37"/>
  <c r="D132" i="37"/>
  <c r="C132" i="37"/>
  <c r="E131" i="37"/>
  <c r="D131" i="37"/>
  <c r="C131" i="37"/>
  <c r="E130" i="37"/>
  <c r="D130" i="37"/>
  <c r="C130" i="37"/>
  <c r="E129" i="37"/>
  <c r="D129" i="37"/>
  <c r="C129" i="37"/>
  <c r="E128" i="37"/>
  <c r="D128" i="37"/>
  <c r="C128" i="37"/>
  <c r="E123" i="37"/>
  <c r="D123" i="37"/>
  <c r="C123" i="37"/>
  <c r="E122" i="37"/>
  <c r="D122" i="37"/>
  <c r="C122" i="37"/>
  <c r="E121" i="37"/>
  <c r="D121" i="37"/>
  <c r="C121" i="37"/>
  <c r="E120" i="37"/>
  <c r="D120" i="37"/>
  <c r="C120" i="37"/>
  <c r="E119" i="37"/>
  <c r="D119" i="37"/>
  <c r="C119" i="37"/>
  <c r="E115" i="37"/>
  <c r="D115" i="37"/>
  <c r="C115" i="37"/>
  <c r="E114" i="37"/>
  <c r="D114" i="37"/>
  <c r="C114" i="37"/>
  <c r="E113" i="37"/>
  <c r="D113" i="37"/>
  <c r="C113" i="37"/>
  <c r="E112" i="37"/>
  <c r="D112" i="37"/>
  <c r="C112" i="37"/>
  <c r="E111" i="37"/>
  <c r="D111" i="37"/>
  <c r="C111" i="37"/>
  <c r="E110" i="37"/>
  <c r="D110" i="37"/>
  <c r="C110" i="37"/>
  <c r="E106" i="37"/>
  <c r="D106" i="37"/>
  <c r="C106" i="37"/>
  <c r="E105" i="37"/>
  <c r="D105" i="37"/>
  <c r="C105" i="37"/>
  <c r="E104" i="37"/>
  <c r="D104" i="37"/>
  <c r="C104" i="37"/>
  <c r="E103" i="37"/>
  <c r="D103" i="37"/>
  <c r="C103" i="37"/>
  <c r="E102" i="37"/>
  <c r="D102" i="37"/>
  <c r="C102" i="37"/>
  <c r="E101" i="37"/>
  <c r="D101" i="37"/>
  <c r="C101" i="37"/>
  <c r="E97" i="37"/>
  <c r="D97" i="37"/>
  <c r="C97" i="37"/>
  <c r="E96" i="37"/>
  <c r="D96" i="37"/>
  <c r="C96" i="37"/>
  <c r="E95" i="37"/>
  <c r="D95" i="37"/>
  <c r="C95" i="37"/>
  <c r="E94" i="37"/>
  <c r="D94" i="37"/>
  <c r="C94" i="37"/>
  <c r="E93" i="37"/>
  <c r="D93" i="37"/>
  <c r="C93" i="37"/>
  <c r="E92" i="37"/>
  <c r="D92" i="37"/>
  <c r="C92" i="37"/>
  <c r="E91" i="37"/>
  <c r="D91" i="37"/>
  <c r="C91" i="37"/>
  <c r="E90" i="37"/>
  <c r="D90" i="37"/>
  <c r="C90" i="37"/>
  <c r="E89" i="37"/>
  <c r="D89" i="37"/>
  <c r="C89" i="37"/>
  <c r="E88" i="37"/>
  <c r="D88" i="37"/>
  <c r="C88" i="37"/>
  <c r="E87" i="37"/>
  <c r="D87" i="37"/>
  <c r="C87" i="37"/>
  <c r="E83" i="37"/>
  <c r="D83" i="37"/>
  <c r="C83" i="37"/>
  <c r="E82" i="37"/>
  <c r="D82" i="37"/>
  <c r="C82" i="37"/>
  <c r="E81" i="37"/>
  <c r="D81" i="37"/>
  <c r="C81" i="37"/>
  <c r="E80" i="37"/>
  <c r="D80" i="37"/>
  <c r="C80" i="37"/>
  <c r="E79" i="37"/>
  <c r="D79" i="37"/>
  <c r="C79" i="37"/>
  <c r="E78" i="37"/>
  <c r="D78" i="37"/>
  <c r="C78" i="37"/>
  <c r="E77" i="37"/>
  <c r="D77" i="37"/>
  <c r="C77" i="37"/>
  <c r="E76" i="37"/>
  <c r="D76" i="37"/>
  <c r="C76" i="37"/>
  <c r="E75" i="37"/>
  <c r="D75" i="37"/>
  <c r="C75" i="37"/>
  <c r="E74" i="37"/>
  <c r="D74" i="37"/>
  <c r="C74" i="37"/>
  <c r="E73" i="37"/>
  <c r="D73" i="37"/>
  <c r="C73" i="37"/>
  <c r="E72" i="37"/>
  <c r="D72" i="37"/>
  <c r="C72" i="37"/>
  <c r="E71" i="37"/>
  <c r="C71" i="37"/>
  <c r="E70" i="37"/>
  <c r="C70" i="37"/>
  <c r="E69" i="37"/>
  <c r="C69" i="37"/>
  <c r="E65" i="37"/>
  <c r="D65" i="37"/>
  <c r="C65" i="37"/>
  <c r="E64" i="37"/>
  <c r="D64" i="37"/>
  <c r="C64" i="37"/>
  <c r="E63" i="37"/>
  <c r="D63" i="37"/>
  <c r="C63" i="37"/>
  <c r="E62" i="37"/>
  <c r="D62" i="37"/>
  <c r="C62" i="37"/>
  <c r="E61" i="37"/>
  <c r="D61" i="37"/>
  <c r="C61" i="37"/>
  <c r="E60" i="37"/>
  <c r="D60" i="37"/>
  <c r="C60" i="37"/>
  <c r="E59" i="37"/>
  <c r="D59" i="37"/>
  <c r="C59" i="37"/>
  <c r="E58" i="37"/>
  <c r="D58" i="37"/>
  <c r="C58" i="37"/>
  <c r="E57" i="37"/>
  <c r="D57" i="37"/>
  <c r="C57" i="37"/>
  <c r="E56" i="37"/>
  <c r="D56" i="37"/>
  <c r="C56" i="37"/>
  <c r="E55" i="37"/>
  <c r="D55" i="37"/>
  <c r="C55" i="37"/>
  <c r="E54" i="37"/>
  <c r="D54" i="37"/>
  <c r="C54" i="37"/>
  <c r="E53" i="37"/>
  <c r="D53" i="37"/>
  <c r="C53" i="37"/>
  <c r="E52" i="37"/>
  <c r="D52" i="37"/>
  <c r="C52" i="37"/>
  <c r="E51" i="37"/>
  <c r="D51" i="37"/>
  <c r="C51" i="37"/>
  <c r="E50" i="37"/>
  <c r="D50" i="37"/>
  <c r="C50" i="37"/>
  <c r="E49" i="37"/>
  <c r="D49" i="37"/>
  <c r="C49" i="37"/>
  <c r="E48" i="37"/>
  <c r="D48" i="37"/>
  <c r="C48" i="37"/>
  <c r="E47" i="37"/>
  <c r="D47" i="37"/>
  <c r="C47" i="37"/>
  <c r="E46" i="37"/>
  <c r="D46" i="37"/>
  <c r="C46" i="37"/>
  <c r="E45" i="37"/>
  <c r="D45" i="37"/>
  <c r="C45" i="37"/>
  <c r="E44" i="37"/>
  <c r="D44" i="37"/>
  <c r="C44" i="37"/>
  <c r="E43" i="37"/>
  <c r="D43" i="37"/>
  <c r="C43" i="37"/>
  <c r="E42" i="37"/>
  <c r="D42" i="37"/>
  <c r="C42" i="37"/>
  <c r="E41" i="37"/>
  <c r="D41" i="37"/>
  <c r="C41" i="37"/>
  <c r="E40" i="37"/>
  <c r="D40" i="37"/>
  <c r="C40" i="37"/>
  <c r="E39" i="37"/>
  <c r="D39" i="37"/>
  <c r="C39" i="37"/>
  <c r="E38" i="37"/>
  <c r="D38" i="37"/>
  <c r="C38" i="37"/>
  <c r="E37" i="37"/>
  <c r="D37" i="37"/>
  <c r="C37" i="37"/>
  <c r="E36" i="37"/>
  <c r="D36" i="37"/>
  <c r="C36" i="37"/>
  <c r="E35" i="37"/>
  <c r="D35" i="37"/>
  <c r="C35" i="37"/>
  <c r="E34" i="37"/>
  <c r="D34" i="37"/>
  <c r="C34" i="37"/>
  <c r="E33" i="37"/>
  <c r="D33" i="37"/>
  <c r="C33" i="37"/>
  <c r="E32" i="37"/>
  <c r="D32" i="37"/>
  <c r="C32" i="37"/>
  <c r="E31" i="37"/>
  <c r="D31" i="37"/>
  <c r="C31" i="37"/>
  <c r="E30" i="37"/>
  <c r="D30" i="37"/>
  <c r="C30" i="37"/>
  <c r="D25" i="37"/>
  <c r="C25" i="37"/>
  <c r="D24" i="37"/>
  <c r="C24" i="37"/>
  <c r="D23" i="37"/>
  <c r="C23" i="37"/>
  <c r="D22" i="37"/>
  <c r="C22" i="37"/>
  <c r="D21" i="37"/>
  <c r="C21" i="37"/>
  <c r="D20" i="37"/>
  <c r="C20" i="37"/>
  <c r="D19" i="37"/>
  <c r="C19" i="37"/>
  <c r="C18" i="37"/>
  <c r="D17" i="37"/>
  <c r="C17" i="37"/>
  <c r="D16" i="37"/>
  <c r="C16" i="37"/>
  <c r="D15" i="37"/>
  <c r="C15" i="37"/>
  <c r="D14" i="37"/>
  <c r="C14" i="37"/>
  <c r="D13" i="37"/>
  <c r="C13" i="37"/>
  <c r="D12" i="37"/>
  <c r="C12" i="37"/>
  <c r="C4" i="37"/>
  <c r="C3" i="37"/>
  <c r="D26" i="37" l="1"/>
  <c r="C238" i="37"/>
  <c r="F12" i="37"/>
  <c r="I12" i="37" s="1"/>
  <c r="E84" i="37"/>
  <c r="C107" i="37"/>
  <c r="D107" i="37"/>
  <c r="E107" i="37"/>
  <c r="E116" i="37"/>
  <c r="C124" i="37"/>
  <c r="D124" i="37"/>
  <c r="E202" i="37"/>
  <c r="E98" i="37"/>
  <c r="C116" i="37"/>
  <c r="D116" i="37"/>
  <c r="E166" i="37"/>
  <c r="C211" i="37"/>
  <c r="D211" i="37"/>
  <c r="E211" i="37"/>
  <c r="C233" i="37"/>
  <c r="C84" i="37"/>
  <c r="D84" i="37"/>
  <c r="E124" i="37"/>
  <c r="C202" i="37"/>
  <c r="D202" i="37"/>
  <c r="C26" i="37"/>
  <c r="C98" i="37"/>
  <c r="D98" i="37"/>
  <c r="C166" i="37"/>
  <c r="D166" i="37"/>
  <c r="C66" i="37"/>
  <c r="D66" i="37"/>
  <c r="E66" i="37"/>
  <c r="I249" i="65"/>
  <c r="I248" i="65"/>
  <c r="I247" i="65"/>
  <c r="I246" i="65"/>
  <c r="C243" i="65"/>
  <c r="C242" i="65"/>
  <c r="C241" i="65"/>
  <c r="C240" i="65"/>
  <c r="C237" i="65"/>
  <c r="C236" i="65"/>
  <c r="E233" i="65"/>
  <c r="D233" i="65"/>
  <c r="C232" i="65"/>
  <c r="C231" i="65"/>
  <c r="C230" i="65"/>
  <c r="C229" i="65"/>
  <c r="C228" i="65"/>
  <c r="C227" i="65"/>
  <c r="C226" i="65"/>
  <c r="C225" i="65"/>
  <c r="C224" i="65"/>
  <c r="C216" i="65"/>
  <c r="E210" i="65"/>
  <c r="D210" i="65"/>
  <c r="C210" i="65"/>
  <c r="E209" i="65"/>
  <c r="D209" i="65"/>
  <c r="C209" i="65"/>
  <c r="E208" i="65"/>
  <c r="D208" i="65"/>
  <c r="C208" i="65"/>
  <c r="E207" i="65"/>
  <c r="D207" i="65"/>
  <c r="C207" i="65"/>
  <c r="E206" i="65"/>
  <c r="D206" i="65"/>
  <c r="C206" i="65"/>
  <c r="E205" i="65"/>
  <c r="D205" i="65"/>
  <c r="C205" i="65"/>
  <c r="E201" i="65"/>
  <c r="D201" i="65"/>
  <c r="C201" i="65"/>
  <c r="E200" i="65"/>
  <c r="D200" i="65"/>
  <c r="C200" i="65"/>
  <c r="E199" i="65"/>
  <c r="D199" i="65"/>
  <c r="C199" i="65"/>
  <c r="E198" i="65"/>
  <c r="D198" i="65"/>
  <c r="C198" i="65"/>
  <c r="E197" i="65"/>
  <c r="D197" i="65"/>
  <c r="C197" i="65"/>
  <c r="E196" i="65"/>
  <c r="D196" i="65"/>
  <c r="C196" i="65"/>
  <c r="E195" i="65"/>
  <c r="D195" i="65"/>
  <c r="C195" i="65"/>
  <c r="E194" i="65"/>
  <c r="D194" i="65"/>
  <c r="C194" i="65"/>
  <c r="E193" i="65"/>
  <c r="D193" i="65"/>
  <c r="C193" i="65"/>
  <c r="E192" i="65"/>
  <c r="D192" i="65"/>
  <c r="C192" i="65"/>
  <c r="E191" i="65"/>
  <c r="D191" i="65"/>
  <c r="C191" i="65"/>
  <c r="E190" i="65"/>
  <c r="D190" i="65"/>
  <c r="C190" i="65"/>
  <c r="E189" i="65"/>
  <c r="D189" i="65"/>
  <c r="C189" i="65"/>
  <c r="E188" i="65"/>
  <c r="D188" i="65"/>
  <c r="C188" i="65"/>
  <c r="E187" i="65"/>
  <c r="D187" i="65"/>
  <c r="C187" i="65"/>
  <c r="E186" i="65"/>
  <c r="D186" i="65"/>
  <c r="C186" i="65"/>
  <c r="E185" i="65"/>
  <c r="D185" i="65"/>
  <c r="C185" i="65"/>
  <c r="E184" i="65"/>
  <c r="D184" i="65"/>
  <c r="C184" i="65"/>
  <c r="E183" i="65"/>
  <c r="D183" i="65"/>
  <c r="C183" i="65"/>
  <c r="E182" i="65"/>
  <c r="D182" i="65"/>
  <c r="C182" i="65"/>
  <c r="E181" i="65"/>
  <c r="D181" i="65"/>
  <c r="C181" i="65"/>
  <c r="E180" i="65"/>
  <c r="D180" i="65"/>
  <c r="C180" i="65"/>
  <c r="E179" i="65"/>
  <c r="D179" i="65"/>
  <c r="C179" i="65"/>
  <c r="E178" i="65"/>
  <c r="D178" i="65"/>
  <c r="C178" i="65"/>
  <c r="E177" i="65"/>
  <c r="D177" i="65"/>
  <c r="C177" i="65"/>
  <c r="E176" i="65"/>
  <c r="D176" i="65"/>
  <c r="C176" i="65"/>
  <c r="E175" i="65"/>
  <c r="D175" i="65"/>
  <c r="C175" i="65"/>
  <c r="E174" i="65"/>
  <c r="D174" i="65"/>
  <c r="C174" i="65"/>
  <c r="E173" i="65"/>
  <c r="D173" i="65"/>
  <c r="C173" i="65"/>
  <c r="E172" i="65"/>
  <c r="D172" i="65"/>
  <c r="C172" i="65"/>
  <c r="E171" i="65"/>
  <c r="D171" i="65"/>
  <c r="C171" i="65"/>
  <c r="E170" i="65"/>
  <c r="D170" i="65"/>
  <c r="C170" i="65"/>
  <c r="E169" i="65"/>
  <c r="D169" i="65"/>
  <c r="C169" i="65"/>
  <c r="E165" i="65"/>
  <c r="D165" i="65"/>
  <c r="C165" i="65"/>
  <c r="E164" i="65"/>
  <c r="D164" i="65"/>
  <c r="C164" i="65"/>
  <c r="E163" i="65"/>
  <c r="D163" i="65"/>
  <c r="C163" i="65"/>
  <c r="E162" i="65"/>
  <c r="D162" i="65"/>
  <c r="C162" i="65"/>
  <c r="E161" i="65"/>
  <c r="D161" i="65"/>
  <c r="C161" i="65"/>
  <c r="E160" i="65"/>
  <c r="D160" i="65"/>
  <c r="C160" i="65"/>
  <c r="E158" i="65"/>
  <c r="D158" i="65"/>
  <c r="C158" i="65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E153" i="65"/>
  <c r="D153" i="65"/>
  <c r="C153" i="65"/>
  <c r="E152" i="65"/>
  <c r="D152" i="65"/>
  <c r="C152" i="65"/>
  <c r="E151" i="65"/>
  <c r="D151" i="65"/>
  <c r="C151" i="65"/>
  <c r="E150" i="65"/>
  <c r="D150" i="65"/>
  <c r="C150" i="65"/>
  <c r="E148" i="65"/>
  <c r="D148" i="65"/>
  <c r="C148" i="65"/>
  <c r="E147" i="65"/>
  <c r="D147" i="65"/>
  <c r="C147" i="65"/>
  <c r="E146" i="65"/>
  <c r="D146" i="65"/>
  <c r="C146" i="65"/>
  <c r="E145" i="65"/>
  <c r="D145" i="65"/>
  <c r="C145" i="65"/>
  <c r="E143" i="65"/>
  <c r="D143" i="65"/>
  <c r="C143" i="65"/>
  <c r="E142" i="65"/>
  <c r="D142" i="65"/>
  <c r="C142" i="65"/>
  <c r="E141" i="65"/>
  <c r="D141" i="65"/>
  <c r="C141" i="65"/>
  <c r="E140" i="65"/>
  <c r="D140" i="65"/>
  <c r="C140" i="65"/>
  <c r="E138" i="65"/>
  <c r="D138" i="65"/>
  <c r="C138" i="65"/>
  <c r="E137" i="65"/>
  <c r="D137" i="65"/>
  <c r="C137" i="65"/>
  <c r="E136" i="65"/>
  <c r="D136" i="65"/>
  <c r="C136" i="65"/>
  <c r="E135" i="65"/>
  <c r="D135" i="65"/>
  <c r="C135" i="65"/>
  <c r="E134" i="65"/>
  <c r="D134" i="65"/>
  <c r="C134" i="65"/>
  <c r="E132" i="65"/>
  <c r="D132" i="65"/>
  <c r="C132" i="65"/>
  <c r="E131" i="65"/>
  <c r="D131" i="65"/>
  <c r="C131" i="65"/>
  <c r="E130" i="65"/>
  <c r="D130" i="65"/>
  <c r="C130" i="65"/>
  <c r="E129" i="65"/>
  <c r="D129" i="65"/>
  <c r="C129" i="65"/>
  <c r="E128" i="65"/>
  <c r="D128" i="65"/>
  <c r="C128" i="65"/>
  <c r="E123" i="65"/>
  <c r="D123" i="65"/>
  <c r="C123" i="65"/>
  <c r="E122" i="65"/>
  <c r="D122" i="65"/>
  <c r="C122" i="65"/>
  <c r="E121" i="65"/>
  <c r="D121" i="65"/>
  <c r="C121" i="65"/>
  <c r="E120" i="65"/>
  <c r="D120" i="65"/>
  <c r="C120" i="65"/>
  <c r="E119" i="65"/>
  <c r="D119" i="65"/>
  <c r="C119" i="65"/>
  <c r="E115" i="65"/>
  <c r="D115" i="65"/>
  <c r="C115" i="65"/>
  <c r="E114" i="65"/>
  <c r="D114" i="65"/>
  <c r="C114" i="65"/>
  <c r="E113" i="65"/>
  <c r="D113" i="65"/>
  <c r="C113" i="65"/>
  <c r="E112" i="65"/>
  <c r="D112" i="65"/>
  <c r="C112" i="65"/>
  <c r="E111" i="65"/>
  <c r="D111" i="65"/>
  <c r="C111" i="65"/>
  <c r="E110" i="65"/>
  <c r="D110" i="65"/>
  <c r="C110" i="65"/>
  <c r="E106" i="65"/>
  <c r="D106" i="65"/>
  <c r="C106" i="65"/>
  <c r="E105" i="65"/>
  <c r="D105" i="65"/>
  <c r="C105" i="65"/>
  <c r="E104" i="65"/>
  <c r="D104" i="65"/>
  <c r="C104" i="65"/>
  <c r="E103" i="65"/>
  <c r="D103" i="65"/>
  <c r="C103" i="65"/>
  <c r="E102" i="65"/>
  <c r="D102" i="65"/>
  <c r="C102" i="65"/>
  <c r="E101" i="65"/>
  <c r="D101" i="65"/>
  <c r="C101" i="65"/>
  <c r="E97" i="65"/>
  <c r="D97" i="65"/>
  <c r="C97" i="65"/>
  <c r="E96" i="65"/>
  <c r="D96" i="65"/>
  <c r="C96" i="65"/>
  <c r="E95" i="65"/>
  <c r="D95" i="65"/>
  <c r="C95" i="65"/>
  <c r="E94" i="65"/>
  <c r="D94" i="65"/>
  <c r="C94" i="65"/>
  <c r="E93" i="65"/>
  <c r="D93" i="65"/>
  <c r="C93" i="65"/>
  <c r="E92" i="65"/>
  <c r="D92" i="65"/>
  <c r="C92" i="65"/>
  <c r="E91" i="65"/>
  <c r="D91" i="65"/>
  <c r="C91" i="65"/>
  <c r="E90" i="65"/>
  <c r="D90" i="65"/>
  <c r="C90" i="65"/>
  <c r="E89" i="65"/>
  <c r="D89" i="65"/>
  <c r="C89" i="65"/>
  <c r="E88" i="65"/>
  <c r="D88" i="65"/>
  <c r="C88" i="65"/>
  <c r="E87" i="65"/>
  <c r="D87" i="65"/>
  <c r="C87" i="65"/>
  <c r="E83" i="65"/>
  <c r="D83" i="65"/>
  <c r="C83" i="65"/>
  <c r="E82" i="65"/>
  <c r="D82" i="65"/>
  <c r="C82" i="65"/>
  <c r="E81" i="65"/>
  <c r="D81" i="65"/>
  <c r="C81" i="65"/>
  <c r="E80" i="65"/>
  <c r="D80" i="65"/>
  <c r="C80" i="65"/>
  <c r="E79" i="65"/>
  <c r="D79" i="65"/>
  <c r="C79" i="65"/>
  <c r="E78" i="65"/>
  <c r="D78" i="65"/>
  <c r="C78" i="65"/>
  <c r="E77" i="65"/>
  <c r="D77" i="65"/>
  <c r="C77" i="65"/>
  <c r="E76" i="65"/>
  <c r="D76" i="65"/>
  <c r="C76" i="65"/>
  <c r="E75" i="65"/>
  <c r="D75" i="65"/>
  <c r="C75" i="65"/>
  <c r="E74" i="65"/>
  <c r="D74" i="65"/>
  <c r="C74" i="65"/>
  <c r="E73" i="65"/>
  <c r="D73" i="65"/>
  <c r="C73" i="65"/>
  <c r="E72" i="65"/>
  <c r="D72" i="65"/>
  <c r="C72" i="65"/>
  <c r="E71" i="65"/>
  <c r="D71" i="65"/>
  <c r="C71" i="65"/>
  <c r="E70" i="65"/>
  <c r="C70" i="65"/>
  <c r="E69" i="65"/>
  <c r="C69" i="65"/>
  <c r="E65" i="65"/>
  <c r="D65" i="65"/>
  <c r="C65" i="65"/>
  <c r="E64" i="65"/>
  <c r="D64" i="65"/>
  <c r="C64" i="65"/>
  <c r="E63" i="65"/>
  <c r="D63" i="65"/>
  <c r="C63" i="65"/>
  <c r="E62" i="65"/>
  <c r="D62" i="65"/>
  <c r="C62" i="65"/>
  <c r="E61" i="65"/>
  <c r="D61" i="65"/>
  <c r="C61" i="65"/>
  <c r="E60" i="65"/>
  <c r="D60" i="65"/>
  <c r="C60" i="65"/>
  <c r="E59" i="65"/>
  <c r="D59" i="65"/>
  <c r="C59" i="65"/>
  <c r="E58" i="65"/>
  <c r="D58" i="65"/>
  <c r="C58" i="65"/>
  <c r="E57" i="65"/>
  <c r="D57" i="65"/>
  <c r="C57" i="65"/>
  <c r="E56" i="65"/>
  <c r="D56" i="65"/>
  <c r="C56" i="65"/>
  <c r="E55" i="65"/>
  <c r="D55" i="65"/>
  <c r="C55" i="65"/>
  <c r="E54" i="65"/>
  <c r="D54" i="65"/>
  <c r="C54" i="65"/>
  <c r="E53" i="65"/>
  <c r="D53" i="65"/>
  <c r="C53" i="65"/>
  <c r="E52" i="65"/>
  <c r="D52" i="65"/>
  <c r="C52" i="65"/>
  <c r="E51" i="65"/>
  <c r="D51" i="65"/>
  <c r="C51" i="65"/>
  <c r="E50" i="65"/>
  <c r="D50" i="65"/>
  <c r="C50" i="65"/>
  <c r="E49" i="65"/>
  <c r="D49" i="65"/>
  <c r="C49" i="65"/>
  <c r="E48" i="65"/>
  <c r="D48" i="65"/>
  <c r="C48" i="65"/>
  <c r="E47" i="65"/>
  <c r="D47" i="65"/>
  <c r="C47" i="65"/>
  <c r="E46" i="65"/>
  <c r="D46" i="65"/>
  <c r="C46" i="65"/>
  <c r="E45" i="65"/>
  <c r="D45" i="65"/>
  <c r="C45" i="65"/>
  <c r="E44" i="65"/>
  <c r="D44" i="65"/>
  <c r="C44" i="65"/>
  <c r="E43" i="65"/>
  <c r="D43" i="65"/>
  <c r="C43" i="65"/>
  <c r="E42" i="65"/>
  <c r="D42" i="65"/>
  <c r="C42" i="65"/>
  <c r="E41" i="65"/>
  <c r="D41" i="65"/>
  <c r="C41" i="65"/>
  <c r="E40" i="65"/>
  <c r="D40" i="65"/>
  <c r="C40" i="65"/>
  <c r="E39" i="65"/>
  <c r="D39" i="65"/>
  <c r="C39" i="65"/>
  <c r="E38" i="65"/>
  <c r="D38" i="65"/>
  <c r="C38" i="65"/>
  <c r="E37" i="65"/>
  <c r="D37" i="65"/>
  <c r="C37" i="65"/>
  <c r="E36" i="65"/>
  <c r="D36" i="65"/>
  <c r="C36" i="65"/>
  <c r="E35" i="65"/>
  <c r="D35" i="65"/>
  <c r="C35" i="65"/>
  <c r="E34" i="65"/>
  <c r="D34" i="65"/>
  <c r="C34" i="65"/>
  <c r="E33" i="65"/>
  <c r="D33" i="65"/>
  <c r="C33" i="65"/>
  <c r="E32" i="65"/>
  <c r="D32" i="65"/>
  <c r="C32" i="65"/>
  <c r="E31" i="65"/>
  <c r="D31" i="65"/>
  <c r="C31" i="65"/>
  <c r="E30" i="65"/>
  <c r="D30" i="65"/>
  <c r="C30" i="65"/>
  <c r="D25" i="65"/>
  <c r="C25" i="65"/>
  <c r="D24" i="65"/>
  <c r="C24" i="65"/>
  <c r="D23" i="65"/>
  <c r="C23" i="65"/>
  <c r="D22" i="65"/>
  <c r="C22" i="65"/>
  <c r="D21" i="65"/>
  <c r="C21" i="65"/>
  <c r="D20" i="65"/>
  <c r="C20" i="65"/>
  <c r="D19" i="65"/>
  <c r="C19" i="65"/>
  <c r="D18" i="65"/>
  <c r="C18" i="65"/>
  <c r="D17" i="65"/>
  <c r="C17" i="65"/>
  <c r="D16" i="65"/>
  <c r="C16" i="65"/>
  <c r="D15" i="65"/>
  <c r="C15" i="65"/>
  <c r="D14" i="65"/>
  <c r="C14" i="65"/>
  <c r="D13" i="65"/>
  <c r="C13" i="65"/>
  <c r="D12" i="65"/>
  <c r="C12" i="65"/>
  <c r="C4" i="65"/>
  <c r="C3" i="65"/>
  <c r="D26" i="65" l="1"/>
  <c r="F12" i="65"/>
  <c r="I12" i="65" s="1"/>
  <c r="E213" i="37"/>
  <c r="E220" i="37" s="1"/>
  <c r="C238" i="65"/>
  <c r="C26" i="65"/>
  <c r="D213" i="37"/>
  <c r="D220" i="37" s="1"/>
  <c r="C84" i="65"/>
  <c r="C116" i="65"/>
  <c r="E116" i="65"/>
  <c r="E124" i="65"/>
  <c r="D211" i="65"/>
  <c r="D84" i="65"/>
  <c r="C98" i="65"/>
  <c r="C124" i="65"/>
  <c r="C166" i="65"/>
  <c r="D166" i="65"/>
  <c r="D202" i="65"/>
  <c r="D98" i="65"/>
  <c r="C107" i="65"/>
  <c r="E107" i="65"/>
  <c r="E166" i="65"/>
  <c r="E202" i="65"/>
  <c r="C233" i="65"/>
  <c r="C213" i="37"/>
  <c r="C220" i="37" s="1"/>
  <c r="E84" i="65"/>
  <c r="E98" i="65"/>
  <c r="D107" i="65"/>
  <c r="D116" i="65"/>
  <c r="D124" i="65"/>
  <c r="C202" i="65"/>
  <c r="C211" i="65"/>
  <c r="E211" i="65"/>
  <c r="C66" i="65"/>
  <c r="D66" i="65"/>
  <c r="E66" i="65"/>
  <c r="D213" i="65" l="1"/>
  <c r="D220" i="65" s="1"/>
  <c r="C217" i="37"/>
  <c r="C213" i="65"/>
  <c r="C217" i="65" s="1"/>
  <c r="E213" i="65"/>
  <c r="E220" i="65" s="1"/>
  <c r="C220" i="65" l="1"/>
  <c r="D18" i="183"/>
  <c r="I249" i="183"/>
  <c r="I248" i="183"/>
  <c r="I247" i="183"/>
  <c r="I246" i="183"/>
  <c r="C243" i="183"/>
  <c r="C242" i="183"/>
  <c r="C241" i="183"/>
  <c r="C240" i="183"/>
  <c r="C237" i="183"/>
  <c r="C236" i="183"/>
  <c r="E233" i="183"/>
  <c r="D233" i="183"/>
  <c r="C232" i="183"/>
  <c r="C231" i="183"/>
  <c r="C230" i="183"/>
  <c r="C229" i="183"/>
  <c r="C228" i="183"/>
  <c r="C227" i="183"/>
  <c r="C226" i="183"/>
  <c r="C225" i="183"/>
  <c r="C224" i="183"/>
  <c r="C216" i="183"/>
  <c r="E210" i="183"/>
  <c r="D210" i="183"/>
  <c r="C210" i="183"/>
  <c r="E209" i="183"/>
  <c r="D209" i="183"/>
  <c r="C209" i="183"/>
  <c r="E208" i="183"/>
  <c r="D208" i="183"/>
  <c r="C208" i="183"/>
  <c r="E207" i="183"/>
  <c r="D207" i="183"/>
  <c r="C207" i="183"/>
  <c r="E206" i="183"/>
  <c r="D206" i="183"/>
  <c r="C206" i="183"/>
  <c r="E205" i="183"/>
  <c r="D205" i="183"/>
  <c r="C205" i="183"/>
  <c r="E201" i="183"/>
  <c r="D201" i="183"/>
  <c r="C201" i="183"/>
  <c r="E200" i="183"/>
  <c r="D200" i="183"/>
  <c r="C200" i="183"/>
  <c r="E199" i="183"/>
  <c r="D199" i="183"/>
  <c r="C199" i="183"/>
  <c r="E198" i="183"/>
  <c r="D198" i="183"/>
  <c r="C198" i="183"/>
  <c r="E197" i="183"/>
  <c r="D197" i="183"/>
  <c r="C197" i="183"/>
  <c r="E196" i="183"/>
  <c r="D196" i="183"/>
  <c r="C196" i="183"/>
  <c r="E195" i="183"/>
  <c r="D195" i="183"/>
  <c r="C195" i="183"/>
  <c r="E194" i="183"/>
  <c r="D194" i="183"/>
  <c r="C194" i="183"/>
  <c r="E193" i="183"/>
  <c r="D193" i="183"/>
  <c r="C193" i="183"/>
  <c r="E192" i="183"/>
  <c r="D192" i="183"/>
  <c r="C192" i="183"/>
  <c r="E191" i="183"/>
  <c r="D191" i="183"/>
  <c r="C191" i="183"/>
  <c r="E190" i="183"/>
  <c r="D190" i="183"/>
  <c r="C190" i="183"/>
  <c r="E189" i="183"/>
  <c r="D189" i="183"/>
  <c r="C189" i="183"/>
  <c r="E188" i="183"/>
  <c r="D188" i="183"/>
  <c r="C188" i="183"/>
  <c r="E187" i="183"/>
  <c r="D187" i="183"/>
  <c r="C187" i="183"/>
  <c r="E186" i="183"/>
  <c r="D186" i="183"/>
  <c r="C186" i="183"/>
  <c r="E185" i="183"/>
  <c r="D185" i="183"/>
  <c r="C185" i="183"/>
  <c r="E184" i="183"/>
  <c r="D184" i="183"/>
  <c r="C184" i="183"/>
  <c r="E183" i="183"/>
  <c r="D183" i="183"/>
  <c r="C183" i="183"/>
  <c r="E182" i="183"/>
  <c r="D182" i="183"/>
  <c r="C182" i="183"/>
  <c r="E181" i="183"/>
  <c r="D181" i="183"/>
  <c r="C181" i="183"/>
  <c r="E180" i="183"/>
  <c r="D180" i="183"/>
  <c r="C180" i="183"/>
  <c r="E179" i="183"/>
  <c r="D179" i="183"/>
  <c r="C179" i="183"/>
  <c r="E178" i="183"/>
  <c r="D178" i="183"/>
  <c r="C178" i="183"/>
  <c r="E177" i="183"/>
  <c r="D177" i="183"/>
  <c r="C177" i="183"/>
  <c r="E176" i="183"/>
  <c r="D176" i="183"/>
  <c r="C176" i="183"/>
  <c r="E175" i="183"/>
  <c r="D175" i="183"/>
  <c r="C175" i="183"/>
  <c r="E174" i="183"/>
  <c r="D174" i="183"/>
  <c r="C174" i="183"/>
  <c r="E173" i="183"/>
  <c r="D173" i="183"/>
  <c r="C173" i="183"/>
  <c r="E172" i="183"/>
  <c r="D172" i="183"/>
  <c r="C172" i="183"/>
  <c r="E171" i="183"/>
  <c r="D171" i="183"/>
  <c r="C171" i="183"/>
  <c r="E170" i="183"/>
  <c r="D170" i="183"/>
  <c r="C170" i="183"/>
  <c r="E169" i="183"/>
  <c r="D169" i="183"/>
  <c r="C169" i="183"/>
  <c r="E165" i="183"/>
  <c r="D165" i="183"/>
  <c r="C165" i="183"/>
  <c r="E164" i="183"/>
  <c r="D164" i="183"/>
  <c r="C164" i="183"/>
  <c r="E163" i="183"/>
  <c r="D163" i="183"/>
  <c r="C163" i="183"/>
  <c r="E162" i="183"/>
  <c r="D162" i="183"/>
  <c r="C162" i="183"/>
  <c r="E161" i="183"/>
  <c r="D161" i="183"/>
  <c r="C161" i="183"/>
  <c r="E160" i="183"/>
  <c r="D160" i="183"/>
  <c r="C160" i="183"/>
  <c r="E158" i="183"/>
  <c r="D158" i="183"/>
  <c r="C158" i="183"/>
  <c r="E157" i="183"/>
  <c r="D157" i="183"/>
  <c r="C157" i="183"/>
  <c r="E156" i="183"/>
  <c r="D156" i="183"/>
  <c r="C156" i="183"/>
  <c r="E155" i="183"/>
  <c r="D155" i="183"/>
  <c r="C155" i="183"/>
  <c r="E154" i="183"/>
  <c r="D154" i="183"/>
  <c r="C154" i="183"/>
  <c r="E153" i="183"/>
  <c r="D153" i="183"/>
  <c r="C153" i="183"/>
  <c r="E152" i="183"/>
  <c r="D152" i="183"/>
  <c r="C152" i="183"/>
  <c r="E151" i="183"/>
  <c r="D151" i="183"/>
  <c r="C151" i="183"/>
  <c r="E150" i="183"/>
  <c r="D150" i="183"/>
  <c r="C150" i="183"/>
  <c r="E148" i="183"/>
  <c r="D148" i="183"/>
  <c r="C148" i="183"/>
  <c r="E147" i="183"/>
  <c r="D147" i="183"/>
  <c r="C147" i="183"/>
  <c r="E146" i="183"/>
  <c r="D146" i="183"/>
  <c r="C146" i="183"/>
  <c r="E145" i="183"/>
  <c r="D145" i="183"/>
  <c r="C145" i="183"/>
  <c r="E143" i="183"/>
  <c r="D143" i="183"/>
  <c r="C143" i="183"/>
  <c r="E142" i="183"/>
  <c r="D142" i="183"/>
  <c r="C142" i="183"/>
  <c r="E141" i="183"/>
  <c r="D141" i="183"/>
  <c r="C141" i="183"/>
  <c r="E140" i="183"/>
  <c r="D140" i="183"/>
  <c r="C140" i="183"/>
  <c r="E138" i="183"/>
  <c r="D138" i="183"/>
  <c r="C138" i="183"/>
  <c r="E137" i="183"/>
  <c r="D137" i="183"/>
  <c r="C137" i="183"/>
  <c r="E136" i="183"/>
  <c r="D136" i="183"/>
  <c r="C136" i="183"/>
  <c r="E135" i="183"/>
  <c r="D135" i="183"/>
  <c r="C135" i="183"/>
  <c r="E134" i="183"/>
  <c r="D134" i="183"/>
  <c r="C134" i="183"/>
  <c r="E132" i="183"/>
  <c r="D132" i="183"/>
  <c r="C132" i="183"/>
  <c r="E131" i="183"/>
  <c r="D131" i="183"/>
  <c r="C131" i="183"/>
  <c r="E130" i="183"/>
  <c r="D130" i="183"/>
  <c r="C130" i="183"/>
  <c r="E129" i="183"/>
  <c r="D129" i="183"/>
  <c r="C129" i="183"/>
  <c r="E128" i="183"/>
  <c r="D128" i="183"/>
  <c r="C128" i="183"/>
  <c r="E123" i="183"/>
  <c r="D123" i="183"/>
  <c r="C123" i="183"/>
  <c r="E122" i="183"/>
  <c r="D122" i="183"/>
  <c r="C122" i="183"/>
  <c r="E121" i="183"/>
  <c r="D121" i="183"/>
  <c r="C121" i="183"/>
  <c r="E120" i="183"/>
  <c r="D120" i="183"/>
  <c r="C120" i="183"/>
  <c r="E119" i="183"/>
  <c r="D119" i="183"/>
  <c r="C119" i="183"/>
  <c r="E115" i="183"/>
  <c r="D115" i="183"/>
  <c r="C115" i="183"/>
  <c r="E114" i="183"/>
  <c r="D114" i="183"/>
  <c r="C114" i="183"/>
  <c r="E113" i="183"/>
  <c r="D113" i="183"/>
  <c r="C113" i="183"/>
  <c r="E112" i="183"/>
  <c r="D112" i="183"/>
  <c r="C112" i="183"/>
  <c r="E111" i="183"/>
  <c r="D111" i="183"/>
  <c r="C111" i="183"/>
  <c r="E110" i="183"/>
  <c r="D110" i="183"/>
  <c r="C110" i="183"/>
  <c r="E106" i="183"/>
  <c r="D106" i="183"/>
  <c r="C106" i="183"/>
  <c r="E105" i="183"/>
  <c r="D105" i="183"/>
  <c r="C105" i="183"/>
  <c r="E104" i="183"/>
  <c r="D104" i="183"/>
  <c r="C104" i="183"/>
  <c r="E103" i="183"/>
  <c r="D103" i="183"/>
  <c r="C103" i="183"/>
  <c r="E102" i="183"/>
  <c r="D102" i="183"/>
  <c r="C102" i="183"/>
  <c r="E101" i="183"/>
  <c r="D101" i="183"/>
  <c r="C101" i="183"/>
  <c r="E97" i="183"/>
  <c r="D97" i="183"/>
  <c r="C97" i="183"/>
  <c r="E96" i="183"/>
  <c r="D96" i="183"/>
  <c r="C96" i="183"/>
  <c r="E95" i="183"/>
  <c r="D95" i="183"/>
  <c r="C95" i="183"/>
  <c r="E94" i="183"/>
  <c r="D94" i="183"/>
  <c r="C94" i="183"/>
  <c r="E93" i="183"/>
  <c r="D93" i="183"/>
  <c r="C93" i="183"/>
  <c r="E92" i="183"/>
  <c r="D92" i="183"/>
  <c r="C92" i="183"/>
  <c r="E91" i="183"/>
  <c r="D91" i="183"/>
  <c r="C91" i="183"/>
  <c r="E90" i="183"/>
  <c r="D90" i="183"/>
  <c r="C90" i="183"/>
  <c r="E89" i="183"/>
  <c r="D89" i="183"/>
  <c r="C89" i="183"/>
  <c r="E88" i="183"/>
  <c r="D88" i="183"/>
  <c r="C88" i="183"/>
  <c r="E87" i="183"/>
  <c r="D87" i="183"/>
  <c r="C87" i="183"/>
  <c r="E83" i="183"/>
  <c r="D83" i="183"/>
  <c r="C83" i="183"/>
  <c r="E82" i="183"/>
  <c r="D82" i="183"/>
  <c r="C82" i="183"/>
  <c r="E81" i="183"/>
  <c r="D81" i="183"/>
  <c r="C81" i="183"/>
  <c r="E80" i="183"/>
  <c r="D80" i="183"/>
  <c r="C80" i="183"/>
  <c r="E79" i="183"/>
  <c r="D79" i="183"/>
  <c r="C79" i="183"/>
  <c r="E78" i="183"/>
  <c r="D78" i="183"/>
  <c r="C78" i="183"/>
  <c r="E77" i="183"/>
  <c r="D77" i="183"/>
  <c r="C77" i="183"/>
  <c r="E76" i="183"/>
  <c r="D76" i="183"/>
  <c r="C76" i="183"/>
  <c r="E75" i="183"/>
  <c r="D75" i="183"/>
  <c r="C75" i="183"/>
  <c r="E74" i="183"/>
  <c r="D74" i="183"/>
  <c r="C74" i="183"/>
  <c r="E73" i="183"/>
  <c r="D73" i="183"/>
  <c r="C73" i="183"/>
  <c r="E72" i="183"/>
  <c r="D72" i="183"/>
  <c r="C72" i="183"/>
  <c r="E71" i="183"/>
  <c r="D71" i="183"/>
  <c r="C71" i="183"/>
  <c r="E70" i="183"/>
  <c r="D70" i="183"/>
  <c r="C70" i="183"/>
  <c r="E69" i="183"/>
  <c r="D69" i="183"/>
  <c r="C69" i="183"/>
  <c r="E65" i="183"/>
  <c r="D65" i="183"/>
  <c r="C65" i="183"/>
  <c r="E64" i="183"/>
  <c r="D64" i="183"/>
  <c r="C64" i="183"/>
  <c r="E63" i="183"/>
  <c r="D63" i="183"/>
  <c r="C63" i="183"/>
  <c r="E62" i="183"/>
  <c r="D62" i="183"/>
  <c r="C62" i="183"/>
  <c r="E61" i="183"/>
  <c r="D61" i="183"/>
  <c r="C61" i="183"/>
  <c r="E60" i="183"/>
  <c r="D60" i="183"/>
  <c r="C60" i="183"/>
  <c r="E59" i="183"/>
  <c r="D59" i="183"/>
  <c r="C59" i="183"/>
  <c r="E58" i="183"/>
  <c r="D58" i="183"/>
  <c r="C58" i="183"/>
  <c r="E57" i="183"/>
  <c r="D57" i="183"/>
  <c r="C57" i="183"/>
  <c r="E56" i="183"/>
  <c r="D56" i="183"/>
  <c r="C56" i="183"/>
  <c r="E55" i="183"/>
  <c r="D55" i="183"/>
  <c r="C55" i="183"/>
  <c r="E54" i="183"/>
  <c r="D54" i="183"/>
  <c r="C54" i="183"/>
  <c r="E53" i="183"/>
  <c r="D53" i="183"/>
  <c r="C53" i="183"/>
  <c r="E52" i="183"/>
  <c r="D52" i="183"/>
  <c r="C52" i="183"/>
  <c r="E51" i="183"/>
  <c r="D51" i="183"/>
  <c r="C51" i="183"/>
  <c r="E50" i="183"/>
  <c r="D50" i="183"/>
  <c r="C50" i="183"/>
  <c r="E49" i="183"/>
  <c r="D49" i="183"/>
  <c r="C49" i="183"/>
  <c r="E48" i="183"/>
  <c r="D48" i="183"/>
  <c r="C48" i="183"/>
  <c r="E47" i="183"/>
  <c r="D47" i="183"/>
  <c r="C47" i="183"/>
  <c r="E46" i="183"/>
  <c r="D46" i="183"/>
  <c r="C46" i="183"/>
  <c r="E45" i="183"/>
  <c r="D45" i="183"/>
  <c r="C45" i="183"/>
  <c r="E44" i="183"/>
  <c r="D44" i="183"/>
  <c r="C44" i="183"/>
  <c r="E43" i="183"/>
  <c r="D43" i="183"/>
  <c r="C43" i="183"/>
  <c r="E42" i="183"/>
  <c r="D42" i="183"/>
  <c r="C42" i="183"/>
  <c r="E41" i="183"/>
  <c r="D41" i="183"/>
  <c r="C41" i="183"/>
  <c r="E40" i="183"/>
  <c r="D40" i="183"/>
  <c r="C40" i="183"/>
  <c r="E39" i="183"/>
  <c r="D39" i="183"/>
  <c r="C39" i="183"/>
  <c r="E38" i="183"/>
  <c r="D38" i="183"/>
  <c r="C38" i="183"/>
  <c r="E37" i="183"/>
  <c r="D37" i="183"/>
  <c r="C37" i="183"/>
  <c r="E36" i="183"/>
  <c r="D36" i="183"/>
  <c r="C36" i="183"/>
  <c r="E35" i="183"/>
  <c r="D35" i="183"/>
  <c r="C35" i="183"/>
  <c r="E34" i="183"/>
  <c r="D34" i="183"/>
  <c r="C34" i="183"/>
  <c r="E33" i="183"/>
  <c r="D33" i="183"/>
  <c r="C33" i="183"/>
  <c r="E32" i="183"/>
  <c r="D32" i="183"/>
  <c r="C32" i="183"/>
  <c r="E31" i="183"/>
  <c r="D31" i="183"/>
  <c r="C31" i="183"/>
  <c r="E30" i="183"/>
  <c r="D30" i="183"/>
  <c r="C30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C4" i="183"/>
  <c r="C3" i="183"/>
  <c r="F12" i="183" l="1"/>
  <c r="I12" i="183" s="1"/>
  <c r="D26" i="183"/>
  <c r="C26" i="183"/>
  <c r="D84" i="183"/>
  <c r="C98" i="183"/>
  <c r="C166" i="183"/>
  <c r="D166" i="183"/>
  <c r="D202" i="183"/>
  <c r="C238" i="183"/>
  <c r="E84" i="183"/>
  <c r="D98" i="183"/>
  <c r="C107" i="183"/>
  <c r="E107" i="183"/>
  <c r="E166" i="183"/>
  <c r="E202" i="183"/>
  <c r="C233" i="183"/>
  <c r="E98" i="183"/>
  <c r="D107" i="183"/>
  <c r="D116" i="183"/>
  <c r="D124" i="183"/>
  <c r="C202" i="183"/>
  <c r="C211" i="183"/>
  <c r="E211" i="183"/>
  <c r="C66" i="183"/>
  <c r="C84" i="183"/>
  <c r="C116" i="183"/>
  <c r="E116" i="183"/>
  <c r="E124" i="183"/>
  <c r="C124" i="183"/>
  <c r="D211" i="183"/>
  <c r="D66" i="183"/>
  <c r="E66" i="183"/>
  <c r="D213" i="183" l="1"/>
  <c r="D220" i="183" s="1"/>
  <c r="C213" i="183"/>
  <c r="C217" i="183" s="1"/>
  <c r="E213" i="183"/>
  <c r="E220" i="183" s="1"/>
  <c r="C220" i="183" l="1"/>
  <c r="I249" i="72"/>
  <c r="I248" i="72"/>
  <c r="I247" i="72"/>
  <c r="I246" i="72"/>
  <c r="F12" i="72"/>
  <c r="I12" i="72" s="1"/>
  <c r="C4" i="72"/>
  <c r="C3" i="72"/>
  <c r="C238" i="72" l="1"/>
  <c r="I249" i="79"/>
  <c r="I248" i="79"/>
  <c r="I247" i="79"/>
  <c r="I246" i="79"/>
  <c r="C243" i="79"/>
  <c r="C242" i="79"/>
  <c r="C241" i="79"/>
  <c r="C240" i="79"/>
  <c r="C237" i="79"/>
  <c r="C236" i="79"/>
  <c r="E233" i="79"/>
  <c r="D233" i="79"/>
  <c r="C232" i="79"/>
  <c r="C231" i="79"/>
  <c r="C230" i="79"/>
  <c r="C229" i="79"/>
  <c r="C228" i="79"/>
  <c r="C227" i="79"/>
  <c r="C226" i="79"/>
  <c r="C225" i="79"/>
  <c r="C224" i="79"/>
  <c r="C216" i="79"/>
  <c r="E210" i="79"/>
  <c r="D210" i="79"/>
  <c r="C210" i="79"/>
  <c r="E209" i="79"/>
  <c r="D209" i="79"/>
  <c r="C209" i="79"/>
  <c r="E208" i="79"/>
  <c r="D208" i="79"/>
  <c r="C208" i="79"/>
  <c r="E207" i="79"/>
  <c r="D207" i="79"/>
  <c r="C207" i="79"/>
  <c r="E206" i="79"/>
  <c r="D206" i="79"/>
  <c r="C206" i="79"/>
  <c r="E205" i="79"/>
  <c r="D205" i="79"/>
  <c r="C205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88" i="79"/>
  <c r="D188" i="79"/>
  <c r="C188" i="79"/>
  <c r="E187" i="79"/>
  <c r="D187" i="79"/>
  <c r="C187" i="79"/>
  <c r="E186" i="79"/>
  <c r="D186" i="79"/>
  <c r="C186" i="79"/>
  <c r="E185" i="79"/>
  <c r="D185" i="79"/>
  <c r="C185" i="79"/>
  <c r="E184" i="79"/>
  <c r="D184" i="79"/>
  <c r="C184" i="79"/>
  <c r="E183" i="79"/>
  <c r="D183" i="79"/>
  <c r="C183" i="79"/>
  <c r="E182" i="79"/>
  <c r="D182" i="79"/>
  <c r="C182" i="79"/>
  <c r="E181" i="79"/>
  <c r="D181" i="79"/>
  <c r="C181" i="79"/>
  <c r="E180" i="79"/>
  <c r="D180" i="79"/>
  <c r="C180" i="79"/>
  <c r="E179" i="79"/>
  <c r="D179" i="79"/>
  <c r="C179" i="79"/>
  <c r="E178" i="79"/>
  <c r="D178" i="79"/>
  <c r="C178" i="79"/>
  <c r="E177" i="79"/>
  <c r="D177" i="79"/>
  <c r="C177" i="79"/>
  <c r="E176" i="79"/>
  <c r="D176" i="79"/>
  <c r="C176" i="79"/>
  <c r="E175" i="79"/>
  <c r="D175" i="79"/>
  <c r="C175" i="79"/>
  <c r="E174" i="79"/>
  <c r="D174" i="79"/>
  <c r="C174" i="79"/>
  <c r="E173" i="79"/>
  <c r="D173" i="79"/>
  <c r="C173" i="79"/>
  <c r="E172" i="79"/>
  <c r="D172" i="79"/>
  <c r="C172" i="79"/>
  <c r="E171" i="79"/>
  <c r="D171" i="79"/>
  <c r="C171" i="79"/>
  <c r="E170" i="79"/>
  <c r="D170" i="79"/>
  <c r="C170" i="79"/>
  <c r="E169" i="79"/>
  <c r="D169" i="79"/>
  <c r="C169" i="79"/>
  <c r="E165" i="79"/>
  <c r="D165" i="79"/>
  <c r="C165" i="79"/>
  <c r="E164" i="79"/>
  <c r="D164" i="79"/>
  <c r="C164" i="79"/>
  <c r="E163" i="79"/>
  <c r="D163" i="79"/>
  <c r="C163" i="79"/>
  <c r="E162" i="79"/>
  <c r="D162" i="79"/>
  <c r="C162" i="79"/>
  <c r="E161" i="79"/>
  <c r="D161" i="79"/>
  <c r="C161" i="79"/>
  <c r="E160" i="79"/>
  <c r="D160" i="79"/>
  <c r="C160" i="79"/>
  <c r="E158" i="79"/>
  <c r="D158" i="79"/>
  <c r="C158" i="79"/>
  <c r="E157" i="79"/>
  <c r="D157" i="79"/>
  <c r="C157" i="79"/>
  <c r="E156" i="79"/>
  <c r="D156" i="79"/>
  <c r="C156" i="79"/>
  <c r="E155" i="79"/>
  <c r="D155" i="79"/>
  <c r="C155" i="79"/>
  <c r="E154" i="79"/>
  <c r="D154" i="79"/>
  <c r="C154" i="79"/>
  <c r="E153" i="79"/>
  <c r="D153" i="79"/>
  <c r="C153" i="79"/>
  <c r="E152" i="79"/>
  <c r="D152" i="79"/>
  <c r="C152" i="79"/>
  <c r="E151" i="79"/>
  <c r="D151" i="79"/>
  <c r="C151" i="79"/>
  <c r="E150" i="79"/>
  <c r="D150" i="79"/>
  <c r="C150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3" i="79"/>
  <c r="D143" i="79"/>
  <c r="C143" i="79"/>
  <c r="E142" i="79"/>
  <c r="D142" i="79"/>
  <c r="C142" i="79"/>
  <c r="E141" i="79"/>
  <c r="D141" i="79"/>
  <c r="C141" i="79"/>
  <c r="E140" i="79"/>
  <c r="D140" i="79"/>
  <c r="C140" i="79"/>
  <c r="E138" i="79"/>
  <c r="D138" i="79"/>
  <c r="C138" i="79"/>
  <c r="E137" i="79"/>
  <c r="D137" i="79"/>
  <c r="C137" i="79"/>
  <c r="E136" i="79"/>
  <c r="D136" i="79"/>
  <c r="C136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3" i="79"/>
  <c r="D123" i="79"/>
  <c r="C123" i="79"/>
  <c r="E122" i="79"/>
  <c r="D122" i="79"/>
  <c r="C122" i="79"/>
  <c r="E121" i="79"/>
  <c r="D121" i="79"/>
  <c r="C121" i="79"/>
  <c r="E120" i="79"/>
  <c r="D120" i="79"/>
  <c r="C120" i="79"/>
  <c r="E119" i="79"/>
  <c r="D119" i="79"/>
  <c r="C119" i="79"/>
  <c r="E115" i="79"/>
  <c r="D115" i="79"/>
  <c r="C115" i="79"/>
  <c r="E114" i="79"/>
  <c r="D114" i="79"/>
  <c r="C114" i="79"/>
  <c r="E113" i="79"/>
  <c r="D113" i="79"/>
  <c r="C113" i="79"/>
  <c r="E112" i="79"/>
  <c r="D112" i="79"/>
  <c r="C112" i="79"/>
  <c r="E111" i="79"/>
  <c r="D111" i="79"/>
  <c r="C111" i="79"/>
  <c r="E110" i="79"/>
  <c r="D110" i="79"/>
  <c r="C110" i="79"/>
  <c r="E106" i="79"/>
  <c r="D106" i="79"/>
  <c r="C106" i="79"/>
  <c r="E105" i="79"/>
  <c r="D105" i="79"/>
  <c r="C105" i="79"/>
  <c r="E104" i="79"/>
  <c r="D104" i="79"/>
  <c r="C104" i="79"/>
  <c r="E103" i="79"/>
  <c r="D103" i="79"/>
  <c r="C103" i="79"/>
  <c r="E102" i="79"/>
  <c r="D102" i="79"/>
  <c r="C102" i="79"/>
  <c r="E101" i="79"/>
  <c r="D101" i="79"/>
  <c r="C101" i="79"/>
  <c r="E97" i="79"/>
  <c r="D97" i="79"/>
  <c r="C97" i="79"/>
  <c r="E96" i="79"/>
  <c r="D96" i="79"/>
  <c r="C96" i="79"/>
  <c r="E95" i="79"/>
  <c r="D95" i="79"/>
  <c r="C95" i="79"/>
  <c r="E94" i="79"/>
  <c r="D94" i="79"/>
  <c r="C94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87" i="79"/>
  <c r="D87" i="79"/>
  <c r="C87" i="79"/>
  <c r="E83" i="79"/>
  <c r="D83" i="79"/>
  <c r="C83" i="79"/>
  <c r="E82" i="79"/>
  <c r="D82" i="79"/>
  <c r="C82" i="79"/>
  <c r="E81" i="79"/>
  <c r="D81" i="79"/>
  <c r="C81" i="79"/>
  <c r="E80" i="79"/>
  <c r="D80" i="79"/>
  <c r="C80" i="79"/>
  <c r="E79" i="79"/>
  <c r="D79" i="79"/>
  <c r="C79" i="79"/>
  <c r="E78" i="79"/>
  <c r="D78" i="79"/>
  <c r="C78" i="79"/>
  <c r="E77" i="79"/>
  <c r="D77" i="79"/>
  <c r="C77" i="79"/>
  <c r="E76" i="79"/>
  <c r="D76" i="79"/>
  <c r="C76" i="79"/>
  <c r="E75" i="79"/>
  <c r="D75" i="79"/>
  <c r="C75" i="79"/>
  <c r="E74" i="79"/>
  <c r="D74" i="79"/>
  <c r="C74" i="79"/>
  <c r="E73" i="79"/>
  <c r="D73" i="79"/>
  <c r="C73" i="79"/>
  <c r="E72" i="79"/>
  <c r="D72" i="79"/>
  <c r="C72" i="79"/>
  <c r="E71" i="79"/>
  <c r="D71" i="79"/>
  <c r="C71" i="79"/>
  <c r="E70" i="79"/>
  <c r="C70" i="79"/>
  <c r="E69" i="79"/>
  <c r="C69" i="79"/>
  <c r="E65" i="79"/>
  <c r="D65" i="79"/>
  <c r="C65" i="79"/>
  <c r="E64" i="79"/>
  <c r="D64" i="79"/>
  <c r="C64" i="79"/>
  <c r="E63" i="79"/>
  <c r="D63" i="79"/>
  <c r="C63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53" i="79"/>
  <c r="D53" i="79"/>
  <c r="C53" i="79"/>
  <c r="E52" i="79"/>
  <c r="D52" i="79"/>
  <c r="C52" i="79"/>
  <c r="E51" i="79"/>
  <c r="D51" i="79"/>
  <c r="C51" i="79"/>
  <c r="E50" i="79"/>
  <c r="D50" i="79"/>
  <c r="C50" i="79"/>
  <c r="E49" i="79"/>
  <c r="D49" i="79"/>
  <c r="C49" i="79"/>
  <c r="E48" i="79"/>
  <c r="D48" i="79"/>
  <c r="C48" i="79"/>
  <c r="E47" i="79"/>
  <c r="D47" i="79"/>
  <c r="C47" i="79"/>
  <c r="E46" i="79"/>
  <c r="D46" i="79"/>
  <c r="C46" i="79"/>
  <c r="E45" i="79"/>
  <c r="D45" i="79"/>
  <c r="C45" i="79"/>
  <c r="E44" i="79"/>
  <c r="D44" i="79"/>
  <c r="C44" i="79"/>
  <c r="E43" i="79"/>
  <c r="D43" i="79"/>
  <c r="C43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8" i="79"/>
  <c r="D38" i="79"/>
  <c r="C38" i="79"/>
  <c r="E37" i="79"/>
  <c r="D37" i="79"/>
  <c r="C37" i="79"/>
  <c r="E36" i="79"/>
  <c r="D36" i="79"/>
  <c r="C36" i="79"/>
  <c r="E35" i="79"/>
  <c r="D35" i="79"/>
  <c r="C35" i="79"/>
  <c r="E34" i="79"/>
  <c r="D34" i="79"/>
  <c r="C34" i="79"/>
  <c r="E33" i="79"/>
  <c r="D33" i="79"/>
  <c r="C33" i="79"/>
  <c r="E32" i="79"/>
  <c r="D32" i="79"/>
  <c r="C32" i="79"/>
  <c r="E31" i="79"/>
  <c r="D31" i="79"/>
  <c r="C31" i="79"/>
  <c r="E30" i="79"/>
  <c r="D30" i="79"/>
  <c r="C30" i="79"/>
  <c r="D25" i="79"/>
  <c r="C25" i="79"/>
  <c r="D24" i="79"/>
  <c r="C24" i="79"/>
  <c r="D23" i="79"/>
  <c r="C23" i="79"/>
  <c r="D22" i="79"/>
  <c r="C22" i="79"/>
  <c r="D21" i="79"/>
  <c r="C21" i="79"/>
  <c r="D20" i="79"/>
  <c r="C20" i="79"/>
  <c r="D19" i="79"/>
  <c r="C19" i="79"/>
  <c r="D18" i="79"/>
  <c r="C18" i="79"/>
  <c r="D17" i="79"/>
  <c r="C17" i="79"/>
  <c r="D16" i="79"/>
  <c r="C16" i="79"/>
  <c r="D15" i="79"/>
  <c r="C15" i="79"/>
  <c r="D14" i="79"/>
  <c r="C14" i="79"/>
  <c r="D13" i="79"/>
  <c r="C13" i="79"/>
  <c r="D12" i="79"/>
  <c r="C12" i="79"/>
  <c r="C4" i="79"/>
  <c r="C3" i="79"/>
  <c r="D26" i="79" l="1"/>
  <c r="F12" i="79"/>
  <c r="I12" i="79" s="1"/>
  <c r="C26" i="79"/>
  <c r="C238" i="79"/>
  <c r="C84" i="79"/>
  <c r="D84" i="79"/>
  <c r="E124" i="79"/>
  <c r="C202" i="79"/>
  <c r="D202" i="79"/>
  <c r="C98" i="79"/>
  <c r="D98" i="79"/>
  <c r="C166" i="79"/>
  <c r="D166" i="79"/>
  <c r="E84" i="79"/>
  <c r="C107" i="79"/>
  <c r="D107" i="79"/>
  <c r="E107" i="79"/>
  <c r="E116" i="79"/>
  <c r="C124" i="79"/>
  <c r="D124" i="79"/>
  <c r="E202" i="79"/>
  <c r="E98" i="79"/>
  <c r="C116" i="79"/>
  <c r="D116" i="79"/>
  <c r="E166" i="79"/>
  <c r="C211" i="79"/>
  <c r="D211" i="79"/>
  <c r="E211" i="79"/>
  <c r="C233" i="79"/>
  <c r="C66" i="79"/>
  <c r="D66" i="79"/>
  <c r="E66" i="79"/>
  <c r="D213" i="79" l="1"/>
  <c r="D220" i="79" s="1"/>
  <c r="C213" i="79"/>
  <c r="C217" i="79" s="1"/>
  <c r="E213" i="79"/>
  <c r="E220" i="79" s="1"/>
  <c r="C220" i="79" l="1"/>
  <c r="I249" i="32"/>
  <c r="I248" i="32"/>
  <c r="I247" i="32"/>
  <c r="I246" i="32"/>
  <c r="C243" i="32"/>
  <c r="C242" i="32"/>
  <c r="C241" i="32"/>
  <c r="C240" i="32"/>
  <c r="C237" i="32"/>
  <c r="C236" i="32"/>
  <c r="E233" i="32"/>
  <c r="D233" i="32"/>
  <c r="C232" i="32"/>
  <c r="C231" i="32"/>
  <c r="C230" i="32"/>
  <c r="C229" i="32"/>
  <c r="C228" i="32"/>
  <c r="C227" i="32"/>
  <c r="C226" i="32"/>
  <c r="C225" i="32"/>
  <c r="C224" i="32"/>
  <c r="C216" i="32"/>
  <c r="E210" i="32"/>
  <c r="D210" i="32"/>
  <c r="C210" i="32"/>
  <c r="E209" i="32"/>
  <c r="D209" i="32"/>
  <c r="C209" i="32"/>
  <c r="E208" i="32"/>
  <c r="D208" i="32"/>
  <c r="C208" i="32"/>
  <c r="E207" i="32"/>
  <c r="D207" i="32"/>
  <c r="C207" i="32"/>
  <c r="E206" i="32"/>
  <c r="D206" i="32"/>
  <c r="C206" i="32"/>
  <c r="E205" i="32"/>
  <c r="D205" i="32"/>
  <c r="C205" i="32"/>
  <c r="E201" i="32"/>
  <c r="D201" i="32"/>
  <c r="C201" i="32"/>
  <c r="E200" i="32"/>
  <c r="D200" i="32"/>
  <c r="C200" i="32"/>
  <c r="E199" i="32"/>
  <c r="D199" i="32"/>
  <c r="C199" i="32"/>
  <c r="E198" i="32"/>
  <c r="D198" i="32"/>
  <c r="C198" i="32"/>
  <c r="E197" i="32"/>
  <c r="D197" i="32"/>
  <c r="C197" i="32"/>
  <c r="E196" i="32"/>
  <c r="D196" i="32"/>
  <c r="C196" i="32"/>
  <c r="E195" i="32"/>
  <c r="D195" i="32"/>
  <c r="C195" i="32"/>
  <c r="E194" i="32"/>
  <c r="D194" i="32"/>
  <c r="C194" i="32"/>
  <c r="E193" i="32"/>
  <c r="D193" i="32"/>
  <c r="C193" i="32"/>
  <c r="E192" i="32"/>
  <c r="D192" i="32"/>
  <c r="C192" i="32"/>
  <c r="E191" i="32"/>
  <c r="D191" i="32"/>
  <c r="C191" i="32"/>
  <c r="E190" i="32"/>
  <c r="D190" i="32"/>
  <c r="C190" i="32"/>
  <c r="E189" i="32"/>
  <c r="D189" i="32"/>
  <c r="C189" i="32"/>
  <c r="E188" i="32"/>
  <c r="D188" i="32"/>
  <c r="C188" i="32"/>
  <c r="E187" i="32"/>
  <c r="D187" i="32"/>
  <c r="C187" i="32"/>
  <c r="E186" i="32"/>
  <c r="D186" i="32"/>
  <c r="C186" i="32"/>
  <c r="E185" i="32"/>
  <c r="D185" i="32"/>
  <c r="C185" i="32"/>
  <c r="E184" i="32"/>
  <c r="D184" i="32"/>
  <c r="C184" i="32"/>
  <c r="E183" i="32"/>
  <c r="D183" i="32"/>
  <c r="C183" i="32"/>
  <c r="E182" i="32"/>
  <c r="D182" i="32"/>
  <c r="C182" i="32"/>
  <c r="E181" i="32"/>
  <c r="D181" i="32"/>
  <c r="C181" i="32"/>
  <c r="E180" i="32"/>
  <c r="D180" i="32"/>
  <c r="C180" i="32"/>
  <c r="E179" i="32"/>
  <c r="D179" i="32"/>
  <c r="C179" i="32"/>
  <c r="E178" i="32"/>
  <c r="D178" i="32"/>
  <c r="C178" i="32"/>
  <c r="E177" i="32"/>
  <c r="D177" i="32"/>
  <c r="C177" i="32"/>
  <c r="E176" i="32"/>
  <c r="D176" i="32"/>
  <c r="C176" i="32"/>
  <c r="E175" i="32"/>
  <c r="D175" i="32"/>
  <c r="C175" i="32"/>
  <c r="E174" i="32"/>
  <c r="D174" i="32"/>
  <c r="C174" i="32"/>
  <c r="E173" i="32"/>
  <c r="D173" i="32"/>
  <c r="C173" i="32"/>
  <c r="E172" i="32"/>
  <c r="D172" i="32"/>
  <c r="C172" i="32"/>
  <c r="E171" i="32"/>
  <c r="D171" i="32"/>
  <c r="C171" i="32"/>
  <c r="E170" i="32"/>
  <c r="D170" i="32"/>
  <c r="C170" i="32"/>
  <c r="E169" i="32"/>
  <c r="D169" i="32"/>
  <c r="C169" i="32"/>
  <c r="E165" i="32"/>
  <c r="D165" i="32"/>
  <c r="C165" i="32"/>
  <c r="E164" i="32"/>
  <c r="D164" i="32"/>
  <c r="C164" i="32"/>
  <c r="E163" i="32"/>
  <c r="D163" i="32"/>
  <c r="C163" i="32"/>
  <c r="E162" i="32"/>
  <c r="D162" i="32"/>
  <c r="C162" i="32"/>
  <c r="E161" i="32"/>
  <c r="D161" i="32"/>
  <c r="C161" i="32"/>
  <c r="E160" i="32"/>
  <c r="D160" i="32"/>
  <c r="C160" i="32"/>
  <c r="E158" i="32"/>
  <c r="D158" i="32"/>
  <c r="C158" i="32"/>
  <c r="E157" i="32"/>
  <c r="D157" i="32"/>
  <c r="C157" i="32"/>
  <c r="E156" i="32"/>
  <c r="D156" i="32"/>
  <c r="C156" i="32"/>
  <c r="E155" i="32"/>
  <c r="D155" i="32"/>
  <c r="C155" i="32"/>
  <c r="E154" i="32"/>
  <c r="D154" i="32"/>
  <c r="C154" i="32"/>
  <c r="E153" i="32"/>
  <c r="D153" i="32"/>
  <c r="C153" i="32"/>
  <c r="E152" i="32"/>
  <c r="D152" i="32"/>
  <c r="C152" i="32"/>
  <c r="E151" i="32"/>
  <c r="D151" i="32"/>
  <c r="C151" i="32"/>
  <c r="E150" i="32"/>
  <c r="D150" i="32"/>
  <c r="C150" i="32"/>
  <c r="E148" i="32"/>
  <c r="D148" i="32"/>
  <c r="C148" i="32"/>
  <c r="E147" i="32"/>
  <c r="D147" i="32"/>
  <c r="C147" i="32"/>
  <c r="E146" i="32"/>
  <c r="D146" i="32"/>
  <c r="C146" i="32"/>
  <c r="E145" i="32"/>
  <c r="D145" i="32"/>
  <c r="C145" i="32"/>
  <c r="E143" i="32"/>
  <c r="D143" i="32"/>
  <c r="C143" i="32"/>
  <c r="E142" i="32"/>
  <c r="D142" i="32"/>
  <c r="C142" i="32"/>
  <c r="E141" i="32"/>
  <c r="D141" i="32"/>
  <c r="C141" i="32"/>
  <c r="E140" i="32"/>
  <c r="D140" i="32"/>
  <c r="C140" i="32"/>
  <c r="E138" i="32"/>
  <c r="D138" i="32"/>
  <c r="C138" i="32"/>
  <c r="E137" i="32"/>
  <c r="D137" i="32"/>
  <c r="C137" i="32"/>
  <c r="E136" i="32"/>
  <c r="D136" i="32"/>
  <c r="C136" i="32"/>
  <c r="E135" i="32"/>
  <c r="D135" i="32"/>
  <c r="C135" i="32"/>
  <c r="E134" i="32"/>
  <c r="D134" i="32"/>
  <c r="C134" i="32"/>
  <c r="E132" i="32"/>
  <c r="D132" i="32"/>
  <c r="C132" i="32"/>
  <c r="E131" i="32"/>
  <c r="D131" i="32"/>
  <c r="C131" i="32"/>
  <c r="E130" i="32"/>
  <c r="D130" i="32"/>
  <c r="C130" i="32"/>
  <c r="E129" i="32"/>
  <c r="D129" i="32"/>
  <c r="C129" i="32"/>
  <c r="E128" i="32"/>
  <c r="D128" i="32"/>
  <c r="C128" i="32"/>
  <c r="E123" i="32"/>
  <c r="D123" i="32"/>
  <c r="C123" i="32"/>
  <c r="E122" i="32"/>
  <c r="D122" i="32"/>
  <c r="C122" i="32"/>
  <c r="E121" i="32"/>
  <c r="D121" i="32"/>
  <c r="C121" i="32"/>
  <c r="E120" i="32"/>
  <c r="D120" i="32"/>
  <c r="C120" i="32"/>
  <c r="E119" i="32"/>
  <c r="D119" i="32"/>
  <c r="C119" i="32"/>
  <c r="E115" i="32"/>
  <c r="D115" i="32"/>
  <c r="C115" i="32"/>
  <c r="E114" i="32"/>
  <c r="D114" i="32"/>
  <c r="C114" i="32"/>
  <c r="E113" i="32"/>
  <c r="D113" i="32"/>
  <c r="C113" i="32"/>
  <c r="E112" i="32"/>
  <c r="D112" i="32"/>
  <c r="C112" i="32"/>
  <c r="E111" i="32"/>
  <c r="D111" i="32"/>
  <c r="C111" i="32"/>
  <c r="E110" i="32"/>
  <c r="D110" i="32"/>
  <c r="C110" i="32"/>
  <c r="E106" i="32"/>
  <c r="D106" i="32"/>
  <c r="C106" i="32"/>
  <c r="E105" i="32"/>
  <c r="D105" i="32"/>
  <c r="C105" i="32"/>
  <c r="E104" i="32"/>
  <c r="D104" i="32"/>
  <c r="C104" i="32"/>
  <c r="E103" i="32"/>
  <c r="D103" i="32"/>
  <c r="C103" i="32"/>
  <c r="E102" i="32"/>
  <c r="D102" i="32"/>
  <c r="C102" i="32"/>
  <c r="E101" i="32"/>
  <c r="D101" i="32"/>
  <c r="C101" i="32"/>
  <c r="E97" i="32"/>
  <c r="D97" i="32"/>
  <c r="C97" i="32"/>
  <c r="E96" i="32"/>
  <c r="D96" i="32"/>
  <c r="C96" i="32"/>
  <c r="E95" i="32"/>
  <c r="D95" i="32"/>
  <c r="C95" i="32"/>
  <c r="E94" i="32"/>
  <c r="D94" i="32"/>
  <c r="C94" i="32"/>
  <c r="E93" i="32"/>
  <c r="D93" i="32"/>
  <c r="C93" i="32"/>
  <c r="E92" i="32"/>
  <c r="D92" i="32"/>
  <c r="C92" i="32"/>
  <c r="E91" i="32"/>
  <c r="D91" i="32"/>
  <c r="C91" i="32"/>
  <c r="E90" i="32"/>
  <c r="D90" i="32"/>
  <c r="C90" i="32"/>
  <c r="E89" i="32"/>
  <c r="D89" i="32"/>
  <c r="C89" i="32"/>
  <c r="E88" i="32"/>
  <c r="D88" i="32"/>
  <c r="C88" i="32"/>
  <c r="E87" i="32"/>
  <c r="D87" i="32"/>
  <c r="C87" i="32"/>
  <c r="E83" i="32"/>
  <c r="D83" i="32"/>
  <c r="C83" i="32"/>
  <c r="E82" i="32"/>
  <c r="D82" i="32"/>
  <c r="C82" i="32"/>
  <c r="E81" i="32"/>
  <c r="D81" i="32"/>
  <c r="C81" i="32"/>
  <c r="E80" i="32"/>
  <c r="D80" i="32"/>
  <c r="C80" i="32"/>
  <c r="E79" i="32"/>
  <c r="D79" i="32"/>
  <c r="C79" i="32"/>
  <c r="E78" i="32"/>
  <c r="D78" i="32"/>
  <c r="C78" i="32"/>
  <c r="E77" i="32"/>
  <c r="D77" i="32"/>
  <c r="C77" i="32"/>
  <c r="E76" i="32"/>
  <c r="D76" i="32"/>
  <c r="C76" i="32"/>
  <c r="E75" i="32"/>
  <c r="D75" i="32"/>
  <c r="C75" i="32"/>
  <c r="E74" i="32"/>
  <c r="D74" i="32"/>
  <c r="C74" i="32"/>
  <c r="E73" i="32"/>
  <c r="D73" i="32"/>
  <c r="C73" i="32"/>
  <c r="E72" i="32"/>
  <c r="D72" i="32"/>
  <c r="C72" i="32"/>
  <c r="E71" i="32"/>
  <c r="D71" i="32"/>
  <c r="C71" i="32"/>
  <c r="E70" i="32"/>
  <c r="C70" i="32"/>
  <c r="E69" i="32"/>
  <c r="C69" i="32"/>
  <c r="E65" i="32"/>
  <c r="D65" i="32"/>
  <c r="C65" i="32"/>
  <c r="E64" i="32"/>
  <c r="D64" i="32"/>
  <c r="C64" i="32"/>
  <c r="E63" i="32"/>
  <c r="D63" i="32"/>
  <c r="C63" i="32"/>
  <c r="E62" i="32"/>
  <c r="D62" i="32"/>
  <c r="C62" i="32"/>
  <c r="E61" i="32"/>
  <c r="D61" i="32"/>
  <c r="C61" i="32"/>
  <c r="E60" i="32"/>
  <c r="D60" i="32"/>
  <c r="C60" i="32"/>
  <c r="E59" i="32"/>
  <c r="D59" i="32"/>
  <c r="C59" i="32"/>
  <c r="E58" i="32"/>
  <c r="D58" i="32"/>
  <c r="C58" i="32"/>
  <c r="E57" i="32"/>
  <c r="D57" i="32"/>
  <c r="C57" i="32"/>
  <c r="E56" i="32"/>
  <c r="D56" i="32"/>
  <c r="C56" i="32"/>
  <c r="E55" i="32"/>
  <c r="D55" i="32"/>
  <c r="C55" i="32"/>
  <c r="E54" i="32"/>
  <c r="D54" i="32"/>
  <c r="C54" i="32"/>
  <c r="E53" i="32"/>
  <c r="D53" i="32"/>
  <c r="C53" i="32"/>
  <c r="E52" i="32"/>
  <c r="D52" i="32"/>
  <c r="C52" i="32"/>
  <c r="E51" i="32"/>
  <c r="D51" i="32"/>
  <c r="C51" i="32"/>
  <c r="E50" i="32"/>
  <c r="D50" i="32"/>
  <c r="C50" i="32"/>
  <c r="E49" i="32"/>
  <c r="D49" i="32"/>
  <c r="C49" i="32"/>
  <c r="E48" i="32"/>
  <c r="D48" i="32"/>
  <c r="C48" i="32"/>
  <c r="E47" i="32"/>
  <c r="D47" i="32"/>
  <c r="C47" i="32"/>
  <c r="E46" i="32"/>
  <c r="D46" i="32"/>
  <c r="C46" i="32"/>
  <c r="E45" i="32"/>
  <c r="D45" i="32"/>
  <c r="C45" i="32"/>
  <c r="E44" i="32"/>
  <c r="D44" i="32"/>
  <c r="C44" i="32"/>
  <c r="E43" i="32"/>
  <c r="D43" i="32"/>
  <c r="C43" i="32"/>
  <c r="E42" i="32"/>
  <c r="D42" i="32"/>
  <c r="C42" i="32"/>
  <c r="E41" i="32"/>
  <c r="D41" i="32"/>
  <c r="C41" i="32"/>
  <c r="E40" i="32"/>
  <c r="D40" i="32"/>
  <c r="C40" i="32"/>
  <c r="E39" i="32"/>
  <c r="D39" i="32"/>
  <c r="C39" i="32"/>
  <c r="E38" i="32"/>
  <c r="D38" i="32"/>
  <c r="C38" i="32"/>
  <c r="E37" i="32"/>
  <c r="D37" i="32"/>
  <c r="C37" i="32"/>
  <c r="E36" i="32"/>
  <c r="D36" i="32"/>
  <c r="C36" i="32"/>
  <c r="E35" i="32"/>
  <c r="D35" i="32"/>
  <c r="C35" i="32"/>
  <c r="E34" i="32"/>
  <c r="D34" i="32"/>
  <c r="C34" i="32"/>
  <c r="E33" i="32"/>
  <c r="D33" i="32"/>
  <c r="C33" i="32"/>
  <c r="E32" i="32"/>
  <c r="D32" i="32"/>
  <c r="C32" i="32"/>
  <c r="E31" i="32"/>
  <c r="D31" i="32"/>
  <c r="C31" i="32"/>
  <c r="E30" i="32"/>
  <c r="D30" i="32"/>
  <c r="C30" i="32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D15" i="32"/>
  <c r="C15" i="32"/>
  <c r="D14" i="32"/>
  <c r="C14" i="32"/>
  <c r="D13" i="32"/>
  <c r="C13" i="32"/>
  <c r="D12" i="32"/>
  <c r="C12" i="32"/>
  <c r="C4" i="32"/>
  <c r="C3" i="32"/>
  <c r="D26" i="32" l="1"/>
  <c r="F12" i="32"/>
  <c r="I12" i="32" s="1"/>
  <c r="D84" i="32"/>
  <c r="C98" i="32"/>
  <c r="D116" i="32"/>
  <c r="C238" i="32"/>
  <c r="C26" i="32"/>
  <c r="E124" i="32"/>
  <c r="C202" i="32"/>
  <c r="E84" i="32"/>
  <c r="D98" i="32"/>
  <c r="C107" i="32"/>
  <c r="E107" i="32"/>
  <c r="E116" i="32"/>
  <c r="C166" i="32"/>
  <c r="D166" i="32"/>
  <c r="D202" i="32"/>
  <c r="E98" i="32"/>
  <c r="D107" i="32"/>
  <c r="C124" i="32"/>
  <c r="E202" i="32"/>
  <c r="C233" i="32"/>
  <c r="C84" i="32"/>
  <c r="C116" i="32"/>
  <c r="D124" i="32"/>
  <c r="E166" i="32"/>
  <c r="C211" i="32"/>
  <c r="D211" i="32"/>
  <c r="E211" i="32"/>
  <c r="C66" i="32"/>
  <c r="D66" i="32"/>
  <c r="E66" i="32"/>
  <c r="E213" i="32" l="1"/>
  <c r="E220" i="32" s="1"/>
  <c r="D213" i="32"/>
  <c r="D220" i="32" s="1"/>
  <c r="C213" i="32"/>
  <c r="C217" i="32" s="1"/>
  <c r="C220" i="32" l="1"/>
  <c r="I249" i="102"/>
  <c r="I248" i="102"/>
  <c r="I247" i="102"/>
  <c r="I246" i="102"/>
  <c r="C243" i="102"/>
  <c r="C242" i="102"/>
  <c r="C241" i="102"/>
  <c r="C240" i="102"/>
  <c r="C237" i="102"/>
  <c r="C236" i="102"/>
  <c r="E233" i="102"/>
  <c r="D233" i="102"/>
  <c r="C232" i="102"/>
  <c r="C231" i="102"/>
  <c r="C230" i="102"/>
  <c r="C229" i="102"/>
  <c r="C228" i="102"/>
  <c r="C227" i="102"/>
  <c r="C226" i="102"/>
  <c r="C225" i="102"/>
  <c r="C224" i="102"/>
  <c r="C216" i="102"/>
  <c r="E210" i="102"/>
  <c r="D210" i="102"/>
  <c r="C210" i="102"/>
  <c r="E209" i="102"/>
  <c r="D209" i="102"/>
  <c r="C209" i="102"/>
  <c r="E208" i="102"/>
  <c r="D208" i="102"/>
  <c r="C208" i="102"/>
  <c r="E207" i="102"/>
  <c r="D207" i="102"/>
  <c r="C207" i="102"/>
  <c r="E206" i="102"/>
  <c r="D206" i="102"/>
  <c r="C206" i="102"/>
  <c r="E205" i="102"/>
  <c r="D205" i="102"/>
  <c r="C205" i="102"/>
  <c r="E201" i="102"/>
  <c r="D201" i="102"/>
  <c r="C201" i="102"/>
  <c r="E200" i="102"/>
  <c r="D200" i="102"/>
  <c r="C200" i="102"/>
  <c r="E199" i="102"/>
  <c r="D199" i="102"/>
  <c r="C199" i="102"/>
  <c r="E198" i="102"/>
  <c r="D198" i="102"/>
  <c r="C198" i="102"/>
  <c r="E197" i="102"/>
  <c r="D197" i="102"/>
  <c r="C197" i="102"/>
  <c r="E196" i="102"/>
  <c r="D196" i="102"/>
  <c r="C196" i="102"/>
  <c r="E195" i="102"/>
  <c r="D195" i="102"/>
  <c r="C195" i="102"/>
  <c r="E194" i="102"/>
  <c r="D194" i="102"/>
  <c r="C194" i="102"/>
  <c r="E193" i="102"/>
  <c r="D193" i="102"/>
  <c r="C193" i="102"/>
  <c r="E192" i="102"/>
  <c r="D192" i="102"/>
  <c r="C192" i="102"/>
  <c r="E191" i="102"/>
  <c r="D191" i="102"/>
  <c r="C191" i="102"/>
  <c r="E190" i="102"/>
  <c r="D190" i="102"/>
  <c r="C190" i="102"/>
  <c r="E189" i="102"/>
  <c r="D189" i="102"/>
  <c r="C189" i="102"/>
  <c r="E188" i="102"/>
  <c r="D188" i="102"/>
  <c r="C188" i="102"/>
  <c r="E187" i="102"/>
  <c r="D187" i="102"/>
  <c r="C187" i="102"/>
  <c r="E186" i="102"/>
  <c r="D186" i="102"/>
  <c r="C186" i="102"/>
  <c r="E185" i="102"/>
  <c r="D185" i="102"/>
  <c r="C185" i="102"/>
  <c r="E184" i="102"/>
  <c r="D184" i="102"/>
  <c r="C184" i="102"/>
  <c r="E183" i="102"/>
  <c r="D183" i="102"/>
  <c r="C183" i="102"/>
  <c r="E182" i="102"/>
  <c r="D182" i="102"/>
  <c r="C182" i="102"/>
  <c r="E181" i="102"/>
  <c r="D181" i="102"/>
  <c r="C181" i="102"/>
  <c r="E180" i="102"/>
  <c r="D180" i="102"/>
  <c r="C180" i="102"/>
  <c r="E179" i="102"/>
  <c r="D179" i="102"/>
  <c r="C179" i="102"/>
  <c r="E178" i="102"/>
  <c r="D178" i="102"/>
  <c r="C178" i="102"/>
  <c r="E177" i="102"/>
  <c r="D177" i="102"/>
  <c r="C177" i="102"/>
  <c r="E176" i="102"/>
  <c r="D176" i="102"/>
  <c r="C176" i="102"/>
  <c r="E175" i="102"/>
  <c r="D175" i="102"/>
  <c r="C175" i="102"/>
  <c r="E174" i="102"/>
  <c r="D174" i="102"/>
  <c r="C174" i="102"/>
  <c r="E173" i="102"/>
  <c r="D173" i="102"/>
  <c r="C173" i="102"/>
  <c r="E172" i="102"/>
  <c r="D172" i="102"/>
  <c r="C172" i="102"/>
  <c r="E171" i="102"/>
  <c r="D171" i="102"/>
  <c r="C171" i="102"/>
  <c r="E170" i="102"/>
  <c r="D170" i="102"/>
  <c r="C170" i="102"/>
  <c r="E169" i="102"/>
  <c r="D169" i="102"/>
  <c r="C169" i="102"/>
  <c r="E165" i="102"/>
  <c r="D165" i="102"/>
  <c r="C165" i="102"/>
  <c r="E164" i="102"/>
  <c r="D164" i="102"/>
  <c r="C164" i="102"/>
  <c r="E163" i="102"/>
  <c r="D163" i="102"/>
  <c r="C163" i="102"/>
  <c r="E162" i="102"/>
  <c r="D162" i="102"/>
  <c r="C162" i="102"/>
  <c r="E161" i="102"/>
  <c r="D161" i="102"/>
  <c r="C161" i="102"/>
  <c r="E160" i="102"/>
  <c r="D160" i="102"/>
  <c r="C160" i="102"/>
  <c r="E158" i="102"/>
  <c r="D158" i="102"/>
  <c r="C158" i="102"/>
  <c r="E157" i="102"/>
  <c r="D157" i="102"/>
  <c r="C157" i="102"/>
  <c r="E156" i="102"/>
  <c r="D156" i="102"/>
  <c r="C156" i="102"/>
  <c r="E155" i="102"/>
  <c r="D155" i="102"/>
  <c r="C155" i="102"/>
  <c r="E154" i="102"/>
  <c r="D154" i="102"/>
  <c r="C154" i="102"/>
  <c r="E153" i="102"/>
  <c r="D153" i="102"/>
  <c r="C153" i="102"/>
  <c r="E152" i="102"/>
  <c r="D152" i="102"/>
  <c r="C152" i="102"/>
  <c r="E151" i="102"/>
  <c r="D151" i="102"/>
  <c r="C151" i="102"/>
  <c r="E150" i="102"/>
  <c r="D150" i="102"/>
  <c r="C150" i="102"/>
  <c r="E148" i="102"/>
  <c r="D148" i="102"/>
  <c r="C148" i="102"/>
  <c r="E147" i="102"/>
  <c r="D147" i="102"/>
  <c r="C147" i="102"/>
  <c r="E146" i="102"/>
  <c r="D146" i="102"/>
  <c r="C146" i="102"/>
  <c r="E145" i="102"/>
  <c r="D145" i="102"/>
  <c r="C145" i="102"/>
  <c r="E143" i="102"/>
  <c r="D143" i="102"/>
  <c r="C143" i="102"/>
  <c r="E142" i="102"/>
  <c r="D142" i="102"/>
  <c r="C142" i="102"/>
  <c r="E141" i="102"/>
  <c r="D141" i="102"/>
  <c r="C141" i="102"/>
  <c r="E140" i="102"/>
  <c r="D140" i="102"/>
  <c r="C140" i="102"/>
  <c r="E138" i="102"/>
  <c r="D138" i="102"/>
  <c r="C138" i="102"/>
  <c r="E137" i="102"/>
  <c r="D137" i="102"/>
  <c r="C137" i="102"/>
  <c r="E136" i="102"/>
  <c r="D136" i="102"/>
  <c r="C136" i="102"/>
  <c r="E135" i="102"/>
  <c r="D135" i="102"/>
  <c r="C135" i="102"/>
  <c r="E134" i="102"/>
  <c r="D134" i="102"/>
  <c r="C134" i="102"/>
  <c r="E132" i="102"/>
  <c r="D132" i="102"/>
  <c r="C132" i="102"/>
  <c r="E131" i="102"/>
  <c r="D131" i="102"/>
  <c r="C131" i="102"/>
  <c r="E130" i="102"/>
  <c r="D130" i="102"/>
  <c r="C130" i="102"/>
  <c r="E129" i="102"/>
  <c r="D129" i="102"/>
  <c r="C129" i="102"/>
  <c r="E128" i="102"/>
  <c r="D128" i="102"/>
  <c r="C128" i="102"/>
  <c r="E123" i="102"/>
  <c r="D123" i="102"/>
  <c r="C123" i="102"/>
  <c r="E122" i="102"/>
  <c r="D122" i="102"/>
  <c r="C122" i="102"/>
  <c r="E121" i="102"/>
  <c r="D121" i="102"/>
  <c r="C121" i="102"/>
  <c r="E120" i="102"/>
  <c r="D120" i="102"/>
  <c r="C120" i="102"/>
  <c r="E119" i="102"/>
  <c r="D119" i="102"/>
  <c r="C119" i="102"/>
  <c r="E115" i="102"/>
  <c r="D115" i="102"/>
  <c r="C115" i="102"/>
  <c r="E114" i="102"/>
  <c r="D114" i="102"/>
  <c r="C114" i="102"/>
  <c r="E113" i="102"/>
  <c r="D113" i="102"/>
  <c r="C113" i="102"/>
  <c r="E112" i="102"/>
  <c r="D112" i="102"/>
  <c r="C112" i="102"/>
  <c r="E111" i="102"/>
  <c r="D111" i="102"/>
  <c r="C111" i="102"/>
  <c r="E110" i="102"/>
  <c r="D110" i="102"/>
  <c r="C110" i="102"/>
  <c r="E106" i="102"/>
  <c r="D106" i="102"/>
  <c r="C106" i="102"/>
  <c r="E105" i="102"/>
  <c r="D105" i="102"/>
  <c r="C105" i="102"/>
  <c r="E104" i="102"/>
  <c r="D104" i="102"/>
  <c r="C104" i="102"/>
  <c r="E103" i="102"/>
  <c r="D103" i="102"/>
  <c r="C103" i="102"/>
  <c r="E102" i="102"/>
  <c r="D102" i="102"/>
  <c r="C102" i="102"/>
  <c r="E101" i="102"/>
  <c r="D101" i="102"/>
  <c r="C101" i="102"/>
  <c r="E97" i="102"/>
  <c r="D97" i="102"/>
  <c r="C97" i="102"/>
  <c r="E96" i="102"/>
  <c r="D96" i="102"/>
  <c r="C96" i="102"/>
  <c r="E95" i="102"/>
  <c r="D95" i="102"/>
  <c r="C95" i="102"/>
  <c r="E94" i="102"/>
  <c r="D94" i="102"/>
  <c r="C94" i="102"/>
  <c r="E93" i="102"/>
  <c r="D93" i="102"/>
  <c r="C93" i="102"/>
  <c r="E92" i="102"/>
  <c r="D92" i="102"/>
  <c r="C92" i="102"/>
  <c r="E91" i="102"/>
  <c r="D91" i="102"/>
  <c r="C91" i="102"/>
  <c r="E90" i="102"/>
  <c r="D90" i="102"/>
  <c r="C90" i="102"/>
  <c r="E89" i="102"/>
  <c r="D89" i="102"/>
  <c r="C89" i="102"/>
  <c r="E88" i="102"/>
  <c r="D88" i="102"/>
  <c r="C88" i="102"/>
  <c r="E87" i="102"/>
  <c r="D87" i="102"/>
  <c r="C87" i="102"/>
  <c r="E83" i="102"/>
  <c r="D83" i="102"/>
  <c r="C83" i="102"/>
  <c r="E82" i="102"/>
  <c r="D82" i="102"/>
  <c r="C82" i="102"/>
  <c r="E81" i="102"/>
  <c r="D81" i="102"/>
  <c r="C81" i="102"/>
  <c r="E80" i="102"/>
  <c r="D80" i="102"/>
  <c r="C80" i="102"/>
  <c r="E79" i="102"/>
  <c r="D79" i="102"/>
  <c r="C79" i="102"/>
  <c r="E78" i="102"/>
  <c r="D78" i="102"/>
  <c r="C78" i="102"/>
  <c r="E77" i="102"/>
  <c r="D77" i="102"/>
  <c r="C77" i="102"/>
  <c r="E76" i="102"/>
  <c r="D76" i="102"/>
  <c r="C76" i="102"/>
  <c r="E75" i="102"/>
  <c r="D75" i="102"/>
  <c r="C75" i="102"/>
  <c r="E74" i="102"/>
  <c r="D74" i="102"/>
  <c r="C74" i="102"/>
  <c r="E73" i="102"/>
  <c r="D73" i="102"/>
  <c r="C73" i="102"/>
  <c r="E72" i="102"/>
  <c r="D72" i="102"/>
  <c r="C72" i="102"/>
  <c r="E71" i="102"/>
  <c r="D71" i="102"/>
  <c r="C71" i="102"/>
  <c r="E70" i="102"/>
  <c r="C70" i="102"/>
  <c r="E69" i="102"/>
  <c r="C69" i="102"/>
  <c r="E65" i="102"/>
  <c r="D65" i="102"/>
  <c r="C65" i="102"/>
  <c r="E64" i="102"/>
  <c r="D64" i="102"/>
  <c r="C64" i="102"/>
  <c r="E63" i="102"/>
  <c r="D63" i="102"/>
  <c r="C63" i="102"/>
  <c r="E62" i="102"/>
  <c r="D62" i="102"/>
  <c r="C62" i="102"/>
  <c r="E61" i="102"/>
  <c r="D61" i="102"/>
  <c r="C61" i="102"/>
  <c r="E60" i="102"/>
  <c r="D60" i="102"/>
  <c r="C60" i="102"/>
  <c r="E59" i="102"/>
  <c r="D59" i="102"/>
  <c r="C59" i="102"/>
  <c r="E58" i="102"/>
  <c r="D58" i="102"/>
  <c r="C58" i="102"/>
  <c r="E57" i="102"/>
  <c r="D57" i="102"/>
  <c r="C57" i="102"/>
  <c r="E56" i="102"/>
  <c r="D56" i="102"/>
  <c r="C56" i="102"/>
  <c r="E55" i="102"/>
  <c r="D55" i="102"/>
  <c r="C55" i="102"/>
  <c r="E54" i="102"/>
  <c r="D54" i="102"/>
  <c r="C54" i="102"/>
  <c r="E53" i="102"/>
  <c r="D53" i="102"/>
  <c r="C53" i="102"/>
  <c r="E52" i="102"/>
  <c r="D52" i="102"/>
  <c r="C52" i="102"/>
  <c r="E51" i="102"/>
  <c r="D51" i="102"/>
  <c r="C51" i="102"/>
  <c r="E50" i="102"/>
  <c r="D50" i="102"/>
  <c r="C50" i="102"/>
  <c r="E49" i="102"/>
  <c r="D49" i="102"/>
  <c r="C49" i="102"/>
  <c r="E48" i="102"/>
  <c r="D48" i="102"/>
  <c r="C48" i="102"/>
  <c r="E47" i="102"/>
  <c r="D47" i="102"/>
  <c r="C47" i="102"/>
  <c r="E46" i="102"/>
  <c r="D46" i="102"/>
  <c r="C46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E35" i="102"/>
  <c r="D35" i="102"/>
  <c r="C35" i="102"/>
  <c r="E34" i="102"/>
  <c r="D34" i="102"/>
  <c r="C34" i="102"/>
  <c r="E33" i="102"/>
  <c r="D33" i="102"/>
  <c r="C33" i="102"/>
  <c r="E32" i="102"/>
  <c r="D32" i="102"/>
  <c r="C32" i="102"/>
  <c r="E31" i="102"/>
  <c r="D31" i="102"/>
  <c r="C31" i="102"/>
  <c r="E30" i="102"/>
  <c r="D30" i="102"/>
  <c r="C30" i="102"/>
  <c r="D25" i="102"/>
  <c r="C25" i="102"/>
  <c r="D24" i="102"/>
  <c r="C24" i="102"/>
  <c r="D23" i="102"/>
  <c r="C23" i="102"/>
  <c r="D22" i="102"/>
  <c r="C22" i="102"/>
  <c r="D21" i="102"/>
  <c r="C21" i="102"/>
  <c r="D20" i="102"/>
  <c r="C20" i="102"/>
  <c r="D19" i="102"/>
  <c r="C19" i="102"/>
  <c r="D18" i="102"/>
  <c r="C18" i="102"/>
  <c r="D17" i="102"/>
  <c r="C17" i="102"/>
  <c r="D16" i="102"/>
  <c r="D26" i="102" s="1"/>
  <c r="C16" i="102"/>
  <c r="D15" i="102"/>
  <c r="C15" i="102"/>
  <c r="D14" i="102"/>
  <c r="C14" i="102"/>
  <c r="D13" i="102"/>
  <c r="C13" i="102"/>
  <c r="D12" i="102"/>
  <c r="C12" i="102"/>
  <c r="C4" i="102"/>
  <c r="C3" i="102"/>
  <c r="E107" i="102" l="1"/>
  <c r="C116" i="102"/>
  <c r="F12" i="102"/>
  <c r="I12" i="102" s="1"/>
  <c r="C26" i="102"/>
  <c r="C238" i="102"/>
  <c r="D84" i="102"/>
  <c r="C98" i="102"/>
  <c r="E116" i="102"/>
  <c r="E124" i="102"/>
  <c r="D211" i="102"/>
  <c r="E84" i="102"/>
  <c r="D98" i="102"/>
  <c r="C107" i="102"/>
  <c r="C124" i="102"/>
  <c r="C166" i="102"/>
  <c r="D166" i="102"/>
  <c r="D202" i="102"/>
  <c r="E98" i="102"/>
  <c r="D107" i="102"/>
  <c r="E166" i="102"/>
  <c r="E202" i="102"/>
  <c r="C233" i="102"/>
  <c r="C84" i="102"/>
  <c r="D116" i="102"/>
  <c r="D124" i="102"/>
  <c r="C202" i="102"/>
  <c r="C211" i="102"/>
  <c r="E211" i="102"/>
  <c r="C66" i="102"/>
  <c r="D66" i="102"/>
  <c r="E66" i="102"/>
  <c r="C213" i="102" l="1"/>
  <c r="C217" i="102" s="1"/>
  <c r="D213" i="102"/>
  <c r="D220" i="102" s="1"/>
  <c r="E213" i="102"/>
  <c r="E220" i="102" s="1"/>
  <c r="C220" i="102" l="1"/>
  <c r="D18" i="46"/>
  <c r="I249" i="46"/>
  <c r="I248" i="46"/>
  <c r="I247" i="46"/>
  <c r="I246" i="46"/>
  <c r="C243" i="46"/>
  <c r="C242" i="46"/>
  <c r="C241" i="46"/>
  <c r="C240" i="46"/>
  <c r="C237" i="46"/>
  <c r="C236" i="46"/>
  <c r="E233" i="46"/>
  <c r="D233" i="46"/>
  <c r="C232" i="46"/>
  <c r="C231" i="46"/>
  <c r="C230" i="46"/>
  <c r="C229" i="46"/>
  <c r="C228" i="46"/>
  <c r="C227" i="46"/>
  <c r="C226" i="46"/>
  <c r="C225" i="46"/>
  <c r="C224" i="46"/>
  <c r="C216" i="46"/>
  <c r="E210" i="46"/>
  <c r="D210" i="46"/>
  <c r="C210" i="46"/>
  <c r="E209" i="46"/>
  <c r="D209" i="46"/>
  <c r="C209" i="46"/>
  <c r="E208" i="46"/>
  <c r="D208" i="46"/>
  <c r="C208" i="46"/>
  <c r="E207" i="46"/>
  <c r="D207" i="46"/>
  <c r="C207" i="46"/>
  <c r="E206" i="46"/>
  <c r="D206" i="46"/>
  <c r="C206" i="46"/>
  <c r="E205" i="46"/>
  <c r="D205" i="46"/>
  <c r="C205" i="46"/>
  <c r="E201" i="46"/>
  <c r="C201" i="46"/>
  <c r="E200" i="46"/>
  <c r="D200" i="46"/>
  <c r="C200" i="46"/>
  <c r="E199" i="46"/>
  <c r="D199" i="46"/>
  <c r="C199" i="46"/>
  <c r="E198" i="46"/>
  <c r="D198" i="46"/>
  <c r="C198" i="46"/>
  <c r="E197" i="46"/>
  <c r="D197" i="46"/>
  <c r="C197" i="46"/>
  <c r="E196" i="46"/>
  <c r="D196" i="46"/>
  <c r="C196" i="46"/>
  <c r="E195" i="46"/>
  <c r="D195" i="46"/>
  <c r="C195" i="46"/>
  <c r="E194" i="46"/>
  <c r="D194" i="46"/>
  <c r="C194" i="46"/>
  <c r="E193" i="46"/>
  <c r="D193" i="46"/>
  <c r="C193" i="46"/>
  <c r="E192" i="46"/>
  <c r="D192" i="46"/>
  <c r="C192" i="46"/>
  <c r="E191" i="46"/>
  <c r="D191" i="46"/>
  <c r="C191" i="46"/>
  <c r="E190" i="46"/>
  <c r="D190" i="46"/>
  <c r="C190" i="46"/>
  <c r="E189" i="46"/>
  <c r="D189" i="46"/>
  <c r="C189" i="46"/>
  <c r="E188" i="46"/>
  <c r="D188" i="46"/>
  <c r="C188" i="46"/>
  <c r="E187" i="46"/>
  <c r="D187" i="46"/>
  <c r="C187" i="46"/>
  <c r="E186" i="46"/>
  <c r="D186" i="46"/>
  <c r="C186" i="46"/>
  <c r="E185" i="46"/>
  <c r="D185" i="46"/>
  <c r="C185" i="46"/>
  <c r="E184" i="46"/>
  <c r="D184" i="46"/>
  <c r="C184" i="46"/>
  <c r="E183" i="46"/>
  <c r="D183" i="46"/>
  <c r="C183" i="46"/>
  <c r="E182" i="46"/>
  <c r="D182" i="46"/>
  <c r="C182" i="46"/>
  <c r="E181" i="46"/>
  <c r="D181" i="46"/>
  <c r="C181" i="46"/>
  <c r="E180" i="46"/>
  <c r="D180" i="46"/>
  <c r="C180" i="46"/>
  <c r="E179" i="46"/>
  <c r="D179" i="46"/>
  <c r="C179" i="46"/>
  <c r="E178" i="46"/>
  <c r="D178" i="46"/>
  <c r="C178" i="46"/>
  <c r="E177" i="46"/>
  <c r="D177" i="46"/>
  <c r="C177" i="46"/>
  <c r="E176" i="46"/>
  <c r="D176" i="46"/>
  <c r="C176" i="46"/>
  <c r="E175" i="46"/>
  <c r="D175" i="46"/>
  <c r="C175" i="46"/>
  <c r="E174" i="46"/>
  <c r="D174" i="46"/>
  <c r="C174" i="46"/>
  <c r="E173" i="46"/>
  <c r="D173" i="46"/>
  <c r="C173" i="46"/>
  <c r="E172" i="46"/>
  <c r="D172" i="46"/>
  <c r="C172" i="46"/>
  <c r="E171" i="46"/>
  <c r="D171" i="46"/>
  <c r="C171" i="46"/>
  <c r="E170" i="46"/>
  <c r="D170" i="46"/>
  <c r="C170" i="46"/>
  <c r="E169" i="46"/>
  <c r="D169" i="46"/>
  <c r="C169" i="46"/>
  <c r="E165" i="46"/>
  <c r="D165" i="46"/>
  <c r="C165" i="46"/>
  <c r="E164" i="46"/>
  <c r="D164" i="46"/>
  <c r="C164" i="46"/>
  <c r="E163" i="46"/>
  <c r="D163" i="46"/>
  <c r="C163" i="46"/>
  <c r="E162" i="46"/>
  <c r="D162" i="46"/>
  <c r="C162" i="46"/>
  <c r="E161" i="46"/>
  <c r="D161" i="46"/>
  <c r="C161" i="46"/>
  <c r="E160" i="46"/>
  <c r="D160" i="46"/>
  <c r="C160" i="46"/>
  <c r="E158" i="46"/>
  <c r="D158" i="46"/>
  <c r="C158" i="46"/>
  <c r="E157" i="46"/>
  <c r="D157" i="46"/>
  <c r="C157" i="46"/>
  <c r="E156" i="46"/>
  <c r="D156" i="46"/>
  <c r="C156" i="46"/>
  <c r="E155" i="46"/>
  <c r="D155" i="46"/>
  <c r="C155" i="46"/>
  <c r="E154" i="46"/>
  <c r="D154" i="46"/>
  <c r="C154" i="46"/>
  <c r="E153" i="46"/>
  <c r="D153" i="46"/>
  <c r="C153" i="46"/>
  <c r="E152" i="46"/>
  <c r="D152" i="46"/>
  <c r="C152" i="46"/>
  <c r="E151" i="46"/>
  <c r="D151" i="46"/>
  <c r="C151" i="46"/>
  <c r="E150" i="46"/>
  <c r="D150" i="46"/>
  <c r="C150" i="46"/>
  <c r="E148" i="46"/>
  <c r="D148" i="46"/>
  <c r="C148" i="46"/>
  <c r="E147" i="46"/>
  <c r="D147" i="46"/>
  <c r="C147" i="46"/>
  <c r="E146" i="46"/>
  <c r="D146" i="46"/>
  <c r="C146" i="46"/>
  <c r="E145" i="46"/>
  <c r="D145" i="46"/>
  <c r="C145" i="46"/>
  <c r="E143" i="46"/>
  <c r="D143" i="46"/>
  <c r="C143" i="46"/>
  <c r="E142" i="46"/>
  <c r="D142" i="46"/>
  <c r="C142" i="46"/>
  <c r="E141" i="46"/>
  <c r="D141" i="46"/>
  <c r="C141" i="46"/>
  <c r="E140" i="46"/>
  <c r="D140" i="46"/>
  <c r="C140" i="46"/>
  <c r="E138" i="46"/>
  <c r="D138" i="46"/>
  <c r="C138" i="46"/>
  <c r="E137" i="46"/>
  <c r="D137" i="46"/>
  <c r="C137" i="46"/>
  <c r="E136" i="46"/>
  <c r="D136" i="46"/>
  <c r="C136" i="46"/>
  <c r="E135" i="46"/>
  <c r="D135" i="46"/>
  <c r="C135" i="46"/>
  <c r="E134" i="46"/>
  <c r="D134" i="46"/>
  <c r="C134" i="46"/>
  <c r="E132" i="46"/>
  <c r="D132" i="46"/>
  <c r="C132" i="46"/>
  <c r="E131" i="46"/>
  <c r="D131" i="46"/>
  <c r="C131" i="46"/>
  <c r="E130" i="46"/>
  <c r="D130" i="46"/>
  <c r="C130" i="46"/>
  <c r="E129" i="46"/>
  <c r="D129" i="46"/>
  <c r="C129" i="46"/>
  <c r="E128" i="46"/>
  <c r="D128" i="46"/>
  <c r="C128" i="46"/>
  <c r="E123" i="46"/>
  <c r="D123" i="46"/>
  <c r="C123" i="46"/>
  <c r="E122" i="46"/>
  <c r="D122" i="46"/>
  <c r="C122" i="46"/>
  <c r="E121" i="46"/>
  <c r="D121" i="46"/>
  <c r="C121" i="46"/>
  <c r="E120" i="46"/>
  <c r="D120" i="46"/>
  <c r="C120" i="46"/>
  <c r="E119" i="46"/>
  <c r="D119" i="46"/>
  <c r="C119" i="46"/>
  <c r="E115" i="46"/>
  <c r="D115" i="46"/>
  <c r="C115" i="46"/>
  <c r="E114" i="46"/>
  <c r="D114" i="46"/>
  <c r="C114" i="46"/>
  <c r="E113" i="46"/>
  <c r="D113" i="46"/>
  <c r="C113" i="46"/>
  <c r="E112" i="46"/>
  <c r="D112" i="46"/>
  <c r="C112" i="46"/>
  <c r="E111" i="46"/>
  <c r="D111" i="46"/>
  <c r="C111" i="46"/>
  <c r="E110" i="46"/>
  <c r="D110" i="46"/>
  <c r="C110" i="46"/>
  <c r="E106" i="46"/>
  <c r="D106" i="46"/>
  <c r="C106" i="46"/>
  <c r="E105" i="46"/>
  <c r="D105" i="46"/>
  <c r="C105" i="46"/>
  <c r="E104" i="46"/>
  <c r="D104" i="46"/>
  <c r="C104" i="46"/>
  <c r="E103" i="46"/>
  <c r="D103" i="46"/>
  <c r="C103" i="46"/>
  <c r="E102" i="46"/>
  <c r="D102" i="46"/>
  <c r="C102" i="46"/>
  <c r="E101" i="46"/>
  <c r="D101" i="46"/>
  <c r="C101" i="46"/>
  <c r="E97" i="46"/>
  <c r="D97" i="46"/>
  <c r="C97" i="46"/>
  <c r="E96" i="46"/>
  <c r="D96" i="46"/>
  <c r="C96" i="46"/>
  <c r="E95" i="46"/>
  <c r="D95" i="46"/>
  <c r="C95" i="46"/>
  <c r="E94" i="46"/>
  <c r="D94" i="46"/>
  <c r="C94" i="46"/>
  <c r="E93" i="46"/>
  <c r="D93" i="46"/>
  <c r="C93" i="46"/>
  <c r="E92" i="46"/>
  <c r="D92" i="46"/>
  <c r="C92" i="46"/>
  <c r="E91" i="46"/>
  <c r="D91" i="46"/>
  <c r="C91" i="46"/>
  <c r="E90" i="46"/>
  <c r="D90" i="46"/>
  <c r="C90" i="46"/>
  <c r="E89" i="46"/>
  <c r="D89" i="46"/>
  <c r="C89" i="46"/>
  <c r="E88" i="46"/>
  <c r="D88" i="46"/>
  <c r="C88" i="46"/>
  <c r="E87" i="46"/>
  <c r="D87" i="46"/>
  <c r="C87" i="46"/>
  <c r="E83" i="46"/>
  <c r="D83" i="46"/>
  <c r="C83" i="46"/>
  <c r="E82" i="46"/>
  <c r="D82" i="46"/>
  <c r="C82" i="46"/>
  <c r="E81" i="46"/>
  <c r="D81" i="46"/>
  <c r="C81" i="46"/>
  <c r="E80" i="46"/>
  <c r="D80" i="46"/>
  <c r="C80" i="46"/>
  <c r="E79" i="46"/>
  <c r="D79" i="46"/>
  <c r="C79" i="46"/>
  <c r="E78" i="46"/>
  <c r="D78" i="46"/>
  <c r="C78" i="46"/>
  <c r="E77" i="46"/>
  <c r="D77" i="46"/>
  <c r="C77" i="46"/>
  <c r="E76" i="46"/>
  <c r="D76" i="46"/>
  <c r="C76" i="46"/>
  <c r="E75" i="46"/>
  <c r="D75" i="46"/>
  <c r="C75" i="46"/>
  <c r="E74" i="46"/>
  <c r="D74" i="46"/>
  <c r="C74" i="46"/>
  <c r="E73" i="46"/>
  <c r="D73" i="46"/>
  <c r="C73" i="46"/>
  <c r="E72" i="46"/>
  <c r="D72" i="46"/>
  <c r="C72" i="46"/>
  <c r="E71" i="46"/>
  <c r="D71" i="46"/>
  <c r="C71" i="46"/>
  <c r="E70" i="46"/>
  <c r="C70" i="46"/>
  <c r="E69" i="46"/>
  <c r="C69" i="46"/>
  <c r="E65" i="46"/>
  <c r="D65" i="46"/>
  <c r="C65" i="46"/>
  <c r="E64" i="46"/>
  <c r="D64" i="46"/>
  <c r="C64" i="46"/>
  <c r="E63" i="46"/>
  <c r="D63" i="46"/>
  <c r="C63" i="46"/>
  <c r="E62" i="46"/>
  <c r="D62" i="46"/>
  <c r="C62" i="46"/>
  <c r="E61" i="46"/>
  <c r="D61" i="46"/>
  <c r="C61" i="46"/>
  <c r="E60" i="46"/>
  <c r="D60" i="46"/>
  <c r="C60" i="46"/>
  <c r="E59" i="46"/>
  <c r="D59" i="46"/>
  <c r="C59" i="46"/>
  <c r="E58" i="46"/>
  <c r="D58" i="46"/>
  <c r="C58" i="46"/>
  <c r="E57" i="46"/>
  <c r="D57" i="46"/>
  <c r="C57" i="46"/>
  <c r="E56" i="46"/>
  <c r="D56" i="46"/>
  <c r="C56" i="46"/>
  <c r="E55" i="46"/>
  <c r="D55" i="46"/>
  <c r="C55" i="46"/>
  <c r="E54" i="46"/>
  <c r="D54" i="46"/>
  <c r="C54" i="46"/>
  <c r="E53" i="46"/>
  <c r="D53" i="46"/>
  <c r="C53" i="46"/>
  <c r="E52" i="46"/>
  <c r="D52" i="46"/>
  <c r="C52" i="46"/>
  <c r="E51" i="46"/>
  <c r="D51" i="46"/>
  <c r="C51" i="46"/>
  <c r="E50" i="46"/>
  <c r="D50" i="46"/>
  <c r="C50" i="46"/>
  <c r="E49" i="46"/>
  <c r="D49" i="46"/>
  <c r="C49" i="46"/>
  <c r="E48" i="46"/>
  <c r="D48" i="46"/>
  <c r="C48" i="46"/>
  <c r="E47" i="46"/>
  <c r="D47" i="46"/>
  <c r="C47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2" i="46"/>
  <c r="D42" i="46"/>
  <c r="C42" i="46"/>
  <c r="E41" i="46"/>
  <c r="D41" i="46"/>
  <c r="C41" i="46"/>
  <c r="E40" i="46"/>
  <c r="D40" i="46"/>
  <c r="C40" i="46"/>
  <c r="E39" i="46"/>
  <c r="D39" i="46"/>
  <c r="C39" i="46"/>
  <c r="E38" i="46"/>
  <c r="D38" i="46"/>
  <c r="C38" i="46"/>
  <c r="E37" i="46"/>
  <c r="D37" i="46"/>
  <c r="C37" i="46"/>
  <c r="E36" i="46"/>
  <c r="D36" i="46"/>
  <c r="C36" i="46"/>
  <c r="E35" i="46"/>
  <c r="D35" i="46"/>
  <c r="C35" i="46"/>
  <c r="E34" i="46"/>
  <c r="D34" i="46"/>
  <c r="C34" i="46"/>
  <c r="E33" i="46"/>
  <c r="D33" i="46"/>
  <c r="C33" i="46"/>
  <c r="E32" i="46"/>
  <c r="D32" i="46"/>
  <c r="C32" i="46"/>
  <c r="E31" i="46"/>
  <c r="D31" i="46"/>
  <c r="C31" i="46"/>
  <c r="E30" i="46"/>
  <c r="D30" i="46"/>
  <c r="C30" i="46"/>
  <c r="D25" i="46"/>
  <c r="C25" i="46"/>
  <c r="D24" i="46"/>
  <c r="C24" i="46"/>
  <c r="D23" i="46"/>
  <c r="C23" i="46"/>
  <c r="D22" i="46"/>
  <c r="C22" i="46"/>
  <c r="D21" i="46"/>
  <c r="C21" i="46"/>
  <c r="D20" i="46"/>
  <c r="C20" i="46"/>
  <c r="D19" i="46"/>
  <c r="C19" i="46"/>
  <c r="C18" i="46"/>
  <c r="D17" i="46"/>
  <c r="C17" i="46"/>
  <c r="D16" i="46"/>
  <c r="C16" i="46"/>
  <c r="D15" i="46"/>
  <c r="C15" i="46"/>
  <c r="D14" i="46"/>
  <c r="C14" i="46"/>
  <c r="D13" i="46"/>
  <c r="C13" i="46"/>
  <c r="D12" i="46"/>
  <c r="C12" i="46"/>
  <c r="C4" i="46"/>
  <c r="C3" i="46"/>
  <c r="D26" i="46" l="1"/>
  <c r="C238" i="46"/>
  <c r="F12" i="46"/>
  <c r="I12" i="46" s="1"/>
  <c r="E124" i="46"/>
  <c r="C202" i="46"/>
  <c r="D202" i="46"/>
  <c r="C84" i="46"/>
  <c r="C26" i="46"/>
  <c r="D84" i="46"/>
  <c r="C98" i="46"/>
  <c r="D98" i="46"/>
  <c r="C166" i="46"/>
  <c r="D166" i="46"/>
  <c r="E84" i="46"/>
  <c r="C107" i="46"/>
  <c r="D107" i="46"/>
  <c r="E107" i="46"/>
  <c r="E116" i="46"/>
  <c r="C124" i="46"/>
  <c r="D124" i="46"/>
  <c r="E202" i="46"/>
  <c r="E98" i="46"/>
  <c r="C116" i="46"/>
  <c r="D116" i="46"/>
  <c r="E166" i="46"/>
  <c r="C211" i="46"/>
  <c r="D211" i="46"/>
  <c r="E211" i="46"/>
  <c r="C233" i="46"/>
  <c r="C66" i="46"/>
  <c r="D66" i="46"/>
  <c r="E66" i="46"/>
  <c r="E213" i="46" l="1"/>
  <c r="E220" i="46" s="1"/>
  <c r="D213" i="46"/>
  <c r="D220" i="46" s="1"/>
  <c r="C213" i="46"/>
  <c r="C220" i="46" s="1"/>
  <c r="C217" i="46" l="1"/>
  <c r="D18" i="49"/>
  <c r="I249" i="49"/>
  <c r="I248" i="49"/>
  <c r="I247" i="49"/>
  <c r="I246" i="49"/>
  <c r="C243" i="49"/>
  <c r="C242" i="49"/>
  <c r="C241" i="49"/>
  <c r="C240" i="49"/>
  <c r="C237" i="49"/>
  <c r="C236" i="49"/>
  <c r="E233" i="49"/>
  <c r="D233" i="49"/>
  <c r="C232" i="49"/>
  <c r="C231" i="49"/>
  <c r="C230" i="49"/>
  <c r="C229" i="49"/>
  <c r="C228" i="49"/>
  <c r="C227" i="49"/>
  <c r="C226" i="49"/>
  <c r="C225" i="49"/>
  <c r="C224" i="49"/>
  <c r="C216" i="49"/>
  <c r="E210" i="49"/>
  <c r="D210" i="49"/>
  <c r="C210" i="49"/>
  <c r="E209" i="49"/>
  <c r="D209" i="49"/>
  <c r="C209" i="49"/>
  <c r="E208" i="49"/>
  <c r="D208" i="49"/>
  <c r="C208" i="49"/>
  <c r="E207" i="49"/>
  <c r="D207" i="49"/>
  <c r="C207" i="49"/>
  <c r="E206" i="49"/>
  <c r="D206" i="49"/>
  <c r="C206" i="49"/>
  <c r="E205" i="49"/>
  <c r="D205" i="49"/>
  <c r="C205" i="49"/>
  <c r="E201" i="49"/>
  <c r="D201" i="49"/>
  <c r="C201" i="49"/>
  <c r="E200" i="49"/>
  <c r="D200" i="49"/>
  <c r="C200" i="49"/>
  <c r="E199" i="49"/>
  <c r="D199" i="49"/>
  <c r="C199" i="49"/>
  <c r="E198" i="49"/>
  <c r="D198" i="49"/>
  <c r="C198" i="49"/>
  <c r="E197" i="49"/>
  <c r="D197" i="49"/>
  <c r="C197" i="49"/>
  <c r="E196" i="49"/>
  <c r="D196" i="49"/>
  <c r="C196" i="49"/>
  <c r="E195" i="49"/>
  <c r="D195" i="49"/>
  <c r="C195" i="49"/>
  <c r="E194" i="49"/>
  <c r="D194" i="49"/>
  <c r="C194" i="49"/>
  <c r="E193" i="49"/>
  <c r="D193" i="49"/>
  <c r="C193" i="49"/>
  <c r="E192" i="49"/>
  <c r="D192" i="49"/>
  <c r="C192" i="49"/>
  <c r="E191" i="49"/>
  <c r="D191" i="49"/>
  <c r="C191" i="49"/>
  <c r="E190" i="49"/>
  <c r="D190" i="49"/>
  <c r="C190" i="49"/>
  <c r="E189" i="49"/>
  <c r="D189" i="49"/>
  <c r="C189" i="49"/>
  <c r="E188" i="49"/>
  <c r="D188" i="49"/>
  <c r="C188" i="49"/>
  <c r="E187" i="49"/>
  <c r="D187" i="49"/>
  <c r="C187" i="49"/>
  <c r="E186" i="49"/>
  <c r="D186" i="49"/>
  <c r="C186" i="49"/>
  <c r="E185" i="49"/>
  <c r="D185" i="49"/>
  <c r="C185" i="49"/>
  <c r="E184" i="49"/>
  <c r="D184" i="49"/>
  <c r="C184" i="49"/>
  <c r="E183" i="49"/>
  <c r="D183" i="49"/>
  <c r="C183" i="49"/>
  <c r="E182" i="49"/>
  <c r="D182" i="49"/>
  <c r="C182" i="49"/>
  <c r="E181" i="49"/>
  <c r="D181" i="49"/>
  <c r="C181" i="49"/>
  <c r="E180" i="49"/>
  <c r="D180" i="49"/>
  <c r="C180" i="49"/>
  <c r="E179" i="49"/>
  <c r="D179" i="49"/>
  <c r="C179" i="49"/>
  <c r="E178" i="49"/>
  <c r="D178" i="49"/>
  <c r="C178" i="49"/>
  <c r="E177" i="49"/>
  <c r="D177" i="49"/>
  <c r="C177" i="49"/>
  <c r="E176" i="49"/>
  <c r="D176" i="49"/>
  <c r="C176" i="49"/>
  <c r="E175" i="49"/>
  <c r="D175" i="49"/>
  <c r="C175" i="49"/>
  <c r="E174" i="49"/>
  <c r="D174" i="49"/>
  <c r="C174" i="49"/>
  <c r="E173" i="49"/>
  <c r="D173" i="49"/>
  <c r="C173" i="49"/>
  <c r="E172" i="49"/>
  <c r="D172" i="49"/>
  <c r="C172" i="49"/>
  <c r="E171" i="49"/>
  <c r="D171" i="49"/>
  <c r="C171" i="49"/>
  <c r="E170" i="49"/>
  <c r="D170" i="49"/>
  <c r="C170" i="49"/>
  <c r="E169" i="49"/>
  <c r="D169" i="49"/>
  <c r="C169" i="49"/>
  <c r="E165" i="49"/>
  <c r="D165" i="49"/>
  <c r="C165" i="49"/>
  <c r="E164" i="49"/>
  <c r="D164" i="49"/>
  <c r="C164" i="49"/>
  <c r="E163" i="49"/>
  <c r="D163" i="49"/>
  <c r="C163" i="49"/>
  <c r="E162" i="49"/>
  <c r="D162" i="49"/>
  <c r="C162" i="49"/>
  <c r="E161" i="49"/>
  <c r="D161" i="49"/>
  <c r="C161" i="49"/>
  <c r="E160" i="49"/>
  <c r="D160" i="49"/>
  <c r="C160" i="49"/>
  <c r="E158" i="49"/>
  <c r="D158" i="49"/>
  <c r="C158" i="49"/>
  <c r="E157" i="49"/>
  <c r="D157" i="49"/>
  <c r="C157" i="49"/>
  <c r="E156" i="49"/>
  <c r="D156" i="49"/>
  <c r="C156" i="49"/>
  <c r="E155" i="49"/>
  <c r="D155" i="49"/>
  <c r="C155" i="49"/>
  <c r="E154" i="49"/>
  <c r="D154" i="49"/>
  <c r="C154" i="49"/>
  <c r="E153" i="49"/>
  <c r="D153" i="49"/>
  <c r="C153" i="49"/>
  <c r="E152" i="49"/>
  <c r="D152" i="49"/>
  <c r="C152" i="49"/>
  <c r="E151" i="49"/>
  <c r="D151" i="49"/>
  <c r="C151" i="49"/>
  <c r="E150" i="49"/>
  <c r="D150" i="49"/>
  <c r="C150" i="49"/>
  <c r="E148" i="49"/>
  <c r="D148" i="49"/>
  <c r="C148" i="49"/>
  <c r="E147" i="49"/>
  <c r="D147" i="49"/>
  <c r="C147" i="49"/>
  <c r="E146" i="49"/>
  <c r="D146" i="49"/>
  <c r="C146" i="49"/>
  <c r="E145" i="49"/>
  <c r="D145" i="49"/>
  <c r="C145" i="49"/>
  <c r="E143" i="49"/>
  <c r="D143" i="49"/>
  <c r="C143" i="49"/>
  <c r="E142" i="49"/>
  <c r="D142" i="49"/>
  <c r="C142" i="49"/>
  <c r="E141" i="49"/>
  <c r="D141" i="49"/>
  <c r="C141" i="49"/>
  <c r="E140" i="49"/>
  <c r="D140" i="49"/>
  <c r="C140" i="49"/>
  <c r="E138" i="49"/>
  <c r="D138" i="49"/>
  <c r="C138" i="49"/>
  <c r="E137" i="49"/>
  <c r="D137" i="49"/>
  <c r="C137" i="49"/>
  <c r="E136" i="49"/>
  <c r="D136" i="49"/>
  <c r="C136" i="49"/>
  <c r="E135" i="49"/>
  <c r="D135" i="49"/>
  <c r="C135" i="49"/>
  <c r="E134" i="49"/>
  <c r="D134" i="49"/>
  <c r="C134" i="49"/>
  <c r="E132" i="49"/>
  <c r="D132" i="49"/>
  <c r="C132" i="49"/>
  <c r="E131" i="49"/>
  <c r="D131" i="49"/>
  <c r="C131" i="49"/>
  <c r="E130" i="49"/>
  <c r="D130" i="49"/>
  <c r="C130" i="49"/>
  <c r="E129" i="49"/>
  <c r="D129" i="49"/>
  <c r="C129" i="49"/>
  <c r="E128" i="49"/>
  <c r="D128" i="49"/>
  <c r="C128" i="49"/>
  <c r="E123" i="49"/>
  <c r="D123" i="49"/>
  <c r="C123" i="49"/>
  <c r="E122" i="49"/>
  <c r="D122" i="49"/>
  <c r="C122" i="49"/>
  <c r="E121" i="49"/>
  <c r="D121" i="49"/>
  <c r="C121" i="49"/>
  <c r="E120" i="49"/>
  <c r="D120" i="49"/>
  <c r="C120" i="49"/>
  <c r="E119" i="49"/>
  <c r="D119" i="49"/>
  <c r="C119" i="49"/>
  <c r="E115" i="49"/>
  <c r="D115" i="49"/>
  <c r="C115" i="49"/>
  <c r="E114" i="49"/>
  <c r="D114" i="49"/>
  <c r="C114" i="49"/>
  <c r="E113" i="49"/>
  <c r="D113" i="49"/>
  <c r="C113" i="49"/>
  <c r="E112" i="49"/>
  <c r="D112" i="49"/>
  <c r="C112" i="49"/>
  <c r="E111" i="49"/>
  <c r="D111" i="49"/>
  <c r="C111" i="49"/>
  <c r="E110" i="49"/>
  <c r="D110" i="49"/>
  <c r="C110" i="49"/>
  <c r="E106" i="49"/>
  <c r="D106" i="49"/>
  <c r="C106" i="49"/>
  <c r="E105" i="49"/>
  <c r="D105" i="49"/>
  <c r="C105" i="49"/>
  <c r="E104" i="49"/>
  <c r="D104" i="49"/>
  <c r="C104" i="49"/>
  <c r="E103" i="49"/>
  <c r="D103" i="49"/>
  <c r="C103" i="49"/>
  <c r="E102" i="49"/>
  <c r="D102" i="49"/>
  <c r="C102" i="49"/>
  <c r="E101" i="49"/>
  <c r="D101" i="49"/>
  <c r="C101" i="49"/>
  <c r="E97" i="49"/>
  <c r="D97" i="49"/>
  <c r="C97" i="49"/>
  <c r="E96" i="49"/>
  <c r="D96" i="49"/>
  <c r="C96" i="49"/>
  <c r="E95" i="49"/>
  <c r="D95" i="49"/>
  <c r="C95" i="49"/>
  <c r="E94" i="49"/>
  <c r="D94" i="49"/>
  <c r="C94" i="49"/>
  <c r="E93" i="49"/>
  <c r="D93" i="49"/>
  <c r="C93" i="49"/>
  <c r="E92" i="49"/>
  <c r="D92" i="49"/>
  <c r="C92" i="49"/>
  <c r="E91" i="49"/>
  <c r="D91" i="49"/>
  <c r="C91" i="49"/>
  <c r="E90" i="49"/>
  <c r="D90" i="49"/>
  <c r="C90" i="49"/>
  <c r="E89" i="49"/>
  <c r="D89" i="49"/>
  <c r="C89" i="49"/>
  <c r="E88" i="49"/>
  <c r="D88" i="49"/>
  <c r="C88" i="49"/>
  <c r="E87" i="49"/>
  <c r="D87" i="49"/>
  <c r="C87" i="49"/>
  <c r="E83" i="49"/>
  <c r="D83" i="49"/>
  <c r="C83" i="49"/>
  <c r="E82" i="49"/>
  <c r="D82" i="49"/>
  <c r="C82" i="49"/>
  <c r="E81" i="49"/>
  <c r="D81" i="49"/>
  <c r="C81" i="49"/>
  <c r="E80" i="49"/>
  <c r="D80" i="49"/>
  <c r="C80" i="49"/>
  <c r="E79" i="49"/>
  <c r="D79" i="49"/>
  <c r="C79" i="49"/>
  <c r="E78" i="49"/>
  <c r="D78" i="49"/>
  <c r="C78" i="49"/>
  <c r="E77" i="49"/>
  <c r="D77" i="49"/>
  <c r="C77" i="49"/>
  <c r="E76" i="49"/>
  <c r="D76" i="49"/>
  <c r="C76" i="49"/>
  <c r="E75" i="49"/>
  <c r="D75" i="49"/>
  <c r="C75" i="49"/>
  <c r="E74" i="49"/>
  <c r="D74" i="49"/>
  <c r="C74" i="49"/>
  <c r="E73" i="49"/>
  <c r="D73" i="49"/>
  <c r="C73" i="49"/>
  <c r="E72" i="49"/>
  <c r="D72" i="49"/>
  <c r="C72" i="49"/>
  <c r="E71" i="49"/>
  <c r="D71" i="49"/>
  <c r="C71" i="49"/>
  <c r="E70" i="49"/>
  <c r="D70" i="49"/>
  <c r="C70" i="49"/>
  <c r="E69" i="49"/>
  <c r="D69" i="49"/>
  <c r="C69" i="49"/>
  <c r="E65" i="49"/>
  <c r="D65" i="49"/>
  <c r="C65" i="49"/>
  <c r="E64" i="49"/>
  <c r="D64" i="49"/>
  <c r="C64" i="49"/>
  <c r="E63" i="49"/>
  <c r="D63" i="49"/>
  <c r="C63" i="49"/>
  <c r="E62" i="49"/>
  <c r="D62" i="49"/>
  <c r="C62" i="49"/>
  <c r="E61" i="49"/>
  <c r="D61" i="49"/>
  <c r="C61" i="49"/>
  <c r="E60" i="49"/>
  <c r="D60" i="49"/>
  <c r="C60" i="49"/>
  <c r="E59" i="49"/>
  <c r="D59" i="49"/>
  <c r="C59" i="49"/>
  <c r="E58" i="49"/>
  <c r="D58" i="49"/>
  <c r="C58" i="49"/>
  <c r="E57" i="49"/>
  <c r="D57" i="49"/>
  <c r="C57" i="49"/>
  <c r="E56" i="49"/>
  <c r="D56" i="49"/>
  <c r="C56" i="49"/>
  <c r="E55" i="49"/>
  <c r="D55" i="49"/>
  <c r="C55" i="49"/>
  <c r="E54" i="49"/>
  <c r="D54" i="49"/>
  <c r="C54" i="49"/>
  <c r="E53" i="49"/>
  <c r="D53" i="49"/>
  <c r="C53" i="49"/>
  <c r="E52" i="49"/>
  <c r="D52" i="49"/>
  <c r="C52" i="49"/>
  <c r="E51" i="49"/>
  <c r="D51" i="49"/>
  <c r="C51" i="49"/>
  <c r="E50" i="49"/>
  <c r="D50" i="49"/>
  <c r="C50" i="49"/>
  <c r="E49" i="49"/>
  <c r="D49" i="49"/>
  <c r="C49" i="49"/>
  <c r="E48" i="49"/>
  <c r="D48" i="49"/>
  <c r="C48" i="49"/>
  <c r="E47" i="49"/>
  <c r="D47" i="49"/>
  <c r="C47" i="49"/>
  <c r="E46" i="49"/>
  <c r="D46" i="49"/>
  <c r="C46" i="49"/>
  <c r="E45" i="49"/>
  <c r="D45" i="49"/>
  <c r="C45" i="49"/>
  <c r="E44" i="49"/>
  <c r="D44" i="49"/>
  <c r="C44" i="49"/>
  <c r="E43" i="49"/>
  <c r="D43" i="49"/>
  <c r="C43" i="49"/>
  <c r="E42" i="49"/>
  <c r="D42" i="49"/>
  <c r="C42" i="49"/>
  <c r="E41" i="49"/>
  <c r="D41" i="49"/>
  <c r="C41" i="49"/>
  <c r="E40" i="49"/>
  <c r="D40" i="49"/>
  <c r="C40" i="49"/>
  <c r="E39" i="49"/>
  <c r="D39" i="49"/>
  <c r="C39" i="49"/>
  <c r="E38" i="49"/>
  <c r="D38" i="49"/>
  <c r="C38" i="49"/>
  <c r="E37" i="49"/>
  <c r="D37" i="49"/>
  <c r="C37" i="49"/>
  <c r="E36" i="49"/>
  <c r="D36" i="49"/>
  <c r="C36" i="49"/>
  <c r="E35" i="49"/>
  <c r="D35" i="49"/>
  <c r="C35" i="49"/>
  <c r="E34" i="49"/>
  <c r="D34" i="49"/>
  <c r="C34" i="49"/>
  <c r="E33" i="49"/>
  <c r="D33" i="49"/>
  <c r="C33" i="49"/>
  <c r="E32" i="49"/>
  <c r="D32" i="49"/>
  <c r="C32" i="49"/>
  <c r="E31" i="49"/>
  <c r="D31" i="49"/>
  <c r="C31" i="49"/>
  <c r="E30" i="49"/>
  <c r="D30" i="49"/>
  <c r="C30" i="49"/>
  <c r="D25" i="49"/>
  <c r="C25" i="49"/>
  <c r="D24" i="49"/>
  <c r="C24" i="49"/>
  <c r="D23" i="49"/>
  <c r="C23" i="49"/>
  <c r="D22" i="49"/>
  <c r="C22" i="49"/>
  <c r="D21" i="49"/>
  <c r="C21" i="49"/>
  <c r="D20" i="49"/>
  <c r="C20" i="49"/>
  <c r="D19" i="49"/>
  <c r="C19" i="49"/>
  <c r="C18" i="49"/>
  <c r="D17" i="49"/>
  <c r="C17" i="49"/>
  <c r="D16" i="49"/>
  <c r="C16" i="49"/>
  <c r="D15" i="49"/>
  <c r="C15" i="49"/>
  <c r="D14" i="49"/>
  <c r="C14" i="49"/>
  <c r="D13" i="49"/>
  <c r="C13" i="49"/>
  <c r="D12" i="49"/>
  <c r="C12" i="49"/>
  <c r="C4" i="49"/>
  <c r="C3" i="49"/>
  <c r="F12" i="49" l="1"/>
  <c r="I12" i="49" s="1"/>
  <c r="C26" i="49"/>
  <c r="D26" i="49"/>
  <c r="C116" i="49"/>
  <c r="D116" i="49"/>
  <c r="E166" i="49"/>
  <c r="C211" i="49"/>
  <c r="D211" i="49"/>
  <c r="E211" i="49"/>
  <c r="C233" i="49"/>
  <c r="E84" i="49"/>
  <c r="C238" i="49"/>
  <c r="C84" i="49"/>
  <c r="D84" i="49"/>
  <c r="E107" i="49"/>
  <c r="E98" i="49"/>
  <c r="E116" i="49"/>
  <c r="C124" i="49"/>
  <c r="D124" i="49"/>
  <c r="E202" i="49"/>
  <c r="C98" i="49"/>
  <c r="D98" i="49"/>
  <c r="E124" i="49"/>
  <c r="C202" i="49"/>
  <c r="D202" i="49"/>
  <c r="C107" i="49"/>
  <c r="D107" i="49"/>
  <c r="C166" i="49"/>
  <c r="D166" i="49"/>
  <c r="C66" i="49"/>
  <c r="D66" i="49"/>
  <c r="E66" i="49"/>
  <c r="E213" i="49" l="1"/>
  <c r="E220" i="49" s="1"/>
  <c r="D213" i="49"/>
  <c r="D220" i="49" s="1"/>
  <c r="C213" i="49"/>
  <c r="C217" i="49" s="1"/>
  <c r="C220" i="49" l="1"/>
  <c r="I249" i="174"/>
  <c r="I248" i="174"/>
  <c r="I247" i="174"/>
  <c r="I246" i="174"/>
  <c r="C243" i="174"/>
  <c r="C242" i="174"/>
  <c r="C241" i="174"/>
  <c r="C240" i="174"/>
  <c r="C237" i="174"/>
  <c r="C236" i="174"/>
  <c r="E233" i="174"/>
  <c r="D233" i="174"/>
  <c r="C232" i="174"/>
  <c r="C231" i="174"/>
  <c r="C230" i="174"/>
  <c r="C229" i="174"/>
  <c r="C228" i="174"/>
  <c r="C227" i="174"/>
  <c r="C226" i="174"/>
  <c r="C225" i="174"/>
  <c r="C224" i="174"/>
  <c r="C216" i="174"/>
  <c r="E210" i="174"/>
  <c r="D210" i="174"/>
  <c r="C210" i="174"/>
  <c r="E209" i="174"/>
  <c r="D209" i="174"/>
  <c r="C209" i="174"/>
  <c r="E208" i="174"/>
  <c r="D208" i="174"/>
  <c r="C208" i="174"/>
  <c r="E207" i="174"/>
  <c r="D207" i="174"/>
  <c r="C207" i="174"/>
  <c r="E206" i="174"/>
  <c r="D206" i="174"/>
  <c r="C206" i="174"/>
  <c r="E205" i="174"/>
  <c r="D205" i="174"/>
  <c r="C205" i="174"/>
  <c r="E201" i="174"/>
  <c r="D201" i="174"/>
  <c r="C201" i="174"/>
  <c r="E200" i="174"/>
  <c r="D200" i="174"/>
  <c r="C200" i="174"/>
  <c r="E199" i="174"/>
  <c r="D199" i="174"/>
  <c r="C199" i="174"/>
  <c r="E198" i="174"/>
  <c r="D198" i="174"/>
  <c r="C198" i="174"/>
  <c r="E197" i="174"/>
  <c r="D197" i="174"/>
  <c r="C197" i="174"/>
  <c r="E196" i="174"/>
  <c r="D196" i="174"/>
  <c r="C196" i="174"/>
  <c r="E195" i="174"/>
  <c r="D195" i="174"/>
  <c r="C195" i="174"/>
  <c r="E194" i="174"/>
  <c r="D194" i="174"/>
  <c r="C194" i="174"/>
  <c r="E193" i="174"/>
  <c r="D193" i="174"/>
  <c r="C193" i="174"/>
  <c r="E192" i="174"/>
  <c r="D192" i="174"/>
  <c r="C192" i="174"/>
  <c r="E191" i="174"/>
  <c r="D191" i="174"/>
  <c r="C191" i="174"/>
  <c r="E190" i="174"/>
  <c r="D190" i="174"/>
  <c r="C190" i="174"/>
  <c r="E189" i="174"/>
  <c r="D189" i="174"/>
  <c r="C189" i="174"/>
  <c r="E188" i="174"/>
  <c r="D188" i="174"/>
  <c r="C188" i="174"/>
  <c r="E187" i="174"/>
  <c r="D187" i="174"/>
  <c r="C187" i="174"/>
  <c r="E186" i="174"/>
  <c r="D186" i="174"/>
  <c r="C186" i="174"/>
  <c r="E185" i="174"/>
  <c r="D185" i="174"/>
  <c r="C185" i="174"/>
  <c r="E184" i="174"/>
  <c r="D184" i="174"/>
  <c r="C184" i="174"/>
  <c r="E183" i="174"/>
  <c r="D183" i="174"/>
  <c r="C183" i="174"/>
  <c r="E182" i="174"/>
  <c r="D182" i="174"/>
  <c r="C182" i="174"/>
  <c r="E181" i="174"/>
  <c r="D181" i="174"/>
  <c r="C181" i="174"/>
  <c r="E180" i="174"/>
  <c r="D180" i="174"/>
  <c r="C180" i="174"/>
  <c r="E179" i="174"/>
  <c r="D179" i="174"/>
  <c r="C179" i="174"/>
  <c r="E178" i="174"/>
  <c r="D178" i="174"/>
  <c r="C178" i="174"/>
  <c r="E177" i="174"/>
  <c r="D177" i="174"/>
  <c r="C177" i="174"/>
  <c r="E176" i="174"/>
  <c r="D176" i="174"/>
  <c r="C176" i="174"/>
  <c r="E175" i="174"/>
  <c r="D175" i="174"/>
  <c r="C175" i="174"/>
  <c r="E174" i="174"/>
  <c r="D174" i="174"/>
  <c r="C174" i="174"/>
  <c r="E173" i="174"/>
  <c r="D173" i="174"/>
  <c r="C173" i="174"/>
  <c r="E172" i="174"/>
  <c r="D172" i="174"/>
  <c r="C172" i="174"/>
  <c r="E171" i="174"/>
  <c r="D171" i="174"/>
  <c r="C171" i="174"/>
  <c r="E170" i="174"/>
  <c r="D170" i="174"/>
  <c r="C170" i="174"/>
  <c r="E169" i="174"/>
  <c r="D169" i="174"/>
  <c r="C169" i="174"/>
  <c r="E165" i="174"/>
  <c r="D165" i="174"/>
  <c r="C165" i="174"/>
  <c r="E164" i="174"/>
  <c r="D164" i="174"/>
  <c r="C164" i="174"/>
  <c r="E163" i="174"/>
  <c r="D163" i="174"/>
  <c r="C163" i="174"/>
  <c r="E162" i="174"/>
  <c r="D162" i="174"/>
  <c r="C162" i="174"/>
  <c r="E161" i="174"/>
  <c r="D161" i="174"/>
  <c r="C161" i="174"/>
  <c r="E160" i="174"/>
  <c r="D160" i="174"/>
  <c r="C160" i="174"/>
  <c r="E158" i="174"/>
  <c r="D158" i="174"/>
  <c r="C158" i="174"/>
  <c r="E157" i="174"/>
  <c r="D157" i="174"/>
  <c r="C157" i="174"/>
  <c r="E156" i="174"/>
  <c r="D156" i="174"/>
  <c r="C156" i="174"/>
  <c r="E155" i="174"/>
  <c r="D155" i="174"/>
  <c r="C155" i="174"/>
  <c r="E154" i="174"/>
  <c r="D154" i="174"/>
  <c r="C154" i="174"/>
  <c r="E153" i="174"/>
  <c r="D153" i="174"/>
  <c r="C153" i="174"/>
  <c r="E152" i="174"/>
  <c r="D152" i="174"/>
  <c r="C152" i="174"/>
  <c r="E151" i="174"/>
  <c r="D151" i="174"/>
  <c r="C151" i="174"/>
  <c r="E150" i="174"/>
  <c r="D150" i="174"/>
  <c r="C150" i="174"/>
  <c r="E148" i="174"/>
  <c r="D148" i="174"/>
  <c r="C148" i="174"/>
  <c r="E147" i="174"/>
  <c r="D147" i="174"/>
  <c r="C147" i="174"/>
  <c r="E146" i="174"/>
  <c r="D146" i="174"/>
  <c r="C146" i="174"/>
  <c r="E145" i="174"/>
  <c r="D145" i="174"/>
  <c r="C145" i="174"/>
  <c r="E143" i="174"/>
  <c r="D143" i="174"/>
  <c r="C143" i="174"/>
  <c r="E142" i="174"/>
  <c r="D142" i="174"/>
  <c r="C142" i="174"/>
  <c r="E141" i="174"/>
  <c r="D141" i="174"/>
  <c r="C141" i="174"/>
  <c r="E140" i="174"/>
  <c r="D140" i="174"/>
  <c r="C140" i="174"/>
  <c r="E138" i="174"/>
  <c r="D138" i="174"/>
  <c r="C138" i="174"/>
  <c r="E137" i="174"/>
  <c r="D137" i="174"/>
  <c r="C137" i="174"/>
  <c r="E136" i="174"/>
  <c r="D136" i="174"/>
  <c r="C136" i="174"/>
  <c r="E135" i="174"/>
  <c r="D135" i="174"/>
  <c r="C135" i="174"/>
  <c r="E134" i="174"/>
  <c r="D134" i="174"/>
  <c r="C134" i="174"/>
  <c r="E132" i="174"/>
  <c r="D132" i="174"/>
  <c r="C132" i="174"/>
  <c r="E131" i="174"/>
  <c r="D131" i="174"/>
  <c r="C131" i="174"/>
  <c r="E130" i="174"/>
  <c r="D130" i="174"/>
  <c r="C130" i="174"/>
  <c r="E129" i="174"/>
  <c r="D129" i="174"/>
  <c r="C129" i="174"/>
  <c r="E128" i="174"/>
  <c r="D128" i="174"/>
  <c r="C128" i="174"/>
  <c r="E123" i="174"/>
  <c r="D123" i="174"/>
  <c r="C123" i="174"/>
  <c r="E122" i="174"/>
  <c r="D122" i="174"/>
  <c r="C122" i="174"/>
  <c r="E121" i="174"/>
  <c r="D121" i="174"/>
  <c r="C121" i="174"/>
  <c r="E120" i="174"/>
  <c r="D120" i="174"/>
  <c r="C120" i="174"/>
  <c r="E119" i="174"/>
  <c r="D119" i="174"/>
  <c r="C119" i="174"/>
  <c r="E115" i="174"/>
  <c r="D115" i="174"/>
  <c r="C115" i="174"/>
  <c r="E114" i="174"/>
  <c r="D114" i="174"/>
  <c r="C114" i="174"/>
  <c r="E113" i="174"/>
  <c r="D113" i="174"/>
  <c r="C113" i="174"/>
  <c r="E112" i="174"/>
  <c r="D112" i="174"/>
  <c r="C112" i="174"/>
  <c r="E111" i="174"/>
  <c r="D111" i="174"/>
  <c r="C111" i="174"/>
  <c r="E110" i="174"/>
  <c r="D110" i="174"/>
  <c r="C110" i="174"/>
  <c r="E106" i="174"/>
  <c r="D106" i="174"/>
  <c r="C106" i="174"/>
  <c r="E105" i="174"/>
  <c r="D105" i="174"/>
  <c r="C105" i="174"/>
  <c r="E104" i="174"/>
  <c r="D104" i="174"/>
  <c r="C104" i="174"/>
  <c r="E103" i="174"/>
  <c r="D103" i="174"/>
  <c r="C103" i="174"/>
  <c r="E102" i="174"/>
  <c r="D102" i="174"/>
  <c r="C102" i="174"/>
  <c r="E101" i="174"/>
  <c r="D101" i="174"/>
  <c r="C101" i="174"/>
  <c r="E97" i="174"/>
  <c r="D97" i="174"/>
  <c r="C97" i="174"/>
  <c r="E96" i="174"/>
  <c r="D96" i="174"/>
  <c r="C96" i="174"/>
  <c r="E95" i="174"/>
  <c r="D95" i="174"/>
  <c r="C95" i="174"/>
  <c r="E94" i="174"/>
  <c r="D94" i="174"/>
  <c r="C94" i="174"/>
  <c r="E93" i="174"/>
  <c r="D93" i="174"/>
  <c r="C93" i="174"/>
  <c r="E92" i="174"/>
  <c r="D92" i="174"/>
  <c r="C92" i="174"/>
  <c r="E91" i="174"/>
  <c r="D91" i="174"/>
  <c r="C91" i="174"/>
  <c r="E90" i="174"/>
  <c r="D90" i="174"/>
  <c r="C90" i="174"/>
  <c r="E89" i="174"/>
  <c r="D89" i="174"/>
  <c r="C89" i="174"/>
  <c r="E88" i="174"/>
  <c r="D88" i="174"/>
  <c r="C88" i="174"/>
  <c r="E87" i="174"/>
  <c r="D87" i="174"/>
  <c r="C87" i="174"/>
  <c r="E83" i="174"/>
  <c r="D83" i="174"/>
  <c r="C83" i="174"/>
  <c r="E82" i="174"/>
  <c r="D82" i="174"/>
  <c r="C82" i="174"/>
  <c r="E81" i="174"/>
  <c r="D81" i="174"/>
  <c r="C81" i="174"/>
  <c r="E80" i="174"/>
  <c r="D80" i="174"/>
  <c r="C80" i="174"/>
  <c r="E79" i="174"/>
  <c r="D79" i="174"/>
  <c r="C79" i="174"/>
  <c r="E78" i="174"/>
  <c r="D78" i="174"/>
  <c r="C78" i="174"/>
  <c r="E77" i="174"/>
  <c r="D77" i="174"/>
  <c r="C77" i="174"/>
  <c r="E76" i="174"/>
  <c r="D76" i="174"/>
  <c r="C76" i="174"/>
  <c r="E75" i="174"/>
  <c r="D75" i="174"/>
  <c r="C75" i="174"/>
  <c r="E74" i="174"/>
  <c r="D74" i="174"/>
  <c r="C74" i="174"/>
  <c r="E73" i="174"/>
  <c r="D73" i="174"/>
  <c r="C73" i="174"/>
  <c r="E72" i="174"/>
  <c r="D72" i="174"/>
  <c r="C72" i="174"/>
  <c r="E71" i="174"/>
  <c r="D71" i="174"/>
  <c r="C71" i="174"/>
  <c r="E70" i="174"/>
  <c r="D70" i="174"/>
  <c r="C70" i="174"/>
  <c r="E69" i="174"/>
  <c r="D69" i="174"/>
  <c r="C69" i="174"/>
  <c r="E65" i="174"/>
  <c r="D65" i="174"/>
  <c r="C65" i="174"/>
  <c r="E64" i="174"/>
  <c r="D64" i="174"/>
  <c r="C64" i="174"/>
  <c r="E63" i="174"/>
  <c r="D63" i="174"/>
  <c r="C63" i="174"/>
  <c r="E62" i="174"/>
  <c r="D62" i="174"/>
  <c r="C62" i="174"/>
  <c r="E61" i="174"/>
  <c r="D61" i="174"/>
  <c r="C61" i="174"/>
  <c r="E60" i="174"/>
  <c r="D60" i="174"/>
  <c r="C60" i="174"/>
  <c r="E59" i="174"/>
  <c r="D59" i="174"/>
  <c r="C59" i="174"/>
  <c r="E58" i="174"/>
  <c r="D58" i="174"/>
  <c r="C58" i="174"/>
  <c r="E57" i="174"/>
  <c r="D57" i="174"/>
  <c r="C57" i="174"/>
  <c r="E56" i="174"/>
  <c r="D56" i="174"/>
  <c r="C56" i="174"/>
  <c r="E55" i="174"/>
  <c r="D55" i="174"/>
  <c r="C55" i="174"/>
  <c r="E54" i="174"/>
  <c r="D54" i="174"/>
  <c r="C54" i="174"/>
  <c r="E53" i="174"/>
  <c r="D53" i="174"/>
  <c r="C53" i="174"/>
  <c r="E52" i="174"/>
  <c r="D52" i="174"/>
  <c r="C52" i="174"/>
  <c r="E51" i="174"/>
  <c r="D51" i="174"/>
  <c r="C51" i="174"/>
  <c r="E50" i="174"/>
  <c r="D50" i="174"/>
  <c r="C50" i="174"/>
  <c r="E49" i="174"/>
  <c r="D49" i="174"/>
  <c r="C49" i="174"/>
  <c r="E48" i="174"/>
  <c r="D48" i="174"/>
  <c r="C48" i="174"/>
  <c r="E47" i="174"/>
  <c r="D47" i="174"/>
  <c r="C47" i="174"/>
  <c r="E46" i="174"/>
  <c r="D46" i="174"/>
  <c r="C46" i="174"/>
  <c r="E45" i="174"/>
  <c r="D45" i="174"/>
  <c r="C45" i="174"/>
  <c r="E44" i="174"/>
  <c r="D44" i="174"/>
  <c r="C44" i="174"/>
  <c r="E43" i="174"/>
  <c r="D43" i="174"/>
  <c r="C43" i="174"/>
  <c r="E42" i="174"/>
  <c r="D42" i="174"/>
  <c r="C42" i="174"/>
  <c r="E41" i="174"/>
  <c r="D41" i="174"/>
  <c r="C41" i="174"/>
  <c r="E40" i="174"/>
  <c r="D40" i="174"/>
  <c r="C40" i="174"/>
  <c r="E39" i="174"/>
  <c r="D39" i="174"/>
  <c r="C39" i="174"/>
  <c r="E38" i="174"/>
  <c r="D38" i="174"/>
  <c r="C38" i="174"/>
  <c r="E37" i="174"/>
  <c r="D37" i="174"/>
  <c r="C37" i="174"/>
  <c r="E36" i="174"/>
  <c r="D36" i="174"/>
  <c r="C36" i="174"/>
  <c r="E35" i="174"/>
  <c r="D35" i="174"/>
  <c r="C35" i="174"/>
  <c r="E34" i="174"/>
  <c r="D34" i="174"/>
  <c r="C34" i="174"/>
  <c r="E33" i="174"/>
  <c r="D33" i="174"/>
  <c r="C33" i="174"/>
  <c r="E32" i="174"/>
  <c r="D32" i="174"/>
  <c r="C32" i="174"/>
  <c r="E31" i="174"/>
  <c r="D31" i="174"/>
  <c r="C31" i="174"/>
  <c r="E30" i="174"/>
  <c r="D30" i="174"/>
  <c r="C30" i="174"/>
  <c r="D25" i="174"/>
  <c r="C25" i="174"/>
  <c r="D24" i="174"/>
  <c r="C24" i="174"/>
  <c r="D23" i="174"/>
  <c r="C23" i="174"/>
  <c r="D22" i="174"/>
  <c r="C22" i="174"/>
  <c r="D21" i="174"/>
  <c r="C21" i="174"/>
  <c r="D20" i="174"/>
  <c r="C20" i="174"/>
  <c r="D19" i="174"/>
  <c r="C19" i="174"/>
  <c r="D18" i="174"/>
  <c r="C18" i="174"/>
  <c r="D17" i="174"/>
  <c r="C17" i="174"/>
  <c r="D16" i="174"/>
  <c r="C16" i="174"/>
  <c r="D15" i="174"/>
  <c r="C15" i="174"/>
  <c r="D14" i="174"/>
  <c r="C14" i="174"/>
  <c r="D13" i="174"/>
  <c r="C13" i="174"/>
  <c r="D12" i="174"/>
  <c r="C12" i="174"/>
  <c r="C4" i="174"/>
  <c r="C3" i="174"/>
  <c r="F12" i="174" l="1"/>
  <c r="I12" i="174" s="1"/>
  <c r="D26" i="174"/>
  <c r="E84" i="174"/>
  <c r="D98" i="174"/>
  <c r="C107" i="174"/>
  <c r="E107" i="174"/>
  <c r="D124" i="174"/>
  <c r="E166" i="174"/>
  <c r="E202" i="174"/>
  <c r="C233" i="174"/>
  <c r="C26" i="174"/>
  <c r="C66" i="174"/>
  <c r="C238" i="174"/>
  <c r="D84" i="174"/>
  <c r="C98" i="174"/>
  <c r="C124" i="174"/>
  <c r="C166" i="174"/>
  <c r="D166" i="174"/>
  <c r="E98" i="174"/>
  <c r="D107" i="174"/>
  <c r="D116" i="174"/>
  <c r="E116" i="174"/>
  <c r="C202" i="174"/>
  <c r="C211" i="174"/>
  <c r="E211" i="174"/>
  <c r="C84" i="174"/>
  <c r="C116" i="174"/>
  <c r="E124" i="174"/>
  <c r="D202" i="174"/>
  <c r="D211" i="174"/>
  <c r="D66" i="174"/>
  <c r="E66" i="174"/>
  <c r="C213" i="174" l="1"/>
  <c r="C217" i="174" s="1"/>
  <c r="E213" i="174"/>
  <c r="E220" i="174" s="1"/>
  <c r="D213" i="174"/>
  <c r="D220" i="174" s="1"/>
  <c r="C220" i="174" l="1"/>
  <c r="D18" i="66"/>
  <c r="I249" i="66"/>
  <c r="I248" i="66"/>
  <c r="I247" i="66"/>
  <c r="I246" i="66"/>
  <c r="C243" i="66"/>
  <c r="C242" i="66"/>
  <c r="C241" i="66"/>
  <c r="C240" i="66"/>
  <c r="C237" i="66"/>
  <c r="C236" i="66"/>
  <c r="E233" i="66"/>
  <c r="D233" i="66"/>
  <c r="C232" i="66"/>
  <c r="C231" i="66"/>
  <c r="C230" i="66"/>
  <c r="C229" i="66"/>
  <c r="C228" i="66"/>
  <c r="C227" i="66"/>
  <c r="C226" i="66"/>
  <c r="C225" i="66"/>
  <c r="C224" i="66"/>
  <c r="C216" i="66"/>
  <c r="E210" i="66"/>
  <c r="D210" i="66"/>
  <c r="C210" i="66"/>
  <c r="E209" i="66"/>
  <c r="D209" i="66"/>
  <c r="C209" i="66"/>
  <c r="E208" i="66"/>
  <c r="D208" i="66"/>
  <c r="C208" i="66"/>
  <c r="E207" i="66"/>
  <c r="D207" i="66"/>
  <c r="C207" i="66"/>
  <c r="E206" i="66"/>
  <c r="D206" i="66"/>
  <c r="C206" i="66"/>
  <c r="E205" i="66"/>
  <c r="D205" i="66"/>
  <c r="C205" i="66"/>
  <c r="E201" i="66"/>
  <c r="C201" i="66"/>
  <c r="E200" i="66"/>
  <c r="D200" i="66"/>
  <c r="C200" i="66"/>
  <c r="E199" i="66"/>
  <c r="D199" i="66"/>
  <c r="C199" i="66"/>
  <c r="E198" i="66"/>
  <c r="D198" i="66"/>
  <c r="C198" i="66"/>
  <c r="E197" i="66"/>
  <c r="D197" i="66"/>
  <c r="C197" i="66"/>
  <c r="E196" i="66"/>
  <c r="D196" i="66"/>
  <c r="C196" i="66"/>
  <c r="E195" i="66"/>
  <c r="D195" i="66"/>
  <c r="C195" i="66"/>
  <c r="E194" i="66"/>
  <c r="D194" i="66"/>
  <c r="C194" i="66"/>
  <c r="E193" i="66"/>
  <c r="D193" i="66"/>
  <c r="C193" i="66"/>
  <c r="E192" i="66"/>
  <c r="D192" i="66"/>
  <c r="C192" i="66"/>
  <c r="E191" i="66"/>
  <c r="D191" i="66"/>
  <c r="C191" i="66"/>
  <c r="E190" i="66"/>
  <c r="D190" i="66"/>
  <c r="C190" i="66"/>
  <c r="E189" i="66"/>
  <c r="D189" i="66"/>
  <c r="C189" i="66"/>
  <c r="E188" i="66"/>
  <c r="D188" i="66"/>
  <c r="C188" i="66"/>
  <c r="E187" i="66"/>
  <c r="D187" i="66"/>
  <c r="C187" i="66"/>
  <c r="E186" i="66"/>
  <c r="D186" i="66"/>
  <c r="C186" i="66"/>
  <c r="E185" i="66"/>
  <c r="D185" i="66"/>
  <c r="C185" i="66"/>
  <c r="E184" i="66"/>
  <c r="D184" i="66"/>
  <c r="C184" i="66"/>
  <c r="E183" i="66"/>
  <c r="D183" i="66"/>
  <c r="C183" i="66"/>
  <c r="E182" i="66"/>
  <c r="D182" i="66"/>
  <c r="C182" i="66"/>
  <c r="E181" i="66"/>
  <c r="D181" i="66"/>
  <c r="C181" i="66"/>
  <c r="E180" i="66"/>
  <c r="D180" i="66"/>
  <c r="C180" i="66"/>
  <c r="E179" i="66"/>
  <c r="D179" i="66"/>
  <c r="C179" i="66"/>
  <c r="E178" i="66"/>
  <c r="D178" i="66"/>
  <c r="C178" i="66"/>
  <c r="E177" i="66"/>
  <c r="D177" i="66"/>
  <c r="C177" i="66"/>
  <c r="E176" i="66"/>
  <c r="D176" i="66"/>
  <c r="C176" i="66"/>
  <c r="E175" i="66"/>
  <c r="D175" i="66"/>
  <c r="C175" i="66"/>
  <c r="E174" i="66"/>
  <c r="D174" i="66"/>
  <c r="C174" i="66"/>
  <c r="E173" i="66"/>
  <c r="D173" i="66"/>
  <c r="C173" i="66"/>
  <c r="E172" i="66"/>
  <c r="D172" i="66"/>
  <c r="C172" i="66"/>
  <c r="E171" i="66"/>
  <c r="D171" i="66"/>
  <c r="C171" i="66"/>
  <c r="E170" i="66"/>
  <c r="D170" i="66"/>
  <c r="C170" i="66"/>
  <c r="E169" i="66"/>
  <c r="D169" i="66"/>
  <c r="C169" i="66"/>
  <c r="E165" i="66"/>
  <c r="D165" i="66"/>
  <c r="C165" i="66"/>
  <c r="E164" i="66"/>
  <c r="D164" i="66"/>
  <c r="C164" i="66"/>
  <c r="E163" i="66"/>
  <c r="D163" i="66"/>
  <c r="C163" i="66"/>
  <c r="E162" i="66"/>
  <c r="D162" i="66"/>
  <c r="C162" i="66"/>
  <c r="E161" i="66"/>
  <c r="D161" i="66"/>
  <c r="C161" i="66"/>
  <c r="E160" i="66"/>
  <c r="D160" i="66"/>
  <c r="C160" i="66"/>
  <c r="E158" i="66"/>
  <c r="D158" i="66"/>
  <c r="C158" i="66"/>
  <c r="E157" i="66"/>
  <c r="D157" i="66"/>
  <c r="C157" i="66"/>
  <c r="E156" i="66"/>
  <c r="D156" i="66"/>
  <c r="C156" i="66"/>
  <c r="E155" i="66"/>
  <c r="D155" i="66"/>
  <c r="C155" i="66"/>
  <c r="E154" i="66"/>
  <c r="D154" i="66"/>
  <c r="C154" i="66"/>
  <c r="E153" i="66"/>
  <c r="D153" i="66"/>
  <c r="C153" i="66"/>
  <c r="E152" i="66"/>
  <c r="D152" i="66"/>
  <c r="C152" i="66"/>
  <c r="E151" i="66"/>
  <c r="D151" i="66"/>
  <c r="C151" i="66"/>
  <c r="E150" i="66"/>
  <c r="D150" i="66"/>
  <c r="C150" i="66"/>
  <c r="E148" i="66"/>
  <c r="D148" i="66"/>
  <c r="C148" i="66"/>
  <c r="E147" i="66"/>
  <c r="D147" i="66"/>
  <c r="C147" i="66"/>
  <c r="E146" i="66"/>
  <c r="D146" i="66"/>
  <c r="C146" i="66"/>
  <c r="E145" i="66"/>
  <c r="D145" i="66"/>
  <c r="C145" i="66"/>
  <c r="E143" i="66"/>
  <c r="D143" i="66"/>
  <c r="C143" i="66"/>
  <c r="E142" i="66"/>
  <c r="D142" i="66"/>
  <c r="C142" i="66"/>
  <c r="E141" i="66"/>
  <c r="D141" i="66"/>
  <c r="C141" i="66"/>
  <c r="E140" i="66"/>
  <c r="D140" i="66"/>
  <c r="C140" i="66"/>
  <c r="E138" i="66"/>
  <c r="D138" i="66"/>
  <c r="C138" i="66"/>
  <c r="E137" i="66"/>
  <c r="D137" i="66"/>
  <c r="C137" i="66"/>
  <c r="E136" i="66"/>
  <c r="D136" i="66"/>
  <c r="C136" i="66"/>
  <c r="E135" i="66"/>
  <c r="D135" i="66"/>
  <c r="C135" i="66"/>
  <c r="E134" i="66"/>
  <c r="D134" i="66"/>
  <c r="C134" i="66"/>
  <c r="E132" i="66"/>
  <c r="D132" i="66"/>
  <c r="C132" i="66"/>
  <c r="E131" i="66"/>
  <c r="D131" i="66"/>
  <c r="C131" i="66"/>
  <c r="E130" i="66"/>
  <c r="D130" i="66"/>
  <c r="C130" i="66"/>
  <c r="E129" i="66"/>
  <c r="D129" i="66"/>
  <c r="C129" i="66"/>
  <c r="E128" i="66"/>
  <c r="D128" i="66"/>
  <c r="C128" i="66"/>
  <c r="E123" i="66"/>
  <c r="D123" i="66"/>
  <c r="C123" i="66"/>
  <c r="E122" i="66"/>
  <c r="D122" i="66"/>
  <c r="C122" i="66"/>
  <c r="E121" i="66"/>
  <c r="D121" i="66"/>
  <c r="C121" i="66"/>
  <c r="E120" i="66"/>
  <c r="D120" i="66"/>
  <c r="C120" i="66"/>
  <c r="E119" i="66"/>
  <c r="D119" i="66"/>
  <c r="C119" i="66"/>
  <c r="E115" i="66"/>
  <c r="D115" i="66"/>
  <c r="C115" i="66"/>
  <c r="E114" i="66"/>
  <c r="D114" i="66"/>
  <c r="C114" i="66"/>
  <c r="E113" i="66"/>
  <c r="D113" i="66"/>
  <c r="C113" i="66"/>
  <c r="E112" i="66"/>
  <c r="D112" i="66"/>
  <c r="C112" i="66"/>
  <c r="E111" i="66"/>
  <c r="D111" i="66"/>
  <c r="C111" i="66"/>
  <c r="E110" i="66"/>
  <c r="D110" i="66"/>
  <c r="C110" i="66"/>
  <c r="E106" i="66"/>
  <c r="D106" i="66"/>
  <c r="C106" i="66"/>
  <c r="E105" i="66"/>
  <c r="D105" i="66"/>
  <c r="C105" i="66"/>
  <c r="E104" i="66"/>
  <c r="D104" i="66"/>
  <c r="C104" i="66"/>
  <c r="E103" i="66"/>
  <c r="D103" i="66"/>
  <c r="C103" i="66"/>
  <c r="E102" i="66"/>
  <c r="D102" i="66"/>
  <c r="C102" i="66"/>
  <c r="E101" i="66"/>
  <c r="D101" i="66"/>
  <c r="C101" i="66"/>
  <c r="E97" i="66"/>
  <c r="D97" i="66"/>
  <c r="C97" i="66"/>
  <c r="E96" i="66"/>
  <c r="D96" i="66"/>
  <c r="C96" i="66"/>
  <c r="E95" i="66"/>
  <c r="D95" i="66"/>
  <c r="C95" i="66"/>
  <c r="E94" i="66"/>
  <c r="D94" i="66"/>
  <c r="C94" i="66"/>
  <c r="E93" i="66"/>
  <c r="D93" i="66"/>
  <c r="C93" i="66"/>
  <c r="E92" i="66"/>
  <c r="D92" i="66"/>
  <c r="C92" i="66"/>
  <c r="E91" i="66"/>
  <c r="D91" i="66"/>
  <c r="C91" i="66"/>
  <c r="E90" i="66"/>
  <c r="D90" i="66"/>
  <c r="C90" i="66"/>
  <c r="E89" i="66"/>
  <c r="D89" i="66"/>
  <c r="C89" i="66"/>
  <c r="E88" i="66"/>
  <c r="D88" i="66"/>
  <c r="C88" i="66"/>
  <c r="E87" i="66"/>
  <c r="D87" i="66"/>
  <c r="C87" i="66"/>
  <c r="E83" i="66"/>
  <c r="D83" i="66"/>
  <c r="C83" i="66"/>
  <c r="E82" i="66"/>
  <c r="D82" i="66"/>
  <c r="C82" i="66"/>
  <c r="E81" i="66"/>
  <c r="D81" i="66"/>
  <c r="C81" i="66"/>
  <c r="E80" i="66"/>
  <c r="D80" i="66"/>
  <c r="C80" i="66"/>
  <c r="E79" i="66"/>
  <c r="D79" i="66"/>
  <c r="C79" i="66"/>
  <c r="E78" i="66"/>
  <c r="D78" i="66"/>
  <c r="C78" i="66"/>
  <c r="E77" i="66"/>
  <c r="D77" i="66"/>
  <c r="C77" i="66"/>
  <c r="E76" i="66"/>
  <c r="D76" i="66"/>
  <c r="C76" i="66"/>
  <c r="E75" i="66"/>
  <c r="D75" i="66"/>
  <c r="C75" i="66"/>
  <c r="E74" i="66"/>
  <c r="D74" i="66"/>
  <c r="C74" i="66"/>
  <c r="E73" i="66"/>
  <c r="D73" i="66"/>
  <c r="C73" i="66"/>
  <c r="E72" i="66"/>
  <c r="D72" i="66"/>
  <c r="C72" i="66"/>
  <c r="E71" i="66"/>
  <c r="D71" i="66"/>
  <c r="C71" i="66"/>
  <c r="E70" i="66"/>
  <c r="C70" i="66"/>
  <c r="E69" i="66"/>
  <c r="C69" i="66"/>
  <c r="E65" i="66"/>
  <c r="D65" i="66"/>
  <c r="C65" i="66"/>
  <c r="E64" i="66"/>
  <c r="D64" i="66"/>
  <c r="C64" i="66"/>
  <c r="E63" i="66"/>
  <c r="D63" i="66"/>
  <c r="C63" i="66"/>
  <c r="E62" i="66"/>
  <c r="D62" i="66"/>
  <c r="C62" i="66"/>
  <c r="E61" i="66"/>
  <c r="D61" i="66"/>
  <c r="C61" i="66"/>
  <c r="E60" i="66"/>
  <c r="D60" i="66"/>
  <c r="C60" i="66"/>
  <c r="E59" i="66"/>
  <c r="D59" i="66"/>
  <c r="C59" i="66"/>
  <c r="E58" i="66"/>
  <c r="D58" i="66"/>
  <c r="C58" i="66"/>
  <c r="E57" i="66"/>
  <c r="D57" i="66"/>
  <c r="C57" i="66"/>
  <c r="E56" i="66"/>
  <c r="D56" i="66"/>
  <c r="C56" i="66"/>
  <c r="E55" i="66"/>
  <c r="D55" i="66"/>
  <c r="C55" i="66"/>
  <c r="E54" i="66"/>
  <c r="D54" i="66"/>
  <c r="C54" i="66"/>
  <c r="E53" i="66"/>
  <c r="D53" i="66"/>
  <c r="C53" i="66"/>
  <c r="E52" i="66"/>
  <c r="D52" i="66"/>
  <c r="C52" i="66"/>
  <c r="E51" i="66"/>
  <c r="D51" i="66"/>
  <c r="C51" i="66"/>
  <c r="E50" i="66"/>
  <c r="D50" i="66"/>
  <c r="C50" i="66"/>
  <c r="E49" i="66"/>
  <c r="D49" i="66"/>
  <c r="C49" i="66"/>
  <c r="E48" i="66"/>
  <c r="D48" i="66"/>
  <c r="C48" i="66"/>
  <c r="E47" i="66"/>
  <c r="D47" i="66"/>
  <c r="C47" i="66"/>
  <c r="E46" i="66"/>
  <c r="D46" i="66"/>
  <c r="C46" i="66"/>
  <c r="E45" i="66"/>
  <c r="D45" i="66"/>
  <c r="C45" i="66"/>
  <c r="E44" i="66"/>
  <c r="D44" i="66"/>
  <c r="C44" i="66"/>
  <c r="E43" i="66"/>
  <c r="D43" i="66"/>
  <c r="C43" i="66"/>
  <c r="E42" i="66"/>
  <c r="D42" i="66"/>
  <c r="C42" i="66"/>
  <c r="E41" i="66"/>
  <c r="D41" i="66"/>
  <c r="C41" i="66"/>
  <c r="E40" i="66"/>
  <c r="D40" i="66"/>
  <c r="C40" i="66"/>
  <c r="E39" i="66"/>
  <c r="D39" i="66"/>
  <c r="C39" i="66"/>
  <c r="E38" i="66"/>
  <c r="D38" i="66"/>
  <c r="C38" i="66"/>
  <c r="E37" i="66"/>
  <c r="D37" i="66"/>
  <c r="C37" i="66"/>
  <c r="E36" i="66"/>
  <c r="D36" i="66"/>
  <c r="C36" i="66"/>
  <c r="E35" i="66"/>
  <c r="D35" i="66"/>
  <c r="C35" i="66"/>
  <c r="E34" i="66"/>
  <c r="D34" i="66"/>
  <c r="C34" i="66"/>
  <c r="E33" i="66"/>
  <c r="D33" i="66"/>
  <c r="C33" i="66"/>
  <c r="E32" i="66"/>
  <c r="D32" i="66"/>
  <c r="C32" i="66"/>
  <c r="E31" i="66"/>
  <c r="D31" i="66"/>
  <c r="C31" i="66"/>
  <c r="E30" i="66"/>
  <c r="D30" i="66"/>
  <c r="C30" i="66"/>
  <c r="D25" i="66"/>
  <c r="C25" i="66"/>
  <c r="D24" i="66"/>
  <c r="C24" i="66"/>
  <c r="D23" i="66"/>
  <c r="C23" i="66"/>
  <c r="D22" i="66"/>
  <c r="C22" i="66"/>
  <c r="D21" i="66"/>
  <c r="C21" i="66"/>
  <c r="D20" i="66"/>
  <c r="C20" i="66"/>
  <c r="D19" i="66"/>
  <c r="C19" i="66"/>
  <c r="C18" i="66"/>
  <c r="D17" i="66"/>
  <c r="C17" i="66"/>
  <c r="D16" i="66"/>
  <c r="C16" i="66"/>
  <c r="D15" i="66"/>
  <c r="C15" i="66"/>
  <c r="D14" i="66"/>
  <c r="C14" i="66"/>
  <c r="D13" i="66"/>
  <c r="C13" i="66"/>
  <c r="D12" i="66"/>
  <c r="C12" i="66"/>
  <c r="C4" i="66"/>
  <c r="C3" i="66"/>
  <c r="D26" i="66" l="1"/>
  <c r="F12" i="66"/>
  <c r="I12" i="66" s="1"/>
  <c r="C238" i="66"/>
  <c r="E84" i="66"/>
  <c r="C107" i="66"/>
  <c r="D107" i="66"/>
  <c r="E107" i="66"/>
  <c r="E202" i="66"/>
  <c r="C84" i="66"/>
  <c r="C98" i="66"/>
  <c r="D98" i="66"/>
  <c r="C166" i="66"/>
  <c r="D166" i="66"/>
  <c r="E98" i="66"/>
  <c r="C116" i="66"/>
  <c r="E166" i="66"/>
  <c r="C26" i="66"/>
  <c r="E116" i="66"/>
  <c r="C124" i="66"/>
  <c r="D124" i="66"/>
  <c r="D116" i="66"/>
  <c r="C211" i="66"/>
  <c r="D211" i="66"/>
  <c r="E211" i="66"/>
  <c r="C233" i="66"/>
  <c r="D84" i="66"/>
  <c r="E124" i="66"/>
  <c r="C202" i="66"/>
  <c r="D202" i="66"/>
  <c r="C66" i="66"/>
  <c r="D66" i="66"/>
  <c r="E66" i="66"/>
  <c r="C213" i="66" l="1"/>
  <c r="C217" i="66" s="1"/>
  <c r="E213" i="66"/>
  <c r="E220" i="66" s="1"/>
  <c r="D213" i="66"/>
  <c r="D220" i="66" s="1"/>
  <c r="C220" i="66" l="1"/>
  <c r="I249" i="178"/>
  <c r="I248" i="178"/>
  <c r="I247" i="178"/>
  <c r="I246" i="178"/>
  <c r="C243" i="178"/>
  <c r="C242" i="178"/>
  <c r="C241" i="178"/>
  <c r="C240" i="178"/>
  <c r="C237" i="178"/>
  <c r="C236" i="178"/>
  <c r="E233" i="178"/>
  <c r="D233" i="178"/>
  <c r="C232" i="178"/>
  <c r="C231" i="178"/>
  <c r="C230" i="178"/>
  <c r="C229" i="178"/>
  <c r="C228" i="178"/>
  <c r="C227" i="178"/>
  <c r="C226" i="178"/>
  <c r="C225" i="178"/>
  <c r="C224" i="178"/>
  <c r="C216" i="178"/>
  <c r="E210" i="178"/>
  <c r="D210" i="178"/>
  <c r="C210" i="178"/>
  <c r="E209" i="178"/>
  <c r="D209" i="178"/>
  <c r="C209" i="178"/>
  <c r="E208" i="178"/>
  <c r="D208" i="178"/>
  <c r="C208" i="178"/>
  <c r="E207" i="178"/>
  <c r="D207" i="178"/>
  <c r="C207" i="178"/>
  <c r="E206" i="178"/>
  <c r="D206" i="178"/>
  <c r="C206" i="178"/>
  <c r="E205" i="178"/>
  <c r="D205" i="178"/>
  <c r="C205" i="178"/>
  <c r="E201" i="178"/>
  <c r="D201" i="178"/>
  <c r="C201" i="178"/>
  <c r="E200" i="178"/>
  <c r="D200" i="178"/>
  <c r="C200" i="178"/>
  <c r="E199" i="178"/>
  <c r="D199" i="178"/>
  <c r="C199" i="178"/>
  <c r="E198" i="178"/>
  <c r="D198" i="178"/>
  <c r="C198" i="178"/>
  <c r="E197" i="178"/>
  <c r="D197" i="178"/>
  <c r="C197" i="178"/>
  <c r="E196" i="178"/>
  <c r="D196" i="178"/>
  <c r="C196" i="178"/>
  <c r="E195" i="178"/>
  <c r="D195" i="178"/>
  <c r="C195" i="178"/>
  <c r="E194" i="178"/>
  <c r="D194" i="178"/>
  <c r="C194" i="178"/>
  <c r="E193" i="178"/>
  <c r="D193" i="178"/>
  <c r="C193" i="178"/>
  <c r="E192" i="178"/>
  <c r="D192" i="178"/>
  <c r="C192" i="178"/>
  <c r="E191" i="178"/>
  <c r="D191" i="178"/>
  <c r="C191" i="178"/>
  <c r="E190" i="178"/>
  <c r="D190" i="178"/>
  <c r="C190" i="178"/>
  <c r="E189" i="178"/>
  <c r="D189" i="178"/>
  <c r="C189" i="178"/>
  <c r="E188" i="178"/>
  <c r="D188" i="178"/>
  <c r="C188" i="178"/>
  <c r="E187" i="178"/>
  <c r="D187" i="178"/>
  <c r="C187" i="178"/>
  <c r="E186" i="178"/>
  <c r="D186" i="178"/>
  <c r="C186" i="178"/>
  <c r="E185" i="178"/>
  <c r="D185" i="178"/>
  <c r="C185" i="178"/>
  <c r="E184" i="178"/>
  <c r="D184" i="178"/>
  <c r="C184" i="178"/>
  <c r="E183" i="178"/>
  <c r="D183" i="178"/>
  <c r="C183" i="178"/>
  <c r="E182" i="178"/>
  <c r="D182" i="178"/>
  <c r="C182" i="178"/>
  <c r="E181" i="178"/>
  <c r="D181" i="178"/>
  <c r="C181" i="178"/>
  <c r="E180" i="178"/>
  <c r="D180" i="178"/>
  <c r="C180" i="178"/>
  <c r="E179" i="178"/>
  <c r="D179" i="178"/>
  <c r="C179" i="178"/>
  <c r="E178" i="178"/>
  <c r="D178" i="178"/>
  <c r="C178" i="178"/>
  <c r="E177" i="178"/>
  <c r="D177" i="178"/>
  <c r="C177" i="178"/>
  <c r="E176" i="178"/>
  <c r="D176" i="178"/>
  <c r="C176" i="178"/>
  <c r="E175" i="178"/>
  <c r="D175" i="178"/>
  <c r="C175" i="178"/>
  <c r="E174" i="178"/>
  <c r="D174" i="178"/>
  <c r="C174" i="178"/>
  <c r="E173" i="178"/>
  <c r="D173" i="178"/>
  <c r="C173" i="178"/>
  <c r="E172" i="178"/>
  <c r="D172" i="178"/>
  <c r="C172" i="178"/>
  <c r="E171" i="178"/>
  <c r="D171" i="178"/>
  <c r="C171" i="178"/>
  <c r="E170" i="178"/>
  <c r="D170" i="178"/>
  <c r="C170" i="178"/>
  <c r="E169" i="178"/>
  <c r="D169" i="178"/>
  <c r="C169" i="178"/>
  <c r="E165" i="178"/>
  <c r="D165" i="178"/>
  <c r="C165" i="178"/>
  <c r="E164" i="178"/>
  <c r="D164" i="178"/>
  <c r="C164" i="178"/>
  <c r="E163" i="178"/>
  <c r="D163" i="178"/>
  <c r="C163" i="178"/>
  <c r="E162" i="178"/>
  <c r="D162" i="178"/>
  <c r="C162" i="178"/>
  <c r="E161" i="178"/>
  <c r="D161" i="178"/>
  <c r="C161" i="178"/>
  <c r="E160" i="178"/>
  <c r="D160" i="178"/>
  <c r="C160" i="178"/>
  <c r="E158" i="178"/>
  <c r="D158" i="178"/>
  <c r="C158" i="178"/>
  <c r="E157" i="178"/>
  <c r="D157" i="178"/>
  <c r="C157" i="178"/>
  <c r="E156" i="178"/>
  <c r="D156" i="178"/>
  <c r="C156" i="178"/>
  <c r="E155" i="178"/>
  <c r="D155" i="178"/>
  <c r="C155" i="178"/>
  <c r="E154" i="178"/>
  <c r="D154" i="178"/>
  <c r="C154" i="178"/>
  <c r="E153" i="178"/>
  <c r="D153" i="178"/>
  <c r="C153" i="178"/>
  <c r="E152" i="178"/>
  <c r="D152" i="178"/>
  <c r="C152" i="178"/>
  <c r="E151" i="178"/>
  <c r="D151" i="178"/>
  <c r="C151" i="178"/>
  <c r="E150" i="178"/>
  <c r="D150" i="178"/>
  <c r="C150" i="178"/>
  <c r="E148" i="178"/>
  <c r="D148" i="178"/>
  <c r="C148" i="178"/>
  <c r="E147" i="178"/>
  <c r="D147" i="178"/>
  <c r="C147" i="178"/>
  <c r="E146" i="178"/>
  <c r="D146" i="178"/>
  <c r="C146" i="178"/>
  <c r="E145" i="178"/>
  <c r="D145" i="178"/>
  <c r="C145" i="178"/>
  <c r="E143" i="178"/>
  <c r="D143" i="178"/>
  <c r="C143" i="178"/>
  <c r="E142" i="178"/>
  <c r="D142" i="178"/>
  <c r="C142" i="178"/>
  <c r="E141" i="178"/>
  <c r="D141" i="178"/>
  <c r="C141" i="178"/>
  <c r="E140" i="178"/>
  <c r="D140" i="178"/>
  <c r="C140" i="178"/>
  <c r="E138" i="178"/>
  <c r="D138" i="178"/>
  <c r="C138" i="178"/>
  <c r="E137" i="178"/>
  <c r="D137" i="178"/>
  <c r="C137" i="178"/>
  <c r="E136" i="178"/>
  <c r="D136" i="178"/>
  <c r="C136" i="178"/>
  <c r="E135" i="178"/>
  <c r="D135" i="178"/>
  <c r="C135" i="178"/>
  <c r="E134" i="178"/>
  <c r="D134" i="178"/>
  <c r="C134" i="178"/>
  <c r="E132" i="178"/>
  <c r="D132" i="178"/>
  <c r="C132" i="178"/>
  <c r="E131" i="178"/>
  <c r="D131" i="178"/>
  <c r="C131" i="178"/>
  <c r="E130" i="178"/>
  <c r="D130" i="178"/>
  <c r="C130" i="178"/>
  <c r="E129" i="178"/>
  <c r="D129" i="178"/>
  <c r="C129" i="178"/>
  <c r="E128" i="178"/>
  <c r="D128" i="178"/>
  <c r="C128" i="178"/>
  <c r="E123" i="178"/>
  <c r="D123" i="178"/>
  <c r="C123" i="178"/>
  <c r="E122" i="178"/>
  <c r="D122" i="178"/>
  <c r="C122" i="178"/>
  <c r="E121" i="178"/>
  <c r="D121" i="178"/>
  <c r="C121" i="178"/>
  <c r="E120" i="178"/>
  <c r="D120" i="178"/>
  <c r="C120" i="178"/>
  <c r="E119" i="178"/>
  <c r="D119" i="178"/>
  <c r="C119" i="178"/>
  <c r="E115" i="178"/>
  <c r="D115" i="178"/>
  <c r="C115" i="178"/>
  <c r="E114" i="178"/>
  <c r="D114" i="178"/>
  <c r="C114" i="178"/>
  <c r="E113" i="178"/>
  <c r="D113" i="178"/>
  <c r="C113" i="178"/>
  <c r="E112" i="178"/>
  <c r="D112" i="178"/>
  <c r="C112" i="178"/>
  <c r="E111" i="178"/>
  <c r="D111" i="178"/>
  <c r="C111" i="178"/>
  <c r="E110" i="178"/>
  <c r="D110" i="178"/>
  <c r="C110" i="178"/>
  <c r="E106" i="178"/>
  <c r="D106" i="178"/>
  <c r="C106" i="178"/>
  <c r="E105" i="178"/>
  <c r="D105" i="178"/>
  <c r="C105" i="178"/>
  <c r="E104" i="178"/>
  <c r="D104" i="178"/>
  <c r="C104" i="178"/>
  <c r="E103" i="178"/>
  <c r="D103" i="178"/>
  <c r="C103" i="178"/>
  <c r="E102" i="178"/>
  <c r="D102" i="178"/>
  <c r="C102" i="178"/>
  <c r="E101" i="178"/>
  <c r="D101" i="178"/>
  <c r="C101" i="178"/>
  <c r="E97" i="178"/>
  <c r="D97" i="178"/>
  <c r="C97" i="178"/>
  <c r="E96" i="178"/>
  <c r="D96" i="178"/>
  <c r="C96" i="178"/>
  <c r="E95" i="178"/>
  <c r="D95" i="178"/>
  <c r="C95" i="178"/>
  <c r="E94" i="178"/>
  <c r="D94" i="178"/>
  <c r="C94" i="178"/>
  <c r="E93" i="178"/>
  <c r="D93" i="178"/>
  <c r="C93" i="178"/>
  <c r="E92" i="178"/>
  <c r="D92" i="178"/>
  <c r="C92" i="178"/>
  <c r="E91" i="178"/>
  <c r="D91" i="178"/>
  <c r="C91" i="178"/>
  <c r="E90" i="178"/>
  <c r="D90" i="178"/>
  <c r="C90" i="178"/>
  <c r="E89" i="178"/>
  <c r="D89" i="178"/>
  <c r="C89" i="178"/>
  <c r="E88" i="178"/>
  <c r="D88" i="178"/>
  <c r="C88" i="178"/>
  <c r="E87" i="178"/>
  <c r="D87" i="178"/>
  <c r="C87" i="178"/>
  <c r="E83" i="178"/>
  <c r="D83" i="178"/>
  <c r="C83" i="178"/>
  <c r="E82" i="178"/>
  <c r="D82" i="178"/>
  <c r="C82" i="178"/>
  <c r="E81" i="178"/>
  <c r="D81" i="178"/>
  <c r="C81" i="178"/>
  <c r="E80" i="178"/>
  <c r="D80" i="178"/>
  <c r="C80" i="178"/>
  <c r="E79" i="178"/>
  <c r="D79" i="178"/>
  <c r="C79" i="178"/>
  <c r="E78" i="178"/>
  <c r="D78" i="178"/>
  <c r="C78" i="178"/>
  <c r="E77" i="178"/>
  <c r="D77" i="178"/>
  <c r="C77" i="178"/>
  <c r="E76" i="178"/>
  <c r="D76" i="178"/>
  <c r="C76" i="178"/>
  <c r="E75" i="178"/>
  <c r="D75" i="178"/>
  <c r="C75" i="178"/>
  <c r="E74" i="178"/>
  <c r="D74" i="178"/>
  <c r="C74" i="178"/>
  <c r="E73" i="178"/>
  <c r="D73" i="178"/>
  <c r="C73" i="178"/>
  <c r="E72" i="178"/>
  <c r="D72" i="178"/>
  <c r="C72" i="178"/>
  <c r="E71" i="178"/>
  <c r="D71" i="178"/>
  <c r="C71" i="178"/>
  <c r="E70" i="178"/>
  <c r="D70" i="178"/>
  <c r="C70" i="178"/>
  <c r="E69" i="178"/>
  <c r="D69" i="178"/>
  <c r="C69" i="178"/>
  <c r="E65" i="178"/>
  <c r="D65" i="178"/>
  <c r="C65" i="178"/>
  <c r="E64" i="178"/>
  <c r="D64" i="178"/>
  <c r="C64" i="178"/>
  <c r="E63" i="178"/>
  <c r="D63" i="178"/>
  <c r="C63" i="178"/>
  <c r="E62" i="178"/>
  <c r="D62" i="178"/>
  <c r="C62" i="178"/>
  <c r="E61" i="178"/>
  <c r="D61" i="178"/>
  <c r="C61" i="178"/>
  <c r="E60" i="178"/>
  <c r="D60" i="178"/>
  <c r="C60" i="178"/>
  <c r="E59" i="178"/>
  <c r="D59" i="178"/>
  <c r="C59" i="178"/>
  <c r="E58" i="178"/>
  <c r="D58" i="178"/>
  <c r="C58" i="178"/>
  <c r="E57" i="178"/>
  <c r="D57" i="178"/>
  <c r="C57" i="178"/>
  <c r="E56" i="178"/>
  <c r="D56" i="178"/>
  <c r="C56" i="178"/>
  <c r="E55" i="178"/>
  <c r="D55" i="178"/>
  <c r="C55" i="178"/>
  <c r="E54" i="178"/>
  <c r="D54" i="178"/>
  <c r="C54" i="178"/>
  <c r="E53" i="178"/>
  <c r="D53" i="178"/>
  <c r="C53" i="178"/>
  <c r="E52" i="178"/>
  <c r="D52" i="178"/>
  <c r="C52" i="178"/>
  <c r="E51" i="178"/>
  <c r="D51" i="178"/>
  <c r="C51" i="178"/>
  <c r="E50" i="178"/>
  <c r="D50" i="178"/>
  <c r="C50" i="178"/>
  <c r="E49" i="178"/>
  <c r="D49" i="178"/>
  <c r="C49" i="178"/>
  <c r="E48" i="178"/>
  <c r="D48" i="178"/>
  <c r="C48" i="178"/>
  <c r="E47" i="178"/>
  <c r="D47" i="178"/>
  <c r="C47" i="178"/>
  <c r="E46" i="178"/>
  <c r="D46" i="178"/>
  <c r="C46" i="178"/>
  <c r="E45" i="178"/>
  <c r="D45" i="178"/>
  <c r="C45" i="178"/>
  <c r="E44" i="178"/>
  <c r="D44" i="178"/>
  <c r="C44" i="178"/>
  <c r="E43" i="178"/>
  <c r="D43" i="178"/>
  <c r="C43" i="178"/>
  <c r="E42" i="178"/>
  <c r="D42" i="178"/>
  <c r="C42" i="178"/>
  <c r="E41" i="178"/>
  <c r="D41" i="178"/>
  <c r="C41" i="178"/>
  <c r="E40" i="178"/>
  <c r="D40" i="178"/>
  <c r="C40" i="178"/>
  <c r="E39" i="178"/>
  <c r="D39" i="178"/>
  <c r="C39" i="178"/>
  <c r="E38" i="178"/>
  <c r="D38" i="178"/>
  <c r="C38" i="178"/>
  <c r="E37" i="178"/>
  <c r="D37" i="178"/>
  <c r="C37" i="178"/>
  <c r="E36" i="178"/>
  <c r="D36" i="178"/>
  <c r="C36" i="178"/>
  <c r="E35" i="178"/>
  <c r="D35" i="178"/>
  <c r="C35" i="178"/>
  <c r="E34" i="178"/>
  <c r="D34" i="178"/>
  <c r="C34" i="178"/>
  <c r="E33" i="178"/>
  <c r="D33" i="178"/>
  <c r="C33" i="178"/>
  <c r="E32" i="178"/>
  <c r="D32" i="178"/>
  <c r="C32" i="178"/>
  <c r="E31" i="178"/>
  <c r="D31" i="178"/>
  <c r="C31" i="178"/>
  <c r="E30" i="178"/>
  <c r="D30" i="178"/>
  <c r="C30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C26" i="178" s="1"/>
  <c r="D15" i="178"/>
  <c r="C15" i="178"/>
  <c r="D14" i="178"/>
  <c r="C14" i="178"/>
  <c r="D13" i="178"/>
  <c r="C13" i="178"/>
  <c r="D12" i="178"/>
  <c r="C12" i="178"/>
  <c r="F12" i="178" s="1"/>
  <c r="I12" i="178" s="1"/>
  <c r="C4" i="178"/>
  <c r="C3" i="178"/>
  <c r="C238" i="178" l="1"/>
  <c r="D26" i="178"/>
  <c r="C98" i="178"/>
  <c r="D98" i="178"/>
  <c r="C166" i="178"/>
  <c r="D166" i="178"/>
  <c r="D202" i="178"/>
  <c r="C84" i="178"/>
  <c r="E84" i="178"/>
  <c r="D84" i="178"/>
  <c r="E124" i="178"/>
  <c r="C202" i="178"/>
  <c r="C107" i="178"/>
  <c r="D107" i="178"/>
  <c r="E107" i="178"/>
  <c r="E116" i="178"/>
  <c r="C124" i="178"/>
  <c r="D124" i="178"/>
  <c r="E202" i="178"/>
  <c r="E98" i="178"/>
  <c r="C116" i="178"/>
  <c r="D116" i="178"/>
  <c r="E166" i="178"/>
  <c r="C211" i="178"/>
  <c r="D211" i="178"/>
  <c r="E211" i="178"/>
  <c r="C233" i="178"/>
  <c r="C66" i="178"/>
  <c r="D66" i="178"/>
  <c r="E66" i="178"/>
  <c r="D213" i="178" l="1"/>
  <c r="D220" i="178" s="1"/>
  <c r="C213" i="178"/>
  <c r="C220" i="178" s="1"/>
  <c r="E213" i="178"/>
  <c r="E220" i="178" s="1"/>
  <c r="C217" i="178" l="1"/>
  <c r="I249" i="15"/>
  <c r="I248" i="15"/>
  <c r="I247" i="15"/>
  <c r="I246" i="15"/>
  <c r="C243" i="15"/>
  <c r="C242" i="15"/>
  <c r="C241" i="15"/>
  <c r="C240" i="15"/>
  <c r="C237" i="15"/>
  <c r="C236" i="15"/>
  <c r="E233" i="15"/>
  <c r="D233" i="15"/>
  <c r="C232" i="15"/>
  <c r="C231" i="15"/>
  <c r="C230" i="15"/>
  <c r="C229" i="15"/>
  <c r="C228" i="15"/>
  <c r="C227" i="15"/>
  <c r="C226" i="15"/>
  <c r="C225" i="15"/>
  <c r="C224" i="15"/>
  <c r="C216" i="15"/>
  <c r="E210" i="15"/>
  <c r="D210" i="15"/>
  <c r="C210" i="15"/>
  <c r="E209" i="15"/>
  <c r="D209" i="15"/>
  <c r="C209" i="15"/>
  <c r="E208" i="15"/>
  <c r="D208" i="15"/>
  <c r="C208" i="15"/>
  <c r="E207" i="15"/>
  <c r="D207" i="15"/>
  <c r="C207" i="15"/>
  <c r="E206" i="15"/>
  <c r="D206" i="15"/>
  <c r="C206" i="15"/>
  <c r="E205" i="15"/>
  <c r="D205" i="15"/>
  <c r="C205" i="15"/>
  <c r="E201" i="15"/>
  <c r="C201" i="15"/>
  <c r="E200" i="15"/>
  <c r="D200" i="15"/>
  <c r="C200" i="15"/>
  <c r="E199" i="15"/>
  <c r="D199" i="15"/>
  <c r="C199" i="15"/>
  <c r="E198" i="15"/>
  <c r="D198" i="15"/>
  <c r="C198" i="15"/>
  <c r="E197" i="15"/>
  <c r="D197" i="15"/>
  <c r="C197" i="15"/>
  <c r="E196" i="15"/>
  <c r="D196" i="15"/>
  <c r="C196" i="15"/>
  <c r="E195" i="15"/>
  <c r="D195" i="15"/>
  <c r="C195" i="15"/>
  <c r="E194" i="15"/>
  <c r="D194" i="15"/>
  <c r="C194" i="15"/>
  <c r="E193" i="15"/>
  <c r="D193" i="15"/>
  <c r="C193" i="15"/>
  <c r="E192" i="15"/>
  <c r="D192" i="15"/>
  <c r="C192" i="15"/>
  <c r="E191" i="15"/>
  <c r="D191" i="15"/>
  <c r="C191" i="15"/>
  <c r="E190" i="15"/>
  <c r="D190" i="15"/>
  <c r="C190" i="15"/>
  <c r="E189" i="15"/>
  <c r="D189" i="15"/>
  <c r="C189" i="15"/>
  <c r="E188" i="15"/>
  <c r="D188" i="15"/>
  <c r="C188" i="15"/>
  <c r="E187" i="15"/>
  <c r="D187" i="15"/>
  <c r="C187" i="15"/>
  <c r="E186" i="15"/>
  <c r="D186" i="15"/>
  <c r="C186" i="15"/>
  <c r="E185" i="15"/>
  <c r="D185" i="15"/>
  <c r="C185" i="15"/>
  <c r="E184" i="15"/>
  <c r="D184" i="15"/>
  <c r="C184" i="15"/>
  <c r="E183" i="15"/>
  <c r="D183" i="15"/>
  <c r="C183" i="15"/>
  <c r="E182" i="15"/>
  <c r="D182" i="15"/>
  <c r="C182" i="15"/>
  <c r="E181" i="15"/>
  <c r="D181" i="15"/>
  <c r="C181" i="15"/>
  <c r="E180" i="15"/>
  <c r="D180" i="15"/>
  <c r="C180" i="15"/>
  <c r="E179" i="15"/>
  <c r="D179" i="15"/>
  <c r="C179" i="15"/>
  <c r="E178" i="15"/>
  <c r="D178" i="15"/>
  <c r="C178" i="15"/>
  <c r="E177" i="15"/>
  <c r="D177" i="15"/>
  <c r="C177" i="15"/>
  <c r="E176" i="15"/>
  <c r="D176" i="15"/>
  <c r="C176" i="15"/>
  <c r="E175" i="15"/>
  <c r="D175" i="15"/>
  <c r="C175" i="15"/>
  <c r="E174" i="15"/>
  <c r="D174" i="15"/>
  <c r="C174" i="15"/>
  <c r="E173" i="15"/>
  <c r="D173" i="15"/>
  <c r="C173" i="15"/>
  <c r="E172" i="15"/>
  <c r="D172" i="15"/>
  <c r="C172" i="15"/>
  <c r="E171" i="15"/>
  <c r="D171" i="15"/>
  <c r="C171" i="15"/>
  <c r="E170" i="15"/>
  <c r="D170" i="15"/>
  <c r="C170" i="15"/>
  <c r="E169" i="15"/>
  <c r="D169" i="15"/>
  <c r="C169" i="15"/>
  <c r="E165" i="15"/>
  <c r="D165" i="15"/>
  <c r="C165" i="15"/>
  <c r="E164" i="15"/>
  <c r="D164" i="15"/>
  <c r="C164" i="15"/>
  <c r="E163" i="15"/>
  <c r="D163" i="15"/>
  <c r="C163" i="15"/>
  <c r="E162" i="15"/>
  <c r="D162" i="15"/>
  <c r="C162" i="15"/>
  <c r="E161" i="15"/>
  <c r="D161" i="15"/>
  <c r="C161" i="15"/>
  <c r="E160" i="15"/>
  <c r="D160" i="15"/>
  <c r="C160" i="15"/>
  <c r="E158" i="15"/>
  <c r="D158" i="15"/>
  <c r="C158" i="15"/>
  <c r="E157" i="15"/>
  <c r="D157" i="15"/>
  <c r="C157" i="15"/>
  <c r="E156" i="15"/>
  <c r="D156" i="15"/>
  <c r="C156" i="15"/>
  <c r="E155" i="15"/>
  <c r="D155" i="15"/>
  <c r="C155" i="15"/>
  <c r="E154" i="15"/>
  <c r="D154" i="15"/>
  <c r="C154" i="15"/>
  <c r="E153" i="15"/>
  <c r="D153" i="15"/>
  <c r="C153" i="15"/>
  <c r="E152" i="15"/>
  <c r="D152" i="15"/>
  <c r="C152" i="15"/>
  <c r="E151" i="15"/>
  <c r="D151" i="15"/>
  <c r="C151" i="15"/>
  <c r="E150" i="15"/>
  <c r="D150" i="15"/>
  <c r="C150" i="15"/>
  <c r="E148" i="15"/>
  <c r="D148" i="15"/>
  <c r="C148" i="15"/>
  <c r="E147" i="15"/>
  <c r="D147" i="15"/>
  <c r="C147" i="15"/>
  <c r="E146" i="15"/>
  <c r="D146" i="15"/>
  <c r="C146" i="15"/>
  <c r="E145" i="15"/>
  <c r="D145" i="15"/>
  <c r="C145" i="15"/>
  <c r="E143" i="15"/>
  <c r="D143" i="15"/>
  <c r="C143" i="15"/>
  <c r="E142" i="15"/>
  <c r="D142" i="15"/>
  <c r="C142" i="15"/>
  <c r="E141" i="15"/>
  <c r="D141" i="15"/>
  <c r="C141" i="15"/>
  <c r="E140" i="15"/>
  <c r="D140" i="15"/>
  <c r="C140" i="15"/>
  <c r="E138" i="15"/>
  <c r="D138" i="15"/>
  <c r="C138" i="15"/>
  <c r="E137" i="15"/>
  <c r="D137" i="15"/>
  <c r="C137" i="15"/>
  <c r="E136" i="15"/>
  <c r="D136" i="15"/>
  <c r="C136" i="15"/>
  <c r="E135" i="15"/>
  <c r="D135" i="15"/>
  <c r="C135" i="15"/>
  <c r="E134" i="15"/>
  <c r="D134" i="15"/>
  <c r="C134" i="15"/>
  <c r="E132" i="15"/>
  <c r="D132" i="15"/>
  <c r="C132" i="15"/>
  <c r="E131" i="15"/>
  <c r="D131" i="15"/>
  <c r="C131" i="15"/>
  <c r="E130" i="15"/>
  <c r="D130" i="15"/>
  <c r="C130" i="15"/>
  <c r="E129" i="15"/>
  <c r="D129" i="15"/>
  <c r="C129" i="15"/>
  <c r="E128" i="15"/>
  <c r="D128" i="15"/>
  <c r="C128" i="15"/>
  <c r="E123" i="15"/>
  <c r="D123" i="15"/>
  <c r="C123" i="15"/>
  <c r="E122" i="15"/>
  <c r="D122" i="15"/>
  <c r="C122" i="15"/>
  <c r="E121" i="15"/>
  <c r="D121" i="15"/>
  <c r="C121" i="15"/>
  <c r="E120" i="15"/>
  <c r="D120" i="15"/>
  <c r="C120" i="15"/>
  <c r="E119" i="15"/>
  <c r="D119" i="15"/>
  <c r="C119" i="15"/>
  <c r="E115" i="15"/>
  <c r="D115" i="15"/>
  <c r="C115" i="15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C70" i="15"/>
  <c r="E69" i="15"/>
  <c r="C69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C4" i="15"/>
  <c r="C3" i="15"/>
  <c r="D26" i="15" l="1"/>
  <c r="F12" i="15"/>
  <c r="I12" i="15" s="1"/>
  <c r="E84" i="15"/>
  <c r="C238" i="15"/>
  <c r="C166" i="15"/>
  <c r="D166" i="15"/>
  <c r="C26" i="15"/>
  <c r="C84" i="15"/>
  <c r="C116" i="15"/>
  <c r="E124" i="15"/>
  <c r="C202" i="15"/>
  <c r="D202" i="15"/>
  <c r="D84" i="15"/>
  <c r="C98" i="15"/>
  <c r="D98" i="15"/>
  <c r="C107" i="15"/>
  <c r="E107" i="15"/>
  <c r="E116" i="15"/>
  <c r="C124" i="15"/>
  <c r="D124" i="15"/>
  <c r="E202" i="15"/>
  <c r="E98" i="15"/>
  <c r="D107" i="15"/>
  <c r="D116" i="15"/>
  <c r="E166" i="15"/>
  <c r="C211" i="15"/>
  <c r="D211" i="15"/>
  <c r="E211" i="15"/>
  <c r="C233" i="15"/>
  <c r="C66" i="15"/>
  <c r="D66" i="15"/>
  <c r="E66" i="15"/>
  <c r="E213" i="15" l="1"/>
  <c r="E220" i="15" s="1"/>
  <c r="D213" i="15"/>
  <c r="D220" i="15" s="1"/>
  <c r="C213" i="15"/>
  <c r="C217" i="15" s="1"/>
  <c r="C220" i="15" l="1"/>
  <c r="D18" i="19"/>
  <c r="I249" i="19"/>
  <c r="I248" i="19"/>
  <c r="I247" i="19"/>
  <c r="I246" i="19"/>
  <c r="C243" i="19"/>
  <c r="C242" i="19"/>
  <c r="C241" i="19"/>
  <c r="C240" i="19"/>
  <c r="C237" i="19"/>
  <c r="C236" i="19"/>
  <c r="E233" i="19"/>
  <c r="D233" i="19"/>
  <c r="C232" i="19"/>
  <c r="C231" i="19"/>
  <c r="C230" i="19"/>
  <c r="C229" i="19"/>
  <c r="C228" i="19"/>
  <c r="C227" i="19"/>
  <c r="C226" i="19"/>
  <c r="C225" i="19"/>
  <c r="C224" i="19"/>
  <c r="C216" i="19"/>
  <c r="E210" i="19"/>
  <c r="D210" i="19"/>
  <c r="C210" i="19"/>
  <c r="E209" i="19"/>
  <c r="D209" i="19"/>
  <c r="C209" i="19"/>
  <c r="E208" i="19"/>
  <c r="D208" i="19"/>
  <c r="C208" i="19"/>
  <c r="E207" i="19"/>
  <c r="D207" i="19"/>
  <c r="C207" i="19"/>
  <c r="E206" i="19"/>
  <c r="D206" i="19"/>
  <c r="C206" i="19"/>
  <c r="E205" i="19"/>
  <c r="D205" i="19"/>
  <c r="C205" i="19"/>
  <c r="E201" i="19"/>
  <c r="C201" i="19"/>
  <c r="E200" i="19"/>
  <c r="D200" i="19"/>
  <c r="C200" i="19"/>
  <c r="E199" i="19"/>
  <c r="D199" i="19"/>
  <c r="C199" i="19"/>
  <c r="E198" i="19"/>
  <c r="D198" i="19"/>
  <c r="C198" i="19"/>
  <c r="E197" i="19"/>
  <c r="D197" i="19"/>
  <c r="C197" i="19"/>
  <c r="E196" i="19"/>
  <c r="D196" i="19"/>
  <c r="C196" i="19"/>
  <c r="E195" i="19"/>
  <c r="D195" i="19"/>
  <c r="C195" i="19"/>
  <c r="E194" i="19"/>
  <c r="D194" i="19"/>
  <c r="C194" i="19"/>
  <c r="E193" i="19"/>
  <c r="D193" i="19"/>
  <c r="C193" i="19"/>
  <c r="E192" i="19"/>
  <c r="D192" i="19"/>
  <c r="C192" i="19"/>
  <c r="E191" i="19"/>
  <c r="D191" i="19"/>
  <c r="C191" i="19"/>
  <c r="E190" i="19"/>
  <c r="D190" i="19"/>
  <c r="C190" i="19"/>
  <c r="E189" i="19"/>
  <c r="D189" i="19"/>
  <c r="C189" i="19"/>
  <c r="E188" i="19"/>
  <c r="D188" i="19"/>
  <c r="C188" i="19"/>
  <c r="E187" i="19"/>
  <c r="D187" i="19"/>
  <c r="C187" i="19"/>
  <c r="E186" i="19"/>
  <c r="D186" i="19"/>
  <c r="C186" i="19"/>
  <c r="E185" i="19"/>
  <c r="D185" i="19"/>
  <c r="C185" i="19"/>
  <c r="E184" i="19"/>
  <c r="D184" i="19"/>
  <c r="C184" i="19"/>
  <c r="E183" i="19"/>
  <c r="D183" i="19"/>
  <c r="C183" i="19"/>
  <c r="E182" i="19"/>
  <c r="D182" i="19"/>
  <c r="C182" i="19"/>
  <c r="E181" i="19"/>
  <c r="D181" i="19"/>
  <c r="C181" i="19"/>
  <c r="E180" i="19"/>
  <c r="D180" i="19"/>
  <c r="C180" i="19"/>
  <c r="E179" i="19"/>
  <c r="D179" i="19"/>
  <c r="C179" i="19"/>
  <c r="E178" i="19"/>
  <c r="D178" i="19"/>
  <c r="C178" i="19"/>
  <c r="E177" i="19"/>
  <c r="D177" i="19"/>
  <c r="C177" i="19"/>
  <c r="E176" i="19"/>
  <c r="D176" i="19"/>
  <c r="C176" i="19"/>
  <c r="E175" i="19"/>
  <c r="D175" i="19"/>
  <c r="C175" i="19"/>
  <c r="E174" i="19"/>
  <c r="D174" i="19"/>
  <c r="C174" i="19"/>
  <c r="E173" i="19"/>
  <c r="D173" i="19"/>
  <c r="C173" i="19"/>
  <c r="E172" i="19"/>
  <c r="D172" i="19"/>
  <c r="C172" i="19"/>
  <c r="E171" i="19"/>
  <c r="D171" i="19"/>
  <c r="C171" i="19"/>
  <c r="E170" i="19"/>
  <c r="D170" i="19"/>
  <c r="C170" i="19"/>
  <c r="E169" i="19"/>
  <c r="D169" i="19"/>
  <c r="C169" i="19"/>
  <c r="E165" i="19"/>
  <c r="D165" i="19"/>
  <c r="C165" i="19"/>
  <c r="E164" i="19"/>
  <c r="D164" i="19"/>
  <c r="C164" i="19"/>
  <c r="E163" i="19"/>
  <c r="D163" i="19"/>
  <c r="C163" i="19"/>
  <c r="E162" i="19"/>
  <c r="D162" i="19"/>
  <c r="C162" i="19"/>
  <c r="E161" i="19"/>
  <c r="D161" i="19"/>
  <c r="C161" i="19"/>
  <c r="E160" i="19"/>
  <c r="D160" i="19"/>
  <c r="C160" i="19"/>
  <c r="E158" i="19"/>
  <c r="D158" i="19"/>
  <c r="C158" i="19"/>
  <c r="E157" i="19"/>
  <c r="D157" i="19"/>
  <c r="C157" i="19"/>
  <c r="E156" i="19"/>
  <c r="D156" i="19"/>
  <c r="C156" i="19"/>
  <c r="E155" i="19"/>
  <c r="D155" i="19"/>
  <c r="C155" i="19"/>
  <c r="E154" i="19"/>
  <c r="D154" i="19"/>
  <c r="C154" i="19"/>
  <c r="E153" i="19"/>
  <c r="D153" i="19"/>
  <c r="C153" i="19"/>
  <c r="E152" i="19"/>
  <c r="D152" i="19"/>
  <c r="C152" i="19"/>
  <c r="E151" i="19"/>
  <c r="D151" i="19"/>
  <c r="C151" i="19"/>
  <c r="E150" i="19"/>
  <c r="D150" i="19"/>
  <c r="C150" i="19"/>
  <c r="E148" i="19"/>
  <c r="D148" i="19"/>
  <c r="C148" i="19"/>
  <c r="E147" i="19"/>
  <c r="D147" i="19"/>
  <c r="C147" i="19"/>
  <c r="E146" i="19"/>
  <c r="D146" i="19"/>
  <c r="C146" i="19"/>
  <c r="E145" i="19"/>
  <c r="D145" i="19"/>
  <c r="C145" i="19"/>
  <c r="E143" i="19"/>
  <c r="D143" i="19"/>
  <c r="C143" i="19"/>
  <c r="E142" i="19"/>
  <c r="D142" i="19"/>
  <c r="C142" i="19"/>
  <c r="E141" i="19"/>
  <c r="D141" i="19"/>
  <c r="C141" i="19"/>
  <c r="E140" i="19"/>
  <c r="D140" i="19"/>
  <c r="C140" i="19"/>
  <c r="E138" i="19"/>
  <c r="D138" i="19"/>
  <c r="C138" i="19"/>
  <c r="E137" i="19"/>
  <c r="D137" i="19"/>
  <c r="C137" i="19"/>
  <c r="E136" i="19"/>
  <c r="D136" i="19"/>
  <c r="C136" i="19"/>
  <c r="E135" i="19"/>
  <c r="D135" i="19"/>
  <c r="C135" i="19"/>
  <c r="E134" i="19"/>
  <c r="D134" i="19"/>
  <c r="C134" i="19"/>
  <c r="E132" i="19"/>
  <c r="D132" i="19"/>
  <c r="C132" i="19"/>
  <c r="E131" i="19"/>
  <c r="D131" i="19"/>
  <c r="C131" i="19"/>
  <c r="E130" i="19"/>
  <c r="D130" i="19"/>
  <c r="C130" i="19"/>
  <c r="E129" i="19"/>
  <c r="D129" i="19"/>
  <c r="C129" i="19"/>
  <c r="E128" i="19"/>
  <c r="D128" i="19"/>
  <c r="C128" i="19"/>
  <c r="E123" i="19"/>
  <c r="D123" i="19"/>
  <c r="C123" i="19"/>
  <c r="E122" i="19"/>
  <c r="D122" i="19"/>
  <c r="C122" i="19"/>
  <c r="E121" i="19"/>
  <c r="D121" i="19"/>
  <c r="C121" i="19"/>
  <c r="E120" i="19"/>
  <c r="D120" i="19"/>
  <c r="C120" i="19"/>
  <c r="E119" i="19"/>
  <c r="D119" i="19"/>
  <c r="C119" i="19"/>
  <c r="E115" i="19"/>
  <c r="D115" i="19"/>
  <c r="C115" i="19"/>
  <c r="E114" i="19"/>
  <c r="D114" i="19"/>
  <c r="C114" i="19"/>
  <c r="E113" i="19"/>
  <c r="D113" i="19"/>
  <c r="C113" i="19"/>
  <c r="E112" i="19"/>
  <c r="D112" i="19"/>
  <c r="C112" i="19"/>
  <c r="E111" i="19"/>
  <c r="D111" i="19"/>
  <c r="C111" i="19"/>
  <c r="E110" i="19"/>
  <c r="D110" i="19"/>
  <c r="C110" i="19"/>
  <c r="E106" i="19"/>
  <c r="D106" i="19"/>
  <c r="C106" i="19"/>
  <c r="E105" i="19"/>
  <c r="D105" i="19"/>
  <c r="C105" i="19"/>
  <c r="E104" i="19"/>
  <c r="D104" i="19"/>
  <c r="C104" i="19"/>
  <c r="E103" i="19"/>
  <c r="D103" i="19"/>
  <c r="C103" i="19"/>
  <c r="E102" i="19"/>
  <c r="D102" i="19"/>
  <c r="C102" i="19"/>
  <c r="E101" i="19"/>
  <c r="D101" i="19"/>
  <c r="C101" i="19"/>
  <c r="E97" i="19"/>
  <c r="D97" i="19"/>
  <c r="C97" i="19"/>
  <c r="E96" i="19"/>
  <c r="D96" i="19"/>
  <c r="C96" i="19"/>
  <c r="E95" i="19"/>
  <c r="D95" i="19"/>
  <c r="C95" i="19"/>
  <c r="E94" i="19"/>
  <c r="D94" i="19"/>
  <c r="C94" i="19"/>
  <c r="E93" i="19"/>
  <c r="D93" i="19"/>
  <c r="C93" i="19"/>
  <c r="E92" i="19"/>
  <c r="D92" i="19"/>
  <c r="C92" i="19"/>
  <c r="E91" i="19"/>
  <c r="D91" i="19"/>
  <c r="C91" i="19"/>
  <c r="E90" i="19"/>
  <c r="D90" i="19"/>
  <c r="C90" i="19"/>
  <c r="E89" i="19"/>
  <c r="D89" i="19"/>
  <c r="C89" i="19"/>
  <c r="E88" i="19"/>
  <c r="D88" i="19"/>
  <c r="C88" i="19"/>
  <c r="E87" i="19"/>
  <c r="D87" i="19"/>
  <c r="C87" i="19"/>
  <c r="E83" i="19"/>
  <c r="D83" i="19"/>
  <c r="C83" i="19"/>
  <c r="E82" i="19"/>
  <c r="D82" i="19"/>
  <c r="C82" i="19"/>
  <c r="E81" i="19"/>
  <c r="D81" i="19"/>
  <c r="C81" i="19"/>
  <c r="E80" i="19"/>
  <c r="D80" i="19"/>
  <c r="C80" i="19"/>
  <c r="E79" i="19"/>
  <c r="D79" i="19"/>
  <c r="C79" i="19"/>
  <c r="E78" i="19"/>
  <c r="D78" i="19"/>
  <c r="C78" i="19"/>
  <c r="E77" i="19"/>
  <c r="D77" i="19"/>
  <c r="C77" i="19"/>
  <c r="E76" i="19"/>
  <c r="D76" i="19"/>
  <c r="C76" i="19"/>
  <c r="E75" i="19"/>
  <c r="D75" i="19"/>
  <c r="C75" i="19"/>
  <c r="E74" i="19"/>
  <c r="D74" i="19"/>
  <c r="C74" i="19"/>
  <c r="E73" i="19"/>
  <c r="D73" i="19"/>
  <c r="C73" i="19"/>
  <c r="E72" i="19"/>
  <c r="D72" i="19"/>
  <c r="C72" i="19"/>
  <c r="E71" i="19"/>
  <c r="D71" i="19"/>
  <c r="C71" i="19"/>
  <c r="E70" i="19"/>
  <c r="C70" i="19"/>
  <c r="E69" i="19"/>
  <c r="C69" i="19"/>
  <c r="E65" i="19"/>
  <c r="D65" i="19"/>
  <c r="C65" i="19"/>
  <c r="E64" i="19"/>
  <c r="D64" i="19"/>
  <c r="C64" i="19"/>
  <c r="E63" i="19"/>
  <c r="D63" i="19"/>
  <c r="C63" i="19"/>
  <c r="E62" i="19"/>
  <c r="D62" i="19"/>
  <c r="C62" i="19"/>
  <c r="E61" i="19"/>
  <c r="D61" i="19"/>
  <c r="C61" i="19"/>
  <c r="E60" i="19"/>
  <c r="D60" i="19"/>
  <c r="C60" i="19"/>
  <c r="E59" i="19"/>
  <c r="D59" i="19"/>
  <c r="C59" i="19"/>
  <c r="E58" i="19"/>
  <c r="D58" i="19"/>
  <c r="C58" i="19"/>
  <c r="E57" i="19"/>
  <c r="D57" i="19"/>
  <c r="C57" i="19"/>
  <c r="E56" i="19"/>
  <c r="D56" i="19"/>
  <c r="C56" i="19"/>
  <c r="E55" i="19"/>
  <c r="D55" i="19"/>
  <c r="C55" i="19"/>
  <c r="E54" i="19"/>
  <c r="D54" i="19"/>
  <c r="C54" i="19"/>
  <c r="E53" i="19"/>
  <c r="D53" i="19"/>
  <c r="C53" i="19"/>
  <c r="E52" i="19"/>
  <c r="D52" i="19"/>
  <c r="C52" i="19"/>
  <c r="E51" i="19"/>
  <c r="D51" i="19"/>
  <c r="C51" i="19"/>
  <c r="E50" i="19"/>
  <c r="D50" i="19"/>
  <c r="C50" i="19"/>
  <c r="E49" i="19"/>
  <c r="D49" i="19"/>
  <c r="C49" i="19"/>
  <c r="E48" i="19"/>
  <c r="D48" i="19"/>
  <c r="C48" i="19"/>
  <c r="E47" i="19"/>
  <c r="D47" i="19"/>
  <c r="C47" i="19"/>
  <c r="E46" i="19"/>
  <c r="D46" i="19"/>
  <c r="C46" i="19"/>
  <c r="E45" i="19"/>
  <c r="D45" i="19"/>
  <c r="C45" i="19"/>
  <c r="E44" i="19"/>
  <c r="D44" i="19"/>
  <c r="C44" i="19"/>
  <c r="E43" i="19"/>
  <c r="D43" i="19"/>
  <c r="C43" i="19"/>
  <c r="E42" i="19"/>
  <c r="D42" i="19"/>
  <c r="C42" i="19"/>
  <c r="E41" i="19"/>
  <c r="D41" i="19"/>
  <c r="C41" i="19"/>
  <c r="E40" i="19"/>
  <c r="D40" i="19"/>
  <c r="C40" i="19"/>
  <c r="E39" i="19"/>
  <c r="D39" i="19"/>
  <c r="C39" i="19"/>
  <c r="E38" i="19"/>
  <c r="D38" i="19"/>
  <c r="C38" i="19"/>
  <c r="E37" i="19"/>
  <c r="D37" i="19"/>
  <c r="C37" i="19"/>
  <c r="E36" i="19"/>
  <c r="D36" i="19"/>
  <c r="C36" i="19"/>
  <c r="E35" i="19"/>
  <c r="D35" i="19"/>
  <c r="C35" i="19"/>
  <c r="E34" i="19"/>
  <c r="D34" i="19"/>
  <c r="C34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D25" i="19"/>
  <c r="C25" i="19"/>
  <c r="D24" i="19"/>
  <c r="C24" i="19"/>
  <c r="D23" i="19"/>
  <c r="C23" i="19"/>
  <c r="D22" i="19"/>
  <c r="C22" i="19"/>
  <c r="D21" i="19"/>
  <c r="C21" i="19"/>
  <c r="D20" i="19"/>
  <c r="C20" i="19"/>
  <c r="D19" i="19"/>
  <c r="C19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C4" i="19"/>
  <c r="C3" i="19"/>
  <c r="D26" i="19" l="1"/>
  <c r="C238" i="19"/>
  <c r="F12" i="19"/>
  <c r="I12" i="19" s="1"/>
  <c r="C26" i="19"/>
  <c r="C98" i="19"/>
  <c r="D98" i="19"/>
  <c r="C166" i="19"/>
  <c r="D166" i="19"/>
  <c r="E84" i="19"/>
  <c r="C107" i="19"/>
  <c r="D107" i="19"/>
  <c r="E107" i="19"/>
  <c r="E116" i="19"/>
  <c r="C124" i="19"/>
  <c r="D124" i="19"/>
  <c r="E202" i="19"/>
  <c r="E98" i="19"/>
  <c r="C116" i="19"/>
  <c r="D116" i="19"/>
  <c r="E166" i="19"/>
  <c r="C211" i="19"/>
  <c r="D211" i="19"/>
  <c r="E211" i="19"/>
  <c r="C233" i="19"/>
  <c r="C84" i="19"/>
  <c r="D84" i="19"/>
  <c r="E124" i="19"/>
  <c r="C202" i="19"/>
  <c r="D202" i="19"/>
  <c r="C66" i="19"/>
  <c r="D66" i="19"/>
  <c r="E66" i="19"/>
  <c r="E213" i="19" l="1"/>
  <c r="E220" i="19" s="1"/>
  <c r="D213" i="19"/>
  <c r="D220" i="19" s="1"/>
  <c r="C213" i="19"/>
  <c r="C220" i="19" s="1"/>
  <c r="C217" i="19" l="1"/>
  <c r="D18" i="175" l="1"/>
  <c r="I246" i="175"/>
  <c r="I249" i="175"/>
  <c r="I248" i="175"/>
  <c r="I247" i="175"/>
  <c r="C243" i="175"/>
  <c r="C242" i="175"/>
  <c r="C241" i="175"/>
  <c r="C240" i="175"/>
  <c r="C237" i="175"/>
  <c r="C236" i="175"/>
  <c r="E233" i="175"/>
  <c r="D233" i="175"/>
  <c r="C232" i="175"/>
  <c r="C231" i="175"/>
  <c r="C230" i="175"/>
  <c r="C229" i="175"/>
  <c r="C228" i="175"/>
  <c r="C227" i="175"/>
  <c r="C226" i="175"/>
  <c r="C225" i="175"/>
  <c r="C224" i="175"/>
  <c r="C216" i="175"/>
  <c r="E210" i="175"/>
  <c r="D210" i="175"/>
  <c r="C210" i="175"/>
  <c r="E209" i="175"/>
  <c r="D209" i="175"/>
  <c r="C209" i="175"/>
  <c r="E208" i="175"/>
  <c r="D208" i="175"/>
  <c r="C208" i="175"/>
  <c r="E207" i="175"/>
  <c r="D207" i="175"/>
  <c r="C207" i="175"/>
  <c r="E206" i="175"/>
  <c r="D206" i="175"/>
  <c r="C206" i="175"/>
  <c r="E205" i="175"/>
  <c r="D205" i="175"/>
  <c r="C205" i="175"/>
  <c r="E201" i="175"/>
  <c r="D201" i="175"/>
  <c r="C201" i="175"/>
  <c r="E200" i="175"/>
  <c r="D200" i="175"/>
  <c r="C200" i="175"/>
  <c r="E199" i="175"/>
  <c r="D199" i="175"/>
  <c r="C199" i="175"/>
  <c r="E198" i="175"/>
  <c r="D198" i="175"/>
  <c r="C198" i="175"/>
  <c r="E197" i="175"/>
  <c r="D197" i="175"/>
  <c r="C197" i="175"/>
  <c r="E196" i="175"/>
  <c r="D196" i="175"/>
  <c r="C196" i="175"/>
  <c r="E195" i="175"/>
  <c r="D195" i="175"/>
  <c r="C195" i="175"/>
  <c r="E194" i="175"/>
  <c r="D194" i="175"/>
  <c r="C194" i="175"/>
  <c r="E193" i="175"/>
  <c r="D193" i="175"/>
  <c r="C193" i="175"/>
  <c r="E192" i="175"/>
  <c r="D192" i="175"/>
  <c r="C192" i="175"/>
  <c r="E191" i="175"/>
  <c r="D191" i="175"/>
  <c r="C191" i="175"/>
  <c r="E190" i="175"/>
  <c r="D190" i="175"/>
  <c r="C190" i="175"/>
  <c r="E189" i="175"/>
  <c r="D189" i="175"/>
  <c r="C189" i="175"/>
  <c r="E188" i="175"/>
  <c r="D188" i="175"/>
  <c r="C188" i="175"/>
  <c r="E187" i="175"/>
  <c r="D187" i="175"/>
  <c r="C187" i="175"/>
  <c r="E186" i="175"/>
  <c r="D186" i="175"/>
  <c r="C186" i="175"/>
  <c r="E185" i="175"/>
  <c r="D185" i="175"/>
  <c r="C185" i="175"/>
  <c r="E184" i="175"/>
  <c r="D184" i="175"/>
  <c r="C184" i="175"/>
  <c r="E183" i="175"/>
  <c r="D183" i="175"/>
  <c r="C183" i="175"/>
  <c r="E182" i="175"/>
  <c r="D182" i="175"/>
  <c r="C182" i="175"/>
  <c r="E181" i="175"/>
  <c r="D181" i="175"/>
  <c r="C181" i="175"/>
  <c r="E180" i="175"/>
  <c r="D180" i="175"/>
  <c r="C180" i="175"/>
  <c r="E179" i="175"/>
  <c r="D179" i="175"/>
  <c r="C179" i="175"/>
  <c r="E178" i="175"/>
  <c r="D178" i="175"/>
  <c r="C178" i="175"/>
  <c r="E177" i="175"/>
  <c r="D177" i="175"/>
  <c r="C177" i="175"/>
  <c r="E176" i="175"/>
  <c r="D176" i="175"/>
  <c r="C176" i="175"/>
  <c r="E175" i="175"/>
  <c r="D175" i="175"/>
  <c r="C175" i="175"/>
  <c r="E174" i="175"/>
  <c r="D174" i="175"/>
  <c r="C174" i="175"/>
  <c r="E173" i="175"/>
  <c r="D173" i="175"/>
  <c r="C173" i="175"/>
  <c r="E172" i="175"/>
  <c r="D172" i="175"/>
  <c r="C172" i="175"/>
  <c r="E171" i="175"/>
  <c r="D171" i="175"/>
  <c r="C171" i="175"/>
  <c r="E170" i="175"/>
  <c r="D170" i="175"/>
  <c r="C170" i="175"/>
  <c r="E169" i="175"/>
  <c r="D169" i="175"/>
  <c r="C169" i="175"/>
  <c r="E165" i="175"/>
  <c r="D165" i="175"/>
  <c r="C165" i="175"/>
  <c r="E164" i="175"/>
  <c r="D164" i="175"/>
  <c r="C164" i="175"/>
  <c r="E163" i="175"/>
  <c r="D163" i="175"/>
  <c r="C163" i="175"/>
  <c r="E162" i="175"/>
  <c r="D162" i="175"/>
  <c r="C162" i="175"/>
  <c r="E161" i="175"/>
  <c r="D161" i="175"/>
  <c r="C161" i="175"/>
  <c r="E160" i="175"/>
  <c r="D160" i="175"/>
  <c r="C160" i="175"/>
  <c r="E158" i="175"/>
  <c r="D158" i="175"/>
  <c r="C158" i="175"/>
  <c r="E157" i="175"/>
  <c r="D157" i="175"/>
  <c r="C157" i="175"/>
  <c r="E156" i="175"/>
  <c r="D156" i="175"/>
  <c r="C156" i="175"/>
  <c r="E155" i="175"/>
  <c r="D155" i="175"/>
  <c r="C155" i="175"/>
  <c r="E154" i="175"/>
  <c r="D154" i="175"/>
  <c r="C154" i="175"/>
  <c r="E153" i="175"/>
  <c r="D153" i="175"/>
  <c r="C153" i="175"/>
  <c r="E152" i="175"/>
  <c r="D152" i="175"/>
  <c r="C152" i="175"/>
  <c r="E151" i="175"/>
  <c r="D151" i="175"/>
  <c r="C151" i="175"/>
  <c r="E150" i="175"/>
  <c r="D150" i="175"/>
  <c r="C150" i="175"/>
  <c r="E148" i="175"/>
  <c r="D148" i="175"/>
  <c r="C148" i="175"/>
  <c r="E147" i="175"/>
  <c r="D147" i="175"/>
  <c r="C147" i="175"/>
  <c r="E146" i="175"/>
  <c r="D146" i="175"/>
  <c r="C146" i="175"/>
  <c r="E145" i="175"/>
  <c r="D145" i="175"/>
  <c r="C145" i="175"/>
  <c r="E143" i="175"/>
  <c r="D143" i="175"/>
  <c r="C143" i="175"/>
  <c r="E142" i="175"/>
  <c r="D142" i="175"/>
  <c r="C142" i="175"/>
  <c r="E141" i="175"/>
  <c r="D141" i="175"/>
  <c r="C141" i="175"/>
  <c r="E140" i="175"/>
  <c r="D140" i="175"/>
  <c r="C140" i="175"/>
  <c r="E138" i="175"/>
  <c r="D138" i="175"/>
  <c r="C138" i="175"/>
  <c r="E137" i="175"/>
  <c r="D137" i="175"/>
  <c r="C137" i="175"/>
  <c r="E136" i="175"/>
  <c r="D136" i="175"/>
  <c r="C136" i="175"/>
  <c r="E135" i="175"/>
  <c r="D135" i="175"/>
  <c r="C135" i="175"/>
  <c r="E134" i="175"/>
  <c r="D134" i="175"/>
  <c r="C134" i="175"/>
  <c r="E132" i="175"/>
  <c r="D132" i="175"/>
  <c r="C132" i="175"/>
  <c r="E131" i="175"/>
  <c r="D131" i="175"/>
  <c r="C131" i="175"/>
  <c r="E130" i="175"/>
  <c r="D130" i="175"/>
  <c r="C130" i="175"/>
  <c r="E129" i="175"/>
  <c r="D129" i="175"/>
  <c r="C129" i="175"/>
  <c r="E128" i="175"/>
  <c r="D128" i="175"/>
  <c r="C128" i="175"/>
  <c r="E123" i="175"/>
  <c r="D123" i="175"/>
  <c r="C123" i="175"/>
  <c r="E122" i="175"/>
  <c r="D122" i="175"/>
  <c r="C122" i="175"/>
  <c r="E121" i="175"/>
  <c r="D121" i="175"/>
  <c r="C121" i="175"/>
  <c r="E120" i="175"/>
  <c r="D120" i="175"/>
  <c r="C120" i="175"/>
  <c r="E119" i="175"/>
  <c r="D119" i="175"/>
  <c r="C119" i="175"/>
  <c r="E115" i="175"/>
  <c r="D115" i="175"/>
  <c r="C115" i="175"/>
  <c r="E114" i="175"/>
  <c r="D114" i="175"/>
  <c r="C114" i="175"/>
  <c r="E113" i="175"/>
  <c r="D113" i="175"/>
  <c r="C113" i="175"/>
  <c r="E112" i="175"/>
  <c r="D112" i="175"/>
  <c r="C112" i="175"/>
  <c r="E111" i="175"/>
  <c r="D111" i="175"/>
  <c r="C111" i="175"/>
  <c r="E110" i="175"/>
  <c r="D110" i="175"/>
  <c r="C110" i="175"/>
  <c r="E106" i="175"/>
  <c r="D106" i="175"/>
  <c r="C106" i="175"/>
  <c r="E105" i="175"/>
  <c r="D105" i="175"/>
  <c r="C105" i="175"/>
  <c r="E104" i="175"/>
  <c r="D104" i="175"/>
  <c r="C104" i="175"/>
  <c r="E103" i="175"/>
  <c r="D103" i="175"/>
  <c r="C103" i="175"/>
  <c r="E102" i="175"/>
  <c r="D102" i="175"/>
  <c r="C102" i="175"/>
  <c r="E101" i="175"/>
  <c r="D101" i="175"/>
  <c r="C101" i="175"/>
  <c r="E97" i="175"/>
  <c r="D97" i="175"/>
  <c r="C97" i="175"/>
  <c r="E96" i="175"/>
  <c r="D96" i="175"/>
  <c r="C96" i="175"/>
  <c r="E95" i="175"/>
  <c r="D95" i="175"/>
  <c r="C95" i="175"/>
  <c r="E94" i="175"/>
  <c r="D94" i="175"/>
  <c r="C94" i="175"/>
  <c r="E93" i="175"/>
  <c r="D93" i="175"/>
  <c r="C93" i="175"/>
  <c r="E92" i="175"/>
  <c r="D92" i="175"/>
  <c r="C92" i="175"/>
  <c r="E91" i="175"/>
  <c r="D91" i="175"/>
  <c r="C91" i="175"/>
  <c r="E90" i="175"/>
  <c r="D90" i="175"/>
  <c r="C90" i="175"/>
  <c r="E89" i="175"/>
  <c r="D89" i="175"/>
  <c r="C89" i="175"/>
  <c r="E88" i="175"/>
  <c r="D88" i="175"/>
  <c r="C88" i="175"/>
  <c r="E87" i="175"/>
  <c r="D87" i="175"/>
  <c r="C87" i="175"/>
  <c r="E83" i="175"/>
  <c r="D83" i="175"/>
  <c r="C83" i="175"/>
  <c r="E82" i="175"/>
  <c r="D82" i="175"/>
  <c r="C82" i="175"/>
  <c r="E81" i="175"/>
  <c r="D81" i="175"/>
  <c r="C81" i="175"/>
  <c r="E80" i="175"/>
  <c r="D80" i="175"/>
  <c r="C80" i="175"/>
  <c r="E79" i="175"/>
  <c r="D79" i="175"/>
  <c r="C79" i="175"/>
  <c r="E78" i="175"/>
  <c r="D78" i="175"/>
  <c r="C78" i="175"/>
  <c r="E77" i="175"/>
  <c r="D77" i="175"/>
  <c r="C77" i="175"/>
  <c r="E76" i="175"/>
  <c r="D76" i="175"/>
  <c r="C76" i="175"/>
  <c r="E75" i="175"/>
  <c r="D75" i="175"/>
  <c r="C75" i="175"/>
  <c r="E74" i="175"/>
  <c r="D74" i="175"/>
  <c r="C74" i="175"/>
  <c r="E73" i="175"/>
  <c r="D73" i="175"/>
  <c r="C73" i="175"/>
  <c r="E72" i="175"/>
  <c r="D72" i="175"/>
  <c r="C72" i="175"/>
  <c r="E71" i="175"/>
  <c r="D71" i="175"/>
  <c r="C71" i="175"/>
  <c r="E70" i="175"/>
  <c r="D70" i="175"/>
  <c r="C70" i="175"/>
  <c r="E69" i="175"/>
  <c r="D69" i="175"/>
  <c r="C69" i="175"/>
  <c r="E65" i="175"/>
  <c r="D65" i="175"/>
  <c r="C65" i="175"/>
  <c r="E64" i="175"/>
  <c r="D64" i="175"/>
  <c r="C64" i="175"/>
  <c r="E63" i="175"/>
  <c r="D63" i="175"/>
  <c r="C63" i="175"/>
  <c r="E62" i="175"/>
  <c r="D62" i="175"/>
  <c r="C62" i="175"/>
  <c r="E61" i="175"/>
  <c r="D61" i="175"/>
  <c r="C61" i="175"/>
  <c r="E60" i="175"/>
  <c r="D60" i="175"/>
  <c r="C60" i="175"/>
  <c r="E59" i="175"/>
  <c r="D59" i="175"/>
  <c r="C59" i="175"/>
  <c r="E58" i="175"/>
  <c r="D58" i="175"/>
  <c r="C58" i="175"/>
  <c r="E57" i="175"/>
  <c r="D57" i="175"/>
  <c r="C57" i="175"/>
  <c r="E56" i="175"/>
  <c r="D56" i="175"/>
  <c r="C56" i="175"/>
  <c r="E55" i="175"/>
  <c r="D55" i="175"/>
  <c r="C55" i="175"/>
  <c r="E54" i="175"/>
  <c r="D54" i="175"/>
  <c r="C54" i="175"/>
  <c r="E53" i="175"/>
  <c r="D53" i="175"/>
  <c r="C53" i="175"/>
  <c r="E52" i="175"/>
  <c r="D52" i="175"/>
  <c r="C52" i="175"/>
  <c r="E51" i="175"/>
  <c r="D51" i="175"/>
  <c r="C51" i="175"/>
  <c r="E50" i="175"/>
  <c r="D50" i="175"/>
  <c r="C50" i="175"/>
  <c r="E49" i="175"/>
  <c r="D49" i="175"/>
  <c r="C49" i="175"/>
  <c r="E48" i="175"/>
  <c r="D48" i="175"/>
  <c r="C48" i="175"/>
  <c r="E47" i="175"/>
  <c r="D47" i="175"/>
  <c r="C47" i="175"/>
  <c r="E46" i="175"/>
  <c r="D46" i="175"/>
  <c r="C46" i="175"/>
  <c r="E45" i="175"/>
  <c r="D45" i="175"/>
  <c r="C45" i="175"/>
  <c r="E44" i="175"/>
  <c r="D44" i="175"/>
  <c r="C44" i="175"/>
  <c r="E43" i="175"/>
  <c r="D43" i="175"/>
  <c r="C43" i="175"/>
  <c r="E42" i="175"/>
  <c r="D42" i="175"/>
  <c r="C42" i="175"/>
  <c r="E41" i="175"/>
  <c r="D41" i="175"/>
  <c r="C41" i="175"/>
  <c r="E40" i="175"/>
  <c r="D40" i="175"/>
  <c r="C40" i="175"/>
  <c r="E39" i="175"/>
  <c r="D39" i="175"/>
  <c r="C39" i="175"/>
  <c r="E38" i="175"/>
  <c r="D38" i="175"/>
  <c r="C38" i="175"/>
  <c r="E37" i="175"/>
  <c r="D37" i="175"/>
  <c r="C37" i="175"/>
  <c r="E36" i="175"/>
  <c r="D36" i="175"/>
  <c r="C36" i="175"/>
  <c r="E35" i="175"/>
  <c r="D35" i="175"/>
  <c r="C35" i="175"/>
  <c r="E34" i="175"/>
  <c r="D34" i="175"/>
  <c r="C34" i="175"/>
  <c r="E33" i="175"/>
  <c r="D33" i="175"/>
  <c r="C33" i="175"/>
  <c r="E32" i="175"/>
  <c r="D32" i="175"/>
  <c r="C32" i="175"/>
  <c r="E31" i="175"/>
  <c r="D31" i="175"/>
  <c r="C31" i="175"/>
  <c r="E30" i="175"/>
  <c r="D30" i="175"/>
  <c r="C30" i="175"/>
  <c r="D25" i="175"/>
  <c r="C25" i="175"/>
  <c r="D24" i="175"/>
  <c r="C24" i="175"/>
  <c r="D23" i="175"/>
  <c r="C23" i="175"/>
  <c r="D22" i="175"/>
  <c r="C22" i="175"/>
  <c r="D21" i="175"/>
  <c r="C21" i="175"/>
  <c r="D20" i="175"/>
  <c r="C20" i="175"/>
  <c r="D19" i="175"/>
  <c r="C19" i="175"/>
  <c r="C18" i="175"/>
  <c r="D17" i="175"/>
  <c r="C17" i="175"/>
  <c r="D16" i="175"/>
  <c r="C16" i="175"/>
  <c r="D15" i="175"/>
  <c r="C15" i="175"/>
  <c r="D14" i="175"/>
  <c r="C14" i="175"/>
  <c r="D13" i="175"/>
  <c r="C13" i="175"/>
  <c r="D12" i="175"/>
  <c r="C12" i="175"/>
  <c r="C4" i="175"/>
  <c r="C3" i="175"/>
  <c r="C238" i="175" l="1"/>
  <c r="E124" i="175"/>
  <c r="C84" i="175"/>
  <c r="C116" i="175"/>
  <c r="C202" i="175"/>
  <c r="F12" i="175"/>
  <c r="I12" i="175" s="1"/>
  <c r="D26" i="175"/>
  <c r="C26" i="175"/>
  <c r="D84" i="175"/>
  <c r="C98" i="175"/>
  <c r="C166" i="175"/>
  <c r="D166" i="175"/>
  <c r="D202" i="175"/>
  <c r="E84" i="175"/>
  <c r="D98" i="175"/>
  <c r="C107" i="175"/>
  <c r="E107" i="175"/>
  <c r="E116" i="175"/>
  <c r="C124" i="175"/>
  <c r="E202" i="175"/>
  <c r="E98" i="175"/>
  <c r="D107" i="175"/>
  <c r="D116" i="175"/>
  <c r="D124" i="175"/>
  <c r="E166" i="175"/>
  <c r="C211" i="175"/>
  <c r="D211" i="175"/>
  <c r="E211" i="175"/>
  <c r="C233" i="175"/>
  <c r="C66" i="175"/>
  <c r="D66" i="175"/>
  <c r="E66" i="175"/>
  <c r="D18" i="84"/>
  <c r="I249" i="84"/>
  <c r="I248" i="84"/>
  <c r="I247" i="84"/>
  <c r="I246" i="84"/>
  <c r="C243" i="84"/>
  <c r="C242" i="84"/>
  <c r="C241" i="84"/>
  <c r="C240" i="84"/>
  <c r="C237" i="84"/>
  <c r="C236" i="84"/>
  <c r="E233" i="84"/>
  <c r="D233" i="84"/>
  <c r="C232" i="84"/>
  <c r="C231" i="84"/>
  <c r="C230" i="84"/>
  <c r="C229" i="84"/>
  <c r="C228" i="84"/>
  <c r="C227" i="84"/>
  <c r="C226" i="84"/>
  <c r="C225" i="84"/>
  <c r="C224" i="84"/>
  <c r="C216" i="84"/>
  <c r="E210" i="84"/>
  <c r="D210" i="84"/>
  <c r="C210" i="84"/>
  <c r="E209" i="84"/>
  <c r="D209" i="84"/>
  <c r="C209" i="84"/>
  <c r="E208" i="84"/>
  <c r="D208" i="84"/>
  <c r="C208" i="84"/>
  <c r="E207" i="84"/>
  <c r="D207" i="84"/>
  <c r="C207" i="84"/>
  <c r="E206" i="84"/>
  <c r="D206" i="84"/>
  <c r="C206" i="84"/>
  <c r="E205" i="84"/>
  <c r="D205" i="84"/>
  <c r="C205" i="84"/>
  <c r="E201" i="84"/>
  <c r="D201" i="84"/>
  <c r="C201" i="84"/>
  <c r="E200" i="84"/>
  <c r="D200" i="84"/>
  <c r="C200" i="84"/>
  <c r="E199" i="84"/>
  <c r="D199" i="84"/>
  <c r="C199" i="84"/>
  <c r="E198" i="84"/>
  <c r="D198" i="84"/>
  <c r="C198" i="84"/>
  <c r="E197" i="84"/>
  <c r="D197" i="84"/>
  <c r="C197" i="84"/>
  <c r="E196" i="84"/>
  <c r="D196" i="84"/>
  <c r="C196" i="84"/>
  <c r="E195" i="84"/>
  <c r="D195" i="84"/>
  <c r="C195" i="84"/>
  <c r="E194" i="84"/>
  <c r="D194" i="84"/>
  <c r="C194" i="84"/>
  <c r="E193" i="84"/>
  <c r="D193" i="84"/>
  <c r="C193" i="84"/>
  <c r="E192" i="84"/>
  <c r="D192" i="84"/>
  <c r="C192" i="84"/>
  <c r="E191" i="84"/>
  <c r="D191" i="84"/>
  <c r="C191" i="84"/>
  <c r="E190" i="84"/>
  <c r="D190" i="84"/>
  <c r="C190" i="84"/>
  <c r="E189" i="84"/>
  <c r="D189" i="84"/>
  <c r="C189" i="84"/>
  <c r="E188" i="84"/>
  <c r="D188" i="84"/>
  <c r="C188" i="84"/>
  <c r="E187" i="84"/>
  <c r="D187" i="84"/>
  <c r="C187" i="84"/>
  <c r="E186" i="84"/>
  <c r="D186" i="84"/>
  <c r="C186" i="84"/>
  <c r="E185" i="84"/>
  <c r="D185" i="84"/>
  <c r="C185" i="84"/>
  <c r="E184" i="84"/>
  <c r="D184" i="84"/>
  <c r="C184" i="84"/>
  <c r="E183" i="84"/>
  <c r="D183" i="84"/>
  <c r="C183" i="84"/>
  <c r="E182" i="84"/>
  <c r="D182" i="84"/>
  <c r="C182" i="84"/>
  <c r="E181" i="84"/>
  <c r="D181" i="84"/>
  <c r="C181" i="84"/>
  <c r="E180" i="84"/>
  <c r="D180" i="84"/>
  <c r="C180" i="84"/>
  <c r="E179" i="84"/>
  <c r="D179" i="84"/>
  <c r="C179" i="84"/>
  <c r="E178" i="84"/>
  <c r="D178" i="84"/>
  <c r="C178" i="84"/>
  <c r="E177" i="84"/>
  <c r="D177" i="84"/>
  <c r="C177" i="84"/>
  <c r="E176" i="84"/>
  <c r="D176" i="84"/>
  <c r="C176" i="84"/>
  <c r="E175" i="84"/>
  <c r="D175" i="84"/>
  <c r="C175" i="84"/>
  <c r="E174" i="84"/>
  <c r="D174" i="84"/>
  <c r="C174" i="84"/>
  <c r="E173" i="84"/>
  <c r="D173" i="84"/>
  <c r="C173" i="84"/>
  <c r="E172" i="84"/>
  <c r="D172" i="84"/>
  <c r="C172" i="84"/>
  <c r="E171" i="84"/>
  <c r="D171" i="84"/>
  <c r="C171" i="84"/>
  <c r="E170" i="84"/>
  <c r="D170" i="84"/>
  <c r="C170" i="84"/>
  <c r="E169" i="84"/>
  <c r="D169" i="84"/>
  <c r="C169" i="84"/>
  <c r="E165" i="84"/>
  <c r="D165" i="84"/>
  <c r="C165" i="84"/>
  <c r="E164" i="84"/>
  <c r="D164" i="84"/>
  <c r="C164" i="84"/>
  <c r="E163" i="84"/>
  <c r="D163" i="84"/>
  <c r="C163" i="84"/>
  <c r="E162" i="84"/>
  <c r="D162" i="84"/>
  <c r="C162" i="84"/>
  <c r="E161" i="84"/>
  <c r="D161" i="84"/>
  <c r="C161" i="84"/>
  <c r="E160" i="84"/>
  <c r="D160" i="84"/>
  <c r="C160" i="84"/>
  <c r="E158" i="84"/>
  <c r="D158" i="84"/>
  <c r="C158" i="84"/>
  <c r="E157" i="84"/>
  <c r="D157" i="84"/>
  <c r="C157" i="84"/>
  <c r="E156" i="84"/>
  <c r="D156" i="84"/>
  <c r="C156" i="84"/>
  <c r="E155" i="84"/>
  <c r="D155" i="84"/>
  <c r="C155" i="84"/>
  <c r="E154" i="84"/>
  <c r="D154" i="84"/>
  <c r="C154" i="84"/>
  <c r="E153" i="84"/>
  <c r="D153" i="84"/>
  <c r="C153" i="84"/>
  <c r="E152" i="84"/>
  <c r="D152" i="84"/>
  <c r="C152" i="84"/>
  <c r="E151" i="84"/>
  <c r="D151" i="84"/>
  <c r="C151" i="84"/>
  <c r="E150" i="84"/>
  <c r="D150" i="84"/>
  <c r="C150" i="84"/>
  <c r="E148" i="84"/>
  <c r="D148" i="84"/>
  <c r="C148" i="84"/>
  <c r="E147" i="84"/>
  <c r="D147" i="84"/>
  <c r="C147" i="84"/>
  <c r="E146" i="84"/>
  <c r="D146" i="84"/>
  <c r="C146" i="84"/>
  <c r="E145" i="84"/>
  <c r="D145" i="84"/>
  <c r="C145" i="84"/>
  <c r="E143" i="84"/>
  <c r="D143" i="84"/>
  <c r="C143" i="84"/>
  <c r="E142" i="84"/>
  <c r="D142" i="84"/>
  <c r="C142" i="84"/>
  <c r="E141" i="84"/>
  <c r="D141" i="84"/>
  <c r="C141" i="84"/>
  <c r="E140" i="84"/>
  <c r="D140" i="84"/>
  <c r="C140" i="84"/>
  <c r="E138" i="84"/>
  <c r="D138" i="84"/>
  <c r="C138" i="84"/>
  <c r="E137" i="84"/>
  <c r="D137" i="84"/>
  <c r="C137" i="84"/>
  <c r="E136" i="84"/>
  <c r="D136" i="84"/>
  <c r="C136" i="84"/>
  <c r="E135" i="84"/>
  <c r="D135" i="84"/>
  <c r="C135" i="84"/>
  <c r="E134" i="84"/>
  <c r="D134" i="84"/>
  <c r="C134" i="84"/>
  <c r="E132" i="84"/>
  <c r="D132" i="84"/>
  <c r="C132" i="84"/>
  <c r="E131" i="84"/>
  <c r="D131" i="84"/>
  <c r="C131" i="84"/>
  <c r="E130" i="84"/>
  <c r="D130" i="84"/>
  <c r="C130" i="84"/>
  <c r="E129" i="84"/>
  <c r="D129" i="84"/>
  <c r="C129" i="84"/>
  <c r="E128" i="84"/>
  <c r="D128" i="84"/>
  <c r="C128" i="84"/>
  <c r="E123" i="84"/>
  <c r="D123" i="84"/>
  <c r="C123" i="84"/>
  <c r="E122" i="84"/>
  <c r="D122" i="84"/>
  <c r="C122" i="84"/>
  <c r="E121" i="84"/>
  <c r="D121" i="84"/>
  <c r="C121" i="84"/>
  <c r="E120" i="84"/>
  <c r="D120" i="84"/>
  <c r="C120" i="84"/>
  <c r="E119" i="84"/>
  <c r="D119" i="84"/>
  <c r="C119" i="84"/>
  <c r="E115" i="84"/>
  <c r="D115" i="84"/>
  <c r="C115" i="84"/>
  <c r="E114" i="84"/>
  <c r="D114" i="84"/>
  <c r="C114" i="84"/>
  <c r="E113" i="84"/>
  <c r="D113" i="84"/>
  <c r="C113" i="84"/>
  <c r="E112" i="84"/>
  <c r="D112" i="84"/>
  <c r="C112" i="84"/>
  <c r="E111" i="84"/>
  <c r="D111" i="84"/>
  <c r="C111" i="84"/>
  <c r="E110" i="84"/>
  <c r="D110" i="84"/>
  <c r="C110" i="84"/>
  <c r="E106" i="84"/>
  <c r="D106" i="84"/>
  <c r="C106" i="84"/>
  <c r="E105" i="84"/>
  <c r="D105" i="84"/>
  <c r="C105" i="84"/>
  <c r="E104" i="84"/>
  <c r="D104" i="84"/>
  <c r="C104" i="84"/>
  <c r="E103" i="84"/>
  <c r="D103" i="84"/>
  <c r="C103" i="84"/>
  <c r="E102" i="84"/>
  <c r="D102" i="84"/>
  <c r="C102" i="84"/>
  <c r="E101" i="84"/>
  <c r="D101" i="84"/>
  <c r="C101" i="84"/>
  <c r="E97" i="84"/>
  <c r="D97" i="84"/>
  <c r="C97" i="84"/>
  <c r="E96" i="84"/>
  <c r="D96" i="84"/>
  <c r="C96" i="84"/>
  <c r="E95" i="84"/>
  <c r="D95" i="84"/>
  <c r="C95" i="84"/>
  <c r="E94" i="84"/>
  <c r="D94" i="84"/>
  <c r="C94" i="84"/>
  <c r="E93" i="84"/>
  <c r="D93" i="84"/>
  <c r="C93" i="84"/>
  <c r="E92" i="84"/>
  <c r="D92" i="84"/>
  <c r="C92" i="84"/>
  <c r="E91" i="84"/>
  <c r="D91" i="84"/>
  <c r="C91" i="84"/>
  <c r="E90" i="84"/>
  <c r="D90" i="84"/>
  <c r="C90" i="84"/>
  <c r="E89" i="84"/>
  <c r="D89" i="84"/>
  <c r="C89" i="84"/>
  <c r="E88" i="84"/>
  <c r="D88" i="84"/>
  <c r="C88" i="84"/>
  <c r="E87" i="84"/>
  <c r="D87" i="84"/>
  <c r="C87" i="84"/>
  <c r="E83" i="84"/>
  <c r="D83" i="84"/>
  <c r="C83" i="84"/>
  <c r="E82" i="84"/>
  <c r="D82" i="84"/>
  <c r="C82" i="84"/>
  <c r="E81" i="84"/>
  <c r="D81" i="84"/>
  <c r="C81" i="84"/>
  <c r="E80" i="84"/>
  <c r="D80" i="84"/>
  <c r="C80" i="84"/>
  <c r="E79" i="84"/>
  <c r="D79" i="84"/>
  <c r="C79" i="84"/>
  <c r="E78" i="84"/>
  <c r="D78" i="84"/>
  <c r="C78" i="84"/>
  <c r="E77" i="84"/>
  <c r="D77" i="84"/>
  <c r="C77" i="84"/>
  <c r="E76" i="84"/>
  <c r="D76" i="84"/>
  <c r="C76" i="84"/>
  <c r="E75" i="84"/>
  <c r="D75" i="84"/>
  <c r="C75" i="84"/>
  <c r="E74" i="84"/>
  <c r="D74" i="84"/>
  <c r="C74" i="84"/>
  <c r="E73" i="84"/>
  <c r="D73" i="84"/>
  <c r="C73" i="84"/>
  <c r="E72" i="84"/>
  <c r="D72" i="84"/>
  <c r="C72" i="84"/>
  <c r="E71" i="84"/>
  <c r="D71" i="84"/>
  <c r="C71" i="84"/>
  <c r="E70" i="84"/>
  <c r="D70" i="84"/>
  <c r="C70" i="84"/>
  <c r="E69" i="84"/>
  <c r="D69" i="84"/>
  <c r="C69" i="84"/>
  <c r="E65" i="84"/>
  <c r="D65" i="84"/>
  <c r="C65" i="84"/>
  <c r="E64" i="84"/>
  <c r="D64" i="84"/>
  <c r="C64" i="84"/>
  <c r="E63" i="84"/>
  <c r="D63" i="84"/>
  <c r="C63" i="84"/>
  <c r="E62" i="84"/>
  <c r="D62" i="84"/>
  <c r="C62" i="84"/>
  <c r="E61" i="84"/>
  <c r="D61" i="84"/>
  <c r="C61" i="84"/>
  <c r="E60" i="84"/>
  <c r="D60" i="84"/>
  <c r="C60" i="84"/>
  <c r="E59" i="84"/>
  <c r="D59" i="84"/>
  <c r="C59" i="84"/>
  <c r="E58" i="84"/>
  <c r="D58" i="84"/>
  <c r="C58" i="84"/>
  <c r="E57" i="84"/>
  <c r="D57" i="84"/>
  <c r="C57" i="84"/>
  <c r="E56" i="84"/>
  <c r="D56" i="84"/>
  <c r="C56" i="84"/>
  <c r="E55" i="84"/>
  <c r="D55" i="84"/>
  <c r="C55" i="84"/>
  <c r="E54" i="84"/>
  <c r="D54" i="84"/>
  <c r="C54" i="84"/>
  <c r="E53" i="84"/>
  <c r="D53" i="84"/>
  <c r="C53" i="84"/>
  <c r="E52" i="84"/>
  <c r="D52" i="84"/>
  <c r="C52" i="84"/>
  <c r="E51" i="84"/>
  <c r="D51" i="84"/>
  <c r="C51" i="84"/>
  <c r="E50" i="84"/>
  <c r="D50" i="84"/>
  <c r="C50" i="84"/>
  <c r="E49" i="84"/>
  <c r="D49" i="84"/>
  <c r="C49" i="84"/>
  <c r="E48" i="84"/>
  <c r="D48" i="84"/>
  <c r="C48" i="84"/>
  <c r="E47" i="84"/>
  <c r="D47" i="84"/>
  <c r="C47" i="84"/>
  <c r="E46" i="84"/>
  <c r="D46" i="84"/>
  <c r="C46" i="84"/>
  <c r="E45" i="84"/>
  <c r="D45" i="84"/>
  <c r="C45" i="84"/>
  <c r="E44" i="84"/>
  <c r="D44" i="84"/>
  <c r="C44" i="84"/>
  <c r="E43" i="84"/>
  <c r="D43" i="84"/>
  <c r="C43" i="84"/>
  <c r="E42" i="84"/>
  <c r="D42" i="84"/>
  <c r="C42" i="84"/>
  <c r="E41" i="84"/>
  <c r="D41" i="84"/>
  <c r="C41" i="84"/>
  <c r="E40" i="84"/>
  <c r="D40" i="84"/>
  <c r="C40" i="84"/>
  <c r="E39" i="84"/>
  <c r="D39" i="84"/>
  <c r="C39" i="84"/>
  <c r="E38" i="84"/>
  <c r="D38" i="84"/>
  <c r="C38" i="84"/>
  <c r="E37" i="84"/>
  <c r="D37" i="84"/>
  <c r="C37" i="84"/>
  <c r="E36" i="84"/>
  <c r="D36" i="84"/>
  <c r="C36" i="84"/>
  <c r="E35" i="84"/>
  <c r="D35" i="84"/>
  <c r="C35" i="84"/>
  <c r="E34" i="84"/>
  <c r="D34" i="84"/>
  <c r="C34" i="84"/>
  <c r="E33" i="84"/>
  <c r="D33" i="84"/>
  <c r="C33" i="84"/>
  <c r="E32" i="84"/>
  <c r="D32" i="84"/>
  <c r="C32" i="84"/>
  <c r="E31" i="84"/>
  <c r="D31" i="84"/>
  <c r="C31" i="84"/>
  <c r="E30" i="84"/>
  <c r="D30" i="84"/>
  <c r="C30" i="84"/>
  <c r="D25" i="84"/>
  <c r="C25" i="84"/>
  <c r="D24" i="84"/>
  <c r="C24" i="84"/>
  <c r="D23" i="84"/>
  <c r="C23" i="84"/>
  <c r="D22" i="84"/>
  <c r="C22" i="84"/>
  <c r="D21" i="84"/>
  <c r="C21" i="84"/>
  <c r="D20" i="84"/>
  <c r="C20" i="84"/>
  <c r="D19" i="84"/>
  <c r="C19" i="84"/>
  <c r="C18" i="84"/>
  <c r="D17" i="84"/>
  <c r="C17" i="84"/>
  <c r="D16" i="84"/>
  <c r="C16" i="84"/>
  <c r="D15" i="84"/>
  <c r="C15" i="84"/>
  <c r="D14" i="84"/>
  <c r="C14" i="84"/>
  <c r="D13" i="84"/>
  <c r="C13" i="84"/>
  <c r="D12" i="84"/>
  <c r="C12" i="84"/>
  <c r="C4" i="84"/>
  <c r="C3" i="84"/>
  <c r="D26" i="84" l="1"/>
  <c r="C238" i="84"/>
  <c r="F12" i="84"/>
  <c r="I12" i="84" s="1"/>
  <c r="C84" i="84"/>
  <c r="C116" i="84"/>
  <c r="E116" i="84"/>
  <c r="E124" i="84"/>
  <c r="E213" i="175"/>
  <c r="E220" i="175" s="1"/>
  <c r="D211" i="84"/>
  <c r="D213" i="175"/>
  <c r="D220" i="175" s="1"/>
  <c r="C26" i="84"/>
  <c r="D84" i="84"/>
  <c r="C98" i="84"/>
  <c r="C124" i="84"/>
  <c r="C166" i="84"/>
  <c r="D166" i="84"/>
  <c r="D202" i="84"/>
  <c r="E84" i="84"/>
  <c r="D98" i="84"/>
  <c r="C107" i="84"/>
  <c r="E107" i="84"/>
  <c r="E166" i="84"/>
  <c r="E202" i="84"/>
  <c r="C233" i="84"/>
  <c r="E98" i="84"/>
  <c r="D107" i="84"/>
  <c r="D116" i="84"/>
  <c r="D124" i="84"/>
  <c r="C202" i="84"/>
  <c r="C211" i="84"/>
  <c r="E211" i="84"/>
  <c r="C213" i="175"/>
  <c r="C217" i="175" s="1"/>
  <c r="D66" i="84"/>
  <c r="C66" i="84"/>
  <c r="E66" i="84"/>
  <c r="E213" i="84" l="1"/>
  <c r="E220" i="84" s="1"/>
  <c r="D213" i="84"/>
  <c r="D220" i="84" s="1"/>
  <c r="C213" i="84"/>
  <c r="C217" i="84" s="1"/>
  <c r="C220" i="175"/>
  <c r="C220" i="84" l="1"/>
  <c r="D18" i="120" l="1"/>
  <c r="C243" i="120"/>
  <c r="C242" i="120"/>
  <c r="C241" i="120"/>
  <c r="C240" i="120"/>
  <c r="C237" i="120"/>
  <c r="C236" i="120"/>
  <c r="E233" i="120"/>
  <c r="D233" i="120"/>
  <c r="C232" i="120"/>
  <c r="C231" i="120"/>
  <c r="C230" i="120"/>
  <c r="C229" i="120"/>
  <c r="C228" i="120"/>
  <c r="C227" i="120"/>
  <c r="C226" i="120"/>
  <c r="C225" i="120"/>
  <c r="C224" i="120"/>
  <c r="C216" i="120"/>
  <c r="E210" i="120"/>
  <c r="D210" i="120"/>
  <c r="C210" i="120"/>
  <c r="E209" i="120"/>
  <c r="D209" i="120"/>
  <c r="C209" i="120"/>
  <c r="E208" i="120"/>
  <c r="D208" i="120"/>
  <c r="C208" i="120"/>
  <c r="E207" i="120"/>
  <c r="D207" i="120"/>
  <c r="C207" i="120"/>
  <c r="E206" i="120"/>
  <c r="D206" i="120"/>
  <c r="C206" i="120"/>
  <c r="E205" i="120"/>
  <c r="D205" i="120"/>
  <c r="C205" i="120"/>
  <c r="E201" i="120"/>
  <c r="D201" i="120"/>
  <c r="C201" i="120"/>
  <c r="E200" i="120"/>
  <c r="D200" i="120"/>
  <c r="C200" i="120"/>
  <c r="E199" i="120"/>
  <c r="D199" i="120"/>
  <c r="C199" i="120"/>
  <c r="E198" i="120"/>
  <c r="D198" i="120"/>
  <c r="C198" i="120"/>
  <c r="E197" i="120"/>
  <c r="D197" i="120"/>
  <c r="C197" i="120"/>
  <c r="E196" i="120"/>
  <c r="D196" i="120"/>
  <c r="C196" i="120"/>
  <c r="E195" i="120"/>
  <c r="D195" i="120"/>
  <c r="C195" i="120"/>
  <c r="E194" i="120"/>
  <c r="D194" i="120"/>
  <c r="C194" i="120"/>
  <c r="E193" i="120"/>
  <c r="D193" i="120"/>
  <c r="C193" i="120"/>
  <c r="E192" i="120"/>
  <c r="D192" i="120"/>
  <c r="C192" i="120"/>
  <c r="E191" i="120"/>
  <c r="D191" i="120"/>
  <c r="C191" i="120"/>
  <c r="E190" i="120"/>
  <c r="D190" i="120"/>
  <c r="C190" i="120"/>
  <c r="E189" i="120"/>
  <c r="D189" i="120"/>
  <c r="C189" i="120"/>
  <c r="E188" i="120"/>
  <c r="D188" i="120"/>
  <c r="C188" i="120"/>
  <c r="E187" i="120"/>
  <c r="D187" i="120"/>
  <c r="C187" i="120"/>
  <c r="E186" i="120"/>
  <c r="D186" i="120"/>
  <c r="C186" i="120"/>
  <c r="E185" i="120"/>
  <c r="D185" i="120"/>
  <c r="C185" i="120"/>
  <c r="E184" i="120"/>
  <c r="D184" i="120"/>
  <c r="C184" i="120"/>
  <c r="E183" i="120"/>
  <c r="D183" i="120"/>
  <c r="C183" i="120"/>
  <c r="E182" i="120"/>
  <c r="D182" i="120"/>
  <c r="C182" i="120"/>
  <c r="E181" i="120"/>
  <c r="D181" i="120"/>
  <c r="C181" i="120"/>
  <c r="E180" i="120"/>
  <c r="D180" i="120"/>
  <c r="C180" i="120"/>
  <c r="E179" i="120"/>
  <c r="D179" i="120"/>
  <c r="C179" i="120"/>
  <c r="E178" i="120"/>
  <c r="D178" i="120"/>
  <c r="C178" i="120"/>
  <c r="E177" i="120"/>
  <c r="D177" i="120"/>
  <c r="C177" i="120"/>
  <c r="E176" i="120"/>
  <c r="D176" i="120"/>
  <c r="C176" i="120"/>
  <c r="E175" i="120"/>
  <c r="D175" i="120"/>
  <c r="C175" i="120"/>
  <c r="E174" i="120"/>
  <c r="D174" i="120"/>
  <c r="C174" i="120"/>
  <c r="E173" i="120"/>
  <c r="D173" i="120"/>
  <c r="C173" i="120"/>
  <c r="E172" i="120"/>
  <c r="D172" i="120"/>
  <c r="C172" i="120"/>
  <c r="E171" i="120"/>
  <c r="D171" i="120"/>
  <c r="C171" i="120"/>
  <c r="E170" i="120"/>
  <c r="D170" i="120"/>
  <c r="C170" i="120"/>
  <c r="E169" i="120"/>
  <c r="D169" i="120"/>
  <c r="C169" i="120"/>
  <c r="E165" i="120"/>
  <c r="D165" i="120"/>
  <c r="C165" i="120"/>
  <c r="E164" i="120"/>
  <c r="D164" i="120"/>
  <c r="C164" i="120"/>
  <c r="E163" i="120"/>
  <c r="D163" i="120"/>
  <c r="C163" i="120"/>
  <c r="E162" i="120"/>
  <c r="D162" i="120"/>
  <c r="C162" i="120"/>
  <c r="E161" i="120"/>
  <c r="D161" i="120"/>
  <c r="C161" i="120"/>
  <c r="E160" i="120"/>
  <c r="D160" i="120"/>
  <c r="C160" i="120"/>
  <c r="E158" i="120"/>
  <c r="D158" i="120"/>
  <c r="C158" i="120"/>
  <c r="E157" i="120"/>
  <c r="D157" i="120"/>
  <c r="C157" i="120"/>
  <c r="E156" i="120"/>
  <c r="D156" i="120"/>
  <c r="C156" i="120"/>
  <c r="E155" i="120"/>
  <c r="D155" i="120"/>
  <c r="C155" i="120"/>
  <c r="E154" i="120"/>
  <c r="D154" i="120"/>
  <c r="C154" i="120"/>
  <c r="E153" i="120"/>
  <c r="D153" i="120"/>
  <c r="C153" i="120"/>
  <c r="E152" i="120"/>
  <c r="D152" i="120"/>
  <c r="C152" i="120"/>
  <c r="E151" i="120"/>
  <c r="D151" i="120"/>
  <c r="C151" i="120"/>
  <c r="E150" i="120"/>
  <c r="D150" i="120"/>
  <c r="C150" i="120"/>
  <c r="E148" i="120"/>
  <c r="D148" i="120"/>
  <c r="C148" i="120"/>
  <c r="E147" i="120"/>
  <c r="D147" i="120"/>
  <c r="C147" i="120"/>
  <c r="E146" i="120"/>
  <c r="D146" i="120"/>
  <c r="C146" i="120"/>
  <c r="E145" i="120"/>
  <c r="D145" i="120"/>
  <c r="C145" i="120"/>
  <c r="E143" i="120"/>
  <c r="D143" i="120"/>
  <c r="C143" i="120"/>
  <c r="E142" i="120"/>
  <c r="D142" i="120"/>
  <c r="C142" i="120"/>
  <c r="E141" i="120"/>
  <c r="D141" i="120"/>
  <c r="C141" i="120"/>
  <c r="E140" i="120"/>
  <c r="D140" i="120"/>
  <c r="C140" i="120"/>
  <c r="E138" i="120"/>
  <c r="D138" i="120"/>
  <c r="C138" i="120"/>
  <c r="E137" i="120"/>
  <c r="D137" i="120"/>
  <c r="C137" i="120"/>
  <c r="E136" i="120"/>
  <c r="D136" i="120"/>
  <c r="C136" i="120"/>
  <c r="E135" i="120"/>
  <c r="D135" i="120"/>
  <c r="C135" i="120"/>
  <c r="E134" i="120"/>
  <c r="D134" i="120"/>
  <c r="C134" i="120"/>
  <c r="E132" i="120"/>
  <c r="D132" i="120"/>
  <c r="C132" i="120"/>
  <c r="E131" i="120"/>
  <c r="D131" i="120"/>
  <c r="C131" i="120"/>
  <c r="E130" i="120"/>
  <c r="D130" i="120"/>
  <c r="C130" i="120"/>
  <c r="E129" i="120"/>
  <c r="D129" i="120"/>
  <c r="C129" i="120"/>
  <c r="E128" i="120"/>
  <c r="D128" i="120"/>
  <c r="C128" i="120"/>
  <c r="E123" i="120"/>
  <c r="D123" i="120"/>
  <c r="C123" i="120"/>
  <c r="E122" i="120"/>
  <c r="D122" i="120"/>
  <c r="C122" i="120"/>
  <c r="E121" i="120"/>
  <c r="D121" i="120"/>
  <c r="C121" i="120"/>
  <c r="E120" i="120"/>
  <c r="D120" i="120"/>
  <c r="C120" i="120"/>
  <c r="E119" i="120"/>
  <c r="D119" i="120"/>
  <c r="C119" i="120"/>
  <c r="E115" i="120"/>
  <c r="D115" i="120"/>
  <c r="C115" i="120"/>
  <c r="E114" i="120"/>
  <c r="D114" i="120"/>
  <c r="C114" i="120"/>
  <c r="E113" i="120"/>
  <c r="D113" i="120"/>
  <c r="C113" i="120"/>
  <c r="E112" i="120"/>
  <c r="D112" i="120"/>
  <c r="C112" i="120"/>
  <c r="E111" i="120"/>
  <c r="D111" i="120"/>
  <c r="C111" i="120"/>
  <c r="E110" i="120"/>
  <c r="D110" i="120"/>
  <c r="C110" i="120"/>
  <c r="E106" i="120"/>
  <c r="D106" i="120"/>
  <c r="C106" i="120"/>
  <c r="E105" i="120"/>
  <c r="D105" i="120"/>
  <c r="C105" i="120"/>
  <c r="E104" i="120"/>
  <c r="D104" i="120"/>
  <c r="C104" i="120"/>
  <c r="E103" i="120"/>
  <c r="D103" i="120"/>
  <c r="C103" i="120"/>
  <c r="E102" i="120"/>
  <c r="D102" i="120"/>
  <c r="C102" i="120"/>
  <c r="E101" i="120"/>
  <c r="D101" i="120"/>
  <c r="C101" i="120"/>
  <c r="E97" i="120"/>
  <c r="D97" i="120"/>
  <c r="C97" i="120"/>
  <c r="E96" i="120"/>
  <c r="D96" i="120"/>
  <c r="C96" i="120"/>
  <c r="E95" i="120"/>
  <c r="D95" i="120"/>
  <c r="C95" i="120"/>
  <c r="E94" i="120"/>
  <c r="D94" i="120"/>
  <c r="C94" i="120"/>
  <c r="E93" i="120"/>
  <c r="D93" i="120"/>
  <c r="C93" i="120"/>
  <c r="E92" i="120"/>
  <c r="D92" i="120"/>
  <c r="C92" i="120"/>
  <c r="E91" i="120"/>
  <c r="D91" i="120"/>
  <c r="C91" i="120"/>
  <c r="E90" i="120"/>
  <c r="D90" i="120"/>
  <c r="C90" i="120"/>
  <c r="E89" i="120"/>
  <c r="D89" i="120"/>
  <c r="C89" i="120"/>
  <c r="E88" i="120"/>
  <c r="D88" i="120"/>
  <c r="C88" i="120"/>
  <c r="E87" i="120"/>
  <c r="D87" i="120"/>
  <c r="C87" i="120"/>
  <c r="E83" i="120"/>
  <c r="D83" i="120"/>
  <c r="C83" i="120"/>
  <c r="E82" i="120"/>
  <c r="D82" i="120"/>
  <c r="C82" i="120"/>
  <c r="E81" i="120"/>
  <c r="D81" i="120"/>
  <c r="C81" i="120"/>
  <c r="E80" i="120"/>
  <c r="D80" i="120"/>
  <c r="C80" i="120"/>
  <c r="E79" i="120"/>
  <c r="D79" i="120"/>
  <c r="C79" i="120"/>
  <c r="E78" i="120"/>
  <c r="D78" i="120"/>
  <c r="C78" i="120"/>
  <c r="E77" i="120"/>
  <c r="D77" i="120"/>
  <c r="C77" i="120"/>
  <c r="E76" i="120"/>
  <c r="D76" i="120"/>
  <c r="C76" i="120"/>
  <c r="E75" i="120"/>
  <c r="D75" i="120"/>
  <c r="C75" i="120"/>
  <c r="E74" i="120"/>
  <c r="D74" i="120"/>
  <c r="C74" i="120"/>
  <c r="E73" i="120"/>
  <c r="D73" i="120"/>
  <c r="C73" i="120"/>
  <c r="E72" i="120"/>
  <c r="D72" i="120"/>
  <c r="C72" i="120"/>
  <c r="E71" i="120"/>
  <c r="D71" i="120"/>
  <c r="C71" i="120"/>
  <c r="E70" i="120"/>
  <c r="D70" i="120"/>
  <c r="C70" i="120"/>
  <c r="E69" i="120"/>
  <c r="D69" i="120"/>
  <c r="C69" i="120"/>
  <c r="E65" i="120"/>
  <c r="D65" i="120"/>
  <c r="C65" i="120"/>
  <c r="E64" i="120"/>
  <c r="D64" i="120"/>
  <c r="C64" i="120"/>
  <c r="E63" i="120"/>
  <c r="D63" i="120"/>
  <c r="C63" i="120"/>
  <c r="E62" i="120"/>
  <c r="D62" i="120"/>
  <c r="C62" i="120"/>
  <c r="E61" i="120"/>
  <c r="D61" i="120"/>
  <c r="C61" i="120"/>
  <c r="E60" i="120"/>
  <c r="D60" i="120"/>
  <c r="C60" i="120"/>
  <c r="E59" i="120"/>
  <c r="D59" i="120"/>
  <c r="C59" i="120"/>
  <c r="E58" i="120"/>
  <c r="D58" i="120"/>
  <c r="C58" i="120"/>
  <c r="E57" i="120"/>
  <c r="D57" i="120"/>
  <c r="C57" i="120"/>
  <c r="E56" i="120"/>
  <c r="D56" i="120"/>
  <c r="C56" i="120"/>
  <c r="E55" i="120"/>
  <c r="D55" i="120"/>
  <c r="C55" i="120"/>
  <c r="E54" i="120"/>
  <c r="D54" i="120"/>
  <c r="C54" i="120"/>
  <c r="E53" i="120"/>
  <c r="D53" i="120"/>
  <c r="C53" i="120"/>
  <c r="E52" i="120"/>
  <c r="D52" i="120"/>
  <c r="C52" i="120"/>
  <c r="E51" i="120"/>
  <c r="D51" i="120"/>
  <c r="C51" i="120"/>
  <c r="E50" i="120"/>
  <c r="D50" i="120"/>
  <c r="C50" i="120"/>
  <c r="E49" i="120"/>
  <c r="D49" i="120"/>
  <c r="C49" i="120"/>
  <c r="E48" i="120"/>
  <c r="D48" i="120"/>
  <c r="C48" i="120"/>
  <c r="E47" i="120"/>
  <c r="D47" i="120"/>
  <c r="C47" i="120"/>
  <c r="E46" i="120"/>
  <c r="D46" i="120"/>
  <c r="C46" i="120"/>
  <c r="E45" i="120"/>
  <c r="D45" i="120"/>
  <c r="C45" i="120"/>
  <c r="E44" i="120"/>
  <c r="D44" i="120"/>
  <c r="C44" i="120"/>
  <c r="E43" i="120"/>
  <c r="D43" i="120"/>
  <c r="C43" i="120"/>
  <c r="E42" i="120"/>
  <c r="D42" i="120"/>
  <c r="C42" i="120"/>
  <c r="E41" i="120"/>
  <c r="D41" i="120"/>
  <c r="C41" i="120"/>
  <c r="E40" i="120"/>
  <c r="D40" i="120"/>
  <c r="C40" i="120"/>
  <c r="E39" i="120"/>
  <c r="D39" i="120"/>
  <c r="C39" i="120"/>
  <c r="E38" i="120"/>
  <c r="D38" i="120"/>
  <c r="C38" i="120"/>
  <c r="E37" i="120"/>
  <c r="D37" i="120"/>
  <c r="C37" i="120"/>
  <c r="E36" i="120"/>
  <c r="D36" i="120"/>
  <c r="C36" i="120"/>
  <c r="E35" i="120"/>
  <c r="D35" i="120"/>
  <c r="C35" i="120"/>
  <c r="E34" i="120"/>
  <c r="D34" i="120"/>
  <c r="C34" i="120"/>
  <c r="E33" i="120"/>
  <c r="D33" i="120"/>
  <c r="C33" i="120"/>
  <c r="E32" i="120"/>
  <c r="D32" i="120"/>
  <c r="C32" i="120"/>
  <c r="E31" i="120"/>
  <c r="D31" i="120"/>
  <c r="C31" i="120"/>
  <c r="E30" i="120"/>
  <c r="D30" i="120"/>
  <c r="C30" i="120"/>
  <c r="D25" i="120"/>
  <c r="C25" i="120"/>
  <c r="D24" i="120"/>
  <c r="C24" i="120"/>
  <c r="D23" i="120"/>
  <c r="C23" i="120"/>
  <c r="D22" i="120"/>
  <c r="C22" i="120"/>
  <c r="D21" i="120"/>
  <c r="C21" i="120"/>
  <c r="D20" i="120"/>
  <c r="C20" i="120"/>
  <c r="D19" i="120"/>
  <c r="C19" i="120"/>
  <c r="C18" i="120"/>
  <c r="D17" i="120"/>
  <c r="C17" i="120"/>
  <c r="D16" i="120"/>
  <c r="C16" i="120"/>
  <c r="D15" i="120"/>
  <c r="C15" i="120"/>
  <c r="D14" i="120"/>
  <c r="C14" i="120"/>
  <c r="D13" i="120"/>
  <c r="C13" i="120"/>
  <c r="D12" i="120"/>
  <c r="C12" i="120"/>
  <c r="F12" i="120" s="1"/>
  <c r="I12" i="120" s="1"/>
  <c r="C4" i="120"/>
  <c r="C238" i="120" s="1"/>
  <c r="D26" i="120" l="1"/>
  <c r="C26" i="120"/>
  <c r="D84" i="120"/>
  <c r="C98" i="120"/>
  <c r="C166" i="120"/>
  <c r="D166" i="120"/>
  <c r="D202" i="120"/>
  <c r="C233" i="120"/>
  <c r="E84" i="120"/>
  <c r="D98" i="120"/>
  <c r="E107" i="120"/>
  <c r="C124" i="120"/>
  <c r="E202" i="120"/>
  <c r="E98" i="120"/>
  <c r="D107" i="120"/>
  <c r="D116" i="120"/>
  <c r="D124" i="120"/>
  <c r="E166" i="120"/>
  <c r="C211" i="120"/>
  <c r="E211" i="120"/>
  <c r="C107" i="120"/>
  <c r="E116" i="120"/>
  <c r="C84" i="120"/>
  <c r="C116" i="120"/>
  <c r="E124" i="120"/>
  <c r="C202" i="120"/>
  <c r="D211" i="120"/>
  <c r="C66" i="120"/>
  <c r="D66" i="120"/>
  <c r="E66" i="120"/>
  <c r="E213" i="120" l="1"/>
  <c r="E220" i="120" s="1"/>
  <c r="D213" i="120"/>
  <c r="D220" i="120" s="1"/>
  <c r="C213" i="120"/>
  <c r="C220" i="120" s="1"/>
  <c r="C217" i="120" l="1"/>
  <c r="D18" i="150" l="1"/>
  <c r="I249" i="150"/>
  <c r="I248" i="150"/>
  <c r="I247" i="150"/>
  <c r="I246" i="150"/>
  <c r="C243" i="150"/>
  <c r="C242" i="150"/>
  <c r="C241" i="150"/>
  <c r="C240" i="150"/>
  <c r="C237" i="150"/>
  <c r="C236" i="150"/>
  <c r="E233" i="150"/>
  <c r="D233" i="150"/>
  <c r="C232" i="150"/>
  <c r="C231" i="150"/>
  <c r="C230" i="150"/>
  <c r="C229" i="150"/>
  <c r="C228" i="150"/>
  <c r="C227" i="150"/>
  <c r="C226" i="150"/>
  <c r="C225" i="150"/>
  <c r="C224" i="150"/>
  <c r="C216" i="150"/>
  <c r="E210" i="150"/>
  <c r="D210" i="150"/>
  <c r="C210" i="150"/>
  <c r="E209" i="150"/>
  <c r="D209" i="150"/>
  <c r="C209" i="150"/>
  <c r="E208" i="150"/>
  <c r="D208" i="150"/>
  <c r="C208" i="150"/>
  <c r="E207" i="150"/>
  <c r="D207" i="150"/>
  <c r="C207" i="150"/>
  <c r="E206" i="150"/>
  <c r="D206" i="150"/>
  <c r="C206" i="150"/>
  <c r="E205" i="150"/>
  <c r="D205" i="150"/>
  <c r="C205" i="150"/>
  <c r="E201" i="150"/>
  <c r="D201" i="150"/>
  <c r="C201" i="150"/>
  <c r="E200" i="150"/>
  <c r="D200" i="150"/>
  <c r="C200" i="150"/>
  <c r="E199" i="150"/>
  <c r="D199" i="150"/>
  <c r="C199" i="150"/>
  <c r="E198" i="150"/>
  <c r="D198" i="150"/>
  <c r="C198" i="150"/>
  <c r="E197" i="150"/>
  <c r="D197" i="150"/>
  <c r="C197" i="150"/>
  <c r="E196" i="150"/>
  <c r="D196" i="150"/>
  <c r="C196" i="150"/>
  <c r="E195" i="150"/>
  <c r="D195" i="150"/>
  <c r="C195" i="150"/>
  <c r="E194" i="150"/>
  <c r="D194" i="150"/>
  <c r="C194" i="150"/>
  <c r="E193" i="150"/>
  <c r="D193" i="150"/>
  <c r="C193" i="150"/>
  <c r="E192" i="150"/>
  <c r="D192" i="150"/>
  <c r="C192" i="150"/>
  <c r="E191" i="150"/>
  <c r="D191" i="150"/>
  <c r="C191" i="150"/>
  <c r="E190" i="150"/>
  <c r="D190" i="150"/>
  <c r="C190" i="150"/>
  <c r="E189" i="150"/>
  <c r="D189" i="150"/>
  <c r="C189" i="150"/>
  <c r="E188" i="150"/>
  <c r="D188" i="150"/>
  <c r="C188" i="150"/>
  <c r="E187" i="150"/>
  <c r="D187" i="150"/>
  <c r="C187" i="150"/>
  <c r="E186" i="150"/>
  <c r="D186" i="150"/>
  <c r="C186" i="150"/>
  <c r="E185" i="150"/>
  <c r="D185" i="150"/>
  <c r="C185" i="150"/>
  <c r="E184" i="150"/>
  <c r="D184" i="150"/>
  <c r="C184" i="150"/>
  <c r="E183" i="150"/>
  <c r="D183" i="150"/>
  <c r="C183" i="150"/>
  <c r="E182" i="150"/>
  <c r="D182" i="150"/>
  <c r="C182" i="150"/>
  <c r="E181" i="150"/>
  <c r="D181" i="150"/>
  <c r="C181" i="150"/>
  <c r="E180" i="150"/>
  <c r="D180" i="150"/>
  <c r="C180" i="150"/>
  <c r="E179" i="150"/>
  <c r="D179" i="150"/>
  <c r="C179" i="150"/>
  <c r="E178" i="150"/>
  <c r="D178" i="150"/>
  <c r="C178" i="150"/>
  <c r="E177" i="150"/>
  <c r="D177" i="150"/>
  <c r="C177" i="150"/>
  <c r="E176" i="150"/>
  <c r="D176" i="150"/>
  <c r="C176" i="150"/>
  <c r="E175" i="150"/>
  <c r="D175" i="150"/>
  <c r="C175" i="150"/>
  <c r="E174" i="150"/>
  <c r="D174" i="150"/>
  <c r="C174" i="150"/>
  <c r="E173" i="150"/>
  <c r="D173" i="150"/>
  <c r="C173" i="150"/>
  <c r="E172" i="150"/>
  <c r="D172" i="150"/>
  <c r="C172" i="150"/>
  <c r="E171" i="150"/>
  <c r="D171" i="150"/>
  <c r="C171" i="150"/>
  <c r="E170" i="150"/>
  <c r="D170" i="150"/>
  <c r="C170" i="150"/>
  <c r="E169" i="150"/>
  <c r="D169" i="150"/>
  <c r="C169" i="150"/>
  <c r="E165" i="150"/>
  <c r="D165" i="150"/>
  <c r="C165" i="150"/>
  <c r="E164" i="150"/>
  <c r="D164" i="150"/>
  <c r="C164" i="150"/>
  <c r="E163" i="150"/>
  <c r="D163" i="150"/>
  <c r="C163" i="150"/>
  <c r="E162" i="150"/>
  <c r="D162" i="150"/>
  <c r="C162" i="150"/>
  <c r="E161" i="150"/>
  <c r="D161" i="150"/>
  <c r="C161" i="150"/>
  <c r="E160" i="150"/>
  <c r="D160" i="150"/>
  <c r="C160" i="150"/>
  <c r="E158" i="150"/>
  <c r="D158" i="150"/>
  <c r="C158" i="150"/>
  <c r="E157" i="150"/>
  <c r="D157" i="150"/>
  <c r="C157" i="150"/>
  <c r="E156" i="150"/>
  <c r="D156" i="150"/>
  <c r="C156" i="150"/>
  <c r="E155" i="150"/>
  <c r="D155" i="150"/>
  <c r="C155" i="150"/>
  <c r="E154" i="150"/>
  <c r="D154" i="150"/>
  <c r="C154" i="150"/>
  <c r="E153" i="150"/>
  <c r="D153" i="150"/>
  <c r="C153" i="150"/>
  <c r="E152" i="150"/>
  <c r="D152" i="150"/>
  <c r="C152" i="150"/>
  <c r="E151" i="150"/>
  <c r="D151" i="150"/>
  <c r="C151" i="150"/>
  <c r="E150" i="150"/>
  <c r="D150" i="150"/>
  <c r="C150" i="150"/>
  <c r="E148" i="150"/>
  <c r="D148" i="150"/>
  <c r="C148" i="150"/>
  <c r="E147" i="150"/>
  <c r="D147" i="150"/>
  <c r="C147" i="150"/>
  <c r="E146" i="150"/>
  <c r="D146" i="150"/>
  <c r="C146" i="150"/>
  <c r="E145" i="150"/>
  <c r="D145" i="150"/>
  <c r="C145" i="150"/>
  <c r="E143" i="150"/>
  <c r="D143" i="150"/>
  <c r="C143" i="150"/>
  <c r="E142" i="150"/>
  <c r="D142" i="150"/>
  <c r="C142" i="150"/>
  <c r="E141" i="150"/>
  <c r="D141" i="150"/>
  <c r="C141" i="150"/>
  <c r="E140" i="150"/>
  <c r="D140" i="150"/>
  <c r="C140" i="150"/>
  <c r="E138" i="150"/>
  <c r="D138" i="150"/>
  <c r="C138" i="150"/>
  <c r="E137" i="150"/>
  <c r="D137" i="150"/>
  <c r="C137" i="150"/>
  <c r="E136" i="150"/>
  <c r="D136" i="150"/>
  <c r="C136" i="150"/>
  <c r="E135" i="150"/>
  <c r="D135" i="150"/>
  <c r="C135" i="150"/>
  <c r="E134" i="150"/>
  <c r="D134" i="150"/>
  <c r="C134" i="150"/>
  <c r="E132" i="150"/>
  <c r="D132" i="150"/>
  <c r="C132" i="150"/>
  <c r="E131" i="150"/>
  <c r="D131" i="150"/>
  <c r="C131" i="150"/>
  <c r="E130" i="150"/>
  <c r="D130" i="150"/>
  <c r="C130" i="150"/>
  <c r="E129" i="150"/>
  <c r="D129" i="150"/>
  <c r="C129" i="150"/>
  <c r="E128" i="150"/>
  <c r="D128" i="150"/>
  <c r="C128" i="150"/>
  <c r="E123" i="150"/>
  <c r="D123" i="150"/>
  <c r="C123" i="150"/>
  <c r="E122" i="150"/>
  <c r="D122" i="150"/>
  <c r="C122" i="150"/>
  <c r="E121" i="150"/>
  <c r="D121" i="150"/>
  <c r="C121" i="150"/>
  <c r="E120" i="150"/>
  <c r="D120" i="150"/>
  <c r="C120" i="150"/>
  <c r="E119" i="150"/>
  <c r="D119" i="150"/>
  <c r="C119" i="150"/>
  <c r="E115" i="150"/>
  <c r="D115" i="150"/>
  <c r="C115" i="150"/>
  <c r="E114" i="150"/>
  <c r="D114" i="150"/>
  <c r="C114" i="150"/>
  <c r="E113" i="150"/>
  <c r="D113" i="150"/>
  <c r="C113" i="150"/>
  <c r="E112" i="150"/>
  <c r="D112" i="150"/>
  <c r="C112" i="150"/>
  <c r="E111" i="150"/>
  <c r="D111" i="150"/>
  <c r="C111" i="150"/>
  <c r="E110" i="150"/>
  <c r="D110" i="150"/>
  <c r="C110" i="150"/>
  <c r="E106" i="150"/>
  <c r="D106" i="150"/>
  <c r="C106" i="150"/>
  <c r="E105" i="150"/>
  <c r="D105" i="150"/>
  <c r="C105" i="150"/>
  <c r="E104" i="150"/>
  <c r="D104" i="150"/>
  <c r="C104" i="150"/>
  <c r="E103" i="150"/>
  <c r="D103" i="150"/>
  <c r="C103" i="150"/>
  <c r="E102" i="150"/>
  <c r="D102" i="150"/>
  <c r="C102" i="150"/>
  <c r="E101" i="150"/>
  <c r="D101" i="150"/>
  <c r="C101" i="150"/>
  <c r="E97" i="150"/>
  <c r="D97" i="150"/>
  <c r="C97" i="150"/>
  <c r="E96" i="150"/>
  <c r="D96" i="150"/>
  <c r="C96" i="150"/>
  <c r="E95" i="150"/>
  <c r="D95" i="150"/>
  <c r="C95" i="150"/>
  <c r="E94" i="150"/>
  <c r="D94" i="150"/>
  <c r="C94" i="150"/>
  <c r="E93" i="150"/>
  <c r="D93" i="150"/>
  <c r="C93" i="150"/>
  <c r="E92" i="150"/>
  <c r="D92" i="150"/>
  <c r="C92" i="150"/>
  <c r="E91" i="150"/>
  <c r="D91" i="150"/>
  <c r="C91" i="150"/>
  <c r="E90" i="150"/>
  <c r="D90" i="150"/>
  <c r="C90" i="150"/>
  <c r="E89" i="150"/>
  <c r="D89" i="150"/>
  <c r="C89" i="150"/>
  <c r="E88" i="150"/>
  <c r="D88" i="150"/>
  <c r="C88" i="150"/>
  <c r="E87" i="150"/>
  <c r="D87" i="150"/>
  <c r="C87" i="150"/>
  <c r="E83" i="150"/>
  <c r="D83" i="150"/>
  <c r="C83" i="150"/>
  <c r="E82" i="150"/>
  <c r="D82" i="150"/>
  <c r="C82" i="150"/>
  <c r="E81" i="150"/>
  <c r="D81" i="150"/>
  <c r="C81" i="150"/>
  <c r="E80" i="150"/>
  <c r="D80" i="150"/>
  <c r="C80" i="150"/>
  <c r="E79" i="150"/>
  <c r="D79" i="150"/>
  <c r="C79" i="150"/>
  <c r="E78" i="150"/>
  <c r="D78" i="150"/>
  <c r="C78" i="150"/>
  <c r="E77" i="150"/>
  <c r="D77" i="150"/>
  <c r="C77" i="150"/>
  <c r="E76" i="150"/>
  <c r="D76" i="150"/>
  <c r="C76" i="150"/>
  <c r="E75" i="150"/>
  <c r="D75" i="150"/>
  <c r="C75" i="150"/>
  <c r="E74" i="150"/>
  <c r="D74" i="150"/>
  <c r="C74" i="150"/>
  <c r="E73" i="150"/>
  <c r="D73" i="150"/>
  <c r="C73" i="150"/>
  <c r="E72" i="150"/>
  <c r="D72" i="150"/>
  <c r="C72" i="150"/>
  <c r="E71" i="150"/>
  <c r="D71" i="150"/>
  <c r="C71" i="150"/>
  <c r="E70" i="150"/>
  <c r="D70" i="150"/>
  <c r="C70" i="150"/>
  <c r="E69" i="150"/>
  <c r="D69" i="150"/>
  <c r="C69" i="150"/>
  <c r="E65" i="150"/>
  <c r="D65" i="150"/>
  <c r="C65" i="150"/>
  <c r="E64" i="150"/>
  <c r="D64" i="150"/>
  <c r="C64" i="150"/>
  <c r="E63" i="150"/>
  <c r="D63" i="150"/>
  <c r="C63" i="150"/>
  <c r="E62" i="150"/>
  <c r="D62" i="150"/>
  <c r="C62" i="150"/>
  <c r="E61" i="150"/>
  <c r="D61" i="150"/>
  <c r="C61" i="150"/>
  <c r="E60" i="150"/>
  <c r="D60" i="150"/>
  <c r="C60" i="150"/>
  <c r="E59" i="150"/>
  <c r="D59" i="150"/>
  <c r="C59" i="150"/>
  <c r="E58" i="150"/>
  <c r="D58" i="150"/>
  <c r="C58" i="150"/>
  <c r="E57" i="150"/>
  <c r="D57" i="150"/>
  <c r="C57" i="150"/>
  <c r="E56" i="150"/>
  <c r="D56" i="150"/>
  <c r="C56" i="150"/>
  <c r="E55" i="150"/>
  <c r="D55" i="150"/>
  <c r="C55" i="150"/>
  <c r="E54" i="150"/>
  <c r="D54" i="150"/>
  <c r="C54" i="150"/>
  <c r="E53" i="150"/>
  <c r="D53" i="150"/>
  <c r="C53" i="150"/>
  <c r="E52" i="150"/>
  <c r="D52" i="150"/>
  <c r="C52" i="150"/>
  <c r="E51" i="150"/>
  <c r="D51" i="150"/>
  <c r="C51" i="150"/>
  <c r="E50" i="150"/>
  <c r="D50" i="150"/>
  <c r="C50" i="150"/>
  <c r="E49" i="150"/>
  <c r="D49" i="150"/>
  <c r="C49" i="150"/>
  <c r="E48" i="150"/>
  <c r="D48" i="150"/>
  <c r="C48" i="150"/>
  <c r="E47" i="150"/>
  <c r="D47" i="150"/>
  <c r="C47" i="150"/>
  <c r="E46" i="150"/>
  <c r="D46" i="150"/>
  <c r="C46" i="150"/>
  <c r="E45" i="150"/>
  <c r="D45" i="150"/>
  <c r="C45" i="150"/>
  <c r="E44" i="150"/>
  <c r="D44" i="150"/>
  <c r="C44" i="150"/>
  <c r="E43" i="150"/>
  <c r="D43" i="150"/>
  <c r="C43" i="150"/>
  <c r="E42" i="150"/>
  <c r="D42" i="150"/>
  <c r="C42" i="150"/>
  <c r="E41" i="150"/>
  <c r="D41" i="150"/>
  <c r="C41" i="150"/>
  <c r="E40" i="150"/>
  <c r="D40" i="150"/>
  <c r="C40" i="150"/>
  <c r="E39" i="150"/>
  <c r="D39" i="150"/>
  <c r="C39" i="150"/>
  <c r="E38" i="150"/>
  <c r="D38" i="150"/>
  <c r="C38" i="150"/>
  <c r="E37" i="150"/>
  <c r="D37" i="150"/>
  <c r="C37" i="150"/>
  <c r="E36" i="150"/>
  <c r="D36" i="150"/>
  <c r="C36" i="150"/>
  <c r="E35" i="150"/>
  <c r="D35" i="150"/>
  <c r="C35" i="150"/>
  <c r="E34" i="150"/>
  <c r="D34" i="150"/>
  <c r="C34" i="150"/>
  <c r="E33" i="150"/>
  <c r="D33" i="150"/>
  <c r="C33" i="150"/>
  <c r="E32" i="150"/>
  <c r="D32" i="150"/>
  <c r="C32" i="150"/>
  <c r="E31" i="150"/>
  <c r="D31" i="150"/>
  <c r="C31" i="150"/>
  <c r="E30" i="150"/>
  <c r="D30" i="150"/>
  <c r="C30" i="150"/>
  <c r="D25" i="150"/>
  <c r="C25" i="150"/>
  <c r="D24" i="150"/>
  <c r="C24" i="150"/>
  <c r="D23" i="150"/>
  <c r="C23" i="150"/>
  <c r="D22" i="150"/>
  <c r="C22" i="150"/>
  <c r="D21" i="150"/>
  <c r="C21" i="150"/>
  <c r="D20" i="150"/>
  <c r="C20" i="150"/>
  <c r="D19" i="150"/>
  <c r="C19" i="150"/>
  <c r="C18" i="150"/>
  <c r="D17" i="150"/>
  <c r="C17" i="150"/>
  <c r="D16" i="150"/>
  <c r="C16" i="150"/>
  <c r="D15" i="150"/>
  <c r="C15" i="150"/>
  <c r="D14" i="150"/>
  <c r="C14" i="150"/>
  <c r="D13" i="150"/>
  <c r="C13" i="150"/>
  <c r="D12" i="150"/>
  <c r="C12" i="150"/>
  <c r="C4" i="150"/>
  <c r="C3" i="150"/>
  <c r="D26" i="150" l="1"/>
  <c r="F12" i="150"/>
  <c r="I12" i="150" s="1"/>
  <c r="E84" i="150"/>
  <c r="D98" i="150"/>
  <c r="C107" i="150"/>
  <c r="E107" i="150"/>
  <c r="E166" i="150"/>
  <c r="E202" i="150"/>
  <c r="C238" i="150"/>
  <c r="C233" i="150"/>
  <c r="E98" i="150"/>
  <c r="D107" i="150"/>
  <c r="D116" i="150"/>
  <c r="D124" i="150"/>
  <c r="C202" i="150"/>
  <c r="C211" i="150"/>
  <c r="E211" i="150"/>
  <c r="C84" i="150"/>
  <c r="C116" i="150"/>
  <c r="E116" i="150"/>
  <c r="E124" i="150"/>
  <c r="D211" i="150"/>
  <c r="C26" i="150"/>
  <c r="D84" i="150"/>
  <c r="C98" i="150"/>
  <c r="C124" i="150"/>
  <c r="C166" i="150"/>
  <c r="D166" i="150"/>
  <c r="D202" i="150"/>
  <c r="C66" i="150"/>
  <c r="D66" i="150"/>
  <c r="E66" i="150"/>
  <c r="E213" i="150" l="1"/>
  <c r="E220" i="150" s="1"/>
  <c r="D213" i="150"/>
  <c r="D220" i="150" s="1"/>
  <c r="C213" i="150"/>
  <c r="C217" i="150" s="1"/>
  <c r="C220" i="150" l="1"/>
  <c r="D18" i="25"/>
  <c r="I249" i="25"/>
  <c r="I248" i="25"/>
  <c r="I247" i="25"/>
  <c r="I246" i="25"/>
  <c r="C243" i="25"/>
  <c r="C242" i="25"/>
  <c r="C241" i="25"/>
  <c r="C240" i="25"/>
  <c r="C237" i="25"/>
  <c r="C236" i="25"/>
  <c r="E233" i="25"/>
  <c r="D233" i="25"/>
  <c r="C232" i="25"/>
  <c r="C231" i="25"/>
  <c r="C230" i="25"/>
  <c r="C229" i="25"/>
  <c r="C228" i="25"/>
  <c r="C227" i="25"/>
  <c r="C226" i="25"/>
  <c r="C225" i="25"/>
  <c r="C224" i="25"/>
  <c r="C216" i="25"/>
  <c r="E210" i="25"/>
  <c r="D210" i="25"/>
  <c r="C210" i="25"/>
  <c r="E209" i="25"/>
  <c r="D209" i="25"/>
  <c r="C209" i="25"/>
  <c r="E208" i="25"/>
  <c r="D208" i="25"/>
  <c r="C208" i="25"/>
  <c r="E207" i="25"/>
  <c r="D207" i="25"/>
  <c r="C207" i="25"/>
  <c r="E206" i="25"/>
  <c r="D206" i="25"/>
  <c r="C206" i="25"/>
  <c r="E205" i="25"/>
  <c r="D205" i="25"/>
  <c r="C205" i="25"/>
  <c r="E201" i="25"/>
  <c r="D201" i="25"/>
  <c r="C201" i="25"/>
  <c r="E200" i="25"/>
  <c r="D200" i="25"/>
  <c r="C200" i="25"/>
  <c r="E199" i="25"/>
  <c r="D199" i="25"/>
  <c r="C199" i="25"/>
  <c r="E198" i="25"/>
  <c r="D198" i="25"/>
  <c r="C198" i="25"/>
  <c r="E197" i="25"/>
  <c r="D197" i="25"/>
  <c r="C197" i="25"/>
  <c r="E196" i="25"/>
  <c r="D196" i="25"/>
  <c r="C196" i="25"/>
  <c r="E195" i="25"/>
  <c r="D195" i="25"/>
  <c r="C195" i="25"/>
  <c r="E194" i="25"/>
  <c r="D194" i="25"/>
  <c r="C194" i="25"/>
  <c r="E193" i="25"/>
  <c r="D193" i="25"/>
  <c r="C193" i="25"/>
  <c r="E192" i="25"/>
  <c r="D192" i="25"/>
  <c r="C192" i="25"/>
  <c r="E191" i="25"/>
  <c r="D191" i="25"/>
  <c r="C191" i="25"/>
  <c r="E190" i="25"/>
  <c r="D190" i="25"/>
  <c r="C190" i="25"/>
  <c r="E189" i="25"/>
  <c r="D189" i="25"/>
  <c r="C189" i="25"/>
  <c r="E188" i="25"/>
  <c r="D188" i="25"/>
  <c r="C188" i="25"/>
  <c r="E187" i="25"/>
  <c r="D187" i="25"/>
  <c r="C187" i="25"/>
  <c r="E186" i="25"/>
  <c r="D186" i="25"/>
  <c r="C186" i="25"/>
  <c r="E185" i="25"/>
  <c r="D185" i="25"/>
  <c r="C185" i="25"/>
  <c r="E184" i="25"/>
  <c r="D184" i="25"/>
  <c r="C184" i="25"/>
  <c r="E183" i="25"/>
  <c r="D183" i="25"/>
  <c r="C183" i="25"/>
  <c r="E182" i="25"/>
  <c r="D182" i="25"/>
  <c r="C182" i="25"/>
  <c r="E181" i="25"/>
  <c r="D181" i="25"/>
  <c r="C181" i="25"/>
  <c r="E180" i="25"/>
  <c r="D180" i="25"/>
  <c r="C180" i="25"/>
  <c r="E179" i="25"/>
  <c r="D179" i="25"/>
  <c r="C179" i="25"/>
  <c r="E178" i="25"/>
  <c r="D178" i="25"/>
  <c r="C178" i="25"/>
  <c r="E177" i="25"/>
  <c r="D177" i="25"/>
  <c r="C177" i="25"/>
  <c r="E176" i="25"/>
  <c r="D176" i="25"/>
  <c r="C176" i="25"/>
  <c r="E175" i="25"/>
  <c r="D175" i="25"/>
  <c r="C175" i="25"/>
  <c r="E174" i="25"/>
  <c r="D174" i="25"/>
  <c r="C174" i="25"/>
  <c r="E173" i="25"/>
  <c r="D173" i="25"/>
  <c r="C173" i="25"/>
  <c r="E172" i="25"/>
  <c r="D172" i="25"/>
  <c r="C172" i="25"/>
  <c r="E171" i="25"/>
  <c r="D171" i="25"/>
  <c r="C171" i="25"/>
  <c r="E170" i="25"/>
  <c r="D170" i="25"/>
  <c r="C170" i="25"/>
  <c r="E169" i="25"/>
  <c r="D169" i="25"/>
  <c r="C169" i="25"/>
  <c r="E165" i="25"/>
  <c r="D165" i="25"/>
  <c r="C165" i="25"/>
  <c r="E164" i="25"/>
  <c r="D164" i="25"/>
  <c r="C164" i="25"/>
  <c r="E163" i="25"/>
  <c r="D163" i="25"/>
  <c r="C163" i="25"/>
  <c r="E162" i="25"/>
  <c r="D162" i="25"/>
  <c r="C162" i="25"/>
  <c r="E161" i="25"/>
  <c r="D161" i="25"/>
  <c r="C161" i="25"/>
  <c r="E160" i="25"/>
  <c r="D160" i="25"/>
  <c r="C160" i="25"/>
  <c r="E158" i="25"/>
  <c r="D158" i="25"/>
  <c r="C158" i="25"/>
  <c r="E157" i="25"/>
  <c r="D157" i="25"/>
  <c r="C157" i="25"/>
  <c r="E156" i="25"/>
  <c r="D156" i="25"/>
  <c r="C156" i="25"/>
  <c r="E155" i="25"/>
  <c r="D155" i="25"/>
  <c r="C155" i="25"/>
  <c r="E154" i="25"/>
  <c r="D154" i="25"/>
  <c r="C154" i="25"/>
  <c r="E153" i="25"/>
  <c r="D153" i="25"/>
  <c r="C153" i="25"/>
  <c r="E152" i="25"/>
  <c r="D152" i="25"/>
  <c r="C152" i="25"/>
  <c r="E151" i="25"/>
  <c r="D151" i="25"/>
  <c r="C151" i="25"/>
  <c r="E150" i="25"/>
  <c r="D150" i="25"/>
  <c r="C150" i="25"/>
  <c r="E148" i="25"/>
  <c r="D148" i="25"/>
  <c r="C148" i="25"/>
  <c r="E147" i="25"/>
  <c r="D147" i="25"/>
  <c r="C147" i="25"/>
  <c r="E146" i="25"/>
  <c r="D146" i="25"/>
  <c r="C146" i="25"/>
  <c r="E145" i="25"/>
  <c r="D145" i="25"/>
  <c r="C145" i="25"/>
  <c r="E143" i="25"/>
  <c r="D143" i="25"/>
  <c r="C143" i="25"/>
  <c r="E142" i="25"/>
  <c r="D142" i="25"/>
  <c r="C142" i="25"/>
  <c r="E141" i="25"/>
  <c r="D141" i="25"/>
  <c r="C141" i="25"/>
  <c r="E140" i="25"/>
  <c r="D140" i="25"/>
  <c r="C140" i="25"/>
  <c r="E138" i="25"/>
  <c r="D138" i="25"/>
  <c r="C138" i="25"/>
  <c r="E137" i="25"/>
  <c r="D137" i="25"/>
  <c r="C137" i="25"/>
  <c r="E136" i="25"/>
  <c r="D136" i="25"/>
  <c r="C136" i="25"/>
  <c r="E135" i="25"/>
  <c r="D135" i="25"/>
  <c r="C135" i="25"/>
  <c r="E134" i="25"/>
  <c r="D134" i="25"/>
  <c r="C134" i="25"/>
  <c r="E132" i="25"/>
  <c r="D132" i="25"/>
  <c r="C132" i="25"/>
  <c r="E131" i="25"/>
  <c r="D131" i="25"/>
  <c r="C131" i="25"/>
  <c r="E130" i="25"/>
  <c r="D130" i="25"/>
  <c r="C130" i="25"/>
  <c r="E129" i="25"/>
  <c r="D129" i="25"/>
  <c r="C129" i="25"/>
  <c r="E128" i="25"/>
  <c r="D128" i="25"/>
  <c r="C128" i="25"/>
  <c r="E123" i="25"/>
  <c r="D123" i="25"/>
  <c r="C123" i="25"/>
  <c r="E122" i="25"/>
  <c r="D122" i="25"/>
  <c r="C122" i="25"/>
  <c r="E121" i="25"/>
  <c r="D121" i="25"/>
  <c r="C121" i="25"/>
  <c r="E120" i="25"/>
  <c r="D120" i="25"/>
  <c r="C120" i="25"/>
  <c r="E119" i="25"/>
  <c r="D119" i="25"/>
  <c r="C119" i="25"/>
  <c r="E115" i="25"/>
  <c r="D115" i="25"/>
  <c r="C115" i="25"/>
  <c r="E114" i="25"/>
  <c r="D114" i="25"/>
  <c r="C114" i="25"/>
  <c r="E113" i="25"/>
  <c r="D113" i="25"/>
  <c r="C113" i="25"/>
  <c r="E112" i="25"/>
  <c r="D112" i="25"/>
  <c r="C112" i="25"/>
  <c r="E111" i="25"/>
  <c r="D111" i="25"/>
  <c r="C111" i="25"/>
  <c r="E110" i="25"/>
  <c r="D110" i="25"/>
  <c r="C110" i="25"/>
  <c r="E106" i="25"/>
  <c r="D106" i="25"/>
  <c r="C106" i="25"/>
  <c r="E105" i="25"/>
  <c r="D105" i="25"/>
  <c r="C105" i="25"/>
  <c r="E104" i="25"/>
  <c r="D104" i="25"/>
  <c r="C104" i="25"/>
  <c r="E103" i="25"/>
  <c r="D103" i="25"/>
  <c r="C103" i="25"/>
  <c r="E102" i="25"/>
  <c r="D102" i="25"/>
  <c r="C102" i="25"/>
  <c r="E101" i="25"/>
  <c r="D101" i="25"/>
  <c r="C101" i="25"/>
  <c r="E97" i="25"/>
  <c r="D97" i="25"/>
  <c r="C97" i="25"/>
  <c r="E96" i="25"/>
  <c r="D96" i="25"/>
  <c r="C96" i="25"/>
  <c r="E95" i="25"/>
  <c r="D95" i="25"/>
  <c r="C95" i="25"/>
  <c r="E94" i="25"/>
  <c r="D94" i="25"/>
  <c r="C94" i="25"/>
  <c r="E93" i="25"/>
  <c r="D93" i="25"/>
  <c r="C93" i="25"/>
  <c r="E92" i="25"/>
  <c r="D92" i="25"/>
  <c r="C92" i="25"/>
  <c r="E91" i="25"/>
  <c r="D91" i="25"/>
  <c r="C91" i="25"/>
  <c r="E90" i="25"/>
  <c r="D90" i="25"/>
  <c r="C90" i="25"/>
  <c r="E89" i="25"/>
  <c r="D89" i="25"/>
  <c r="C89" i="25"/>
  <c r="E88" i="25"/>
  <c r="D88" i="25"/>
  <c r="C88" i="25"/>
  <c r="E87" i="25"/>
  <c r="D87" i="25"/>
  <c r="C87" i="25"/>
  <c r="E83" i="25"/>
  <c r="D83" i="25"/>
  <c r="C83" i="25"/>
  <c r="E82" i="25"/>
  <c r="D82" i="25"/>
  <c r="C82" i="25"/>
  <c r="E81" i="25"/>
  <c r="D81" i="25"/>
  <c r="C81" i="25"/>
  <c r="E80" i="25"/>
  <c r="D80" i="25"/>
  <c r="C80" i="25"/>
  <c r="E79" i="25"/>
  <c r="D79" i="25"/>
  <c r="C79" i="25"/>
  <c r="E78" i="25"/>
  <c r="D78" i="25"/>
  <c r="C78" i="25"/>
  <c r="E77" i="25"/>
  <c r="D77" i="25"/>
  <c r="C77" i="25"/>
  <c r="E76" i="25"/>
  <c r="D76" i="25"/>
  <c r="C76" i="25"/>
  <c r="E75" i="25"/>
  <c r="D75" i="25"/>
  <c r="C75" i="25"/>
  <c r="E74" i="25"/>
  <c r="D74" i="25"/>
  <c r="C74" i="25"/>
  <c r="E73" i="25"/>
  <c r="D73" i="25"/>
  <c r="C73" i="25"/>
  <c r="E72" i="25"/>
  <c r="D72" i="25"/>
  <c r="C72" i="25"/>
  <c r="E71" i="25"/>
  <c r="D71" i="25"/>
  <c r="C71" i="25"/>
  <c r="E70" i="25"/>
  <c r="D70" i="25"/>
  <c r="C70" i="25"/>
  <c r="E69" i="25"/>
  <c r="D69" i="25"/>
  <c r="C69" i="25"/>
  <c r="E65" i="25"/>
  <c r="D65" i="25"/>
  <c r="C65" i="25"/>
  <c r="E64" i="25"/>
  <c r="D64" i="25"/>
  <c r="C64" i="25"/>
  <c r="E63" i="25"/>
  <c r="D63" i="25"/>
  <c r="C63" i="25"/>
  <c r="E62" i="25"/>
  <c r="D62" i="25"/>
  <c r="C62" i="25"/>
  <c r="E61" i="25"/>
  <c r="D61" i="25"/>
  <c r="C61" i="25"/>
  <c r="E60" i="25"/>
  <c r="D60" i="25"/>
  <c r="C60" i="25"/>
  <c r="E59" i="25"/>
  <c r="D59" i="25"/>
  <c r="C59" i="25"/>
  <c r="E58" i="25"/>
  <c r="D58" i="25"/>
  <c r="C58" i="25"/>
  <c r="E57" i="25"/>
  <c r="D57" i="25"/>
  <c r="C57" i="25"/>
  <c r="E56" i="25"/>
  <c r="D56" i="25"/>
  <c r="C56" i="25"/>
  <c r="E55" i="25"/>
  <c r="D55" i="25"/>
  <c r="C55" i="25"/>
  <c r="E54" i="25"/>
  <c r="D54" i="25"/>
  <c r="C54" i="25"/>
  <c r="E53" i="25"/>
  <c r="D53" i="25"/>
  <c r="C53" i="25"/>
  <c r="E52" i="25"/>
  <c r="D52" i="25"/>
  <c r="C52" i="25"/>
  <c r="E51" i="25"/>
  <c r="D51" i="25"/>
  <c r="C51" i="25"/>
  <c r="E50" i="25"/>
  <c r="D50" i="25"/>
  <c r="C50" i="25"/>
  <c r="E49" i="25"/>
  <c r="D49" i="25"/>
  <c r="C49" i="25"/>
  <c r="E48" i="25"/>
  <c r="D48" i="25"/>
  <c r="C48" i="25"/>
  <c r="E47" i="25"/>
  <c r="D47" i="25"/>
  <c r="C47" i="25"/>
  <c r="E46" i="25"/>
  <c r="D46" i="25"/>
  <c r="C46" i="25"/>
  <c r="E45" i="25"/>
  <c r="D45" i="25"/>
  <c r="C45" i="25"/>
  <c r="E44" i="25"/>
  <c r="D44" i="25"/>
  <c r="C44" i="25"/>
  <c r="E43" i="25"/>
  <c r="D43" i="25"/>
  <c r="C43" i="25"/>
  <c r="E42" i="25"/>
  <c r="D42" i="25"/>
  <c r="C42" i="25"/>
  <c r="E41" i="25"/>
  <c r="D41" i="25"/>
  <c r="C41" i="25"/>
  <c r="E40" i="25"/>
  <c r="D40" i="25"/>
  <c r="C40" i="25"/>
  <c r="E39" i="25"/>
  <c r="D39" i="25"/>
  <c r="C39" i="25"/>
  <c r="E38" i="25"/>
  <c r="D38" i="25"/>
  <c r="C38" i="25"/>
  <c r="E37" i="25"/>
  <c r="D37" i="25"/>
  <c r="C37" i="25"/>
  <c r="E36" i="25"/>
  <c r="D36" i="25"/>
  <c r="C36" i="25"/>
  <c r="E35" i="25"/>
  <c r="D35" i="25"/>
  <c r="C35" i="25"/>
  <c r="E34" i="25"/>
  <c r="D34" i="25"/>
  <c r="C34" i="25"/>
  <c r="E33" i="25"/>
  <c r="D33" i="25"/>
  <c r="C33" i="25"/>
  <c r="E32" i="25"/>
  <c r="D32" i="25"/>
  <c r="C32" i="25"/>
  <c r="E31" i="25"/>
  <c r="D31" i="25"/>
  <c r="C31" i="25"/>
  <c r="E30" i="25"/>
  <c r="D30" i="25"/>
  <c r="C30" i="25"/>
  <c r="D25" i="25"/>
  <c r="C25" i="25"/>
  <c r="D24" i="25"/>
  <c r="C24" i="25"/>
  <c r="D23" i="25"/>
  <c r="C23" i="25"/>
  <c r="D22" i="25"/>
  <c r="C22" i="25"/>
  <c r="D21" i="25"/>
  <c r="C21" i="25"/>
  <c r="D20" i="25"/>
  <c r="C20" i="25"/>
  <c r="D19" i="25"/>
  <c r="C19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C4" i="25"/>
  <c r="C3" i="25"/>
  <c r="F12" i="25" l="1"/>
  <c r="I12" i="25" s="1"/>
  <c r="D26" i="25"/>
  <c r="E84" i="25"/>
  <c r="C107" i="25"/>
  <c r="D107" i="25"/>
  <c r="E107" i="25"/>
  <c r="E116" i="25"/>
  <c r="C124" i="25"/>
  <c r="D124" i="25"/>
  <c r="E202" i="25"/>
  <c r="C238" i="25"/>
  <c r="E98" i="25"/>
  <c r="D116" i="25"/>
  <c r="E166" i="25"/>
  <c r="C211" i="25"/>
  <c r="D211" i="25"/>
  <c r="C84" i="25"/>
  <c r="D84" i="25"/>
  <c r="E124" i="25"/>
  <c r="C202" i="25"/>
  <c r="D202" i="25"/>
  <c r="C116" i="25"/>
  <c r="E211" i="25"/>
  <c r="C233" i="25"/>
  <c r="C26" i="25"/>
  <c r="C98" i="25"/>
  <c r="D98" i="25"/>
  <c r="C166" i="25"/>
  <c r="D166" i="25"/>
  <c r="C66" i="25"/>
  <c r="D66" i="25"/>
  <c r="E66" i="25"/>
  <c r="E213" i="25" l="1"/>
  <c r="E220" i="25" s="1"/>
  <c r="C213" i="25"/>
  <c r="C217" i="25" s="1"/>
  <c r="D213" i="25"/>
  <c r="D220" i="25" s="1"/>
  <c r="C220" i="25" l="1"/>
  <c r="D18" i="98"/>
  <c r="I249" i="98"/>
  <c r="I248" i="98"/>
  <c r="I247" i="98"/>
  <c r="I246" i="98"/>
  <c r="C243" i="98"/>
  <c r="C242" i="98"/>
  <c r="C241" i="98"/>
  <c r="C240" i="98"/>
  <c r="C237" i="98"/>
  <c r="C236" i="98"/>
  <c r="E233" i="98"/>
  <c r="D233" i="98"/>
  <c r="C232" i="98"/>
  <c r="C231" i="98"/>
  <c r="C230" i="98"/>
  <c r="C229" i="98"/>
  <c r="C228" i="98"/>
  <c r="C227" i="98"/>
  <c r="C226" i="98"/>
  <c r="C225" i="98"/>
  <c r="C224" i="98"/>
  <c r="C216" i="98"/>
  <c r="E210" i="98"/>
  <c r="D210" i="98"/>
  <c r="C210" i="98"/>
  <c r="E209" i="98"/>
  <c r="D209" i="98"/>
  <c r="C209" i="98"/>
  <c r="E208" i="98"/>
  <c r="D208" i="98"/>
  <c r="C208" i="98"/>
  <c r="E207" i="98"/>
  <c r="D207" i="98"/>
  <c r="C207" i="98"/>
  <c r="E206" i="98"/>
  <c r="D206" i="98"/>
  <c r="C206" i="98"/>
  <c r="E205" i="98"/>
  <c r="D205" i="98"/>
  <c r="C205" i="98"/>
  <c r="E201" i="98"/>
  <c r="D201" i="98"/>
  <c r="C201" i="98"/>
  <c r="E200" i="98"/>
  <c r="D200" i="98"/>
  <c r="C200" i="98"/>
  <c r="E199" i="98"/>
  <c r="D199" i="98"/>
  <c r="C199" i="98"/>
  <c r="E198" i="98"/>
  <c r="D198" i="98"/>
  <c r="C198" i="98"/>
  <c r="E197" i="98"/>
  <c r="D197" i="98"/>
  <c r="C197" i="98"/>
  <c r="E196" i="98"/>
  <c r="D196" i="98"/>
  <c r="C196" i="98"/>
  <c r="E195" i="98"/>
  <c r="D195" i="98"/>
  <c r="C195" i="98"/>
  <c r="E194" i="98"/>
  <c r="D194" i="98"/>
  <c r="C194" i="98"/>
  <c r="E193" i="98"/>
  <c r="D193" i="98"/>
  <c r="C193" i="98"/>
  <c r="E192" i="98"/>
  <c r="D192" i="98"/>
  <c r="C192" i="98"/>
  <c r="E191" i="98"/>
  <c r="D191" i="98"/>
  <c r="C191" i="98"/>
  <c r="E190" i="98"/>
  <c r="D190" i="98"/>
  <c r="C190" i="98"/>
  <c r="E189" i="98"/>
  <c r="D189" i="98"/>
  <c r="C189" i="98"/>
  <c r="E188" i="98"/>
  <c r="D188" i="98"/>
  <c r="C188" i="98"/>
  <c r="E187" i="98"/>
  <c r="D187" i="98"/>
  <c r="C187" i="98"/>
  <c r="E186" i="98"/>
  <c r="D186" i="98"/>
  <c r="C186" i="98"/>
  <c r="E185" i="98"/>
  <c r="D185" i="98"/>
  <c r="C185" i="98"/>
  <c r="E184" i="98"/>
  <c r="D184" i="98"/>
  <c r="C184" i="98"/>
  <c r="E183" i="98"/>
  <c r="D183" i="98"/>
  <c r="C183" i="98"/>
  <c r="E182" i="98"/>
  <c r="D182" i="98"/>
  <c r="C182" i="98"/>
  <c r="E181" i="98"/>
  <c r="D181" i="98"/>
  <c r="C181" i="98"/>
  <c r="E180" i="98"/>
  <c r="D180" i="98"/>
  <c r="C180" i="98"/>
  <c r="E179" i="98"/>
  <c r="D179" i="98"/>
  <c r="C179" i="98"/>
  <c r="E178" i="98"/>
  <c r="D178" i="98"/>
  <c r="C178" i="98"/>
  <c r="E177" i="98"/>
  <c r="D177" i="98"/>
  <c r="C177" i="98"/>
  <c r="E176" i="98"/>
  <c r="D176" i="98"/>
  <c r="C176" i="98"/>
  <c r="E175" i="98"/>
  <c r="D175" i="98"/>
  <c r="C175" i="98"/>
  <c r="E174" i="98"/>
  <c r="D174" i="98"/>
  <c r="C174" i="98"/>
  <c r="E173" i="98"/>
  <c r="D173" i="98"/>
  <c r="C173" i="98"/>
  <c r="E172" i="98"/>
  <c r="D172" i="98"/>
  <c r="C172" i="98"/>
  <c r="E171" i="98"/>
  <c r="D171" i="98"/>
  <c r="C171" i="98"/>
  <c r="E170" i="98"/>
  <c r="D170" i="98"/>
  <c r="C170" i="98"/>
  <c r="E169" i="98"/>
  <c r="D169" i="98"/>
  <c r="C169" i="98"/>
  <c r="E165" i="98"/>
  <c r="D165" i="98"/>
  <c r="C165" i="98"/>
  <c r="E164" i="98"/>
  <c r="D164" i="98"/>
  <c r="C164" i="98"/>
  <c r="E163" i="98"/>
  <c r="D163" i="98"/>
  <c r="C163" i="98"/>
  <c r="E162" i="98"/>
  <c r="D162" i="98"/>
  <c r="C162" i="98"/>
  <c r="E161" i="98"/>
  <c r="D161" i="98"/>
  <c r="C161" i="98"/>
  <c r="E160" i="98"/>
  <c r="D160" i="98"/>
  <c r="C160" i="98"/>
  <c r="E158" i="98"/>
  <c r="D158" i="98"/>
  <c r="C158" i="98"/>
  <c r="E157" i="98"/>
  <c r="D157" i="98"/>
  <c r="C157" i="98"/>
  <c r="E156" i="98"/>
  <c r="D156" i="98"/>
  <c r="C156" i="98"/>
  <c r="E155" i="98"/>
  <c r="D155" i="98"/>
  <c r="C155" i="98"/>
  <c r="E154" i="98"/>
  <c r="D154" i="98"/>
  <c r="C154" i="98"/>
  <c r="E153" i="98"/>
  <c r="D153" i="98"/>
  <c r="C153" i="98"/>
  <c r="E152" i="98"/>
  <c r="D152" i="98"/>
  <c r="C152" i="98"/>
  <c r="E151" i="98"/>
  <c r="D151" i="98"/>
  <c r="C151" i="98"/>
  <c r="E150" i="98"/>
  <c r="D150" i="98"/>
  <c r="C150" i="98"/>
  <c r="E148" i="98"/>
  <c r="D148" i="98"/>
  <c r="C148" i="98"/>
  <c r="E147" i="98"/>
  <c r="D147" i="98"/>
  <c r="C147" i="98"/>
  <c r="E146" i="98"/>
  <c r="D146" i="98"/>
  <c r="C146" i="98"/>
  <c r="E145" i="98"/>
  <c r="D145" i="98"/>
  <c r="C145" i="98"/>
  <c r="E143" i="98"/>
  <c r="D143" i="98"/>
  <c r="C143" i="98"/>
  <c r="E142" i="98"/>
  <c r="D142" i="98"/>
  <c r="C142" i="98"/>
  <c r="E141" i="98"/>
  <c r="D141" i="98"/>
  <c r="C141" i="98"/>
  <c r="E140" i="98"/>
  <c r="D140" i="98"/>
  <c r="C140" i="98"/>
  <c r="E138" i="98"/>
  <c r="D138" i="98"/>
  <c r="C138" i="98"/>
  <c r="E137" i="98"/>
  <c r="D137" i="98"/>
  <c r="C137" i="98"/>
  <c r="E136" i="98"/>
  <c r="D136" i="98"/>
  <c r="C136" i="98"/>
  <c r="E135" i="98"/>
  <c r="D135" i="98"/>
  <c r="C135" i="98"/>
  <c r="E134" i="98"/>
  <c r="D134" i="98"/>
  <c r="C134" i="98"/>
  <c r="E132" i="98"/>
  <c r="D132" i="98"/>
  <c r="C132" i="98"/>
  <c r="E131" i="98"/>
  <c r="D131" i="98"/>
  <c r="C131" i="98"/>
  <c r="E130" i="98"/>
  <c r="D130" i="98"/>
  <c r="C130" i="98"/>
  <c r="E129" i="98"/>
  <c r="D129" i="98"/>
  <c r="C129" i="98"/>
  <c r="E128" i="98"/>
  <c r="D128" i="98"/>
  <c r="C128" i="98"/>
  <c r="E123" i="98"/>
  <c r="D123" i="98"/>
  <c r="C123" i="98"/>
  <c r="E122" i="98"/>
  <c r="D122" i="98"/>
  <c r="C122" i="98"/>
  <c r="E121" i="98"/>
  <c r="D121" i="98"/>
  <c r="C121" i="98"/>
  <c r="E120" i="98"/>
  <c r="D120" i="98"/>
  <c r="C120" i="98"/>
  <c r="E119" i="98"/>
  <c r="D119" i="98"/>
  <c r="C119" i="98"/>
  <c r="E115" i="98"/>
  <c r="D115" i="98"/>
  <c r="C115" i="98"/>
  <c r="E114" i="98"/>
  <c r="D114" i="98"/>
  <c r="C114" i="98"/>
  <c r="E113" i="98"/>
  <c r="D113" i="98"/>
  <c r="C113" i="98"/>
  <c r="E112" i="98"/>
  <c r="D112" i="98"/>
  <c r="C112" i="98"/>
  <c r="E111" i="98"/>
  <c r="D111" i="98"/>
  <c r="C111" i="98"/>
  <c r="E110" i="98"/>
  <c r="D110" i="98"/>
  <c r="C110" i="98"/>
  <c r="E106" i="98"/>
  <c r="D106" i="98"/>
  <c r="C106" i="98"/>
  <c r="E105" i="98"/>
  <c r="D105" i="98"/>
  <c r="C105" i="98"/>
  <c r="E104" i="98"/>
  <c r="D104" i="98"/>
  <c r="C104" i="98"/>
  <c r="E103" i="98"/>
  <c r="D103" i="98"/>
  <c r="C103" i="98"/>
  <c r="E102" i="98"/>
  <c r="D102" i="98"/>
  <c r="C102" i="98"/>
  <c r="E101" i="98"/>
  <c r="D101" i="98"/>
  <c r="C101" i="98"/>
  <c r="E97" i="98"/>
  <c r="D97" i="98"/>
  <c r="C97" i="98"/>
  <c r="E96" i="98"/>
  <c r="D96" i="98"/>
  <c r="C96" i="98"/>
  <c r="E95" i="98"/>
  <c r="D95" i="98"/>
  <c r="C95" i="98"/>
  <c r="E94" i="98"/>
  <c r="D94" i="98"/>
  <c r="C94" i="98"/>
  <c r="E93" i="98"/>
  <c r="D93" i="98"/>
  <c r="C93" i="98"/>
  <c r="E92" i="98"/>
  <c r="D92" i="98"/>
  <c r="C92" i="98"/>
  <c r="E91" i="98"/>
  <c r="D91" i="98"/>
  <c r="C91" i="98"/>
  <c r="E90" i="98"/>
  <c r="D90" i="98"/>
  <c r="C90" i="98"/>
  <c r="E89" i="98"/>
  <c r="D89" i="98"/>
  <c r="C89" i="98"/>
  <c r="E88" i="98"/>
  <c r="D88" i="98"/>
  <c r="C88" i="98"/>
  <c r="E87" i="98"/>
  <c r="D87" i="98"/>
  <c r="C87" i="98"/>
  <c r="E83" i="98"/>
  <c r="D83" i="98"/>
  <c r="C83" i="98"/>
  <c r="E82" i="98"/>
  <c r="D82" i="98"/>
  <c r="C82" i="98"/>
  <c r="E81" i="98"/>
  <c r="D81" i="98"/>
  <c r="C81" i="98"/>
  <c r="E80" i="98"/>
  <c r="D80" i="98"/>
  <c r="C80" i="98"/>
  <c r="E79" i="98"/>
  <c r="D79" i="98"/>
  <c r="C79" i="98"/>
  <c r="E78" i="98"/>
  <c r="D78" i="98"/>
  <c r="C78" i="98"/>
  <c r="E77" i="98"/>
  <c r="D77" i="98"/>
  <c r="C77" i="98"/>
  <c r="E76" i="98"/>
  <c r="D76" i="98"/>
  <c r="C76" i="98"/>
  <c r="E75" i="98"/>
  <c r="D75" i="98"/>
  <c r="C75" i="98"/>
  <c r="E74" i="98"/>
  <c r="D74" i="98"/>
  <c r="C74" i="98"/>
  <c r="E73" i="98"/>
  <c r="D73" i="98"/>
  <c r="C73" i="98"/>
  <c r="E72" i="98"/>
  <c r="D72" i="98"/>
  <c r="C72" i="98"/>
  <c r="E71" i="98"/>
  <c r="D71" i="98"/>
  <c r="C71" i="98"/>
  <c r="E70" i="98"/>
  <c r="D70" i="98"/>
  <c r="C70" i="98"/>
  <c r="E69" i="98"/>
  <c r="D69" i="98"/>
  <c r="C69" i="98"/>
  <c r="E65" i="98"/>
  <c r="D65" i="98"/>
  <c r="C65" i="98"/>
  <c r="E64" i="98"/>
  <c r="D64" i="98"/>
  <c r="C64" i="98"/>
  <c r="E63" i="98"/>
  <c r="D63" i="98"/>
  <c r="C63" i="98"/>
  <c r="E62" i="98"/>
  <c r="D62" i="98"/>
  <c r="C62" i="98"/>
  <c r="E61" i="98"/>
  <c r="D61" i="98"/>
  <c r="C61" i="98"/>
  <c r="E60" i="98"/>
  <c r="D60" i="98"/>
  <c r="C60" i="98"/>
  <c r="E59" i="98"/>
  <c r="D59" i="98"/>
  <c r="C59" i="98"/>
  <c r="E58" i="98"/>
  <c r="D58" i="98"/>
  <c r="C58" i="98"/>
  <c r="E57" i="98"/>
  <c r="D57" i="98"/>
  <c r="C57" i="98"/>
  <c r="E56" i="98"/>
  <c r="D56" i="98"/>
  <c r="C56" i="98"/>
  <c r="E55" i="98"/>
  <c r="D55" i="98"/>
  <c r="C55" i="98"/>
  <c r="E54" i="98"/>
  <c r="D54" i="98"/>
  <c r="C54" i="98"/>
  <c r="E53" i="98"/>
  <c r="D53" i="98"/>
  <c r="C53" i="98"/>
  <c r="E52" i="98"/>
  <c r="D52" i="98"/>
  <c r="C52" i="98"/>
  <c r="E51" i="98"/>
  <c r="D51" i="98"/>
  <c r="C51" i="98"/>
  <c r="E50" i="98"/>
  <c r="D50" i="98"/>
  <c r="C50" i="98"/>
  <c r="E49" i="98"/>
  <c r="D49" i="98"/>
  <c r="C49" i="98"/>
  <c r="E48" i="98"/>
  <c r="D48" i="98"/>
  <c r="C48" i="98"/>
  <c r="E47" i="98"/>
  <c r="D47" i="98"/>
  <c r="C47" i="98"/>
  <c r="E46" i="98"/>
  <c r="D46" i="98"/>
  <c r="C46" i="98"/>
  <c r="E45" i="98"/>
  <c r="D45" i="98"/>
  <c r="C45" i="98"/>
  <c r="E44" i="98"/>
  <c r="D44" i="98"/>
  <c r="C44" i="98"/>
  <c r="E43" i="98"/>
  <c r="D43" i="98"/>
  <c r="C43" i="98"/>
  <c r="E42" i="98"/>
  <c r="D42" i="98"/>
  <c r="C42" i="98"/>
  <c r="E41" i="98"/>
  <c r="D41" i="98"/>
  <c r="C41" i="98"/>
  <c r="E40" i="98"/>
  <c r="D40" i="98"/>
  <c r="C40" i="98"/>
  <c r="E39" i="98"/>
  <c r="D39" i="98"/>
  <c r="C39" i="98"/>
  <c r="E38" i="98"/>
  <c r="D38" i="98"/>
  <c r="C38" i="98"/>
  <c r="E37" i="98"/>
  <c r="D37" i="98"/>
  <c r="C37" i="98"/>
  <c r="E36" i="98"/>
  <c r="D36" i="98"/>
  <c r="C36" i="98"/>
  <c r="E35" i="98"/>
  <c r="D35" i="98"/>
  <c r="C35" i="98"/>
  <c r="E34" i="98"/>
  <c r="D34" i="98"/>
  <c r="C34" i="98"/>
  <c r="E33" i="98"/>
  <c r="D33" i="98"/>
  <c r="C33" i="98"/>
  <c r="E32" i="98"/>
  <c r="D32" i="98"/>
  <c r="C32" i="98"/>
  <c r="E31" i="98"/>
  <c r="D31" i="98"/>
  <c r="C31" i="98"/>
  <c r="E30" i="98"/>
  <c r="D30" i="98"/>
  <c r="C30" i="98"/>
  <c r="D25" i="98"/>
  <c r="C25" i="98"/>
  <c r="D24" i="98"/>
  <c r="C24" i="98"/>
  <c r="D23" i="98"/>
  <c r="C23" i="98"/>
  <c r="D22" i="98"/>
  <c r="C22" i="98"/>
  <c r="D21" i="98"/>
  <c r="C21" i="98"/>
  <c r="D20" i="98"/>
  <c r="C20" i="98"/>
  <c r="D19" i="98"/>
  <c r="C19" i="98"/>
  <c r="C18" i="98"/>
  <c r="D17" i="98"/>
  <c r="C17" i="98"/>
  <c r="D16" i="98"/>
  <c r="C16" i="98"/>
  <c r="D15" i="98"/>
  <c r="C15" i="98"/>
  <c r="D14" i="98"/>
  <c r="C14" i="98"/>
  <c r="D13" i="98"/>
  <c r="C13" i="98"/>
  <c r="D12" i="98"/>
  <c r="C12" i="98"/>
  <c r="C4" i="98"/>
  <c r="C3" i="98"/>
  <c r="F12" i="98" l="1"/>
  <c r="I12" i="98" s="1"/>
  <c r="D26" i="98"/>
  <c r="C238" i="98"/>
  <c r="E98" i="98"/>
  <c r="D107" i="98"/>
  <c r="C202" i="98"/>
  <c r="C211" i="98"/>
  <c r="E211" i="98"/>
  <c r="D116" i="98"/>
  <c r="C84" i="98"/>
  <c r="C116" i="98"/>
  <c r="E124" i="98"/>
  <c r="C26" i="98"/>
  <c r="D84" i="98"/>
  <c r="C98" i="98"/>
  <c r="C124" i="98"/>
  <c r="C166" i="98"/>
  <c r="D166" i="98"/>
  <c r="E84" i="98"/>
  <c r="D98" i="98"/>
  <c r="C107" i="98"/>
  <c r="E107" i="98"/>
  <c r="D124" i="98"/>
  <c r="E166" i="98"/>
  <c r="E202" i="98"/>
  <c r="C233" i="98"/>
  <c r="E116" i="98"/>
  <c r="D202" i="98"/>
  <c r="D211" i="98"/>
  <c r="C66" i="98"/>
  <c r="D66" i="98"/>
  <c r="E66" i="98"/>
  <c r="D213" i="98" l="1"/>
  <c r="D220" i="98" s="1"/>
  <c r="C213" i="98"/>
  <c r="C217" i="98" s="1"/>
  <c r="E213" i="98"/>
  <c r="E220" i="98" s="1"/>
  <c r="C220" i="98" l="1"/>
  <c r="I249" i="53"/>
  <c r="I248" i="53"/>
  <c r="I247" i="53"/>
  <c r="I246" i="53"/>
  <c r="C243" i="53"/>
  <c r="C242" i="53"/>
  <c r="C241" i="53"/>
  <c r="C240" i="53"/>
  <c r="C237" i="53"/>
  <c r="C236" i="53"/>
  <c r="E233" i="53"/>
  <c r="D233" i="53"/>
  <c r="C232" i="53"/>
  <c r="C231" i="53"/>
  <c r="C230" i="53"/>
  <c r="C229" i="53"/>
  <c r="C228" i="53"/>
  <c r="C227" i="53"/>
  <c r="C226" i="53"/>
  <c r="C225" i="53"/>
  <c r="C224" i="53"/>
  <c r="C216" i="53"/>
  <c r="E210" i="53"/>
  <c r="D210" i="53"/>
  <c r="C210" i="53"/>
  <c r="E209" i="53"/>
  <c r="D209" i="53"/>
  <c r="C209" i="53"/>
  <c r="E208" i="53"/>
  <c r="D208" i="53"/>
  <c r="C208" i="53"/>
  <c r="E207" i="53"/>
  <c r="D207" i="53"/>
  <c r="C207" i="53"/>
  <c r="E206" i="53"/>
  <c r="D206" i="53"/>
  <c r="C206" i="53"/>
  <c r="E205" i="53"/>
  <c r="D205" i="53"/>
  <c r="C205" i="53"/>
  <c r="E201" i="53"/>
  <c r="D201" i="53"/>
  <c r="C201" i="53"/>
  <c r="E200" i="53"/>
  <c r="D200" i="53"/>
  <c r="C200" i="53"/>
  <c r="E199" i="53"/>
  <c r="D199" i="53"/>
  <c r="C199" i="53"/>
  <c r="E198" i="53"/>
  <c r="D198" i="53"/>
  <c r="C198" i="53"/>
  <c r="E197" i="53"/>
  <c r="D197" i="53"/>
  <c r="C197" i="53"/>
  <c r="E196" i="53"/>
  <c r="D196" i="53"/>
  <c r="C196" i="53"/>
  <c r="E195" i="53"/>
  <c r="D195" i="53"/>
  <c r="C195" i="53"/>
  <c r="E194" i="53"/>
  <c r="D194" i="53"/>
  <c r="C194" i="53"/>
  <c r="E193" i="53"/>
  <c r="D193" i="53"/>
  <c r="C193" i="53"/>
  <c r="E192" i="53"/>
  <c r="D192" i="53"/>
  <c r="C192" i="53"/>
  <c r="E191" i="53"/>
  <c r="D191" i="53"/>
  <c r="C191" i="53"/>
  <c r="E190" i="53"/>
  <c r="D190" i="53"/>
  <c r="C190" i="53"/>
  <c r="E189" i="53"/>
  <c r="D189" i="53"/>
  <c r="C189" i="53"/>
  <c r="E188" i="53"/>
  <c r="D188" i="53"/>
  <c r="C188" i="53"/>
  <c r="E187" i="53"/>
  <c r="D187" i="53"/>
  <c r="C187" i="53"/>
  <c r="E186" i="53"/>
  <c r="D186" i="53"/>
  <c r="C186" i="53"/>
  <c r="E185" i="53"/>
  <c r="D185" i="53"/>
  <c r="C185" i="53"/>
  <c r="E184" i="53"/>
  <c r="D184" i="53"/>
  <c r="C184" i="53"/>
  <c r="E183" i="53"/>
  <c r="D183" i="53"/>
  <c r="C183" i="53"/>
  <c r="E182" i="53"/>
  <c r="D182" i="53"/>
  <c r="C182" i="53"/>
  <c r="E181" i="53"/>
  <c r="D181" i="53"/>
  <c r="C181" i="53"/>
  <c r="E180" i="53"/>
  <c r="D180" i="53"/>
  <c r="C180" i="53"/>
  <c r="E179" i="53"/>
  <c r="D179" i="53"/>
  <c r="C179" i="53"/>
  <c r="E178" i="53"/>
  <c r="D178" i="53"/>
  <c r="C178" i="53"/>
  <c r="E177" i="53"/>
  <c r="D177" i="53"/>
  <c r="C177" i="53"/>
  <c r="E176" i="53"/>
  <c r="D176" i="53"/>
  <c r="C176" i="53"/>
  <c r="E175" i="53"/>
  <c r="D175" i="53"/>
  <c r="C175" i="53"/>
  <c r="E174" i="53"/>
  <c r="D174" i="53"/>
  <c r="C174" i="53"/>
  <c r="E173" i="53"/>
  <c r="D173" i="53"/>
  <c r="C173" i="53"/>
  <c r="E172" i="53"/>
  <c r="D172" i="53"/>
  <c r="C172" i="53"/>
  <c r="E171" i="53"/>
  <c r="D171" i="53"/>
  <c r="C171" i="53"/>
  <c r="E170" i="53"/>
  <c r="D170" i="53"/>
  <c r="C170" i="53"/>
  <c r="E169" i="53"/>
  <c r="D169" i="53"/>
  <c r="C169" i="53"/>
  <c r="E165" i="53"/>
  <c r="D165" i="53"/>
  <c r="C165" i="53"/>
  <c r="E164" i="53"/>
  <c r="D164" i="53"/>
  <c r="C164" i="53"/>
  <c r="E163" i="53"/>
  <c r="D163" i="53"/>
  <c r="C163" i="53"/>
  <c r="E162" i="53"/>
  <c r="D162" i="53"/>
  <c r="C162" i="53"/>
  <c r="E161" i="53"/>
  <c r="D161" i="53"/>
  <c r="C161" i="53"/>
  <c r="E160" i="53"/>
  <c r="D160" i="53"/>
  <c r="C160" i="53"/>
  <c r="E158" i="53"/>
  <c r="D158" i="53"/>
  <c r="C158" i="53"/>
  <c r="E157" i="53"/>
  <c r="D157" i="53"/>
  <c r="C157" i="53"/>
  <c r="E156" i="53"/>
  <c r="D156" i="53"/>
  <c r="C156" i="53"/>
  <c r="E155" i="53"/>
  <c r="D155" i="53"/>
  <c r="C155" i="53"/>
  <c r="E154" i="53"/>
  <c r="D154" i="53"/>
  <c r="C154" i="53"/>
  <c r="E153" i="53"/>
  <c r="D153" i="53"/>
  <c r="C153" i="53"/>
  <c r="E152" i="53"/>
  <c r="D152" i="53"/>
  <c r="C152" i="53"/>
  <c r="E151" i="53"/>
  <c r="D151" i="53"/>
  <c r="C151" i="53"/>
  <c r="E150" i="53"/>
  <c r="D150" i="53"/>
  <c r="C150" i="53"/>
  <c r="E148" i="53"/>
  <c r="D148" i="53"/>
  <c r="C148" i="53"/>
  <c r="E147" i="53"/>
  <c r="D147" i="53"/>
  <c r="C147" i="53"/>
  <c r="E146" i="53"/>
  <c r="D146" i="53"/>
  <c r="C146" i="53"/>
  <c r="E145" i="53"/>
  <c r="D145" i="53"/>
  <c r="C145" i="53"/>
  <c r="E143" i="53"/>
  <c r="D143" i="53"/>
  <c r="C143" i="53"/>
  <c r="E142" i="53"/>
  <c r="D142" i="53"/>
  <c r="C142" i="53"/>
  <c r="E141" i="53"/>
  <c r="D141" i="53"/>
  <c r="C141" i="53"/>
  <c r="E140" i="53"/>
  <c r="D140" i="53"/>
  <c r="C140" i="53"/>
  <c r="E138" i="53"/>
  <c r="D138" i="53"/>
  <c r="C138" i="53"/>
  <c r="E137" i="53"/>
  <c r="D137" i="53"/>
  <c r="C137" i="53"/>
  <c r="E136" i="53"/>
  <c r="D136" i="53"/>
  <c r="C136" i="53"/>
  <c r="E135" i="53"/>
  <c r="D135" i="53"/>
  <c r="C135" i="53"/>
  <c r="E134" i="53"/>
  <c r="D134" i="53"/>
  <c r="C134" i="53"/>
  <c r="E132" i="53"/>
  <c r="D132" i="53"/>
  <c r="C132" i="53"/>
  <c r="E131" i="53"/>
  <c r="D131" i="53"/>
  <c r="C131" i="53"/>
  <c r="E130" i="53"/>
  <c r="D130" i="53"/>
  <c r="C130" i="53"/>
  <c r="E129" i="53"/>
  <c r="D129" i="53"/>
  <c r="C129" i="53"/>
  <c r="E128" i="53"/>
  <c r="D128" i="53"/>
  <c r="C128" i="53"/>
  <c r="E123" i="53"/>
  <c r="D123" i="53"/>
  <c r="C123" i="53"/>
  <c r="E122" i="53"/>
  <c r="D122" i="53"/>
  <c r="C122" i="53"/>
  <c r="E121" i="53"/>
  <c r="D121" i="53"/>
  <c r="C121" i="53"/>
  <c r="E120" i="53"/>
  <c r="D120" i="53"/>
  <c r="C120" i="53"/>
  <c r="E119" i="53"/>
  <c r="D119" i="53"/>
  <c r="C119" i="53"/>
  <c r="E115" i="53"/>
  <c r="D115" i="53"/>
  <c r="C115" i="53"/>
  <c r="E114" i="53"/>
  <c r="D114" i="53"/>
  <c r="C114" i="53"/>
  <c r="E113" i="53"/>
  <c r="D113" i="53"/>
  <c r="C113" i="53"/>
  <c r="E112" i="53"/>
  <c r="D112" i="53"/>
  <c r="C112" i="53"/>
  <c r="E111" i="53"/>
  <c r="D111" i="53"/>
  <c r="C111" i="53"/>
  <c r="E110" i="53"/>
  <c r="D110" i="53"/>
  <c r="C110" i="53"/>
  <c r="E106" i="53"/>
  <c r="D106" i="53"/>
  <c r="C106" i="53"/>
  <c r="E105" i="53"/>
  <c r="D105" i="53"/>
  <c r="C105" i="53"/>
  <c r="E104" i="53"/>
  <c r="D104" i="53"/>
  <c r="C104" i="53"/>
  <c r="E103" i="53"/>
  <c r="D103" i="53"/>
  <c r="C103" i="53"/>
  <c r="E102" i="53"/>
  <c r="D102" i="53"/>
  <c r="C102" i="53"/>
  <c r="E101" i="53"/>
  <c r="D101" i="53"/>
  <c r="C101" i="53"/>
  <c r="E97" i="53"/>
  <c r="D97" i="53"/>
  <c r="C97" i="53"/>
  <c r="E96" i="53"/>
  <c r="D96" i="53"/>
  <c r="C96" i="53"/>
  <c r="E95" i="53"/>
  <c r="D95" i="53"/>
  <c r="C95" i="53"/>
  <c r="E94" i="53"/>
  <c r="D94" i="53"/>
  <c r="C94" i="53"/>
  <c r="E93" i="53"/>
  <c r="D93" i="53"/>
  <c r="C93" i="53"/>
  <c r="E92" i="53"/>
  <c r="D92" i="53"/>
  <c r="C92" i="53"/>
  <c r="E91" i="53"/>
  <c r="D91" i="53"/>
  <c r="C91" i="53"/>
  <c r="E90" i="53"/>
  <c r="D90" i="53"/>
  <c r="C90" i="53"/>
  <c r="E89" i="53"/>
  <c r="D89" i="53"/>
  <c r="C89" i="53"/>
  <c r="E88" i="53"/>
  <c r="D88" i="53"/>
  <c r="C88" i="53"/>
  <c r="E87" i="53"/>
  <c r="D87" i="53"/>
  <c r="C87" i="53"/>
  <c r="E83" i="53"/>
  <c r="D83" i="53"/>
  <c r="C83" i="53"/>
  <c r="E82" i="53"/>
  <c r="D82" i="53"/>
  <c r="C82" i="53"/>
  <c r="E81" i="53"/>
  <c r="D81" i="53"/>
  <c r="C81" i="53"/>
  <c r="E80" i="53"/>
  <c r="D80" i="53"/>
  <c r="C80" i="53"/>
  <c r="E79" i="53"/>
  <c r="D79" i="53"/>
  <c r="C79" i="53"/>
  <c r="E78" i="53"/>
  <c r="D78" i="53"/>
  <c r="C78" i="53"/>
  <c r="E77" i="53"/>
  <c r="D77" i="53"/>
  <c r="C77" i="53"/>
  <c r="E76" i="53"/>
  <c r="D76" i="53"/>
  <c r="C76" i="53"/>
  <c r="E75" i="53"/>
  <c r="D75" i="53"/>
  <c r="C75" i="53"/>
  <c r="E74" i="53"/>
  <c r="D74" i="53"/>
  <c r="C74" i="53"/>
  <c r="E73" i="53"/>
  <c r="D73" i="53"/>
  <c r="C73" i="53"/>
  <c r="E72" i="53"/>
  <c r="D72" i="53"/>
  <c r="C72" i="53"/>
  <c r="E71" i="53"/>
  <c r="D71" i="53"/>
  <c r="C71" i="53"/>
  <c r="E70" i="53"/>
  <c r="D70" i="53"/>
  <c r="C70" i="53"/>
  <c r="E69" i="53"/>
  <c r="D69" i="53"/>
  <c r="C69" i="53"/>
  <c r="E65" i="53"/>
  <c r="D65" i="53"/>
  <c r="C65" i="53"/>
  <c r="E64" i="53"/>
  <c r="D64" i="53"/>
  <c r="C64" i="53"/>
  <c r="E63" i="53"/>
  <c r="D63" i="53"/>
  <c r="C63" i="53"/>
  <c r="E62" i="53"/>
  <c r="D62" i="53"/>
  <c r="C62" i="53"/>
  <c r="E61" i="53"/>
  <c r="D61" i="53"/>
  <c r="C61" i="53"/>
  <c r="E60" i="53"/>
  <c r="D60" i="53"/>
  <c r="C60" i="53"/>
  <c r="E59" i="53"/>
  <c r="D59" i="53"/>
  <c r="C59" i="53"/>
  <c r="E58" i="53"/>
  <c r="D58" i="53"/>
  <c r="C58" i="53"/>
  <c r="E57" i="53"/>
  <c r="D57" i="53"/>
  <c r="C57" i="53"/>
  <c r="E56" i="53"/>
  <c r="D56" i="53"/>
  <c r="C56" i="53"/>
  <c r="E55" i="53"/>
  <c r="D55" i="53"/>
  <c r="C55" i="53"/>
  <c r="E54" i="53"/>
  <c r="D54" i="53"/>
  <c r="C54" i="53"/>
  <c r="E53" i="53"/>
  <c r="D53" i="53"/>
  <c r="C53" i="53"/>
  <c r="E52" i="53"/>
  <c r="D52" i="53"/>
  <c r="C52" i="53"/>
  <c r="E51" i="53"/>
  <c r="D51" i="53"/>
  <c r="C51" i="53"/>
  <c r="E50" i="53"/>
  <c r="D50" i="53"/>
  <c r="C50" i="53"/>
  <c r="E49" i="53"/>
  <c r="D49" i="53"/>
  <c r="C49" i="53"/>
  <c r="E48" i="53"/>
  <c r="D48" i="53"/>
  <c r="C48" i="53"/>
  <c r="E47" i="53"/>
  <c r="D47" i="53"/>
  <c r="C47" i="53"/>
  <c r="E46" i="53"/>
  <c r="D46" i="53"/>
  <c r="C46" i="53"/>
  <c r="E45" i="53"/>
  <c r="D45" i="53"/>
  <c r="C45" i="53"/>
  <c r="E44" i="53"/>
  <c r="D44" i="53"/>
  <c r="C44" i="53"/>
  <c r="E43" i="53"/>
  <c r="D43" i="53"/>
  <c r="C43" i="53"/>
  <c r="E42" i="53"/>
  <c r="D42" i="53"/>
  <c r="C42" i="53"/>
  <c r="E41" i="53"/>
  <c r="D41" i="53"/>
  <c r="C41" i="53"/>
  <c r="E40" i="53"/>
  <c r="D40" i="53"/>
  <c r="C40" i="53"/>
  <c r="E39" i="53"/>
  <c r="D39" i="53"/>
  <c r="C39" i="53"/>
  <c r="E38" i="53"/>
  <c r="D38" i="53"/>
  <c r="C38" i="53"/>
  <c r="E37" i="53"/>
  <c r="D37" i="53"/>
  <c r="C37" i="53"/>
  <c r="E36" i="53"/>
  <c r="D36" i="53"/>
  <c r="C36" i="53"/>
  <c r="E35" i="53"/>
  <c r="D35" i="53"/>
  <c r="C35" i="53"/>
  <c r="E34" i="53"/>
  <c r="D34" i="53"/>
  <c r="C34" i="53"/>
  <c r="E33" i="53"/>
  <c r="D33" i="53"/>
  <c r="C33" i="53"/>
  <c r="E32" i="53"/>
  <c r="D32" i="53"/>
  <c r="C32" i="53"/>
  <c r="E31" i="53"/>
  <c r="D31" i="53"/>
  <c r="C31" i="53"/>
  <c r="E30" i="53"/>
  <c r="D30" i="53"/>
  <c r="C30" i="53"/>
  <c r="D25" i="53"/>
  <c r="C25" i="53"/>
  <c r="D24" i="53"/>
  <c r="C24" i="53"/>
  <c r="D23" i="53"/>
  <c r="C23" i="53"/>
  <c r="D22" i="53"/>
  <c r="C22" i="53"/>
  <c r="D21" i="53"/>
  <c r="C21" i="53"/>
  <c r="D20" i="53"/>
  <c r="C20" i="53"/>
  <c r="D19" i="53"/>
  <c r="C19" i="53"/>
  <c r="D18" i="53"/>
  <c r="C18" i="53"/>
  <c r="D17" i="53"/>
  <c r="C17" i="53"/>
  <c r="D16" i="53"/>
  <c r="C16" i="53"/>
  <c r="D15" i="53"/>
  <c r="C15" i="53"/>
  <c r="D14" i="53"/>
  <c r="C14" i="53"/>
  <c r="D13" i="53"/>
  <c r="C13" i="53"/>
  <c r="D12" i="53"/>
  <c r="C12" i="53"/>
  <c r="C4" i="53"/>
  <c r="C3" i="53"/>
  <c r="D26" i="53" l="1"/>
  <c r="E116" i="53"/>
  <c r="E124" i="53"/>
  <c r="F12" i="53"/>
  <c r="I12" i="53" s="1"/>
  <c r="C238" i="53"/>
  <c r="E107" i="53"/>
  <c r="C116" i="53"/>
  <c r="D84" i="53"/>
  <c r="D211" i="53"/>
  <c r="C98" i="53"/>
  <c r="E84" i="53"/>
  <c r="C107" i="53"/>
  <c r="C124" i="53"/>
  <c r="D166" i="53"/>
  <c r="E98" i="53"/>
  <c r="D107" i="53"/>
  <c r="E166" i="53"/>
  <c r="E202" i="53"/>
  <c r="C233" i="53"/>
  <c r="D98" i="53"/>
  <c r="C166" i="53"/>
  <c r="D202" i="53"/>
  <c r="C26" i="53"/>
  <c r="C84" i="53"/>
  <c r="D116" i="53"/>
  <c r="D124" i="53"/>
  <c r="C202" i="53"/>
  <c r="C211" i="53"/>
  <c r="E211" i="53"/>
  <c r="D66" i="53"/>
  <c r="C66" i="53"/>
  <c r="E66" i="53"/>
  <c r="E213" i="53" l="1"/>
  <c r="E220" i="53" s="1"/>
  <c r="D213" i="53"/>
  <c r="D220" i="53" s="1"/>
  <c r="C213" i="53"/>
  <c r="C217" i="53" s="1"/>
  <c r="C220" i="53" l="1"/>
  <c r="D18" i="24"/>
  <c r="I249" i="24"/>
  <c r="I248" i="24"/>
  <c r="I247" i="24"/>
  <c r="I246" i="24"/>
  <c r="C243" i="24"/>
  <c r="C242" i="24"/>
  <c r="C241" i="24"/>
  <c r="C240" i="24"/>
  <c r="C237" i="24"/>
  <c r="C236" i="24"/>
  <c r="E233" i="24"/>
  <c r="D233" i="24"/>
  <c r="C232" i="24"/>
  <c r="C231" i="24"/>
  <c r="C230" i="24"/>
  <c r="C229" i="24"/>
  <c r="C228" i="24"/>
  <c r="C227" i="24"/>
  <c r="C226" i="24"/>
  <c r="C225" i="24"/>
  <c r="C224" i="24"/>
  <c r="C216" i="24"/>
  <c r="E210" i="24"/>
  <c r="D210" i="24"/>
  <c r="C210" i="24"/>
  <c r="E209" i="24"/>
  <c r="D209" i="24"/>
  <c r="C209" i="24"/>
  <c r="E208" i="24"/>
  <c r="D208" i="24"/>
  <c r="C208" i="24"/>
  <c r="E207" i="24"/>
  <c r="D207" i="24"/>
  <c r="C207" i="24"/>
  <c r="E206" i="24"/>
  <c r="D206" i="24"/>
  <c r="C206" i="24"/>
  <c r="E205" i="24"/>
  <c r="D205" i="24"/>
  <c r="C205" i="24"/>
  <c r="E201" i="24"/>
  <c r="D201" i="24"/>
  <c r="C201" i="24"/>
  <c r="E200" i="24"/>
  <c r="D200" i="24"/>
  <c r="C200" i="24"/>
  <c r="E199" i="24"/>
  <c r="D199" i="24"/>
  <c r="C199" i="24"/>
  <c r="E198" i="24"/>
  <c r="D198" i="24"/>
  <c r="C198" i="24"/>
  <c r="E197" i="24"/>
  <c r="D197" i="24"/>
  <c r="C197" i="24"/>
  <c r="E196" i="24"/>
  <c r="D196" i="24"/>
  <c r="C196" i="24"/>
  <c r="E195" i="24"/>
  <c r="D195" i="24"/>
  <c r="C195" i="24"/>
  <c r="E194" i="24"/>
  <c r="D194" i="24"/>
  <c r="C194" i="24"/>
  <c r="E193" i="24"/>
  <c r="D193" i="24"/>
  <c r="C193" i="24"/>
  <c r="E192" i="24"/>
  <c r="D192" i="24"/>
  <c r="C192" i="24"/>
  <c r="E191" i="24"/>
  <c r="D191" i="24"/>
  <c r="C191" i="24"/>
  <c r="E190" i="24"/>
  <c r="D190" i="24"/>
  <c r="C190" i="24"/>
  <c r="E189" i="24"/>
  <c r="D189" i="24"/>
  <c r="C189" i="24"/>
  <c r="E188" i="24"/>
  <c r="D188" i="24"/>
  <c r="C188" i="24"/>
  <c r="E187" i="24"/>
  <c r="D187" i="24"/>
  <c r="C187" i="24"/>
  <c r="E186" i="24"/>
  <c r="D186" i="24"/>
  <c r="C186" i="24"/>
  <c r="E185" i="24"/>
  <c r="D185" i="24"/>
  <c r="C185" i="24"/>
  <c r="E184" i="24"/>
  <c r="D184" i="24"/>
  <c r="C184" i="24"/>
  <c r="E183" i="24"/>
  <c r="D183" i="24"/>
  <c r="C183" i="24"/>
  <c r="E182" i="24"/>
  <c r="D182" i="24"/>
  <c r="C182" i="24"/>
  <c r="E181" i="24"/>
  <c r="D181" i="24"/>
  <c r="C181" i="24"/>
  <c r="E180" i="24"/>
  <c r="D180" i="24"/>
  <c r="C180" i="24"/>
  <c r="E179" i="24"/>
  <c r="D179" i="24"/>
  <c r="C179" i="24"/>
  <c r="E178" i="24"/>
  <c r="D178" i="24"/>
  <c r="C178" i="24"/>
  <c r="E177" i="24"/>
  <c r="D177" i="24"/>
  <c r="C177" i="24"/>
  <c r="E176" i="24"/>
  <c r="D176" i="24"/>
  <c r="C176" i="24"/>
  <c r="E175" i="24"/>
  <c r="D175" i="24"/>
  <c r="C175" i="24"/>
  <c r="E174" i="24"/>
  <c r="D174" i="24"/>
  <c r="C174" i="24"/>
  <c r="E173" i="24"/>
  <c r="D173" i="24"/>
  <c r="C173" i="24"/>
  <c r="E172" i="24"/>
  <c r="D172" i="24"/>
  <c r="C172" i="24"/>
  <c r="E171" i="24"/>
  <c r="D171" i="24"/>
  <c r="C171" i="24"/>
  <c r="E170" i="24"/>
  <c r="D170" i="24"/>
  <c r="C170" i="24"/>
  <c r="E169" i="24"/>
  <c r="D169" i="24"/>
  <c r="C169" i="24"/>
  <c r="E165" i="24"/>
  <c r="D165" i="24"/>
  <c r="C165" i="24"/>
  <c r="E164" i="24"/>
  <c r="D164" i="24"/>
  <c r="C164" i="24"/>
  <c r="E163" i="24"/>
  <c r="D163" i="24"/>
  <c r="C163" i="24"/>
  <c r="E162" i="24"/>
  <c r="D162" i="24"/>
  <c r="C162" i="24"/>
  <c r="E161" i="24"/>
  <c r="D161" i="24"/>
  <c r="C161" i="24"/>
  <c r="E160" i="24"/>
  <c r="D160" i="24"/>
  <c r="C160" i="24"/>
  <c r="E158" i="24"/>
  <c r="D158" i="24"/>
  <c r="C158" i="24"/>
  <c r="E157" i="24"/>
  <c r="D157" i="24"/>
  <c r="C157" i="24"/>
  <c r="E156" i="24"/>
  <c r="D156" i="24"/>
  <c r="C156" i="24"/>
  <c r="E155" i="24"/>
  <c r="D155" i="24"/>
  <c r="C155" i="24"/>
  <c r="E154" i="24"/>
  <c r="D154" i="24"/>
  <c r="C154" i="24"/>
  <c r="E153" i="24"/>
  <c r="D153" i="24"/>
  <c r="C153" i="24"/>
  <c r="E152" i="24"/>
  <c r="D152" i="24"/>
  <c r="C152" i="24"/>
  <c r="E151" i="24"/>
  <c r="D151" i="24"/>
  <c r="C151" i="24"/>
  <c r="E150" i="24"/>
  <c r="D150" i="24"/>
  <c r="C150" i="24"/>
  <c r="E148" i="24"/>
  <c r="D148" i="24"/>
  <c r="C148" i="24"/>
  <c r="E147" i="24"/>
  <c r="D147" i="24"/>
  <c r="C147" i="24"/>
  <c r="E146" i="24"/>
  <c r="D146" i="24"/>
  <c r="C146" i="24"/>
  <c r="E145" i="24"/>
  <c r="D145" i="24"/>
  <c r="C145" i="24"/>
  <c r="E143" i="24"/>
  <c r="D143" i="24"/>
  <c r="C143" i="24"/>
  <c r="E142" i="24"/>
  <c r="D142" i="24"/>
  <c r="C142" i="24"/>
  <c r="E141" i="24"/>
  <c r="D141" i="24"/>
  <c r="C141" i="24"/>
  <c r="E140" i="24"/>
  <c r="D140" i="24"/>
  <c r="C140" i="24"/>
  <c r="E138" i="24"/>
  <c r="D138" i="24"/>
  <c r="C138" i="24"/>
  <c r="E137" i="24"/>
  <c r="D137" i="24"/>
  <c r="C137" i="24"/>
  <c r="E136" i="24"/>
  <c r="D136" i="24"/>
  <c r="C136" i="24"/>
  <c r="E135" i="24"/>
  <c r="D135" i="24"/>
  <c r="C135" i="24"/>
  <c r="E134" i="24"/>
  <c r="D134" i="24"/>
  <c r="C134" i="24"/>
  <c r="E132" i="24"/>
  <c r="D132" i="24"/>
  <c r="C132" i="24"/>
  <c r="E131" i="24"/>
  <c r="D131" i="24"/>
  <c r="C131" i="24"/>
  <c r="E130" i="24"/>
  <c r="D130" i="24"/>
  <c r="C130" i="24"/>
  <c r="E129" i="24"/>
  <c r="D129" i="24"/>
  <c r="C129" i="24"/>
  <c r="E128" i="24"/>
  <c r="D128" i="24"/>
  <c r="C128" i="24"/>
  <c r="E123" i="24"/>
  <c r="D123" i="24"/>
  <c r="C123" i="24"/>
  <c r="E122" i="24"/>
  <c r="D122" i="24"/>
  <c r="C122" i="24"/>
  <c r="E121" i="24"/>
  <c r="D121" i="24"/>
  <c r="C121" i="24"/>
  <c r="E120" i="24"/>
  <c r="D120" i="24"/>
  <c r="C120" i="24"/>
  <c r="E119" i="24"/>
  <c r="D119" i="24"/>
  <c r="C119" i="24"/>
  <c r="E115" i="24"/>
  <c r="D115" i="24"/>
  <c r="C115" i="24"/>
  <c r="E114" i="24"/>
  <c r="D114" i="24"/>
  <c r="C114" i="24"/>
  <c r="E113" i="24"/>
  <c r="D113" i="24"/>
  <c r="C113" i="24"/>
  <c r="E112" i="24"/>
  <c r="D112" i="24"/>
  <c r="C112" i="24"/>
  <c r="E111" i="24"/>
  <c r="D111" i="24"/>
  <c r="C111" i="24"/>
  <c r="E110" i="24"/>
  <c r="D110" i="24"/>
  <c r="C110" i="24"/>
  <c r="E106" i="24"/>
  <c r="D106" i="24"/>
  <c r="C106" i="24"/>
  <c r="E105" i="24"/>
  <c r="D105" i="24"/>
  <c r="C105" i="24"/>
  <c r="E104" i="24"/>
  <c r="D104" i="24"/>
  <c r="C104" i="24"/>
  <c r="E103" i="24"/>
  <c r="D103" i="24"/>
  <c r="C103" i="24"/>
  <c r="E102" i="24"/>
  <c r="D102" i="24"/>
  <c r="C102" i="24"/>
  <c r="E101" i="24"/>
  <c r="D101" i="24"/>
  <c r="C101" i="24"/>
  <c r="E97" i="24"/>
  <c r="D97" i="24"/>
  <c r="C97" i="24"/>
  <c r="E96" i="24"/>
  <c r="D96" i="24"/>
  <c r="C96" i="24"/>
  <c r="E95" i="24"/>
  <c r="D95" i="24"/>
  <c r="C95" i="24"/>
  <c r="E94" i="24"/>
  <c r="D94" i="24"/>
  <c r="C94" i="24"/>
  <c r="E93" i="24"/>
  <c r="D93" i="24"/>
  <c r="C93" i="24"/>
  <c r="E92" i="24"/>
  <c r="D92" i="24"/>
  <c r="C92" i="24"/>
  <c r="E91" i="24"/>
  <c r="D91" i="24"/>
  <c r="C91" i="24"/>
  <c r="E90" i="24"/>
  <c r="D90" i="24"/>
  <c r="C90" i="24"/>
  <c r="E89" i="24"/>
  <c r="D89" i="24"/>
  <c r="C89" i="24"/>
  <c r="E88" i="24"/>
  <c r="D88" i="24"/>
  <c r="C88" i="24"/>
  <c r="E87" i="24"/>
  <c r="D87" i="24"/>
  <c r="C87" i="24"/>
  <c r="E83" i="24"/>
  <c r="D83" i="24"/>
  <c r="C83" i="24"/>
  <c r="E82" i="24"/>
  <c r="D82" i="24"/>
  <c r="C82" i="24"/>
  <c r="E81" i="24"/>
  <c r="D81" i="24"/>
  <c r="C81" i="24"/>
  <c r="E80" i="24"/>
  <c r="D80" i="24"/>
  <c r="C80" i="24"/>
  <c r="E79" i="24"/>
  <c r="D79" i="24"/>
  <c r="C79" i="24"/>
  <c r="E78" i="24"/>
  <c r="D78" i="24"/>
  <c r="C78" i="24"/>
  <c r="E77" i="24"/>
  <c r="D77" i="24"/>
  <c r="C77" i="24"/>
  <c r="E76" i="24"/>
  <c r="D76" i="24"/>
  <c r="C76" i="24"/>
  <c r="E75" i="24"/>
  <c r="D75" i="24"/>
  <c r="C75" i="24"/>
  <c r="E74" i="24"/>
  <c r="D74" i="24"/>
  <c r="C74" i="24"/>
  <c r="E73" i="24"/>
  <c r="D73" i="24"/>
  <c r="C73" i="24"/>
  <c r="E72" i="24"/>
  <c r="D72" i="24"/>
  <c r="C72" i="24"/>
  <c r="E71" i="24"/>
  <c r="D71" i="24"/>
  <c r="C71" i="24"/>
  <c r="E70" i="24"/>
  <c r="D70" i="24"/>
  <c r="C70" i="24"/>
  <c r="E69" i="24"/>
  <c r="D69" i="24"/>
  <c r="C69" i="24"/>
  <c r="E65" i="24"/>
  <c r="D65" i="24"/>
  <c r="C65" i="24"/>
  <c r="E64" i="24"/>
  <c r="D64" i="24"/>
  <c r="C64" i="24"/>
  <c r="E63" i="24"/>
  <c r="D63" i="24"/>
  <c r="C63" i="24"/>
  <c r="E62" i="24"/>
  <c r="D62" i="24"/>
  <c r="C62" i="24"/>
  <c r="E61" i="24"/>
  <c r="D61" i="24"/>
  <c r="C61" i="24"/>
  <c r="E60" i="24"/>
  <c r="D60" i="24"/>
  <c r="C60" i="24"/>
  <c r="E59" i="24"/>
  <c r="D59" i="24"/>
  <c r="C59" i="24"/>
  <c r="E58" i="24"/>
  <c r="D58" i="24"/>
  <c r="C58" i="24"/>
  <c r="E57" i="24"/>
  <c r="D57" i="24"/>
  <c r="C57" i="24"/>
  <c r="E56" i="24"/>
  <c r="D56" i="24"/>
  <c r="C56" i="24"/>
  <c r="E55" i="24"/>
  <c r="D55" i="24"/>
  <c r="C55" i="24"/>
  <c r="E54" i="24"/>
  <c r="D54" i="24"/>
  <c r="C54" i="24"/>
  <c r="E53" i="24"/>
  <c r="D53" i="24"/>
  <c r="C53" i="24"/>
  <c r="E52" i="24"/>
  <c r="D52" i="24"/>
  <c r="C52" i="24"/>
  <c r="E51" i="24"/>
  <c r="D51" i="24"/>
  <c r="C51" i="24"/>
  <c r="E50" i="24"/>
  <c r="D50" i="24"/>
  <c r="C50" i="24"/>
  <c r="E49" i="24"/>
  <c r="D49" i="24"/>
  <c r="C49" i="24"/>
  <c r="E48" i="24"/>
  <c r="D48" i="24"/>
  <c r="C48" i="24"/>
  <c r="E47" i="24"/>
  <c r="D47" i="24"/>
  <c r="C47" i="24"/>
  <c r="E46" i="24"/>
  <c r="D46" i="24"/>
  <c r="C46" i="24"/>
  <c r="E45" i="24"/>
  <c r="D45" i="24"/>
  <c r="C45" i="24"/>
  <c r="E44" i="24"/>
  <c r="D44" i="24"/>
  <c r="C44" i="24"/>
  <c r="E43" i="24"/>
  <c r="D43" i="24"/>
  <c r="C43" i="24"/>
  <c r="E42" i="24"/>
  <c r="D42" i="24"/>
  <c r="C42" i="24"/>
  <c r="E41" i="24"/>
  <c r="D41" i="24"/>
  <c r="C41" i="24"/>
  <c r="E40" i="24"/>
  <c r="D40" i="24"/>
  <c r="C40" i="24"/>
  <c r="E39" i="24"/>
  <c r="D39" i="24"/>
  <c r="C39" i="24"/>
  <c r="E38" i="24"/>
  <c r="D38" i="24"/>
  <c r="C38" i="24"/>
  <c r="E37" i="24"/>
  <c r="D37" i="24"/>
  <c r="C37" i="24"/>
  <c r="E36" i="24"/>
  <c r="D36" i="24"/>
  <c r="C36" i="24"/>
  <c r="E35" i="24"/>
  <c r="D35" i="24"/>
  <c r="C35" i="24"/>
  <c r="E34" i="24"/>
  <c r="D34" i="24"/>
  <c r="C34" i="24"/>
  <c r="E33" i="24"/>
  <c r="D33" i="24"/>
  <c r="C33" i="24"/>
  <c r="E32" i="24"/>
  <c r="D32" i="24"/>
  <c r="C32" i="24"/>
  <c r="E31" i="24"/>
  <c r="D31" i="24"/>
  <c r="C31" i="24"/>
  <c r="E30" i="24"/>
  <c r="D30" i="24"/>
  <c r="C30" i="24"/>
  <c r="D25" i="24"/>
  <c r="C25" i="24"/>
  <c r="D24" i="24"/>
  <c r="C24" i="24"/>
  <c r="D23" i="24"/>
  <c r="C23" i="24"/>
  <c r="D22" i="24"/>
  <c r="C22" i="24"/>
  <c r="D21" i="24"/>
  <c r="C21" i="24"/>
  <c r="D20" i="24"/>
  <c r="C20" i="24"/>
  <c r="D19" i="24"/>
  <c r="C19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F12" i="24" s="1"/>
  <c r="I12" i="24" s="1"/>
  <c r="C4" i="24"/>
  <c r="C3" i="24"/>
  <c r="C238" i="24" l="1"/>
  <c r="C26" i="24"/>
  <c r="D84" i="24"/>
  <c r="C98" i="24"/>
  <c r="C124" i="24"/>
  <c r="C166" i="24"/>
  <c r="D166" i="24"/>
  <c r="D26" i="24"/>
  <c r="E84" i="24"/>
  <c r="D98" i="24"/>
  <c r="C107" i="24"/>
  <c r="E107" i="24"/>
  <c r="D124" i="24"/>
  <c r="E166" i="24"/>
  <c r="E202" i="24"/>
  <c r="C233" i="24"/>
  <c r="E98" i="24"/>
  <c r="D107" i="24"/>
  <c r="D116" i="24"/>
  <c r="C202" i="24"/>
  <c r="C211" i="24"/>
  <c r="E211" i="24"/>
  <c r="C84" i="24"/>
  <c r="C116" i="24"/>
  <c r="E116" i="24"/>
  <c r="E124" i="24"/>
  <c r="D202" i="24"/>
  <c r="D211" i="24"/>
  <c r="C66" i="24"/>
  <c r="D66" i="24"/>
  <c r="E66" i="24"/>
  <c r="E213" i="24" l="1"/>
  <c r="E220" i="24" s="1"/>
  <c r="D213" i="24"/>
  <c r="D220" i="24" s="1"/>
  <c r="C213" i="24"/>
  <c r="C217" i="24" s="1"/>
  <c r="C220" i="24" l="1"/>
  <c r="D18" i="118" l="1"/>
  <c r="I249" i="118"/>
  <c r="I248" i="118"/>
  <c r="I247" i="118"/>
  <c r="I246" i="118"/>
  <c r="C243" i="118"/>
  <c r="C242" i="118"/>
  <c r="C241" i="118"/>
  <c r="C240" i="118"/>
  <c r="C237" i="118"/>
  <c r="C236" i="118"/>
  <c r="E233" i="118"/>
  <c r="D233" i="118"/>
  <c r="C232" i="118"/>
  <c r="C231" i="118"/>
  <c r="C230" i="118"/>
  <c r="C229" i="118"/>
  <c r="C228" i="118"/>
  <c r="C227" i="118"/>
  <c r="C226" i="118"/>
  <c r="C225" i="118"/>
  <c r="C224" i="118"/>
  <c r="C216" i="118"/>
  <c r="E210" i="118"/>
  <c r="D210" i="118"/>
  <c r="C210" i="118"/>
  <c r="E209" i="118"/>
  <c r="D209" i="118"/>
  <c r="C209" i="118"/>
  <c r="E208" i="118"/>
  <c r="D208" i="118"/>
  <c r="C208" i="118"/>
  <c r="E207" i="118"/>
  <c r="D207" i="118"/>
  <c r="C207" i="118"/>
  <c r="E206" i="118"/>
  <c r="D206" i="118"/>
  <c r="C206" i="118"/>
  <c r="E205" i="118"/>
  <c r="D205" i="118"/>
  <c r="C205" i="118"/>
  <c r="E201" i="118"/>
  <c r="D201" i="118"/>
  <c r="C201" i="118"/>
  <c r="E200" i="118"/>
  <c r="D200" i="118"/>
  <c r="C200" i="118"/>
  <c r="E199" i="118"/>
  <c r="D199" i="118"/>
  <c r="C199" i="118"/>
  <c r="E198" i="118"/>
  <c r="D198" i="118"/>
  <c r="C198" i="118"/>
  <c r="E197" i="118"/>
  <c r="D197" i="118"/>
  <c r="C197" i="118"/>
  <c r="E196" i="118"/>
  <c r="D196" i="118"/>
  <c r="C196" i="118"/>
  <c r="E195" i="118"/>
  <c r="D195" i="118"/>
  <c r="C195" i="118"/>
  <c r="E194" i="118"/>
  <c r="D194" i="118"/>
  <c r="C194" i="118"/>
  <c r="E193" i="118"/>
  <c r="D193" i="118"/>
  <c r="C193" i="118"/>
  <c r="E192" i="118"/>
  <c r="D192" i="118"/>
  <c r="C192" i="118"/>
  <c r="E191" i="118"/>
  <c r="D191" i="118"/>
  <c r="C191" i="118"/>
  <c r="E190" i="118"/>
  <c r="D190" i="118"/>
  <c r="C190" i="118"/>
  <c r="E189" i="118"/>
  <c r="D189" i="118"/>
  <c r="C189" i="118"/>
  <c r="E188" i="118"/>
  <c r="D188" i="118"/>
  <c r="C188" i="118"/>
  <c r="E187" i="118"/>
  <c r="D187" i="118"/>
  <c r="C187" i="118"/>
  <c r="E186" i="118"/>
  <c r="D186" i="118"/>
  <c r="C186" i="118"/>
  <c r="E185" i="118"/>
  <c r="D185" i="118"/>
  <c r="C185" i="118"/>
  <c r="E184" i="118"/>
  <c r="D184" i="118"/>
  <c r="C184" i="118"/>
  <c r="E183" i="118"/>
  <c r="D183" i="118"/>
  <c r="C183" i="118"/>
  <c r="E182" i="118"/>
  <c r="D182" i="118"/>
  <c r="C182" i="118"/>
  <c r="E181" i="118"/>
  <c r="D181" i="118"/>
  <c r="C181" i="118"/>
  <c r="E180" i="118"/>
  <c r="D180" i="118"/>
  <c r="C180" i="118"/>
  <c r="E179" i="118"/>
  <c r="D179" i="118"/>
  <c r="C179" i="118"/>
  <c r="E178" i="118"/>
  <c r="D178" i="118"/>
  <c r="C178" i="118"/>
  <c r="E177" i="118"/>
  <c r="D177" i="118"/>
  <c r="C177" i="118"/>
  <c r="E176" i="118"/>
  <c r="D176" i="118"/>
  <c r="C176" i="118"/>
  <c r="E175" i="118"/>
  <c r="D175" i="118"/>
  <c r="C175" i="118"/>
  <c r="E174" i="118"/>
  <c r="D174" i="118"/>
  <c r="C174" i="118"/>
  <c r="E173" i="118"/>
  <c r="D173" i="118"/>
  <c r="C173" i="118"/>
  <c r="E172" i="118"/>
  <c r="D172" i="118"/>
  <c r="C172" i="118"/>
  <c r="E171" i="118"/>
  <c r="D171" i="118"/>
  <c r="C171" i="118"/>
  <c r="E170" i="118"/>
  <c r="D170" i="118"/>
  <c r="C170" i="118"/>
  <c r="E169" i="118"/>
  <c r="D169" i="118"/>
  <c r="C169" i="118"/>
  <c r="E165" i="118"/>
  <c r="D165" i="118"/>
  <c r="C165" i="118"/>
  <c r="E164" i="118"/>
  <c r="D164" i="118"/>
  <c r="C164" i="118"/>
  <c r="E163" i="118"/>
  <c r="D163" i="118"/>
  <c r="C163" i="118"/>
  <c r="E162" i="118"/>
  <c r="D162" i="118"/>
  <c r="C162" i="118"/>
  <c r="E161" i="118"/>
  <c r="D161" i="118"/>
  <c r="C161" i="118"/>
  <c r="E160" i="118"/>
  <c r="D160" i="118"/>
  <c r="C160" i="118"/>
  <c r="E158" i="118"/>
  <c r="D158" i="118"/>
  <c r="C158" i="118"/>
  <c r="E157" i="118"/>
  <c r="D157" i="118"/>
  <c r="C157" i="118"/>
  <c r="E156" i="118"/>
  <c r="D156" i="118"/>
  <c r="C156" i="118"/>
  <c r="E155" i="118"/>
  <c r="D155" i="118"/>
  <c r="C155" i="118"/>
  <c r="E154" i="118"/>
  <c r="D154" i="118"/>
  <c r="C154" i="118"/>
  <c r="E153" i="118"/>
  <c r="D153" i="118"/>
  <c r="C153" i="118"/>
  <c r="E152" i="118"/>
  <c r="D152" i="118"/>
  <c r="C152" i="118"/>
  <c r="E151" i="118"/>
  <c r="D151" i="118"/>
  <c r="C151" i="118"/>
  <c r="E150" i="118"/>
  <c r="D150" i="118"/>
  <c r="C150" i="118"/>
  <c r="E148" i="118"/>
  <c r="D148" i="118"/>
  <c r="C148" i="118"/>
  <c r="E147" i="118"/>
  <c r="D147" i="118"/>
  <c r="C147" i="118"/>
  <c r="E146" i="118"/>
  <c r="D146" i="118"/>
  <c r="C146" i="118"/>
  <c r="E145" i="118"/>
  <c r="D145" i="118"/>
  <c r="C145" i="118"/>
  <c r="E143" i="118"/>
  <c r="D143" i="118"/>
  <c r="C143" i="118"/>
  <c r="E142" i="118"/>
  <c r="D142" i="118"/>
  <c r="C142" i="118"/>
  <c r="E141" i="118"/>
  <c r="D141" i="118"/>
  <c r="C141" i="118"/>
  <c r="E140" i="118"/>
  <c r="D140" i="118"/>
  <c r="C140" i="118"/>
  <c r="E138" i="118"/>
  <c r="D138" i="118"/>
  <c r="C138" i="118"/>
  <c r="E137" i="118"/>
  <c r="D137" i="118"/>
  <c r="C137" i="118"/>
  <c r="E136" i="118"/>
  <c r="D136" i="118"/>
  <c r="C136" i="118"/>
  <c r="E135" i="118"/>
  <c r="D135" i="118"/>
  <c r="C135" i="118"/>
  <c r="E134" i="118"/>
  <c r="D134" i="118"/>
  <c r="C134" i="118"/>
  <c r="E132" i="118"/>
  <c r="D132" i="118"/>
  <c r="C132" i="118"/>
  <c r="E131" i="118"/>
  <c r="D131" i="118"/>
  <c r="C131" i="118"/>
  <c r="E130" i="118"/>
  <c r="D130" i="118"/>
  <c r="C130" i="118"/>
  <c r="E129" i="118"/>
  <c r="D129" i="118"/>
  <c r="C129" i="118"/>
  <c r="E128" i="118"/>
  <c r="D128" i="118"/>
  <c r="C128" i="118"/>
  <c r="E123" i="118"/>
  <c r="D123" i="118"/>
  <c r="C123" i="118"/>
  <c r="E122" i="118"/>
  <c r="D122" i="118"/>
  <c r="C122" i="118"/>
  <c r="E121" i="118"/>
  <c r="D121" i="118"/>
  <c r="C121" i="118"/>
  <c r="E120" i="118"/>
  <c r="D120" i="118"/>
  <c r="C120" i="118"/>
  <c r="E119" i="118"/>
  <c r="D119" i="118"/>
  <c r="C119" i="118"/>
  <c r="E115" i="118"/>
  <c r="D115" i="118"/>
  <c r="C115" i="118"/>
  <c r="E114" i="118"/>
  <c r="D114" i="118"/>
  <c r="C114" i="118"/>
  <c r="E113" i="118"/>
  <c r="D113" i="118"/>
  <c r="C113" i="118"/>
  <c r="E112" i="118"/>
  <c r="D112" i="118"/>
  <c r="C112" i="118"/>
  <c r="E111" i="118"/>
  <c r="D111" i="118"/>
  <c r="C111" i="118"/>
  <c r="E110" i="118"/>
  <c r="D110" i="118"/>
  <c r="C110" i="118"/>
  <c r="E106" i="118"/>
  <c r="D106" i="118"/>
  <c r="C106" i="118"/>
  <c r="E105" i="118"/>
  <c r="D105" i="118"/>
  <c r="C105" i="118"/>
  <c r="E104" i="118"/>
  <c r="D104" i="118"/>
  <c r="C104" i="118"/>
  <c r="E103" i="118"/>
  <c r="D103" i="118"/>
  <c r="C103" i="118"/>
  <c r="E102" i="118"/>
  <c r="D102" i="118"/>
  <c r="C102" i="118"/>
  <c r="E101" i="118"/>
  <c r="D101" i="118"/>
  <c r="C101" i="118"/>
  <c r="E97" i="118"/>
  <c r="D97" i="118"/>
  <c r="C97" i="118"/>
  <c r="E96" i="118"/>
  <c r="D96" i="118"/>
  <c r="C96" i="118"/>
  <c r="E95" i="118"/>
  <c r="D95" i="118"/>
  <c r="C95" i="118"/>
  <c r="E94" i="118"/>
  <c r="D94" i="118"/>
  <c r="C94" i="118"/>
  <c r="E93" i="118"/>
  <c r="D93" i="118"/>
  <c r="C93" i="118"/>
  <c r="E92" i="118"/>
  <c r="D92" i="118"/>
  <c r="C92" i="118"/>
  <c r="E91" i="118"/>
  <c r="D91" i="118"/>
  <c r="C91" i="118"/>
  <c r="E90" i="118"/>
  <c r="D90" i="118"/>
  <c r="C90" i="118"/>
  <c r="E89" i="118"/>
  <c r="D89" i="118"/>
  <c r="C89" i="118"/>
  <c r="E88" i="118"/>
  <c r="D88" i="118"/>
  <c r="C88" i="118"/>
  <c r="E87" i="118"/>
  <c r="D87" i="118"/>
  <c r="C87" i="118"/>
  <c r="E83" i="118"/>
  <c r="D83" i="118"/>
  <c r="C83" i="118"/>
  <c r="E82" i="118"/>
  <c r="D82" i="118"/>
  <c r="C82" i="118"/>
  <c r="E81" i="118"/>
  <c r="D81" i="118"/>
  <c r="C81" i="118"/>
  <c r="E80" i="118"/>
  <c r="D80" i="118"/>
  <c r="C80" i="118"/>
  <c r="E79" i="118"/>
  <c r="D79" i="118"/>
  <c r="C79" i="118"/>
  <c r="E78" i="118"/>
  <c r="D78" i="118"/>
  <c r="C78" i="118"/>
  <c r="E77" i="118"/>
  <c r="D77" i="118"/>
  <c r="C77" i="118"/>
  <c r="E76" i="118"/>
  <c r="D76" i="118"/>
  <c r="C76" i="118"/>
  <c r="E75" i="118"/>
  <c r="D75" i="118"/>
  <c r="C75" i="118"/>
  <c r="E74" i="118"/>
  <c r="D74" i="118"/>
  <c r="C74" i="118"/>
  <c r="E73" i="118"/>
  <c r="D73" i="118"/>
  <c r="C73" i="118"/>
  <c r="E72" i="118"/>
  <c r="D72" i="118"/>
  <c r="C72" i="118"/>
  <c r="E71" i="118"/>
  <c r="D71" i="118"/>
  <c r="C71" i="118"/>
  <c r="E70" i="118"/>
  <c r="D70" i="118"/>
  <c r="C70" i="118"/>
  <c r="E69" i="118"/>
  <c r="D69" i="118"/>
  <c r="C69" i="118"/>
  <c r="E65" i="118"/>
  <c r="D65" i="118"/>
  <c r="C65" i="118"/>
  <c r="E64" i="118"/>
  <c r="D64" i="118"/>
  <c r="C64" i="118"/>
  <c r="E63" i="118"/>
  <c r="D63" i="118"/>
  <c r="C63" i="118"/>
  <c r="E62" i="118"/>
  <c r="D62" i="118"/>
  <c r="C62" i="118"/>
  <c r="E61" i="118"/>
  <c r="D61" i="118"/>
  <c r="C61" i="118"/>
  <c r="E60" i="118"/>
  <c r="D60" i="118"/>
  <c r="C60" i="118"/>
  <c r="E59" i="118"/>
  <c r="D59" i="118"/>
  <c r="C59" i="118"/>
  <c r="E58" i="118"/>
  <c r="D58" i="118"/>
  <c r="C58" i="118"/>
  <c r="E57" i="118"/>
  <c r="D57" i="118"/>
  <c r="C57" i="118"/>
  <c r="E56" i="118"/>
  <c r="D56" i="118"/>
  <c r="C56" i="118"/>
  <c r="E55" i="118"/>
  <c r="D55" i="118"/>
  <c r="C55" i="118"/>
  <c r="E54" i="118"/>
  <c r="D54" i="118"/>
  <c r="C54" i="118"/>
  <c r="E53" i="118"/>
  <c r="D53" i="118"/>
  <c r="C53" i="118"/>
  <c r="E52" i="118"/>
  <c r="D52" i="118"/>
  <c r="C52" i="118"/>
  <c r="E51" i="118"/>
  <c r="D51" i="118"/>
  <c r="C51" i="118"/>
  <c r="E50" i="118"/>
  <c r="D50" i="118"/>
  <c r="C50" i="118"/>
  <c r="E49" i="118"/>
  <c r="D49" i="118"/>
  <c r="C49" i="118"/>
  <c r="E48" i="118"/>
  <c r="D48" i="118"/>
  <c r="C48" i="118"/>
  <c r="E47" i="118"/>
  <c r="D47" i="118"/>
  <c r="C47" i="118"/>
  <c r="E46" i="118"/>
  <c r="D46" i="118"/>
  <c r="C46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E35" i="118"/>
  <c r="D35" i="118"/>
  <c r="C35" i="118"/>
  <c r="E34" i="118"/>
  <c r="D34" i="118"/>
  <c r="C34" i="118"/>
  <c r="E33" i="118"/>
  <c r="D33" i="118"/>
  <c r="C33" i="118"/>
  <c r="E32" i="118"/>
  <c r="D32" i="118"/>
  <c r="C32" i="118"/>
  <c r="E31" i="118"/>
  <c r="D31" i="118"/>
  <c r="C31" i="118"/>
  <c r="E30" i="118"/>
  <c r="D30" i="118"/>
  <c r="C30" i="118"/>
  <c r="D25" i="118"/>
  <c r="C25" i="118"/>
  <c r="D24" i="118"/>
  <c r="C24" i="118"/>
  <c r="D23" i="118"/>
  <c r="C23" i="118"/>
  <c r="D22" i="118"/>
  <c r="C22" i="118"/>
  <c r="D21" i="118"/>
  <c r="C21" i="118"/>
  <c r="D20" i="118"/>
  <c r="C20" i="118"/>
  <c r="D19" i="118"/>
  <c r="C19" i="118"/>
  <c r="C18" i="118"/>
  <c r="D17" i="118"/>
  <c r="C17" i="118"/>
  <c r="D16" i="118"/>
  <c r="C16" i="118"/>
  <c r="D15" i="118"/>
  <c r="C15" i="118"/>
  <c r="D14" i="118"/>
  <c r="C14" i="118"/>
  <c r="D13" i="118"/>
  <c r="C13" i="118"/>
  <c r="D12" i="118"/>
  <c r="C12" i="118"/>
  <c r="C4" i="118"/>
  <c r="C3" i="118"/>
  <c r="C238" i="118" l="1"/>
  <c r="F65" i="118"/>
  <c r="D26" i="118"/>
  <c r="F12" i="118"/>
  <c r="I12" i="118" s="1"/>
  <c r="C26" i="118"/>
  <c r="D66" i="118"/>
  <c r="D84" i="118"/>
  <c r="C98" i="118"/>
  <c r="C124" i="118"/>
  <c r="C166" i="118"/>
  <c r="D166" i="118"/>
  <c r="D202" i="118"/>
  <c r="E84" i="118"/>
  <c r="D98" i="118"/>
  <c r="C107" i="118"/>
  <c r="E107" i="118"/>
  <c r="E166" i="118"/>
  <c r="E202" i="118"/>
  <c r="C233" i="118"/>
  <c r="E98" i="118"/>
  <c r="D107" i="118"/>
  <c r="D116" i="118"/>
  <c r="D124" i="118"/>
  <c r="C202" i="118"/>
  <c r="C211" i="118"/>
  <c r="E211" i="118"/>
  <c r="C84" i="118"/>
  <c r="C116" i="118"/>
  <c r="E116" i="118"/>
  <c r="E124" i="118"/>
  <c r="D211" i="118"/>
  <c r="C66" i="118"/>
  <c r="E66" i="118"/>
  <c r="D213" i="118" l="1"/>
  <c r="D220" i="118" s="1"/>
  <c r="E213" i="118"/>
  <c r="E220" i="118" s="1"/>
  <c r="C213" i="118"/>
  <c r="C217" i="118" s="1"/>
  <c r="C220" i="118" l="1"/>
  <c r="D18" i="28"/>
  <c r="I249" i="28"/>
  <c r="I248" i="28"/>
  <c r="I247" i="28"/>
  <c r="I246" i="28"/>
  <c r="C243" i="28"/>
  <c r="C242" i="28"/>
  <c r="C241" i="28"/>
  <c r="C240" i="28"/>
  <c r="C237" i="28"/>
  <c r="C236" i="28"/>
  <c r="E233" i="28"/>
  <c r="D233" i="28"/>
  <c r="C232" i="28"/>
  <c r="C231" i="28"/>
  <c r="C230" i="28"/>
  <c r="C229" i="28"/>
  <c r="C228" i="28"/>
  <c r="C227" i="28"/>
  <c r="C226" i="28"/>
  <c r="C225" i="28"/>
  <c r="C224" i="28"/>
  <c r="C216" i="28"/>
  <c r="E210" i="28"/>
  <c r="D210" i="28"/>
  <c r="C210" i="28"/>
  <c r="E209" i="28"/>
  <c r="D209" i="28"/>
  <c r="C209" i="28"/>
  <c r="E208" i="28"/>
  <c r="D208" i="28"/>
  <c r="C208" i="28"/>
  <c r="E207" i="28"/>
  <c r="D207" i="28"/>
  <c r="C207" i="28"/>
  <c r="E206" i="28"/>
  <c r="D206" i="28"/>
  <c r="C206" i="28"/>
  <c r="E205" i="28"/>
  <c r="D205" i="28"/>
  <c r="C205" i="28"/>
  <c r="E201" i="28"/>
  <c r="D201" i="28"/>
  <c r="C201" i="28"/>
  <c r="E200" i="28"/>
  <c r="D200" i="28"/>
  <c r="C200" i="28"/>
  <c r="E199" i="28"/>
  <c r="D199" i="28"/>
  <c r="C199" i="28"/>
  <c r="E198" i="28"/>
  <c r="D198" i="28"/>
  <c r="C198" i="28"/>
  <c r="E197" i="28"/>
  <c r="D197" i="28"/>
  <c r="C197" i="28"/>
  <c r="E196" i="28"/>
  <c r="D196" i="28"/>
  <c r="C196" i="28"/>
  <c r="E195" i="28"/>
  <c r="D195" i="28"/>
  <c r="C195" i="28"/>
  <c r="E194" i="28"/>
  <c r="D194" i="28"/>
  <c r="C194" i="28"/>
  <c r="E193" i="28"/>
  <c r="D193" i="28"/>
  <c r="C193" i="28"/>
  <c r="E192" i="28"/>
  <c r="D192" i="28"/>
  <c r="C192" i="28"/>
  <c r="E191" i="28"/>
  <c r="D191" i="28"/>
  <c r="C191" i="28"/>
  <c r="E190" i="28"/>
  <c r="D190" i="28"/>
  <c r="C190" i="28"/>
  <c r="E189" i="28"/>
  <c r="D189" i="28"/>
  <c r="C189" i="28"/>
  <c r="E188" i="28"/>
  <c r="D188" i="28"/>
  <c r="C188" i="28"/>
  <c r="E187" i="28"/>
  <c r="D187" i="28"/>
  <c r="C187" i="28"/>
  <c r="E186" i="28"/>
  <c r="D186" i="28"/>
  <c r="C186" i="28"/>
  <c r="E185" i="28"/>
  <c r="D185" i="28"/>
  <c r="C185" i="28"/>
  <c r="E184" i="28"/>
  <c r="D184" i="28"/>
  <c r="C184" i="28"/>
  <c r="E183" i="28"/>
  <c r="D183" i="28"/>
  <c r="C183" i="28"/>
  <c r="E182" i="28"/>
  <c r="D182" i="28"/>
  <c r="C182" i="28"/>
  <c r="E181" i="28"/>
  <c r="D181" i="28"/>
  <c r="C181" i="28"/>
  <c r="E180" i="28"/>
  <c r="D180" i="28"/>
  <c r="C180" i="28"/>
  <c r="E179" i="28"/>
  <c r="D179" i="28"/>
  <c r="C179" i="28"/>
  <c r="E178" i="28"/>
  <c r="D178" i="28"/>
  <c r="C178" i="28"/>
  <c r="E177" i="28"/>
  <c r="D177" i="28"/>
  <c r="C177" i="28"/>
  <c r="E176" i="28"/>
  <c r="D176" i="28"/>
  <c r="C176" i="28"/>
  <c r="E175" i="28"/>
  <c r="D175" i="28"/>
  <c r="C175" i="28"/>
  <c r="E174" i="28"/>
  <c r="D174" i="28"/>
  <c r="C174" i="28"/>
  <c r="E173" i="28"/>
  <c r="D173" i="28"/>
  <c r="C173" i="28"/>
  <c r="E172" i="28"/>
  <c r="D172" i="28"/>
  <c r="C172" i="28"/>
  <c r="E171" i="28"/>
  <c r="D171" i="28"/>
  <c r="C171" i="28"/>
  <c r="E170" i="28"/>
  <c r="D170" i="28"/>
  <c r="C170" i="28"/>
  <c r="E169" i="28"/>
  <c r="D169" i="28"/>
  <c r="C169" i="28"/>
  <c r="E165" i="28"/>
  <c r="D165" i="28"/>
  <c r="C165" i="28"/>
  <c r="E164" i="28"/>
  <c r="D164" i="28"/>
  <c r="C164" i="28"/>
  <c r="E163" i="28"/>
  <c r="D163" i="28"/>
  <c r="C163" i="28"/>
  <c r="E162" i="28"/>
  <c r="D162" i="28"/>
  <c r="C162" i="28"/>
  <c r="E161" i="28"/>
  <c r="D161" i="28"/>
  <c r="C161" i="28"/>
  <c r="E160" i="28"/>
  <c r="D160" i="28"/>
  <c r="C160" i="28"/>
  <c r="E158" i="28"/>
  <c r="D158" i="28"/>
  <c r="C158" i="28"/>
  <c r="E157" i="28"/>
  <c r="D157" i="28"/>
  <c r="C157" i="28"/>
  <c r="E156" i="28"/>
  <c r="D156" i="28"/>
  <c r="C156" i="28"/>
  <c r="E155" i="28"/>
  <c r="D155" i="28"/>
  <c r="C155" i="28"/>
  <c r="E154" i="28"/>
  <c r="D154" i="28"/>
  <c r="C154" i="28"/>
  <c r="E153" i="28"/>
  <c r="D153" i="28"/>
  <c r="C153" i="28"/>
  <c r="E152" i="28"/>
  <c r="D152" i="28"/>
  <c r="C152" i="28"/>
  <c r="E151" i="28"/>
  <c r="D151" i="28"/>
  <c r="C151" i="28"/>
  <c r="E150" i="28"/>
  <c r="D150" i="28"/>
  <c r="C150" i="28"/>
  <c r="E148" i="28"/>
  <c r="D148" i="28"/>
  <c r="C148" i="28"/>
  <c r="E147" i="28"/>
  <c r="D147" i="28"/>
  <c r="C147" i="28"/>
  <c r="E146" i="28"/>
  <c r="D146" i="28"/>
  <c r="C146" i="28"/>
  <c r="E145" i="28"/>
  <c r="D145" i="28"/>
  <c r="C145" i="28"/>
  <c r="E143" i="28"/>
  <c r="D143" i="28"/>
  <c r="C143" i="28"/>
  <c r="E142" i="28"/>
  <c r="D142" i="28"/>
  <c r="C142" i="28"/>
  <c r="E141" i="28"/>
  <c r="D141" i="28"/>
  <c r="C141" i="28"/>
  <c r="E140" i="28"/>
  <c r="D140" i="28"/>
  <c r="C140" i="28"/>
  <c r="E138" i="28"/>
  <c r="D138" i="28"/>
  <c r="C138" i="28"/>
  <c r="E137" i="28"/>
  <c r="D137" i="28"/>
  <c r="C137" i="28"/>
  <c r="E136" i="28"/>
  <c r="D136" i="28"/>
  <c r="C136" i="28"/>
  <c r="E135" i="28"/>
  <c r="D135" i="28"/>
  <c r="C135" i="28"/>
  <c r="E134" i="28"/>
  <c r="D134" i="28"/>
  <c r="C134" i="28"/>
  <c r="E132" i="28"/>
  <c r="D132" i="28"/>
  <c r="C132" i="28"/>
  <c r="E131" i="28"/>
  <c r="D131" i="28"/>
  <c r="C131" i="28"/>
  <c r="E130" i="28"/>
  <c r="D130" i="28"/>
  <c r="C130" i="28"/>
  <c r="E129" i="28"/>
  <c r="D129" i="28"/>
  <c r="C129" i="28"/>
  <c r="E128" i="28"/>
  <c r="D128" i="28"/>
  <c r="C128" i="28"/>
  <c r="E123" i="28"/>
  <c r="D123" i="28"/>
  <c r="C123" i="28"/>
  <c r="E122" i="28"/>
  <c r="D122" i="28"/>
  <c r="C122" i="28"/>
  <c r="E121" i="28"/>
  <c r="D121" i="28"/>
  <c r="C121" i="28"/>
  <c r="E120" i="28"/>
  <c r="D120" i="28"/>
  <c r="C120" i="28"/>
  <c r="E119" i="28"/>
  <c r="D119" i="28"/>
  <c r="C119" i="28"/>
  <c r="E115" i="28"/>
  <c r="D115" i="28"/>
  <c r="C115" i="28"/>
  <c r="E114" i="28"/>
  <c r="D114" i="28"/>
  <c r="C114" i="28"/>
  <c r="E113" i="28"/>
  <c r="D113" i="28"/>
  <c r="C113" i="28"/>
  <c r="E112" i="28"/>
  <c r="D112" i="28"/>
  <c r="C112" i="28"/>
  <c r="E111" i="28"/>
  <c r="D111" i="28"/>
  <c r="C111" i="28"/>
  <c r="E110" i="28"/>
  <c r="D110" i="28"/>
  <c r="C110" i="28"/>
  <c r="E106" i="28"/>
  <c r="D106" i="28"/>
  <c r="C106" i="28"/>
  <c r="E105" i="28"/>
  <c r="D105" i="28"/>
  <c r="C105" i="28"/>
  <c r="E104" i="28"/>
  <c r="C104" i="28"/>
  <c r="E103" i="28"/>
  <c r="D103" i="28"/>
  <c r="C103" i="28"/>
  <c r="E102" i="28"/>
  <c r="D102" i="28"/>
  <c r="C102" i="28"/>
  <c r="E101" i="28"/>
  <c r="D101" i="28"/>
  <c r="C101" i="28"/>
  <c r="E97" i="28"/>
  <c r="D97" i="28"/>
  <c r="C97" i="28"/>
  <c r="E96" i="28"/>
  <c r="D96" i="28"/>
  <c r="C96" i="28"/>
  <c r="E95" i="28"/>
  <c r="D95" i="28"/>
  <c r="C95" i="28"/>
  <c r="E94" i="28"/>
  <c r="D94" i="28"/>
  <c r="C94" i="28"/>
  <c r="E93" i="28"/>
  <c r="D93" i="28"/>
  <c r="C93" i="28"/>
  <c r="E92" i="28"/>
  <c r="D92" i="28"/>
  <c r="C92" i="28"/>
  <c r="E91" i="28"/>
  <c r="D91" i="28"/>
  <c r="C91" i="28"/>
  <c r="E90" i="28"/>
  <c r="D90" i="28"/>
  <c r="C90" i="28"/>
  <c r="E89" i="28"/>
  <c r="D89" i="28"/>
  <c r="C89" i="28"/>
  <c r="E88" i="28"/>
  <c r="D88" i="28"/>
  <c r="C88" i="28"/>
  <c r="E87" i="28"/>
  <c r="D87" i="28"/>
  <c r="C87" i="28"/>
  <c r="E83" i="28"/>
  <c r="D83" i="28"/>
  <c r="C83" i="28"/>
  <c r="E82" i="28"/>
  <c r="D82" i="28"/>
  <c r="C82" i="28"/>
  <c r="E81" i="28"/>
  <c r="D81" i="28"/>
  <c r="C81" i="28"/>
  <c r="E80" i="28"/>
  <c r="D80" i="28"/>
  <c r="C80" i="28"/>
  <c r="E79" i="28"/>
  <c r="D79" i="28"/>
  <c r="C79" i="28"/>
  <c r="E78" i="28"/>
  <c r="D78" i="28"/>
  <c r="C78" i="28"/>
  <c r="E77" i="28"/>
  <c r="D77" i="28"/>
  <c r="C77" i="28"/>
  <c r="E76" i="28"/>
  <c r="D76" i="28"/>
  <c r="C76" i="28"/>
  <c r="E75" i="28"/>
  <c r="D75" i="28"/>
  <c r="C75" i="28"/>
  <c r="E74" i="28"/>
  <c r="D74" i="28"/>
  <c r="C74" i="28"/>
  <c r="E73" i="28"/>
  <c r="D73" i="28"/>
  <c r="C73" i="28"/>
  <c r="E72" i="28"/>
  <c r="D72" i="28"/>
  <c r="C72" i="28"/>
  <c r="E71" i="28"/>
  <c r="D71" i="28"/>
  <c r="C71" i="28"/>
  <c r="E70" i="28"/>
  <c r="D70" i="28"/>
  <c r="C70" i="28"/>
  <c r="E69" i="28"/>
  <c r="D69" i="28"/>
  <c r="C69" i="28"/>
  <c r="E65" i="28"/>
  <c r="C65" i="28"/>
  <c r="E64" i="28"/>
  <c r="D64" i="28"/>
  <c r="C64" i="28"/>
  <c r="E63" i="28"/>
  <c r="D63" i="28"/>
  <c r="C63" i="28"/>
  <c r="E62" i="28"/>
  <c r="D62" i="28"/>
  <c r="C62" i="28"/>
  <c r="E61" i="28"/>
  <c r="D61" i="28"/>
  <c r="C61" i="28"/>
  <c r="E60" i="28"/>
  <c r="D60" i="28"/>
  <c r="C60" i="28"/>
  <c r="E59" i="28"/>
  <c r="D59" i="28"/>
  <c r="C59" i="28"/>
  <c r="E58" i="28"/>
  <c r="D58" i="28"/>
  <c r="C58" i="28"/>
  <c r="E57" i="28"/>
  <c r="D57" i="28"/>
  <c r="C57" i="28"/>
  <c r="E56" i="28"/>
  <c r="D56" i="28"/>
  <c r="C56" i="28"/>
  <c r="E55" i="28"/>
  <c r="D55" i="28"/>
  <c r="C55" i="28"/>
  <c r="E54" i="28"/>
  <c r="D54" i="28"/>
  <c r="C54" i="28"/>
  <c r="E53" i="28"/>
  <c r="D53" i="28"/>
  <c r="C53" i="28"/>
  <c r="E52" i="28"/>
  <c r="D52" i="28"/>
  <c r="C52" i="28"/>
  <c r="E51" i="28"/>
  <c r="D51" i="28"/>
  <c r="C51" i="28"/>
  <c r="E50" i="28"/>
  <c r="D50" i="28"/>
  <c r="C50" i="28"/>
  <c r="E49" i="28"/>
  <c r="D49" i="28"/>
  <c r="C49" i="28"/>
  <c r="E48" i="28"/>
  <c r="D48" i="28"/>
  <c r="C48" i="28"/>
  <c r="E47" i="28"/>
  <c r="C47" i="28"/>
  <c r="E46" i="28"/>
  <c r="D46" i="28"/>
  <c r="C46" i="28"/>
  <c r="E45" i="28"/>
  <c r="D45" i="28"/>
  <c r="C45" i="28"/>
  <c r="E44" i="28"/>
  <c r="D44" i="28"/>
  <c r="C44" i="28"/>
  <c r="E43" i="28"/>
  <c r="D43" i="28"/>
  <c r="C43" i="28"/>
  <c r="E42" i="28"/>
  <c r="D42" i="28"/>
  <c r="C42" i="28"/>
  <c r="E41" i="28"/>
  <c r="D41" i="28"/>
  <c r="C41" i="28"/>
  <c r="E40" i="28"/>
  <c r="D40" i="28"/>
  <c r="C40" i="28"/>
  <c r="E39" i="28"/>
  <c r="D39" i="28"/>
  <c r="C39" i="28"/>
  <c r="E38" i="28"/>
  <c r="D38" i="28"/>
  <c r="C38" i="28"/>
  <c r="E37" i="28"/>
  <c r="D37" i="28"/>
  <c r="C37" i="28"/>
  <c r="E36" i="28"/>
  <c r="D36" i="28"/>
  <c r="C36" i="28"/>
  <c r="E35" i="28"/>
  <c r="D35" i="28"/>
  <c r="C35" i="28"/>
  <c r="E34" i="28"/>
  <c r="D34" i="28"/>
  <c r="C34" i="28"/>
  <c r="E33" i="28"/>
  <c r="D33" i="28"/>
  <c r="C33" i="28"/>
  <c r="E32" i="28"/>
  <c r="D32" i="28"/>
  <c r="C32" i="28"/>
  <c r="E31" i="28"/>
  <c r="D31" i="28"/>
  <c r="C31" i="28"/>
  <c r="E30" i="28"/>
  <c r="D30" i="28"/>
  <c r="C30" i="28"/>
  <c r="D25" i="28"/>
  <c r="C25" i="28"/>
  <c r="D24" i="28"/>
  <c r="C24" i="28"/>
  <c r="D23" i="28"/>
  <c r="C23" i="28"/>
  <c r="D22" i="28"/>
  <c r="C22" i="28"/>
  <c r="D21" i="28"/>
  <c r="C21" i="28"/>
  <c r="D20" i="28"/>
  <c r="C20" i="28"/>
  <c r="C19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C4" i="28"/>
  <c r="C3" i="28"/>
  <c r="F12" i="28" l="1"/>
  <c r="I12" i="28" s="1"/>
  <c r="C238" i="28"/>
  <c r="C84" i="28"/>
  <c r="D84" i="28"/>
  <c r="C166" i="28"/>
  <c r="D166" i="28"/>
  <c r="C98" i="28"/>
  <c r="D98" i="28"/>
  <c r="E116" i="28"/>
  <c r="C124" i="28"/>
  <c r="D124" i="28"/>
  <c r="E202" i="28"/>
  <c r="E84" i="28"/>
  <c r="C107" i="28"/>
  <c r="E107" i="28"/>
  <c r="C116" i="28"/>
  <c r="D116" i="28"/>
  <c r="E166" i="28"/>
  <c r="C211" i="28"/>
  <c r="D211" i="28"/>
  <c r="E211" i="28"/>
  <c r="C233" i="28"/>
  <c r="E98" i="28"/>
  <c r="E124" i="28"/>
  <c r="C202" i="28"/>
  <c r="D202" i="28"/>
  <c r="C26" i="28"/>
  <c r="C66" i="28"/>
  <c r="E66" i="28"/>
  <c r="E213" i="28" l="1"/>
  <c r="E220" i="28" s="1"/>
  <c r="C213" i="28"/>
  <c r="C217" i="28" s="1"/>
  <c r="C220" i="28" l="1"/>
  <c r="D47" i="28"/>
  <c r="D104" i="28"/>
  <c r="D107" i="28" l="1"/>
  <c r="D65" i="28"/>
  <c r="D66" i="28" l="1"/>
  <c r="D213" i="28" s="1"/>
  <c r="D19" i="28"/>
  <c r="D26" i="28" s="1"/>
  <c r="D220" i="28" l="1"/>
  <c r="D18" i="54"/>
  <c r="I249" i="54"/>
  <c r="I248" i="54"/>
  <c r="I247" i="54"/>
  <c r="I246" i="54"/>
  <c r="C243" i="54"/>
  <c r="C242" i="54"/>
  <c r="C241" i="54"/>
  <c r="C240" i="54"/>
  <c r="C237" i="54"/>
  <c r="C236" i="54"/>
  <c r="E233" i="54"/>
  <c r="D233" i="54"/>
  <c r="C232" i="54"/>
  <c r="C231" i="54"/>
  <c r="C230" i="54"/>
  <c r="C229" i="54"/>
  <c r="C228" i="54"/>
  <c r="C227" i="54"/>
  <c r="C226" i="54"/>
  <c r="C225" i="54"/>
  <c r="C224" i="54"/>
  <c r="C216" i="54"/>
  <c r="E210" i="54"/>
  <c r="D210" i="54"/>
  <c r="C210" i="54"/>
  <c r="E209" i="54"/>
  <c r="D209" i="54"/>
  <c r="C209" i="54"/>
  <c r="E208" i="54"/>
  <c r="D208" i="54"/>
  <c r="C208" i="54"/>
  <c r="E207" i="54"/>
  <c r="D207" i="54"/>
  <c r="C207" i="54"/>
  <c r="E206" i="54"/>
  <c r="D206" i="54"/>
  <c r="C206" i="54"/>
  <c r="E205" i="54"/>
  <c r="D205" i="54"/>
  <c r="C205" i="54"/>
  <c r="E201" i="54"/>
  <c r="D201" i="54"/>
  <c r="C201" i="54"/>
  <c r="E200" i="54"/>
  <c r="D200" i="54"/>
  <c r="C200" i="54"/>
  <c r="E199" i="54"/>
  <c r="D199" i="54"/>
  <c r="C199" i="54"/>
  <c r="E198" i="54"/>
  <c r="D198" i="54"/>
  <c r="C198" i="54"/>
  <c r="E197" i="54"/>
  <c r="D197" i="54"/>
  <c r="C197" i="54"/>
  <c r="E196" i="54"/>
  <c r="D196" i="54"/>
  <c r="C196" i="54"/>
  <c r="E195" i="54"/>
  <c r="D195" i="54"/>
  <c r="C195" i="54"/>
  <c r="E194" i="54"/>
  <c r="D194" i="54"/>
  <c r="C194" i="54"/>
  <c r="E193" i="54"/>
  <c r="D193" i="54"/>
  <c r="C193" i="54"/>
  <c r="E192" i="54"/>
  <c r="D192" i="54"/>
  <c r="C192" i="54"/>
  <c r="E191" i="54"/>
  <c r="D191" i="54"/>
  <c r="C191" i="54"/>
  <c r="E190" i="54"/>
  <c r="D190" i="54"/>
  <c r="C190" i="54"/>
  <c r="E189" i="54"/>
  <c r="D189" i="54"/>
  <c r="C189" i="54"/>
  <c r="E188" i="54"/>
  <c r="D188" i="54"/>
  <c r="C188" i="54"/>
  <c r="E187" i="54"/>
  <c r="D187" i="54"/>
  <c r="C187" i="54"/>
  <c r="E186" i="54"/>
  <c r="D186" i="54"/>
  <c r="C186" i="54"/>
  <c r="E185" i="54"/>
  <c r="D185" i="54"/>
  <c r="C185" i="54"/>
  <c r="E184" i="54"/>
  <c r="D184" i="54"/>
  <c r="C184" i="54"/>
  <c r="E183" i="54"/>
  <c r="D183" i="54"/>
  <c r="C183" i="54"/>
  <c r="E182" i="54"/>
  <c r="D182" i="54"/>
  <c r="C182" i="54"/>
  <c r="E181" i="54"/>
  <c r="D181" i="54"/>
  <c r="C181" i="54"/>
  <c r="E180" i="54"/>
  <c r="D180" i="54"/>
  <c r="C180" i="54"/>
  <c r="E179" i="54"/>
  <c r="D179" i="54"/>
  <c r="C179" i="54"/>
  <c r="E178" i="54"/>
  <c r="D178" i="54"/>
  <c r="C178" i="54"/>
  <c r="E177" i="54"/>
  <c r="D177" i="54"/>
  <c r="C177" i="54"/>
  <c r="E176" i="54"/>
  <c r="D176" i="54"/>
  <c r="C176" i="54"/>
  <c r="E175" i="54"/>
  <c r="D175" i="54"/>
  <c r="C175" i="54"/>
  <c r="E174" i="54"/>
  <c r="D174" i="54"/>
  <c r="C174" i="54"/>
  <c r="E173" i="54"/>
  <c r="D173" i="54"/>
  <c r="C173" i="54"/>
  <c r="E172" i="54"/>
  <c r="D172" i="54"/>
  <c r="C172" i="54"/>
  <c r="E171" i="54"/>
  <c r="D171" i="54"/>
  <c r="C171" i="54"/>
  <c r="E170" i="54"/>
  <c r="D170" i="54"/>
  <c r="C170" i="54"/>
  <c r="E169" i="54"/>
  <c r="D169" i="54"/>
  <c r="C169" i="54"/>
  <c r="E165" i="54"/>
  <c r="D165" i="54"/>
  <c r="C165" i="54"/>
  <c r="E164" i="54"/>
  <c r="D164" i="54"/>
  <c r="C164" i="54"/>
  <c r="E163" i="54"/>
  <c r="D163" i="54"/>
  <c r="C163" i="54"/>
  <c r="E162" i="54"/>
  <c r="D162" i="54"/>
  <c r="C162" i="54"/>
  <c r="E161" i="54"/>
  <c r="D161" i="54"/>
  <c r="C161" i="54"/>
  <c r="E160" i="54"/>
  <c r="D160" i="54"/>
  <c r="C160" i="54"/>
  <c r="E158" i="54"/>
  <c r="D158" i="54"/>
  <c r="C158" i="54"/>
  <c r="E157" i="54"/>
  <c r="D157" i="54"/>
  <c r="C157" i="54"/>
  <c r="E156" i="54"/>
  <c r="D156" i="54"/>
  <c r="C156" i="54"/>
  <c r="E155" i="54"/>
  <c r="D155" i="54"/>
  <c r="C155" i="54"/>
  <c r="E154" i="54"/>
  <c r="D154" i="54"/>
  <c r="C154" i="54"/>
  <c r="E153" i="54"/>
  <c r="D153" i="54"/>
  <c r="C153" i="54"/>
  <c r="E152" i="54"/>
  <c r="D152" i="54"/>
  <c r="C152" i="54"/>
  <c r="E151" i="54"/>
  <c r="D151" i="54"/>
  <c r="C151" i="54"/>
  <c r="E150" i="54"/>
  <c r="D150" i="54"/>
  <c r="C150" i="54"/>
  <c r="E148" i="54"/>
  <c r="D148" i="54"/>
  <c r="C148" i="54"/>
  <c r="E147" i="54"/>
  <c r="D147" i="54"/>
  <c r="C147" i="54"/>
  <c r="E146" i="54"/>
  <c r="D146" i="54"/>
  <c r="C146" i="54"/>
  <c r="E145" i="54"/>
  <c r="D145" i="54"/>
  <c r="C145" i="54"/>
  <c r="E143" i="54"/>
  <c r="D143" i="54"/>
  <c r="C143" i="54"/>
  <c r="E142" i="54"/>
  <c r="D142" i="54"/>
  <c r="C142" i="54"/>
  <c r="E141" i="54"/>
  <c r="D141" i="54"/>
  <c r="C141" i="54"/>
  <c r="E140" i="54"/>
  <c r="D140" i="54"/>
  <c r="C140" i="54"/>
  <c r="E138" i="54"/>
  <c r="D138" i="54"/>
  <c r="C138" i="54"/>
  <c r="E137" i="54"/>
  <c r="D137" i="54"/>
  <c r="C137" i="54"/>
  <c r="E136" i="54"/>
  <c r="D136" i="54"/>
  <c r="C136" i="54"/>
  <c r="E135" i="54"/>
  <c r="D135" i="54"/>
  <c r="C135" i="54"/>
  <c r="E134" i="54"/>
  <c r="D134" i="54"/>
  <c r="C134" i="54"/>
  <c r="E132" i="54"/>
  <c r="D132" i="54"/>
  <c r="C132" i="54"/>
  <c r="E131" i="54"/>
  <c r="D131" i="54"/>
  <c r="C131" i="54"/>
  <c r="E130" i="54"/>
  <c r="D130" i="54"/>
  <c r="C130" i="54"/>
  <c r="E129" i="54"/>
  <c r="D129" i="54"/>
  <c r="C129" i="54"/>
  <c r="E128" i="54"/>
  <c r="D128" i="54"/>
  <c r="C128" i="54"/>
  <c r="E123" i="54"/>
  <c r="D123" i="54"/>
  <c r="C123" i="54"/>
  <c r="E122" i="54"/>
  <c r="D122" i="54"/>
  <c r="C122" i="54"/>
  <c r="E121" i="54"/>
  <c r="D121" i="54"/>
  <c r="C121" i="54"/>
  <c r="E120" i="54"/>
  <c r="D120" i="54"/>
  <c r="C120" i="54"/>
  <c r="E119" i="54"/>
  <c r="D119" i="54"/>
  <c r="C119" i="54"/>
  <c r="E115" i="54"/>
  <c r="D115" i="54"/>
  <c r="C115" i="54"/>
  <c r="E114" i="54"/>
  <c r="D114" i="54"/>
  <c r="C114" i="54"/>
  <c r="E113" i="54"/>
  <c r="D113" i="54"/>
  <c r="C113" i="54"/>
  <c r="E112" i="54"/>
  <c r="D112" i="54"/>
  <c r="C112" i="54"/>
  <c r="E111" i="54"/>
  <c r="D111" i="54"/>
  <c r="C111" i="54"/>
  <c r="E110" i="54"/>
  <c r="D110" i="54"/>
  <c r="C110" i="54"/>
  <c r="E106" i="54"/>
  <c r="D106" i="54"/>
  <c r="C106" i="54"/>
  <c r="E105" i="54"/>
  <c r="D105" i="54"/>
  <c r="C105" i="54"/>
  <c r="E104" i="54"/>
  <c r="D104" i="54"/>
  <c r="C104" i="54"/>
  <c r="E103" i="54"/>
  <c r="D103" i="54"/>
  <c r="C103" i="54"/>
  <c r="E102" i="54"/>
  <c r="D102" i="54"/>
  <c r="C102" i="54"/>
  <c r="E101" i="54"/>
  <c r="D101" i="54"/>
  <c r="C101" i="54"/>
  <c r="E97" i="54"/>
  <c r="D97" i="54"/>
  <c r="C97" i="54"/>
  <c r="E96" i="54"/>
  <c r="D96" i="54"/>
  <c r="C96" i="54"/>
  <c r="E95" i="54"/>
  <c r="D95" i="54"/>
  <c r="C95" i="54"/>
  <c r="E94" i="54"/>
  <c r="D94" i="54"/>
  <c r="C94" i="54"/>
  <c r="E93" i="54"/>
  <c r="D93" i="54"/>
  <c r="C93" i="54"/>
  <c r="E92" i="54"/>
  <c r="D92" i="54"/>
  <c r="C92" i="54"/>
  <c r="E91" i="54"/>
  <c r="D91" i="54"/>
  <c r="C91" i="54"/>
  <c r="E90" i="54"/>
  <c r="D90" i="54"/>
  <c r="C90" i="54"/>
  <c r="E89" i="54"/>
  <c r="D89" i="54"/>
  <c r="C89" i="54"/>
  <c r="E88" i="54"/>
  <c r="D88" i="54"/>
  <c r="C88" i="54"/>
  <c r="E87" i="54"/>
  <c r="D87" i="54"/>
  <c r="C87" i="54"/>
  <c r="E83" i="54"/>
  <c r="D83" i="54"/>
  <c r="C83" i="54"/>
  <c r="E82" i="54"/>
  <c r="D82" i="54"/>
  <c r="C82" i="54"/>
  <c r="E81" i="54"/>
  <c r="D81" i="54"/>
  <c r="C81" i="54"/>
  <c r="E80" i="54"/>
  <c r="D80" i="54"/>
  <c r="C80" i="54"/>
  <c r="E79" i="54"/>
  <c r="D79" i="54"/>
  <c r="C79" i="54"/>
  <c r="E78" i="54"/>
  <c r="D78" i="54"/>
  <c r="C78" i="54"/>
  <c r="E77" i="54"/>
  <c r="D77" i="54"/>
  <c r="C77" i="54"/>
  <c r="E76" i="54"/>
  <c r="D76" i="54"/>
  <c r="C76" i="54"/>
  <c r="E75" i="54"/>
  <c r="D75" i="54"/>
  <c r="C75" i="54"/>
  <c r="E74" i="54"/>
  <c r="D74" i="54"/>
  <c r="C74" i="54"/>
  <c r="E73" i="54"/>
  <c r="D73" i="54"/>
  <c r="C73" i="54"/>
  <c r="E72" i="54"/>
  <c r="D72" i="54"/>
  <c r="C72" i="54"/>
  <c r="E71" i="54"/>
  <c r="D71" i="54"/>
  <c r="C71" i="54"/>
  <c r="E70" i="54"/>
  <c r="D70" i="54"/>
  <c r="C70" i="54"/>
  <c r="E69" i="54"/>
  <c r="D69" i="54"/>
  <c r="C69" i="54"/>
  <c r="E65" i="54"/>
  <c r="D65" i="54"/>
  <c r="C65" i="54"/>
  <c r="E64" i="54"/>
  <c r="D64" i="54"/>
  <c r="C64" i="54"/>
  <c r="E63" i="54"/>
  <c r="D63" i="54"/>
  <c r="C63" i="54"/>
  <c r="E62" i="54"/>
  <c r="D62" i="54"/>
  <c r="C62" i="54"/>
  <c r="E61" i="54"/>
  <c r="D61" i="54"/>
  <c r="C61" i="54"/>
  <c r="E60" i="54"/>
  <c r="D60" i="54"/>
  <c r="C60" i="54"/>
  <c r="E59" i="54"/>
  <c r="D59" i="54"/>
  <c r="C59" i="54"/>
  <c r="E58" i="54"/>
  <c r="D58" i="54"/>
  <c r="C58" i="54"/>
  <c r="E57" i="54"/>
  <c r="D57" i="54"/>
  <c r="C57" i="54"/>
  <c r="E56" i="54"/>
  <c r="D56" i="54"/>
  <c r="C56" i="54"/>
  <c r="E55" i="54"/>
  <c r="D55" i="54"/>
  <c r="C55" i="54"/>
  <c r="E54" i="54"/>
  <c r="D54" i="54"/>
  <c r="C54" i="54"/>
  <c r="E53" i="54"/>
  <c r="D53" i="54"/>
  <c r="C53" i="54"/>
  <c r="E52" i="54"/>
  <c r="D52" i="54"/>
  <c r="C52" i="54"/>
  <c r="E51" i="54"/>
  <c r="D51" i="54"/>
  <c r="C51" i="54"/>
  <c r="E50" i="54"/>
  <c r="D50" i="54"/>
  <c r="C50" i="54"/>
  <c r="E49" i="54"/>
  <c r="D49" i="54"/>
  <c r="C49" i="54"/>
  <c r="E48" i="54"/>
  <c r="D48" i="54"/>
  <c r="C48" i="54"/>
  <c r="E47" i="54"/>
  <c r="D47" i="54"/>
  <c r="C47" i="54"/>
  <c r="E46" i="54"/>
  <c r="D46" i="54"/>
  <c r="C46" i="54"/>
  <c r="E45" i="54"/>
  <c r="D45" i="54"/>
  <c r="C45" i="54"/>
  <c r="E44" i="54"/>
  <c r="D44" i="54"/>
  <c r="C44" i="54"/>
  <c r="E43" i="54"/>
  <c r="D43" i="54"/>
  <c r="C43" i="54"/>
  <c r="E42" i="54"/>
  <c r="D42" i="54"/>
  <c r="C42" i="54"/>
  <c r="E41" i="54"/>
  <c r="D41" i="54"/>
  <c r="C41" i="54"/>
  <c r="E40" i="54"/>
  <c r="D40" i="54"/>
  <c r="C40" i="54"/>
  <c r="E39" i="54"/>
  <c r="D39" i="54"/>
  <c r="C39" i="54"/>
  <c r="E38" i="54"/>
  <c r="D38" i="54"/>
  <c r="C38" i="54"/>
  <c r="E37" i="54"/>
  <c r="D37" i="54"/>
  <c r="C37" i="54"/>
  <c r="E36" i="54"/>
  <c r="D36" i="54"/>
  <c r="C36" i="54"/>
  <c r="E35" i="54"/>
  <c r="D35" i="54"/>
  <c r="C35" i="54"/>
  <c r="E34" i="54"/>
  <c r="D34" i="54"/>
  <c r="C34" i="54"/>
  <c r="E33" i="54"/>
  <c r="D33" i="54"/>
  <c r="C33" i="54"/>
  <c r="E32" i="54"/>
  <c r="D32" i="54"/>
  <c r="C32" i="54"/>
  <c r="E31" i="54"/>
  <c r="D31" i="54"/>
  <c r="C31" i="54"/>
  <c r="E30" i="54"/>
  <c r="D30" i="54"/>
  <c r="C30" i="54"/>
  <c r="D25" i="54"/>
  <c r="C25" i="54"/>
  <c r="D24" i="54"/>
  <c r="C24" i="54"/>
  <c r="D23" i="54"/>
  <c r="C23" i="54"/>
  <c r="D22" i="54"/>
  <c r="C22" i="54"/>
  <c r="D21" i="54"/>
  <c r="C21" i="54"/>
  <c r="D20" i="54"/>
  <c r="C20" i="54"/>
  <c r="D19" i="54"/>
  <c r="C19" i="54"/>
  <c r="C18" i="54"/>
  <c r="D17" i="54"/>
  <c r="C17" i="54"/>
  <c r="D16" i="54"/>
  <c r="C16" i="54"/>
  <c r="D15" i="54"/>
  <c r="C15" i="54"/>
  <c r="D14" i="54"/>
  <c r="C14" i="54"/>
  <c r="D13" i="54"/>
  <c r="C13" i="54"/>
  <c r="D12" i="54"/>
  <c r="C12" i="54"/>
  <c r="F12" i="54" s="1"/>
  <c r="I12" i="54" s="1"/>
  <c r="C4" i="54"/>
  <c r="C3" i="54"/>
  <c r="C238" i="54" l="1"/>
  <c r="D26" i="54"/>
  <c r="C26" i="54"/>
  <c r="D84" i="54"/>
  <c r="C98" i="54"/>
  <c r="C124" i="54"/>
  <c r="C166" i="54"/>
  <c r="D166" i="54"/>
  <c r="D202" i="54"/>
  <c r="E84" i="54"/>
  <c r="E202" i="54"/>
  <c r="C233" i="54"/>
  <c r="E107" i="54"/>
  <c r="E98" i="54"/>
  <c r="D107" i="54"/>
  <c r="D116" i="54"/>
  <c r="D124" i="54"/>
  <c r="C202" i="54"/>
  <c r="C211" i="54"/>
  <c r="E211" i="54"/>
  <c r="D98" i="54"/>
  <c r="C107" i="54"/>
  <c r="E166" i="54"/>
  <c r="C84" i="54"/>
  <c r="C116" i="54"/>
  <c r="E116" i="54"/>
  <c r="E124" i="54"/>
  <c r="D211" i="54"/>
  <c r="D66" i="54"/>
  <c r="C66" i="54"/>
  <c r="E66" i="54"/>
  <c r="D213" i="54" l="1"/>
  <c r="D220" i="54" s="1"/>
  <c r="E213" i="54"/>
  <c r="E220" i="54" s="1"/>
  <c r="C213" i="54"/>
  <c r="C217" i="54" s="1"/>
  <c r="C220" i="54" l="1"/>
  <c r="D18" i="95"/>
  <c r="I249" i="95"/>
  <c r="I248" i="95"/>
  <c r="I247" i="95"/>
  <c r="I246" i="95"/>
  <c r="C243" i="95"/>
  <c r="C242" i="95"/>
  <c r="C241" i="95"/>
  <c r="C240" i="95"/>
  <c r="C237" i="95"/>
  <c r="C236" i="95"/>
  <c r="E233" i="95"/>
  <c r="D233" i="95"/>
  <c r="C232" i="95"/>
  <c r="C231" i="95"/>
  <c r="C230" i="95"/>
  <c r="C229" i="95"/>
  <c r="C228" i="95"/>
  <c r="C227" i="95"/>
  <c r="C226" i="95"/>
  <c r="C225" i="95"/>
  <c r="C224" i="95"/>
  <c r="C216" i="95"/>
  <c r="E210" i="95"/>
  <c r="D210" i="95"/>
  <c r="C210" i="95"/>
  <c r="E209" i="95"/>
  <c r="D209" i="95"/>
  <c r="C209" i="95"/>
  <c r="E208" i="95"/>
  <c r="D208" i="95"/>
  <c r="C208" i="95"/>
  <c r="E207" i="95"/>
  <c r="D207" i="95"/>
  <c r="C207" i="95"/>
  <c r="E206" i="95"/>
  <c r="D206" i="95"/>
  <c r="C206" i="95"/>
  <c r="E205" i="95"/>
  <c r="D205" i="95"/>
  <c r="C205" i="95"/>
  <c r="E201" i="95"/>
  <c r="D201" i="95"/>
  <c r="C201" i="95"/>
  <c r="E200" i="95"/>
  <c r="D200" i="95"/>
  <c r="C200" i="95"/>
  <c r="E199" i="95"/>
  <c r="D199" i="95"/>
  <c r="C199" i="95"/>
  <c r="E198" i="95"/>
  <c r="D198" i="95"/>
  <c r="C198" i="95"/>
  <c r="E197" i="95"/>
  <c r="D197" i="95"/>
  <c r="C197" i="95"/>
  <c r="E196" i="95"/>
  <c r="D196" i="95"/>
  <c r="C196" i="95"/>
  <c r="E195" i="95"/>
  <c r="D195" i="95"/>
  <c r="C195" i="95"/>
  <c r="E194" i="95"/>
  <c r="D194" i="95"/>
  <c r="C194" i="95"/>
  <c r="E193" i="95"/>
  <c r="D193" i="95"/>
  <c r="C193" i="95"/>
  <c r="E192" i="95"/>
  <c r="D192" i="95"/>
  <c r="C192" i="95"/>
  <c r="E191" i="95"/>
  <c r="D191" i="95"/>
  <c r="C191" i="95"/>
  <c r="E190" i="95"/>
  <c r="D190" i="95"/>
  <c r="C190" i="95"/>
  <c r="E189" i="95"/>
  <c r="D189" i="95"/>
  <c r="C189" i="95"/>
  <c r="E188" i="95"/>
  <c r="D188" i="95"/>
  <c r="C188" i="95"/>
  <c r="E187" i="95"/>
  <c r="D187" i="95"/>
  <c r="C187" i="95"/>
  <c r="E186" i="95"/>
  <c r="D186" i="95"/>
  <c r="C186" i="95"/>
  <c r="E185" i="95"/>
  <c r="D185" i="95"/>
  <c r="C185" i="95"/>
  <c r="E184" i="95"/>
  <c r="D184" i="95"/>
  <c r="C184" i="95"/>
  <c r="E183" i="95"/>
  <c r="D183" i="95"/>
  <c r="C183" i="95"/>
  <c r="E182" i="95"/>
  <c r="D182" i="95"/>
  <c r="C182" i="95"/>
  <c r="E181" i="95"/>
  <c r="D181" i="95"/>
  <c r="C181" i="95"/>
  <c r="E180" i="95"/>
  <c r="D180" i="95"/>
  <c r="C180" i="95"/>
  <c r="E179" i="95"/>
  <c r="D179" i="95"/>
  <c r="C179" i="95"/>
  <c r="E178" i="95"/>
  <c r="D178" i="95"/>
  <c r="C178" i="95"/>
  <c r="E177" i="95"/>
  <c r="D177" i="95"/>
  <c r="C177" i="95"/>
  <c r="E176" i="95"/>
  <c r="D176" i="95"/>
  <c r="C176" i="95"/>
  <c r="E175" i="95"/>
  <c r="D175" i="95"/>
  <c r="C175" i="95"/>
  <c r="E174" i="95"/>
  <c r="D174" i="95"/>
  <c r="C174" i="95"/>
  <c r="E173" i="95"/>
  <c r="D173" i="95"/>
  <c r="C173" i="95"/>
  <c r="E172" i="95"/>
  <c r="D172" i="95"/>
  <c r="C172" i="95"/>
  <c r="E171" i="95"/>
  <c r="D171" i="95"/>
  <c r="C171" i="95"/>
  <c r="E170" i="95"/>
  <c r="D170" i="95"/>
  <c r="C170" i="95"/>
  <c r="E169" i="95"/>
  <c r="D169" i="95"/>
  <c r="C169" i="95"/>
  <c r="E165" i="95"/>
  <c r="D165" i="95"/>
  <c r="C165" i="95"/>
  <c r="E164" i="95"/>
  <c r="D164" i="95"/>
  <c r="C164" i="95"/>
  <c r="E163" i="95"/>
  <c r="D163" i="95"/>
  <c r="C163" i="95"/>
  <c r="E162" i="95"/>
  <c r="D162" i="95"/>
  <c r="C162" i="95"/>
  <c r="E161" i="95"/>
  <c r="D161" i="95"/>
  <c r="C161" i="95"/>
  <c r="E160" i="95"/>
  <c r="D160" i="95"/>
  <c r="C160" i="95"/>
  <c r="E158" i="95"/>
  <c r="D158" i="95"/>
  <c r="C158" i="95"/>
  <c r="E157" i="95"/>
  <c r="D157" i="95"/>
  <c r="C157" i="95"/>
  <c r="E156" i="95"/>
  <c r="D156" i="95"/>
  <c r="C156" i="95"/>
  <c r="E155" i="95"/>
  <c r="D155" i="95"/>
  <c r="C155" i="95"/>
  <c r="E154" i="95"/>
  <c r="D154" i="95"/>
  <c r="C154" i="95"/>
  <c r="E153" i="95"/>
  <c r="D153" i="95"/>
  <c r="C153" i="95"/>
  <c r="E152" i="95"/>
  <c r="D152" i="95"/>
  <c r="C152" i="95"/>
  <c r="E151" i="95"/>
  <c r="D151" i="95"/>
  <c r="C151" i="95"/>
  <c r="E150" i="95"/>
  <c r="D150" i="95"/>
  <c r="C150" i="95"/>
  <c r="E148" i="95"/>
  <c r="D148" i="95"/>
  <c r="C148" i="95"/>
  <c r="E147" i="95"/>
  <c r="D147" i="95"/>
  <c r="C147" i="95"/>
  <c r="E146" i="95"/>
  <c r="D146" i="95"/>
  <c r="C146" i="95"/>
  <c r="E145" i="95"/>
  <c r="D145" i="95"/>
  <c r="C145" i="95"/>
  <c r="E143" i="95"/>
  <c r="D143" i="95"/>
  <c r="C143" i="95"/>
  <c r="E142" i="95"/>
  <c r="D142" i="95"/>
  <c r="C142" i="95"/>
  <c r="E141" i="95"/>
  <c r="D141" i="95"/>
  <c r="C141" i="95"/>
  <c r="E140" i="95"/>
  <c r="D140" i="95"/>
  <c r="C140" i="95"/>
  <c r="E138" i="95"/>
  <c r="D138" i="95"/>
  <c r="C138" i="95"/>
  <c r="E137" i="95"/>
  <c r="D137" i="95"/>
  <c r="C137" i="95"/>
  <c r="E136" i="95"/>
  <c r="D136" i="95"/>
  <c r="C136" i="95"/>
  <c r="E135" i="95"/>
  <c r="D135" i="95"/>
  <c r="C135" i="95"/>
  <c r="E134" i="95"/>
  <c r="D134" i="95"/>
  <c r="C134" i="95"/>
  <c r="E132" i="95"/>
  <c r="D132" i="95"/>
  <c r="C132" i="95"/>
  <c r="E131" i="95"/>
  <c r="D131" i="95"/>
  <c r="C131" i="95"/>
  <c r="E130" i="95"/>
  <c r="D130" i="95"/>
  <c r="C130" i="95"/>
  <c r="E129" i="95"/>
  <c r="D129" i="95"/>
  <c r="C129" i="95"/>
  <c r="E128" i="95"/>
  <c r="D128" i="95"/>
  <c r="C128" i="95"/>
  <c r="E123" i="95"/>
  <c r="D123" i="95"/>
  <c r="C123" i="95"/>
  <c r="E122" i="95"/>
  <c r="D122" i="95"/>
  <c r="C122" i="95"/>
  <c r="E121" i="95"/>
  <c r="D121" i="95"/>
  <c r="C121" i="95"/>
  <c r="E120" i="95"/>
  <c r="D120" i="95"/>
  <c r="C120" i="95"/>
  <c r="E119" i="95"/>
  <c r="D119" i="95"/>
  <c r="C119" i="95"/>
  <c r="E115" i="95"/>
  <c r="D115" i="95"/>
  <c r="C115" i="95"/>
  <c r="E114" i="95"/>
  <c r="D114" i="95"/>
  <c r="C114" i="95"/>
  <c r="E113" i="95"/>
  <c r="D113" i="95"/>
  <c r="C113" i="95"/>
  <c r="E112" i="95"/>
  <c r="D112" i="95"/>
  <c r="C112" i="95"/>
  <c r="E111" i="95"/>
  <c r="D111" i="95"/>
  <c r="C111" i="95"/>
  <c r="E110" i="95"/>
  <c r="D110" i="95"/>
  <c r="C110" i="95"/>
  <c r="E106" i="95"/>
  <c r="D106" i="95"/>
  <c r="C106" i="95"/>
  <c r="E105" i="95"/>
  <c r="D105" i="95"/>
  <c r="C105" i="95"/>
  <c r="E104" i="95"/>
  <c r="D104" i="95"/>
  <c r="C104" i="95"/>
  <c r="E103" i="95"/>
  <c r="D103" i="95"/>
  <c r="C103" i="95"/>
  <c r="E102" i="95"/>
  <c r="D102" i="95"/>
  <c r="C102" i="95"/>
  <c r="E101" i="95"/>
  <c r="D101" i="95"/>
  <c r="C101" i="95"/>
  <c r="E97" i="95"/>
  <c r="D97" i="95"/>
  <c r="C97" i="95"/>
  <c r="E96" i="95"/>
  <c r="D96" i="95"/>
  <c r="C96" i="95"/>
  <c r="E95" i="95"/>
  <c r="D95" i="95"/>
  <c r="C95" i="95"/>
  <c r="E94" i="95"/>
  <c r="D94" i="95"/>
  <c r="C94" i="95"/>
  <c r="E93" i="95"/>
  <c r="D93" i="95"/>
  <c r="C93" i="95"/>
  <c r="E92" i="95"/>
  <c r="D92" i="95"/>
  <c r="C92" i="95"/>
  <c r="E91" i="95"/>
  <c r="D91" i="95"/>
  <c r="C91" i="95"/>
  <c r="E90" i="95"/>
  <c r="D90" i="95"/>
  <c r="C90" i="95"/>
  <c r="E89" i="95"/>
  <c r="D89" i="95"/>
  <c r="C89" i="95"/>
  <c r="E88" i="95"/>
  <c r="D88" i="95"/>
  <c r="C88" i="95"/>
  <c r="E87" i="95"/>
  <c r="D87" i="95"/>
  <c r="C87" i="95"/>
  <c r="E83" i="95"/>
  <c r="D83" i="95"/>
  <c r="C83" i="95"/>
  <c r="E82" i="95"/>
  <c r="D82" i="95"/>
  <c r="C82" i="95"/>
  <c r="E81" i="95"/>
  <c r="D81" i="95"/>
  <c r="C81" i="95"/>
  <c r="E80" i="95"/>
  <c r="D80" i="95"/>
  <c r="C80" i="95"/>
  <c r="E79" i="95"/>
  <c r="D79" i="95"/>
  <c r="C79" i="95"/>
  <c r="E78" i="95"/>
  <c r="D78" i="95"/>
  <c r="C78" i="95"/>
  <c r="E77" i="95"/>
  <c r="D77" i="95"/>
  <c r="C77" i="95"/>
  <c r="E76" i="95"/>
  <c r="D76" i="95"/>
  <c r="C76" i="95"/>
  <c r="E75" i="95"/>
  <c r="D75" i="95"/>
  <c r="C75" i="95"/>
  <c r="E74" i="95"/>
  <c r="D74" i="95"/>
  <c r="C74" i="95"/>
  <c r="E73" i="95"/>
  <c r="D73" i="95"/>
  <c r="C73" i="95"/>
  <c r="E72" i="95"/>
  <c r="D72" i="95"/>
  <c r="C72" i="95"/>
  <c r="E71" i="95"/>
  <c r="D71" i="95"/>
  <c r="C71" i="95"/>
  <c r="E70" i="95"/>
  <c r="D70" i="95"/>
  <c r="C70" i="95"/>
  <c r="E69" i="95"/>
  <c r="D69" i="95"/>
  <c r="C69" i="95"/>
  <c r="E65" i="95"/>
  <c r="D65" i="95"/>
  <c r="C65" i="95"/>
  <c r="E64" i="95"/>
  <c r="D64" i="95"/>
  <c r="C64" i="95"/>
  <c r="E63" i="95"/>
  <c r="D63" i="95"/>
  <c r="C63" i="95"/>
  <c r="E62" i="95"/>
  <c r="D62" i="95"/>
  <c r="C62" i="95"/>
  <c r="E61" i="95"/>
  <c r="D61" i="95"/>
  <c r="C61" i="95"/>
  <c r="E60" i="95"/>
  <c r="D60" i="95"/>
  <c r="C60" i="95"/>
  <c r="E59" i="95"/>
  <c r="D59" i="95"/>
  <c r="C59" i="95"/>
  <c r="E58" i="95"/>
  <c r="D58" i="95"/>
  <c r="C58" i="95"/>
  <c r="E57" i="95"/>
  <c r="D57" i="95"/>
  <c r="C57" i="95"/>
  <c r="E56" i="95"/>
  <c r="D56" i="95"/>
  <c r="C56" i="95"/>
  <c r="E55" i="95"/>
  <c r="D55" i="95"/>
  <c r="C55" i="95"/>
  <c r="E54" i="95"/>
  <c r="D54" i="95"/>
  <c r="C54" i="95"/>
  <c r="E53" i="95"/>
  <c r="D53" i="95"/>
  <c r="C53" i="95"/>
  <c r="E52" i="95"/>
  <c r="D52" i="95"/>
  <c r="C52" i="95"/>
  <c r="E51" i="95"/>
  <c r="D51" i="95"/>
  <c r="C51" i="95"/>
  <c r="E50" i="95"/>
  <c r="D50" i="95"/>
  <c r="C50" i="95"/>
  <c r="E49" i="95"/>
  <c r="D49" i="95"/>
  <c r="C49" i="95"/>
  <c r="E48" i="95"/>
  <c r="D48" i="95"/>
  <c r="C48" i="95"/>
  <c r="E47" i="95"/>
  <c r="D47" i="95"/>
  <c r="C47" i="95"/>
  <c r="E46" i="95"/>
  <c r="D46" i="95"/>
  <c r="C46" i="95"/>
  <c r="E45" i="95"/>
  <c r="D45" i="95"/>
  <c r="C45" i="95"/>
  <c r="E44" i="95"/>
  <c r="D44" i="95"/>
  <c r="C44" i="95"/>
  <c r="E43" i="95"/>
  <c r="D43" i="95"/>
  <c r="C43" i="95"/>
  <c r="E42" i="95"/>
  <c r="D42" i="95"/>
  <c r="C42" i="95"/>
  <c r="E41" i="95"/>
  <c r="D41" i="95"/>
  <c r="C41" i="95"/>
  <c r="E40" i="95"/>
  <c r="D40" i="95"/>
  <c r="C40" i="95"/>
  <c r="E39" i="95"/>
  <c r="D39" i="95"/>
  <c r="C39" i="95"/>
  <c r="E38" i="95"/>
  <c r="D38" i="95"/>
  <c r="C38" i="95"/>
  <c r="E37" i="95"/>
  <c r="D37" i="95"/>
  <c r="C37" i="95"/>
  <c r="E36" i="95"/>
  <c r="D36" i="95"/>
  <c r="C36" i="95"/>
  <c r="E35" i="95"/>
  <c r="D35" i="95"/>
  <c r="C35" i="95"/>
  <c r="E34" i="95"/>
  <c r="D34" i="95"/>
  <c r="C34" i="95"/>
  <c r="E33" i="95"/>
  <c r="D33" i="95"/>
  <c r="C33" i="95"/>
  <c r="E32" i="95"/>
  <c r="D32" i="95"/>
  <c r="C32" i="95"/>
  <c r="E31" i="95"/>
  <c r="D31" i="95"/>
  <c r="C31" i="95"/>
  <c r="E30" i="95"/>
  <c r="D30" i="95"/>
  <c r="C30" i="95"/>
  <c r="D25" i="95"/>
  <c r="C25" i="95"/>
  <c r="D24" i="95"/>
  <c r="C24" i="95"/>
  <c r="D23" i="95"/>
  <c r="C23" i="95"/>
  <c r="D22" i="95"/>
  <c r="C22" i="95"/>
  <c r="D21" i="95"/>
  <c r="C21" i="95"/>
  <c r="D20" i="95"/>
  <c r="C20" i="95"/>
  <c r="D19" i="95"/>
  <c r="C19" i="95"/>
  <c r="C18" i="95"/>
  <c r="D17" i="95"/>
  <c r="C17" i="95"/>
  <c r="D16" i="95"/>
  <c r="C16" i="95"/>
  <c r="D15" i="95"/>
  <c r="C15" i="95"/>
  <c r="D14" i="95"/>
  <c r="C14" i="95"/>
  <c r="D13" i="95"/>
  <c r="C13" i="95"/>
  <c r="D12" i="95"/>
  <c r="C12" i="95"/>
  <c r="C4" i="95"/>
  <c r="C3" i="95"/>
  <c r="F12" i="95" l="1"/>
  <c r="I12" i="95" s="1"/>
  <c r="D26" i="95"/>
  <c r="C26" i="95"/>
  <c r="C98" i="95"/>
  <c r="D98" i="95"/>
  <c r="C166" i="95"/>
  <c r="D166" i="95"/>
  <c r="C238" i="95"/>
  <c r="E84" i="95"/>
  <c r="C107" i="95"/>
  <c r="D107" i="95"/>
  <c r="E107" i="95"/>
  <c r="E116" i="95"/>
  <c r="C124" i="95"/>
  <c r="D124" i="95"/>
  <c r="E202" i="95"/>
  <c r="E98" i="95"/>
  <c r="C116" i="95"/>
  <c r="D116" i="95"/>
  <c r="E166" i="95"/>
  <c r="C211" i="95"/>
  <c r="D211" i="95"/>
  <c r="E211" i="95"/>
  <c r="C233" i="95"/>
  <c r="C84" i="95"/>
  <c r="D84" i="95"/>
  <c r="E124" i="95"/>
  <c r="C202" i="95"/>
  <c r="D202" i="95"/>
  <c r="C66" i="95"/>
  <c r="D66" i="95"/>
  <c r="E66" i="95"/>
  <c r="E213" i="95" l="1"/>
  <c r="E220" i="95" s="1"/>
  <c r="D213" i="95"/>
  <c r="D220" i="95" s="1"/>
  <c r="C213" i="95"/>
  <c r="C220" i="95" s="1"/>
  <c r="C217" i="95" l="1"/>
  <c r="D18" i="50"/>
  <c r="I249" i="50"/>
  <c r="I248" i="50"/>
  <c r="I247" i="50"/>
  <c r="I246" i="50"/>
  <c r="C243" i="50"/>
  <c r="C242" i="50"/>
  <c r="C241" i="50"/>
  <c r="C240" i="50"/>
  <c r="C237" i="50"/>
  <c r="C236" i="50"/>
  <c r="E233" i="50"/>
  <c r="D233" i="50"/>
  <c r="C232" i="50"/>
  <c r="C231" i="50"/>
  <c r="C230" i="50"/>
  <c r="C229" i="50"/>
  <c r="C228" i="50"/>
  <c r="C227" i="50"/>
  <c r="C226" i="50"/>
  <c r="C225" i="50"/>
  <c r="C224" i="50"/>
  <c r="C216" i="50"/>
  <c r="E210" i="50"/>
  <c r="D210" i="50"/>
  <c r="C210" i="50"/>
  <c r="E209" i="50"/>
  <c r="D209" i="50"/>
  <c r="C209" i="50"/>
  <c r="E208" i="50"/>
  <c r="D208" i="50"/>
  <c r="C208" i="50"/>
  <c r="E207" i="50"/>
  <c r="D207" i="50"/>
  <c r="C207" i="50"/>
  <c r="E206" i="50"/>
  <c r="D206" i="50"/>
  <c r="C206" i="50"/>
  <c r="E205" i="50"/>
  <c r="D205" i="50"/>
  <c r="C205" i="50"/>
  <c r="E201" i="50"/>
  <c r="D201" i="50"/>
  <c r="C201" i="50"/>
  <c r="E200" i="50"/>
  <c r="D200" i="50"/>
  <c r="C200" i="50"/>
  <c r="E199" i="50"/>
  <c r="D199" i="50"/>
  <c r="C199" i="50"/>
  <c r="E198" i="50"/>
  <c r="D198" i="50"/>
  <c r="C198" i="50"/>
  <c r="E197" i="50"/>
  <c r="D197" i="50"/>
  <c r="C197" i="50"/>
  <c r="E196" i="50"/>
  <c r="D196" i="50"/>
  <c r="C196" i="50"/>
  <c r="E195" i="50"/>
  <c r="D195" i="50"/>
  <c r="C195" i="50"/>
  <c r="E194" i="50"/>
  <c r="D194" i="50"/>
  <c r="C194" i="50"/>
  <c r="E193" i="50"/>
  <c r="D193" i="50"/>
  <c r="C193" i="50"/>
  <c r="E192" i="50"/>
  <c r="D192" i="50"/>
  <c r="C192" i="50"/>
  <c r="E191" i="50"/>
  <c r="D191" i="50"/>
  <c r="C191" i="50"/>
  <c r="E190" i="50"/>
  <c r="D190" i="50"/>
  <c r="C190" i="50"/>
  <c r="E189" i="50"/>
  <c r="D189" i="50"/>
  <c r="C189" i="50"/>
  <c r="E188" i="50"/>
  <c r="D188" i="50"/>
  <c r="C188" i="50"/>
  <c r="E187" i="50"/>
  <c r="D187" i="50"/>
  <c r="C187" i="50"/>
  <c r="E186" i="50"/>
  <c r="D186" i="50"/>
  <c r="C186" i="50"/>
  <c r="E185" i="50"/>
  <c r="D185" i="50"/>
  <c r="C185" i="50"/>
  <c r="E184" i="50"/>
  <c r="D184" i="50"/>
  <c r="C184" i="50"/>
  <c r="E183" i="50"/>
  <c r="D183" i="50"/>
  <c r="C183" i="50"/>
  <c r="E182" i="50"/>
  <c r="D182" i="50"/>
  <c r="C182" i="50"/>
  <c r="E181" i="50"/>
  <c r="D181" i="50"/>
  <c r="C181" i="50"/>
  <c r="E180" i="50"/>
  <c r="D180" i="50"/>
  <c r="C180" i="50"/>
  <c r="E179" i="50"/>
  <c r="D179" i="50"/>
  <c r="C179" i="50"/>
  <c r="E178" i="50"/>
  <c r="D178" i="50"/>
  <c r="C178" i="50"/>
  <c r="E177" i="50"/>
  <c r="D177" i="50"/>
  <c r="C177" i="50"/>
  <c r="E176" i="50"/>
  <c r="D176" i="50"/>
  <c r="C176" i="50"/>
  <c r="E175" i="50"/>
  <c r="D175" i="50"/>
  <c r="C175" i="50"/>
  <c r="E174" i="50"/>
  <c r="D174" i="50"/>
  <c r="C174" i="50"/>
  <c r="E173" i="50"/>
  <c r="D173" i="50"/>
  <c r="C173" i="50"/>
  <c r="E172" i="50"/>
  <c r="D172" i="50"/>
  <c r="C172" i="50"/>
  <c r="E171" i="50"/>
  <c r="D171" i="50"/>
  <c r="C171" i="50"/>
  <c r="E170" i="50"/>
  <c r="D170" i="50"/>
  <c r="C170" i="50"/>
  <c r="E169" i="50"/>
  <c r="D169" i="50"/>
  <c r="C169" i="50"/>
  <c r="E165" i="50"/>
  <c r="D165" i="50"/>
  <c r="C165" i="50"/>
  <c r="E164" i="50"/>
  <c r="D164" i="50"/>
  <c r="C164" i="50"/>
  <c r="E163" i="50"/>
  <c r="D163" i="50"/>
  <c r="C163" i="50"/>
  <c r="E162" i="50"/>
  <c r="D162" i="50"/>
  <c r="C162" i="50"/>
  <c r="E161" i="50"/>
  <c r="D161" i="50"/>
  <c r="C161" i="50"/>
  <c r="E160" i="50"/>
  <c r="D160" i="50"/>
  <c r="C160" i="50"/>
  <c r="E158" i="50"/>
  <c r="D158" i="50"/>
  <c r="C158" i="50"/>
  <c r="E157" i="50"/>
  <c r="D157" i="50"/>
  <c r="C157" i="50"/>
  <c r="E156" i="50"/>
  <c r="D156" i="50"/>
  <c r="C156" i="50"/>
  <c r="E155" i="50"/>
  <c r="D155" i="50"/>
  <c r="C155" i="50"/>
  <c r="E154" i="50"/>
  <c r="D154" i="50"/>
  <c r="C154" i="50"/>
  <c r="E153" i="50"/>
  <c r="D153" i="50"/>
  <c r="C153" i="50"/>
  <c r="E152" i="50"/>
  <c r="D152" i="50"/>
  <c r="C152" i="50"/>
  <c r="E151" i="50"/>
  <c r="D151" i="50"/>
  <c r="C151" i="50"/>
  <c r="E150" i="50"/>
  <c r="D150" i="50"/>
  <c r="C150" i="50"/>
  <c r="E148" i="50"/>
  <c r="D148" i="50"/>
  <c r="C148" i="50"/>
  <c r="E147" i="50"/>
  <c r="D147" i="50"/>
  <c r="C147" i="50"/>
  <c r="E146" i="50"/>
  <c r="D146" i="50"/>
  <c r="C146" i="50"/>
  <c r="E145" i="50"/>
  <c r="D145" i="50"/>
  <c r="C145" i="50"/>
  <c r="E143" i="50"/>
  <c r="D143" i="50"/>
  <c r="C143" i="50"/>
  <c r="E142" i="50"/>
  <c r="D142" i="50"/>
  <c r="C142" i="50"/>
  <c r="E141" i="50"/>
  <c r="D141" i="50"/>
  <c r="C141" i="50"/>
  <c r="E140" i="50"/>
  <c r="D140" i="50"/>
  <c r="C140" i="50"/>
  <c r="E138" i="50"/>
  <c r="D138" i="50"/>
  <c r="C138" i="50"/>
  <c r="E137" i="50"/>
  <c r="D137" i="50"/>
  <c r="C137" i="50"/>
  <c r="E136" i="50"/>
  <c r="D136" i="50"/>
  <c r="C136" i="50"/>
  <c r="E135" i="50"/>
  <c r="D135" i="50"/>
  <c r="C135" i="50"/>
  <c r="E134" i="50"/>
  <c r="D134" i="50"/>
  <c r="C134" i="50"/>
  <c r="E132" i="50"/>
  <c r="D132" i="50"/>
  <c r="C132" i="50"/>
  <c r="E131" i="50"/>
  <c r="D131" i="50"/>
  <c r="C131" i="50"/>
  <c r="E130" i="50"/>
  <c r="D130" i="50"/>
  <c r="C130" i="50"/>
  <c r="E129" i="50"/>
  <c r="D129" i="50"/>
  <c r="C129" i="50"/>
  <c r="E128" i="50"/>
  <c r="D128" i="50"/>
  <c r="C128" i="50"/>
  <c r="E123" i="50"/>
  <c r="D123" i="50"/>
  <c r="C123" i="50"/>
  <c r="E122" i="50"/>
  <c r="D122" i="50"/>
  <c r="C122" i="50"/>
  <c r="E121" i="50"/>
  <c r="D121" i="50"/>
  <c r="C121" i="50"/>
  <c r="E120" i="50"/>
  <c r="D120" i="50"/>
  <c r="C120" i="50"/>
  <c r="E119" i="50"/>
  <c r="D119" i="50"/>
  <c r="C119" i="50"/>
  <c r="E115" i="50"/>
  <c r="D115" i="50"/>
  <c r="C115" i="50"/>
  <c r="E114" i="50"/>
  <c r="D114" i="50"/>
  <c r="C114" i="50"/>
  <c r="E113" i="50"/>
  <c r="D113" i="50"/>
  <c r="C113" i="50"/>
  <c r="E112" i="50"/>
  <c r="D112" i="50"/>
  <c r="C112" i="50"/>
  <c r="E111" i="50"/>
  <c r="D111" i="50"/>
  <c r="C111" i="50"/>
  <c r="E110" i="50"/>
  <c r="D110" i="50"/>
  <c r="C110" i="50"/>
  <c r="E106" i="50"/>
  <c r="D106" i="50"/>
  <c r="C106" i="50"/>
  <c r="E105" i="50"/>
  <c r="D105" i="50"/>
  <c r="C105" i="50"/>
  <c r="E104" i="50"/>
  <c r="D104" i="50"/>
  <c r="C104" i="50"/>
  <c r="E103" i="50"/>
  <c r="D103" i="50"/>
  <c r="C103" i="50"/>
  <c r="E102" i="50"/>
  <c r="D102" i="50"/>
  <c r="C102" i="50"/>
  <c r="E101" i="50"/>
  <c r="D101" i="50"/>
  <c r="C101" i="50"/>
  <c r="E97" i="50"/>
  <c r="D97" i="50"/>
  <c r="C97" i="50"/>
  <c r="E96" i="50"/>
  <c r="D96" i="50"/>
  <c r="C96" i="50"/>
  <c r="E95" i="50"/>
  <c r="D95" i="50"/>
  <c r="C95" i="50"/>
  <c r="E94" i="50"/>
  <c r="D94" i="50"/>
  <c r="C94" i="50"/>
  <c r="E93" i="50"/>
  <c r="D93" i="50"/>
  <c r="C93" i="50"/>
  <c r="E92" i="50"/>
  <c r="D92" i="50"/>
  <c r="C92" i="50"/>
  <c r="E91" i="50"/>
  <c r="D91" i="50"/>
  <c r="C91" i="50"/>
  <c r="E90" i="50"/>
  <c r="D90" i="50"/>
  <c r="C90" i="50"/>
  <c r="E89" i="50"/>
  <c r="D89" i="50"/>
  <c r="C89" i="50"/>
  <c r="E88" i="50"/>
  <c r="D88" i="50"/>
  <c r="C88" i="50"/>
  <c r="E87" i="50"/>
  <c r="D87" i="50"/>
  <c r="C87" i="50"/>
  <c r="E83" i="50"/>
  <c r="D83" i="50"/>
  <c r="C83" i="50"/>
  <c r="E82" i="50"/>
  <c r="D82" i="50"/>
  <c r="C82" i="50"/>
  <c r="E81" i="50"/>
  <c r="D81" i="50"/>
  <c r="C81" i="50"/>
  <c r="E80" i="50"/>
  <c r="D80" i="50"/>
  <c r="C80" i="50"/>
  <c r="E79" i="50"/>
  <c r="D79" i="50"/>
  <c r="C79" i="50"/>
  <c r="E78" i="50"/>
  <c r="D78" i="50"/>
  <c r="C78" i="50"/>
  <c r="E77" i="50"/>
  <c r="D77" i="50"/>
  <c r="C77" i="50"/>
  <c r="E76" i="50"/>
  <c r="D76" i="50"/>
  <c r="C76" i="50"/>
  <c r="E75" i="50"/>
  <c r="D75" i="50"/>
  <c r="C75" i="50"/>
  <c r="E74" i="50"/>
  <c r="D74" i="50"/>
  <c r="C74" i="50"/>
  <c r="E73" i="50"/>
  <c r="D73" i="50"/>
  <c r="C73" i="50"/>
  <c r="E72" i="50"/>
  <c r="D72" i="50"/>
  <c r="C72" i="50"/>
  <c r="E71" i="50"/>
  <c r="D71" i="50"/>
  <c r="C71" i="50"/>
  <c r="E70" i="50"/>
  <c r="D70" i="50"/>
  <c r="C70" i="50"/>
  <c r="E69" i="50"/>
  <c r="D69" i="50"/>
  <c r="C69" i="50"/>
  <c r="E65" i="50"/>
  <c r="D65" i="50"/>
  <c r="C65" i="50"/>
  <c r="E64" i="50"/>
  <c r="D64" i="50"/>
  <c r="C64" i="50"/>
  <c r="E63" i="50"/>
  <c r="D63" i="50"/>
  <c r="C63" i="50"/>
  <c r="E62" i="50"/>
  <c r="D62" i="50"/>
  <c r="C62" i="50"/>
  <c r="E61" i="50"/>
  <c r="D61" i="50"/>
  <c r="C61" i="50"/>
  <c r="E60" i="50"/>
  <c r="D60" i="50"/>
  <c r="C60" i="50"/>
  <c r="E59" i="50"/>
  <c r="D59" i="50"/>
  <c r="C59" i="50"/>
  <c r="E58" i="50"/>
  <c r="D58" i="50"/>
  <c r="C58" i="50"/>
  <c r="E57" i="50"/>
  <c r="D57" i="50"/>
  <c r="C57" i="50"/>
  <c r="E56" i="50"/>
  <c r="D56" i="50"/>
  <c r="C56" i="50"/>
  <c r="E55" i="50"/>
  <c r="D55" i="50"/>
  <c r="C55" i="50"/>
  <c r="E54" i="50"/>
  <c r="D54" i="50"/>
  <c r="C54" i="50"/>
  <c r="E53" i="50"/>
  <c r="D53" i="50"/>
  <c r="C53" i="50"/>
  <c r="E52" i="50"/>
  <c r="D52" i="50"/>
  <c r="C52" i="50"/>
  <c r="E51" i="50"/>
  <c r="D51" i="50"/>
  <c r="C51" i="50"/>
  <c r="E50" i="50"/>
  <c r="D50" i="50"/>
  <c r="C50" i="50"/>
  <c r="E49" i="50"/>
  <c r="D49" i="50"/>
  <c r="C49" i="50"/>
  <c r="E48" i="50"/>
  <c r="D48" i="50"/>
  <c r="C48" i="50"/>
  <c r="E47" i="50"/>
  <c r="D47" i="50"/>
  <c r="C47" i="50"/>
  <c r="E46" i="50"/>
  <c r="D46" i="50"/>
  <c r="C46" i="50"/>
  <c r="E45" i="50"/>
  <c r="D45" i="50"/>
  <c r="C45" i="50"/>
  <c r="E44" i="50"/>
  <c r="D44" i="50"/>
  <c r="C44" i="50"/>
  <c r="E43" i="50"/>
  <c r="D43" i="50"/>
  <c r="C43" i="50"/>
  <c r="E42" i="50"/>
  <c r="D42" i="50"/>
  <c r="C42" i="50"/>
  <c r="E41" i="50"/>
  <c r="D41" i="50"/>
  <c r="C41" i="50"/>
  <c r="E40" i="50"/>
  <c r="D40" i="50"/>
  <c r="C40" i="50"/>
  <c r="E39" i="50"/>
  <c r="D39" i="50"/>
  <c r="C39" i="50"/>
  <c r="E38" i="50"/>
  <c r="D38" i="50"/>
  <c r="C38" i="50"/>
  <c r="E37" i="50"/>
  <c r="D37" i="50"/>
  <c r="C37" i="50"/>
  <c r="E36" i="50"/>
  <c r="D36" i="50"/>
  <c r="C36" i="50"/>
  <c r="E35" i="50"/>
  <c r="D35" i="50"/>
  <c r="C35" i="50"/>
  <c r="E34" i="50"/>
  <c r="D34" i="50"/>
  <c r="C34" i="50"/>
  <c r="E33" i="50"/>
  <c r="D33" i="50"/>
  <c r="C33" i="50"/>
  <c r="E32" i="50"/>
  <c r="D32" i="50"/>
  <c r="C32" i="50"/>
  <c r="E31" i="50"/>
  <c r="D31" i="50"/>
  <c r="C31" i="50"/>
  <c r="E30" i="50"/>
  <c r="D30" i="50"/>
  <c r="C30" i="50"/>
  <c r="D25" i="50"/>
  <c r="C25" i="50"/>
  <c r="D24" i="50"/>
  <c r="C24" i="50"/>
  <c r="D23" i="50"/>
  <c r="C23" i="50"/>
  <c r="D22" i="50"/>
  <c r="C22" i="50"/>
  <c r="D21" i="50"/>
  <c r="C21" i="50"/>
  <c r="D20" i="50"/>
  <c r="C20" i="50"/>
  <c r="D19" i="50"/>
  <c r="C19" i="50"/>
  <c r="C18" i="50"/>
  <c r="D17" i="50"/>
  <c r="C17" i="50"/>
  <c r="D16" i="50"/>
  <c r="C16" i="50"/>
  <c r="C26" i="50" s="1"/>
  <c r="D15" i="50"/>
  <c r="C15" i="50"/>
  <c r="D14" i="50"/>
  <c r="C14" i="50"/>
  <c r="D13" i="50"/>
  <c r="C13" i="50"/>
  <c r="D12" i="50"/>
  <c r="C12" i="50"/>
  <c r="F12" i="50" s="1"/>
  <c r="I12" i="50" s="1"/>
  <c r="C4" i="50"/>
  <c r="C3" i="50"/>
  <c r="D84" i="50" l="1"/>
  <c r="C98" i="50"/>
  <c r="C124" i="50"/>
  <c r="C166" i="50"/>
  <c r="D166" i="50"/>
  <c r="D26" i="50"/>
  <c r="C238" i="50"/>
  <c r="C107" i="50"/>
  <c r="D124" i="50"/>
  <c r="E166" i="50"/>
  <c r="E202" i="50"/>
  <c r="C233" i="50"/>
  <c r="E84" i="50"/>
  <c r="D98" i="50"/>
  <c r="E98" i="50"/>
  <c r="D107" i="50"/>
  <c r="D116" i="50"/>
  <c r="C202" i="50"/>
  <c r="C211" i="50"/>
  <c r="E211" i="50"/>
  <c r="E107" i="50"/>
  <c r="C84" i="50"/>
  <c r="C116" i="50"/>
  <c r="E116" i="50"/>
  <c r="E124" i="50"/>
  <c r="D202" i="50"/>
  <c r="D211" i="50"/>
  <c r="C66" i="50"/>
  <c r="D66" i="50"/>
  <c r="E66" i="50"/>
  <c r="D213" i="50" l="1"/>
  <c r="D220" i="50" s="1"/>
  <c r="C213" i="50"/>
  <c r="C220" i="50" s="1"/>
  <c r="E213" i="50"/>
  <c r="E220" i="50" s="1"/>
  <c r="C217" i="50" l="1"/>
  <c r="I249" i="1"/>
  <c r="I248" i="1"/>
  <c r="I247" i="1"/>
  <c r="I246" i="1"/>
  <c r="C243" i="1"/>
  <c r="C242" i="1"/>
  <c r="C241" i="1"/>
  <c r="C240" i="1"/>
  <c r="C237" i="1"/>
  <c r="C236" i="1"/>
  <c r="E233" i="1"/>
  <c r="D233" i="1"/>
  <c r="C232" i="1"/>
  <c r="C231" i="1"/>
  <c r="C230" i="1"/>
  <c r="C229" i="1"/>
  <c r="C228" i="1"/>
  <c r="C227" i="1"/>
  <c r="C226" i="1"/>
  <c r="C225" i="1"/>
  <c r="C224" i="1"/>
  <c r="C216" i="1"/>
  <c r="E210" i="1"/>
  <c r="D210" i="1"/>
  <c r="C210" i="1"/>
  <c r="E209" i="1"/>
  <c r="D209" i="1"/>
  <c r="C209" i="1"/>
  <c r="E208" i="1"/>
  <c r="D208" i="1"/>
  <c r="C208" i="1"/>
  <c r="E207" i="1"/>
  <c r="D207" i="1"/>
  <c r="C207" i="1"/>
  <c r="E206" i="1"/>
  <c r="D206" i="1"/>
  <c r="C206" i="1"/>
  <c r="E205" i="1"/>
  <c r="D205" i="1"/>
  <c r="C205" i="1"/>
  <c r="E201" i="1"/>
  <c r="D201" i="1"/>
  <c r="C201" i="1"/>
  <c r="E200" i="1"/>
  <c r="D200" i="1"/>
  <c r="C200" i="1"/>
  <c r="E199" i="1"/>
  <c r="D199" i="1"/>
  <c r="C199" i="1"/>
  <c r="E198" i="1"/>
  <c r="D198" i="1"/>
  <c r="C198" i="1"/>
  <c r="E197" i="1"/>
  <c r="D197" i="1"/>
  <c r="C197" i="1"/>
  <c r="E196" i="1"/>
  <c r="D196" i="1"/>
  <c r="C196" i="1"/>
  <c r="E195" i="1"/>
  <c r="D195" i="1"/>
  <c r="C195" i="1"/>
  <c r="E194" i="1"/>
  <c r="D194" i="1"/>
  <c r="C194" i="1"/>
  <c r="E193" i="1"/>
  <c r="D193" i="1"/>
  <c r="C193" i="1"/>
  <c r="E192" i="1"/>
  <c r="D192" i="1"/>
  <c r="C192" i="1"/>
  <c r="E191" i="1"/>
  <c r="D191" i="1"/>
  <c r="C191" i="1"/>
  <c r="E190" i="1"/>
  <c r="D190" i="1"/>
  <c r="C190" i="1"/>
  <c r="E189" i="1"/>
  <c r="D189" i="1"/>
  <c r="C189" i="1"/>
  <c r="E188" i="1"/>
  <c r="D188" i="1"/>
  <c r="C188" i="1"/>
  <c r="E187" i="1"/>
  <c r="D187" i="1"/>
  <c r="C187" i="1"/>
  <c r="E186" i="1"/>
  <c r="D186" i="1"/>
  <c r="C186" i="1"/>
  <c r="E185" i="1"/>
  <c r="D185" i="1"/>
  <c r="C185" i="1"/>
  <c r="E184" i="1"/>
  <c r="D184" i="1"/>
  <c r="C184" i="1"/>
  <c r="E183" i="1"/>
  <c r="D183" i="1"/>
  <c r="C183" i="1"/>
  <c r="E182" i="1"/>
  <c r="D182" i="1"/>
  <c r="C182" i="1"/>
  <c r="E181" i="1"/>
  <c r="D181" i="1"/>
  <c r="C181" i="1"/>
  <c r="E180" i="1"/>
  <c r="D180" i="1"/>
  <c r="C180" i="1"/>
  <c r="E179" i="1"/>
  <c r="D179" i="1"/>
  <c r="C179" i="1"/>
  <c r="E178" i="1"/>
  <c r="D178" i="1"/>
  <c r="C178" i="1"/>
  <c r="E177" i="1"/>
  <c r="D177" i="1"/>
  <c r="C177" i="1"/>
  <c r="E176" i="1"/>
  <c r="D176" i="1"/>
  <c r="C176" i="1"/>
  <c r="E175" i="1"/>
  <c r="D175" i="1"/>
  <c r="C175" i="1"/>
  <c r="E174" i="1"/>
  <c r="D174" i="1"/>
  <c r="C174" i="1"/>
  <c r="E173" i="1"/>
  <c r="D173" i="1"/>
  <c r="C173" i="1"/>
  <c r="E172" i="1"/>
  <c r="D172" i="1"/>
  <c r="C172" i="1"/>
  <c r="E171" i="1"/>
  <c r="D171" i="1"/>
  <c r="C171" i="1"/>
  <c r="E170" i="1"/>
  <c r="D170" i="1"/>
  <c r="C170" i="1"/>
  <c r="E169" i="1"/>
  <c r="D169" i="1"/>
  <c r="C169" i="1"/>
  <c r="E165" i="1"/>
  <c r="D165" i="1"/>
  <c r="C165" i="1"/>
  <c r="E164" i="1"/>
  <c r="D164" i="1"/>
  <c r="C164" i="1"/>
  <c r="E163" i="1"/>
  <c r="D163" i="1"/>
  <c r="C163" i="1"/>
  <c r="E162" i="1"/>
  <c r="D162" i="1"/>
  <c r="C162" i="1"/>
  <c r="E161" i="1"/>
  <c r="D161" i="1"/>
  <c r="C161" i="1"/>
  <c r="E160" i="1"/>
  <c r="D160" i="1"/>
  <c r="C160" i="1"/>
  <c r="E158" i="1"/>
  <c r="D158" i="1"/>
  <c r="C158" i="1"/>
  <c r="E157" i="1"/>
  <c r="D157" i="1"/>
  <c r="C157" i="1"/>
  <c r="E156" i="1"/>
  <c r="D156" i="1"/>
  <c r="C156" i="1"/>
  <c r="E155" i="1"/>
  <c r="D155" i="1"/>
  <c r="C155" i="1"/>
  <c r="E154" i="1"/>
  <c r="D154" i="1"/>
  <c r="C154" i="1"/>
  <c r="E153" i="1"/>
  <c r="D153" i="1"/>
  <c r="C153" i="1"/>
  <c r="E152" i="1"/>
  <c r="D152" i="1"/>
  <c r="C152" i="1"/>
  <c r="E151" i="1"/>
  <c r="D151" i="1"/>
  <c r="C151" i="1"/>
  <c r="E150" i="1"/>
  <c r="D150" i="1"/>
  <c r="C150" i="1"/>
  <c r="E148" i="1"/>
  <c r="D148" i="1"/>
  <c r="C148" i="1"/>
  <c r="E147" i="1"/>
  <c r="D147" i="1"/>
  <c r="C147" i="1"/>
  <c r="E146" i="1"/>
  <c r="D146" i="1"/>
  <c r="C146" i="1"/>
  <c r="E145" i="1"/>
  <c r="D145" i="1"/>
  <c r="C145" i="1"/>
  <c r="E143" i="1"/>
  <c r="D143" i="1"/>
  <c r="C143" i="1"/>
  <c r="E142" i="1"/>
  <c r="D142" i="1"/>
  <c r="C142" i="1"/>
  <c r="E141" i="1"/>
  <c r="D141" i="1"/>
  <c r="C141" i="1"/>
  <c r="E140" i="1"/>
  <c r="D140" i="1"/>
  <c r="C140" i="1"/>
  <c r="E138" i="1"/>
  <c r="D138" i="1"/>
  <c r="C138" i="1"/>
  <c r="E137" i="1"/>
  <c r="D137" i="1"/>
  <c r="C137" i="1"/>
  <c r="E136" i="1"/>
  <c r="D136" i="1"/>
  <c r="C136" i="1"/>
  <c r="E135" i="1"/>
  <c r="D135" i="1"/>
  <c r="C135" i="1"/>
  <c r="E134" i="1"/>
  <c r="D134" i="1"/>
  <c r="C134" i="1"/>
  <c r="E132" i="1"/>
  <c r="D132" i="1"/>
  <c r="C132" i="1"/>
  <c r="E131" i="1"/>
  <c r="D131" i="1"/>
  <c r="C131" i="1"/>
  <c r="E130" i="1"/>
  <c r="D130" i="1"/>
  <c r="C130" i="1"/>
  <c r="E129" i="1"/>
  <c r="D129" i="1"/>
  <c r="C129" i="1"/>
  <c r="E128" i="1"/>
  <c r="D128" i="1"/>
  <c r="C128" i="1"/>
  <c r="E123" i="1"/>
  <c r="D123" i="1"/>
  <c r="C123" i="1"/>
  <c r="E122" i="1"/>
  <c r="D122" i="1"/>
  <c r="C122" i="1"/>
  <c r="E121" i="1"/>
  <c r="D121" i="1"/>
  <c r="C121" i="1"/>
  <c r="E120" i="1"/>
  <c r="D120" i="1"/>
  <c r="C120" i="1"/>
  <c r="E119" i="1"/>
  <c r="D119" i="1"/>
  <c r="C119" i="1"/>
  <c r="E115" i="1"/>
  <c r="D115" i="1"/>
  <c r="C115" i="1"/>
  <c r="E114" i="1"/>
  <c r="D114" i="1"/>
  <c r="C114" i="1"/>
  <c r="E113" i="1"/>
  <c r="D113" i="1"/>
  <c r="C113" i="1"/>
  <c r="E112" i="1"/>
  <c r="D112" i="1"/>
  <c r="C112" i="1"/>
  <c r="E111" i="1"/>
  <c r="D111" i="1"/>
  <c r="C111" i="1"/>
  <c r="E110" i="1"/>
  <c r="D110" i="1"/>
  <c r="C110" i="1"/>
  <c r="E106" i="1"/>
  <c r="D106" i="1"/>
  <c r="C106" i="1"/>
  <c r="E105" i="1"/>
  <c r="D105" i="1"/>
  <c r="C105" i="1"/>
  <c r="E104" i="1"/>
  <c r="D104" i="1"/>
  <c r="C104" i="1"/>
  <c r="E103" i="1"/>
  <c r="D103" i="1"/>
  <c r="C103" i="1"/>
  <c r="E102" i="1"/>
  <c r="D102" i="1"/>
  <c r="C102" i="1"/>
  <c r="E101" i="1"/>
  <c r="D101" i="1"/>
  <c r="C101" i="1"/>
  <c r="E97" i="1"/>
  <c r="D97" i="1"/>
  <c r="C97" i="1"/>
  <c r="E96" i="1"/>
  <c r="D96" i="1"/>
  <c r="C96" i="1"/>
  <c r="E95" i="1"/>
  <c r="D95" i="1"/>
  <c r="C95" i="1"/>
  <c r="E94" i="1"/>
  <c r="D94" i="1"/>
  <c r="C94" i="1"/>
  <c r="E93" i="1"/>
  <c r="D93" i="1"/>
  <c r="C93" i="1"/>
  <c r="E92" i="1"/>
  <c r="D92" i="1"/>
  <c r="C92" i="1"/>
  <c r="E91" i="1"/>
  <c r="D91" i="1"/>
  <c r="C91" i="1"/>
  <c r="E90" i="1"/>
  <c r="D90" i="1"/>
  <c r="C90" i="1"/>
  <c r="E89" i="1"/>
  <c r="D89" i="1"/>
  <c r="C89" i="1"/>
  <c r="E88" i="1"/>
  <c r="D88" i="1"/>
  <c r="C88" i="1"/>
  <c r="E87" i="1"/>
  <c r="D87" i="1"/>
  <c r="C87" i="1"/>
  <c r="E83" i="1"/>
  <c r="D83" i="1"/>
  <c r="C83" i="1"/>
  <c r="E82" i="1"/>
  <c r="D82" i="1"/>
  <c r="C82" i="1"/>
  <c r="E81" i="1"/>
  <c r="D81" i="1"/>
  <c r="C81" i="1"/>
  <c r="E80" i="1"/>
  <c r="D80" i="1"/>
  <c r="C80" i="1"/>
  <c r="E79" i="1"/>
  <c r="D79" i="1"/>
  <c r="C79" i="1"/>
  <c r="E78" i="1"/>
  <c r="D78" i="1"/>
  <c r="C78" i="1"/>
  <c r="E77" i="1"/>
  <c r="D77" i="1"/>
  <c r="C77" i="1"/>
  <c r="E76" i="1"/>
  <c r="D76" i="1"/>
  <c r="C76" i="1"/>
  <c r="E75" i="1"/>
  <c r="D75" i="1"/>
  <c r="C75" i="1"/>
  <c r="E74" i="1"/>
  <c r="D74" i="1"/>
  <c r="C74" i="1"/>
  <c r="E73" i="1"/>
  <c r="D73" i="1"/>
  <c r="C73" i="1"/>
  <c r="E72" i="1"/>
  <c r="D72" i="1"/>
  <c r="C72" i="1"/>
  <c r="E71" i="1"/>
  <c r="D71" i="1"/>
  <c r="C71" i="1"/>
  <c r="E70" i="1"/>
  <c r="D70" i="1"/>
  <c r="C70" i="1"/>
  <c r="E69" i="1"/>
  <c r="D69" i="1"/>
  <c r="C69" i="1"/>
  <c r="E65" i="1"/>
  <c r="D65" i="1"/>
  <c r="C65" i="1"/>
  <c r="E64" i="1"/>
  <c r="D64" i="1"/>
  <c r="C64" i="1"/>
  <c r="E63" i="1"/>
  <c r="D63" i="1"/>
  <c r="C63" i="1"/>
  <c r="E62" i="1"/>
  <c r="D62" i="1"/>
  <c r="C62" i="1"/>
  <c r="E61" i="1"/>
  <c r="D61" i="1"/>
  <c r="C61" i="1"/>
  <c r="E60" i="1"/>
  <c r="D60" i="1"/>
  <c r="C60" i="1"/>
  <c r="E59" i="1"/>
  <c r="D59" i="1"/>
  <c r="C59" i="1"/>
  <c r="E58" i="1"/>
  <c r="D58" i="1"/>
  <c r="C58" i="1"/>
  <c r="E57" i="1"/>
  <c r="D57" i="1"/>
  <c r="C57" i="1"/>
  <c r="E56" i="1"/>
  <c r="D56" i="1"/>
  <c r="C56" i="1"/>
  <c r="E55" i="1"/>
  <c r="D55" i="1"/>
  <c r="C55" i="1"/>
  <c r="E54" i="1"/>
  <c r="D54" i="1"/>
  <c r="C54" i="1"/>
  <c r="E53" i="1"/>
  <c r="D53" i="1"/>
  <c r="C53" i="1"/>
  <c r="E52" i="1"/>
  <c r="D52" i="1"/>
  <c r="C52" i="1"/>
  <c r="E51" i="1"/>
  <c r="D51" i="1"/>
  <c r="C51" i="1"/>
  <c r="E50" i="1"/>
  <c r="D50" i="1"/>
  <c r="C50" i="1"/>
  <c r="E49" i="1"/>
  <c r="D49" i="1"/>
  <c r="C49" i="1"/>
  <c r="E48" i="1"/>
  <c r="D48" i="1"/>
  <c r="C48" i="1"/>
  <c r="E47" i="1"/>
  <c r="D47" i="1"/>
  <c r="C47" i="1"/>
  <c r="E46" i="1"/>
  <c r="D46" i="1"/>
  <c r="C46" i="1"/>
  <c r="E45" i="1"/>
  <c r="D45" i="1"/>
  <c r="C45" i="1"/>
  <c r="E44" i="1"/>
  <c r="D44" i="1"/>
  <c r="C44" i="1"/>
  <c r="E43" i="1"/>
  <c r="D43" i="1"/>
  <c r="C43" i="1"/>
  <c r="E42" i="1"/>
  <c r="D42" i="1"/>
  <c r="C42" i="1"/>
  <c r="E41" i="1"/>
  <c r="D41" i="1"/>
  <c r="C41" i="1"/>
  <c r="E40" i="1"/>
  <c r="D40" i="1"/>
  <c r="C40" i="1"/>
  <c r="E39" i="1"/>
  <c r="D39" i="1"/>
  <c r="C39" i="1"/>
  <c r="E38" i="1"/>
  <c r="D38" i="1"/>
  <c r="C38" i="1"/>
  <c r="E37" i="1"/>
  <c r="D37" i="1"/>
  <c r="C37" i="1"/>
  <c r="E36" i="1"/>
  <c r="D36" i="1"/>
  <c r="C36" i="1"/>
  <c r="E35" i="1"/>
  <c r="D35" i="1"/>
  <c r="C35" i="1"/>
  <c r="E34" i="1"/>
  <c r="D34" i="1"/>
  <c r="C34" i="1"/>
  <c r="E33" i="1"/>
  <c r="D33" i="1"/>
  <c r="C33" i="1"/>
  <c r="E32" i="1"/>
  <c r="D32" i="1"/>
  <c r="C32" i="1"/>
  <c r="E31" i="1"/>
  <c r="D31" i="1"/>
  <c r="C31" i="1"/>
  <c r="E30" i="1"/>
  <c r="D30" i="1"/>
  <c r="C30" i="1"/>
  <c r="D25" i="1"/>
  <c r="C25" i="1"/>
  <c r="D24" i="1"/>
  <c r="C24" i="1"/>
  <c r="D23" i="1"/>
  <c r="C23" i="1"/>
  <c r="D22" i="1"/>
  <c r="C22" i="1"/>
  <c r="D21" i="1"/>
  <c r="C21" i="1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C4" i="1"/>
  <c r="C3" i="1"/>
  <c r="C238" i="1" l="1"/>
  <c r="F12" i="1"/>
  <c r="I12" i="1" s="1"/>
  <c r="D26" i="1"/>
  <c r="E107" i="1"/>
  <c r="E124" i="1"/>
  <c r="C202" i="1"/>
  <c r="D211" i="1"/>
  <c r="D84" i="1"/>
  <c r="C98" i="1"/>
  <c r="E98" i="1"/>
  <c r="D98" i="1"/>
  <c r="D107" i="1"/>
  <c r="C166" i="1"/>
  <c r="E116" i="1"/>
  <c r="C124" i="1"/>
  <c r="E202" i="1"/>
  <c r="C233" i="1"/>
  <c r="C107" i="1"/>
  <c r="D166" i="1"/>
  <c r="D202" i="1"/>
  <c r="C26" i="1"/>
  <c r="C84" i="1"/>
  <c r="E84" i="1"/>
  <c r="C116" i="1"/>
  <c r="D116" i="1"/>
  <c r="D124" i="1"/>
  <c r="E166" i="1"/>
  <c r="C211" i="1"/>
  <c r="E211" i="1"/>
  <c r="C66" i="1"/>
  <c r="D66" i="1"/>
  <c r="E66" i="1"/>
  <c r="E213" i="1" l="1"/>
  <c r="E220" i="1" s="1"/>
  <c r="C213" i="1"/>
  <c r="C217" i="1" s="1"/>
  <c r="D213" i="1"/>
  <c r="D220" i="1" s="1"/>
  <c r="C220" i="1" l="1"/>
  <c r="A1" i="141"/>
  <c r="I249" i="141"/>
  <c r="I248" i="141"/>
  <c r="I247" i="141"/>
  <c r="I246" i="141"/>
  <c r="C243" i="141"/>
  <c r="C242" i="141"/>
  <c r="C241" i="141"/>
  <c r="C240" i="141"/>
  <c r="C237" i="141"/>
  <c r="C236" i="141"/>
  <c r="E233" i="141"/>
  <c r="D233" i="141"/>
  <c r="C232" i="141"/>
  <c r="C231" i="141"/>
  <c r="C230" i="141"/>
  <c r="C229" i="141"/>
  <c r="C228" i="141"/>
  <c r="C227" i="141"/>
  <c r="C226" i="141"/>
  <c r="C225" i="141"/>
  <c r="C224" i="141"/>
  <c r="C216" i="141"/>
  <c r="E210" i="141"/>
  <c r="D210" i="141"/>
  <c r="C210" i="141"/>
  <c r="E209" i="141"/>
  <c r="D209" i="141"/>
  <c r="C209" i="141"/>
  <c r="E208" i="141"/>
  <c r="D208" i="141"/>
  <c r="C208" i="141"/>
  <c r="E207" i="141"/>
  <c r="D207" i="141"/>
  <c r="C207" i="141"/>
  <c r="E206" i="141"/>
  <c r="D206" i="141"/>
  <c r="C206" i="141"/>
  <c r="E205" i="141"/>
  <c r="D205" i="141"/>
  <c r="C205" i="141"/>
  <c r="E201" i="141"/>
  <c r="D201" i="141"/>
  <c r="C201" i="141"/>
  <c r="E200" i="141"/>
  <c r="D200" i="141"/>
  <c r="C200" i="141"/>
  <c r="E199" i="141"/>
  <c r="D199" i="141"/>
  <c r="C199" i="141"/>
  <c r="E198" i="141"/>
  <c r="D198" i="141"/>
  <c r="C198" i="141"/>
  <c r="E197" i="141"/>
  <c r="D197" i="141"/>
  <c r="C197" i="141"/>
  <c r="E196" i="141"/>
  <c r="D196" i="141"/>
  <c r="C196" i="141"/>
  <c r="E195" i="141"/>
  <c r="D195" i="141"/>
  <c r="C195" i="141"/>
  <c r="E194" i="141"/>
  <c r="D194" i="141"/>
  <c r="C194" i="141"/>
  <c r="E193" i="141"/>
  <c r="D193" i="141"/>
  <c r="C193" i="141"/>
  <c r="E192" i="141"/>
  <c r="D192" i="141"/>
  <c r="C192" i="141"/>
  <c r="E191" i="141"/>
  <c r="D191" i="141"/>
  <c r="C191" i="141"/>
  <c r="E190" i="141"/>
  <c r="D190" i="141"/>
  <c r="C190" i="141"/>
  <c r="E189" i="141"/>
  <c r="D189" i="141"/>
  <c r="C189" i="141"/>
  <c r="E188" i="141"/>
  <c r="D188" i="141"/>
  <c r="C188" i="141"/>
  <c r="E187" i="141"/>
  <c r="D187" i="141"/>
  <c r="C187" i="141"/>
  <c r="E186" i="141"/>
  <c r="D186" i="141"/>
  <c r="C186" i="141"/>
  <c r="E185" i="141"/>
  <c r="D185" i="141"/>
  <c r="C185" i="141"/>
  <c r="E184" i="141"/>
  <c r="D184" i="141"/>
  <c r="C184" i="141"/>
  <c r="E183" i="141"/>
  <c r="D183" i="141"/>
  <c r="C183" i="141"/>
  <c r="E182" i="141"/>
  <c r="D182" i="141"/>
  <c r="C182" i="141"/>
  <c r="E181" i="141"/>
  <c r="D181" i="141"/>
  <c r="C181" i="141"/>
  <c r="E180" i="141"/>
  <c r="D180" i="141"/>
  <c r="C180" i="141"/>
  <c r="E179" i="141"/>
  <c r="D179" i="141"/>
  <c r="C179" i="141"/>
  <c r="E178" i="141"/>
  <c r="D178" i="141"/>
  <c r="C178" i="141"/>
  <c r="E177" i="141"/>
  <c r="D177" i="141"/>
  <c r="C177" i="141"/>
  <c r="E176" i="141"/>
  <c r="D176" i="141"/>
  <c r="C176" i="141"/>
  <c r="E175" i="141"/>
  <c r="D175" i="141"/>
  <c r="C175" i="141"/>
  <c r="E174" i="141"/>
  <c r="D174" i="141"/>
  <c r="C174" i="141"/>
  <c r="E173" i="141"/>
  <c r="D173" i="141"/>
  <c r="C173" i="141"/>
  <c r="E172" i="141"/>
  <c r="D172" i="141"/>
  <c r="C172" i="141"/>
  <c r="E171" i="141"/>
  <c r="D171" i="141"/>
  <c r="C171" i="141"/>
  <c r="E170" i="141"/>
  <c r="D170" i="141"/>
  <c r="C170" i="141"/>
  <c r="E169" i="141"/>
  <c r="D169" i="141"/>
  <c r="C169" i="141"/>
  <c r="E165" i="141"/>
  <c r="D165" i="141"/>
  <c r="C165" i="141"/>
  <c r="E164" i="141"/>
  <c r="D164" i="141"/>
  <c r="C164" i="141"/>
  <c r="E163" i="141"/>
  <c r="D163" i="141"/>
  <c r="C163" i="141"/>
  <c r="E162" i="141"/>
  <c r="D162" i="141"/>
  <c r="C162" i="141"/>
  <c r="E161" i="141"/>
  <c r="D161" i="141"/>
  <c r="C161" i="141"/>
  <c r="E160" i="141"/>
  <c r="D160" i="141"/>
  <c r="C160" i="141"/>
  <c r="E158" i="141"/>
  <c r="D158" i="141"/>
  <c r="C158" i="141"/>
  <c r="E157" i="141"/>
  <c r="D157" i="141"/>
  <c r="C157" i="141"/>
  <c r="E156" i="141"/>
  <c r="D156" i="141"/>
  <c r="C156" i="141"/>
  <c r="E155" i="141"/>
  <c r="D155" i="141"/>
  <c r="C155" i="141"/>
  <c r="E154" i="141"/>
  <c r="D154" i="141"/>
  <c r="C154" i="141"/>
  <c r="E153" i="141"/>
  <c r="D153" i="141"/>
  <c r="C153" i="141"/>
  <c r="E152" i="141"/>
  <c r="D152" i="141"/>
  <c r="C152" i="141"/>
  <c r="E151" i="141"/>
  <c r="D151" i="141"/>
  <c r="C151" i="141"/>
  <c r="E150" i="141"/>
  <c r="D150" i="141"/>
  <c r="C150" i="141"/>
  <c r="E148" i="141"/>
  <c r="D148" i="141"/>
  <c r="C148" i="141"/>
  <c r="E147" i="141"/>
  <c r="D147" i="141"/>
  <c r="C147" i="141"/>
  <c r="E146" i="141"/>
  <c r="D146" i="141"/>
  <c r="C146" i="141"/>
  <c r="E145" i="141"/>
  <c r="D145" i="141"/>
  <c r="C145" i="141"/>
  <c r="E143" i="141"/>
  <c r="D143" i="141"/>
  <c r="C143" i="141"/>
  <c r="E142" i="141"/>
  <c r="D142" i="141"/>
  <c r="C142" i="141"/>
  <c r="E141" i="141"/>
  <c r="D141" i="141"/>
  <c r="C141" i="141"/>
  <c r="E140" i="141"/>
  <c r="D140" i="141"/>
  <c r="C140" i="141"/>
  <c r="E138" i="141"/>
  <c r="D138" i="141"/>
  <c r="C138" i="141"/>
  <c r="E137" i="141"/>
  <c r="D137" i="141"/>
  <c r="C137" i="141"/>
  <c r="E136" i="141"/>
  <c r="D136" i="141"/>
  <c r="C136" i="141"/>
  <c r="E135" i="141"/>
  <c r="D135" i="141"/>
  <c r="C135" i="141"/>
  <c r="E134" i="141"/>
  <c r="D134" i="141"/>
  <c r="C134" i="141"/>
  <c r="E132" i="141"/>
  <c r="D132" i="141"/>
  <c r="C132" i="141"/>
  <c r="E131" i="141"/>
  <c r="D131" i="141"/>
  <c r="C131" i="141"/>
  <c r="E130" i="141"/>
  <c r="D130" i="141"/>
  <c r="C130" i="141"/>
  <c r="E129" i="141"/>
  <c r="D129" i="141"/>
  <c r="C129" i="141"/>
  <c r="E128" i="141"/>
  <c r="D128" i="141"/>
  <c r="C128" i="141"/>
  <c r="E123" i="141"/>
  <c r="D123" i="141"/>
  <c r="C123" i="141"/>
  <c r="E122" i="141"/>
  <c r="D122" i="141"/>
  <c r="C122" i="141"/>
  <c r="E121" i="141"/>
  <c r="D121" i="141"/>
  <c r="C121" i="141"/>
  <c r="E120" i="141"/>
  <c r="D120" i="141"/>
  <c r="C120" i="141"/>
  <c r="E119" i="141"/>
  <c r="D119" i="141"/>
  <c r="C119" i="141"/>
  <c r="E115" i="141"/>
  <c r="D115" i="141"/>
  <c r="C115" i="141"/>
  <c r="E114" i="141"/>
  <c r="D114" i="141"/>
  <c r="C114" i="141"/>
  <c r="E113" i="141"/>
  <c r="D113" i="141"/>
  <c r="C113" i="141"/>
  <c r="E112" i="141"/>
  <c r="D112" i="141"/>
  <c r="C112" i="141"/>
  <c r="E111" i="141"/>
  <c r="D111" i="141"/>
  <c r="C111" i="141"/>
  <c r="E110" i="141"/>
  <c r="D110" i="141"/>
  <c r="C110" i="141"/>
  <c r="E106" i="141"/>
  <c r="D106" i="141"/>
  <c r="C106" i="141"/>
  <c r="E105" i="141"/>
  <c r="D105" i="141"/>
  <c r="C105" i="141"/>
  <c r="E104" i="141"/>
  <c r="D104" i="141"/>
  <c r="C104" i="141"/>
  <c r="E103" i="141"/>
  <c r="D103" i="141"/>
  <c r="C103" i="141"/>
  <c r="E102" i="141"/>
  <c r="D102" i="141"/>
  <c r="C102" i="141"/>
  <c r="E101" i="141"/>
  <c r="D101" i="141"/>
  <c r="C101" i="141"/>
  <c r="E97" i="141"/>
  <c r="D97" i="141"/>
  <c r="C97" i="141"/>
  <c r="E96" i="141"/>
  <c r="D96" i="141"/>
  <c r="C96" i="141"/>
  <c r="E95" i="141"/>
  <c r="D95" i="141"/>
  <c r="C95" i="141"/>
  <c r="E94" i="141"/>
  <c r="D94" i="141"/>
  <c r="C94" i="141"/>
  <c r="E93" i="141"/>
  <c r="D93" i="141"/>
  <c r="C93" i="141"/>
  <c r="E92" i="141"/>
  <c r="D92" i="141"/>
  <c r="C92" i="141"/>
  <c r="E91" i="141"/>
  <c r="D91" i="141"/>
  <c r="C91" i="141"/>
  <c r="E90" i="141"/>
  <c r="D90" i="141"/>
  <c r="C90" i="141"/>
  <c r="E89" i="141"/>
  <c r="D89" i="141"/>
  <c r="C89" i="141"/>
  <c r="E88" i="141"/>
  <c r="D88" i="141"/>
  <c r="C88" i="141"/>
  <c r="E87" i="141"/>
  <c r="D87" i="141"/>
  <c r="C87" i="141"/>
  <c r="E83" i="141"/>
  <c r="D83" i="141"/>
  <c r="C83" i="141"/>
  <c r="E82" i="141"/>
  <c r="D82" i="141"/>
  <c r="C82" i="141"/>
  <c r="E81" i="141"/>
  <c r="D81" i="141"/>
  <c r="C81" i="141"/>
  <c r="E80" i="141"/>
  <c r="D80" i="141"/>
  <c r="C80" i="141"/>
  <c r="E79" i="141"/>
  <c r="D79" i="141"/>
  <c r="C79" i="141"/>
  <c r="E78" i="141"/>
  <c r="D78" i="141"/>
  <c r="C78" i="141"/>
  <c r="E77" i="141"/>
  <c r="D77" i="141"/>
  <c r="C77" i="141"/>
  <c r="E76" i="141"/>
  <c r="D76" i="141"/>
  <c r="C76" i="141"/>
  <c r="E75" i="141"/>
  <c r="D75" i="141"/>
  <c r="C75" i="141"/>
  <c r="E74" i="141"/>
  <c r="D74" i="141"/>
  <c r="C74" i="141"/>
  <c r="E73" i="141"/>
  <c r="D73" i="141"/>
  <c r="C73" i="141"/>
  <c r="E72" i="141"/>
  <c r="D72" i="141"/>
  <c r="C72" i="141"/>
  <c r="E71" i="141"/>
  <c r="D71" i="141"/>
  <c r="C71" i="141"/>
  <c r="E70" i="141"/>
  <c r="D70" i="141"/>
  <c r="C70" i="141"/>
  <c r="E69" i="141"/>
  <c r="D69" i="141"/>
  <c r="C69" i="141"/>
  <c r="E65" i="141"/>
  <c r="D65" i="141"/>
  <c r="C65" i="141"/>
  <c r="E64" i="141"/>
  <c r="D64" i="141"/>
  <c r="C64" i="141"/>
  <c r="E63" i="141"/>
  <c r="D63" i="141"/>
  <c r="C63" i="141"/>
  <c r="E62" i="141"/>
  <c r="D62" i="141"/>
  <c r="C62" i="141"/>
  <c r="E61" i="141"/>
  <c r="D61" i="141"/>
  <c r="C61" i="141"/>
  <c r="E60" i="141"/>
  <c r="D60" i="141"/>
  <c r="C60" i="141"/>
  <c r="E59" i="141"/>
  <c r="D59" i="141"/>
  <c r="C59" i="141"/>
  <c r="E58" i="141"/>
  <c r="D58" i="141"/>
  <c r="C58" i="141"/>
  <c r="E57" i="141"/>
  <c r="D57" i="141"/>
  <c r="C57" i="141"/>
  <c r="E56" i="141"/>
  <c r="D56" i="141"/>
  <c r="C56" i="141"/>
  <c r="E55" i="141"/>
  <c r="D55" i="141"/>
  <c r="C55" i="141"/>
  <c r="E54" i="141"/>
  <c r="D54" i="141"/>
  <c r="C54" i="141"/>
  <c r="E53" i="141"/>
  <c r="D53" i="141"/>
  <c r="C53" i="141"/>
  <c r="E52" i="141"/>
  <c r="D52" i="141"/>
  <c r="C52" i="141"/>
  <c r="E51" i="141"/>
  <c r="D51" i="141"/>
  <c r="C51" i="141"/>
  <c r="E50" i="141"/>
  <c r="D50" i="141"/>
  <c r="C50" i="141"/>
  <c r="E49" i="141"/>
  <c r="D49" i="141"/>
  <c r="C49" i="141"/>
  <c r="E48" i="141"/>
  <c r="D48" i="141"/>
  <c r="C48" i="141"/>
  <c r="E47" i="141"/>
  <c r="D47" i="141"/>
  <c r="C47" i="141"/>
  <c r="E46" i="141"/>
  <c r="D46" i="141"/>
  <c r="C46" i="141"/>
  <c r="E45" i="141"/>
  <c r="D45" i="141"/>
  <c r="C45" i="141"/>
  <c r="E44" i="141"/>
  <c r="D44" i="141"/>
  <c r="C44" i="141"/>
  <c r="E43" i="141"/>
  <c r="D43" i="141"/>
  <c r="C43" i="141"/>
  <c r="E42" i="141"/>
  <c r="D42" i="141"/>
  <c r="C42" i="141"/>
  <c r="E41" i="141"/>
  <c r="D41" i="141"/>
  <c r="C41" i="141"/>
  <c r="E40" i="141"/>
  <c r="D40" i="141"/>
  <c r="C40" i="141"/>
  <c r="E39" i="141"/>
  <c r="D39" i="141"/>
  <c r="C39" i="141"/>
  <c r="E38" i="141"/>
  <c r="D38" i="141"/>
  <c r="C38" i="141"/>
  <c r="E37" i="141"/>
  <c r="D37" i="141"/>
  <c r="C37" i="141"/>
  <c r="E36" i="141"/>
  <c r="D36" i="141"/>
  <c r="C36" i="141"/>
  <c r="E35" i="141"/>
  <c r="D35" i="141"/>
  <c r="C35" i="141"/>
  <c r="E34" i="141"/>
  <c r="D34" i="141"/>
  <c r="C34" i="141"/>
  <c r="E33" i="141"/>
  <c r="D33" i="141"/>
  <c r="C33" i="141"/>
  <c r="E32" i="141"/>
  <c r="D32" i="141"/>
  <c r="C32" i="141"/>
  <c r="E31" i="141"/>
  <c r="D31" i="141"/>
  <c r="C31" i="141"/>
  <c r="E30" i="141"/>
  <c r="D30" i="141"/>
  <c r="C30" i="141"/>
  <c r="D25" i="141"/>
  <c r="C25" i="141"/>
  <c r="D24" i="141"/>
  <c r="C24" i="141"/>
  <c r="D23" i="141"/>
  <c r="C23" i="141"/>
  <c r="D22" i="141"/>
  <c r="C22" i="141"/>
  <c r="D21" i="141"/>
  <c r="C21" i="141"/>
  <c r="D20" i="141"/>
  <c r="C20" i="141"/>
  <c r="D19" i="141"/>
  <c r="C19" i="141"/>
  <c r="D18" i="141"/>
  <c r="C18" i="141"/>
  <c r="D17" i="141"/>
  <c r="C17" i="141"/>
  <c r="D16" i="141"/>
  <c r="C16" i="141"/>
  <c r="D15" i="141"/>
  <c r="C15" i="141"/>
  <c r="D14" i="141"/>
  <c r="C14" i="141"/>
  <c r="D13" i="141"/>
  <c r="C13" i="141"/>
  <c r="D12" i="141"/>
  <c r="C12" i="141"/>
  <c r="C4" i="141"/>
  <c r="C3" i="141"/>
  <c r="D26" i="141" l="1"/>
  <c r="C238" i="141"/>
  <c r="C26" i="141"/>
  <c r="F12" i="141"/>
  <c r="I12" i="141" s="1"/>
  <c r="E107" i="141"/>
  <c r="E211" i="141"/>
  <c r="E166" i="141"/>
  <c r="E202" i="141"/>
  <c r="E98" i="141"/>
  <c r="D107" i="141"/>
  <c r="C84" i="141"/>
  <c r="D116" i="141"/>
  <c r="D124" i="141"/>
  <c r="C202" i="141"/>
  <c r="C211" i="141"/>
  <c r="C233" i="141"/>
  <c r="D84" i="141"/>
  <c r="C98" i="141"/>
  <c r="C116" i="141"/>
  <c r="E116" i="141"/>
  <c r="E124" i="141"/>
  <c r="C124" i="141"/>
  <c r="D211" i="141"/>
  <c r="E84" i="141"/>
  <c r="D98" i="141"/>
  <c r="C107" i="141"/>
  <c r="C166" i="141"/>
  <c r="D166" i="141"/>
  <c r="D202" i="141"/>
  <c r="C66" i="141"/>
  <c r="D66" i="141"/>
  <c r="E66" i="141"/>
  <c r="E213" i="141" l="1"/>
  <c r="E220" i="141" s="1"/>
  <c r="C213" i="141"/>
  <c r="C217" i="141" s="1"/>
  <c r="D213" i="141"/>
  <c r="D220" i="141" s="1"/>
  <c r="C220" i="141" l="1"/>
  <c r="D18" i="60"/>
  <c r="I249" i="60"/>
  <c r="I248" i="60"/>
  <c r="I247" i="60"/>
  <c r="I246" i="60"/>
  <c r="C243" i="60"/>
  <c r="C242" i="60"/>
  <c r="C241" i="60"/>
  <c r="C240" i="60"/>
  <c r="C237" i="60"/>
  <c r="C236" i="60"/>
  <c r="E233" i="60"/>
  <c r="D233" i="60"/>
  <c r="C232" i="60"/>
  <c r="C231" i="60"/>
  <c r="C230" i="60"/>
  <c r="C229" i="60"/>
  <c r="C228" i="60"/>
  <c r="C227" i="60"/>
  <c r="C226" i="60"/>
  <c r="C225" i="60"/>
  <c r="C224" i="60"/>
  <c r="C216" i="60"/>
  <c r="E210" i="60"/>
  <c r="D210" i="60"/>
  <c r="C210" i="60"/>
  <c r="E209" i="60"/>
  <c r="D209" i="60"/>
  <c r="C209" i="60"/>
  <c r="E208" i="60"/>
  <c r="D208" i="60"/>
  <c r="C208" i="60"/>
  <c r="E207" i="60"/>
  <c r="D207" i="60"/>
  <c r="C207" i="60"/>
  <c r="E206" i="60"/>
  <c r="D206" i="60"/>
  <c r="C206" i="60"/>
  <c r="E205" i="60"/>
  <c r="D205" i="60"/>
  <c r="C205" i="60"/>
  <c r="E201" i="60"/>
  <c r="D201" i="60"/>
  <c r="C201" i="60"/>
  <c r="E200" i="60"/>
  <c r="D200" i="60"/>
  <c r="C200" i="60"/>
  <c r="E199" i="60"/>
  <c r="D199" i="60"/>
  <c r="C199" i="60"/>
  <c r="E198" i="60"/>
  <c r="D198" i="60"/>
  <c r="C198" i="60"/>
  <c r="E197" i="60"/>
  <c r="D197" i="60"/>
  <c r="C197" i="60"/>
  <c r="E196" i="60"/>
  <c r="D196" i="60"/>
  <c r="C196" i="60"/>
  <c r="E195" i="60"/>
  <c r="D195" i="60"/>
  <c r="C195" i="60"/>
  <c r="E194" i="60"/>
  <c r="D194" i="60"/>
  <c r="C194" i="60"/>
  <c r="E193" i="60"/>
  <c r="D193" i="60"/>
  <c r="C193" i="60"/>
  <c r="E192" i="60"/>
  <c r="D192" i="60"/>
  <c r="C192" i="60"/>
  <c r="E191" i="60"/>
  <c r="D191" i="60"/>
  <c r="C191" i="60"/>
  <c r="E190" i="60"/>
  <c r="D190" i="60"/>
  <c r="C190" i="60"/>
  <c r="E189" i="60"/>
  <c r="D189" i="60"/>
  <c r="C189" i="60"/>
  <c r="E188" i="60"/>
  <c r="D188" i="60"/>
  <c r="C188" i="60"/>
  <c r="E187" i="60"/>
  <c r="D187" i="60"/>
  <c r="C187" i="60"/>
  <c r="E186" i="60"/>
  <c r="D186" i="60"/>
  <c r="C186" i="60"/>
  <c r="E185" i="60"/>
  <c r="D185" i="60"/>
  <c r="C185" i="60"/>
  <c r="E184" i="60"/>
  <c r="D184" i="60"/>
  <c r="C184" i="60"/>
  <c r="E183" i="60"/>
  <c r="D183" i="60"/>
  <c r="C183" i="60"/>
  <c r="E182" i="60"/>
  <c r="D182" i="60"/>
  <c r="C182" i="60"/>
  <c r="E181" i="60"/>
  <c r="D181" i="60"/>
  <c r="C181" i="60"/>
  <c r="E180" i="60"/>
  <c r="D180" i="60"/>
  <c r="C180" i="60"/>
  <c r="E179" i="60"/>
  <c r="D179" i="60"/>
  <c r="C179" i="60"/>
  <c r="E178" i="60"/>
  <c r="D178" i="60"/>
  <c r="C178" i="60"/>
  <c r="E177" i="60"/>
  <c r="D177" i="60"/>
  <c r="C177" i="60"/>
  <c r="E176" i="60"/>
  <c r="D176" i="60"/>
  <c r="C176" i="60"/>
  <c r="E175" i="60"/>
  <c r="D175" i="60"/>
  <c r="C175" i="60"/>
  <c r="E174" i="60"/>
  <c r="D174" i="60"/>
  <c r="C174" i="60"/>
  <c r="E173" i="60"/>
  <c r="D173" i="60"/>
  <c r="C173" i="60"/>
  <c r="E172" i="60"/>
  <c r="D172" i="60"/>
  <c r="C172" i="60"/>
  <c r="E171" i="60"/>
  <c r="D171" i="60"/>
  <c r="C171" i="60"/>
  <c r="E170" i="60"/>
  <c r="D170" i="60"/>
  <c r="C170" i="60"/>
  <c r="E169" i="60"/>
  <c r="D169" i="60"/>
  <c r="C169" i="60"/>
  <c r="E165" i="60"/>
  <c r="D165" i="60"/>
  <c r="C165" i="60"/>
  <c r="E164" i="60"/>
  <c r="D164" i="60"/>
  <c r="C164" i="60"/>
  <c r="E163" i="60"/>
  <c r="D163" i="60"/>
  <c r="C163" i="60"/>
  <c r="E162" i="60"/>
  <c r="D162" i="60"/>
  <c r="C162" i="60"/>
  <c r="E161" i="60"/>
  <c r="D161" i="60"/>
  <c r="C161" i="60"/>
  <c r="E160" i="60"/>
  <c r="D160" i="60"/>
  <c r="C160" i="60"/>
  <c r="E158" i="60"/>
  <c r="D158" i="60"/>
  <c r="C158" i="60"/>
  <c r="E157" i="60"/>
  <c r="D157" i="60"/>
  <c r="C157" i="60"/>
  <c r="E156" i="60"/>
  <c r="D156" i="60"/>
  <c r="C156" i="60"/>
  <c r="E155" i="60"/>
  <c r="D155" i="60"/>
  <c r="C155" i="60"/>
  <c r="E154" i="60"/>
  <c r="D154" i="60"/>
  <c r="C154" i="60"/>
  <c r="E153" i="60"/>
  <c r="D153" i="60"/>
  <c r="C153" i="60"/>
  <c r="E152" i="60"/>
  <c r="D152" i="60"/>
  <c r="C152" i="60"/>
  <c r="E151" i="60"/>
  <c r="D151" i="60"/>
  <c r="C151" i="60"/>
  <c r="E150" i="60"/>
  <c r="D150" i="60"/>
  <c r="C150" i="60"/>
  <c r="E148" i="60"/>
  <c r="D148" i="60"/>
  <c r="C148" i="60"/>
  <c r="E147" i="60"/>
  <c r="D147" i="60"/>
  <c r="C147" i="60"/>
  <c r="E146" i="60"/>
  <c r="D146" i="60"/>
  <c r="C146" i="60"/>
  <c r="E145" i="60"/>
  <c r="D145" i="60"/>
  <c r="C145" i="60"/>
  <c r="E143" i="60"/>
  <c r="D143" i="60"/>
  <c r="C143" i="60"/>
  <c r="E142" i="60"/>
  <c r="D142" i="60"/>
  <c r="C142" i="60"/>
  <c r="E141" i="60"/>
  <c r="D141" i="60"/>
  <c r="C141" i="60"/>
  <c r="E140" i="60"/>
  <c r="D140" i="60"/>
  <c r="C140" i="60"/>
  <c r="E138" i="60"/>
  <c r="D138" i="60"/>
  <c r="C138" i="60"/>
  <c r="E137" i="60"/>
  <c r="D137" i="60"/>
  <c r="C137" i="60"/>
  <c r="E136" i="60"/>
  <c r="D136" i="60"/>
  <c r="C136" i="60"/>
  <c r="E135" i="60"/>
  <c r="D135" i="60"/>
  <c r="C135" i="60"/>
  <c r="E134" i="60"/>
  <c r="D134" i="60"/>
  <c r="C134" i="60"/>
  <c r="E132" i="60"/>
  <c r="D132" i="60"/>
  <c r="C132" i="60"/>
  <c r="E131" i="60"/>
  <c r="D131" i="60"/>
  <c r="C131" i="60"/>
  <c r="E130" i="60"/>
  <c r="D130" i="60"/>
  <c r="C130" i="60"/>
  <c r="E129" i="60"/>
  <c r="D129" i="60"/>
  <c r="C129" i="60"/>
  <c r="E128" i="60"/>
  <c r="D128" i="60"/>
  <c r="C128" i="60"/>
  <c r="E123" i="60"/>
  <c r="D123" i="60"/>
  <c r="C123" i="60"/>
  <c r="E122" i="60"/>
  <c r="D122" i="60"/>
  <c r="C122" i="60"/>
  <c r="E121" i="60"/>
  <c r="D121" i="60"/>
  <c r="C121" i="60"/>
  <c r="E120" i="60"/>
  <c r="D120" i="60"/>
  <c r="C120" i="60"/>
  <c r="E119" i="60"/>
  <c r="D119" i="60"/>
  <c r="C119" i="60"/>
  <c r="E115" i="60"/>
  <c r="D115" i="60"/>
  <c r="C115" i="60"/>
  <c r="E114" i="60"/>
  <c r="D114" i="60"/>
  <c r="C114" i="60"/>
  <c r="E113" i="60"/>
  <c r="D113" i="60"/>
  <c r="C113" i="60"/>
  <c r="E112" i="60"/>
  <c r="D112" i="60"/>
  <c r="C112" i="60"/>
  <c r="E111" i="60"/>
  <c r="D111" i="60"/>
  <c r="C111" i="60"/>
  <c r="E110" i="60"/>
  <c r="D110" i="60"/>
  <c r="C110" i="60"/>
  <c r="E106" i="60"/>
  <c r="D106" i="60"/>
  <c r="C106" i="60"/>
  <c r="E105" i="60"/>
  <c r="D105" i="60"/>
  <c r="C105" i="60"/>
  <c r="E104" i="60"/>
  <c r="D104" i="60"/>
  <c r="C104" i="60"/>
  <c r="E103" i="60"/>
  <c r="D103" i="60"/>
  <c r="C103" i="60"/>
  <c r="E102" i="60"/>
  <c r="D102" i="60"/>
  <c r="C102" i="60"/>
  <c r="E101" i="60"/>
  <c r="D101" i="60"/>
  <c r="C101" i="60"/>
  <c r="E97" i="60"/>
  <c r="D97" i="60"/>
  <c r="C97" i="60"/>
  <c r="E96" i="60"/>
  <c r="D96" i="60"/>
  <c r="C96" i="60"/>
  <c r="E95" i="60"/>
  <c r="D95" i="60"/>
  <c r="C95" i="60"/>
  <c r="E94" i="60"/>
  <c r="D94" i="60"/>
  <c r="C94" i="60"/>
  <c r="E93" i="60"/>
  <c r="D93" i="60"/>
  <c r="C93" i="60"/>
  <c r="E92" i="60"/>
  <c r="D92" i="60"/>
  <c r="C92" i="60"/>
  <c r="E91" i="60"/>
  <c r="D91" i="60"/>
  <c r="C91" i="60"/>
  <c r="E90" i="60"/>
  <c r="D90" i="60"/>
  <c r="C90" i="60"/>
  <c r="E89" i="60"/>
  <c r="D89" i="60"/>
  <c r="C89" i="60"/>
  <c r="E88" i="60"/>
  <c r="D88" i="60"/>
  <c r="C88" i="60"/>
  <c r="E87" i="60"/>
  <c r="D87" i="60"/>
  <c r="C87" i="60"/>
  <c r="E83" i="60"/>
  <c r="D83" i="60"/>
  <c r="C83" i="60"/>
  <c r="E82" i="60"/>
  <c r="D82" i="60"/>
  <c r="C82" i="60"/>
  <c r="E81" i="60"/>
  <c r="D81" i="60"/>
  <c r="C81" i="60"/>
  <c r="E80" i="60"/>
  <c r="D80" i="60"/>
  <c r="C80" i="60"/>
  <c r="E79" i="60"/>
  <c r="D79" i="60"/>
  <c r="C79" i="60"/>
  <c r="E78" i="60"/>
  <c r="D78" i="60"/>
  <c r="C78" i="60"/>
  <c r="E77" i="60"/>
  <c r="D77" i="60"/>
  <c r="C77" i="60"/>
  <c r="E76" i="60"/>
  <c r="D76" i="60"/>
  <c r="C76" i="60"/>
  <c r="E75" i="60"/>
  <c r="D75" i="60"/>
  <c r="C75" i="60"/>
  <c r="E74" i="60"/>
  <c r="D74" i="60"/>
  <c r="C74" i="60"/>
  <c r="E73" i="60"/>
  <c r="D73" i="60"/>
  <c r="C73" i="60"/>
  <c r="E72" i="60"/>
  <c r="D72" i="60"/>
  <c r="C72" i="60"/>
  <c r="E71" i="60"/>
  <c r="D71" i="60"/>
  <c r="C71" i="60"/>
  <c r="E70" i="60"/>
  <c r="D70" i="60"/>
  <c r="C70" i="60"/>
  <c r="E69" i="60"/>
  <c r="D69" i="60"/>
  <c r="C69" i="60"/>
  <c r="E65" i="60"/>
  <c r="D65" i="60"/>
  <c r="C65" i="60"/>
  <c r="E64" i="60"/>
  <c r="D64" i="60"/>
  <c r="C64" i="60"/>
  <c r="E63" i="60"/>
  <c r="D63" i="60"/>
  <c r="C63" i="60"/>
  <c r="E62" i="60"/>
  <c r="D62" i="60"/>
  <c r="C62" i="60"/>
  <c r="E61" i="60"/>
  <c r="D61" i="60"/>
  <c r="C61" i="60"/>
  <c r="E60" i="60"/>
  <c r="D60" i="60"/>
  <c r="C60" i="60"/>
  <c r="E59" i="60"/>
  <c r="D59" i="60"/>
  <c r="C59" i="60"/>
  <c r="E58" i="60"/>
  <c r="D58" i="60"/>
  <c r="C58" i="60"/>
  <c r="E57" i="60"/>
  <c r="D57" i="60"/>
  <c r="C57" i="60"/>
  <c r="E56" i="60"/>
  <c r="D56" i="60"/>
  <c r="C56" i="60"/>
  <c r="E55" i="60"/>
  <c r="D55" i="60"/>
  <c r="C55" i="60"/>
  <c r="E54" i="60"/>
  <c r="D54" i="60"/>
  <c r="C54" i="60"/>
  <c r="E53" i="60"/>
  <c r="D53" i="60"/>
  <c r="C53" i="60"/>
  <c r="E52" i="60"/>
  <c r="D52" i="60"/>
  <c r="C52" i="60"/>
  <c r="E51" i="60"/>
  <c r="D51" i="60"/>
  <c r="C51" i="60"/>
  <c r="E50" i="60"/>
  <c r="D50" i="60"/>
  <c r="C50" i="60"/>
  <c r="E49" i="60"/>
  <c r="D49" i="60"/>
  <c r="C49" i="60"/>
  <c r="E48" i="60"/>
  <c r="D48" i="60"/>
  <c r="C48" i="60"/>
  <c r="E47" i="60"/>
  <c r="D47" i="60"/>
  <c r="C47" i="60"/>
  <c r="E46" i="60"/>
  <c r="D46" i="60"/>
  <c r="C46" i="60"/>
  <c r="E45" i="60"/>
  <c r="D45" i="60"/>
  <c r="C45" i="60"/>
  <c r="E44" i="60"/>
  <c r="D44" i="60"/>
  <c r="C44" i="60"/>
  <c r="E43" i="60"/>
  <c r="D43" i="60"/>
  <c r="C43" i="60"/>
  <c r="E42" i="60"/>
  <c r="D42" i="60"/>
  <c r="C42" i="60"/>
  <c r="E41" i="60"/>
  <c r="D41" i="60"/>
  <c r="C41" i="60"/>
  <c r="E40" i="60"/>
  <c r="D40" i="60"/>
  <c r="C40" i="60"/>
  <c r="E39" i="60"/>
  <c r="D39" i="60"/>
  <c r="C39" i="60"/>
  <c r="E38" i="60"/>
  <c r="D38" i="60"/>
  <c r="C38" i="60"/>
  <c r="E37" i="60"/>
  <c r="D37" i="60"/>
  <c r="C37" i="60"/>
  <c r="E36" i="60"/>
  <c r="D36" i="60"/>
  <c r="C36" i="60"/>
  <c r="E35" i="60"/>
  <c r="D35" i="60"/>
  <c r="C35" i="60"/>
  <c r="E34" i="60"/>
  <c r="D34" i="60"/>
  <c r="C34" i="60"/>
  <c r="E33" i="60"/>
  <c r="D33" i="60"/>
  <c r="C33" i="60"/>
  <c r="E32" i="60"/>
  <c r="D32" i="60"/>
  <c r="C32" i="60"/>
  <c r="E31" i="60"/>
  <c r="D31" i="60"/>
  <c r="C31" i="60"/>
  <c r="E30" i="60"/>
  <c r="D30" i="60"/>
  <c r="C30" i="60"/>
  <c r="D25" i="60"/>
  <c r="C25" i="60"/>
  <c r="D24" i="60"/>
  <c r="C24" i="60"/>
  <c r="D23" i="60"/>
  <c r="C23" i="60"/>
  <c r="D22" i="60"/>
  <c r="C22" i="60"/>
  <c r="D21" i="60"/>
  <c r="C21" i="60"/>
  <c r="D20" i="60"/>
  <c r="C20" i="60"/>
  <c r="D19" i="60"/>
  <c r="C19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C4" i="60"/>
  <c r="C3" i="60"/>
  <c r="F12" i="60" l="1"/>
  <c r="I12" i="60" s="1"/>
  <c r="C238" i="60"/>
  <c r="D26" i="60"/>
  <c r="C98" i="60"/>
  <c r="C124" i="60"/>
  <c r="C166" i="60"/>
  <c r="C26" i="60"/>
  <c r="D84" i="60"/>
  <c r="D166" i="60"/>
  <c r="D202" i="60"/>
  <c r="E84" i="60"/>
  <c r="D98" i="60"/>
  <c r="C107" i="60"/>
  <c r="E107" i="60"/>
  <c r="E166" i="60"/>
  <c r="E202" i="60"/>
  <c r="C233" i="60"/>
  <c r="E98" i="60"/>
  <c r="D107" i="60"/>
  <c r="D116" i="60"/>
  <c r="D124" i="60"/>
  <c r="C202" i="60"/>
  <c r="C211" i="60"/>
  <c r="E211" i="60"/>
  <c r="C84" i="60"/>
  <c r="C116" i="60"/>
  <c r="E116" i="60"/>
  <c r="E124" i="60"/>
  <c r="D211" i="60"/>
  <c r="D66" i="60"/>
  <c r="C66" i="60"/>
  <c r="E66" i="60"/>
  <c r="E213" i="60" l="1"/>
  <c r="E220" i="60" s="1"/>
  <c r="C213" i="60"/>
  <c r="C217" i="60" s="1"/>
  <c r="D213" i="60"/>
  <c r="D220" i="60" s="1"/>
  <c r="C220" i="60" l="1"/>
  <c r="D18" i="142"/>
  <c r="I249" i="142"/>
  <c r="I248" i="142"/>
  <c r="I247" i="142"/>
  <c r="I246" i="142"/>
  <c r="C243" i="142"/>
  <c r="C242" i="142"/>
  <c r="C241" i="142"/>
  <c r="C240" i="142"/>
  <c r="C237" i="142"/>
  <c r="C236" i="142"/>
  <c r="E233" i="142"/>
  <c r="D233" i="142"/>
  <c r="C232" i="142"/>
  <c r="C231" i="142"/>
  <c r="C230" i="142"/>
  <c r="C229" i="142"/>
  <c r="C228" i="142"/>
  <c r="C227" i="142"/>
  <c r="C226" i="142"/>
  <c r="C225" i="142"/>
  <c r="C224" i="142"/>
  <c r="C216" i="142"/>
  <c r="E210" i="142"/>
  <c r="D210" i="142"/>
  <c r="C210" i="142"/>
  <c r="E209" i="142"/>
  <c r="D209" i="142"/>
  <c r="C209" i="142"/>
  <c r="E208" i="142"/>
  <c r="D208" i="142"/>
  <c r="C208" i="142"/>
  <c r="E207" i="142"/>
  <c r="D207" i="142"/>
  <c r="C207" i="142"/>
  <c r="E206" i="142"/>
  <c r="D206" i="142"/>
  <c r="C206" i="142"/>
  <c r="E205" i="142"/>
  <c r="D205" i="142"/>
  <c r="C205" i="142"/>
  <c r="E201" i="142"/>
  <c r="D201" i="142"/>
  <c r="C201" i="142"/>
  <c r="E200" i="142"/>
  <c r="D200" i="142"/>
  <c r="C200" i="142"/>
  <c r="E199" i="142"/>
  <c r="D199" i="142"/>
  <c r="C199" i="142"/>
  <c r="E198" i="142"/>
  <c r="D198" i="142"/>
  <c r="C198" i="142"/>
  <c r="E197" i="142"/>
  <c r="D197" i="142"/>
  <c r="C197" i="142"/>
  <c r="E196" i="142"/>
  <c r="D196" i="142"/>
  <c r="C196" i="142"/>
  <c r="E195" i="142"/>
  <c r="D195" i="142"/>
  <c r="C195" i="142"/>
  <c r="E194" i="142"/>
  <c r="D194" i="142"/>
  <c r="C194" i="142"/>
  <c r="E193" i="142"/>
  <c r="D193" i="142"/>
  <c r="C193" i="142"/>
  <c r="E192" i="142"/>
  <c r="D192" i="142"/>
  <c r="C192" i="142"/>
  <c r="E191" i="142"/>
  <c r="D191" i="142"/>
  <c r="C191" i="142"/>
  <c r="E190" i="142"/>
  <c r="D190" i="142"/>
  <c r="C190" i="142"/>
  <c r="E189" i="142"/>
  <c r="D189" i="142"/>
  <c r="C189" i="142"/>
  <c r="E188" i="142"/>
  <c r="D188" i="142"/>
  <c r="C188" i="142"/>
  <c r="E187" i="142"/>
  <c r="D187" i="142"/>
  <c r="C187" i="142"/>
  <c r="E186" i="142"/>
  <c r="D186" i="142"/>
  <c r="C186" i="142"/>
  <c r="E185" i="142"/>
  <c r="D185" i="142"/>
  <c r="C185" i="142"/>
  <c r="E184" i="142"/>
  <c r="D184" i="142"/>
  <c r="C184" i="142"/>
  <c r="E183" i="142"/>
  <c r="D183" i="142"/>
  <c r="C183" i="142"/>
  <c r="E182" i="142"/>
  <c r="D182" i="142"/>
  <c r="C182" i="142"/>
  <c r="E181" i="142"/>
  <c r="D181" i="142"/>
  <c r="C181" i="142"/>
  <c r="E180" i="142"/>
  <c r="D180" i="142"/>
  <c r="C180" i="142"/>
  <c r="E179" i="142"/>
  <c r="D179" i="142"/>
  <c r="C179" i="142"/>
  <c r="E178" i="142"/>
  <c r="D178" i="142"/>
  <c r="C178" i="142"/>
  <c r="E177" i="142"/>
  <c r="D177" i="142"/>
  <c r="C177" i="142"/>
  <c r="E176" i="142"/>
  <c r="D176" i="142"/>
  <c r="C176" i="142"/>
  <c r="E175" i="142"/>
  <c r="D175" i="142"/>
  <c r="C175" i="142"/>
  <c r="E174" i="142"/>
  <c r="D174" i="142"/>
  <c r="C174" i="142"/>
  <c r="E173" i="142"/>
  <c r="D173" i="142"/>
  <c r="C173" i="142"/>
  <c r="E172" i="142"/>
  <c r="D172" i="142"/>
  <c r="C172" i="142"/>
  <c r="E171" i="142"/>
  <c r="D171" i="142"/>
  <c r="C171" i="142"/>
  <c r="E170" i="142"/>
  <c r="D170" i="142"/>
  <c r="C170" i="142"/>
  <c r="E169" i="142"/>
  <c r="D169" i="142"/>
  <c r="C169" i="142"/>
  <c r="E165" i="142"/>
  <c r="D165" i="142"/>
  <c r="C165" i="142"/>
  <c r="E164" i="142"/>
  <c r="D164" i="142"/>
  <c r="C164" i="142"/>
  <c r="E163" i="142"/>
  <c r="D163" i="142"/>
  <c r="C163" i="142"/>
  <c r="E162" i="142"/>
  <c r="D162" i="142"/>
  <c r="C162" i="142"/>
  <c r="E161" i="142"/>
  <c r="D161" i="142"/>
  <c r="C161" i="142"/>
  <c r="E160" i="142"/>
  <c r="D160" i="142"/>
  <c r="C160" i="142"/>
  <c r="E158" i="142"/>
  <c r="D158" i="142"/>
  <c r="C158" i="142"/>
  <c r="E157" i="142"/>
  <c r="D157" i="142"/>
  <c r="C157" i="142"/>
  <c r="E156" i="142"/>
  <c r="D156" i="142"/>
  <c r="C156" i="142"/>
  <c r="E155" i="142"/>
  <c r="D155" i="142"/>
  <c r="C155" i="142"/>
  <c r="E154" i="142"/>
  <c r="D154" i="142"/>
  <c r="C154" i="142"/>
  <c r="E153" i="142"/>
  <c r="D153" i="142"/>
  <c r="C153" i="142"/>
  <c r="E152" i="142"/>
  <c r="D152" i="142"/>
  <c r="C152" i="142"/>
  <c r="E151" i="142"/>
  <c r="D151" i="142"/>
  <c r="C151" i="142"/>
  <c r="E150" i="142"/>
  <c r="D150" i="142"/>
  <c r="C150" i="142"/>
  <c r="E148" i="142"/>
  <c r="D148" i="142"/>
  <c r="C148" i="142"/>
  <c r="E147" i="142"/>
  <c r="D147" i="142"/>
  <c r="C147" i="142"/>
  <c r="E146" i="142"/>
  <c r="D146" i="142"/>
  <c r="C146" i="142"/>
  <c r="E145" i="142"/>
  <c r="D145" i="142"/>
  <c r="C145" i="142"/>
  <c r="E143" i="142"/>
  <c r="D143" i="142"/>
  <c r="C143" i="142"/>
  <c r="E142" i="142"/>
  <c r="D142" i="142"/>
  <c r="C142" i="142"/>
  <c r="E141" i="142"/>
  <c r="D141" i="142"/>
  <c r="C141" i="142"/>
  <c r="E140" i="142"/>
  <c r="D140" i="142"/>
  <c r="C140" i="142"/>
  <c r="E138" i="142"/>
  <c r="D138" i="142"/>
  <c r="C138" i="142"/>
  <c r="E137" i="142"/>
  <c r="D137" i="142"/>
  <c r="C137" i="142"/>
  <c r="E136" i="142"/>
  <c r="D136" i="142"/>
  <c r="C136" i="142"/>
  <c r="E135" i="142"/>
  <c r="D135" i="142"/>
  <c r="C135" i="142"/>
  <c r="E134" i="142"/>
  <c r="D134" i="142"/>
  <c r="C134" i="142"/>
  <c r="E132" i="142"/>
  <c r="D132" i="142"/>
  <c r="C132" i="142"/>
  <c r="E131" i="142"/>
  <c r="D131" i="142"/>
  <c r="C131" i="142"/>
  <c r="E130" i="142"/>
  <c r="D130" i="142"/>
  <c r="C130" i="142"/>
  <c r="E129" i="142"/>
  <c r="D129" i="142"/>
  <c r="C129" i="142"/>
  <c r="E128" i="142"/>
  <c r="D128" i="142"/>
  <c r="C128" i="142"/>
  <c r="E123" i="142"/>
  <c r="D123" i="142"/>
  <c r="C123" i="142"/>
  <c r="E122" i="142"/>
  <c r="D122" i="142"/>
  <c r="C122" i="142"/>
  <c r="E121" i="142"/>
  <c r="D121" i="142"/>
  <c r="C121" i="142"/>
  <c r="E120" i="142"/>
  <c r="D120" i="142"/>
  <c r="C120" i="142"/>
  <c r="E119" i="142"/>
  <c r="D119" i="142"/>
  <c r="C119" i="142"/>
  <c r="E115" i="142"/>
  <c r="D115" i="142"/>
  <c r="C115" i="142"/>
  <c r="E114" i="142"/>
  <c r="D114" i="142"/>
  <c r="C114" i="142"/>
  <c r="E113" i="142"/>
  <c r="D113" i="142"/>
  <c r="C113" i="142"/>
  <c r="E112" i="142"/>
  <c r="D112" i="142"/>
  <c r="C112" i="142"/>
  <c r="E111" i="142"/>
  <c r="D111" i="142"/>
  <c r="C111" i="142"/>
  <c r="E110" i="142"/>
  <c r="D110" i="142"/>
  <c r="C110" i="142"/>
  <c r="E106" i="142"/>
  <c r="D106" i="142"/>
  <c r="C106" i="142"/>
  <c r="E105" i="142"/>
  <c r="D105" i="142"/>
  <c r="C105" i="142"/>
  <c r="E104" i="142"/>
  <c r="D104" i="142"/>
  <c r="C104" i="142"/>
  <c r="E103" i="142"/>
  <c r="D103" i="142"/>
  <c r="C103" i="142"/>
  <c r="E102" i="142"/>
  <c r="D102" i="142"/>
  <c r="C102" i="142"/>
  <c r="E101" i="142"/>
  <c r="D101" i="142"/>
  <c r="C101" i="142"/>
  <c r="E97" i="142"/>
  <c r="D97" i="142"/>
  <c r="C97" i="142"/>
  <c r="E96" i="142"/>
  <c r="D96" i="142"/>
  <c r="C96" i="142"/>
  <c r="E95" i="142"/>
  <c r="D95" i="142"/>
  <c r="C95" i="142"/>
  <c r="E94" i="142"/>
  <c r="D94" i="142"/>
  <c r="C94" i="142"/>
  <c r="E93" i="142"/>
  <c r="D93" i="142"/>
  <c r="C93" i="142"/>
  <c r="E92" i="142"/>
  <c r="D92" i="142"/>
  <c r="C92" i="142"/>
  <c r="E91" i="142"/>
  <c r="D91" i="142"/>
  <c r="C91" i="142"/>
  <c r="E90" i="142"/>
  <c r="D90" i="142"/>
  <c r="C90" i="142"/>
  <c r="E89" i="142"/>
  <c r="D89" i="142"/>
  <c r="C89" i="142"/>
  <c r="E88" i="142"/>
  <c r="D88" i="142"/>
  <c r="C88" i="142"/>
  <c r="E87" i="142"/>
  <c r="D87" i="142"/>
  <c r="C87" i="142"/>
  <c r="E83" i="142"/>
  <c r="D83" i="142"/>
  <c r="C83" i="142"/>
  <c r="E82" i="142"/>
  <c r="D82" i="142"/>
  <c r="C82" i="142"/>
  <c r="E81" i="142"/>
  <c r="D81" i="142"/>
  <c r="C81" i="142"/>
  <c r="E80" i="142"/>
  <c r="D80" i="142"/>
  <c r="C80" i="142"/>
  <c r="E79" i="142"/>
  <c r="D79" i="142"/>
  <c r="C79" i="142"/>
  <c r="E78" i="142"/>
  <c r="D78" i="142"/>
  <c r="C78" i="142"/>
  <c r="E77" i="142"/>
  <c r="D77" i="142"/>
  <c r="C77" i="142"/>
  <c r="E76" i="142"/>
  <c r="D76" i="142"/>
  <c r="C76" i="142"/>
  <c r="E75" i="142"/>
  <c r="D75" i="142"/>
  <c r="C75" i="142"/>
  <c r="E74" i="142"/>
  <c r="D74" i="142"/>
  <c r="C74" i="142"/>
  <c r="E73" i="142"/>
  <c r="D73" i="142"/>
  <c r="C73" i="142"/>
  <c r="E72" i="142"/>
  <c r="D72" i="142"/>
  <c r="C72" i="142"/>
  <c r="E71" i="142"/>
  <c r="D71" i="142"/>
  <c r="C71" i="142"/>
  <c r="E70" i="142"/>
  <c r="D70" i="142"/>
  <c r="C70" i="142"/>
  <c r="E69" i="142"/>
  <c r="D69" i="142"/>
  <c r="C69" i="142"/>
  <c r="E65" i="142"/>
  <c r="D65" i="142"/>
  <c r="C65" i="142"/>
  <c r="E64" i="142"/>
  <c r="D64" i="142"/>
  <c r="C64" i="142"/>
  <c r="E63" i="142"/>
  <c r="D63" i="142"/>
  <c r="C63" i="142"/>
  <c r="E62" i="142"/>
  <c r="D62" i="142"/>
  <c r="C62" i="142"/>
  <c r="E61" i="142"/>
  <c r="D61" i="142"/>
  <c r="C61" i="142"/>
  <c r="E60" i="142"/>
  <c r="D60" i="142"/>
  <c r="C60" i="142"/>
  <c r="E59" i="142"/>
  <c r="D59" i="142"/>
  <c r="C59" i="142"/>
  <c r="E58" i="142"/>
  <c r="D58" i="142"/>
  <c r="C58" i="142"/>
  <c r="E57" i="142"/>
  <c r="D57" i="142"/>
  <c r="C57" i="142"/>
  <c r="E56" i="142"/>
  <c r="D56" i="142"/>
  <c r="C56" i="142"/>
  <c r="E55" i="142"/>
  <c r="D55" i="142"/>
  <c r="C55" i="142"/>
  <c r="E54" i="142"/>
  <c r="D54" i="142"/>
  <c r="C54" i="142"/>
  <c r="E53" i="142"/>
  <c r="D53" i="142"/>
  <c r="C53" i="142"/>
  <c r="E52" i="142"/>
  <c r="D52" i="142"/>
  <c r="C52" i="142"/>
  <c r="E51" i="142"/>
  <c r="D51" i="142"/>
  <c r="C51" i="142"/>
  <c r="E50" i="142"/>
  <c r="D50" i="142"/>
  <c r="C50" i="142"/>
  <c r="E49" i="142"/>
  <c r="D49" i="142"/>
  <c r="C49" i="142"/>
  <c r="E48" i="142"/>
  <c r="D48" i="142"/>
  <c r="C48" i="142"/>
  <c r="E47" i="142"/>
  <c r="D47" i="142"/>
  <c r="C47" i="142"/>
  <c r="E46" i="142"/>
  <c r="D46" i="142"/>
  <c r="C46" i="142"/>
  <c r="E45" i="142"/>
  <c r="D45" i="142"/>
  <c r="C45" i="142"/>
  <c r="E44" i="142"/>
  <c r="D44" i="142"/>
  <c r="C44" i="142"/>
  <c r="E43" i="142"/>
  <c r="D43" i="142"/>
  <c r="C43" i="142"/>
  <c r="E42" i="142"/>
  <c r="D42" i="142"/>
  <c r="C42" i="142"/>
  <c r="E41" i="142"/>
  <c r="D41" i="142"/>
  <c r="C41" i="142"/>
  <c r="E40" i="142"/>
  <c r="D40" i="142"/>
  <c r="C40" i="142"/>
  <c r="E39" i="142"/>
  <c r="D39" i="142"/>
  <c r="C39" i="142"/>
  <c r="E38" i="142"/>
  <c r="D38" i="142"/>
  <c r="C38" i="142"/>
  <c r="E37" i="142"/>
  <c r="D37" i="142"/>
  <c r="C37" i="142"/>
  <c r="E36" i="142"/>
  <c r="D36" i="142"/>
  <c r="C36" i="142"/>
  <c r="E35" i="142"/>
  <c r="D35" i="142"/>
  <c r="C35" i="142"/>
  <c r="E34" i="142"/>
  <c r="D34" i="142"/>
  <c r="C34" i="142"/>
  <c r="E33" i="142"/>
  <c r="D33" i="142"/>
  <c r="C33" i="142"/>
  <c r="E32" i="142"/>
  <c r="D32" i="142"/>
  <c r="C32" i="142"/>
  <c r="E31" i="142"/>
  <c r="D31" i="142"/>
  <c r="C31" i="142"/>
  <c r="E30" i="142"/>
  <c r="D30" i="142"/>
  <c r="C30" i="142"/>
  <c r="D25" i="142"/>
  <c r="C25" i="142"/>
  <c r="D24" i="142"/>
  <c r="C24" i="142"/>
  <c r="D23" i="142"/>
  <c r="C23" i="142"/>
  <c r="D22" i="142"/>
  <c r="C22" i="142"/>
  <c r="D21" i="142"/>
  <c r="C21" i="142"/>
  <c r="D20" i="142"/>
  <c r="C20" i="142"/>
  <c r="D19" i="142"/>
  <c r="C19" i="142"/>
  <c r="C18" i="142"/>
  <c r="D17" i="142"/>
  <c r="C17" i="142"/>
  <c r="D16" i="142"/>
  <c r="C16" i="142"/>
  <c r="D15" i="142"/>
  <c r="C15" i="142"/>
  <c r="D14" i="142"/>
  <c r="C14" i="142"/>
  <c r="D13" i="142"/>
  <c r="C13" i="142"/>
  <c r="D12" i="142"/>
  <c r="C12" i="142"/>
  <c r="C4" i="142"/>
  <c r="C3" i="142"/>
  <c r="A1" i="142"/>
  <c r="C238" i="142" l="1"/>
  <c r="F12" i="142"/>
  <c r="I12" i="142" s="1"/>
  <c r="C26" i="142"/>
  <c r="C98" i="142"/>
  <c r="D98" i="142"/>
  <c r="C166" i="142"/>
  <c r="D166" i="142"/>
  <c r="D26" i="142"/>
  <c r="E84" i="142"/>
  <c r="C107" i="142"/>
  <c r="D107" i="142"/>
  <c r="E107" i="142"/>
  <c r="E116" i="142"/>
  <c r="E202" i="142"/>
  <c r="E98" i="142"/>
  <c r="C116" i="142"/>
  <c r="E166" i="142"/>
  <c r="C211" i="142"/>
  <c r="D211" i="142"/>
  <c r="C233" i="142"/>
  <c r="C84" i="142"/>
  <c r="D84" i="142"/>
  <c r="C202" i="142"/>
  <c r="D202" i="142"/>
  <c r="C124" i="142"/>
  <c r="D124" i="142"/>
  <c r="D116" i="142"/>
  <c r="E211" i="142"/>
  <c r="E124" i="142"/>
  <c r="C66" i="142"/>
  <c r="D66" i="142"/>
  <c r="E66" i="142"/>
  <c r="C213" i="142" l="1"/>
  <c r="C217" i="142" s="1"/>
  <c r="D213" i="142"/>
  <c r="D220" i="142" s="1"/>
  <c r="E213" i="142"/>
  <c r="E220" i="142" s="1"/>
  <c r="C220" i="142" l="1"/>
  <c r="I249" i="165"/>
  <c r="I248" i="165"/>
  <c r="I247" i="165"/>
  <c r="I246" i="165"/>
  <c r="C243" i="165"/>
  <c r="C242" i="165"/>
  <c r="C241" i="165"/>
  <c r="C240" i="165"/>
  <c r="C237" i="165"/>
  <c r="C236" i="165"/>
  <c r="E233" i="165"/>
  <c r="D233" i="165"/>
  <c r="C232" i="165"/>
  <c r="C231" i="165"/>
  <c r="C230" i="165"/>
  <c r="C229" i="165"/>
  <c r="C228" i="165"/>
  <c r="C227" i="165"/>
  <c r="C226" i="165"/>
  <c r="C225" i="165"/>
  <c r="C224" i="165"/>
  <c r="C216" i="165"/>
  <c r="E210" i="165"/>
  <c r="D210" i="165"/>
  <c r="C210" i="165"/>
  <c r="E209" i="165"/>
  <c r="D209" i="165"/>
  <c r="C209" i="165"/>
  <c r="E208" i="165"/>
  <c r="D208" i="165"/>
  <c r="C208" i="165"/>
  <c r="E207" i="165"/>
  <c r="D207" i="165"/>
  <c r="C207" i="165"/>
  <c r="E206" i="165"/>
  <c r="D206" i="165"/>
  <c r="C206" i="165"/>
  <c r="E205" i="165"/>
  <c r="D205" i="165"/>
  <c r="C205" i="165"/>
  <c r="E201" i="165"/>
  <c r="D201" i="165"/>
  <c r="C201" i="165"/>
  <c r="E200" i="165"/>
  <c r="D200" i="165"/>
  <c r="C200" i="165"/>
  <c r="E199" i="165"/>
  <c r="D199" i="165"/>
  <c r="C199" i="165"/>
  <c r="E198" i="165"/>
  <c r="D198" i="165"/>
  <c r="C198" i="165"/>
  <c r="E197" i="165"/>
  <c r="D197" i="165"/>
  <c r="C197" i="165"/>
  <c r="E196" i="165"/>
  <c r="D196" i="165"/>
  <c r="C196" i="165"/>
  <c r="E195" i="165"/>
  <c r="D195" i="165"/>
  <c r="C195" i="165"/>
  <c r="E194" i="165"/>
  <c r="D194" i="165"/>
  <c r="C194" i="165"/>
  <c r="E193" i="165"/>
  <c r="D193" i="165"/>
  <c r="C193" i="165"/>
  <c r="E192" i="165"/>
  <c r="D192" i="165"/>
  <c r="C192" i="165"/>
  <c r="E191" i="165"/>
  <c r="D191" i="165"/>
  <c r="C191" i="165"/>
  <c r="E190" i="165"/>
  <c r="D190" i="165"/>
  <c r="C190" i="165"/>
  <c r="E189" i="165"/>
  <c r="D189" i="165"/>
  <c r="C189" i="165"/>
  <c r="E188" i="165"/>
  <c r="D188" i="165"/>
  <c r="C188" i="165"/>
  <c r="E187" i="165"/>
  <c r="D187" i="165"/>
  <c r="C187" i="165"/>
  <c r="E186" i="165"/>
  <c r="D186" i="165"/>
  <c r="C186" i="165"/>
  <c r="E185" i="165"/>
  <c r="D185" i="165"/>
  <c r="C185" i="165"/>
  <c r="E184" i="165"/>
  <c r="D184" i="165"/>
  <c r="C184" i="165"/>
  <c r="E183" i="165"/>
  <c r="D183" i="165"/>
  <c r="C183" i="165"/>
  <c r="E182" i="165"/>
  <c r="D182" i="165"/>
  <c r="C182" i="165"/>
  <c r="E181" i="165"/>
  <c r="D181" i="165"/>
  <c r="C181" i="165"/>
  <c r="E180" i="165"/>
  <c r="D180" i="165"/>
  <c r="C180" i="165"/>
  <c r="E179" i="165"/>
  <c r="D179" i="165"/>
  <c r="C179" i="165"/>
  <c r="E178" i="165"/>
  <c r="D178" i="165"/>
  <c r="C178" i="165"/>
  <c r="E177" i="165"/>
  <c r="D177" i="165"/>
  <c r="C177" i="165"/>
  <c r="E176" i="165"/>
  <c r="D176" i="165"/>
  <c r="C176" i="165"/>
  <c r="E175" i="165"/>
  <c r="D175" i="165"/>
  <c r="C175" i="165"/>
  <c r="E174" i="165"/>
  <c r="D174" i="165"/>
  <c r="C174" i="165"/>
  <c r="E173" i="165"/>
  <c r="D173" i="165"/>
  <c r="C173" i="165"/>
  <c r="E172" i="165"/>
  <c r="D172" i="165"/>
  <c r="C172" i="165"/>
  <c r="E171" i="165"/>
  <c r="D171" i="165"/>
  <c r="C171" i="165"/>
  <c r="E170" i="165"/>
  <c r="D170" i="165"/>
  <c r="C170" i="165"/>
  <c r="E169" i="165"/>
  <c r="D169" i="165"/>
  <c r="C169" i="165"/>
  <c r="E165" i="165"/>
  <c r="D165" i="165"/>
  <c r="C165" i="165"/>
  <c r="E164" i="165"/>
  <c r="D164" i="165"/>
  <c r="C164" i="165"/>
  <c r="E163" i="165"/>
  <c r="D163" i="165"/>
  <c r="C163" i="165"/>
  <c r="E162" i="165"/>
  <c r="D162" i="165"/>
  <c r="C162" i="165"/>
  <c r="E161" i="165"/>
  <c r="D161" i="165"/>
  <c r="C161" i="165"/>
  <c r="E160" i="165"/>
  <c r="D160" i="165"/>
  <c r="C160" i="165"/>
  <c r="E158" i="165"/>
  <c r="D158" i="165"/>
  <c r="C158" i="165"/>
  <c r="E157" i="165"/>
  <c r="D157" i="165"/>
  <c r="C157" i="165"/>
  <c r="E156" i="165"/>
  <c r="D156" i="165"/>
  <c r="C156" i="165"/>
  <c r="E155" i="165"/>
  <c r="D155" i="165"/>
  <c r="C155" i="165"/>
  <c r="E154" i="165"/>
  <c r="D154" i="165"/>
  <c r="C154" i="165"/>
  <c r="E153" i="165"/>
  <c r="D153" i="165"/>
  <c r="C153" i="165"/>
  <c r="E152" i="165"/>
  <c r="D152" i="165"/>
  <c r="C152" i="165"/>
  <c r="E151" i="165"/>
  <c r="D151" i="165"/>
  <c r="C151" i="165"/>
  <c r="E150" i="165"/>
  <c r="D150" i="165"/>
  <c r="C150" i="165"/>
  <c r="E148" i="165"/>
  <c r="D148" i="165"/>
  <c r="C148" i="165"/>
  <c r="E147" i="165"/>
  <c r="D147" i="165"/>
  <c r="C147" i="165"/>
  <c r="E146" i="165"/>
  <c r="D146" i="165"/>
  <c r="C146" i="165"/>
  <c r="E145" i="165"/>
  <c r="D145" i="165"/>
  <c r="C145" i="165"/>
  <c r="E143" i="165"/>
  <c r="D143" i="165"/>
  <c r="C143" i="165"/>
  <c r="E142" i="165"/>
  <c r="D142" i="165"/>
  <c r="C142" i="165"/>
  <c r="E141" i="165"/>
  <c r="D141" i="165"/>
  <c r="C141" i="165"/>
  <c r="E140" i="165"/>
  <c r="D140" i="165"/>
  <c r="C140" i="165"/>
  <c r="E138" i="165"/>
  <c r="D138" i="165"/>
  <c r="C138" i="165"/>
  <c r="E137" i="165"/>
  <c r="D137" i="165"/>
  <c r="C137" i="165"/>
  <c r="E136" i="165"/>
  <c r="D136" i="165"/>
  <c r="C136" i="165"/>
  <c r="E135" i="165"/>
  <c r="D135" i="165"/>
  <c r="C135" i="165"/>
  <c r="E134" i="165"/>
  <c r="D134" i="165"/>
  <c r="C134" i="165"/>
  <c r="E132" i="165"/>
  <c r="D132" i="165"/>
  <c r="C132" i="165"/>
  <c r="E131" i="165"/>
  <c r="D131" i="165"/>
  <c r="C131" i="165"/>
  <c r="E130" i="165"/>
  <c r="D130" i="165"/>
  <c r="C130" i="165"/>
  <c r="E129" i="165"/>
  <c r="D129" i="165"/>
  <c r="C129" i="165"/>
  <c r="E128" i="165"/>
  <c r="D128" i="165"/>
  <c r="C128" i="165"/>
  <c r="E123" i="165"/>
  <c r="D123" i="165"/>
  <c r="C123" i="165"/>
  <c r="E122" i="165"/>
  <c r="D122" i="165"/>
  <c r="C122" i="165"/>
  <c r="E121" i="165"/>
  <c r="D121" i="165"/>
  <c r="C121" i="165"/>
  <c r="E120" i="165"/>
  <c r="D120" i="165"/>
  <c r="C120" i="165"/>
  <c r="E119" i="165"/>
  <c r="D119" i="165"/>
  <c r="C119" i="165"/>
  <c r="E115" i="165"/>
  <c r="D115" i="165"/>
  <c r="C115" i="165"/>
  <c r="E114" i="165"/>
  <c r="D114" i="165"/>
  <c r="C114" i="165"/>
  <c r="E113" i="165"/>
  <c r="D113" i="165"/>
  <c r="C113" i="165"/>
  <c r="E112" i="165"/>
  <c r="D112" i="165"/>
  <c r="C112" i="165"/>
  <c r="E111" i="165"/>
  <c r="D111" i="165"/>
  <c r="C111" i="165"/>
  <c r="E110" i="165"/>
  <c r="D110" i="165"/>
  <c r="C110" i="165"/>
  <c r="E106" i="165"/>
  <c r="D106" i="165"/>
  <c r="C106" i="165"/>
  <c r="E105" i="165"/>
  <c r="D105" i="165"/>
  <c r="C105" i="165"/>
  <c r="E104" i="165"/>
  <c r="D104" i="165"/>
  <c r="C104" i="165"/>
  <c r="E103" i="165"/>
  <c r="D103" i="165"/>
  <c r="C103" i="165"/>
  <c r="E102" i="165"/>
  <c r="D102" i="165"/>
  <c r="C102" i="165"/>
  <c r="E101" i="165"/>
  <c r="D101" i="165"/>
  <c r="C101" i="165"/>
  <c r="E97" i="165"/>
  <c r="D97" i="165"/>
  <c r="C97" i="165"/>
  <c r="E96" i="165"/>
  <c r="D96" i="165"/>
  <c r="C96" i="165"/>
  <c r="E95" i="165"/>
  <c r="D95" i="165"/>
  <c r="C95" i="165"/>
  <c r="E94" i="165"/>
  <c r="D94" i="165"/>
  <c r="C94" i="165"/>
  <c r="E93" i="165"/>
  <c r="D93" i="165"/>
  <c r="C93" i="165"/>
  <c r="E92" i="165"/>
  <c r="D92" i="165"/>
  <c r="C92" i="165"/>
  <c r="E91" i="165"/>
  <c r="D91" i="165"/>
  <c r="C91" i="165"/>
  <c r="E90" i="165"/>
  <c r="D90" i="165"/>
  <c r="C90" i="165"/>
  <c r="E89" i="165"/>
  <c r="D89" i="165"/>
  <c r="C89" i="165"/>
  <c r="E88" i="165"/>
  <c r="D88" i="165"/>
  <c r="C88" i="165"/>
  <c r="E87" i="165"/>
  <c r="D87" i="165"/>
  <c r="C87" i="165"/>
  <c r="E83" i="165"/>
  <c r="D83" i="165"/>
  <c r="C83" i="165"/>
  <c r="E82" i="165"/>
  <c r="D82" i="165"/>
  <c r="C82" i="165"/>
  <c r="E81" i="165"/>
  <c r="D81" i="165"/>
  <c r="C81" i="165"/>
  <c r="E80" i="165"/>
  <c r="D80" i="165"/>
  <c r="C80" i="165"/>
  <c r="E79" i="165"/>
  <c r="D79" i="165"/>
  <c r="C79" i="165"/>
  <c r="E78" i="165"/>
  <c r="D78" i="165"/>
  <c r="C78" i="165"/>
  <c r="E77" i="165"/>
  <c r="D77" i="165"/>
  <c r="C77" i="165"/>
  <c r="E76" i="165"/>
  <c r="D76" i="165"/>
  <c r="C76" i="165"/>
  <c r="E75" i="165"/>
  <c r="D75" i="165"/>
  <c r="C75" i="165"/>
  <c r="E74" i="165"/>
  <c r="D74" i="165"/>
  <c r="C74" i="165"/>
  <c r="E73" i="165"/>
  <c r="D73" i="165"/>
  <c r="C73" i="165"/>
  <c r="E72" i="165"/>
  <c r="D72" i="165"/>
  <c r="C72" i="165"/>
  <c r="E71" i="165"/>
  <c r="D71" i="165"/>
  <c r="C71" i="165"/>
  <c r="E70" i="165"/>
  <c r="D70" i="165"/>
  <c r="C70" i="165"/>
  <c r="E69" i="165"/>
  <c r="D69" i="165"/>
  <c r="C69" i="165"/>
  <c r="E65" i="165"/>
  <c r="D65" i="165"/>
  <c r="C65" i="165"/>
  <c r="E64" i="165"/>
  <c r="D64" i="165"/>
  <c r="C64" i="165"/>
  <c r="E63" i="165"/>
  <c r="D63" i="165"/>
  <c r="C63" i="165"/>
  <c r="E62" i="165"/>
  <c r="D62" i="165"/>
  <c r="C62" i="165"/>
  <c r="E61" i="165"/>
  <c r="D61" i="165"/>
  <c r="C61" i="165"/>
  <c r="E60" i="165"/>
  <c r="D60" i="165"/>
  <c r="C60" i="165"/>
  <c r="E59" i="165"/>
  <c r="D59" i="165"/>
  <c r="C59" i="165"/>
  <c r="E58" i="165"/>
  <c r="D58" i="165"/>
  <c r="C58" i="165"/>
  <c r="E57" i="165"/>
  <c r="D57" i="165"/>
  <c r="C57" i="165"/>
  <c r="E56" i="165"/>
  <c r="D56" i="165"/>
  <c r="C56" i="165"/>
  <c r="E55" i="165"/>
  <c r="D55" i="165"/>
  <c r="C55" i="165"/>
  <c r="E54" i="165"/>
  <c r="D54" i="165"/>
  <c r="C54" i="165"/>
  <c r="E53" i="165"/>
  <c r="D53" i="165"/>
  <c r="C53" i="165"/>
  <c r="E52" i="165"/>
  <c r="D52" i="165"/>
  <c r="C52" i="165"/>
  <c r="E51" i="165"/>
  <c r="D51" i="165"/>
  <c r="C51" i="165"/>
  <c r="E50" i="165"/>
  <c r="D50" i="165"/>
  <c r="C50" i="165"/>
  <c r="E49" i="165"/>
  <c r="D49" i="165"/>
  <c r="C49" i="165"/>
  <c r="E48" i="165"/>
  <c r="D48" i="165"/>
  <c r="C48" i="165"/>
  <c r="E47" i="165"/>
  <c r="D47" i="165"/>
  <c r="C47" i="165"/>
  <c r="E46" i="165"/>
  <c r="D46" i="165"/>
  <c r="C46" i="165"/>
  <c r="E45" i="165"/>
  <c r="D45" i="165"/>
  <c r="C45" i="165"/>
  <c r="E44" i="165"/>
  <c r="D44" i="165"/>
  <c r="C44" i="165"/>
  <c r="E43" i="165"/>
  <c r="D43" i="165"/>
  <c r="C43" i="165"/>
  <c r="E42" i="165"/>
  <c r="D42" i="165"/>
  <c r="C42" i="165"/>
  <c r="E41" i="165"/>
  <c r="D41" i="165"/>
  <c r="C41" i="165"/>
  <c r="E40" i="165"/>
  <c r="D40" i="165"/>
  <c r="C40" i="165"/>
  <c r="E39" i="165"/>
  <c r="D39" i="165"/>
  <c r="C39" i="165"/>
  <c r="E38" i="165"/>
  <c r="D38" i="165"/>
  <c r="C38" i="165"/>
  <c r="E37" i="165"/>
  <c r="D37" i="165"/>
  <c r="C37" i="165"/>
  <c r="E36" i="165"/>
  <c r="D36" i="165"/>
  <c r="C36" i="165"/>
  <c r="E35" i="165"/>
  <c r="D35" i="165"/>
  <c r="C35" i="165"/>
  <c r="E34" i="165"/>
  <c r="D34" i="165"/>
  <c r="C34" i="165"/>
  <c r="E33" i="165"/>
  <c r="D33" i="165"/>
  <c r="C33" i="165"/>
  <c r="E32" i="165"/>
  <c r="D32" i="165"/>
  <c r="C32" i="165"/>
  <c r="E31" i="165"/>
  <c r="D31" i="165"/>
  <c r="C31" i="165"/>
  <c r="E30" i="165"/>
  <c r="D30" i="165"/>
  <c r="C30" i="165"/>
  <c r="D25" i="165"/>
  <c r="C25" i="165"/>
  <c r="D24" i="165"/>
  <c r="C24" i="165"/>
  <c r="D23" i="165"/>
  <c r="C23" i="165"/>
  <c r="D22" i="165"/>
  <c r="C22" i="165"/>
  <c r="D21" i="165"/>
  <c r="C21" i="165"/>
  <c r="D20" i="165"/>
  <c r="C20" i="165"/>
  <c r="D19" i="165"/>
  <c r="C19" i="165"/>
  <c r="D18" i="165"/>
  <c r="C18" i="165"/>
  <c r="D17" i="165"/>
  <c r="C17" i="165"/>
  <c r="D16" i="165"/>
  <c r="C16" i="165"/>
  <c r="D15" i="165"/>
  <c r="C15" i="165"/>
  <c r="D14" i="165"/>
  <c r="C14" i="165"/>
  <c r="D13" i="165"/>
  <c r="C13" i="165"/>
  <c r="D12" i="165"/>
  <c r="C12" i="165"/>
  <c r="F12" i="165" s="1"/>
  <c r="I12" i="165" s="1"/>
  <c r="C4" i="165"/>
  <c r="C3" i="165"/>
  <c r="C238" i="165" l="1"/>
  <c r="C26" i="165"/>
  <c r="D26" i="165"/>
  <c r="D84" i="165"/>
  <c r="C98" i="165"/>
  <c r="C166" i="165"/>
  <c r="D166" i="165"/>
  <c r="D202" i="165"/>
  <c r="E211" i="165"/>
  <c r="E84" i="165"/>
  <c r="D98" i="165"/>
  <c r="C107" i="165"/>
  <c r="E107" i="165"/>
  <c r="E116" i="165"/>
  <c r="C124" i="165"/>
  <c r="E202" i="165"/>
  <c r="E98" i="165"/>
  <c r="D107" i="165"/>
  <c r="D116" i="165"/>
  <c r="D124" i="165"/>
  <c r="E166" i="165"/>
  <c r="C211" i="165"/>
  <c r="C84" i="165"/>
  <c r="C116" i="165"/>
  <c r="E124" i="165"/>
  <c r="C202" i="165"/>
  <c r="D211" i="165"/>
  <c r="C233" i="165"/>
  <c r="C66" i="165"/>
  <c r="D66" i="165"/>
  <c r="E66" i="165"/>
  <c r="E213" i="165" l="1"/>
  <c r="E220" i="165" s="1"/>
  <c r="D213" i="165"/>
  <c r="D220" i="165" s="1"/>
  <c r="C213" i="165"/>
  <c r="C217" i="165" s="1"/>
  <c r="C220" i="165" l="1"/>
  <c r="D18" i="135" l="1"/>
  <c r="C243" i="135"/>
  <c r="C242" i="135"/>
  <c r="C241" i="135"/>
  <c r="C240" i="135"/>
  <c r="C237" i="135"/>
  <c r="C236" i="135"/>
  <c r="E233" i="135"/>
  <c r="D233" i="135"/>
  <c r="C232" i="135"/>
  <c r="C231" i="135"/>
  <c r="C230" i="135"/>
  <c r="C229" i="135"/>
  <c r="C228" i="135"/>
  <c r="C227" i="135"/>
  <c r="C226" i="135"/>
  <c r="C225" i="135"/>
  <c r="C224" i="135"/>
  <c r="C216" i="135"/>
  <c r="E210" i="135"/>
  <c r="D210" i="135"/>
  <c r="C210" i="135"/>
  <c r="E209" i="135"/>
  <c r="D209" i="135"/>
  <c r="C209" i="135"/>
  <c r="E208" i="135"/>
  <c r="D208" i="135"/>
  <c r="C208" i="135"/>
  <c r="E207" i="135"/>
  <c r="D207" i="135"/>
  <c r="C207" i="135"/>
  <c r="E206" i="135"/>
  <c r="D206" i="135"/>
  <c r="C206" i="135"/>
  <c r="E205" i="135"/>
  <c r="D205" i="135"/>
  <c r="C205" i="135"/>
  <c r="E201" i="135"/>
  <c r="D201" i="135"/>
  <c r="C201" i="135"/>
  <c r="E200" i="135"/>
  <c r="D200" i="135"/>
  <c r="C200" i="135"/>
  <c r="E199" i="135"/>
  <c r="D199" i="135"/>
  <c r="C199" i="135"/>
  <c r="E198" i="135"/>
  <c r="D198" i="135"/>
  <c r="C198" i="135"/>
  <c r="E197" i="135"/>
  <c r="D197" i="135"/>
  <c r="C197" i="135"/>
  <c r="E196" i="135"/>
  <c r="D196" i="135"/>
  <c r="C196" i="135"/>
  <c r="E195" i="135"/>
  <c r="D195" i="135"/>
  <c r="C195" i="135"/>
  <c r="E194" i="135"/>
  <c r="D194" i="135"/>
  <c r="C194" i="135"/>
  <c r="E193" i="135"/>
  <c r="D193" i="135"/>
  <c r="C193" i="135"/>
  <c r="E192" i="135"/>
  <c r="D192" i="135"/>
  <c r="C192" i="135"/>
  <c r="E191" i="135"/>
  <c r="D191" i="135"/>
  <c r="C191" i="135"/>
  <c r="E190" i="135"/>
  <c r="D190" i="135"/>
  <c r="C190" i="135"/>
  <c r="E189" i="135"/>
  <c r="D189" i="135"/>
  <c r="C189" i="135"/>
  <c r="E188" i="135"/>
  <c r="D188" i="135"/>
  <c r="C188" i="135"/>
  <c r="E187" i="135"/>
  <c r="D187" i="135"/>
  <c r="C187" i="135"/>
  <c r="E186" i="135"/>
  <c r="D186" i="135"/>
  <c r="C186" i="135"/>
  <c r="E185" i="135"/>
  <c r="D185" i="135"/>
  <c r="C185" i="135"/>
  <c r="E184" i="135"/>
  <c r="D184" i="135"/>
  <c r="C184" i="135"/>
  <c r="E183" i="135"/>
  <c r="D183" i="135"/>
  <c r="C183" i="135"/>
  <c r="E182" i="135"/>
  <c r="D182" i="135"/>
  <c r="C182" i="135"/>
  <c r="E181" i="135"/>
  <c r="D181" i="135"/>
  <c r="C181" i="135"/>
  <c r="E180" i="135"/>
  <c r="D180" i="135"/>
  <c r="C180" i="135"/>
  <c r="E179" i="135"/>
  <c r="D179" i="135"/>
  <c r="C179" i="135"/>
  <c r="E178" i="135"/>
  <c r="D178" i="135"/>
  <c r="C178" i="135"/>
  <c r="E177" i="135"/>
  <c r="D177" i="135"/>
  <c r="C177" i="135"/>
  <c r="E176" i="135"/>
  <c r="D176" i="135"/>
  <c r="C176" i="135"/>
  <c r="E175" i="135"/>
  <c r="D175" i="135"/>
  <c r="C175" i="135"/>
  <c r="E174" i="135"/>
  <c r="D174" i="135"/>
  <c r="C174" i="135"/>
  <c r="E173" i="135"/>
  <c r="D173" i="135"/>
  <c r="C173" i="135"/>
  <c r="E172" i="135"/>
  <c r="D172" i="135"/>
  <c r="C172" i="135"/>
  <c r="E171" i="135"/>
  <c r="D171" i="135"/>
  <c r="C171" i="135"/>
  <c r="E170" i="135"/>
  <c r="D170" i="135"/>
  <c r="C170" i="135"/>
  <c r="E169" i="135"/>
  <c r="D169" i="135"/>
  <c r="C169" i="135"/>
  <c r="E165" i="135"/>
  <c r="D165" i="135"/>
  <c r="C165" i="135"/>
  <c r="E164" i="135"/>
  <c r="D164" i="135"/>
  <c r="C164" i="135"/>
  <c r="E163" i="135"/>
  <c r="D163" i="135"/>
  <c r="C163" i="135"/>
  <c r="E162" i="135"/>
  <c r="D162" i="135"/>
  <c r="C162" i="135"/>
  <c r="E161" i="135"/>
  <c r="D161" i="135"/>
  <c r="C161" i="135"/>
  <c r="E160" i="135"/>
  <c r="D160" i="135"/>
  <c r="C160" i="135"/>
  <c r="E158" i="135"/>
  <c r="D158" i="135"/>
  <c r="C158" i="135"/>
  <c r="E157" i="135"/>
  <c r="D157" i="135"/>
  <c r="C157" i="135"/>
  <c r="E156" i="135"/>
  <c r="D156" i="135"/>
  <c r="C156" i="135"/>
  <c r="E155" i="135"/>
  <c r="D155" i="135"/>
  <c r="C155" i="135"/>
  <c r="E154" i="135"/>
  <c r="D154" i="135"/>
  <c r="C154" i="135"/>
  <c r="E153" i="135"/>
  <c r="D153" i="135"/>
  <c r="C153" i="135"/>
  <c r="E152" i="135"/>
  <c r="D152" i="135"/>
  <c r="C152" i="135"/>
  <c r="E151" i="135"/>
  <c r="D151" i="135"/>
  <c r="C151" i="135"/>
  <c r="E150" i="135"/>
  <c r="D150" i="135"/>
  <c r="C150" i="135"/>
  <c r="E148" i="135"/>
  <c r="D148" i="135"/>
  <c r="C148" i="135"/>
  <c r="E147" i="135"/>
  <c r="D147" i="135"/>
  <c r="C147" i="135"/>
  <c r="E146" i="135"/>
  <c r="D146" i="135"/>
  <c r="C146" i="135"/>
  <c r="E145" i="135"/>
  <c r="D145" i="135"/>
  <c r="C145" i="135"/>
  <c r="E143" i="135"/>
  <c r="D143" i="135"/>
  <c r="C143" i="135"/>
  <c r="E142" i="135"/>
  <c r="D142" i="135"/>
  <c r="C142" i="135"/>
  <c r="E141" i="135"/>
  <c r="D141" i="135"/>
  <c r="C141" i="135"/>
  <c r="E140" i="135"/>
  <c r="D140" i="135"/>
  <c r="C140" i="135"/>
  <c r="E138" i="135"/>
  <c r="D138" i="135"/>
  <c r="C138" i="135"/>
  <c r="E137" i="135"/>
  <c r="D137" i="135"/>
  <c r="C137" i="135"/>
  <c r="E136" i="135"/>
  <c r="D136" i="135"/>
  <c r="C136" i="135"/>
  <c r="E135" i="135"/>
  <c r="D135" i="135"/>
  <c r="C135" i="135"/>
  <c r="E134" i="135"/>
  <c r="D134" i="135"/>
  <c r="C134" i="135"/>
  <c r="E132" i="135"/>
  <c r="D132" i="135"/>
  <c r="C132" i="135"/>
  <c r="E131" i="135"/>
  <c r="D131" i="135"/>
  <c r="C131" i="135"/>
  <c r="E130" i="135"/>
  <c r="D130" i="135"/>
  <c r="C130" i="135"/>
  <c r="E129" i="135"/>
  <c r="D129" i="135"/>
  <c r="C129" i="135"/>
  <c r="E128" i="135"/>
  <c r="D128" i="135"/>
  <c r="C128" i="135"/>
  <c r="E123" i="135"/>
  <c r="D123" i="135"/>
  <c r="C123" i="135"/>
  <c r="E122" i="135"/>
  <c r="D122" i="135"/>
  <c r="C122" i="135"/>
  <c r="E121" i="135"/>
  <c r="D121" i="135"/>
  <c r="C121" i="135"/>
  <c r="E120" i="135"/>
  <c r="D120" i="135"/>
  <c r="C120" i="135"/>
  <c r="E119" i="135"/>
  <c r="D119" i="135"/>
  <c r="C119" i="135"/>
  <c r="E115" i="135"/>
  <c r="D115" i="135"/>
  <c r="C115" i="135"/>
  <c r="E114" i="135"/>
  <c r="D114" i="135"/>
  <c r="C114" i="135"/>
  <c r="E113" i="135"/>
  <c r="D113" i="135"/>
  <c r="C113" i="135"/>
  <c r="E112" i="135"/>
  <c r="D112" i="135"/>
  <c r="C112" i="135"/>
  <c r="E111" i="135"/>
  <c r="D111" i="135"/>
  <c r="C111" i="135"/>
  <c r="E110" i="135"/>
  <c r="D110" i="135"/>
  <c r="C110" i="135"/>
  <c r="E106" i="135"/>
  <c r="D106" i="135"/>
  <c r="C106" i="135"/>
  <c r="E105" i="135"/>
  <c r="D105" i="135"/>
  <c r="C105" i="135"/>
  <c r="E104" i="135"/>
  <c r="D104" i="135"/>
  <c r="C104" i="135"/>
  <c r="E103" i="135"/>
  <c r="D103" i="135"/>
  <c r="C103" i="135"/>
  <c r="E102" i="135"/>
  <c r="D102" i="135"/>
  <c r="C102" i="135"/>
  <c r="E101" i="135"/>
  <c r="D101" i="135"/>
  <c r="C101" i="135"/>
  <c r="E97" i="135"/>
  <c r="D97" i="135"/>
  <c r="C97" i="135"/>
  <c r="E96" i="135"/>
  <c r="D96" i="135"/>
  <c r="C96" i="135"/>
  <c r="E95" i="135"/>
  <c r="D95" i="135"/>
  <c r="C95" i="135"/>
  <c r="E94" i="135"/>
  <c r="D94" i="135"/>
  <c r="C94" i="135"/>
  <c r="E93" i="135"/>
  <c r="D93" i="135"/>
  <c r="C93" i="135"/>
  <c r="E92" i="135"/>
  <c r="D92" i="135"/>
  <c r="C92" i="135"/>
  <c r="E91" i="135"/>
  <c r="D91" i="135"/>
  <c r="C91" i="135"/>
  <c r="E90" i="135"/>
  <c r="D90" i="135"/>
  <c r="C90" i="135"/>
  <c r="E89" i="135"/>
  <c r="D89" i="135"/>
  <c r="C89" i="135"/>
  <c r="E88" i="135"/>
  <c r="D88" i="135"/>
  <c r="C88" i="135"/>
  <c r="E87" i="135"/>
  <c r="D87" i="135"/>
  <c r="C87" i="135"/>
  <c r="E83" i="135"/>
  <c r="D83" i="135"/>
  <c r="C83" i="135"/>
  <c r="E82" i="135"/>
  <c r="D82" i="135"/>
  <c r="C82" i="135"/>
  <c r="E81" i="135"/>
  <c r="D81" i="135"/>
  <c r="C81" i="135"/>
  <c r="E80" i="135"/>
  <c r="D80" i="135"/>
  <c r="C80" i="135"/>
  <c r="E79" i="135"/>
  <c r="D79" i="135"/>
  <c r="C79" i="135"/>
  <c r="E78" i="135"/>
  <c r="D78" i="135"/>
  <c r="C78" i="135"/>
  <c r="E77" i="135"/>
  <c r="D77" i="135"/>
  <c r="C77" i="135"/>
  <c r="E76" i="135"/>
  <c r="D76" i="135"/>
  <c r="C76" i="135"/>
  <c r="E75" i="135"/>
  <c r="D75" i="135"/>
  <c r="C75" i="135"/>
  <c r="E74" i="135"/>
  <c r="D74" i="135"/>
  <c r="C74" i="135"/>
  <c r="E73" i="135"/>
  <c r="D73" i="135"/>
  <c r="C73" i="135"/>
  <c r="E72" i="135"/>
  <c r="D72" i="135"/>
  <c r="C72" i="135"/>
  <c r="E71" i="135"/>
  <c r="D71" i="135"/>
  <c r="C71" i="135"/>
  <c r="E70" i="135"/>
  <c r="D70" i="135"/>
  <c r="C70" i="135"/>
  <c r="E69" i="135"/>
  <c r="D69" i="135"/>
  <c r="C69" i="135"/>
  <c r="E65" i="135"/>
  <c r="D65" i="135"/>
  <c r="C65" i="135"/>
  <c r="E64" i="135"/>
  <c r="D64" i="135"/>
  <c r="C64" i="135"/>
  <c r="E63" i="135"/>
  <c r="D63" i="135"/>
  <c r="C63" i="135"/>
  <c r="E62" i="135"/>
  <c r="D62" i="135"/>
  <c r="C62" i="135"/>
  <c r="E61" i="135"/>
  <c r="D61" i="135"/>
  <c r="C61" i="135"/>
  <c r="E60" i="135"/>
  <c r="D60" i="135"/>
  <c r="C60" i="135"/>
  <c r="E59" i="135"/>
  <c r="D59" i="135"/>
  <c r="C59" i="135"/>
  <c r="E58" i="135"/>
  <c r="D58" i="135"/>
  <c r="C58" i="135"/>
  <c r="E57" i="135"/>
  <c r="D57" i="135"/>
  <c r="C57" i="135"/>
  <c r="E56" i="135"/>
  <c r="D56" i="135"/>
  <c r="C56" i="135"/>
  <c r="E55" i="135"/>
  <c r="D55" i="135"/>
  <c r="C55" i="135"/>
  <c r="E54" i="135"/>
  <c r="D54" i="135"/>
  <c r="C54" i="135"/>
  <c r="E53" i="135"/>
  <c r="D53" i="135"/>
  <c r="C53" i="135"/>
  <c r="E52" i="135"/>
  <c r="D52" i="135"/>
  <c r="C52" i="135"/>
  <c r="E51" i="135"/>
  <c r="D51" i="135"/>
  <c r="C51" i="135"/>
  <c r="E50" i="135"/>
  <c r="D50" i="135"/>
  <c r="C50" i="135"/>
  <c r="E49" i="135"/>
  <c r="D49" i="135"/>
  <c r="C49" i="135"/>
  <c r="E48" i="135"/>
  <c r="D48" i="135"/>
  <c r="C48" i="135"/>
  <c r="E47" i="135"/>
  <c r="D47" i="135"/>
  <c r="C47" i="135"/>
  <c r="E46" i="135"/>
  <c r="D46" i="135"/>
  <c r="C46" i="135"/>
  <c r="E45" i="135"/>
  <c r="D45" i="135"/>
  <c r="C45" i="135"/>
  <c r="E44" i="135"/>
  <c r="D44" i="135"/>
  <c r="C44" i="135"/>
  <c r="E43" i="135"/>
  <c r="D43" i="135"/>
  <c r="C43" i="135"/>
  <c r="E42" i="135"/>
  <c r="D42" i="135"/>
  <c r="C42" i="135"/>
  <c r="E41" i="135"/>
  <c r="D41" i="135"/>
  <c r="C41" i="135"/>
  <c r="E40" i="135"/>
  <c r="D40" i="135"/>
  <c r="C40" i="135"/>
  <c r="E39" i="135"/>
  <c r="D39" i="135"/>
  <c r="C39" i="135"/>
  <c r="E38" i="135"/>
  <c r="D38" i="135"/>
  <c r="C38" i="135"/>
  <c r="E37" i="135"/>
  <c r="D37" i="135"/>
  <c r="C37" i="135"/>
  <c r="E36" i="135"/>
  <c r="D36" i="135"/>
  <c r="C36" i="135"/>
  <c r="E35" i="135"/>
  <c r="D35" i="135"/>
  <c r="C35" i="135"/>
  <c r="E34" i="135"/>
  <c r="D34" i="135"/>
  <c r="C34" i="135"/>
  <c r="E33" i="135"/>
  <c r="D33" i="135"/>
  <c r="C33" i="135"/>
  <c r="E32" i="135"/>
  <c r="D32" i="135"/>
  <c r="C32" i="135"/>
  <c r="E31" i="135"/>
  <c r="D31" i="135"/>
  <c r="C31" i="135"/>
  <c r="E30" i="135"/>
  <c r="D30" i="135"/>
  <c r="C30" i="135"/>
  <c r="D25" i="135"/>
  <c r="C25" i="135"/>
  <c r="D24" i="135"/>
  <c r="C24" i="135"/>
  <c r="D23" i="135"/>
  <c r="C23" i="135"/>
  <c r="D22" i="135"/>
  <c r="C22" i="135"/>
  <c r="D21" i="135"/>
  <c r="C21" i="135"/>
  <c r="D20" i="135"/>
  <c r="C20" i="135"/>
  <c r="D19" i="135"/>
  <c r="C19" i="135"/>
  <c r="C18" i="135"/>
  <c r="D17" i="135"/>
  <c r="C17" i="135"/>
  <c r="D16" i="135"/>
  <c r="C16" i="135"/>
  <c r="D15" i="135"/>
  <c r="C15" i="135"/>
  <c r="D14" i="135"/>
  <c r="C14" i="135"/>
  <c r="D13" i="135"/>
  <c r="C13" i="135"/>
  <c r="D12" i="135"/>
  <c r="C12" i="135"/>
  <c r="F12" i="135" s="1"/>
  <c r="I12" i="135" s="1"/>
  <c r="C4" i="135"/>
  <c r="C238" i="135" s="1"/>
  <c r="C3" i="135"/>
  <c r="D26" i="135" l="1"/>
  <c r="C26" i="135"/>
  <c r="D84" i="135"/>
  <c r="C98" i="135"/>
  <c r="C124" i="135"/>
  <c r="C166" i="135"/>
  <c r="D166" i="135"/>
  <c r="D202" i="135"/>
  <c r="E84" i="135"/>
  <c r="D98" i="135"/>
  <c r="C107" i="135"/>
  <c r="E107" i="135"/>
  <c r="E166" i="135"/>
  <c r="E202" i="135"/>
  <c r="C233" i="135"/>
  <c r="E98" i="135"/>
  <c r="D107" i="135"/>
  <c r="D116" i="135"/>
  <c r="D124" i="135"/>
  <c r="C202" i="135"/>
  <c r="C211" i="135"/>
  <c r="E211" i="135"/>
  <c r="C84" i="135"/>
  <c r="C116" i="135"/>
  <c r="E116" i="135"/>
  <c r="E124" i="135"/>
  <c r="D211" i="135"/>
  <c r="C66" i="135"/>
  <c r="D66" i="135"/>
  <c r="E66" i="135"/>
  <c r="E213" i="135" l="1"/>
  <c r="E220" i="135" s="1"/>
  <c r="C213" i="135"/>
  <c r="C217" i="135" s="1"/>
  <c r="D213" i="135"/>
  <c r="D220" i="135" s="1"/>
  <c r="C220" i="135" l="1"/>
  <c r="I249" i="64"/>
  <c r="I248" i="64"/>
  <c r="I247" i="64"/>
  <c r="I246" i="64"/>
  <c r="C243" i="64"/>
  <c r="C242" i="64"/>
  <c r="C241" i="64"/>
  <c r="C240" i="64"/>
  <c r="C237" i="64"/>
  <c r="C236" i="64"/>
  <c r="E233" i="64"/>
  <c r="D233" i="64"/>
  <c r="C232" i="64"/>
  <c r="C231" i="64"/>
  <c r="C230" i="64"/>
  <c r="C229" i="64"/>
  <c r="C228" i="64"/>
  <c r="C227" i="64"/>
  <c r="C226" i="64"/>
  <c r="C225" i="64"/>
  <c r="C224" i="64"/>
  <c r="C216" i="64"/>
  <c r="E210" i="64"/>
  <c r="D210" i="64"/>
  <c r="C210" i="64"/>
  <c r="E209" i="64"/>
  <c r="D209" i="64"/>
  <c r="C209" i="64"/>
  <c r="E208" i="64"/>
  <c r="D208" i="64"/>
  <c r="C208" i="64"/>
  <c r="E207" i="64"/>
  <c r="D207" i="64"/>
  <c r="C207" i="64"/>
  <c r="E206" i="64"/>
  <c r="D206" i="64"/>
  <c r="C206" i="64"/>
  <c r="E205" i="64"/>
  <c r="D205" i="64"/>
  <c r="C205" i="64"/>
  <c r="E201" i="64"/>
  <c r="D201" i="64"/>
  <c r="C201" i="64"/>
  <c r="E200" i="64"/>
  <c r="D200" i="64"/>
  <c r="C200" i="64"/>
  <c r="E199" i="64"/>
  <c r="D199" i="64"/>
  <c r="C199" i="64"/>
  <c r="E198" i="64"/>
  <c r="D198" i="64"/>
  <c r="C198" i="64"/>
  <c r="E197" i="64"/>
  <c r="D197" i="64"/>
  <c r="C197" i="64"/>
  <c r="E196" i="64"/>
  <c r="D196" i="64"/>
  <c r="C196" i="64"/>
  <c r="E195" i="64"/>
  <c r="D195" i="64"/>
  <c r="C195" i="64"/>
  <c r="E194" i="64"/>
  <c r="D194" i="64"/>
  <c r="C194" i="64"/>
  <c r="E193" i="64"/>
  <c r="D193" i="64"/>
  <c r="C193" i="64"/>
  <c r="E192" i="64"/>
  <c r="D192" i="64"/>
  <c r="C192" i="64"/>
  <c r="E191" i="64"/>
  <c r="D191" i="64"/>
  <c r="C191" i="64"/>
  <c r="E190" i="64"/>
  <c r="D190" i="64"/>
  <c r="C190" i="64"/>
  <c r="E189" i="64"/>
  <c r="D189" i="64"/>
  <c r="C189" i="64"/>
  <c r="E188" i="64"/>
  <c r="D188" i="64"/>
  <c r="C188" i="64"/>
  <c r="E187" i="64"/>
  <c r="D187" i="64"/>
  <c r="C187" i="64"/>
  <c r="E186" i="64"/>
  <c r="D186" i="64"/>
  <c r="C186" i="64"/>
  <c r="E185" i="64"/>
  <c r="D185" i="64"/>
  <c r="C185" i="64"/>
  <c r="E184" i="64"/>
  <c r="D184" i="64"/>
  <c r="C184" i="64"/>
  <c r="E183" i="64"/>
  <c r="D183" i="64"/>
  <c r="C183" i="64"/>
  <c r="E182" i="64"/>
  <c r="D182" i="64"/>
  <c r="C182" i="64"/>
  <c r="E181" i="64"/>
  <c r="D181" i="64"/>
  <c r="C181" i="64"/>
  <c r="E180" i="64"/>
  <c r="D180" i="64"/>
  <c r="C180" i="64"/>
  <c r="E179" i="64"/>
  <c r="D179" i="64"/>
  <c r="C179" i="64"/>
  <c r="E178" i="64"/>
  <c r="D178" i="64"/>
  <c r="C178" i="64"/>
  <c r="E177" i="64"/>
  <c r="D177" i="64"/>
  <c r="C177" i="64"/>
  <c r="E176" i="64"/>
  <c r="D176" i="64"/>
  <c r="C176" i="64"/>
  <c r="E175" i="64"/>
  <c r="D175" i="64"/>
  <c r="C175" i="64"/>
  <c r="E174" i="64"/>
  <c r="D174" i="64"/>
  <c r="C174" i="64"/>
  <c r="E173" i="64"/>
  <c r="D173" i="64"/>
  <c r="C173" i="64"/>
  <c r="E172" i="64"/>
  <c r="D172" i="64"/>
  <c r="C172" i="64"/>
  <c r="E171" i="64"/>
  <c r="D171" i="64"/>
  <c r="C171" i="64"/>
  <c r="E170" i="64"/>
  <c r="D170" i="64"/>
  <c r="C170" i="64"/>
  <c r="E169" i="64"/>
  <c r="D169" i="64"/>
  <c r="C169" i="64"/>
  <c r="E165" i="64"/>
  <c r="D165" i="64"/>
  <c r="C165" i="64"/>
  <c r="E164" i="64"/>
  <c r="D164" i="64"/>
  <c r="C164" i="64"/>
  <c r="E163" i="64"/>
  <c r="D163" i="64"/>
  <c r="C163" i="64"/>
  <c r="E162" i="64"/>
  <c r="D162" i="64"/>
  <c r="C162" i="64"/>
  <c r="E161" i="64"/>
  <c r="D161" i="64"/>
  <c r="C161" i="64"/>
  <c r="E160" i="64"/>
  <c r="D160" i="64"/>
  <c r="C160" i="64"/>
  <c r="E158" i="64"/>
  <c r="D158" i="64"/>
  <c r="C158" i="64"/>
  <c r="E157" i="64"/>
  <c r="D157" i="64"/>
  <c r="C157" i="64"/>
  <c r="E156" i="64"/>
  <c r="D156" i="64"/>
  <c r="C156" i="64"/>
  <c r="E155" i="64"/>
  <c r="D155" i="64"/>
  <c r="C155" i="64"/>
  <c r="E154" i="64"/>
  <c r="D154" i="64"/>
  <c r="C154" i="64"/>
  <c r="E153" i="64"/>
  <c r="D153" i="64"/>
  <c r="C153" i="64"/>
  <c r="E152" i="64"/>
  <c r="D152" i="64"/>
  <c r="C152" i="64"/>
  <c r="E151" i="64"/>
  <c r="D151" i="64"/>
  <c r="C151" i="64"/>
  <c r="E150" i="64"/>
  <c r="D150" i="64"/>
  <c r="C150" i="64"/>
  <c r="E148" i="64"/>
  <c r="D148" i="64"/>
  <c r="C148" i="64"/>
  <c r="E147" i="64"/>
  <c r="D147" i="64"/>
  <c r="C147" i="64"/>
  <c r="E146" i="64"/>
  <c r="D146" i="64"/>
  <c r="C146" i="64"/>
  <c r="E145" i="64"/>
  <c r="D145" i="64"/>
  <c r="C145" i="64"/>
  <c r="E143" i="64"/>
  <c r="D143" i="64"/>
  <c r="C143" i="64"/>
  <c r="E142" i="64"/>
  <c r="D142" i="64"/>
  <c r="C142" i="64"/>
  <c r="E141" i="64"/>
  <c r="D141" i="64"/>
  <c r="C141" i="64"/>
  <c r="E140" i="64"/>
  <c r="D140" i="64"/>
  <c r="C140" i="64"/>
  <c r="E138" i="64"/>
  <c r="D138" i="64"/>
  <c r="C138" i="64"/>
  <c r="E137" i="64"/>
  <c r="D137" i="64"/>
  <c r="C137" i="64"/>
  <c r="E136" i="64"/>
  <c r="D136" i="64"/>
  <c r="C136" i="64"/>
  <c r="E135" i="64"/>
  <c r="D135" i="64"/>
  <c r="C135" i="64"/>
  <c r="E134" i="64"/>
  <c r="D134" i="64"/>
  <c r="C134" i="64"/>
  <c r="E132" i="64"/>
  <c r="D132" i="64"/>
  <c r="C132" i="64"/>
  <c r="E131" i="64"/>
  <c r="D131" i="64"/>
  <c r="C131" i="64"/>
  <c r="E130" i="64"/>
  <c r="D130" i="64"/>
  <c r="C130" i="64"/>
  <c r="E129" i="64"/>
  <c r="D129" i="64"/>
  <c r="C129" i="64"/>
  <c r="E128" i="64"/>
  <c r="D128" i="64"/>
  <c r="C128" i="64"/>
  <c r="E123" i="64"/>
  <c r="D123" i="64"/>
  <c r="C123" i="64"/>
  <c r="E122" i="64"/>
  <c r="D122" i="64"/>
  <c r="C122" i="64"/>
  <c r="E121" i="64"/>
  <c r="D121" i="64"/>
  <c r="C121" i="64"/>
  <c r="E120" i="64"/>
  <c r="D120" i="64"/>
  <c r="C120" i="64"/>
  <c r="E119" i="64"/>
  <c r="D119" i="64"/>
  <c r="C119" i="64"/>
  <c r="E115" i="64"/>
  <c r="D115" i="64"/>
  <c r="C115" i="64"/>
  <c r="E114" i="64"/>
  <c r="D114" i="64"/>
  <c r="C114" i="64"/>
  <c r="E113" i="64"/>
  <c r="D113" i="64"/>
  <c r="C113" i="64"/>
  <c r="E112" i="64"/>
  <c r="D112" i="64"/>
  <c r="C112" i="64"/>
  <c r="E111" i="64"/>
  <c r="D111" i="64"/>
  <c r="C111" i="64"/>
  <c r="E110" i="64"/>
  <c r="D110" i="64"/>
  <c r="C110" i="64"/>
  <c r="E106" i="64"/>
  <c r="D106" i="64"/>
  <c r="C106" i="64"/>
  <c r="E105" i="64"/>
  <c r="D105" i="64"/>
  <c r="C105" i="64"/>
  <c r="E104" i="64"/>
  <c r="D104" i="64"/>
  <c r="C104" i="64"/>
  <c r="E103" i="64"/>
  <c r="D103" i="64"/>
  <c r="C103" i="64"/>
  <c r="E102" i="64"/>
  <c r="D102" i="64"/>
  <c r="C102" i="64"/>
  <c r="E101" i="64"/>
  <c r="D101" i="64"/>
  <c r="C101" i="64"/>
  <c r="E97" i="64"/>
  <c r="D97" i="64"/>
  <c r="C97" i="64"/>
  <c r="E96" i="64"/>
  <c r="D96" i="64"/>
  <c r="C96" i="64"/>
  <c r="E95" i="64"/>
  <c r="D95" i="64"/>
  <c r="C95" i="64"/>
  <c r="E94" i="64"/>
  <c r="D94" i="64"/>
  <c r="C94" i="64"/>
  <c r="E93" i="64"/>
  <c r="D93" i="64"/>
  <c r="C93" i="64"/>
  <c r="E92" i="64"/>
  <c r="D92" i="64"/>
  <c r="C92" i="64"/>
  <c r="E91" i="64"/>
  <c r="D91" i="64"/>
  <c r="C91" i="64"/>
  <c r="E90" i="64"/>
  <c r="D90" i="64"/>
  <c r="C90" i="64"/>
  <c r="E89" i="64"/>
  <c r="D89" i="64"/>
  <c r="C89" i="64"/>
  <c r="E88" i="64"/>
  <c r="D88" i="64"/>
  <c r="C88" i="64"/>
  <c r="E87" i="64"/>
  <c r="D87" i="64"/>
  <c r="C87" i="64"/>
  <c r="E83" i="64"/>
  <c r="D83" i="64"/>
  <c r="C83" i="64"/>
  <c r="E82" i="64"/>
  <c r="D82" i="64"/>
  <c r="C82" i="64"/>
  <c r="E81" i="64"/>
  <c r="D81" i="64"/>
  <c r="C81" i="64"/>
  <c r="E80" i="64"/>
  <c r="D80" i="64"/>
  <c r="C80" i="64"/>
  <c r="E79" i="64"/>
  <c r="D79" i="64"/>
  <c r="C79" i="64"/>
  <c r="E78" i="64"/>
  <c r="D78" i="64"/>
  <c r="C78" i="64"/>
  <c r="E77" i="64"/>
  <c r="D77" i="64"/>
  <c r="C77" i="64"/>
  <c r="E76" i="64"/>
  <c r="D76" i="64"/>
  <c r="C76" i="64"/>
  <c r="E75" i="64"/>
  <c r="D75" i="64"/>
  <c r="C75" i="64"/>
  <c r="E74" i="64"/>
  <c r="D74" i="64"/>
  <c r="C74" i="64"/>
  <c r="E73" i="64"/>
  <c r="D73" i="64"/>
  <c r="C73" i="64"/>
  <c r="E72" i="64"/>
  <c r="D72" i="64"/>
  <c r="C72" i="64"/>
  <c r="E71" i="64"/>
  <c r="D71" i="64"/>
  <c r="C71" i="64"/>
  <c r="E70" i="64"/>
  <c r="D70" i="64"/>
  <c r="C70" i="64"/>
  <c r="E69" i="64"/>
  <c r="D69" i="64"/>
  <c r="C69" i="64"/>
  <c r="E65" i="64"/>
  <c r="D65" i="64"/>
  <c r="C65" i="64"/>
  <c r="E64" i="64"/>
  <c r="D64" i="64"/>
  <c r="C64" i="64"/>
  <c r="E63" i="64"/>
  <c r="D63" i="64"/>
  <c r="C63" i="64"/>
  <c r="E62" i="64"/>
  <c r="D62" i="64"/>
  <c r="C62" i="64"/>
  <c r="E61" i="64"/>
  <c r="D61" i="64"/>
  <c r="C61" i="64"/>
  <c r="E60" i="64"/>
  <c r="D60" i="64"/>
  <c r="C60" i="64"/>
  <c r="E59" i="64"/>
  <c r="D59" i="64"/>
  <c r="C59" i="64"/>
  <c r="E58" i="64"/>
  <c r="D58" i="64"/>
  <c r="C58" i="64"/>
  <c r="E57" i="64"/>
  <c r="D57" i="64"/>
  <c r="C57" i="64"/>
  <c r="E56" i="64"/>
  <c r="D56" i="64"/>
  <c r="C56" i="64"/>
  <c r="E55" i="64"/>
  <c r="D55" i="64"/>
  <c r="C55" i="64"/>
  <c r="E54" i="64"/>
  <c r="D54" i="64"/>
  <c r="C54" i="64"/>
  <c r="E53" i="64"/>
  <c r="D53" i="64"/>
  <c r="C53" i="64"/>
  <c r="E52" i="64"/>
  <c r="D52" i="64"/>
  <c r="C52" i="64"/>
  <c r="E51" i="64"/>
  <c r="D51" i="64"/>
  <c r="C51" i="64"/>
  <c r="E50" i="64"/>
  <c r="D50" i="64"/>
  <c r="C50" i="64"/>
  <c r="E49" i="64"/>
  <c r="D49" i="64"/>
  <c r="C49" i="64"/>
  <c r="E48" i="64"/>
  <c r="D48" i="64"/>
  <c r="C48" i="64"/>
  <c r="E47" i="64"/>
  <c r="D47" i="64"/>
  <c r="C47" i="64"/>
  <c r="E46" i="64"/>
  <c r="D46" i="64"/>
  <c r="C46" i="64"/>
  <c r="E45" i="64"/>
  <c r="D45" i="64"/>
  <c r="C45" i="64"/>
  <c r="E44" i="64"/>
  <c r="D44" i="64"/>
  <c r="C44" i="64"/>
  <c r="E43" i="64"/>
  <c r="D43" i="64"/>
  <c r="C43" i="64"/>
  <c r="E42" i="64"/>
  <c r="D42" i="64"/>
  <c r="C42" i="64"/>
  <c r="E41" i="64"/>
  <c r="D41" i="64"/>
  <c r="C41" i="64"/>
  <c r="E40" i="64"/>
  <c r="D40" i="64"/>
  <c r="C40" i="64"/>
  <c r="E39" i="64"/>
  <c r="D39" i="64"/>
  <c r="C39" i="64"/>
  <c r="E38" i="64"/>
  <c r="D38" i="64"/>
  <c r="C38" i="64"/>
  <c r="E37" i="64"/>
  <c r="D37" i="64"/>
  <c r="C37" i="64"/>
  <c r="E36" i="64"/>
  <c r="D36" i="64"/>
  <c r="C36" i="64"/>
  <c r="E35" i="64"/>
  <c r="D35" i="64"/>
  <c r="C35" i="64"/>
  <c r="E34" i="64"/>
  <c r="D34" i="64"/>
  <c r="C34" i="64"/>
  <c r="E33" i="64"/>
  <c r="D33" i="64"/>
  <c r="C33" i="64"/>
  <c r="E32" i="64"/>
  <c r="D32" i="64"/>
  <c r="C32" i="64"/>
  <c r="E31" i="64"/>
  <c r="D31" i="64"/>
  <c r="C31" i="64"/>
  <c r="E30" i="64"/>
  <c r="D30" i="64"/>
  <c r="C30" i="64"/>
  <c r="D25" i="64"/>
  <c r="C25" i="64"/>
  <c r="D24" i="64"/>
  <c r="C24" i="64"/>
  <c r="D23" i="64"/>
  <c r="C23" i="64"/>
  <c r="D22" i="64"/>
  <c r="C22" i="64"/>
  <c r="D21" i="64"/>
  <c r="C21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C4" i="64"/>
  <c r="C3" i="64"/>
  <c r="D26" i="64" l="1"/>
  <c r="F12" i="64"/>
  <c r="I12" i="64" s="1"/>
  <c r="C26" i="64"/>
  <c r="C84" i="64"/>
  <c r="D84" i="64"/>
  <c r="E124" i="64"/>
  <c r="C202" i="64"/>
  <c r="D202" i="64"/>
  <c r="C238" i="64"/>
  <c r="C98" i="64"/>
  <c r="D98" i="64"/>
  <c r="C166" i="64"/>
  <c r="D166" i="64"/>
  <c r="E84" i="64"/>
  <c r="C107" i="64"/>
  <c r="D107" i="64"/>
  <c r="E107" i="64"/>
  <c r="E116" i="64"/>
  <c r="C124" i="64"/>
  <c r="D124" i="64"/>
  <c r="E202" i="64"/>
  <c r="E98" i="64"/>
  <c r="C116" i="64"/>
  <c r="D116" i="64"/>
  <c r="E166" i="64"/>
  <c r="C211" i="64"/>
  <c r="D211" i="64"/>
  <c r="E211" i="64"/>
  <c r="C233" i="64"/>
  <c r="C66" i="64"/>
  <c r="D66" i="64"/>
  <c r="E66" i="64"/>
  <c r="C213" i="64" l="1"/>
  <c r="C217" i="64" s="1"/>
  <c r="E213" i="64"/>
  <c r="E220" i="64" s="1"/>
  <c r="D213" i="64"/>
  <c r="D220" i="64" s="1"/>
  <c r="C220" i="64" l="1"/>
  <c r="I249" i="63"/>
  <c r="I248" i="63"/>
  <c r="I247" i="63"/>
  <c r="I246" i="63"/>
  <c r="D18" i="63"/>
  <c r="C243" i="63"/>
  <c r="C242" i="63"/>
  <c r="C241" i="63"/>
  <c r="C240" i="63"/>
  <c r="C237" i="63"/>
  <c r="C236" i="63"/>
  <c r="E233" i="63"/>
  <c r="D233" i="63"/>
  <c r="C232" i="63"/>
  <c r="C231" i="63"/>
  <c r="C230" i="63"/>
  <c r="C229" i="63"/>
  <c r="C228" i="63"/>
  <c r="C227" i="63"/>
  <c r="C226" i="63"/>
  <c r="C225" i="63"/>
  <c r="C224" i="63"/>
  <c r="C216" i="63"/>
  <c r="E210" i="63"/>
  <c r="D210" i="63"/>
  <c r="C210" i="63"/>
  <c r="E209" i="63"/>
  <c r="D209" i="63"/>
  <c r="C209" i="63"/>
  <c r="E208" i="63"/>
  <c r="D208" i="63"/>
  <c r="C208" i="63"/>
  <c r="E207" i="63"/>
  <c r="D207" i="63"/>
  <c r="C207" i="63"/>
  <c r="E206" i="63"/>
  <c r="D206" i="63"/>
  <c r="C206" i="63"/>
  <c r="E205" i="63"/>
  <c r="D205" i="63"/>
  <c r="C205" i="63"/>
  <c r="E201" i="63"/>
  <c r="D201" i="63"/>
  <c r="C201" i="63"/>
  <c r="E200" i="63"/>
  <c r="D200" i="63"/>
  <c r="C200" i="63"/>
  <c r="E199" i="63"/>
  <c r="D199" i="63"/>
  <c r="C199" i="63"/>
  <c r="E198" i="63"/>
  <c r="D198" i="63"/>
  <c r="C198" i="63"/>
  <c r="E197" i="63"/>
  <c r="D197" i="63"/>
  <c r="C197" i="63"/>
  <c r="E196" i="63"/>
  <c r="D196" i="63"/>
  <c r="C196" i="63"/>
  <c r="E195" i="63"/>
  <c r="D195" i="63"/>
  <c r="C195" i="63"/>
  <c r="E194" i="63"/>
  <c r="D194" i="63"/>
  <c r="C194" i="63"/>
  <c r="E193" i="63"/>
  <c r="D193" i="63"/>
  <c r="C193" i="63"/>
  <c r="E192" i="63"/>
  <c r="D192" i="63"/>
  <c r="C192" i="63"/>
  <c r="E191" i="63"/>
  <c r="D191" i="63"/>
  <c r="C191" i="63"/>
  <c r="E190" i="63"/>
  <c r="D190" i="63"/>
  <c r="C190" i="63"/>
  <c r="E189" i="63"/>
  <c r="D189" i="63"/>
  <c r="C189" i="63"/>
  <c r="E188" i="63"/>
  <c r="D188" i="63"/>
  <c r="C188" i="63"/>
  <c r="E187" i="63"/>
  <c r="D187" i="63"/>
  <c r="C187" i="63"/>
  <c r="E186" i="63"/>
  <c r="D186" i="63"/>
  <c r="C186" i="63"/>
  <c r="E185" i="63"/>
  <c r="D185" i="63"/>
  <c r="C185" i="63"/>
  <c r="E184" i="63"/>
  <c r="D184" i="63"/>
  <c r="C184" i="63"/>
  <c r="E183" i="63"/>
  <c r="D183" i="63"/>
  <c r="C183" i="63"/>
  <c r="E182" i="63"/>
  <c r="D182" i="63"/>
  <c r="C182" i="63"/>
  <c r="E181" i="63"/>
  <c r="D181" i="63"/>
  <c r="C181" i="63"/>
  <c r="E180" i="63"/>
  <c r="D180" i="63"/>
  <c r="C180" i="63"/>
  <c r="E179" i="63"/>
  <c r="D179" i="63"/>
  <c r="C179" i="63"/>
  <c r="E178" i="63"/>
  <c r="D178" i="63"/>
  <c r="C178" i="63"/>
  <c r="E177" i="63"/>
  <c r="D177" i="63"/>
  <c r="C177" i="63"/>
  <c r="E176" i="63"/>
  <c r="D176" i="63"/>
  <c r="C176" i="63"/>
  <c r="E175" i="63"/>
  <c r="D175" i="63"/>
  <c r="C175" i="63"/>
  <c r="E174" i="63"/>
  <c r="D174" i="63"/>
  <c r="C174" i="63"/>
  <c r="E173" i="63"/>
  <c r="D173" i="63"/>
  <c r="C173" i="63"/>
  <c r="E172" i="63"/>
  <c r="D172" i="63"/>
  <c r="C172" i="63"/>
  <c r="E171" i="63"/>
  <c r="D171" i="63"/>
  <c r="C171" i="63"/>
  <c r="E170" i="63"/>
  <c r="D170" i="63"/>
  <c r="C170" i="63"/>
  <c r="E169" i="63"/>
  <c r="D169" i="63"/>
  <c r="C169" i="63"/>
  <c r="E165" i="63"/>
  <c r="D165" i="63"/>
  <c r="C165" i="63"/>
  <c r="E164" i="63"/>
  <c r="D164" i="63"/>
  <c r="C164" i="63"/>
  <c r="E163" i="63"/>
  <c r="D163" i="63"/>
  <c r="C163" i="63"/>
  <c r="E162" i="63"/>
  <c r="D162" i="63"/>
  <c r="C162" i="63"/>
  <c r="E161" i="63"/>
  <c r="D161" i="63"/>
  <c r="C161" i="63"/>
  <c r="E160" i="63"/>
  <c r="D160" i="63"/>
  <c r="C160" i="63"/>
  <c r="E158" i="63"/>
  <c r="D158" i="63"/>
  <c r="C158" i="63"/>
  <c r="E157" i="63"/>
  <c r="D157" i="63"/>
  <c r="C157" i="63"/>
  <c r="E156" i="63"/>
  <c r="D156" i="63"/>
  <c r="C156" i="63"/>
  <c r="E155" i="63"/>
  <c r="D155" i="63"/>
  <c r="C155" i="63"/>
  <c r="E154" i="63"/>
  <c r="D154" i="63"/>
  <c r="C154" i="63"/>
  <c r="E153" i="63"/>
  <c r="D153" i="63"/>
  <c r="C153" i="63"/>
  <c r="E152" i="63"/>
  <c r="D152" i="63"/>
  <c r="C152" i="63"/>
  <c r="E151" i="63"/>
  <c r="D151" i="63"/>
  <c r="C151" i="63"/>
  <c r="E150" i="63"/>
  <c r="D150" i="63"/>
  <c r="C150" i="63"/>
  <c r="E148" i="63"/>
  <c r="D148" i="63"/>
  <c r="C148" i="63"/>
  <c r="E147" i="63"/>
  <c r="D147" i="63"/>
  <c r="C147" i="63"/>
  <c r="E146" i="63"/>
  <c r="D146" i="63"/>
  <c r="C146" i="63"/>
  <c r="E145" i="63"/>
  <c r="D145" i="63"/>
  <c r="C145" i="63"/>
  <c r="E143" i="63"/>
  <c r="D143" i="63"/>
  <c r="C143" i="63"/>
  <c r="E142" i="63"/>
  <c r="D142" i="63"/>
  <c r="C142" i="63"/>
  <c r="E141" i="63"/>
  <c r="D141" i="63"/>
  <c r="C141" i="63"/>
  <c r="E140" i="63"/>
  <c r="D140" i="63"/>
  <c r="C140" i="63"/>
  <c r="E138" i="63"/>
  <c r="D138" i="63"/>
  <c r="C138" i="63"/>
  <c r="E137" i="63"/>
  <c r="D137" i="63"/>
  <c r="C137" i="63"/>
  <c r="E136" i="63"/>
  <c r="D136" i="63"/>
  <c r="C136" i="63"/>
  <c r="E135" i="63"/>
  <c r="D135" i="63"/>
  <c r="C135" i="63"/>
  <c r="E134" i="63"/>
  <c r="D134" i="63"/>
  <c r="C134" i="63"/>
  <c r="E132" i="63"/>
  <c r="D132" i="63"/>
  <c r="C132" i="63"/>
  <c r="E131" i="63"/>
  <c r="D131" i="63"/>
  <c r="C131" i="63"/>
  <c r="E130" i="63"/>
  <c r="D130" i="63"/>
  <c r="C130" i="63"/>
  <c r="E129" i="63"/>
  <c r="D129" i="63"/>
  <c r="C129" i="63"/>
  <c r="E128" i="63"/>
  <c r="D128" i="63"/>
  <c r="C128" i="63"/>
  <c r="E123" i="63"/>
  <c r="D123" i="63"/>
  <c r="C123" i="63"/>
  <c r="E122" i="63"/>
  <c r="D122" i="63"/>
  <c r="C122" i="63"/>
  <c r="E121" i="63"/>
  <c r="D121" i="63"/>
  <c r="C121" i="63"/>
  <c r="E120" i="63"/>
  <c r="D120" i="63"/>
  <c r="C120" i="63"/>
  <c r="E119" i="63"/>
  <c r="D119" i="63"/>
  <c r="C119" i="63"/>
  <c r="E115" i="63"/>
  <c r="D115" i="63"/>
  <c r="C115" i="63"/>
  <c r="E114" i="63"/>
  <c r="D114" i="63"/>
  <c r="C114" i="63"/>
  <c r="E113" i="63"/>
  <c r="D113" i="63"/>
  <c r="C113" i="63"/>
  <c r="E112" i="63"/>
  <c r="D112" i="63"/>
  <c r="C112" i="63"/>
  <c r="E111" i="63"/>
  <c r="D111" i="63"/>
  <c r="C111" i="63"/>
  <c r="E110" i="63"/>
  <c r="D110" i="63"/>
  <c r="C110" i="63"/>
  <c r="E106" i="63"/>
  <c r="D106" i="63"/>
  <c r="C106" i="63"/>
  <c r="E105" i="63"/>
  <c r="D105" i="63"/>
  <c r="C105" i="63"/>
  <c r="E104" i="63"/>
  <c r="D104" i="63"/>
  <c r="C104" i="63"/>
  <c r="E103" i="63"/>
  <c r="D103" i="63"/>
  <c r="C103" i="63"/>
  <c r="E102" i="63"/>
  <c r="D102" i="63"/>
  <c r="C102" i="63"/>
  <c r="E101" i="63"/>
  <c r="D101" i="63"/>
  <c r="C101" i="63"/>
  <c r="E97" i="63"/>
  <c r="D97" i="63"/>
  <c r="C97" i="63"/>
  <c r="E96" i="63"/>
  <c r="D96" i="63"/>
  <c r="C96" i="63"/>
  <c r="E95" i="63"/>
  <c r="D95" i="63"/>
  <c r="C95" i="63"/>
  <c r="E94" i="63"/>
  <c r="D94" i="63"/>
  <c r="C94" i="63"/>
  <c r="E93" i="63"/>
  <c r="D93" i="63"/>
  <c r="C93" i="63"/>
  <c r="E92" i="63"/>
  <c r="D92" i="63"/>
  <c r="C92" i="63"/>
  <c r="E91" i="63"/>
  <c r="D91" i="63"/>
  <c r="C91" i="63"/>
  <c r="E90" i="63"/>
  <c r="D90" i="63"/>
  <c r="C90" i="63"/>
  <c r="E89" i="63"/>
  <c r="D89" i="63"/>
  <c r="C89" i="63"/>
  <c r="E88" i="63"/>
  <c r="D88" i="63"/>
  <c r="C88" i="63"/>
  <c r="E87" i="63"/>
  <c r="D87" i="63"/>
  <c r="C87" i="63"/>
  <c r="E83" i="63"/>
  <c r="D83" i="63"/>
  <c r="C83" i="63"/>
  <c r="E82" i="63"/>
  <c r="D82" i="63"/>
  <c r="C82" i="63"/>
  <c r="E81" i="63"/>
  <c r="D81" i="63"/>
  <c r="C81" i="63"/>
  <c r="E80" i="63"/>
  <c r="D80" i="63"/>
  <c r="C80" i="63"/>
  <c r="E79" i="63"/>
  <c r="D79" i="63"/>
  <c r="C79" i="63"/>
  <c r="E78" i="63"/>
  <c r="D78" i="63"/>
  <c r="C78" i="63"/>
  <c r="E77" i="63"/>
  <c r="D77" i="63"/>
  <c r="C77" i="63"/>
  <c r="E76" i="63"/>
  <c r="D76" i="63"/>
  <c r="C76" i="63"/>
  <c r="E75" i="63"/>
  <c r="D75" i="63"/>
  <c r="C75" i="63"/>
  <c r="E74" i="63"/>
  <c r="D74" i="63"/>
  <c r="C74" i="63"/>
  <c r="E73" i="63"/>
  <c r="D73" i="63"/>
  <c r="C73" i="63"/>
  <c r="E72" i="63"/>
  <c r="D72" i="63"/>
  <c r="C72" i="63"/>
  <c r="E71" i="63"/>
  <c r="D71" i="63"/>
  <c r="C71" i="63"/>
  <c r="E70" i="63"/>
  <c r="D70" i="63"/>
  <c r="C70" i="63"/>
  <c r="E69" i="63"/>
  <c r="D69" i="63"/>
  <c r="C69" i="63"/>
  <c r="E65" i="63"/>
  <c r="D65" i="63"/>
  <c r="C65" i="63"/>
  <c r="E64" i="63"/>
  <c r="D64" i="63"/>
  <c r="C64" i="63"/>
  <c r="E63" i="63"/>
  <c r="D63" i="63"/>
  <c r="C63" i="63"/>
  <c r="E62" i="63"/>
  <c r="D62" i="63"/>
  <c r="C62" i="63"/>
  <c r="E61" i="63"/>
  <c r="D61" i="63"/>
  <c r="C61" i="63"/>
  <c r="E60" i="63"/>
  <c r="D60" i="63"/>
  <c r="C60" i="63"/>
  <c r="E59" i="63"/>
  <c r="D59" i="63"/>
  <c r="C59" i="63"/>
  <c r="E58" i="63"/>
  <c r="D58" i="63"/>
  <c r="C58" i="63"/>
  <c r="E57" i="63"/>
  <c r="D57" i="63"/>
  <c r="C57" i="63"/>
  <c r="E56" i="63"/>
  <c r="D56" i="63"/>
  <c r="C56" i="63"/>
  <c r="E55" i="63"/>
  <c r="D55" i="63"/>
  <c r="C55" i="63"/>
  <c r="E54" i="63"/>
  <c r="D54" i="63"/>
  <c r="C54" i="63"/>
  <c r="E53" i="63"/>
  <c r="D53" i="63"/>
  <c r="C53" i="63"/>
  <c r="E52" i="63"/>
  <c r="D52" i="63"/>
  <c r="C52" i="63"/>
  <c r="E51" i="63"/>
  <c r="D51" i="63"/>
  <c r="C51" i="63"/>
  <c r="E50" i="63"/>
  <c r="D50" i="63"/>
  <c r="C50" i="63"/>
  <c r="E49" i="63"/>
  <c r="D49" i="63"/>
  <c r="C49" i="63"/>
  <c r="E48" i="63"/>
  <c r="D48" i="63"/>
  <c r="C48" i="63"/>
  <c r="E47" i="63"/>
  <c r="D47" i="63"/>
  <c r="C47" i="63"/>
  <c r="E46" i="63"/>
  <c r="D46" i="63"/>
  <c r="C46" i="63"/>
  <c r="E45" i="63"/>
  <c r="D45" i="63"/>
  <c r="C45" i="63"/>
  <c r="E44" i="63"/>
  <c r="D44" i="63"/>
  <c r="C44" i="63"/>
  <c r="E43" i="63"/>
  <c r="D43" i="63"/>
  <c r="C43" i="63"/>
  <c r="E42" i="63"/>
  <c r="D42" i="63"/>
  <c r="C42" i="63"/>
  <c r="E41" i="63"/>
  <c r="D41" i="63"/>
  <c r="C41" i="63"/>
  <c r="E40" i="63"/>
  <c r="D40" i="63"/>
  <c r="C40" i="63"/>
  <c r="E39" i="63"/>
  <c r="D39" i="63"/>
  <c r="C39" i="63"/>
  <c r="E38" i="63"/>
  <c r="D38" i="63"/>
  <c r="C38" i="63"/>
  <c r="E37" i="63"/>
  <c r="D37" i="63"/>
  <c r="C37" i="63"/>
  <c r="E36" i="63"/>
  <c r="D36" i="63"/>
  <c r="C36" i="63"/>
  <c r="E35" i="63"/>
  <c r="D35" i="63"/>
  <c r="C35" i="63"/>
  <c r="E34" i="63"/>
  <c r="D34" i="63"/>
  <c r="C34" i="63"/>
  <c r="E33" i="63"/>
  <c r="D33" i="63"/>
  <c r="C33" i="63"/>
  <c r="E32" i="63"/>
  <c r="D32" i="63"/>
  <c r="C32" i="63"/>
  <c r="E31" i="63"/>
  <c r="D31" i="63"/>
  <c r="C31" i="63"/>
  <c r="E30" i="63"/>
  <c r="D30" i="63"/>
  <c r="C30" i="63"/>
  <c r="D25" i="63"/>
  <c r="C25" i="63"/>
  <c r="D24" i="63"/>
  <c r="C24" i="63"/>
  <c r="D23" i="63"/>
  <c r="C23" i="63"/>
  <c r="D22" i="63"/>
  <c r="C22" i="63"/>
  <c r="D21" i="63"/>
  <c r="C21" i="63"/>
  <c r="D20" i="63"/>
  <c r="C20" i="63"/>
  <c r="D19" i="63"/>
  <c r="C19" i="63"/>
  <c r="C18" i="63"/>
  <c r="D17" i="63"/>
  <c r="C17" i="63"/>
  <c r="D16" i="63"/>
  <c r="C16" i="63"/>
  <c r="D15" i="63"/>
  <c r="C15" i="63"/>
  <c r="D14" i="63"/>
  <c r="C14" i="63"/>
  <c r="D13" i="63"/>
  <c r="C13" i="63"/>
  <c r="D12" i="63"/>
  <c r="C12" i="63"/>
  <c r="C4" i="63"/>
  <c r="C3" i="63"/>
  <c r="F12" i="63" l="1"/>
  <c r="I12" i="63" s="1"/>
  <c r="C238" i="63"/>
  <c r="D26" i="63"/>
  <c r="C26" i="63"/>
  <c r="D84" i="63"/>
  <c r="C98" i="63"/>
  <c r="C166" i="63"/>
  <c r="D166" i="63"/>
  <c r="E107" i="63"/>
  <c r="C124" i="63"/>
  <c r="D107" i="63"/>
  <c r="D116" i="63"/>
  <c r="E166" i="63"/>
  <c r="C211" i="63"/>
  <c r="D211" i="63"/>
  <c r="E211" i="63"/>
  <c r="C233" i="63"/>
  <c r="E84" i="63"/>
  <c r="D98" i="63"/>
  <c r="C107" i="63"/>
  <c r="E116" i="63"/>
  <c r="D124" i="63"/>
  <c r="E202" i="63"/>
  <c r="E98" i="63"/>
  <c r="C84" i="63"/>
  <c r="C116" i="63"/>
  <c r="E124" i="63"/>
  <c r="C202" i="63"/>
  <c r="D202" i="63"/>
  <c r="C66" i="63"/>
  <c r="D66" i="63"/>
  <c r="E66" i="63"/>
  <c r="D213" i="63" l="1"/>
  <c r="D220" i="63" s="1"/>
  <c r="C213" i="63"/>
  <c r="C217" i="63" s="1"/>
  <c r="E213" i="63"/>
  <c r="E220" i="63" s="1"/>
  <c r="C220" i="63" l="1"/>
  <c r="I249" i="27"/>
  <c r="I248" i="27"/>
  <c r="I247" i="27"/>
  <c r="I246" i="27"/>
  <c r="D18" i="27"/>
  <c r="C243" i="27"/>
  <c r="C242" i="27"/>
  <c r="C241" i="27"/>
  <c r="C240" i="27"/>
  <c r="C237" i="27"/>
  <c r="C236" i="27"/>
  <c r="E233" i="27"/>
  <c r="D233" i="27"/>
  <c r="C232" i="27"/>
  <c r="C231" i="27"/>
  <c r="C230" i="27"/>
  <c r="C229" i="27"/>
  <c r="C228" i="27"/>
  <c r="C227" i="27"/>
  <c r="C226" i="27"/>
  <c r="C225" i="27"/>
  <c r="C224" i="27"/>
  <c r="C216" i="27"/>
  <c r="E210" i="27"/>
  <c r="D210" i="27"/>
  <c r="C210" i="27"/>
  <c r="E209" i="27"/>
  <c r="D209" i="27"/>
  <c r="C209" i="27"/>
  <c r="E208" i="27"/>
  <c r="D208" i="27"/>
  <c r="C208" i="27"/>
  <c r="E207" i="27"/>
  <c r="D207" i="27"/>
  <c r="C207" i="27"/>
  <c r="E206" i="27"/>
  <c r="D206" i="27"/>
  <c r="C206" i="27"/>
  <c r="E205" i="27"/>
  <c r="D205" i="27"/>
  <c r="C205" i="27"/>
  <c r="E201" i="27"/>
  <c r="D201" i="27"/>
  <c r="C201" i="27"/>
  <c r="E200" i="27"/>
  <c r="D200" i="27"/>
  <c r="C200" i="27"/>
  <c r="E199" i="27"/>
  <c r="D199" i="27"/>
  <c r="C199" i="27"/>
  <c r="E198" i="27"/>
  <c r="D198" i="27"/>
  <c r="C198" i="27"/>
  <c r="E197" i="27"/>
  <c r="D197" i="27"/>
  <c r="C197" i="27"/>
  <c r="E196" i="27"/>
  <c r="D196" i="27"/>
  <c r="C196" i="27"/>
  <c r="E195" i="27"/>
  <c r="D195" i="27"/>
  <c r="C195" i="27"/>
  <c r="E194" i="27"/>
  <c r="D194" i="27"/>
  <c r="C194" i="27"/>
  <c r="E193" i="27"/>
  <c r="D193" i="27"/>
  <c r="C193" i="27"/>
  <c r="E192" i="27"/>
  <c r="D192" i="27"/>
  <c r="C192" i="27"/>
  <c r="E191" i="27"/>
  <c r="D191" i="27"/>
  <c r="C191" i="27"/>
  <c r="E190" i="27"/>
  <c r="D190" i="27"/>
  <c r="C190" i="27"/>
  <c r="E189" i="27"/>
  <c r="D189" i="27"/>
  <c r="C189" i="27"/>
  <c r="E188" i="27"/>
  <c r="D188" i="27"/>
  <c r="C188" i="27"/>
  <c r="E187" i="27"/>
  <c r="D187" i="27"/>
  <c r="C187" i="27"/>
  <c r="E186" i="27"/>
  <c r="D186" i="27"/>
  <c r="C186" i="27"/>
  <c r="E185" i="27"/>
  <c r="D185" i="27"/>
  <c r="C185" i="27"/>
  <c r="E184" i="27"/>
  <c r="D184" i="27"/>
  <c r="C184" i="27"/>
  <c r="E183" i="27"/>
  <c r="D183" i="27"/>
  <c r="C183" i="27"/>
  <c r="E182" i="27"/>
  <c r="D182" i="27"/>
  <c r="C182" i="27"/>
  <c r="E181" i="27"/>
  <c r="D181" i="27"/>
  <c r="C181" i="27"/>
  <c r="E180" i="27"/>
  <c r="D180" i="27"/>
  <c r="C180" i="27"/>
  <c r="E179" i="27"/>
  <c r="D179" i="27"/>
  <c r="C179" i="27"/>
  <c r="E178" i="27"/>
  <c r="D178" i="27"/>
  <c r="C178" i="27"/>
  <c r="E177" i="27"/>
  <c r="D177" i="27"/>
  <c r="C177" i="27"/>
  <c r="E176" i="27"/>
  <c r="D176" i="27"/>
  <c r="C176" i="27"/>
  <c r="E175" i="27"/>
  <c r="D175" i="27"/>
  <c r="C175" i="27"/>
  <c r="E174" i="27"/>
  <c r="D174" i="27"/>
  <c r="C174" i="27"/>
  <c r="E173" i="27"/>
  <c r="D173" i="27"/>
  <c r="C173" i="27"/>
  <c r="E172" i="27"/>
  <c r="D172" i="27"/>
  <c r="C172" i="27"/>
  <c r="E171" i="27"/>
  <c r="D171" i="27"/>
  <c r="C171" i="27"/>
  <c r="E170" i="27"/>
  <c r="D170" i="27"/>
  <c r="C170" i="27"/>
  <c r="E169" i="27"/>
  <c r="D169" i="27"/>
  <c r="C169" i="27"/>
  <c r="E165" i="27"/>
  <c r="D165" i="27"/>
  <c r="C165" i="27"/>
  <c r="E164" i="27"/>
  <c r="D164" i="27"/>
  <c r="C164" i="27"/>
  <c r="E163" i="27"/>
  <c r="D163" i="27"/>
  <c r="C163" i="27"/>
  <c r="E162" i="27"/>
  <c r="D162" i="27"/>
  <c r="C162" i="27"/>
  <c r="E161" i="27"/>
  <c r="D161" i="27"/>
  <c r="C161" i="27"/>
  <c r="E160" i="27"/>
  <c r="D160" i="27"/>
  <c r="C160" i="27"/>
  <c r="E158" i="27"/>
  <c r="D158" i="27"/>
  <c r="C158" i="27"/>
  <c r="E157" i="27"/>
  <c r="D157" i="27"/>
  <c r="C157" i="27"/>
  <c r="E156" i="27"/>
  <c r="D156" i="27"/>
  <c r="C156" i="27"/>
  <c r="E155" i="27"/>
  <c r="D155" i="27"/>
  <c r="C155" i="27"/>
  <c r="E154" i="27"/>
  <c r="D154" i="27"/>
  <c r="C154" i="27"/>
  <c r="E153" i="27"/>
  <c r="D153" i="27"/>
  <c r="C153" i="27"/>
  <c r="E152" i="27"/>
  <c r="D152" i="27"/>
  <c r="C152" i="27"/>
  <c r="E151" i="27"/>
  <c r="D151" i="27"/>
  <c r="C151" i="27"/>
  <c r="E150" i="27"/>
  <c r="D150" i="27"/>
  <c r="C150" i="27"/>
  <c r="E148" i="27"/>
  <c r="D148" i="27"/>
  <c r="C148" i="27"/>
  <c r="E147" i="27"/>
  <c r="D147" i="27"/>
  <c r="C147" i="27"/>
  <c r="E146" i="27"/>
  <c r="D146" i="27"/>
  <c r="C146" i="27"/>
  <c r="E145" i="27"/>
  <c r="D145" i="27"/>
  <c r="C145" i="27"/>
  <c r="E143" i="27"/>
  <c r="D143" i="27"/>
  <c r="C143" i="27"/>
  <c r="E142" i="27"/>
  <c r="D142" i="27"/>
  <c r="C142" i="27"/>
  <c r="E141" i="27"/>
  <c r="D141" i="27"/>
  <c r="C141" i="27"/>
  <c r="E140" i="27"/>
  <c r="D140" i="27"/>
  <c r="C140" i="27"/>
  <c r="E138" i="27"/>
  <c r="D138" i="27"/>
  <c r="C138" i="27"/>
  <c r="E137" i="27"/>
  <c r="D137" i="27"/>
  <c r="C137" i="27"/>
  <c r="E136" i="27"/>
  <c r="D136" i="27"/>
  <c r="C136" i="27"/>
  <c r="E135" i="27"/>
  <c r="D135" i="27"/>
  <c r="C135" i="27"/>
  <c r="E134" i="27"/>
  <c r="D134" i="27"/>
  <c r="C134" i="27"/>
  <c r="E132" i="27"/>
  <c r="D132" i="27"/>
  <c r="C132" i="27"/>
  <c r="E131" i="27"/>
  <c r="D131" i="27"/>
  <c r="C131" i="27"/>
  <c r="E130" i="27"/>
  <c r="D130" i="27"/>
  <c r="C130" i="27"/>
  <c r="E129" i="27"/>
  <c r="D129" i="27"/>
  <c r="C129" i="27"/>
  <c r="E128" i="27"/>
  <c r="D128" i="27"/>
  <c r="C128" i="27"/>
  <c r="E123" i="27"/>
  <c r="D123" i="27"/>
  <c r="C123" i="27"/>
  <c r="E122" i="27"/>
  <c r="D122" i="27"/>
  <c r="C122" i="27"/>
  <c r="E121" i="27"/>
  <c r="D121" i="27"/>
  <c r="C121" i="27"/>
  <c r="E120" i="27"/>
  <c r="D120" i="27"/>
  <c r="C120" i="27"/>
  <c r="E119" i="27"/>
  <c r="D119" i="27"/>
  <c r="C119" i="27"/>
  <c r="E115" i="27"/>
  <c r="D115" i="27"/>
  <c r="C115" i="27"/>
  <c r="E114" i="27"/>
  <c r="D114" i="27"/>
  <c r="C114" i="27"/>
  <c r="E113" i="27"/>
  <c r="D113" i="27"/>
  <c r="C113" i="27"/>
  <c r="E112" i="27"/>
  <c r="D112" i="27"/>
  <c r="C112" i="27"/>
  <c r="E111" i="27"/>
  <c r="D111" i="27"/>
  <c r="C111" i="27"/>
  <c r="E110" i="27"/>
  <c r="D110" i="27"/>
  <c r="C110" i="27"/>
  <c r="E106" i="27"/>
  <c r="D106" i="27"/>
  <c r="C106" i="27"/>
  <c r="E105" i="27"/>
  <c r="D105" i="27"/>
  <c r="C105" i="27"/>
  <c r="E104" i="27"/>
  <c r="D104" i="27"/>
  <c r="C104" i="27"/>
  <c r="E103" i="27"/>
  <c r="D103" i="27"/>
  <c r="C103" i="27"/>
  <c r="E102" i="27"/>
  <c r="D102" i="27"/>
  <c r="C102" i="27"/>
  <c r="E101" i="27"/>
  <c r="D101" i="27"/>
  <c r="C101" i="27"/>
  <c r="E97" i="27"/>
  <c r="D97" i="27"/>
  <c r="C97" i="27"/>
  <c r="E96" i="27"/>
  <c r="D96" i="27"/>
  <c r="C96" i="27"/>
  <c r="E95" i="27"/>
  <c r="D95" i="27"/>
  <c r="C95" i="27"/>
  <c r="E94" i="27"/>
  <c r="D94" i="27"/>
  <c r="C94" i="27"/>
  <c r="E93" i="27"/>
  <c r="D93" i="27"/>
  <c r="C93" i="27"/>
  <c r="E92" i="27"/>
  <c r="D92" i="27"/>
  <c r="C92" i="27"/>
  <c r="E91" i="27"/>
  <c r="D91" i="27"/>
  <c r="C91" i="27"/>
  <c r="E90" i="27"/>
  <c r="D90" i="27"/>
  <c r="C90" i="27"/>
  <c r="E89" i="27"/>
  <c r="D89" i="27"/>
  <c r="C89" i="27"/>
  <c r="E88" i="27"/>
  <c r="D88" i="27"/>
  <c r="C88" i="27"/>
  <c r="E87" i="27"/>
  <c r="D87" i="27"/>
  <c r="C87" i="27"/>
  <c r="E83" i="27"/>
  <c r="D83" i="27"/>
  <c r="C83" i="27"/>
  <c r="E82" i="27"/>
  <c r="D82" i="27"/>
  <c r="C82" i="27"/>
  <c r="E81" i="27"/>
  <c r="D81" i="27"/>
  <c r="C81" i="27"/>
  <c r="E80" i="27"/>
  <c r="D80" i="27"/>
  <c r="C80" i="27"/>
  <c r="E79" i="27"/>
  <c r="D79" i="27"/>
  <c r="C79" i="27"/>
  <c r="E78" i="27"/>
  <c r="D78" i="27"/>
  <c r="C78" i="27"/>
  <c r="E77" i="27"/>
  <c r="D77" i="27"/>
  <c r="C77" i="27"/>
  <c r="E76" i="27"/>
  <c r="D76" i="27"/>
  <c r="C76" i="27"/>
  <c r="E75" i="27"/>
  <c r="D75" i="27"/>
  <c r="C75" i="27"/>
  <c r="E74" i="27"/>
  <c r="D74" i="27"/>
  <c r="C74" i="27"/>
  <c r="E73" i="27"/>
  <c r="D73" i="27"/>
  <c r="C73" i="27"/>
  <c r="E72" i="27"/>
  <c r="D72" i="27"/>
  <c r="C72" i="27"/>
  <c r="E71" i="27"/>
  <c r="D71" i="27"/>
  <c r="C71" i="27"/>
  <c r="E70" i="27"/>
  <c r="D70" i="27"/>
  <c r="C70" i="27"/>
  <c r="E69" i="27"/>
  <c r="D69" i="27"/>
  <c r="C69" i="27"/>
  <c r="E65" i="27"/>
  <c r="D65" i="27"/>
  <c r="C65" i="27"/>
  <c r="E64" i="27"/>
  <c r="D64" i="27"/>
  <c r="C64" i="27"/>
  <c r="E63" i="27"/>
  <c r="D63" i="27"/>
  <c r="C63" i="27"/>
  <c r="E62" i="27"/>
  <c r="D62" i="27"/>
  <c r="C62" i="27"/>
  <c r="E61" i="27"/>
  <c r="D61" i="27"/>
  <c r="C61" i="27"/>
  <c r="E60" i="27"/>
  <c r="D60" i="27"/>
  <c r="C60" i="27"/>
  <c r="E59" i="27"/>
  <c r="D59" i="27"/>
  <c r="C59" i="27"/>
  <c r="E58" i="27"/>
  <c r="D58" i="27"/>
  <c r="C58" i="27"/>
  <c r="E57" i="27"/>
  <c r="D57" i="27"/>
  <c r="C57" i="27"/>
  <c r="E56" i="27"/>
  <c r="D56" i="27"/>
  <c r="C56" i="27"/>
  <c r="E55" i="27"/>
  <c r="D55" i="27"/>
  <c r="C55" i="27"/>
  <c r="E54" i="27"/>
  <c r="D54" i="27"/>
  <c r="C54" i="27"/>
  <c r="E53" i="27"/>
  <c r="D53" i="27"/>
  <c r="C53" i="27"/>
  <c r="E52" i="27"/>
  <c r="D52" i="27"/>
  <c r="C52" i="27"/>
  <c r="E51" i="27"/>
  <c r="D51" i="27"/>
  <c r="C51" i="27"/>
  <c r="E50" i="27"/>
  <c r="D50" i="27"/>
  <c r="C50" i="27"/>
  <c r="E49" i="27"/>
  <c r="D49" i="27"/>
  <c r="C49" i="27"/>
  <c r="E48" i="27"/>
  <c r="D48" i="27"/>
  <c r="C48" i="27"/>
  <c r="E47" i="27"/>
  <c r="D47" i="27"/>
  <c r="C47" i="27"/>
  <c r="E46" i="27"/>
  <c r="D46" i="27"/>
  <c r="C46" i="27"/>
  <c r="E45" i="27"/>
  <c r="D45" i="27"/>
  <c r="C45" i="27"/>
  <c r="E44" i="27"/>
  <c r="D44" i="27"/>
  <c r="C44" i="27"/>
  <c r="E43" i="27"/>
  <c r="D43" i="27"/>
  <c r="C43" i="27"/>
  <c r="E42" i="27"/>
  <c r="D42" i="27"/>
  <c r="C42" i="27"/>
  <c r="E41" i="27"/>
  <c r="D41" i="27"/>
  <c r="C41" i="27"/>
  <c r="E40" i="27"/>
  <c r="D40" i="27"/>
  <c r="C40" i="27"/>
  <c r="E39" i="27"/>
  <c r="D39" i="27"/>
  <c r="C39" i="27"/>
  <c r="E38" i="27"/>
  <c r="D38" i="27"/>
  <c r="C38" i="27"/>
  <c r="E37" i="27"/>
  <c r="D37" i="27"/>
  <c r="C37" i="27"/>
  <c r="E36" i="27"/>
  <c r="D36" i="27"/>
  <c r="C36" i="27"/>
  <c r="E35" i="27"/>
  <c r="D35" i="27"/>
  <c r="C35" i="27"/>
  <c r="E34" i="27"/>
  <c r="D34" i="27"/>
  <c r="C34" i="27"/>
  <c r="E33" i="27"/>
  <c r="D33" i="27"/>
  <c r="C33" i="27"/>
  <c r="E32" i="27"/>
  <c r="D32" i="27"/>
  <c r="C32" i="27"/>
  <c r="E31" i="27"/>
  <c r="D31" i="27"/>
  <c r="C31" i="27"/>
  <c r="E30" i="27"/>
  <c r="D30" i="27"/>
  <c r="C30" i="27"/>
  <c r="D25" i="27"/>
  <c r="C25" i="27"/>
  <c r="D24" i="27"/>
  <c r="C24" i="27"/>
  <c r="D23" i="27"/>
  <c r="C23" i="27"/>
  <c r="D22" i="27"/>
  <c r="C22" i="27"/>
  <c r="D21" i="27"/>
  <c r="C21" i="27"/>
  <c r="D20" i="27"/>
  <c r="C20" i="27"/>
  <c r="D19" i="27"/>
  <c r="C19" i="27"/>
  <c r="C18" i="27"/>
  <c r="D17" i="27"/>
  <c r="C17" i="27"/>
  <c r="D16" i="27"/>
  <c r="C16" i="27"/>
  <c r="D15" i="27"/>
  <c r="C15" i="27"/>
  <c r="D14" i="27"/>
  <c r="C14" i="27"/>
  <c r="D13" i="27"/>
  <c r="C13" i="27"/>
  <c r="D12" i="27"/>
  <c r="C12" i="27"/>
  <c r="F12" i="27" s="1"/>
  <c r="I12" i="27" s="1"/>
  <c r="C4" i="27"/>
  <c r="C238" i="27" s="1"/>
  <c r="C3" i="27"/>
  <c r="D26" i="27" l="1"/>
  <c r="C116" i="27"/>
  <c r="E116" i="27"/>
  <c r="C26" i="27"/>
  <c r="D84" i="27"/>
  <c r="C98" i="27"/>
  <c r="C166" i="27"/>
  <c r="D202" i="27"/>
  <c r="E84" i="27"/>
  <c r="D98" i="27"/>
  <c r="C107" i="27"/>
  <c r="E166" i="27"/>
  <c r="E202" i="27"/>
  <c r="C233" i="27"/>
  <c r="E98" i="27"/>
  <c r="D107" i="27"/>
  <c r="C202" i="27"/>
  <c r="C211" i="27"/>
  <c r="E211" i="27"/>
  <c r="C124" i="27"/>
  <c r="D166" i="27"/>
  <c r="E107" i="27"/>
  <c r="D116" i="27"/>
  <c r="D124" i="27"/>
  <c r="C84" i="27"/>
  <c r="E124" i="27"/>
  <c r="D211" i="27"/>
  <c r="C66" i="27"/>
  <c r="D66" i="27"/>
  <c r="E66" i="27"/>
  <c r="C213" i="27" l="1"/>
  <c r="C217" i="27" s="1"/>
  <c r="E213" i="27"/>
  <c r="E220" i="27" s="1"/>
  <c r="D213" i="27"/>
  <c r="D220" i="27" s="1"/>
  <c r="C220" i="27" l="1"/>
  <c r="I249" i="133"/>
  <c r="I248" i="133"/>
  <c r="I247" i="133"/>
  <c r="I246" i="133"/>
  <c r="C3" i="133"/>
  <c r="C4" i="133"/>
  <c r="C238" i="133" l="1"/>
  <c r="I249" i="47"/>
  <c r="I248" i="47"/>
  <c r="I247" i="47"/>
  <c r="I246" i="47"/>
  <c r="C243" i="47"/>
  <c r="C242" i="47"/>
  <c r="C241" i="47"/>
  <c r="C240" i="47"/>
  <c r="C237" i="47"/>
  <c r="C236" i="47"/>
  <c r="E233" i="47"/>
  <c r="D233" i="47"/>
  <c r="C232" i="47"/>
  <c r="C231" i="47"/>
  <c r="C230" i="47"/>
  <c r="C229" i="47"/>
  <c r="C228" i="47"/>
  <c r="C227" i="47"/>
  <c r="C226" i="47"/>
  <c r="C225" i="47"/>
  <c r="C224" i="47"/>
  <c r="C216" i="47"/>
  <c r="E210" i="47"/>
  <c r="D210" i="47"/>
  <c r="C210" i="47"/>
  <c r="E209" i="47"/>
  <c r="D209" i="47"/>
  <c r="C209" i="47"/>
  <c r="E208" i="47"/>
  <c r="D208" i="47"/>
  <c r="C208" i="47"/>
  <c r="E207" i="47"/>
  <c r="D207" i="47"/>
  <c r="C207" i="47"/>
  <c r="E206" i="47"/>
  <c r="D206" i="47"/>
  <c r="C206" i="47"/>
  <c r="E205" i="47"/>
  <c r="D205" i="47"/>
  <c r="C205" i="47"/>
  <c r="E201" i="47"/>
  <c r="D201" i="47"/>
  <c r="C201" i="47"/>
  <c r="E200" i="47"/>
  <c r="D200" i="47"/>
  <c r="C200" i="47"/>
  <c r="E199" i="47"/>
  <c r="D199" i="47"/>
  <c r="C199" i="47"/>
  <c r="E198" i="47"/>
  <c r="D198" i="47"/>
  <c r="C198" i="47"/>
  <c r="E197" i="47"/>
  <c r="D197" i="47"/>
  <c r="C197" i="47"/>
  <c r="E196" i="47"/>
  <c r="D196" i="47"/>
  <c r="C196" i="47"/>
  <c r="E195" i="47"/>
  <c r="D195" i="47"/>
  <c r="C195" i="47"/>
  <c r="E194" i="47"/>
  <c r="D194" i="47"/>
  <c r="C194" i="47"/>
  <c r="E193" i="47"/>
  <c r="D193" i="47"/>
  <c r="C193" i="47"/>
  <c r="E192" i="47"/>
  <c r="D192" i="47"/>
  <c r="C192" i="47"/>
  <c r="E191" i="47"/>
  <c r="D191" i="47"/>
  <c r="C191" i="47"/>
  <c r="E190" i="47"/>
  <c r="D190" i="47"/>
  <c r="C190" i="47"/>
  <c r="E189" i="47"/>
  <c r="D189" i="47"/>
  <c r="C189" i="47"/>
  <c r="E188" i="47"/>
  <c r="D188" i="47"/>
  <c r="C188" i="47"/>
  <c r="E187" i="47"/>
  <c r="D187" i="47"/>
  <c r="C187" i="47"/>
  <c r="E186" i="47"/>
  <c r="D186" i="47"/>
  <c r="C186" i="47"/>
  <c r="E185" i="47"/>
  <c r="D185" i="47"/>
  <c r="C185" i="47"/>
  <c r="E184" i="47"/>
  <c r="D184" i="47"/>
  <c r="C184" i="47"/>
  <c r="E183" i="47"/>
  <c r="D183" i="47"/>
  <c r="C183" i="47"/>
  <c r="E182" i="47"/>
  <c r="D182" i="47"/>
  <c r="C182" i="47"/>
  <c r="E181" i="47"/>
  <c r="D181" i="47"/>
  <c r="C181" i="47"/>
  <c r="E180" i="47"/>
  <c r="D180" i="47"/>
  <c r="C180" i="47"/>
  <c r="E179" i="47"/>
  <c r="D179" i="47"/>
  <c r="C179" i="47"/>
  <c r="E178" i="47"/>
  <c r="D178" i="47"/>
  <c r="C178" i="47"/>
  <c r="E177" i="47"/>
  <c r="D177" i="47"/>
  <c r="C177" i="47"/>
  <c r="E176" i="47"/>
  <c r="D176" i="47"/>
  <c r="C176" i="47"/>
  <c r="E175" i="47"/>
  <c r="D175" i="47"/>
  <c r="C175" i="47"/>
  <c r="E174" i="47"/>
  <c r="D174" i="47"/>
  <c r="C174" i="47"/>
  <c r="E173" i="47"/>
  <c r="D173" i="47"/>
  <c r="C173" i="47"/>
  <c r="E172" i="47"/>
  <c r="D172" i="47"/>
  <c r="C172" i="47"/>
  <c r="E171" i="47"/>
  <c r="D171" i="47"/>
  <c r="C171" i="47"/>
  <c r="E170" i="47"/>
  <c r="D170" i="47"/>
  <c r="C170" i="47"/>
  <c r="E169" i="47"/>
  <c r="D169" i="47"/>
  <c r="C169" i="47"/>
  <c r="E165" i="47"/>
  <c r="D165" i="47"/>
  <c r="C165" i="47"/>
  <c r="E164" i="47"/>
  <c r="D164" i="47"/>
  <c r="C164" i="47"/>
  <c r="E163" i="47"/>
  <c r="D163" i="47"/>
  <c r="C163" i="47"/>
  <c r="E162" i="47"/>
  <c r="D162" i="47"/>
  <c r="C162" i="47"/>
  <c r="E161" i="47"/>
  <c r="D161" i="47"/>
  <c r="C161" i="47"/>
  <c r="E160" i="47"/>
  <c r="D160" i="47"/>
  <c r="C160" i="47"/>
  <c r="E158" i="47"/>
  <c r="D158" i="47"/>
  <c r="C158" i="47"/>
  <c r="E157" i="47"/>
  <c r="D157" i="47"/>
  <c r="C157" i="47"/>
  <c r="E156" i="47"/>
  <c r="D156" i="47"/>
  <c r="C156" i="47"/>
  <c r="E155" i="47"/>
  <c r="D155" i="47"/>
  <c r="C155" i="47"/>
  <c r="E154" i="47"/>
  <c r="D154" i="47"/>
  <c r="C154" i="47"/>
  <c r="E153" i="47"/>
  <c r="D153" i="47"/>
  <c r="C153" i="47"/>
  <c r="E152" i="47"/>
  <c r="D152" i="47"/>
  <c r="C152" i="47"/>
  <c r="E151" i="47"/>
  <c r="D151" i="47"/>
  <c r="C151" i="47"/>
  <c r="E150" i="47"/>
  <c r="D150" i="47"/>
  <c r="C150" i="47"/>
  <c r="E148" i="47"/>
  <c r="D148" i="47"/>
  <c r="C148" i="47"/>
  <c r="E147" i="47"/>
  <c r="D147" i="47"/>
  <c r="C147" i="47"/>
  <c r="E146" i="47"/>
  <c r="D146" i="47"/>
  <c r="C146" i="47"/>
  <c r="E145" i="47"/>
  <c r="D145" i="47"/>
  <c r="C145" i="47"/>
  <c r="E143" i="47"/>
  <c r="D143" i="47"/>
  <c r="C143" i="47"/>
  <c r="E142" i="47"/>
  <c r="D142" i="47"/>
  <c r="C142" i="47"/>
  <c r="E141" i="47"/>
  <c r="D141" i="47"/>
  <c r="C141" i="47"/>
  <c r="E140" i="47"/>
  <c r="D140" i="47"/>
  <c r="C140" i="47"/>
  <c r="E138" i="47"/>
  <c r="D138" i="47"/>
  <c r="C138" i="47"/>
  <c r="E137" i="47"/>
  <c r="D137" i="47"/>
  <c r="C137" i="47"/>
  <c r="E136" i="47"/>
  <c r="D136" i="47"/>
  <c r="C136" i="47"/>
  <c r="E135" i="47"/>
  <c r="D135" i="47"/>
  <c r="C135" i="47"/>
  <c r="E134" i="47"/>
  <c r="D134" i="47"/>
  <c r="C134" i="47"/>
  <c r="E132" i="47"/>
  <c r="D132" i="47"/>
  <c r="C132" i="47"/>
  <c r="E131" i="47"/>
  <c r="D131" i="47"/>
  <c r="C131" i="47"/>
  <c r="E130" i="47"/>
  <c r="D130" i="47"/>
  <c r="C130" i="47"/>
  <c r="E129" i="47"/>
  <c r="D129" i="47"/>
  <c r="C129" i="47"/>
  <c r="E128" i="47"/>
  <c r="D128" i="47"/>
  <c r="C128" i="47"/>
  <c r="E123" i="47"/>
  <c r="D123" i="47"/>
  <c r="C123" i="47"/>
  <c r="E122" i="47"/>
  <c r="D122" i="47"/>
  <c r="C122" i="47"/>
  <c r="E121" i="47"/>
  <c r="D121" i="47"/>
  <c r="C121" i="47"/>
  <c r="E120" i="47"/>
  <c r="D120" i="47"/>
  <c r="C120" i="47"/>
  <c r="E119" i="47"/>
  <c r="D119" i="47"/>
  <c r="C119" i="47"/>
  <c r="E115" i="47"/>
  <c r="D115" i="47"/>
  <c r="C115" i="47"/>
  <c r="E114" i="47"/>
  <c r="D114" i="47"/>
  <c r="C114" i="47"/>
  <c r="E113" i="47"/>
  <c r="D113" i="47"/>
  <c r="C113" i="47"/>
  <c r="E112" i="47"/>
  <c r="D112" i="47"/>
  <c r="C112" i="47"/>
  <c r="E111" i="47"/>
  <c r="D111" i="47"/>
  <c r="C111" i="47"/>
  <c r="E110" i="47"/>
  <c r="D110" i="47"/>
  <c r="C110" i="47"/>
  <c r="E106" i="47"/>
  <c r="D106" i="47"/>
  <c r="C106" i="47"/>
  <c r="E105" i="47"/>
  <c r="D105" i="47"/>
  <c r="C105" i="47"/>
  <c r="E104" i="47"/>
  <c r="D104" i="47"/>
  <c r="C104" i="47"/>
  <c r="E103" i="47"/>
  <c r="D103" i="47"/>
  <c r="C103" i="47"/>
  <c r="E102" i="47"/>
  <c r="D102" i="47"/>
  <c r="C102" i="47"/>
  <c r="E101" i="47"/>
  <c r="D101" i="47"/>
  <c r="C101" i="47"/>
  <c r="E97" i="47"/>
  <c r="D97" i="47"/>
  <c r="C97" i="47"/>
  <c r="E96" i="47"/>
  <c r="D96" i="47"/>
  <c r="C96" i="47"/>
  <c r="E95" i="47"/>
  <c r="D95" i="47"/>
  <c r="C95" i="47"/>
  <c r="E94" i="47"/>
  <c r="D94" i="47"/>
  <c r="C94" i="47"/>
  <c r="E93" i="47"/>
  <c r="D93" i="47"/>
  <c r="C93" i="47"/>
  <c r="E92" i="47"/>
  <c r="D92" i="47"/>
  <c r="C92" i="47"/>
  <c r="E91" i="47"/>
  <c r="D91" i="47"/>
  <c r="C91" i="47"/>
  <c r="E90" i="47"/>
  <c r="D90" i="47"/>
  <c r="C90" i="47"/>
  <c r="E89" i="47"/>
  <c r="D89" i="47"/>
  <c r="C89" i="47"/>
  <c r="E88" i="47"/>
  <c r="D88" i="47"/>
  <c r="C88" i="47"/>
  <c r="E87" i="47"/>
  <c r="D87" i="47"/>
  <c r="C87" i="47"/>
  <c r="E83" i="47"/>
  <c r="D83" i="47"/>
  <c r="C83" i="47"/>
  <c r="E82" i="47"/>
  <c r="D82" i="47"/>
  <c r="C82" i="47"/>
  <c r="E81" i="47"/>
  <c r="D81" i="47"/>
  <c r="C81" i="47"/>
  <c r="E80" i="47"/>
  <c r="D80" i="47"/>
  <c r="C80" i="47"/>
  <c r="E79" i="47"/>
  <c r="D79" i="47"/>
  <c r="C79" i="47"/>
  <c r="E78" i="47"/>
  <c r="D78" i="47"/>
  <c r="C78" i="47"/>
  <c r="E77" i="47"/>
  <c r="D77" i="47"/>
  <c r="C77" i="47"/>
  <c r="E76" i="47"/>
  <c r="D76" i="47"/>
  <c r="C76" i="47"/>
  <c r="E75" i="47"/>
  <c r="D75" i="47"/>
  <c r="C75" i="47"/>
  <c r="E74" i="47"/>
  <c r="D74" i="47"/>
  <c r="C74" i="47"/>
  <c r="E73" i="47"/>
  <c r="D73" i="47"/>
  <c r="C73" i="47"/>
  <c r="E72" i="47"/>
  <c r="D72" i="47"/>
  <c r="C72" i="47"/>
  <c r="E71" i="47"/>
  <c r="D71" i="47"/>
  <c r="C71" i="47"/>
  <c r="E70" i="47"/>
  <c r="D70" i="47"/>
  <c r="C70" i="47"/>
  <c r="E69" i="47"/>
  <c r="D69" i="47"/>
  <c r="C69" i="47"/>
  <c r="E65" i="47"/>
  <c r="D65" i="47"/>
  <c r="C65" i="47"/>
  <c r="E64" i="47"/>
  <c r="D64" i="47"/>
  <c r="C64" i="47"/>
  <c r="E63" i="47"/>
  <c r="D63" i="47"/>
  <c r="C63" i="47"/>
  <c r="E62" i="47"/>
  <c r="D62" i="47"/>
  <c r="C62" i="47"/>
  <c r="E61" i="47"/>
  <c r="D61" i="47"/>
  <c r="C61" i="47"/>
  <c r="E60" i="47"/>
  <c r="D60" i="47"/>
  <c r="C60" i="47"/>
  <c r="E59" i="47"/>
  <c r="D59" i="47"/>
  <c r="C59" i="47"/>
  <c r="E58" i="47"/>
  <c r="D58" i="47"/>
  <c r="C58" i="47"/>
  <c r="E57" i="47"/>
  <c r="D57" i="47"/>
  <c r="C57" i="47"/>
  <c r="E56" i="47"/>
  <c r="D56" i="47"/>
  <c r="C56" i="47"/>
  <c r="E55" i="47"/>
  <c r="D55" i="47"/>
  <c r="C55" i="47"/>
  <c r="E54" i="47"/>
  <c r="D54" i="47"/>
  <c r="C54" i="47"/>
  <c r="E53" i="47"/>
  <c r="D53" i="47"/>
  <c r="C53" i="47"/>
  <c r="E52" i="47"/>
  <c r="D52" i="47"/>
  <c r="C52" i="47"/>
  <c r="E51" i="47"/>
  <c r="D51" i="47"/>
  <c r="C51" i="47"/>
  <c r="E50" i="47"/>
  <c r="D50" i="47"/>
  <c r="C50" i="47"/>
  <c r="E49" i="47"/>
  <c r="D49" i="47"/>
  <c r="C49" i="47"/>
  <c r="E48" i="47"/>
  <c r="D48" i="47"/>
  <c r="C48" i="47"/>
  <c r="E47" i="47"/>
  <c r="D47" i="47"/>
  <c r="C47" i="47"/>
  <c r="E46" i="47"/>
  <c r="D46" i="47"/>
  <c r="C46" i="47"/>
  <c r="E45" i="47"/>
  <c r="D45" i="47"/>
  <c r="C45" i="47"/>
  <c r="E44" i="47"/>
  <c r="D44" i="47"/>
  <c r="C44" i="47"/>
  <c r="E43" i="47"/>
  <c r="D43" i="47"/>
  <c r="C43" i="47"/>
  <c r="E42" i="47"/>
  <c r="D42" i="47"/>
  <c r="C42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6" i="47"/>
  <c r="D36" i="47"/>
  <c r="C36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30" i="47"/>
  <c r="D30" i="47"/>
  <c r="C30" i="47"/>
  <c r="D25" i="47"/>
  <c r="C25" i="47"/>
  <c r="D24" i="47"/>
  <c r="C24" i="47"/>
  <c r="D23" i="47"/>
  <c r="C23" i="47"/>
  <c r="D22" i="47"/>
  <c r="C22" i="47"/>
  <c r="D21" i="47"/>
  <c r="C21" i="47"/>
  <c r="D20" i="47"/>
  <c r="C20" i="47"/>
  <c r="D19" i="47"/>
  <c r="C19" i="47"/>
  <c r="D18" i="47"/>
  <c r="C18" i="47"/>
  <c r="D17" i="47"/>
  <c r="C17" i="47"/>
  <c r="D16" i="47"/>
  <c r="C16" i="47"/>
  <c r="D15" i="47"/>
  <c r="C15" i="47"/>
  <c r="D14" i="47"/>
  <c r="C14" i="47"/>
  <c r="D13" i="47"/>
  <c r="C13" i="47"/>
  <c r="D12" i="47"/>
  <c r="C12" i="47"/>
  <c r="C4" i="47"/>
  <c r="C3" i="47"/>
  <c r="F12" i="47" l="1"/>
  <c r="I12" i="47" s="1"/>
  <c r="C26" i="47"/>
  <c r="D26" i="47"/>
  <c r="C238" i="47"/>
  <c r="D84" i="47"/>
  <c r="C98" i="47"/>
  <c r="C124" i="47"/>
  <c r="C166" i="47"/>
  <c r="D166" i="47"/>
  <c r="D202" i="47"/>
  <c r="D98" i="47"/>
  <c r="C107" i="47"/>
  <c r="E107" i="47"/>
  <c r="E166" i="47"/>
  <c r="E202" i="47"/>
  <c r="C233" i="47"/>
  <c r="E98" i="47"/>
  <c r="D107" i="47"/>
  <c r="D116" i="47"/>
  <c r="D124" i="47"/>
  <c r="C202" i="47"/>
  <c r="C211" i="47"/>
  <c r="E211" i="47"/>
  <c r="C84" i="47"/>
  <c r="E84" i="47"/>
  <c r="C116" i="47"/>
  <c r="E116" i="47"/>
  <c r="E124" i="47"/>
  <c r="D211" i="47"/>
  <c r="C66" i="47"/>
  <c r="D66" i="47"/>
  <c r="E66" i="47"/>
  <c r="I249" i="55"/>
  <c r="I248" i="55"/>
  <c r="I247" i="55"/>
  <c r="I246" i="55"/>
  <c r="C243" i="55"/>
  <c r="C242" i="55"/>
  <c r="C241" i="55"/>
  <c r="C240" i="55"/>
  <c r="C237" i="55"/>
  <c r="C236" i="55"/>
  <c r="E233" i="55"/>
  <c r="D233" i="55"/>
  <c r="C232" i="55"/>
  <c r="C231" i="55"/>
  <c r="C230" i="55"/>
  <c r="C229" i="55"/>
  <c r="C228" i="55"/>
  <c r="C227" i="55"/>
  <c r="C226" i="55"/>
  <c r="C225" i="55"/>
  <c r="C224" i="55"/>
  <c r="C216" i="55"/>
  <c r="E210" i="55"/>
  <c r="D210" i="55"/>
  <c r="C210" i="55"/>
  <c r="E209" i="55"/>
  <c r="D209" i="55"/>
  <c r="C209" i="55"/>
  <c r="E208" i="55"/>
  <c r="D208" i="55"/>
  <c r="C208" i="55"/>
  <c r="E207" i="55"/>
  <c r="D207" i="55"/>
  <c r="C207" i="55"/>
  <c r="E206" i="55"/>
  <c r="D206" i="55"/>
  <c r="C206" i="55"/>
  <c r="E205" i="55"/>
  <c r="D205" i="55"/>
  <c r="C205" i="55"/>
  <c r="E201" i="55"/>
  <c r="D201" i="55"/>
  <c r="C201" i="55"/>
  <c r="E200" i="55"/>
  <c r="D200" i="55"/>
  <c r="C200" i="55"/>
  <c r="E199" i="55"/>
  <c r="D199" i="55"/>
  <c r="C199" i="55"/>
  <c r="E198" i="55"/>
  <c r="D198" i="55"/>
  <c r="C198" i="55"/>
  <c r="E197" i="55"/>
  <c r="D197" i="55"/>
  <c r="C197" i="55"/>
  <c r="E196" i="55"/>
  <c r="D196" i="55"/>
  <c r="C196" i="55"/>
  <c r="E195" i="55"/>
  <c r="D195" i="55"/>
  <c r="C195" i="55"/>
  <c r="E194" i="55"/>
  <c r="D194" i="55"/>
  <c r="C194" i="55"/>
  <c r="E193" i="55"/>
  <c r="D193" i="55"/>
  <c r="C193" i="55"/>
  <c r="E192" i="55"/>
  <c r="D192" i="55"/>
  <c r="C192" i="55"/>
  <c r="E191" i="55"/>
  <c r="D191" i="55"/>
  <c r="C191" i="55"/>
  <c r="E190" i="55"/>
  <c r="D190" i="55"/>
  <c r="C190" i="55"/>
  <c r="E189" i="55"/>
  <c r="D189" i="55"/>
  <c r="C189" i="55"/>
  <c r="E188" i="55"/>
  <c r="D188" i="55"/>
  <c r="C188" i="55"/>
  <c r="E187" i="55"/>
  <c r="D187" i="55"/>
  <c r="C187" i="55"/>
  <c r="E186" i="55"/>
  <c r="D186" i="55"/>
  <c r="C186" i="55"/>
  <c r="E185" i="55"/>
  <c r="D185" i="55"/>
  <c r="C185" i="55"/>
  <c r="E184" i="55"/>
  <c r="D184" i="55"/>
  <c r="C184" i="55"/>
  <c r="E183" i="55"/>
  <c r="D183" i="55"/>
  <c r="C183" i="55"/>
  <c r="E182" i="55"/>
  <c r="D182" i="55"/>
  <c r="C182" i="55"/>
  <c r="E181" i="55"/>
  <c r="D181" i="55"/>
  <c r="C181" i="55"/>
  <c r="E180" i="55"/>
  <c r="D180" i="55"/>
  <c r="C180" i="55"/>
  <c r="E179" i="55"/>
  <c r="D179" i="55"/>
  <c r="C179" i="55"/>
  <c r="E178" i="55"/>
  <c r="D178" i="55"/>
  <c r="C178" i="55"/>
  <c r="E177" i="55"/>
  <c r="D177" i="55"/>
  <c r="C177" i="55"/>
  <c r="E176" i="55"/>
  <c r="D176" i="55"/>
  <c r="C176" i="55"/>
  <c r="E175" i="55"/>
  <c r="D175" i="55"/>
  <c r="C175" i="55"/>
  <c r="E174" i="55"/>
  <c r="D174" i="55"/>
  <c r="C174" i="55"/>
  <c r="E173" i="55"/>
  <c r="D173" i="55"/>
  <c r="C173" i="55"/>
  <c r="E172" i="55"/>
  <c r="D172" i="55"/>
  <c r="C172" i="55"/>
  <c r="E171" i="55"/>
  <c r="D171" i="55"/>
  <c r="C171" i="55"/>
  <c r="E170" i="55"/>
  <c r="D170" i="55"/>
  <c r="C170" i="55"/>
  <c r="E169" i="55"/>
  <c r="D169" i="55"/>
  <c r="C169" i="55"/>
  <c r="E165" i="55"/>
  <c r="D165" i="55"/>
  <c r="C165" i="55"/>
  <c r="E164" i="55"/>
  <c r="D164" i="55"/>
  <c r="C164" i="55"/>
  <c r="E163" i="55"/>
  <c r="D163" i="55"/>
  <c r="C163" i="55"/>
  <c r="E162" i="55"/>
  <c r="D162" i="55"/>
  <c r="C162" i="55"/>
  <c r="E161" i="55"/>
  <c r="D161" i="55"/>
  <c r="C161" i="55"/>
  <c r="E160" i="55"/>
  <c r="D160" i="55"/>
  <c r="C160" i="55"/>
  <c r="E158" i="55"/>
  <c r="D158" i="55"/>
  <c r="C158" i="55"/>
  <c r="E157" i="55"/>
  <c r="D157" i="55"/>
  <c r="C157" i="55"/>
  <c r="E156" i="55"/>
  <c r="D156" i="55"/>
  <c r="C156" i="55"/>
  <c r="E155" i="55"/>
  <c r="D155" i="55"/>
  <c r="C155" i="55"/>
  <c r="E154" i="55"/>
  <c r="D154" i="55"/>
  <c r="C154" i="55"/>
  <c r="E153" i="55"/>
  <c r="D153" i="55"/>
  <c r="C153" i="55"/>
  <c r="E152" i="55"/>
  <c r="D152" i="55"/>
  <c r="C152" i="55"/>
  <c r="E151" i="55"/>
  <c r="D151" i="55"/>
  <c r="C151" i="55"/>
  <c r="E150" i="55"/>
  <c r="D150" i="55"/>
  <c r="C150" i="55"/>
  <c r="E148" i="55"/>
  <c r="D148" i="55"/>
  <c r="C148" i="55"/>
  <c r="E147" i="55"/>
  <c r="D147" i="55"/>
  <c r="C147" i="55"/>
  <c r="E146" i="55"/>
  <c r="D146" i="55"/>
  <c r="C146" i="55"/>
  <c r="E145" i="55"/>
  <c r="D145" i="55"/>
  <c r="C145" i="55"/>
  <c r="E143" i="55"/>
  <c r="D143" i="55"/>
  <c r="C143" i="55"/>
  <c r="E142" i="55"/>
  <c r="D142" i="55"/>
  <c r="C142" i="55"/>
  <c r="E141" i="55"/>
  <c r="D141" i="55"/>
  <c r="C141" i="55"/>
  <c r="E140" i="55"/>
  <c r="D140" i="55"/>
  <c r="C140" i="55"/>
  <c r="E138" i="55"/>
  <c r="D138" i="55"/>
  <c r="C138" i="55"/>
  <c r="E137" i="55"/>
  <c r="D137" i="55"/>
  <c r="C137" i="55"/>
  <c r="E136" i="55"/>
  <c r="D136" i="55"/>
  <c r="C136" i="55"/>
  <c r="E135" i="55"/>
  <c r="D135" i="55"/>
  <c r="C135" i="55"/>
  <c r="E134" i="55"/>
  <c r="D134" i="55"/>
  <c r="C134" i="55"/>
  <c r="E132" i="55"/>
  <c r="D132" i="55"/>
  <c r="C132" i="55"/>
  <c r="E131" i="55"/>
  <c r="D131" i="55"/>
  <c r="C131" i="55"/>
  <c r="E130" i="55"/>
  <c r="D130" i="55"/>
  <c r="C130" i="55"/>
  <c r="E129" i="55"/>
  <c r="D129" i="55"/>
  <c r="C129" i="55"/>
  <c r="E128" i="55"/>
  <c r="D128" i="55"/>
  <c r="C128" i="55"/>
  <c r="E123" i="55"/>
  <c r="D123" i="55"/>
  <c r="C123" i="55"/>
  <c r="E122" i="55"/>
  <c r="D122" i="55"/>
  <c r="C122" i="55"/>
  <c r="E121" i="55"/>
  <c r="D121" i="55"/>
  <c r="C121" i="55"/>
  <c r="E120" i="55"/>
  <c r="D120" i="55"/>
  <c r="C120" i="55"/>
  <c r="E119" i="55"/>
  <c r="D119" i="55"/>
  <c r="C119" i="55"/>
  <c r="E115" i="55"/>
  <c r="D115" i="55"/>
  <c r="C115" i="55"/>
  <c r="E114" i="55"/>
  <c r="D114" i="55"/>
  <c r="C114" i="55"/>
  <c r="E113" i="55"/>
  <c r="D113" i="55"/>
  <c r="C113" i="55"/>
  <c r="E112" i="55"/>
  <c r="D112" i="55"/>
  <c r="C112" i="55"/>
  <c r="E111" i="55"/>
  <c r="D111" i="55"/>
  <c r="C111" i="55"/>
  <c r="E110" i="55"/>
  <c r="D110" i="55"/>
  <c r="C110" i="55"/>
  <c r="E106" i="55"/>
  <c r="D106" i="55"/>
  <c r="C106" i="55"/>
  <c r="E105" i="55"/>
  <c r="D105" i="55"/>
  <c r="C105" i="55"/>
  <c r="E104" i="55"/>
  <c r="D104" i="55"/>
  <c r="C104" i="55"/>
  <c r="E103" i="55"/>
  <c r="D103" i="55"/>
  <c r="C103" i="55"/>
  <c r="E102" i="55"/>
  <c r="D102" i="55"/>
  <c r="C102" i="55"/>
  <c r="E101" i="55"/>
  <c r="D101" i="55"/>
  <c r="C101" i="55"/>
  <c r="E97" i="55"/>
  <c r="D97" i="55"/>
  <c r="C97" i="55"/>
  <c r="E96" i="55"/>
  <c r="D96" i="55"/>
  <c r="C96" i="55"/>
  <c r="E95" i="55"/>
  <c r="D95" i="55"/>
  <c r="C95" i="55"/>
  <c r="E94" i="55"/>
  <c r="D94" i="55"/>
  <c r="C94" i="55"/>
  <c r="E93" i="55"/>
  <c r="D93" i="55"/>
  <c r="C93" i="55"/>
  <c r="E92" i="55"/>
  <c r="D92" i="55"/>
  <c r="C92" i="55"/>
  <c r="E91" i="55"/>
  <c r="D91" i="55"/>
  <c r="C91" i="55"/>
  <c r="E90" i="55"/>
  <c r="D90" i="55"/>
  <c r="C90" i="55"/>
  <c r="E89" i="55"/>
  <c r="D89" i="55"/>
  <c r="C89" i="55"/>
  <c r="E88" i="55"/>
  <c r="D88" i="55"/>
  <c r="C88" i="55"/>
  <c r="E87" i="55"/>
  <c r="D87" i="55"/>
  <c r="C87" i="55"/>
  <c r="E83" i="55"/>
  <c r="D83" i="55"/>
  <c r="C83" i="55"/>
  <c r="E82" i="55"/>
  <c r="D82" i="55"/>
  <c r="C82" i="55"/>
  <c r="E81" i="55"/>
  <c r="D81" i="55"/>
  <c r="C81" i="55"/>
  <c r="E80" i="55"/>
  <c r="D80" i="55"/>
  <c r="C80" i="55"/>
  <c r="E79" i="55"/>
  <c r="D79" i="55"/>
  <c r="C79" i="55"/>
  <c r="E78" i="55"/>
  <c r="D78" i="55"/>
  <c r="C78" i="55"/>
  <c r="E77" i="55"/>
  <c r="D77" i="55"/>
  <c r="C77" i="55"/>
  <c r="E76" i="55"/>
  <c r="D76" i="55"/>
  <c r="C76" i="55"/>
  <c r="E75" i="55"/>
  <c r="D75" i="55"/>
  <c r="C75" i="55"/>
  <c r="E74" i="55"/>
  <c r="D74" i="55"/>
  <c r="C74" i="55"/>
  <c r="E73" i="55"/>
  <c r="D73" i="55"/>
  <c r="C73" i="55"/>
  <c r="E72" i="55"/>
  <c r="D72" i="55"/>
  <c r="C72" i="55"/>
  <c r="E71" i="55"/>
  <c r="D71" i="55"/>
  <c r="C71" i="55"/>
  <c r="E70" i="55"/>
  <c r="D70" i="55"/>
  <c r="C70" i="55"/>
  <c r="E69" i="55"/>
  <c r="D69" i="55"/>
  <c r="C69" i="55"/>
  <c r="E65" i="55"/>
  <c r="D65" i="55"/>
  <c r="C65" i="55"/>
  <c r="E64" i="55"/>
  <c r="D64" i="55"/>
  <c r="C64" i="55"/>
  <c r="E63" i="55"/>
  <c r="D63" i="55"/>
  <c r="C63" i="55"/>
  <c r="E62" i="55"/>
  <c r="D62" i="55"/>
  <c r="C62" i="55"/>
  <c r="E61" i="55"/>
  <c r="D61" i="55"/>
  <c r="C61" i="55"/>
  <c r="E60" i="55"/>
  <c r="D60" i="55"/>
  <c r="C60" i="55"/>
  <c r="E59" i="55"/>
  <c r="D59" i="55"/>
  <c r="C59" i="55"/>
  <c r="E58" i="55"/>
  <c r="D58" i="55"/>
  <c r="C58" i="55"/>
  <c r="E57" i="55"/>
  <c r="D57" i="55"/>
  <c r="C57" i="55"/>
  <c r="E56" i="55"/>
  <c r="D56" i="55"/>
  <c r="C56" i="55"/>
  <c r="E55" i="55"/>
  <c r="D55" i="55"/>
  <c r="C55" i="55"/>
  <c r="E54" i="55"/>
  <c r="D54" i="55"/>
  <c r="C54" i="55"/>
  <c r="E53" i="55"/>
  <c r="D53" i="55"/>
  <c r="C53" i="55"/>
  <c r="E52" i="55"/>
  <c r="D52" i="55"/>
  <c r="C52" i="55"/>
  <c r="E51" i="55"/>
  <c r="D51" i="55"/>
  <c r="C51" i="55"/>
  <c r="E50" i="55"/>
  <c r="D50" i="55"/>
  <c r="C50" i="55"/>
  <c r="E49" i="55"/>
  <c r="D49" i="55"/>
  <c r="C49" i="55"/>
  <c r="E48" i="55"/>
  <c r="D48" i="55"/>
  <c r="C48" i="55"/>
  <c r="E47" i="55"/>
  <c r="D47" i="55"/>
  <c r="C47" i="55"/>
  <c r="E46" i="55"/>
  <c r="D46" i="55"/>
  <c r="C46" i="55"/>
  <c r="E45" i="55"/>
  <c r="D45" i="55"/>
  <c r="C45" i="55"/>
  <c r="E44" i="55"/>
  <c r="D44" i="55"/>
  <c r="C44" i="55"/>
  <c r="E43" i="55"/>
  <c r="D43" i="55"/>
  <c r="C43" i="55"/>
  <c r="E42" i="55"/>
  <c r="D42" i="55"/>
  <c r="C42" i="55"/>
  <c r="E41" i="55"/>
  <c r="D41" i="55"/>
  <c r="C41" i="55"/>
  <c r="E40" i="55"/>
  <c r="D40" i="55"/>
  <c r="C40" i="55"/>
  <c r="E39" i="55"/>
  <c r="D39" i="55"/>
  <c r="C39" i="55"/>
  <c r="E38" i="55"/>
  <c r="D38" i="55"/>
  <c r="C38" i="55"/>
  <c r="E37" i="55"/>
  <c r="D37" i="55"/>
  <c r="C37" i="55"/>
  <c r="E36" i="55"/>
  <c r="D36" i="55"/>
  <c r="C36" i="55"/>
  <c r="E35" i="55"/>
  <c r="D35" i="55"/>
  <c r="C35" i="55"/>
  <c r="E34" i="55"/>
  <c r="D34" i="55"/>
  <c r="C34" i="55"/>
  <c r="E33" i="55"/>
  <c r="D33" i="55"/>
  <c r="C33" i="55"/>
  <c r="E32" i="55"/>
  <c r="D32" i="55"/>
  <c r="C32" i="55"/>
  <c r="E31" i="55"/>
  <c r="D31" i="55"/>
  <c r="C31" i="55"/>
  <c r="E30" i="55"/>
  <c r="D30" i="55"/>
  <c r="C30" i="55"/>
  <c r="D25" i="55"/>
  <c r="C25" i="55"/>
  <c r="D24" i="55"/>
  <c r="C24" i="55"/>
  <c r="D23" i="55"/>
  <c r="C23" i="55"/>
  <c r="D22" i="55"/>
  <c r="C22" i="55"/>
  <c r="D21" i="55"/>
  <c r="C21" i="55"/>
  <c r="D20" i="55"/>
  <c r="C20" i="55"/>
  <c r="D19" i="55"/>
  <c r="C19" i="55"/>
  <c r="D18" i="55"/>
  <c r="C18" i="55"/>
  <c r="D17" i="55"/>
  <c r="C17" i="55"/>
  <c r="D16" i="55"/>
  <c r="C16" i="55"/>
  <c r="D15" i="55"/>
  <c r="C15" i="55"/>
  <c r="D14" i="55"/>
  <c r="C14" i="55"/>
  <c r="D13" i="55"/>
  <c r="C13" i="55"/>
  <c r="D12" i="55"/>
  <c r="C12" i="55"/>
  <c r="C4" i="55"/>
  <c r="C3" i="55"/>
  <c r="D26" i="55" l="1"/>
  <c r="F12" i="55"/>
  <c r="I12" i="55" s="1"/>
  <c r="D213" i="47"/>
  <c r="D220" i="47" s="1"/>
  <c r="D116" i="55"/>
  <c r="C26" i="55"/>
  <c r="D84" i="55"/>
  <c r="C98" i="55"/>
  <c r="C238" i="55"/>
  <c r="D124" i="55"/>
  <c r="E166" i="55"/>
  <c r="C211" i="55"/>
  <c r="E211" i="55"/>
  <c r="E107" i="55"/>
  <c r="C116" i="55"/>
  <c r="E84" i="55"/>
  <c r="D98" i="55"/>
  <c r="C107" i="55"/>
  <c r="E124" i="55"/>
  <c r="C202" i="55"/>
  <c r="D211" i="55"/>
  <c r="E213" i="47"/>
  <c r="E220" i="47" s="1"/>
  <c r="E98" i="55"/>
  <c r="D107" i="55"/>
  <c r="E116" i="55"/>
  <c r="C166" i="55"/>
  <c r="D166" i="55"/>
  <c r="D202" i="55"/>
  <c r="C84" i="55"/>
  <c r="C124" i="55"/>
  <c r="E202" i="55"/>
  <c r="C233" i="55"/>
  <c r="C213" i="47"/>
  <c r="C217" i="47" s="1"/>
  <c r="C66" i="55"/>
  <c r="D66" i="55"/>
  <c r="E66" i="55"/>
  <c r="D213" i="55" l="1"/>
  <c r="D220" i="55" s="1"/>
  <c r="C213" i="55"/>
  <c r="C217" i="55" s="1"/>
  <c r="C220" i="47"/>
  <c r="E213" i="55"/>
  <c r="E220" i="55" s="1"/>
  <c r="C220" i="55" l="1"/>
  <c r="I249" i="38"/>
  <c r="I248" i="38"/>
  <c r="I247" i="38"/>
  <c r="I246" i="38"/>
  <c r="C243" i="38"/>
  <c r="C242" i="38"/>
  <c r="C241" i="38"/>
  <c r="C240" i="38"/>
  <c r="C237" i="38"/>
  <c r="C236" i="38"/>
  <c r="E233" i="38"/>
  <c r="D233" i="38"/>
  <c r="C232" i="38"/>
  <c r="C231" i="38"/>
  <c r="C230" i="38"/>
  <c r="C229" i="38"/>
  <c r="C228" i="38"/>
  <c r="C227" i="38"/>
  <c r="C226" i="38"/>
  <c r="C225" i="38"/>
  <c r="C224" i="38"/>
  <c r="C216" i="38"/>
  <c r="E210" i="38"/>
  <c r="D210" i="38"/>
  <c r="C210" i="38"/>
  <c r="E209" i="38"/>
  <c r="D209" i="38"/>
  <c r="C209" i="38"/>
  <c r="E208" i="38"/>
  <c r="D208" i="38"/>
  <c r="C208" i="38"/>
  <c r="E207" i="38"/>
  <c r="D207" i="38"/>
  <c r="C207" i="38"/>
  <c r="E206" i="38"/>
  <c r="D206" i="38"/>
  <c r="C206" i="38"/>
  <c r="E205" i="38"/>
  <c r="D205" i="38"/>
  <c r="C205" i="38"/>
  <c r="E201" i="38"/>
  <c r="D201" i="38"/>
  <c r="C201" i="38"/>
  <c r="E200" i="38"/>
  <c r="D200" i="38"/>
  <c r="C200" i="38"/>
  <c r="E199" i="38"/>
  <c r="D199" i="38"/>
  <c r="C199" i="38"/>
  <c r="E198" i="38"/>
  <c r="D198" i="38"/>
  <c r="C198" i="38"/>
  <c r="E197" i="38"/>
  <c r="D197" i="38"/>
  <c r="C197" i="38"/>
  <c r="E196" i="38"/>
  <c r="D196" i="38"/>
  <c r="C196" i="38"/>
  <c r="E195" i="38"/>
  <c r="D195" i="38"/>
  <c r="C195" i="38"/>
  <c r="E194" i="38"/>
  <c r="D194" i="38"/>
  <c r="C194" i="38"/>
  <c r="E193" i="38"/>
  <c r="D193" i="38"/>
  <c r="C193" i="38"/>
  <c r="E192" i="38"/>
  <c r="D192" i="38"/>
  <c r="C192" i="38"/>
  <c r="E191" i="38"/>
  <c r="D191" i="38"/>
  <c r="C191" i="38"/>
  <c r="E190" i="38"/>
  <c r="D190" i="38"/>
  <c r="C190" i="38"/>
  <c r="E189" i="38"/>
  <c r="D189" i="38"/>
  <c r="C189" i="38"/>
  <c r="E188" i="38"/>
  <c r="D188" i="38"/>
  <c r="C188" i="38"/>
  <c r="E187" i="38"/>
  <c r="D187" i="38"/>
  <c r="C187" i="38"/>
  <c r="E186" i="38"/>
  <c r="D186" i="38"/>
  <c r="C186" i="38"/>
  <c r="E185" i="38"/>
  <c r="D185" i="38"/>
  <c r="C185" i="38"/>
  <c r="E184" i="38"/>
  <c r="D184" i="38"/>
  <c r="C184" i="38"/>
  <c r="E183" i="38"/>
  <c r="D183" i="38"/>
  <c r="C183" i="38"/>
  <c r="E182" i="38"/>
  <c r="D182" i="38"/>
  <c r="C182" i="38"/>
  <c r="E181" i="38"/>
  <c r="D181" i="38"/>
  <c r="C181" i="38"/>
  <c r="E180" i="38"/>
  <c r="D180" i="38"/>
  <c r="C180" i="38"/>
  <c r="E179" i="38"/>
  <c r="D179" i="38"/>
  <c r="C179" i="38"/>
  <c r="E178" i="38"/>
  <c r="D178" i="38"/>
  <c r="C178" i="38"/>
  <c r="E177" i="38"/>
  <c r="D177" i="38"/>
  <c r="C177" i="38"/>
  <c r="E176" i="38"/>
  <c r="D176" i="38"/>
  <c r="C176" i="38"/>
  <c r="E175" i="38"/>
  <c r="D175" i="38"/>
  <c r="C175" i="38"/>
  <c r="E174" i="38"/>
  <c r="D174" i="38"/>
  <c r="C174" i="38"/>
  <c r="E173" i="38"/>
  <c r="D173" i="38"/>
  <c r="C173" i="38"/>
  <c r="E172" i="38"/>
  <c r="D172" i="38"/>
  <c r="C172" i="38"/>
  <c r="E171" i="38"/>
  <c r="D171" i="38"/>
  <c r="C171" i="38"/>
  <c r="E170" i="38"/>
  <c r="D170" i="38"/>
  <c r="C170" i="38"/>
  <c r="E169" i="38"/>
  <c r="D169" i="38"/>
  <c r="C169" i="38"/>
  <c r="E165" i="38"/>
  <c r="D165" i="38"/>
  <c r="C165" i="38"/>
  <c r="E164" i="38"/>
  <c r="D164" i="38"/>
  <c r="C164" i="38"/>
  <c r="E163" i="38"/>
  <c r="D163" i="38"/>
  <c r="C163" i="38"/>
  <c r="E162" i="38"/>
  <c r="D162" i="38"/>
  <c r="C162" i="38"/>
  <c r="E161" i="38"/>
  <c r="D161" i="38"/>
  <c r="C161" i="38"/>
  <c r="E160" i="38"/>
  <c r="D160" i="38"/>
  <c r="C160" i="38"/>
  <c r="E158" i="38"/>
  <c r="D158" i="38"/>
  <c r="C158" i="38"/>
  <c r="E157" i="38"/>
  <c r="D157" i="38"/>
  <c r="C157" i="38"/>
  <c r="E156" i="38"/>
  <c r="D156" i="38"/>
  <c r="C156" i="38"/>
  <c r="E155" i="38"/>
  <c r="D155" i="38"/>
  <c r="C155" i="38"/>
  <c r="E154" i="38"/>
  <c r="D154" i="38"/>
  <c r="C154" i="38"/>
  <c r="E153" i="38"/>
  <c r="D153" i="38"/>
  <c r="C153" i="38"/>
  <c r="E152" i="38"/>
  <c r="D152" i="38"/>
  <c r="C152" i="38"/>
  <c r="E151" i="38"/>
  <c r="D151" i="38"/>
  <c r="C151" i="38"/>
  <c r="E150" i="38"/>
  <c r="D150" i="38"/>
  <c r="C150" i="38"/>
  <c r="E148" i="38"/>
  <c r="D148" i="38"/>
  <c r="C148" i="38"/>
  <c r="E147" i="38"/>
  <c r="D147" i="38"/>
  <c r="C147" i="38"/>
  <c r="E146" i="38"/>
  <c r="D146" i="38"/>
  <c r="C146" i="38"/>
  <c r="E145" i="38"/>
  <c r="D145" i="38"/>
  <c r="C145" i="38"/>
  <c r="E143" i="38"/>
  <c r="D143" i="38"/>
  <c r="C143" i="38"/>
  <c r="E142" i="38"/>
  <c r="D142" i="38"/>
  <c r="C142" i="38"/>
  <c r="E141" i="38"/>
  <c r="D141" i="38"/>
  <c r="C141" i="38"/>
  <c r="E140" i="38"/>
  <c r="D140" i="38"/>
  <c r="C140" i="38"/>
  <c r="E138" i="38"/>
  <c r="D138" i="38"/>
  <c r="C138" i="38"/>
  <c r="E137" i="38"/>
  <c r="D137" i="38"/>
  <c r="C137" i="38"/>
  <c r="E136" i="38"/>
  <c r="D136" i="38"/>
  <c r="C136" i="38"/>
  <c r="E135" i="38"/>
  <c r="D135" i="38"/>
  <c r="C135" i="38"/>
  <c r="E134" i="38"/>
  <c r="D134" i="38"/>
  <c r="C134" i="38"/>
  <c r="E132" i="38"/>
  <c r="D132" i="38"/>
  <c r="C132" i="38"/>
  <c r="E131" i="38"/>
  <c r="D131" i="38"/>
  <c r="C131" i="38"/>
  <c r="E130" i="38"/>
  <c r="D130" i="38"/>
  <c r="C130" i="38"/>
  <c r="E129" i="38"/>
  <c r="D129" i="38"/>
  <c r="C129" i="38"/>
  <c r="E128" i="38"/>
  <c r="D128" i="38"/>
  <c r="C128" i="38"/>
  <c r="E123" i="38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D25" i="38"/>
  <c r="C25" i="38"/>
  <c r="D24" i="38"/>
  <c r="C24" i="38"/>
  <c r="D23" i="38"/>
  <c r="C23" i="38"/>
  <c r="D22" i="38"/>
  <c r="C22" i="38"/>
  <c r="D21" i="38"/>
  <c r="C21" i="38"/>
  <c r="D20" i="38"/>
  <c r="C20" i="38"/>
  <c r="D19" i="38"/>
  <c r="C19" i="38"/>
  <c r="D18" i="38"/>
  <c r="C18" i="38"/>
  <c r="D17" i="38"/>
  <c r="C17" i="38"/>
  <c r="D16" i="38"/>
  <c r="C16" i="38"/>
  <c r="D15" i="38"/>
  <c r="C15" i="38"/>
  <c r="D14" i="38"/>
  <c r="C14" i="38"/>
  <c r="D13" i="38"/>
  <c r="C13" i="38"/>
  <c r="D12" i="38"/>
  <c r="C12" i="38"/>
  <c r="C4" i="38"/>
  <c r="C3" i="38"/>
  <c r="D26" i="38" l="1"/>
  <c r="F12" i="38"/>
  <c r="I12" i="38" s="1"/>
  <c r="C238" i="38"/>
  <c r="C26" i="38"/>
  <c r="C66" i="38"/>
  <c r="E124" i="38"/>
  <c r="D211" i="38"/>
  <c r="C84" i="38"/>
  <c r="C116" i="38"/>
  <c r="D202" i="38"/>
  <c r="D84" i="38"/>
  <c r="C98" i="38"/>
  <c r="C124" i="38"/>
  <c r="C166" i="38"/>
  <c r="D166" i="38"/>
  <c r="E84" i="38"/>
  <c r="D98" i="38"/>
  <c r="C107" i="38"/>
  <c r="E107" i="38"/>
  <c r="D124" i="38"/>
  <c r="E166" i="38"/>
  <c r="E202" i="38"/>
  <c r="C233" i="38"/>
  <c r="E98" i="38"/>
  <c r="D107" i="38"/>
  <c r="D116" i="38"/>
  <c r="E116" i="38"/>
  <c r="C202" i="38"/>
  <c r="C211" i="38"/>
  <c r="E211" i="38"/>
  <c r="D66" i="38"/>
  <c r="E66" i="38"/>
  <c r="C213" i="38" l="1"/>
  <c r="C217" i="38" s="1"/>
  <c r="E213" i="38"/>
  <c r="E220" i="38" s="1"/>
  <c r="D213" i="38"/>
  <c r="D220" i="38" s="1"/>
  <c r="C220" i="38" l="1"/>
  <c r="I249" i="57"/>
  <c r="I248" i="57"/>
  <c r="I247" i="57"/>
  <c r="I246" i="57"/>
  <c r="C243" i="57"/>
  <c r="C242" i="57"/>
  <c r="C241" i="57"/>
  <c r="C240" i="57"/>
  <c r="C237" i="57"/>
  <c r="C236" i="57"/>
  <c r="E233" i="57"/>
  <c r="D233" i="57"/>
  <c r="C232" i="57"/>
  <c r="C231" i="57"/>
  <c r="C230" i="57"/>
  <c r="C229" i="57"/>
  <c r="C228" i="57"/>
  <c r="C227" i="57"/>
  <c r="C226" i="57"/>
  <c r="C225" i="57"/>
  <c r="C224" i="57"/>
  <c r="C216" i="57"/>
  <c r="E210" i="57"/>
  <c r="D210" i="57"/>
  <c r="C210" i="57"/>
  <c r="E209" i="57"/>
  <c r="D209" i="57"/>
  <c r="C209" i="57"/>
  <c r="E208" i="57"/>
  <c r="D208" i="57"/>
  <c r="C208" i="57"/>
  <c r="E207" i="57"/>
  <c r="D207" i="57"/>
  <c r="C207" i="57"/>
  <c r="E206" i="57"/>
  <c r="D206" i="57"/>
  <c r="C206" i="57"/>
  <c r="E205" i="57"/>
  <c r="D205" i="57"/>
  <c r="C205" i="57"/>
  <c r="E201" i="57"/>
  <c r="D201" i="57"/>
  <c r="C201" i="57"/>
  <c r="E200" i="57"/>
  <c r="D200" i="57"/>
  <c r="C200" i="57"/>
  <c r="E199" i="57"/>
  <c r="D199" i="57"/>
  <c r="C199" i="57"/>
  <c r="E198" i="57"/>
  <c r="D198" i="57"/>
  <c r="C198" i="57"/>
  <c r="E197" i="57"/>
  <c r="D197" i="57"/>
  <c r="C197" i="57"/>
  <c r="E196" i="57"/>
  <c r="D196" i="57"/>
  <c r="C196" i="57"/>
  <c r="E195" i="57"/>
  <c r="D195" i="57"/>
  <c r="C195" i="57"/>
  <c r="E194" i="57"/>
  <c r="D194" i="57"/>
  <c r="C194" i="57"/>
  <c r="E193" i="57"/>
  <c r="D193" i="57"/>
  <c r="C193" i="57"/>
  <c r="E192" i="57"/>
  <c r="D192" i="57"/>
  <c r="C192" i="57"/>
  <c r="E191" i="57"/>
  <c r="D191" i="57"/>
  <c r="C191" i="57"/>
  <c r="E190" i="57"/>
  <c r="D190" i="57"/>
  <c r="C190" i="57"/>
  <c r="E189" i="57"/>
  <c r="D189" i="57"/>
  <c r="C189" i="57"/>
  <c r="E188" i="57"/>
  <c r="D188" i="57"/>
  <c r="C188" i="57"/>
  <c r="E187" i="57"/>
  <c r="D187" i="57"/>
  <c r="C187" i="57"/>
  <c r="E186" i="57"/>
  <c r="D186" i="57"/>
  <c r="C186" i="57"/>
  <c r="E185" i="57"/>
  <c r="D185" i="57"/>
  <c r="C185" i="57"/>
  <c r="E184" i="57"/>
  <c r="D184" i="57"/>
  <c r="C184" i="57"/>
  <c r="E183" i="57"/>
  <c r="D183" i="57"/>
  <c r="C183" i="57"/>
  <c r="E182" i="57"/>
  <c r="D182" i="57"/>
  <c r="C182" i="57"/>
  <c r="E181" i="57"/>
  <c r="D181" i="57"/>
  <c r="C181" i="57"/>
  <c r="E180" i="57"/>
  <c r="D180" i="57"/>
  <c r="C180" i="57"/>
  <c r="E179" i="57"/>
  <c r="D179" i="57"/>
  <c r="C179" i="57"/>
  <c r="E178" i="57"/>
  <c r="D178" i="57"/>
  <c r="C178" i="57"/>
  <c r="E177" i="57"/>
  <c r="D177" i="57"/>
  <c r="C177" i="57"/>
  <c r="E176" i="57"/>
  <c r="D176" i="57"/>
  <c r="C176" i="57"/>
  <c r="E175" i="57"/>
  <c r="D175" i="57"/>
  <c r="C175" i="57"/>
  <c r="E174" i="57"/>
  <c r="D174" i="57"/>
  <c r="C174" i="57"/>
  <c r="E173" i="57"/>
  <c r="D173" i="57"/>
  <c r="C173" i="57"/>
  <c r="E172" i="57"/>
  <c r="D172" i="57"/>
  <c r="C172" i="57"/>
  <c r="E171" i="57"/>
  <c r="D171" i="57"/>
  <c r="C171" i="57"/>
  <c r="E170" i="57"/>
  <c r="D170" i="57"/>
  <c r="C170" i="57"/>
  <c r="E169" i="57"/>
  <c r="D169" i="57"/>
  <c r="C169" i="57"/>
  <c r="E165" i="57"/>
  <c r="D165" i="57"/>
  <c r="C165" i="57"/>
  <c r="E164" i="57"/>
  <c r="D164" i="57"/>
  <c r="C164" i="57"/>
  <c r="E163" i="57"/>
  <c r="D163" i="57"/>
  <c r="C163" i="57"/>
  <c r="E162" i="57"/>
  <c r="D162" i="57"/>
  <c r="C162" i="57"/>
  <c r="E161" i="57"/>
  <c r="D161" i="57"/>
  <c r="C161" i="57"/>
  <c r="E160" i="57"/>
  <c r="D160" i="57"/>
  <c r="C160" i="57"/>
  <c r="E158" i="57"/>
  <c r="D158" i="57"/>
  <c r="C158" i="57"/>
  <c r="E157" i="57"/>
  <c r="D157" i="57"/>
  <c r="C157" i="57"/>
  <c r="E156" i="57"/>
  <c r="D156" i="57"/>
  <c r="C156" i="57"/>
  <c r="E155" i="57"/>
  <c r="D155" i="57"/>
  <c r="C155" i="57"/>
  <c r="E154" i="57"/>
  <c r="D154" i="57"/>
  <c r="C154" i="57"/>
  <c r="E153" i="57"/>
  <c r="D153" i="57"/>
  <c r="C153" i="57"/>
  <c r="E152" i="57"/>
  <c r="D152" i="57"/>
  <c r="C152" i="57"/>
  <c r="E151" i="57"/>
  <c r="D151" i="57"/>
  <c r="C151" i="57"/>
  <c r="E150" i="57"/>
  <c r="D150" i="57"/>
  <c r="C150" i="57"/>
  <c r="E148" i="57"/>
  <c r="D148" i="57"/>
  <c r="C148" i="57"/>
  <c r="E147" i="57"/>
  <c r="D147" i="57"/>
  <c r="C147" i="57"/>
  <c r="E146" i="57"/>
  <c r="D146" i="57"/>
  <c r="C146" i="57"/>
  <c r="E145" i="57"/>
  <c r="D145" i="57"/>
  <c r="C145" i="57"/>
  <c r="E143" i="57"/>
  <c r="D143" i="57"/>
  <c r="C143" i="57"/>
  <c r="E142" i="57"/>
  <c r="D142" i="57"/>
  <c r="C142" i="57"/>
  <c r="E141" i="57"/>
  <c r="D141" i="57"/>
  <c r="C141" i="57"/>
  <c r="E140" i="57"/>
  <c r="D140" i="57"/>
  <c r="C140" i="57"/>
  <c r="E138" i="57"/>
  <c r="D138" i="57"/>
  <c r="C138" i="57"/>
  <c r="E137" i="57"/>
  <c r="D137" i="57"/>
  <c r="C137" i="57"/>
  <c r="E136" i="57"/>
  <c r="D136" i="57"/>
  <c r="C136" i="57"/>
  <c r="E135" i="57"/>
  <c r="D135" i="57"/>
  <c r="C135" i="57"/>
  <c r="E134" i="57"/>
  <c r="D134" i="57"/>
  <c r="C134" i="57"/>
  <c r="E132" i="57"/>
  <c r="D132" i="57"/>
  <c r="C132" i="57"/>
  <c r="E131" i="57"/>
  <c r="D131" i="57"/>
  <c r="C131" i="57"/>
  <c r="E130" i="57"/>
  <c r="D130" i="57"/>
  <c r="C130" i="57"/>
  <c r="E129" i="57"/>
  <c r="D129" i="57"/>
  <c r="C129" i="57"/>
  <c r="E128" i="57"/>
  <c r="D128" i="57"/>
  <c r="C128" i="57"/>
  <c r="E123" i="57"/>
  <c r="D123" i="57"/>
  <c r="C123" i="57"/>
  <c r="E122" i="57"/>
  <c r="D122" i="57"/>
  <c r="C122" i="57"/>
  <c r="E121" i="57"/>
  <c r="D121" i="57"/>
  <c r="C121" i="57"/>
  <c r="E120" i="57"/>
  <c r="D120" i="57"/>
  <c r="C120" i="57"/>
  <c r="E119" i="57"/>
  <c r="D119" i="57"/>
  <c r="C119" i="57"/>
  <c r="E115" i="57"/>
  <c r="D115" i="57"/>
  <c r="C115" i="57"/>
  <c r="E114" i="57"/>
  <c r="D114" i="57"/>
  <c r="C114" i="57"/>
  <c r="E113" i="57"/>
  <c r="D113" i="57"/>
  <c r="C113" i="57"/>
  <c r="E112" i="57"/>
  <c r="D112" i="57"/>
  <c r="C112" i="57"/>
  <c r="E111" i="57"/>
  <c r="D111" i="57"/>
  <c r="C111" i="57"/>
  <c r="E110" i="57"/>
  <c r="D110" i="57"/>
  <c r="C110" i="57"/>
  <c r="E106" i="57"/>
  <c r="D106" i="57"/>
  <c r="C106" i="57"/>
  <c r="E105" i="57"/>
  <c r="D105" i="57"/>
  <c r="C105" i="57"/>
  <c r="E104" i="57"/>
  <c r="D104" i="57"/>
  <c r="C104" i="57"/>
  <c r="E103" i="57"/>
  <c r="D103" i="57"/>
  <c r="C103" i="57"/>
  <c r="E102" i="57"/>
  <c r="D102" i="57"/>
  <c r="C102" i="57"/>
  <c r="E101" i="57"/>
  <c r="D101" i="57"/>
  <c r="C101" i="57"/>
  <c r="E97" i="57"/>
  <c r="D97" i="57"/>
  <c r="C97" i="57"/>
  <c r="E96" i="57"/>
  <c r="D96" i="57"/>
  <c r="C96" i="57"/>
  <c r="E95" i="57"/>
  <c r="D95" i="57"/>
  <c r="C95" i="57"/>
  <c r="E94" i="57"/>
  <c r="D94" i="57"/>
  <c r="C94" i="57"/>
  <c r="E93" i="57"/>
  <c r="D93" i="57"/>
  <c r="C93" i="57"/>
  <c r="E92" i="57"/>
  <c r="D92" i="57"/>
  <c r="C92" i="57"/>
  <c r="E91" i="57"/>
  <c r="D91" i="57"/>
  <c r="C91" i="57"/>
  <c r="E90" i="57"/>
  <c r="D90" i="57"/>
  <c r="C90" i="57"/>
  <c r="E89" i="57"/>
  <c r="D89" i="57"/>
  <c r="C89" i="57"/>
  <c r="E88" i="57"/>
  <c r="D88" i="57"/>
  <c r="C88" i="57"/>
  <c r="E87" i="57"/>
  <c r="D87" i="57"/>
  <c r="C87" i="57"/>
  <c r="E83" i="57"/>
  <c r="D83" i="57"/>
  <c r="C83" i="57"/>
  <c r="E82" i="57"/>
  <c r="D82" i="57"/>
  <c r="C82" i="57"/>
  <c r="E81" i="57"/>
  <c r="D81" i="57"/>
  <c r="C81" i="57"/>
  <c r="E80" i="57"/>
  <c r="D80" i="57"/>
  <c r="C80" i="57"/>
  <c r="E79" i="57"/>
  <c r="D79" i="57"/>
  <c r="C79" i="57"/>
  <c r="E78" i="57"/>
  <c r="D78" i="57"/>
  <c r="C78" i="57"/>
  <c r="E77" i="57"/>
  <c r="D77" i="57"/>
  <c r="C77" i="57"/>
  <c r="E76" i="57"/>
  <c r="D76" i="57"/>
  <c r="C76" i="57"/>
  <c r="E75" i="57"/>
  <c r="D75" i="57"/>
  <c r="C75" i="57"/>
  <c r="E74" i="57"/>
  <c r="D74" i="57"/>
  <c r="C74" i="57"/>
  <c r="E73" i="57"/>
  <c r="D73" i="57"/>
  <c r="C73" i="57"/>
  <c r="E72" i="57"/>
  <c r="D72" i="57"/>
  <c r="C72" i="57"/>
  <c r="E71" i="57"/>
  <c r="D71" i="57"/>
  <c r="C71" i="57"/>
  <c r="E70" i="57"/>
  <c r="D70" i="57"/>
  <c r="C70" i="57"/>
  <c r="E69" i="57"/>
  <c r="D69" i="57"/>
  <c r="C69" i="57"/>
  <c r="E65" i="57"/>
  <c r="D65" i="57"/>
  <c r="C65" i="57"/>
  <c r="E64" i="57"/>
  <c r="D64" i="57"/>
  <c r="C64" i="57"/>
  <c r="E63" i="57"/>
  <c r="D63" i="57"/>
  <c r="C63" i="57"/>
  <c r="E62" i="57"/>
  <c r="D62" i="57"/>
  <c r="C62" i="57"/>
  <c r="E61" i="57"/>
  <c r="D61" i="57"/>
  <c r="C61" i="57"/>
  <c r="E60" i="57"/>
  <c r="D60" i="57"/>
  <c r="C60" i="57"/>
  <c r="E59" i="57"/>
  <c r="D59" i="57"/>
  <c r="C59" i="57"/>
  <c r="E58" i="57"/>
  <c r="D58" i="57"/>
  <c r="C58" i="57"/>
  <c r="E57" i="57"/>
  <c r="D57" i="57"/>
  <c r="C57" i="57"/>
  <c r="E56" i="57"/>
  <c r="D56" i="57"/>
  <c r="C56" i="57"/>
  <c r="E55" i="57"/>
  <c r="D55" i="57"/>
  <c r="C55" i="57"/>
  <c r="E54" i="57"/>
  <c r="D54" i="57"/>
  <c r="C54" i="57"/>
  <c r="E53" i="57"/>
  <c r="D53" i="57"/>
  <c r="C53" i="57"/>
  <c r="E52" i="57"/>
  <c r="D52" i="57"/>
  <c r="C52" i="57"/>
  <c r="E51" i="57"/>
  <c r="D51" i="57"/>
  <c r="C51" i="57"/>
  <c r="E50" i="57"/>
  <c r="D50" i="57"/>
  <c r="C50" i="57"/>
  <c r="E49" i="57"/>
  <c r="D49" i="57"/>
  <c r="C49" i="57"/>
  <c r="E48" i="57"/>
  <c r="D48" i="57"/>
  <c r="C48" i="57"/>
  <c r="E47" i="57"/>
  <c r="D47" i="57"/>
  <c r="C47" i="57"/>
  <c r="E46" i="57"/>
  <c r="D46" i="57"/>
  <c r="C46" i="57"/>
  <c r="E45" i="57"/>
  <c r="D45" i="57"/>
  <c r="C45" i="57"/>
  <c r="E44" i="57"/>
  <c r="D44" i="57"/>
  <c r="C44" i="57"/>
  <c r="E43" i="57"/>
  <c r="D43" i="57"/>
  <c r="C43" i="57"/>
  <c r="E42" i="57"/>
  <c r="D42" i="57"/>
  <c r="C42" i="57"/>
  <c r="E41" i="57"/>
  <c r="D41" i="57"/>
  <c r="C41" i="57"/>
  <c r="E40" i="57"/>
  <c r="D40" i="57"/>
  <c r="C40" i="57"/>
  <c r="E39" i="57"/>
  <c r="D39" i="57"/>
  <c r="C39" i="57"/>
  <c r="E38" i="57"/>
  <c r="D38" i="57"/>
  <c r="C38" i="57"/>
  <c r="E37" i="57"/>
  <c r="D37" i="57"/>
  <c r="C37" i="57"/>
  <c r="E36" i="57"/>
  <c r="D36" i="57"/>
  <c r="C36" i="57"/>
  <c r="E35" i="57"/>
  <c r="D35" i="57"/>
  <c r="C35" i="57"/>
  <c r="E34" i="57"/>
  <c r="D34" i="57"/>
  <c r="C34" i="57"/>
  <c r="E33" i="57"/>
  <c r="D33" i="57"/>
  <c r="C33" i="57"/>
  <c r="E32" i="57"/>
  <c r="D32" i="57"/>
  <c r="C32" i="57"/>
  <c r="E31" i="57"/>
  <c r="D31" i="57"/>
  <c r="C31" i="57"/>
  <c r="E30" i="57"/>
  <c r="D30" i="57"/>
  <c r="C30" i="57"/>
  <c r="D25" i="57"/>
  <c r="C25" i="57"/>
  <c r="D24" i="57"/>
  <c r="C24" i="57"/>
  <c r="D23" i="57"/>
  <c r="C23" i="57"/>
  <c r="D22" i="57"/>
  <c r="C22" i="57"/>
  <c r="D21" i="57"/>
  <c r="C21" i="57"/>
  <c r="D20" i="57"/>
  <c r="C20" i="57"/>
  <c r="D19" i="57"/>
  <c r="C19" i="57"/>
  <c r="D18" i="57"/>
  <c r="C18" i="57"/>
  <c r="D17" i="57"/>
  <c r="C17" i="57"/>
  <c r="D16" i="57"/>
  <c r="C16" i="57"/>
  <c r="D15" i="57"/>
  <c r="C15" i="57"/>
  <c r="D14" i="57"/>
  <c r="C14" i="57"/>
  <c r="D13" i="57"/>
  <c r="C13" i="57"/>
  <c r="D12" i="57"/>
  <c r="C12" i="57"/>
  <c r="C4" i="57"/>
  <c r="C3" i="57"/>
  <c r="F12" i="57" l="1"/>
  <c r="I12" i="57" s="1"/>
  <c r="D26" i="57"/>
  <c r="C238" i="57"/>
  <c r="D84" i="57"/>
  <c r="C98" i="57"/>
  <c r="C166" i="57"/>
  <c r="D166" i="57"/>
  <c r="D202" i="57"/>
  <c r="E211" i="57"/>
  <c r="D98" i="57"/>
  <c r="E107" i="57"/>
  <c r="E116" i="57"/>
  <c r="C124" i="57"/>
  <c r="E98" i="57"/>
  <c r="D107" i="57"/>
  <c r="D116" i="57"/>
  <c r="D124" i="57"/>
  <c r="E166" i="57"/>
  <c r="C211" i="57"/>
  <c r="C233" i="57"/>
  <c r="E84" i="57"/>
  <c r="C107" i="57"/>
  <c r="E202" i="57"/>
  <c r="C26" i="57"/>
  <c r="C84" i="57"/>
  <c r="C116" i="57"/>
  <c r="E124" i="57"/>
  <c r="C202" i="57"/>
  <c r="D211" i="57"/>
  <c r="C66" i="57"/>
  <c r="D66" i="57"/>
  <c r="E66" i="57"/>
  <c r="D213" i="57" l="1"/>
  <c r="D220" i="57" s="1"/>
  <c r="C213" i="57"/>
  <c r="C217" i="57" s="1"/>
  <c r="E213" i="57"/>
  <c r="E220" i="57" s="1"/>
  <c r="C220" i="57" l="1"/>
  <c r="D18" i="68"/>
  <c r="C237" i="68"/>
  <c r="C236" i="68"/>
  <c r="E233" i="68"/>
  <c r="D233" i="68"/>
  <c r="C232" i="68"/>
  <c r="C231" i="68"/>
  <c r="C230" i="68"/>
  <c r="C229" i="68"/>
  <c r="C228" i="68"/>
  <c r="C227" i="68"/>
  <c r="C226" i="68"/>
  <c r="C225" i="68"/>
  <c r="C224" i="68"/>
  <c r="C216" i="68"/>
  <c r="E210" i="68"/>
  <c r="D210" i="68"/>
  <c r="C210" i="68"/>
  <c r="E209" i="68"/>
  <c r="D209" i="68"/>
  <c r="C209" i="68"/>
  <c r="E208" i="68"/>
  <c r="D208" i="68"/>
  <c r="C208" i="68"/>
  <c r="E207" i="68"/>
  <c r="D207" i="68"/>
  <c r="C207" i="68"/>
  <c r="E206" i="68"/>
  <c r="D206" i="68"/>
  <c r="C206" i="68"/>
  <c r="E205" i="68"/>
  <c r="D205" i="68"/>
  <c r="C205" i="68"/>
  <c r="E201" i="68"/>
  <c r="D201" i="68"/>
  <c r="C201" i="68"/>
  <c r="E200" i="68"/>
  <c r="D200" i="68"/>
  <c r="C200" i="68"/>
  <c r="E199" i="68"/>
  <c r="D199" i="68"/>
  <c r="C199" i="68"/>
  <c r="E198" i="68"/>
  <c r="D198" i="68"/>
  <c r="C198" i="68"/>
  <c r="E197" i="68"/>
  <c r="D197" i="68"/>
  <c r="C197" i="68"/>
  <c r="E196" i="68"/>
  <c r="D196" i="68"/>
  <c r="C196" i="68"/>
  <c r="E195" i="68"/>
  <c r="D195" i="68"/>
  <c r="C195" i="68"/>
  <c r="E194" i="68"/>
  <c r="D194" i="68"/>
  <c r="C194" i="68"/>
  <c r="E193" i="68"/>
  <c r="D193" i="68"/>
  <c r="C193" i="68"/>
  <c r="E192" i="68"/>
  <c r="D192" i="68"/>
  <c r="C192" i="68"/>
  <c r="E191" i="68"/>
  <c r="D191" i="68"/>
  <c r="C191" i="68"/>
  <c r="E190" i="68"/>
  <c r="D190" i="68"/>
  <c r="C190" i="68"/>
  <c r="E189" i="68"/>
  <c r="D189" i="68"/>
  <c r="C189" i="68"/>
  <c r="E188" i="68"/>
  <c r="D188" i="68"/>
  <c r="C188" i="68"/>
  <c r="E187" i="68"/>
  <c r="D187" i="68"/>
  <c r="C187" i="68"/>
  <c r="E186" i="68"/>
  <c r="D186" i="68"/>
  <c r="C186" i="68"/>
  <c r="E185" i="68"/>
  <c r="D185" i="68"/>
  <c r="C185" i="68"/>
  <c r="E184" i="68"/>
  <c r="D184" i="68"/>
  <c r="C184" i="68"/>
  <c r="E183" i="68"/>
  <c r="D183" i="68"/>
  <c r="C183" i="68"/>
  <c r="E182" i="68"/>
  <c r="D182" i="68"/>
  <c r="C182" i="68"/>
  <c r="E181" i="68"/>
  <c r="D181" i="68"/>
  <c r="C181" i="68"/>
  <c r="E180" i="68"/>
  <c r="D180" i="68"/>
  <c r="C180" i="68"/>
  <c r="E179" i="68"/>
  <c r="D179" i="68"/>
  <c r="C179" i="68"/>
  <c r="E178" i="68"/>
  <c r="D178" i="68"/>
  <c r="C178" i="68"/>
  <c r="E177" i="68"/>
  <c r="D177" i="68"/>
  <c r="C177" i="68"/>
  <c r="E176" i="68"/>
  <c r="D176" i="68"/>
  <c r="C176" i="68"/>
  <c r="E175" i="68"/>
  <c r="D175" i="68"/>
  <c r="C175" i="68"/>
  <c r="E174" i="68"/>
  <c r="D174" i="68"/>
  <c r="C174" i="68"/>
  <c r="E173" i="68"/>
  <c r="D173" i="68"/>
  <c r="C173" i="68"/>
  <c r="E172" i="68"/>
  <c r="D172" i="68"/>
  <c r="C172" i="68"/>
  <c r="E171" i="68"/>
  <c r="D171" i="68"/>
  <c r="C171" i="68"/>
  <c r="E170" i="68"/>
  <c r="D170" i="68"/>
  <c r="C170" i="68"/>
  <c r="E169" i="68"/>
  <c r="D169" i="68"/>
  <c r="C169" i="68"/>
  <c r="E165" i="68"/>
  <c r="D165" i="68"/>
  <c r="C165" i="68"/>
  <c r="E164" i="68"/>
  <c r="D164" i="68"/>
  <c r="C164" i="68"/>
  <c r="E163" i="68"/>
  <c r="D163" i="68"/>
  <c r="C163" i="68"/>
  <c r="E162" i="68"/>
  <c r="D162" i="68"/>
  <c r="C162" i="68"/>
  <c r="E161" i="68"/>
  <c r="D161" i="68"/>
  <c r="C161" i="68"/>
  <c r="E160" i="68"/>
  <c r="D160" i="68"/>
  <c r="C160" i="68"/>
  <c r="E158" i="68"/>
  <c r="D158" i="68"/>
  <c r="C158" i="68"/>
  <c r="E157" i="68"/>
  <c r="D157" i="68"/>
  <c r="C157" i="68"/>
  <c r="E156" i="68"/>
  <c r="D156" i="68"/>
  <c r="C156" i="68"/>
  <c r="E155" i="68"/>
  <c r="D155" i="68"/>
  <c r="C155" i="68"/>
  <c r="E154" i="68"/>
  <c r="D154" i="68"/>
  <c r="C154" i="68"/>
  <c r="E153" i="68"/>
  <c r="D153" i="68"/>
  <c r="C153" i="68"/>
  <c r="E152" i="68"/>
  <c r="D152" i="68"/>
  <c r="C152" i="68"/>
  <c r="E151" i="68"/>
  <c r="D151" i="68"/>
  <c r="C151" i="68"/>
  <c r="E150" i="68"/>
  <c r="D150" i="68"/>
  <c r="C150" i="68"/>
  <c r="E148" i="68"/>
  <c r="D148" i="68"/>
  <c r="C148" i="68"/>
  <c r="E147" i="68"/>
  <c r="D147" i="68"/>
  <c r="C147" i="68"/>
  <c r="E146" i="68"/>
  <c r="D146" i="68"/>
  <c r="C146" i="68"/>
  <c r="E145" i="68"/>
  <c r="D145" i="68"/>
  <c r="C145" i="68"/>
  <c r="E143" i="68"/>
  <c r="D143" i="68"/>
  <c r="C143" i="68"/>
  <c r="E142" i="68"/>
  <c r="D142" i="68"/>
  <c r="C142" i="68"/>
  <c r="E141" i="68"/>
  <c r="D141" i="68"/>
  <c r="C141" i="68"/>
  <c r="E140" i="68"/>
  <c r="D140" i="68"/>
  <c r="C140" i="68"/>
  <c r="E138" i="68"/>
  <c r="D138" i="68"/>
  <c r="C138" i="68"/>
  <c r="E137" i="68"/>
  <c r="D137" i="68"/>
  <c r="C137" i="68"/>
  <c r="E136" i="68"/>
  <c r="D136" i="68"/>
  <c r="C136" i="68"/>
  <c r="E135" i="68"/>
  <c r="D135" i="68"/>
  <c r="C135" i="68"/>
  <c r="E134" i="68"/>
  <c r="D134" i="68"/>
  <c r="C134" i="68"/>
  <c r="E132" i="68"/>
  <c r="D132" i="68"/>
  <c r="C132" i="68"/>
  <c r="E131" i="68"/>
  <c r="D131" i="68"/>
  <c r="C131" i="68"/>
  <c r="E130" i="68"/>
  <c r="D130" i="68"/>
  <c r="C130" i="68"/>
  <c r="E129" i="68"/>
  <c r="D129" i="68"/>
  <c r="C129" i="68"/>
  <c r="E128" i="68"/>
  <c r="D128" i="68"/>
  <c r="C128" i="68"/>
  <c r="E123" i="68"/>
  <c r="D123" i="68"/>
  <c r="C123" i="68"/>
  <c r="E122" i="68"/>
  <c r="D122" i="68"/>
  <c r="C122" i="68"/>
  <c r="E121" i="68"/>
  <c r="D121" i="68"/>
  <c r="C121" i="68"/>
  <c r="E120" i="68"/>
  <c r="D120" i="68"/>
  <c r="C120" i="68"/>
  <c r="E119" i="68"/>
  <c r="D119" i="68"/>
  <c r="C119" i="68"/>
  <c r="E115" i="68"/>
  <c r="D115" i="68"/>
  <c r="C115" i="68"/>
  <c r="E114" i="68"/>
  <c r="D114" i="68"/>
  <c r="C114" i="68"/>
  <c r="E113" i="68"/>
  <c r="D113" i="68"/>
  <c r="C113" i="68"/>
  <c r="E112" i="68"/>
  <c r="D112" i="68"/>
  <c r="C112" i="68"/>
  <c r="E111" i="68"/>
  <c r="D111" i="68"/>
  <c r="C111" i="68"/>
  <c r="E110" i="68"/>
  <c r="D110" i="68"/>
  <c r="C110" i="68"/>
  <c r="E106" i="68"/>
  <c r="D106" i="68"/>
  <c r="C106" i="68"/>
  <c r="E105" i="68"/>
  <c r="D105" i="68"/>
  <c r="C105" i="68"/>
  <c r="E104" i="68"/>
  <c r="D104" i="68"/>
  <c r="C104" i="68"/>
  <c r="E103" i="68"/>
  <c r="D103" i="68"/>
  <c r="C103" i="68"/>
  <c r="E102" i="68"/>
  <c r="D102" i="68"/>
  <c r="C102" i="68"/>
  <c r="E101" i="68"/>
  <c r="D101" i="68"/>
  <c r="C101" i="68"/>
  <c r="E97" i="68"/>
  <c r="D97" i="68"/>
  <c r="C97" i="68"/>
  <c r="E96" i="68"/>
  <c r="D96" i="68"/>
  <c r="C96" i="68"/>
  <c r="E95" i="68"/>
  <c r="D95" i="68"/>
  <c r="C95" i="68"/>
  <c r="E94" i="68"/>
  <c r="D94" i="68"/>
  <c r="C94" i="68"/>
  <c r="E93" i="68"/>
  <c r="D93" i="68"/>
  <c r="C93" i="68"/>
  <c r="E92" i="68"/>
  <c r="D92" i="68"/>
  <c r="C92" i="68"/>
  <c r="E91" i="68"/>
  <c r="D91" i="68"/>
  <c r="C91" i="68"/>
  <c r="E90" i="68"/>
  <c r="D90" i="68"/>
  <c r="C90" i="68"/>
  <c r="E89" i="68"/>
  <c r="D89" i="68"/>
  <c r="C89" i="68"/>
  <c r="E88" i="68"/>
  <c r="D88" i="68"/>
  <c r="C88" i="68"/>
  <c r="E87" i="68"/>
  <c r="D87" i="68"/>
  <c r="C87" i="68"/>
  <c r="E83" i="68"/>
  <c r="D83" i="68"/>
  <c r="C83" i="68"/>
  <c r="E82" i="68"/>
  <c r="D82" i="68"/>
  <c r="C82" i="68"/>
  <c r="E81" i="68"/>
  <c r="D81" i="68"/>
  <c r="C81" i="68"/>
  <c r="E80" i="68"/>
  <c r="D80" i="68"/>
  <c r="C80" i="68"/>
  <c r="E79" i="68"/>
  <c r="D79" i="68"/>
  <c r="C79" i="68"/>
  <c r="E78" i="68"/>
  <c r="D78" i="68"/>
  <c r="C78" i="68"/>
  <c r="E77" i="68"/>
  <c r="D77" i="68"/>
  <c r="C77" i="68"/>
  <c r="E76" i="68"/>
  <c r="D76" i="68"/>
  <c r="C76" i="68"/>
  <c r="E75" i="68"/>
  <c r="D75" i="68"/>
  <c r="C75" i="68"/>
  <c r="E74" i="68"/>
  <c r="D74" i="68"/>
  <c r="C74" i="68"/>
  <c r="E73" i="68"/>
  <c r="D73" i="68"/>
  <c r="C73" i="68"/>
  <c r="E72" i="68"/>
  <c r="D72" i="68"/>
  <c r="C72" i="68"/>
  <c r="E71" i="68"/>
  <c r="D71" i="68"/>
  <c r="C71" i="68"/>
  <c r="E70" i="68"/>
  <c r="D70" i="68"/>
  <c r="C70" i="68"/>
  <c r="E69" i="68"/>
  <c r="D69" i="68"/>
  <c r="C69" i="68"/>
  <c r="E65" i="68"/>
  <c r="D65" i="68"/>
  <c r="C65" i="68"/>
  <c r="E64" i="68"/>
  <c r="D64" i="68"/>
  <c r="C64" i="68"/>
  <c r="E63" i="68"/>
  <c r="D63" i="68"/>
  <c r="C63" i="68"/>
  <c r="E62" i="68"/>
  <c r="D62" i="68"/>
  <c r="C62" i="68"/>
  <c r="E61" i="68"/>
  <c r="D61" i="68"/>
  <c r="C61" i="68"/>
  <c r="E60" i="68"/>
  <c r="D60" i="68"/>
  <c r="C60" i="68"/>
  <c r="E59" i="68"/>
  <c r="D59" i="68"/>
  <c r="C59" i="68"/>
  <c r="E58" i="68"/>
  <c r="D58" i="68"/>
  <c r="C58" i="68"/>
  <c r="E57" i="68"/>
  <c r="D57" i="68"/>
  <c r="C57" i="68"/>
  <c r="E56" i="68"/>
  <c r="D56" i="68"/>
  <c r="C56" i="68"/>
  <c r="E55" i="68"/>
  <c r="D55" i="68"/>
  <c r="C55" i="68"/>
  <c r="E54" i="68"/>
  <c r="D54" i="68"/>
  <c r="C54" i="68"/>
  <c r="E53" i="68"/>
  <c r="D53" i="68"/>
  <c r="C53" i="68"/>
  <c r="E52" i="68"/>
  <c r="D52" i="68"/>
  <c r="C52" i="68"/>
  <c r="E51" i="68"/>
  <c r="D51" i="68"/>
  <c r="C51" i="68"/>
  <c r="E50" i="68"/>
  <c r="D50" i="68"/>
  <c r="C50" i="68"/>
  <c r="E49" i="68"/>
  <c r="D49" i="68"/>
  <c r="C49" i="68"/>
  <c r="E48" i="68"/>
  <c r="D48" i="68"/>
  <c r="C48" i="68"/>
  <c r="E47" i="68"/>
  <c r="D47" i="68"/>
  <c r="C47" i="68"/>
  <c r="E46" i="68"/>
  <c r="D46" i="68"/>
  <c r="C46" i="68"/>
  <c r="E45" i="68"/>
  <c r="D45" i="68"/>
  <c r="C45" i="68"/>
  <c r="E44" i="68"/>
  <c r="D44" i="68"/>
  <c r="C44" i="68"/>
  <c r="E43" i="68"/>
  <c r="D43" i="68"/>
  <c r="C43" i="68"/>
  <c r="E42" i="68"/>
  <c r="D42" i="68"/>
  <c r="C42" i="68"/>
  <c r="E41" i="68"/>
  <c r="D41" i="68"/>
  <c r="C41" i="68"/>
  <c r="E40" i="68"/>
  <c r="D40" i="68"/>
  <c r="C40" i="68"/>
  <c r="E39" i="68"/>
  <c r="D39" i="68"/>
  <c r="C39" i="68"/>
  <c r="E38" i="68"/>
  <c r="D38" i="68"/>
  <c r="C38" i="68"/>
  <c r="E37" i="68"/>
  <c r="D37" i="68"/>
  <c r="C37" i="68"/>
  <c r="E36" i="68"/>
  <c r="D36" i="68"/>
  <c r="C36" i="68"/>
  <c r="E35" i="68"/>
  <c r="D35" i="68"/>
  <c r="C35" i="68"/>
  <c r="E34" i="68"/>
  <c r="D34" i="68"/>
  <c r="C34" i="68"/>
  <c r="E33" i="68"/>
  <c r="D33" i="68"/>
  <c r="C33" i="68"/>
  <c r="E32" i="68"/>
  <c r="D32" i="68"/>
  <c r="C32" i="68"/>
  <c r="E31" i="68"/>
  <c r="D31" i="68"/>
  <c r="C31" i="68"/>
  <c r="E30" i="68"/>
  <c r="D30" i="68"/>
  <c r="C30" i="68"/>
  <c r="D25" i="68"/>
  <c r="C25" i="68"/>
  <c r="D24" i="68"/>
  <c r="C24" i="68"/>
  <c r="D23" i="68"/>
  <c r="C23" i="68"/>
  <c r="D22" i="68"/>
  <c r="C22" i="68"/>
  <c r="D21" i="68"/>
  <c r="C21" i="68"/>
  <c r="D20" i="68"/>
  <c r="C20" i="68"/>
  <c r="D19" i="68"/>
  <c r="C19" i="68"/>
  <c r="C18" i="68"/>
  <c r="D17" i="68"/>
  <c r="C17" i="68"/>
  <c r="D16" i="68"/>
  <c r="C16" i="68"/>
  <c r="D15" i="68"/>
  <c r="C15" i="68"/>
  <c r="D14" i="68"/>
  <c r="C14" i="68"/>
  <c r="D13" i="68"/>
  <c r="C13" i="68"/>
  <c r="D12" i="68"/>
  <c r="C12" i="68"/>
  <c r="C4" i="68"/>
  <c r="C3" i="68"/>
  <c r="F12" i="68" l="1"/>
  <c r="I12" i="68" s="1"/>
  <c r="D26" i="68"/>
  <c r="C238" i="68"/>
  <c r="C26" i="68"/>
  <c r="D84" i="68"/>
  <c r="C98" i="68"/>
  <c r="C166" i="68"/>
  <c r="D166" i="68"/>
  <c r="D202" i="68"/>
  <c r="E84" i="68"/>
  <c r="D98" i="68"/>
  <c r="C107" i="68"/>
  <c r="E107" i="68"/>
  <c r="E116" i="68"/>
  <c r="C124" i="68"/>
  <c r="E202" i="68"/>
  <c r="C233" i="68"/>
  <c r="E98" i="68"/>
  <c r="D107" i="68"/>
  <c r="D116" i="68"/>
  <c r="D124" i="68"/>
  <c r="E166" i="68"/>
  <c r="C211" i="68"/>
  <c r="D211" i="68"/>
  <c r="E211" i="68"/>
  <c r="C84" i="68"/>
  <c r="C116" i="68"/>
  <c r="E124" i="68"/>
  <c r="C202" i="68"/>
  <c r="C66" i="68"/>
  <c r="D66" i="68"/>
  <c r="E66" i="68"/>
  <c r="E213" i="68" l="1"/>
  <c r="E220" i="68" s="1"/>
  <c r="C213" i="68"/>
  <c r="C217" i="68" s="1"/>
  <c r="D213" i="68"/>
  <c r="D220" i="68" s="1"/>
  <c r="C220" i="68" l="1"/>
  <c r="C4" i="180"/>
  <c r="C3" i="180"/>
  <c r="C238" i="180" l="1"/>
  <c r="F12" i="180"/>
  <c r="I12" i="180" s="1"/>
  <c r="C243" i="177" l="1"/>
  <c r="C242" i="177"/>
  <c r="C241" i="177"/>
  <c r="C240" i="177"/>
  <c r="C237" i="177"/>
  <c r="C236" i="177"/>
  <c r="E233" i="177"/>
  <c r="D233" i="177"/>
  <c r="C232" i="177"/>
  <c r="C231" i="177"/>
  <c r="C230" i="177"/>
  <c r="C229" i="177"/>
  <c r="C228" i="177"/>
  <c r="C227" i="177"/>
  <c r="C226" i="177"/>
  <c r="C225" i="177"/>
  <c r="C224" i="177"/>
  <c r="C216" i="177"/>
  <c r="E210" i="177"/>
  <c r="D210" i="177"/>
  <c r="C210" i="177"/>
  <c r="E209" i="177"/>
  <c r="D209" i="177"/>
  <c r="C209" i="177"/>
  <c r="E208" i="177"/>
  <c r="D208" i="177"/>
  <c r="C208" i="177"/>
  <c r="E207" i="177"/>
  <c r="D207" i="177"/>
  <c r="C207" i="177"/>
  <c r="E206" i="177"/>
  <c r="D206" i="177"/>
  <c r="C206" i="177"/>
  <c r="E205" i="177"/>
  <c r="D205" i="177"/>
  <c r="C205" i="177"/>
  <c r="E201" i="177"/>
  <c r="D201" i="177"/>
  <c r="C201" i="177"/>
  <c r="E200" i="177"/>
  <c r="D200" i="177"/>
  <c r="C200" i="177"/>
  <c r="E199" i="177"/>
  <c r="D199" i="177"/>
  <c r="C199" i="177"/>
  <c r="E198" i="177"/>
  <c r="D198" i="177"/>
  <c r="C198" i="177"/>
  <c r="E197" i="177"/>
  <c r="D197" i="177"/>
  <c r="C197" i="177"/>
  <c r="E196" i="177"/>
  <c r="D196" i="177"/>
  <c r="C196" i="177"/>
  <c r="E195" i="177"/>
  <c r="D195" i="177"/>
  <c r="C195" i="177"/>
  <c r="E194" i="177"/>
  <c r="D194" i="177"/>
  <c r="C194" i="177"/>
  <c r="E193" i="177"/>
  <c r="D193" i="177"/>
  <c r="C193" i="177"/>
  <c r="E192" i="177"/>
  <c r="D192" i="177"/>
  <c r="C192" i="177"/>
  <c r="E191" i="177"/>
  <c r="D191" i="177"/>
  <c r="C191" i="177"/>
  <c r="E190" i="177"/>
  <c r="D190" i="177"/>
  <c r="C190" i="177"/>
  <c r="E189" i="177"/>
  <c r="D189" i="177"/>
  <c r="C189" i="177"/>
  <c r="E188" i="177"/>
  <c r="D188" i="177"/>
  <c r="C188" i="177"/>
  <c r="E187" i="177"/>
  <c r="D187" i="177"/>
  <c r="C187" i="177"/>
  <c r="E186" i="177"/>
  <c r="D186" i="177"/>
  <c r="C186" i="177"/>
  <c r="E185" i="177"/>
  <c r="D185" i="177"/>
  <c r="C185" i="177"/>
  <c r="E184" i="177"/>
  <c r="D184" i="177"/>
  <c r="C184" i="177"/>
  <c r="E183" i="177"/>
  <c r="D183" i="177"/>
  <c r="C183" i="177"/>
  <c r="E182" i="177"/>
  <c r="D182" i="177"/>
  <c r="C182" i="177"/>
  <c r="E181" i="177"/>
  <c r="D181" i="177"/>
  <c r="C181" i="177"/>
  <c r="E180" i="177"/>
  <c r="D180" i="177"/>
  <c r="C180" i="177"/>
  <c r="E179" i="177"/>
  <c r="D179" i="177"/>
  <c r="C179" i="177"/>
  <c r="E178" i="177"/>
  <c r="D178" i="177"/>
  <c r="C178" i="177"/>
  <c r="E177" i="177"/>
  <c r="D177" i="177"/>
  <c r="C177" i="177"/>
  <c r="E176" i="177"/>
  <c r="D176" i="177"/>
  <c r="C176" i="177"/>
  <c r="E175" i="177"/>
  <c r="D175" i="177"/>
  <c r="C175" i="177"/>
  <c r="E174" i="177"/>
  <c r="D174" i="177"/>
  <c r="C174" i="177"/>
  <c r="E173" i="177"/>
  <c r="D173" i="177"/>
  <c r="C173" i="177"/>
  <c r="E172" i="177"/>
  <c r="D172" i="177"/>
  <c r="C172" i="177"/>
  <c r="E171" i="177"/>
  <c r="D171" i="177"/>
  <c r="C171" i="177"/>
  <c r="E170" i="177"/>
  <c r="D170" i="177"/>
  <c r="C170" i="177"/>
  <c r="E169" i="177"/>
  <c r="D169" i="177"/>
  <c r="C169" i="177"/>
  <c r="E165" i="177"/>
  <c r="D165" i="177"/>
  <c r="C165" i="177"/>
  <c r="E164" i="177"/>
  <c r="D164" i="177"/>
  <c r="C164" i="177"/>
  <c r="E163" i="177"/>
  <c r="D163" i="177"/>
  <c r="C163" i="177"/>
  <c r="E162" i="177"/>
  <c r="D162" i="177"/>
  <c r="C162" i="177"/>
  <c r="E161" i="177"/>
  <c r="D161" i="177"/>
  <c r="C161" i="177"/>
  <c r="E160" i="177"/>
  <c r="D160" i="177"/>
  <c r="C160" i="177"/>
  <c r="E158" i="177"/>
  <c r="D158" i="177"/>
  <c r="C158" i="177"/>
  <c r="E157" i="177"/>
  <c r="D157" i="177"/>
  <c r="C157" i="177"/>
  <c r="E156" i="177"/>
  <c r="D156" i="177"/>
  <c r="C156" i="177"/>
  <c r="E155" i="177"/>
  <c r="D155" i="177"/>
  <c r="C155" i="177"/>
  <c r="E154" i="177"/>
  <c r="D154" i="177"/>
  <c r="C154" i="177"/>
  <c r="E153" i="177"/>
  <c r="D153" i="177"/>
  <c r="C153" i="177"/>
  <c r="E152" i="177"/>
  <c r="D152" i="177"/>
  <c r="C152" i="177"/>
  <c r="E151" i="177"/>
  <c r="D151" i="177"/>
  <c r="C151" i="177"/>
  <c r="E150" i="177"/>
  <c r="D150" i="177"/>
  <c r="C150" i="177"/>
  <c r="E148" i="177"/>
  <c r="D148" i="177"/>
  <c r="C148" i="177"/>
  <c r="E147" i="177"/>
  <c r="D147" i="177"/>
  <c r="C147" i="177"/>
  <c r="E146" i="177"/>
  <c r="D146" i="177"/>
  <c r="C146" i="177"/>
  <c r="E145" i="177"/>
  <c r="D145" i="177"/>
  <c r="C145" i="177"/>
  <c r="E143" i="177"/>
  <c r="D143" i="177"/>
  <c r="C143" i="177"/>
  <c r="E142" i="177"/>
  <c r="D142" i="177"/>
  <c r="C142" i="177"/>
  <c r="E141" i="177"/>
  <c r="D141" i="177"/>
  <c r="C141" i="177"/>
  <c r="E140" i="177"/>
  <c r="D140" i="177"/>
  <c r="C140" i="177"/>
  <c r="E138" i="177"/>
  <c r="D138" i="177"/>
  <c r="C138" i="177"/>
  <c r="E137" i="177"/>
  <c r="D137" i="177"/>
  <c r="C137" i="177"/>
  <c r="E136" i="177"/>
  <c r="D136" i="177"/>
  <c r="C136" i="177"/>
  <c r="E135" i="177"/>
  <c r="D135" i="177"/>
  <c r="C135" i="177"/>
  <c r="E134" i="177"/>
  <c r="D134" i="177"/>
  <c r="C134" i="177"/>
  <c r="E132" i="177"/>
  <c r="D132" i="177"/>
  <c r="C132" i="177"/>
  <c r="E131" i="177"/>
  <c r="D131" i="177"/>
  <c r="C131" i="177"/>
  <c r="E130" i="177"/>
  <c r="D130" i="177"/>
  <c r="C130" i="177"/>
  <c r="E129" i="177"/>
  <c r="D129" i="177"/>
  <c r="C129" i="177"/>
  <c r="E128" i="177"/>
  <c r="D128" i="177"/>
  <c r="C128" i="177"/>
  <c r="E123" i="177"/>
  <c r="D123" i="177"/>
  <c r="C123" i="177"/>
  <c r="E122" i="177"/>
  <c r="D122" i="177"/>
  <c r="C122" i="177"/>
  <c r="E121" i="177"/>
  <c r="D121" i="177"/>
  <c r="C121" i="177"/>
  <c r="E120" i="177"/>
  <c r="D120" i="177"/>
  <c r="C120" i="177"/>
  <c r="E119" i="177"/>
  <c r="D119" i="177"/>
  <c r="C119" i="177"/>
  <c r="E115" i="177"/>
  <c r="D115" i="177"/>
  <c r="C115" i="177"/>
  <c r="E114" i="177"/>
  <c r="D114" i="177"/>
  <c r="C114" i="177"/>
  <c r="E113" i="177"/>
  <c r="D113" i="177"/>
  <c r="C113" i="177"/>
  <c r="E112" i="177"/>
  <c r="D112" i="177"/>
  <c r="C112" i="177"/>
  <c r="E111" i="177"/>
  <c r="D111" i="177"/>
  <c r="C111" i="177"/>
  <c r="E110" i="177"/>
  <c r="D110" i="177"/>
  <c r="C110" i="177"/>
  <c r="E106" i="177"/>
  <c r="D106" i="177"/>
  <c r="C106" i="177"/>
  <c r="E105" i="177"/>
  <c r="D105" i="177"/>
  <c r="C105" i="177"/>
  <c r="E104" i="177"/>
  <c r="D104" i="177"/>
  <c r="C104" i="177"/>
  <c r="E103" i="177"/>
  <c r="D103" i="177"/>
  <c r="C103" i="177"/>
  <c r="E102" i="177"/>
  <c r="D102" i="177"/>
  <c r="C102" i="177"/>
  <c r="E101" i="177"/>
  <c r="D101" i="177"/>
  <c r="C101" i="177"/>
  <c r="E97" i="177"/>
  <c r="D97" i="177"/>
  <c r="C97" i="177"/>
  <c r="E96" i="177"/>
  <c r="D96" i="177"/>
  <c r="C96" i="177"/>
  <c r="E95" i="177"/>
  <c r="D95" i="177"/>
  <c r="C95" i="177"/>
  <c r="E94" i="177"/>
  <c r="D94" i="177"/>
  <c r="C94" i="177"/>
  <c r="E93" i="177"/>
  <c r="D93" i="177"/>
  <c r="C93" i="177"/>
  <c r="E92" i="177"/>
  <c r="D92" i="177"/>
  <c r="C92" i="177"/>
  <c r="E91" i="177"/>
  <c r="D91" i="177"/>
  <c r="C91" i="177"/>
  <c r="E90" i="177"/>
  <c r="D90" i="177"/>
  <c r="C90" i="177"/>
  <c r="E89" i="177"/>
  <c r="D89" i="177"/>
  <c r="C89" i="177"/>
  <c r="E88" i="177"/>
  <c r="D88" i="177"/>
  <c r="C88" i="177"/>
  <c r="E87" i="177"/>
  <c r="D87" i="177"/>
  <c r="C87" i="177"/>
  <c r="E83" i="177"/>
  <c r="D83" i="177"/>
  <c r="C83" i="177"/>
  <c r="E82" i="177"/>
  <c r="D82" i="177"/>
  <c r="C82" i="177"/>
  <c r="E81" i="177"/>
  <c r="D81" i="177"/>
  <c r="C81" i="177"/>
  <c r="E80" i="177"/>
  <c r="D80" i="177"/>
  <c r="C80" i="177"/>
  <c r="E79" i="177"/>
  <c r="D79" i="177"/>
  <c r="C79" i="177"/>
  <c r="E78" i="177"/>
  <c r="D78" i="177"/>
  <c r="C78" i="177"/>
  <c r="E77" i="177"/>
  <c r="D77" i="177"/>
  <c r="C77" i="177"/>
  <c r="E76" i="177"/>
  <c r="D76" i="177"/>
  <c r="C76" i="177"/>
  <c r="E75" i="177"/>
  <c r="D75" i="177"/>
  <c r="C75" i="177"/>
  <c r="E74" i="177"/>
  <c r="D74" i="177"/>
  <c r="C74" i="177"/>
  <c r="E73" i="177"/>
  <c r="D73" i="177"/>
  <c r="C73" i="177"/>
  <c r="E72" i="177"/>
  <c r="D72" i="177"/>
  <c r="C72" i="177"/>
  <c r="E71" i="177"/>
  <c r="D71" i="177"/>
  <c r="C71" i="177"/>
  <c r="E70" i="177"/>
  <c r="D70" i="177"/>
  <c r="C70" i="177"/>
  <c r="E69" i="177"/>
  <c r="D69" i="177"/>
  <c r="C69" i="177"/>
  <c r="E65" i="177"/>
  <c r="D65" i="177"/>
  <c r="C65" i="177"/>
  <c r="E64" i="177"/>
  <c r="D64" i="177"/>
  <c r="C64" i="177"/>
  <c r="E63" i="177"/>
  <c r="D63" i="177"/>
  <c r="C63" i="177"/>
  <c r="E62" i="177"/>
  <c r="D62" i="177"/>
  <c r="C62" i="177"/>
  <c r="E61" i="177"/>
  <c r="D61" i="177"/>
  <c r="C61" i="177"/>
  <c r="E60" i="177"/>
  <c r="D60" i="177"/>
  <c r="C60" i="177"/>
  <c r="E59" i="177"/>
  <c r="D59" i="177"/>
  <c r="C59" i="177"/>
  <c r="E58" i="177"/>
  <c r="D58" i="177"/>
  <c r="C58" i="177"/>
  <c r="E57" i="177"/>
  <c r="D57" i="177"/>
  <c r="C57" i="177"/>
  <c r="E56" i="177"/>
  <c r="D56" i="177"/>
  <c r="C56" i="177"/>
  <c r="E55" i="177"/>
  <c r="D55" i="177"/>
  <c r="C55" i="177"/>
  <c r="E54" i="177"/>
  <c r="D54" i="177"/>
  <c r="C54" i="177"/>
  <c r="E53" i="177"/>
  <c r="D53" i="177"/>
  <c r="C53" i="177"/>
  <c r="E52" i="177"/>
  <c r="D52" i="177"/>
  <c r="C52" i="177"/>
  <c r="E51" i="177"/>
  <c r="D51" i="177"/>
  <c r="C51" i="177"/>
  <c r="E50" i="177"/>
  <c r="D50" i="177"/>
  <c r="C50" i="177"/>
  <c r="E49" i="177"/>
  <c r="E48" i="177"/>
  <c r="E47" i="177"/>
  <c r="D47" i="177"/>
  <c r="C47" i="177"/>
  <c r="E46" i="177"/>
  <c r="D46" i="177"/>
  <c r="C46" i="177"/>
  <c r="E45" i="177"/>
  <c r="D45" i="177"/>
  <c r="C45" i="177"/>
  <c r="E44" i="177"/>
  <c r="D44" i="177"/>
  <c r="C44" i="177"/>
  <c r="E43" i="177"/>
  <c r="D43" i="177"/>
  <c r="C43" i="177"/>
  <c r="E42" i="177"/>
  <c r="D42" i="177"/>
  <c r="C42" i="177"/>
  <c r="E41" i="177"/>
  <c r="D41" i="177"/>
  <c r="C41" i="177"/>
  <c r="E40" i="177"/>
  <c r="D40" i="177"/>
  <c r="C40" i="177"/>
  <c r="E39" i="177"/>
  <c r="D39" i="177"/>
  <c r="C39" i="177"/>
  <c r="E38" i="177"/>
  <c r="D38" i="177"/>
  <c r="C38" i="177"/>
  <c r="E37" i="177"/>
  <c r="D37" i="177"/>
  <c r="C37" i="177"/>
  <c r="E36" i="177"/>
  <c r="D36" i="177"/>
  <c r="E35" i="177"/>
  <c r="D35" i="177"/>
  <c r="E34" i="177"/>
  <c r="D34" i="177"/>
  <c r="C34" i="177"/>
  <c r="E33" i="177"/>
  <c r="D33" i="177"/>
  <c r="C33" i="177"/>
  <c r="E32" i="177"/>
  <c r="D32" i="177"/>
  <c r="C32" i="177"/>
  <c r="E31" i="177"/>
  <c r="D31" i="177"/>
  <c r="C31" i="177"/>
  <c r="E30" i="177"/>
  <c r="D30" i="177"/>
  <c r="C30" i="177"/>
  <c r="D25" i="177"/>
  <c r="C25" i="177"/>
  <c r="D24" i="177"/>
  <c r="C24" i="177"/>
  <c r="D23" i="177"/>
  <c r="C23" i="177"/>
  <c r="D22" i="177"/>
  <c r="C22" i="177"/>
  <c r="D21" i="177"/>
  <c r="C21" i="177"/>
  <c r="D20" i="177"/>
  <c r="C20" i="177"/>
  <c r="D19" i="177"/>
  <c r="C19" i="177"/>
  <c r="D18" i="177"/>
  <c r="C18" i="177"/>
  <c r="D17" i="177"/>
  <c r="C17" i="177"/>
  <c r="D16" i="177"/>
  <c r="C16" i="177"/>
  <c r="D15" i="177"/>
  <c r="C15" i="177"/>
  <c r="D14" i="177"/>
  <c r="C14" i="177"/>
  <c r="D13" i="177"/>
  <c r="C13" i="177"/>
  <c r="D12" i="177"/>
  <c r="C12" i="177"/>
  <c r="C4" i="177"/>
  <c r="C3" i="177"/>
  <c r="D26" i="177" l="1"/>
  <c r="E107" i="177"/>
  <c r="F12" i="177"/>
  <c r="I12" i="177" s="1"/>
  <c r="C238" i="177"/>
  <c r="C166" i="177"/>
  <c r="D166" i="177"/>
  <c r="D202" i="177"/>
  <c r="E84" i="177"/>
  <c r="D98" i="177"/>
  <c r="C107" i="177"/>
  <c r="E98" i="177"/>
  <c r="D107" i="177"/>
  <c r="E116" i="177"/>
  <c r="C124" i="177"/>
  <c r="E202" i="177"/>
  <c r="C26" i="177"/>
  <c r="C84" i="177"/>
  <c r="D116" i="177"/>
  <c r="D124" i="177"/>
  <c r="E166" i="177"/>
  <c r="C211" i="177"/>
  <c r="E211" i="177"/>
  <c r="C233" i="177"/>
  <c r="D84" i="177"/>
  <c r="C98" i="177"/>
  <c r="C116" i="177"/>
  <c r="E124" i="177"/>
  <c r="C202" i="177"/>
  <c r="D211" i="177"/>
  <c r="C66" i="177"/>
  <c r="D66" i="177"/>
  <c r="E66" i="177"/>
  <c r="D213" i="177" l="1"/>
  <c r="D220" i="177" s="1"/>
  <c r="C213" i="177"/>
  <c r="C217" i="177" s="1"/>
  <c r="E213" i="177"/>
  <c r="E220" i="177" s="1"/>
  <c r="C220" i="177" l="1"/>
  <c r="D18" i="113" l="1"/>
  <c r="I249" i="113"/>
  <c r="I248" i="113"/>
  <c r="I247" i="113"/>
  <c r="I246" i="113"/>
  <c r="C243" i="113"/>
  <c r="C242" i="113"/>
  <c r="C241" i="113"/>
  <c r="C240" i="113"/>
  <c r="C237" i="113"/>
  <c r="C236" i="113"/>
  <c r="E233" i="113"/>
  <c r="D233" i="113"/>
  <c r="C232" i="113"/>
  <c r="C231" i="113"/>
  <c r="C230" i="113"/>
  <c r="C229" i="113"/>
  <c r="C228" i="113"/>
  <c r="C227" i="113"/>
  <c r="C226" i="113"/>
  <c r="C225" i="113"/>
  <c r="C224" i="113"/>
  <c r="C216" i="113"/>
  <c r="E210" i="113"/>
  <c r="D210" i="113"/>
  <c r="C210" i="113"/>
  <c r="E209" i="113"/>
  <c r="D209" i="113"/>
  <c r="C209" i="113"/>
  <c r="E208" i="113"/>
  <c r="D208" i="113"/>
  <c r="C208" i="113"/>
  <c r="E207" i="113"/>
  <c r="D207" i="113"/>
  <c r="C207" i="113"/>
  <c r="E206" i="113"/>
  <c r="D206" i="113"/>
  <c r="C206" i="113"/>
  <c r="E205" i="113"/>
  <c r="D205" i="113"/>
  <c r="C205" i="113"/>
  <c r="E201" i="113"/>
  <c r="D201" i="113"/>
  <c r="C201" i="113"/>
  <c r="E200" i="113"/>
  <c r="D200" i="113"/>
  <c r="C200" i="113"/>
  <c r="E199" i="113"/>
  <c r="D199" i="113"/>
  <c r="C199" i="113"/>
  <c r="E198" i="113"/>
  <c r="D198" i="113"/>
  <c r="C198" i="113"/>
  <c r="E197" i="113"/>
  <c r="D197" i="113"/>
  <c r="C197" i="113"/>
  <c r="E196" i="113"/>
  <c r="D196" i="113"/>
  <c r="C196" i="113"/>
  <c r="E195" i="113"/>
  <c r="D195" i="113"/>
  <c r="C195" i="113"/>
  <c r="E194" i="113"/>
  <c r="D194" i="113"/>
  <c r="C194" i="113"/>
  <c r="E193" i="113"/>
  <c r="D193" i="113"/>
  <c r="C193" i="113"/>
  <c r="E192" i="113"/>
  <c r="D192" i="113"/>
  <c r="C192" i="113"/>
  <c r="E191" i="113"/>
  <c r="D191" i="113"/>
  <c r="C191" i="113"/>
  <c r="E190" i="113"/>
  <c r="D190" i="113"/>
  <c r="C190" i="113"/>
  <c r="E189" i="113"/>
  <c r="D189" i="113"/>
  <c r="C189" i="113"/>
  <c r="E188" i="113"/>
  <c r="D188" i="113"/>
  <c r="C188" i="113"/>
  <c r="E187" i="113"/>
  <c r="D187" i="113"/>
  <c r="C187" i="113"/>
  <c r="E186" i="113"/>
  <c r="D186" i="113"/>
  <c r="C186" i="113"/>
  <c r="E185" i="113"/>
  <c r="D185" i="113"/>
  <c r="C185" i="113"/>
  <c r="E184" i="113"/>
  <c r="D184" i="113"/>
  <c r="C184" i="113"/>
  <c r="E183" i="113"/>
  <c r="D183" i="113"/>
  <c r="C183" i="113"/>
  <c r="E182" i="113"/>
  <c r="D182" i="113"/>
  <c r="C182" i="113"/>
  <c r="E181" i="113"/>
  <c r="D181" i="113"/>
  <c r="C181" i="113"/>
  <c r="E180" i="113"/>
  <c r="D180" i="113"/>
  <c r="C180" i="113"/>
  <c r="E179" i="113"/>
  <c r="D179" i="113"/>
  <c r="C179" i="113"/>
  <c r="E178" i="113"/>
  <c r="D178" i="113"/>
  <c r="C178" i="113"/>
  <c r="E177" i="113"/>
  <c r="D177" i="113"/>
  <c r="C177" i="113"/>
  <c r="E176" i="113"/>
  <c r="D176" i="113"/>
  <c r="C176" i="113"/>
  <c r="E175" i="113"/>
  <c r="D175" i="113"/>
  <c r="C175" i="113"/>
  <c r="E174" i="113"/>
  <c r="D174" i="113"/>
  <c r="C174" i="113"/>
  <c r="E173" i="113"/>
  <c r="D173" i="113"/>
  <c r="C173" i="113"/>
  <c r="E172" i="113"/>
  <c r="D172" i="113"/>
  <c r="C172" i="113"/>
  <c r="E171" i="113"/>
  <c r="D171" i="113"/>
  <c r="C171" i="113"/>
  <c r="E170" i="113"/>
  <c r="D170" i="113"/>
  <c r="C170" i="113"/>
  <c r="E169" i="113"/>
  <c r="D169" i="113"/>
  <c r="C169" i="113"/>
  <c r="E165" i="113"/>
  <c r="D165" i="113"/>
  <c r="C165" i="113"/>
  <c r="E164" i="113"/>
  <c r="D164" i="113"/>
  <c r="C164" i="113"/>
  <c r="E163" i="113"/>
  <c r="D163" i="113"/>
  <c r="C163" i="113"/>
  <c r="E162" i="113"/>
  <c r="D162" i="113"/>
  <c r="C162" i="113"/>
  <c r="E161" i="113"/>
  <c r="D161" i="113"/>
  <c r="C161" i="113"/>
  <c r="E160" i="113"/>
  <c r="D160" i="113"/>
  <c r="C160" i="113"/>
  <c r="E158" i="113"/>
  <c r="D158" i="113"/>
  <c r="C158" i="113"/>
  <c r="E157" i="113"/>
  <c r="D157" i="113"/>
  <c r="C157" i="113"/>
  <c r="E156" i="113"/>
  <c r="D156" i="113"/>
  <c r="C156" i="113"/>
  <c r="E155" i="113"/>
  <c r="D155" i="113"/>
  <c r="C155" i="113"/>
  <c r="E154" i="113"/>
  <c r="D154" i="113"/>
  <c r="C154" i="113"/>
  <c r="E153" i="113"/>
  <c r="D153" i="113"/>
  <c r="C153" i="113"/>
  <c r="E152" i="113"/>
  <c r="D152" i="113"/>
  <c r="C152" i="113"/>
  <c r="E151" i="113"/>
  <c r="D151" i="113"/>
  <c r="C151" i="113"/>
  <c r="E150" i="113"/>
  <c r="D150" i="113"/>
  <c r="C150" i="113"/>
  <c r="E148" i="113"/>
  <c r="D148" i="113"/>
  <c r="C148" i="113"/>
  <c r="E147" i="113"/>
  <c r="D147" i="113"/>
  <c r="C147" i="113"/>
  <c r="E146" i="113"/>
  <c r="D146" i="113"/>
  <c r="C146" i="113"/>
  <c r="E145" i="113"/>
  <c r="D145" i="113"/>
  <c r="C145" i="113"/>
  <c r="E143" i="113"/>
  <c r="D143" i="113"/>
  <c r="C143" i="113"/>
  <c r="E142" i="113"/>
  <c r="D142" i="113"/>
  <c r="C142" i="113"/>
  <c r="E141" i="113"/>
  <c r="D141" i="113"/>
  <c r="C141" i="113"/>
  <c r="E140" i="113"/>
  <c r="D140" i="113"/>
  <c r="C140" i="113"/>
  <c r="E138" i="113"/>
  <c r="D138" i="113"/>
  <c r="C138" i="113"/>
  <c r="E137" i="113"/>
  <c r="D137" i="113"/>
  <c r="C137" i="113"/>
  <c r="E136" i="113"/>
  <c r="D136" i="113"/>
  <c r="C136" i="113"/>
  <c r="E135" i="113"/>
  <c r="D135" i="113"/>
  <c r="C135" i="113"/>
  <c r="E134" i="113"/>
  <c r="D134" i="113"/>
  <c r="C134" i="113"/>
  <c r="E132" i="113"/>
  <c r="D132" i="113"/>
  <c r="C132" i="113"/>
  <c r="E131" i="113"/>
  <c r="D131" i="113"/>
  <c r="C131" i="113"/>
  <c r="E130" i="113"/>
  <c r="D130" i="113"/>
  <c r="C130" i="113"/>
  <c r="E129" i="113"/>
  <c r="D129" i="113"/>
  <c r="C129" i="113"/>
  <c r="E128" i="113"/>
  <c r="D128" i="113"/>
  <c r="C128" i="113"/>
  <c r="E123" i="113"/>
  <c r="D123" i="113"/>
  <c r="C123" i="113"/>
  <c r="E122" i="113"/>
  <c r="D122" i="113"/>
  <c r="C122" i="113"/>
  <c r="E121" i="113"/>
  <c r="D121" i="113"/>
  <c r="C121" i="113"/>
  <c r="E120" i="113"/>
  <c r="D120" i="113"/>
  <c r="C120" i="113"/>
  <c r="E119" i="113"/>
  <c r="D119" i="113"/>
  <c r="C119" i="113"/>
  <c r="E115" i="113"/>
  <c r="D115" i="113"/>
  <c r="C115" i="113"/>
  <c r="E114" i="113"/>
  <c r="D114" i="113"/>
  <c r="C114" i="113"/>
  <c r="E113" i="113"/>
  <c r="D113" i="113"/>
  <c r="C113" i="113"/>
  <c r="E112" i="113"/>
  <c r="D112" i="113"/>
  <c r="C112" i="113"/>
  <c r="E111" i="113"/>
  <c r="D111" i="113"/>
  <c r="C111" i="113"/>
  <c r="E110" i="113"/>
  <c r="D110" i="113"/>
  <c r="C110" i="113"/>
  <c r="E106" i="113"/>
  <c r="D106" i="113"/>
  <c r="C106" i="113"/>
  <c r="E105" i="113"/>
  <c r="D105" i="113"/>
  <c r="C105" i="113"/>
  <c r="E104" i="113"/>
  <c r="D104" i="113"/>
  <c r="C104" i="113"/>
  <c r="E103" i="113"/>
  <c r="D103" i="113"/>
  <c r="C103" i="113"/>
  <c r="E102" i="113"/>
  <c r="D102" i="113"/>
  <c r="C102" i="113"/>
  <c r="E101" i="113"/>
  <c r="D101" i="113"/>
  <c r="C101" i="113"/>
  <c r="E97" i="113"/>
  <c r="D97" i="113"/>
  <c r="C97" i="113"/>
  <c r="E96" i="113"/>
  <c r="D96" i="113"/>
  <c r="C96" i="113"/>
  <c r="E95" i="113"/>
  <c r="D95" i="113"/>
  <c r="C95" i="113"/>
  <c r="E94" i="113"/>
  <c r="D94" i="113"/>
  <c r="C94" i="113"/>
  <c r="E93" i="113"/>
  <c r="D93" i="113"/>
  <c r="C93" i="113"/>
  <c r="E92" i="113"/>
  <c r="D92" i="113"/>
  <c r="C92" i="113"/>
  <c r="E91" i="113"/>
  <c r="D91" i="113"/>
  <c r="C91" i="113"/>
  <c r="E90" i="113"/>
  <c r="D90" i="113"/>
  <c r="C90" i="113"/>
  <c r="E89" i="113"/>
  <c r="D89" i="113"/>
  <c r="C89" i="113"/>
  <c r="E88" i="113"/>
  <c r="D88" i="113"/>
  <c r="C88" i="113"/>
  <c r="E87" i="113"/>
  <c r="D87" i="113"/>
  <c r="C87" i="113"/>
  <c r="E83" i="113"/>
  <c r="D83" i="113"/>
  <c r="C83" i="113"/>
  <c r="E82" i="113"/>
  <c r="D82" i="113"/>
  <c r="C82" i="113"/>
  <c r="E81" i="113"/>
  <c r="D81" i="113"/>
  <c r="C81" i="113"/>
  <c r="E80" i="113"/>
  <c r="D80" i="113"/>
  <c r="C80" i="113"/>
  <c r="E79" i="113"/>
  <c r="D79" i="113"/>
  <c r="C79" i="113"/>
  <c r="E78" i="113"/>
  <c r="D78" i="113"/>
  <c r="C78" i="113"/>
  <c r="E77" i="113"/>
  <c r="D77" i="113"/>
  <c r="C77" i="113"/>
  <c r="E76" i="113"/>
  <c r="D76" i="113"/>
  <c r="C76" i="113"/>
  <c r="E75" i="113"/>
  <c r="D75" i="113"/>
  <c r="C75" i="113"/>
  <c r="E74" i="113"/>
  <c r="D74" i="113"/>
  <c r="C74" i="113"/>
  <c r="E73" i="113"/>
  <c r="D73" i="113"/>
  <c r="C73" i="113"/>
  <c r="E72" i="113"/>
  <c r="D72" i="113"/>
  <c r="C72" i="113"/>
  <c r="E71" i="113"/>
  <c r="D71" i="113"/>
  <c r="C71" i="113"/>
  <c r="E70" i="113"/>
  <c r="D70" i="113"/>
  <c r="C70" i="113"/>
  <c r="E69" i="113"/>
  <c r="D69" i="113"/>
  <c r="C69" i="113"/>
  <c r="E65" i="113"/>
  <c r="D65" i="113"/>
  <c r="C65" i="113"/>
  <c r="E64" i="113"/>
  <c r="D64" i="113"/>
  <c r="C64" i="113"/>
  <c r="E63" i="113"/>
  <c r="D63" i="113"/>
  <c r="C63" i="113"/>
  <c r="E62" i="113"/>
  <c r="D62" i="113"/>
  <c r="C62" i="113"/>
  <c r="E61" i="113"/>
  <c r="D61" i="113"/>
  <c r="C61" i="113"/>
  <c r="E60" i="113"/>
  <c r="D60" i="113"/>
  <c r="C60" i="113"/>
  <c r="E59" i="113"/>
  <c r="D59" i="113"/>
  <c r="C59" i="113"/>
  <c r="E58" i="113"/>
  <c r="D58" i="113"/>
  <c r="C58" i="113"/>
  <c r="E57" i="113"/>
  <c r="D57" i="113"/>
  <c r="C57" i="113"/>
  <c r="E56" i="113"/>
  <c r="D56" i="113"/>
  <c r="C56" i="113"/>
  <c r="E55" i="113"/>
  <c r="D55" i="113"/>
  <c r="C55" i="113"/>
  <c r="E54" i="113"/>
  <c r="D54" i="113"/>
  <c r="C54" i="113"/>
  <c r="E53" i="113"/>
  <c r="D53" i="113"/>
  <c r="C53" i="113"/>
  <c r="E52" i="113"/>
  <c r="D52" i="113"/>
  <c r="C52" i="113"/>
  <c r="E51" i="113"/>
  <c r="D51" i="113"/>
  <c r="C51" i="113"/>
  <c r="E50" i="113"/>
  <c r="D50" i="113"/>
  <c r="C50" i="113"/>
  <c r="E49" i="113"/>
  <c r="D49" i="113"/>
  <c r="C49" i="113"/>
  <c r="E48" i="113"/>
  <c r="D48" i="113"/>
  <c r="C48" i="113"/>
  <c r="E47" i="113"/>
  <c r="D47" i="113"/>
  <c r="C47" i="113"/>
  <c r="E46" i="113"/>
  <c r="D46" i="113"/>
  <c r="C46" i="113"/>
  <c r="E45" i="113"/>
  <c r="D45" i="113"/>
  <c r="C45" i="113"/>
  <c r="E44" i="113"/>
  <c r="D44" i="113"/>
  <c r="C44" i="113"/>
  <c r="E43" i="113"/>
  <c r="D43" i="113"/>
  <c r="C43" i="113"/>
  <c r="E42" i="113"/>
  <c r="D42" i="113"/>
  <c r="C42" i="113"/>
  <c r="E41" i="113"/>
  <c r="D41" i="113"/>
  <c r="C41" i="113"/>
  <c r="E40" i="113"/>
  <c r="D40" i="113"/>
  <c r="C40" i="113"/>
  <c r="E39" i="113"/>
  <c r="D39" i="113"/>
  <c r="C39" i="113"/>
  <c r="E38" i="113"/>
  <c r="D38" i="113"/>
  <c r="C38" i="113"/>
  <c r="E37" i="113"/>
  <c r="D37" i="113"/>
  <c r="C37" i="113"/>
  <c r="E36" i="113"/>
  <c r="D36" i="113"/>
  <c r="C36" i="113"/>
  <c r="E35" i="113"/>
  <c r="D35" i="113"/>
  <c r="C35" i="113"/>
  <c r="E34" i="113"/>
  <c r="D34" i="113"/>
  <c r="C34" i="113"/>
  <c r="E33" i="113"/>
  <c r="D33" i="113"/>
  <c r="C33" i="113"/>
  <c r="E32" i="113"/>
  <c r="D32" i="113"/>
  <c r="C32" i="113"/>
  <c r="E31" i="113"/>
  <c r="D31" i="113"/>
  <c r="C31" i="113"/>
  <c r="E30" i="113"/>
  <c r="D30" i="113"/>
  <c r="C30" i="113"/>
  <c r="D25" i="113"/>
  <c r="C25" i="113"/>
  <c r="D24" i="113"/>
  <c r="C24" i="113"/>
  <c r="D23" i="113"/>
  <c r="C23" i="113"/>
  <c r="D22" i="113"/>
  <c r="C22" i="113"/>
  <c r="D21" i="113"/>
  <c r="C21" i="113"/>
  <c r="D20" i="113"/>
  <c r="C20" i="113"/>
  <c r="D19" i="113"/>
  <c r="C19" i="113"/>
  <c r="C18" i="113"/>
  <c r="D17" i="113"/>
  <c r="C17" i="113"/>
  <c r="D16" i="113"/>
  <c r="C16" i="113"/>
  <c r="D15" i="113"/>
  <c r="C15" i="113"/>
  <c r="D14" i="113"/>
  <c r="C14" i="113"/>
  <c r="D13" i="113"/>
  <c r="C13" i="113"/>
  <c r="D12" i="113"/>
  <c r="C12" i="113"/>
  <c r="C4" i="113"/>
  <c r="C3" i="113"/>
  <c r="C238" i="113" l="1"/>
  <c r="D26" i="113"/>
  <c r="F12" i="113"/>
  <c r="I12" i="113" s="1"/>
  <c r="C26" i="113"/>
  <c r="D84" i="113"/>
  <c r="C166" i="113"/>
  <c r="D202" i="113"/>
  <c r="C98" i="113"/>
  <c r="D166" i="113"/>
  <c r="E84" i="113"/>
  <c r="D98" i="113"/>
  <c r="C107" i="113"/>
  <c r="E107" i="113"/>
  <c r="E116" i="113"/>
  <c r="C124" i="113"/>
  <c r="E202" i="113"/>
  <c r="C233" i="113"/>
  <c r="E98" i="113"/>
  <c r="D107" i="113"/>
  <c r="D116" i="113"/>
  <c r="D124" i="113"/>
  <c r="E166" i="113"/>
  <c r="C211" i="113"/>
  <c r="E211" i="113"/>
  <c r="C84" i="113"/>
  <c r="C116" i="113"/>
  <c r="E124" i="113"/>
  <c r="C202" i="113"/>
  <c r="D211" i="113"/>
  <c r="C66" i="113"/>
  <c r="D66" i="113"/>
  <c r="E66" i="113"/>
  <c r="C213" i="113" l="1"/>
  <c r="C217" i="113" s="1"/>
  <c r="D213" i="113"/>
  <c r="D220" i="113" s="1"/>
  <c r="E213" i="113"/>
  <c r="E220" i="113" s="1"/>
  <c r="C220" i="113" l="1"/>
  <c r="I249" i="167"/>
  <c r="I248" i="167"/>
  <c r="I247" i="167"/>
  <c r="I246" i="167"/>
  <c r="C243" i="167"/>
  <c r="C242" i="167"/>
  <c r="C241" i="167"/>
  <c r="C240" i="167"/>
  <c r="C237" i="167"/>
  <c r="C236" i="167"/>
  <c r="E233" i="167"/>
  <c r="D233" i="167"/>
  <c r="C232" i="167"/>
  <c r="C231" i="167"/>
  <c r="C230" i="167"/>
  <c r="C229" i="167"/>
  <c r="C228" i="167"/>
  <c r="C227" i="167"/>
  <c r="C226" i="167"/>
  <c r="C225" i="167"/>
  <c r="C224" i="167"/>
  <c r="C216" i="167"/>
  <c r="E210" i="167"/>
  <c r="D210" i="167"/>
  <c r="C210" i="167"/>
  <c r="E209" i="167"/>
  <c r="D209" i="167"/>
  <c r="C209" i="167"/>
  <c r="E208" i="167"/>
  <c r="D208" i="167"/>
  <c r="C208" i="167"/>
  <c r="E207" i="167"/>
  <c r="D207" i="167"/>
  <c r="C207" i="167"/>
  <c r="E206" i="167"/>
  <c r="D206" i="167"/>
  <c r="C206" i="167"/>
  <c r="E205" i="167"/>
  <c r="D205" i="167"/>
  <c r="C205" i="167"/>
  <c r="E201" i="167"/>
  <c r="D201" i="167"/>
  <c r="C201" i="167"/>
  <c r="E200" i="167"/>
  <c r="D200" i="167"/>
  <c r="C200" i="167"/>
  <c r="E199" i="167"/>
  <c r="D199" i="167"/>
  <c r="C199" i="167"/>
  <c r="E198" i="167"/>
  <c r="D198" i="167"/>
  <c r="C198" i="167"/>
  <c r="E197" i="167"/>
  <c r="D197" i="167"/>
  <c r="C197" i="167"/>
  <c r="E196" i="167"/>
  <c r="D196" i="167"/>
  <c r="C196" i="167"/>
  <c r="E195" i="167"/>
  <c r="D195" i="167"/>
  <c r="C195" i="167"/>
  <c r="E194" i="167"/>
  <c r="D194" i="167"/>
  <c r="C194" i="167"/>
  <c r="E193" i="167"/>
  <c r="D193" i="167"/>
  <c r="C193" i="167"/>
  <c r="E192" i="167"/>
  <c r="D192" i="167"/>
  <c r="C192" i="167"/>
  <c r="E191" i="167"/>
  <c r="D191" i="167"/>
  <c r="C191" i="167"/>
  <c r="E190" i="167"/>
  <c r="D190" i="167"/>
  <c r="C190" i="167"/>
  <c r="E189" i="167"/>
  <c r="D189" i="167"/>
  <c r="C189" i="167"/>
  <c r="E188" i="167"/>
  <c r="D188" i="167"/>
  <c r="C188" i="167"/>
  <c r="E187" i="167"/>
  <c r="D187" i="167"/>
  <c r="C187" i="167"/>
  <c r="E186" i="167"/>
  <c r="D186" i="167"/>
  <c r="C186" i="167"/>
  <c r="E185" i="167"/>
  <c r="D185" i="167"/>
  <c r="C185" i="167"/>
  <c r="E184" i="167"/>
  <c r="D184" i="167"/>
  <c r="C184" i="167"/>
  <c r="E183" i="167"/>
  <c r="D183" i="167"/>
  <c r="C183" i="167"/>
  <c r="E182" i="167"/>
  <c r="D182" i="167"/>
  <c r="C182" i="167"/>
  <c r="E181" i="167"/>
  <c r="D181" i="167"/>
  <c r="C181" i="167"/>
  <c r="E180" i="167"/>
  <c r="D180" i="167"/>
  <c r="C180" i="167"/>
  <c r="E179" i="167"/>
  <c r="D179" i="167"/>
  <c r="C179" i="167"/>
  <c r="E178" i="167"/>
  <c r="D178" i="167"/>
  <c r="C178" i="167"/>
  <c r="E177" i="167"/>
  <c r="D177" i="167"/>
  <c r="C177" i="167"/>
  <c r="E176" i="167"/>
  <c r="D176" i="167"/>
  <c r="C176" i="167"/>
  <c r="E175" i="167"/>
  <c r="D175" i="167"/>
  <c r="C175" i="167"/>
  <c r="E174" i="167"/>
  <c r="D174" i="167"/>
  <c r="C174" i="167"/>
  <c r="E173" i="167"/>
  <c r="D173" i="167"/>
  <c r="C173" i="167"/>
  <c r="E172" i="167"/>
  <c r="D172" i="167"/>
  <c r="C172" i="167"/>
  <c r="E171" i="167"/>
  <c r="D171" i="167"/>
  <c r="C171" i="167"/>
  <c r="E170" i="167"/>
  <c r="D170" i="167"/>
  <c r="C170" i="167"/>
  <c r="E169" i="167"/>
  <c r="D169" i="167"/>
  <c r="C169" i="167"/>
  <c r="E165" i="167"/>
  <c r="D165" i="167"/>
  <c r="C165" i="167"/>
  <c r="E164" i="167"/>
  <c r="D164" i="167"/>
  <c r="C164" i="167"/>
  <c r="E163" i="167"/>
  <c r="D163" i="167"/>
  <c r="C163" i="167"/>
  <c r="E162" i="167"/>
  <c r="D162" i="167"/>
  <c r="C162" i="167"/>
  <c r="E161" i="167"/>
  <c r="D161" i="167"/>
  <c r="C161" i="167"/>
  <c r="E160" i="167"/>
  <c r="D160" i="167"/>
  <c r="C160" i="167"/>
  <c r="E158" i="167"/>
  <c r="D158" i="167"/>
  <c r="C158" i="167"/>
  <c r="E157" i="167"/>
  <c r="D157" i="167"/>
  <c r="C157" i="167"/>
  <c r="E156" i="167"/>
  <c r="D156" i="167"/>
  <c r="C156" i="167"/>
  <c r="E155" i="167"/>
  <c r="D155" i="167"/>
  <c r="C155" i="167"/>
  <c r="E154" i="167"/>
  <c r="D154" i="167"/>
  <c r="C154" i="167"/>
  <c r="E153" i="167"/>
  <c r="D153" i="167"/>
  <c r="C153" i="167"/>
  <c r="E152" i="167"/>
  <c r="D152" i="167"/>
  <c r="C152" i="167"/>
  <c r="E151" i="167"/>
  <c r="D151" i="167"/>
  <c r="C151" i="167"/>
  <c r="E150" i="167"/>
  <c r="D150" i="167"/>
  <c r="C150" i="167"/>
  <c r="E148" i="167"/>
  <c r="D148" i="167"/>
  <c r="C148" i="167"/>
  <c r="E147" i="167"/>
  <c r="D147" i="167"/>
  <c r="C147" i="167"/>
  <c r="E146" i="167"/>
  <c r="D146" i="167"/>
  <c r="C146" i="167"/>
  <c r="E145" i="167"/>
  <c r="D145" i="167"/>
  <c r="C145" i="167"/>
  <c r="E143" i="167"/>
  <c r="D143" i="167"/>
  <c r="C143" i="167"/>
  <c r="E142" i="167"/>
  <c r="D142" i="167"/>
  <c r="C142" i="167"/>
  <c r="E141" i="167"/>
  <c r="D141" i="167"/>
  <c r="C141" i="167"/>
  <c r="E140" i="167"/>
  <c r="D140" i="167"/>
  <c r="C140" i="167"/>
  <c r="E138" i="167"/>
  <c r="D138" i="167"/>
  <c r="C138" i="167"/>
  <c r="E137" i="167"/>
  <c r="D137" i="167"/>
  <c r="C137" i="167"/>
  <c r="E136" i="167"/>
  <c r="D136" i="167"/>
  <c r="C136" i="167"/>
  <c r="E135" i="167"/>
  <c r="D135" i="167"/>
  <c r="C135" i="167"/>
  <c r="E134" i="167"/>
  <c r="D134" i="167"/>
  <c r="C134" i="167"/>
  <c r="E132" i="167"/>
  <c r="D132" i="167"/>
  <c r="C132" i="167"/>
  <c r="E131" i="167"/>
  <c r="D131" i="167"/>
  <c r="C131" i="167"/>
  <c r="E130" i="167"/>
  <c r="D130" i="167"/>
  <c r="C130" i="167"/>
  <c r="E129" i="167"/>
  <c r="D129" i="167"/>
  <c r="C129" i="167"/>
  <c r="E128" i="167"/>
  <c r="D128" i="167"/>
  <c r="C128" i="167"/>
  <c r="E123" i="167"/>
  <c r="D123" i="167"/>
  <c r="C123" i="167"/>
  <c r="E122" i="167"/>
  <c r="D122" i="167"/>
  <c r="C122" i="167"/>
  <c r="E121" i="167"/>
  <c r="D121" i="167"/>
  <c r="C121" i="167"/>
  <c r="E120" i="167"/>
  <c r="D120" i="167"/>
  <c r="C120" i="167"/>
  <c r="E119" i="167"/>
  <c r="D119" i="167"/>
  <c r="C119" i="167"/>
  <c r="E115" i="167"/>
  <c r="D115" i="167"/>
  <c r="C115" i="167"/>
  <c r="E114" i="167"/>
  <c r="D114" i="167"/>
  <c r="C114" i="167"/>
  <c r="E113" i="167"/>
  <c r="D113" i="167"/>
  <c r="C113" i="167"/>
  <c r="E112" i="167"/>
  <c r="D112" i="167"/>
  <c r="C112" i="167"/>
  <c r="E111" i="167"/>
  <c r="D111" i="167"/>
  <c r="C111" i="167"/>
  <c r="E110" i="167"/>
  <c r="D110" i="167"/>
  <c r="C110" i="167"/>
  <c r="E106" i="167"/>
  <c r="D106" i="167"/>
  <c r="C106" i="167"/>
  <c r="E105" i="167"/>
  <c r="D105" i="167"/>
  <c r="C105" i="167"/>
  <c r="E104" i="167"/>
  <c r="D104" i="167"/>
  <c r="C104" i="167"/>
  <c r="E103" i="167"/>
  <c r="D103" i="167"/>
  <c r="C103" i="167"/>
  <c r="E102" i="167"/>
  <c r="D102" i="167"/>
  <c r="C102" i="167"/>
  <c r="E101" i="167"/>
  <c r="D101" i="167"/>
  <c r="C101" i="167"/>
  <c r="E97" i="167"/>
  <c r="D97" i="167"/>
  <c r="C97" i="167"/>
  <c r="E96" i="167"/>
  <c r="D96" i="167"/>
  <c r="C96" i="167"/>
  <c r="E95" i="167"/>
  <c r="D95" i="167"/>
  <c r="C95" i="167"/>
  <c r="E94" i="167"/>
  <c r="D94" i="167"/>
  <c r="C94" i="167"/>
  <c r="E93" i="167"/>
  <c r="D93" i="167"/>
  <c r="C93" i="167"/>
  <c r="E92" i="167"/>
  <c r="D92" i="167"/>
  <c r="C92" i="167"/>
  <c r="E91" i="167"/>
  <c r="D91" i="167"/>
  <c r="C91" i="167"/>
  <c r="E90" i="167"/>
  <c r="D90" i="167"/>
  <c r="C90" i="167"/>
  <c r="E89" i="167"/>
  <c r="D89" i="167"/>
  <c r="C89" i="167"/>
  <c r="E88" i="167"/>
  <c r="D88" i="167"/>
  <c r="C88" i="167"/>
  <c r="E87" i="167"/>
  <c r="D87" i="167"/>
  <c r="C87" i="167"/>
  <c r="E83" i="167"/>
  <c r="D83" i="167"/>
  <c r="C83" i="167"/>
  <c r="E82" i="167"/>
  <c r="D82" i="167"/>
  <c r="C82" i="167"/>
  <c r="E81" i="167"/>
  <c r="D81" i="167"/>
  <c r="C81" i="167"/>
  <c r="E80" i="167"/>
  <c r="D80" i="167"/>
  <c r="C80" i="167"/>
  <c r="E79" i="167"/>
  <c r="D79" i="167"/>
  <c r="C79" i="167"/>
  <c r="E78" i="167"/>
  <c r="D78" i="167"/>
  <c r="C78" i="167"/>
  <c r="E77" i="167"/>
  <c r="D77" i="167"/>
  <c r="C77" i="167"/>
  <c r="E76" i="167"/>
  <c r="D76" i="167"/>
  <c r="C76" i="167"/>
  <c r="E75" i="167"/>
  <c r="D75" i="167"/>
  <c r="C75" i="167"/>
  <c r="E74" i="167"/>
  <c r="D74" i="167"/>
  <c r="C74" i="167"/>
  <c r="E73" i="167"/>
  <c r="D73" i="167"/>
  <c r="C73" i="167"/>
  <c r="E72" i="167"/>
  <c r="D72" i="167"/>
  <c r="C72" i="167"/>
  <c r="E71" i="167"/>
  <c r="D71" i="167"/>
  <c r="C71" i="167"/>
  <c r="E70" i="167"/>
  <c r="D70" i="167"/>
  <c r="C70" i="167"/>
  <c r="E69" i="167"/>
  <c r="D69" i="167"/>
  <c r="C69" i="167"/>
  <c r="E65" i="167"/>
  <c r="D65" i="167"/>
  <c r="C65" i="167"/>
  <c r="E64" i="167"/>
  <c r="D64" i="167"/>
  <c r="C64" i="167"/>
  <c r="E63" i="167"/>
  <c r="D63" i="167"/>
  <c r="C63" i="167"/>
  <c r="E62" i="167"/>
  <c r="D62" i="167"/>
  <c r="C62" i="167"/>
  <c r="E61" i="167"/>
  <c r="D61" i="167"/>
  <c r="C61" i="167"/>
  <c r="E60" i="167"/>
  <c r="D60" i="167"/>
  <c r="C60" i="167"/>
  <c r="E59" i="167"/>
  <c r="D59" i="167"/>
  <c r="C59" i="167"/>
  <c r="E58" i="167"/>
  <c r="D58" i="167"/>
  <c r="C58" i="167"/>
  <c r="E57" i="167"/>
  <c r="D57" i="167"/>
  <c r="C57" i="167"/>
  <c r="E56" i="167"/>
  <c r="D56" i="167"/>
  <c r="C56" i="167"/>
  <c r="E55" i="167"/>
  <c r="D55" i="167"/>
  <c r="C55" i="167"/>
  <c r="E54" i="167"/>
  <c r="D54" i="167"/>
  <c r="C54" i="167"/>
  <c r="E53" i="167"/>
  <c r="D53" i="167"/>
  <c r="C53" i="167"/>
  <c r="E52" i="167"/>
  <c r="D52" i="167"/>
  <c r="C52" i="167"/>
  <c r="E51" i="167"/>
  <c r="D51" i="167"/>
  <c r="C51" i="167"/>
  <c r="E50" i="167"/>
  <c r="D50" i="167"/>
  <c r="C50" i="167"/>
  <c r="E49" i="167"/>
  <c r="D49" i="167"/>
  <c r="C49" i="167"/>
  <c r="E48" i="167"/>
  <c r="D48" i="167"/>
  <c r="C48" i="167"/>
  <c r="E47" i="167"/>
  <c r="D47" i="167"/>
  <c r="C47" i="167"/>
  <c r="E46" i="167"/>
  <c r="D46" i="167"/>
  <c r="C46" i="167"/>
  <c r="E45" i="167"/>
  <c r="D45" i="167"/>
  <c r="C45" i="167"/>
  <c r="E44" i="167"/>
  <c r="D44" i="167"/>
  <c r="C44" i="167"/>
  <c r="E43" i="167"/>
  <c r="D43" i="167"/>
  <c r="C43" i="167"/>
  <c r="E42" i="167"/>
  <c r="D42" i="167"/>
  <c r="C42" i="167"/>
  <c r="E41" i="167"/>
  <c r="D41" i="167"/>
  <c r="C41" i="167"/>
  <c r="E40" i="167"/>
  <c r="D40" i="167"/>
  <c r="C40" i="167"/>
  <c r="E39" i="167"/>
  <c r="D39" i="167"/>
  <c r="C39" i="167"/>
  <c r="E38" i="167"/>
  <c r="D38" i="167"/>
  <c r="C38" i="167"/>
  <c r="E37" i="167"/>
  <c r="D37" i="167"/>
  <c r="C37" i="167"/>
  <c r="E36" i="167"/>
  <c r="D36" i="167"/>
  <c r="C36" i="167"/>
  <c r="E35" i="167"/>
  <c r="D35" i="167"/>
  <c r="C35" i="167"/>
  <c r="E34" i="167"/>
  <c r="D34" i="167"/>
  <c r="C34" i="167"/>
  <c r="E33" i="167"/>
  <c r="D33" i="167"/>
  <c r="C33" i="167"/>
  <c r="E32" i="167"/>
  <c r="D32" i="167"/>
  <c r="C32" i="167"/>
  <c r="E31" i="167"/>
  <c r="D31" i="167"/>
  <c r="C31" i="167"/>
  <c r="E30" i="167"/>
  <c r="D30" i="167"/>
  <c r="C30" i="167"/>
  <c r="D25" i="167"/>
  <c r="C25" i="167"/>
  <c r="D24" i="167"/>
  <c r="C24" i="167"/>
  <c r="D23" i="167"/>
  <c r="C23" i="167"/>
  <c r="D22" i="167"/>
  <c r="C22" i="167"/>
  <c r="D21" i="167"/>
  <c r="C21" i="167"/>
  <c r="D20" i="167"/>
  <c r="C20" i="167"/>
  <c r="D19" i="167"/>
  <c r="C19" i="167"/>
  <c r="D18" i="167"/>
  <c r="C18" i="167"/>
  <c r="D17" i="167"/>
  <c r="C17" i="167"/>
  <c r="D16" i="167"/>
  <c r="C16" i="167"/>
  <c r="C26" i="167" s="1"/>
  <c r="D15" i="167"/>
  <c r="C15" i="167"/>
  <c r="D14" i="167"/>
  <c r="C14" i="167"/>
  <c r="D13" i="167"/>
  <c r="C13" i="167"/>
  <c r="D12" i="167"/>
  <c r="C12" i="167"/>
  <c r="C4" i="167"/>
  <c r="C3" i="167"/>
  <c r="C238" i="167" l="1"/>
  <c r="F12" i="167"/>
  <c r="I12" i="167" s="1"/>
  <c r="E98" i="167"/>
  <c r="D107" i="167"/>
  <c r="C211" i="167"/>
  <c r="E211" i="167"/>
  <c r="C233" i="167"/>
  <c r="D26" i="167"/>
  <c r="E124" i="167"/>
  <c r="C202" i="167"/>
  <c r="D84" i="167"/>
  <c r="C98" i="167"/>
  <c r="D116" i="167"/>
  <c r="D202" i="167"/>
  <c r="C124" i="167"/>
  <c r="E202" i="167"/>
  <c r="C84" i="167"/>
  <c r="C116" i="167"/>
  <c r="D124" i="167"/>
  <c r="E166" i="167"/>
  <c r="D211" i="167"/>
  <c r="E84" i="167"/>
  <c r="D98" i="167"/>
  <c r="C107" i="167"/>
  <c r="E107" i="167"/>
  <c r="E116" i="167"/>
  <c r="C166" i="167"/>
  <c r="D166" i="167"/>
  <c r="C66" i="167"/>
  <c r="D66" i="167"/>
  <c r="E66" i="167"/>
  <c r="E213" i="167" l="1"/>
  <c r="E220" i="167" s="1"/>
  <c r="C213" i="167"/>
  <c r="C217" i="167" s="1"/>
  <c r="D213" i="167"/>
  <c r="D220" i="167" s="1"/>
  <c r="C220" i="167" l="1"/>
  <c r="I249" i="33"/>
  <c r="I248" i="33"/>
  <c r="I247" i="33"/>
  <c r="I246" i="33"/>
  <c r="C243" i="33"/>
  <c r="C242" i="33"/>
  <c r="C241" i="33"/>
  <c r="C240" i="33"/>
  <c r="C237" i="33"/>
  <c r="C236" i="33"/>
  <c r="E233" i="33"/>
  <c r="D233" i="33"/>
  <c r="C232" i="33"/>
  <c r="C231" i="33"/>
  <c r="C230" i="33"/>
  <c r="C229" i="33"/>
  <c r="C228" i="33"/>
  <c r="C227" i="33"/>
  <c r="C226" i="33"/>
  <c r="C225" i="33"/>
  <c r="C224" i="33"/>
  <c r="C216" i="33"/>
  <c r="E210" i="33"/>
  <c r="D210" i="33"/>
  <c r="C210" i="33"/>
  <c r="E209" i="33"/>
  <c r="D209" i="33"/>
  <c r="C209" i="33"/>
  <c r="E208" i="33"/>
  <c r="D208" i="33"/>
  <c r="C208" i="33"/>
  <c r="E207" i="33"/>
  <c r="D207" i="33"/>
  <c r="C207" i="33"/>
  <c r="E206" i="33"/>
  <c r="D206" i="33"/>
  <c r="C206" i="33"/>
  <c r="E205" i="33"/>
  <c r="D205" i="33"/>
  <c r="C205" i="33"/>
  <c r="E201" i="33"/>
  <c r="D201" i="33"/>
  <c r="C201" i="33"/>
  <c r="E200" i="33"/>
  <c r="D200" i="33"/>
  <c r="C200" i="33"/>
  <c r="E199" i="33"/>
  <c r="D199" i="33"/>
  <c r="C199" i="33"/>
  <c r="E198" i="33"/>
  <c r="D198" i="33"/>
  <c r="C198" i="33"/>
  <c r="E197" i="33"/>
  <c r="D197" i="33"/>
  <c r="C197" i="33"/>
  <c r="E196" i="33"/>
  <c r="D196" i="33"/>
  <c r="C196" i="33"/>
  <c r="E195" i="33"/>
  <c r="D195" i="33"/>
  <c r="C195" i="33"/>
  <c r="E194" i="33"/>
  <c r="D194" i="33"/>
  <c r="C194" i="33"/>
  <c r="E193" i="33"/>
  <c r="D193" i="33"/>
  <c r="C193" i="33"/>
  <c r="E192" i="33"/>
  <c r="D192" i="33"/>
  <c r="C192" i="33"/>
  <c r="E191" i="33"/>
  <c r="D191" i="33"/>
  <c r="C191" i="33"/>
  <c r="E190" i="33"/>
  <c r="D190" i="33"/>
  <c r="C190" i="33"/>
  <c r="E189" i="33"/>
  <c r="D189" i="33"/>
  <c r="C189" i="33"/>
  <c r="E188" i="33"/>
  <c r="D188" i="33"/>
  <c r="C188" i="33"/>
  <c r="E187" i="33"/>
  <c r="D187" i="33"/>
  <c r="C187" i="33"/>
  <c r="E186" i="33"/>
  <c r="D186" i="33"/>
  <c r="C186" i="33"/>
  <c r="E185" i="33"/>
  <c r="D185" i="33"/>
  <c r="C185" i="33"/>
  <c r="E184" i="33"/>
  <c r="D184" i="33"/>
  <c r="C184" i="33"/>
  <c r="E183" i="33"/>
  <c r="D183" i="33"/>
  <c r="C183" i="33"/>
  <c r="E182" i="33"/>
  <c r="D182" i="33"/>
  <c r="C182" i="33"/>
  <c r="E181" i="33"/>
  <c r="D181" i="33"/>
  <c r="C181" i="33"/>
  <c r="E180" i="33"/>
  <c r="D180" i="33"/>
  <c r="C180" i="33"/>
  <c r="E179" i="33"/>
  <c r="D179" i="33"/>
  <c r="C179" i="33"/>
  <c r="E178" i="33"/>
  <c r="D178" i="33"/>
  <c r="C178" i="33"/>
  <c r="E177" i="33"/>
  <c r="D177" i="33"/>
  <c r="C177" i="33"/>
  <c r="E176" i="33"/>
  <c r="D176" i="33"/>
  <c r="C176" i="33"/>
  <c r="E175" i="33"/>
  <c r="D175" i="33"/>
  <c r="C175" i="33"/>
  <c r="E174" i="33"/>
  <c r="D174" i="33"/>
  <c r="C174" i="33"/>
  <c r="E173" i="33"/>
  <c r="D173" i="33"/>
  <c r="C173" i="33"/>
  <c r="E172" i="33"/>
  <c r="D172" i="33"/>
  <c r="C172" i="33"/>
  <c r="E171" i="33"/>
  <c r="D171" i="33"/>
  <c r="C171" i="33"/>
  <c r="E170" i="33"/>
  <c r="D170" i="33"/>
  <c r="C170" i="33"/>
  <c r="E169" i="33"/>
  <c r="D169" i="33"/>
  <c r="C169" i="33"/>
  <c r="E165" i="33"/>
  <c r="D165" i="33"/>
  <c r="C165" i="33"/>
  <c r="E164" i="33"/>
  <c r="D164" i="33"/>
  <c r="C164" i="33"/>
  <c r="E163" i="33"/>
  <c r="D163" i="33"/>
  <c r="C163" i="33"/>
  <c r="E162" i="33"/>
  <c r="D162" i="33"/>
  <c r="C162" i="33"/>
  <c r="E161" i="33"/>
  <c r="D161" i="33"/>
  <c r="C161" i="33"/>
  <c r="E160" i="33"/>
  <c r="D160" i="33"/>
  <c r="C160" i="33"/>
  <c r="E158" i="33"/>
  <c r="D158" i="33"/>
  <c r="C158" i="33"/>
  <c r="E157" i="33"/>
  <c r="D157" i="33"/>
  <c r="C157" i="33"/>
  <c r="E156" i="33"/>
  <c r="D156" i="33"/>
  <c r="C156" i="33"/>
  <c r="E155" i="33"/>
  <c r="D155" i="33"/>
  <c r="C155" i="33"/>
  <c r="E154" i="33"/>
  <c r="D154" i="33"/>
  <c r="C154" i="33"/>
  <c r="E153" i="33"/>
  <c r="D153" i="33"/>
  <c r="C153" i="33"/>
  <c r="E152" i="33"/>
  <c r="D152" i="33"/>
  <c r="C152" i="33"/>
  <c r="E151" i="33"/>
  <c r="D151" i="33"/>
  <c r="C151" i="33"/>
  <c r="E150" i="33"/>
  <c r="D150" i="33"/>
  <c r="C150" i="33"/>
  <c r="E148" i="33"/>
  <c r="D148" i="33"/>
  <c r="C148" i="33"/>
  <c r="E147" i="33"/>
  <c r="D147" i="33"/>
  <c r="C147" i="33"/>
  <c r="E146" i="33"/>
  <c r="D146" i="33"/>
  <c r="C146" i="33"/>
  <c r="E145" i="33"/>
  <c r="D145" i="33"/>
  <c r="C145" i="33"/>
  <c r="E143" i="33"/>
  <c r="D143" i="33"/>
  <c r="C143" i="33"/>
  <c r="E142" i="33"/>
  <c r="D142" i="33"/>
  <c r="C142" i="33"/>
  <c r="E141" i="33"/>
  <c r="D141" i="33"/>
  <c r="C141" i="33"/>
  <c r="E140" i="33"/>
  <c r="D140" i="33"/>
  <c r="C140" i="33"/>
  <c r="E138" i="33"/>
  <c r="D138" i="33"/>
  <c r="C138" i="33"/>
  <c r="E137" i="33"/>
  <c r="D137" i="33"/>
  <c r="C137" i="33"/>
  <c r="E136" i="33"/>
  <c r="D136" i="33"/>
  <c r="C136" i="33"/>
  <c r="E135" i="33"/>
  <c r="D135" i="33"/>
  <c r="C135" i="33"/>
  <c r="E134" i="33"/>
  <c r="D134" i="33"/>
  <c r="C134" i="33"/>
  <c r="E132" i="33"/>
  <c r="D132" i="33"/>
  <c r="C132" i="33"/>
  <c r="E131" i="33"/>
  <c r="D131" i="33"/>
  <c r="C131" i="33"/>
  <c r="E130" i="33"/>
  <c r="D130" i="33"/>
  <c r="C130" i="33"/>
  <c r="E129" i="33"/>
  <c r="D129" i="33"/>
  <c r="C129" i="33"/>
  <c r="E128" i="33"/>
  <c r="D128" i="33"/>
  <c r="C128" i="33"/>
  <c r="E123" i="33"/>
  <c r="D123" i="33"/>
  <c r="C123" i="33"/>
  <c r="E122" i="33"/>
  <c r="D122" i="33"/>
  <c r="C122" i="33"/>
  <c r="E121" i="33"/>
  <c r="D121" i="33"/>
  <c r="C121" i="33"/>
  <c r="E120" i="33"/>
  <c r="D120" i="33"/>
  <c r="C120" i="33"/>
  <c r="E119" i="33"/>
  <c r="D119" i="33"/>
  <c r="C119" i="33"/>
  <c r="E115" i="33"/>
  <c r="D115" i="33"/>
  <c r="C115" i="33"/>
  <c r="E114" i="33"/>
  <c r="D114" i="33"/>
  <c r="C114" i="33"/>
  <c r="E113" i="33"/>
  <c r="D113" i="33"/>
  <c r="C113" i="33"/>
  <c r="E112" i="33"/>
  <c r="D112" i="33"/>
  <c r="C112" i="33"/>
  <c r="E111" i="33"/>
  <c r="D111" i="33"/>
  <c r="C111" i="33"/>
  <c r="E110" i="33"/>
  <c r="D110" i="33"/>
  <c r="C110" i="33"/>
  <c r="E106" i="33"/>
  <c r="D106" i="33"/>
  <c r="C106" i="33"/>
  <c r="E105" i="33"/>
  <c r="D105" i="33"/>
  <c r="C105" i="33"/>
  <c r="E104" i="33"/>
  <c r="D104" i="33"/>
  <c r="C104" i="33"/>
  <c r="E103" i="33"/>
  <c r="D103" i="33"/>
  <c r="C103" i="33"/>
  <c r="E102" i="33"/>
  <c r="D102" i="33"/>
  <c r="C102" i="33"/>
  <c r="E101" i="33"/>
  <c r="D101" i="33"/>
  <c r="C101" i="33"/>
  <c r="E97" i="33"/>
  <c r="D97" i="33"/>
  <c r="C97" i="33"/>
  <c r="E96" i="33"/>
  <c r="D96" i="33"/>
  <c r="C96" i="33"/>
  <c r="E95" i="33"/>
  <c r="D95" i="33"/>
  <c r="C95" i="33"/>
  <c r="E94" i="33"/>
  <c r="D94" i="33"/>
  <c r="C94" i="33"/>
  <c r="E93" i="33"/>
  <c r="D93" i="33"/>
  <c r="C93" i="33"/>
  <c r="E92" i="33"/>
  <c r="D92" i="33"/>
  <c r="C92" i="33"/>
  <c r="E91" i="33"/>
  <c r="D91" i="33"/>
  <c r="C91" i="33"/>
  <c r="E90" i="33"/>
  <c r="D90" i="33"/>
  <c r="C90" i="33"/>
  <c r="E89" i="33"/>
  <c r="D89" i="33"/>
  <c r="C89" i="33"/>
  <c r="E88" i="33"/>
  <c r="D88" i="33"/>
  <c r="C88" i="33"/>
  <c r="E87" i="33"/>
  <c r="D87" i="33"/>
  <c r="C87" i="33"/>
  <c r="E83" i="33"/>
  <c r="D83" i="33"/>
  <c r="C83" i="33"/>
  <c r="E82" i="33"/>
  <c r="D82" i="33"/>
  <c r="C82" i="33"/>
  <c r="E81" i="33"/>
  <c r="D81" i="33"/>
  <c r="C81" i="33"/>
  <c r="E80" i="33"/>
  <c r="D80" i="33"/>
  <c r="C80" i="33"/>
  <c r="E79" i="33"/>
  <c r="D79" i="33"/>
  <c r="C79" i="33"/>
  <c r="E78" i="33"/>
  <c r="D78" i="33"/>
  <c r="C78" i="33"/>
  <c r="E77" i="33"/>
  <c r="D77" i="33"/>
  <c r="C77" i="33"/>
  <c r="E76" i="33"/>
  <c r="D76" i="33"/>
  <c r="C76" i="33"/>
  <c r="E75" i="33"/>
  <c r="D75" i="33"/>
  <c r="C75" i="33"/>
  <c r="E74" i="33"/>
  <c r="D74" i="33"/>
  <c r="C74" i="33"/>
  <c r="E73" i="33"/>
  <c r="D73" i="33"/>
  <c r="C73" i="33"/>
  <c r="E72" i="33"/>
  <c r="D72" i="33"/>
  <c r="C72" i="33"/>
  <c r="E71" i="33"/>
  <c r="D71" i="33"/>
  <c r="C71" i="33"/>
  <c r="E70" i="33"/>
  <c r="D70" i="33"/>
  <c r="C70" i="33"/>
  <c r="E69" i="33"/>
  <c r="D69" i="33"/>
  <c r="C69" i="33"/>
  <c r="E65" i="33"/>
  <c r="D65" i="33"/>
  <c r="C65" i="33"/>
  <c r="E64" i="33"/>
  <c r="D64" i="33"/>
  <c r="C64" i="33"/>
  <c r="E63" i="33"/>
  <c r="D63" i="33"/>
  <c r="C63" i="33"/>
  <c r="E62" i="33"/>
  <c r="D62" i="33"/>
  <c r="C62" i="33"/>
  <c r="E61" i="33"/>
  <c r="D61" i="33"/>
  <c r="C61" i="33"/>
  <c r="E60" i="33"/>
  <c r="D60" i="33"/>
  <c r="C60" i="33"/>
  <c r="E59" i="33"/>
  <c r="D59" i="33"/>
  <c r="C59" i="33"/>
  <c r="E58" i="33"/>
  <c r="D58" i="33"/>
  <c r="C58" i="33"/>
  <c r="E57" i="33"/>
  <c r="D57" i="33"/>
  <c r="C57" i="33"/>
  <c r="E56" i="33"/>
  <c r="D56" i="33"/>
  <c r="C56" i="33"/>
  <c r="E55" i="33"/>
  <c r="D55" i="33"/>
  <c r="C55" i="33"/>
  <c r="E54" i="33"/>
  <c r="D54" i="33"/>
  <c r="C54" i="33"/>
  <c r="E53" i="33"/>
  <c r="D53" i="33"/>
  <c r="C53" i="33"/>
  <c r="E52" i="33"/>
  <c r="D52" i="33"/>
  <c r="C52" i="33"/>
  <c r="E51" i="33"/>
  <c r="D51" i="33"/>
  <c r="C51" i="33"/>
  <c r="E50" i="33"/>
  <c r="D50" i="33"/>
  <c r="C50" i="33"/>
  <c r="E49" i="33"/>
  <c r="D49" i="33"/>
  <c r="C49" i="33"/>
  <c r="E48" i="33"/>
  <c r="D48" i="33"/>
  <c r="C48" i="33"/>
  <c r="E47" i="33"/>
  <c r="D47" i="33"/>
  <c r="C47" i="33"/>
  <c r="E46" i="33"/>
  <c r="D46" i="33"/>
  <c r="C46" i="33"/>
  <c r="E45" i="33"/>
  <c r="D45" i="33"/>
  <c r="C45" i="33"/>
  <c r="E44" i="33"/>
  <c r="D44" i="33"/>
  <c r="C44" i="33"/>
  <c r="E43" i="33"/>
  <c r="D43" i="33"/>
  <c r="C43" i="33"/>
  <c r="E42" i="33"/>
  <c r="D42" i="33"/>
  <c r="C42" i="33"/>
  <c r="E41" i="33"/>
  <c r="D41" i="33"/>
  <c r="C41" i="33"/>
  <c r="E40" i="33"/>
  <c r="D40" i="33"/>
  <c r="C40" i="33"/>
  <c r="E39" i="33"/>
  <c r="D39" i="33"/>
  <c r="C39" i="33"/>
  <c r="E38" i="33"/>
  <c r="D38" i="33"/>
  <c r="C38" i="33"/>
  <c r="E37" i="33"/>
  <c r="D37" i="33"/>
  <c r="C37" i="33"/>
  <c r="E36" i="33"/>
  <c r="D36" i="33"/>
  <c r="C36" i="33"/>
  <c r="E35" i="33"/>
  <c r="D35" i="33"/>
  <c r="C35" i="33"/>
  <c r="E34" i="33"/>
  <c r="D34" i="33"/>
  <c r="C34" i="33"/>
  <c r="E33" i="33"/>
  <c r="D33" i="33"/>
  <c r="C33" i="33"/>
  <c r="E32" i="33"/>
  <c r="D32" i="33"/>
  <c r="C32" i="33"/>
  <c r="E31" i="33"/>
  <c r="D31" i="33"/>
  <c r="C31" i="33"/>
  <c r="E30" i="33"/>
  <c r="D30" i="33"/>
  <c r="C30" i="33"/>
  <c r="D25" i="33"/>
  <c r="C25" i="33"/>
  <c r="D24" i="33"/>
  <c r="C24" i="33"/>
  <c r="D23" i="33"/>
  <c r="C23" i="33"/>
  <c r="D22" i="33"/>
  <c r="C22" i="33"/>
  <c r="D21" i="33"/>
  <c r="C21" i="33"/>
  <c r="D20" i="33"/>
  <c r="C20" i="33"/>
  <c r="D19" i="33"/>
  <c r="C19" i="33"/>
  <c r="D18" i="33"/>
  <c r="C18" i="33"/>
  <c r="D17" i="33"/>
  <c r="C17" i="33"/>
  <c r="D16" i="33"/>
  <c r="C16" i="33"/>
  <c r="D15" i="33"/>
  <c r="C15" i="33"/>
  <c r="D14" i="33"/>
  <c r="C14" i="33"/>
  <c r="D13" i="33"/>
  <c r="C13" i="33"/>
  <c r="D12" i="33"/>
  <c r="C12" i="33"/>
  <c r="C4" i="33"/>
  <c r="C3" i="33"/>
  <c r="F12" i="33" l="1"/>
  <c r="I12" i="33" s="1"/>
  <c r="C26" i="33"/>
  <c r="D26" i="33"/>
  <c r="C238" i="33"/>
  <c r="D84" i="33"/>
  <c r="C98" i="33"/>
  <c r="C124" i="33"/>
  <c r="C166" i="33"/>
  <c r="D166" i="33"/>
  <c r="D202" i="33"/>
  <c r="E84" i="33"/>
  <c r="D98" i="33"/>
  <c r="C107" i="33"/>
  <c r="E107" i="33"/>
  <c r="E166" i="33"/>
  <c r="E202" i="33"/>
  <c r="C233" i="33"/>
  <c r="E98" i="33"/>
  <c r="D107" i="33"/>
  <c r="D116" i="33"/>
  <c r="D124" i="33"/>
  <c r="C202" i="33"/>
  <c r="C211" i="33"/>
  <c r="E211" i="33"/>
  <c r="C84" i="33"/>
  <c r="C116" i="33"/>
  <c r="E116" i="33"/>
  <c r="E124" i="33"/>
  <c r="D211" i="33"/>
  <c r="C66" i="33"/>
  <c r="D66" i="33"/>
  <c r="E66" i="33"/>
  <c r="D213" i="33" l="1"/>
  <c r="D220" i="33" s="1"/>
  <c r="E213" i="33"/>
  <c r="E220" i="33" s="1"/>
  <c r="C213" i="33"/>
  <c r="C220" i="33" s="1"/>
  <c r="C217" i="33" l="1"/>
  <c r="C4" i="39" l="1"/>
  <c r="C3" i="39"/>
  <c r="C238" i="39" l="1"/>
  <c r="D18" i="62"/>
  <c r="I249" i="62"/>
  <c r="I248" i="62"/>
  <c r="I247" i="62"/>
  <c r="I246" i="62"/>
  <c r="C243" i="62"/>
  <c r="C242" i="62"/>
  <c r="C241" i="62"/>
  <c r="C240" i="62"/>
  <c r="C237" i="62"/>
  <c r="C236" i="62"/>
  <c r="E233" i="62"/>
  <c r="D233" i="62"/>
  <c r="C232" i="62"/>
  <c r="C231" i="62"/>
  <c r="C230" i="62"/>
  <c r="C229" i="62"/>
  <c r="C228" i="62"/>
  <c r="C227" i="62"/>
  <c r="C226" i="62"/>
  <c r="C225" i="62"/>
  <c r="C224" i="62"/>
  <c r="C216" i="62"/>
  <c r="E210" i="62"/>
  <c r="D210" i="62"/>
  <c r="E209" i="62"/>
  <c r="D209" i="62"/>
  <c r="C209" i="62"/>
  <c r="E208" i="62"/>
  <c r="D208" i="62"/>
  <c r="C208" i="62"/>
  <c r="E207" i="62"/>
  <c r="D207" i="62"/>
  <c r="C207" i="62"/>
  <c r="E206" i="62"/>
  <c r="D206" i="62"/>
  <c r="C206" i="62"/>
  <c r="E205" i="62"/>
  <c r="D205" i="62"/>
  <c r="C205" i="62"/>
  <c r="E201" i="62"/>
  <c r="D201" i="62"/>
  <c r="C201" i="62"/>
  <c r="E200" i="62"/>
  <c r="D200" i="62"/>
  <c r="C200" i="62"/>
  <c r="E199" i="62"/>
  <c r="D199" i="62"/>
  <c r="C199" i="62"/>
  <c r="E198" i="62"/>
  <c r="D198" i="62"/>
  <c r="C198" i="62"/>
  <c r="E197" i="62"/>
  <c r="D197" i="62"/>
  <c r="C197" i="62"/>
  <c r="E196" i="62"/>
  <c r="D196" i="62"/>
  <c r="C196" i="62"/>
  <c r="E195" i="62"/>
  <c r="D195" i="62"/>
  <c r="C195" i="62"/>
  <c r="E194" i="62"/>
  <c r="D194" i="62"/>
  <c r="C194" i="62"/>
  <c r="E193" i="62"/>
  <c r="D193" i="62"/>
  <c r="C193" i="62"/>
  <c r="E192" i="62"/>
  <c r="D192" i="62"/>
  <c r="C192" i="62"/>
  <c r="E191" i="62"/>
  <c r="D191" i="62"/>
  <c r="C191" i="62"/>
  <c r="E190" i="62"/>
  <c r="D190" i="62"/>
  <c r="C190" i="62"/>
  <c r="E189" i="62"/>
  <c r="D189" i="62"/>
  <c r="C189" i="62"/>
  <c r="E188" i="62"/>
  <c r="D188" i="62"/>
  <c r="C188" i="62"/>
  <c r="E187" i="62"/>
  <c r="D187" i="62"/>
  <c r="C187" i="62"/>
  <c r="E186" i="62"/>
  <c r="D186" i="62"/>
  <c r="C186" i="62"/>
  <c r="E185" i="62"/>
  <c r="D185" i="62"/>
  <c r="C185" i="62"/>
  <c r="E184" i="62"/>
  <c r="D184" i="62"/>
  <c r="C184" i="62"/>
  <c r="E183" i="62"/>
  <c r="D183" i="62"/>
  <c r="C183" i="62"/>
  <c r="E182" i="62"/>
  <c r="D182" i="62"/>
  <c r="C182" i="62"/>
  <c r="E181" i="62"/>
  <c r="D181" i="62"/>
  <c r="C181" i="62"/>
  <c r="E180" i="62"/>
  <c r="D180" i="62"/>
  <c r="C180" i="62"/>
  <c r="E179" i="62"/>
  <c r="D179" i="62"/>
  <c r="C179" i="62"/>
  <c r="E178" i="62"/>
  <c r="D178" i="62"/>
  <c r="C178" i="62"/>
  <c r="E177" i="62"/>
  <c r="D177" i="62"/>
  <c r="C177" i="62"/>
  <c r="E176" i="62"/>
  <c r="D176" i="62"/>
  <c r="C176" i="62"/>
  <c r="E175" i="62"/>
  <c r="D175" i="62"/>
  <c r="C175" i="62"/>
  <c r="E174" i="62"/>
  <c r="D174" i="62"/>
  <c r="C174" i="62"/>
  <c r="E173" i="62"/>
  <c r="D173" i="62"/>
  <c r="C173" i="62"/>
  <c r="E172" i="62"/>
  <c r="D172" i="62"/>
  <c r="C172" i="62"/>
  <c r="E171" i="62"/>
  <c r="D171" i="62"/>
  <c r="C171" i="62"/>
  <c r="E170" i="62"/>
  <c r="D170" i="62"/>
  <c r="C170" i="62"/>
  <c r="E169" i="62"/>
  <c r="D169" i="62"/>
  <c r="C169" i="62"/>
  <c r="E165" i="62"/>
  <c r="D165" i="62"/>
  <c r="C165" i="62"/>
  <c r="E164" i="62"/>
  <c r="D164" i="62"/>
  <c r="C164" i="62"/>
  <c r="E163" i="62"/>
  <c r="D163" i="62"/>
  <c r="C163" i="62"/>
  <c r="E162" i="62"/>
  <c r="D162" i="62"/>
  <c r="C162" i="62"/>
  <c r="E161" i="62"/>
  <c r="D161" i="62"/>
  <c r="C161" i="62"/>
  <c r="E160" i="62"/>
  <c r="D160" i="62"/>
  <c r="C160" i="62"/>
  <c r="E158" i="62"/>
  <c r="D158" i="62"/>
  <c r="C158" i="62"/>
  <c r="E157" i="62"/>
  <c r="D157" i="62"/>
  <c r="C157" i="62"/>
  <c r="E156" i="62"/>
  <c r="D156" i="62"/>
  <c r="C156" i="62"/>
  <c r="E155" i="62"/>
  <c r="D155" i="62"/>
  <c r="C155" i="62"/>
  <c r="E154" i="62"/>
  <c r="D154" i="62"/>
  <c r="C154" i="62"/>
  <c r="E153" i="62"/>
  <c r="D153" i="62"/>
  <c r="C153" i="62"/>
  <c r="E152" i="62"/>
  <c r="D152" i="62"/>
  <c r="C152" i="62"/>
  <c r="E151" i="62"/>
  <c r="D151" i="62"/>
  <c r="C151" i="62"/>
  <c r="E150" i="62"/>
  <c r="D150" i="62"/>
  <c r="C150" i="62"/>
  <c r="E148" i="62"/>
  <c r="D148" i="62"/>
  <c r="C148" i="62"/>
  <c r="E147" i="62"/>
  <c r="D147" i="62"/>
  <c r="C147" i="62"/>
  <c r="E146" i="62"/>
  <c r="D146" i="62"/>
  <c r="C146" i="62"/>
  <c r="E145" i="62"/>
  <c r="D145" i="62"/>
  <c r="C145" i="62"/>
  <c r="E143" i="62"/>
  <c r="D143" i="62"/>
  <c r="C143" i="62"/>
  <c r="E142" i="62"/>
  <c r="D142" i="62"/>
  <c r="C142" i="62"/>
  <c r="E141" i="62"/>
  <c r="D141" i="62"/>
  <c r="C141" i="62"/>
  <c r="E140" i="62"/>
  <c r="D140" i="62"/>
  <c r="C140" i="62"/>
  <c r="E138" i="62"/>
  <c r="D138" i="62"/>
  <c r="C138" i="62"/>
  <c r="E137" i="62"/>
  <c r="D137" i="62"/>
  <c r="C137" i="62"/>
  <c r="E136" i="62"/>
  <c r="D136" i="62"/>
  <c r="C136" i="62"/>
  <c r="E135" i="62"/>
  <c r="D135" i="62"/>
  <c r="C135" i="62"/>
  <c r="E134" i="62"/>
  <c r="D134" i="62"/>
  <c r="C134" i="62"/>
  <c r="E132" i="62"/>
  <c r="D132" i="62"/>
  <c r="C132" i="62"/>
  <c r="E131" i="62"/>
  <c r="D131" i="62"/>
  <c r="C131" i="62"/>
  <c r="E130" i="62"/>
  <c r="D130" i="62"/>
  <c r="C130" i="62"/>
  <c r="E129" i="62"/>
  <c r="D129" i="62"/>
  <c r="C129" i="62"/>
  <c r="E128" i="62"/>
  <c r="D128" i="62"/>
  <c r="C128" i="62"/>
  <c r="E123" i="62"/>
  <c r="D123" i="62"/>
  <c r="C123" i="62"/>
  <c r="E122" i="62"/>
  <c r="D122" i="62"/>
  <c r="C122" i="62"/>
  <c r="E121" i="62"/>
  <c r="D121" i="62"/>
  <c r="C121" i="62"/>
  <c r="E120" i="62"/>
  <c r="D120" i="62"/>
  <c r="C120" i="62"/>
  <c r="E119" i="62"/>
  <c r="D119" i="62"/>
  <c r="C119" i="62"/>
  <c r="E115" i="62"/>
  <c r="D115" i="62"/>
  <c r="C115" i="62"/>
  <c r="E114" i="62"/>
  <c r="D114" i="62"/>
  <c r="C114" i="62"/>
  <c r="E113" i="62"/>
  <c r="D113" i="62"/>
  <c r="C113" i="62"/>
  <c r="E112" i="62"/>
  <c r="D112" i="62"/>
  <c r="C112" i="62"/>
  <c r="E111" i="62"/>
  <c r="D111" i="62"/>
  <c r="C111" i="62"/>
  <c r="E110" i="62"/>
  <c r="D110" i="62"/>
  <c r="C110" i="62"/>
  <c r="E106" i="62"/>
  <c r="D106" i="62"/>
  <c r="C106" i="62"/>
  <c r="E105" i="62"/>
  <c r="D105" i="62"/>
  <c r="C105" i="62"/>
  <c r="E104" i="62"/>
  <c r="D104" i="62"/>
  <c r="C104" i="62"/>
  <c r="E103" i="62"/>
  <c r="D103" i="62"/>
  <c r="C103" i="62"/>
  <c r="E102" i="62"/>
  <c r="D102" i="62"/>
  <c r="C102" i="62"/>
  <c r="E101" i="62"/>
  <c r="D101" i="62"/>
  <c r="C101" i="62"/>
  <c r="E97" i="62"/>
  <c r="D97" i="62"/>
  <c r="C97" i="62"/>
  <c r="E96" i="62"/>
  <c r="D96" i="62"/>
  <c r="C96" i="62"/>
  <c r="E95" i="62"/>
  <c r="D95" i="62"/>
  <c r="C95" i="62"/>
  <c r="E94" i="62"/>
  <c r="D94" i="62"/>
  <c r="C94" i="62"/>
  <c r="E93" i="62"/>
  <c r="D93" i="62"/>
  <c r="C93" i="62"/>
  <c r="E92" i="62"/>
  <c r="D92" i="62"/>
  <c r="C92" i="62"/>
  <c r="E91" i="62"/>
  <c r="D91" i="62"/>
  <c r="C91" i="62"/>
  <c r="E90" i="62"/>
  <c r="D90" i="62"/>
  <c r="C90" i="62"/>
  <c r="E89" i="62"/>
  <c r="D89" i="62"/>
  <c r="C89" i="62"/>
  <c r="E88" i="62"/>
  <c r="D88" i="62"/>
  <c r="C88" i="62"/>
  <c r="E87" i="62"/>
  <c r="D87" i="62"/>
  <c r="C87" i="62"/>
  <c r="E83" i="62"/>
  <c r="D83" i="62"/>
  <c r="C83" i="62"/>
  <c r="E82" i="62"/>
  <c r="D82" i="62"/>
  <c r="C82" i="62"/>
  <c r="E81" i="62"/>
  <c r="D81" i="62"/>
  <c r="C81" i="62"/>
  <c r="E80" i="62"/>
  <c r="D80" i="62"/>
  <c r="C80" i="62"/>
  <c r="E79" i="62"/>
  <c r="D79" i="62"/>
  <c r="C79" i="62"/>
  <c r="E78" i="62"/>
  <c r="D78" i="62"/>
  <c r="C78" i="62"/>
  <c r="E77" i="62"/>
  <c r="D77" i="62"/>
  <c r="C77" i="62"/>
  <c r="E76" i="62"/>
  <c r="D76" i="62"/>
  <c r="C76" i="62"/>
  <c r="E75" i="62"/>
  <c r="D75" i="62"/>
  <c r="C75" i="62"/>
  <c r="E74" i="62"/>
  <c r="D74" i="62"/>
  <c r="C74" i="62"/>
  <c r="E73" i="62"/>
  <c r="D73" i="62"/>
  <c r="C73" i="62"/>
  <c r="E72" i="62"/>
  <c r="D72" i="62"/>
  <c r="C72" i="62"/>
  <c r="E71" i="62"/>
  <c r="D71" i="62"/>
  <c r="C71" i="62"/>
  <c r="E70" i="62"/>
  <c r="D70" i="62"/>
  <c r="C70" i="62"/>
  <c r="E69" i="62"/>
  <c r="D69" i="62"/>
  <c r="C69" i="62"/>
  <c r="E65" i="62"/>
  <c r="D65" i="62"/>
  <c r="C65" i="62"/>
  <c r="E64" i="62"/>
  <c r="D64" i="62"/>
  <c r="C64" i="62"/>
  <c r="E63" i="62"/>
  <c r="D63" i="62"/>
  <c r="C63" i="62"/>
  <c r="E62" i="62"/>
  <c r="D62" i="62"/>
  <c r="C62" i="62"/>
  <c r="E61" i="62"/>
  <c r="D61" i="62"/>
  <c r="C61" i="62"/>
  <c r="E60" i="62"/>
  <c r="D60" i="62"/>
  <c r="C60" i="62"/>
  <c r="E59" i="62"/>
  <c r="D59" i="62"/>
  <c r="C59" i="62"/>
  <c r="E58" i="62"/>
  <c r="D58" i="62"/>
  <c r="C58" i="62"/>
  <c r="E57" i="62"/>
  <c r="D57" i="62"/>
  <c r="C57" i="62"/>
  <c r="E56" i="62"/>
  <c r="D56" i="62"/>
  <c r="C56" i="62"/>
  <c r="E55" i="62"/>
  <c r="D55" i="62"/>
  <c r="C55" i="62"/>
  <c r="E54" i="62"/>
  <c r="D54" i="62"/>
  <c r="C54" i="62"/>
  <c r="E53" i="62"/>
  <c r="D53" i="62"/>
  <c r="C53" i="62"/>
  <c r="E52" i="62"/>
  <c r="D52" i="62"/>
  <c r="C52" i="62"/>
  <c r="E51" i="62"/>
  <c r="D51" i="62"/>
  <c r="C51" i="62"/>
  <c r="E50" i="62"/>
  <c r="D50" i="62"/>
  <c r="C50" i="62"/>
  <c r="E49" i="62"/>
  <c r="D49" i="62"/>
  <c r="C49" i="62"/>
  <c r="E48" i="62"/>
  <c r="D48" i="62"/>
  <c r="C48" i="62"/>
  <c r="E47" i="62"/>
  <c r="D47" i="62"/>
  <c r="C47" i="62"/>
  <c r="E46" i="62"/>
  <c r="D46" i="62"/>
  <c r="C46" i="62"/>
  <c r="E45" i="62"/>
  <c r="D45" i="62"/>
  <c r="C45" i="62"/>
  <c r="E44" i="62"/>
  <c r="D44" i="62"/>
  <c r="C44" i="62"/>
  <c r="E43" i="62"/>
  <c r="D43" i="62"/>
  <c r="C43" i="62"/>
  <c r="E42" i="62"/>
  <c r="D42" i="62"/>
  <c r="C42" i="62"/>
  <c r="E41" i="62"/>
  <c r="D41" i="62"/>
  <c r="C41" i="62"/>
  <c r="E40" i="62"/>
  <c r="D40" i="62"/>
  <c r="C40" i="62"/>
  <c r="E39" i="62"/>
  <c r="D39" i="62"/>
  <c r="C39" i="62"/>
  <c r="E38" i="62"/>
  <c r="D38" i="62"/>
  <c r="C38" i="62"/>
  <c r="E37" i="62"/>
  <c r="D37" i="62"/>
  <c r="C37" i="62"/>
  <c r="E36" i="62"/>
  <c r="D36" i="62"/>
  <c r="C36" i="62"/>
  <c r="E35" i="62"/>
  <c r="D35" i="62"/>
  <c r="C35" i="62"/>
  <c r="E34" i="62"/>
  <c r="D34" i="62"/>
  <c r="C34" i="62"/>
  <c r="E33" i="62"/>
  <c r="D33" i="62"/>
  <c r="C33" i="62"/>
  <c r="E32" i="62"/>
  <c r="D32" i="62"/>
  <c r="C32" i="62"/>
  <c r="E31" i="62"/>
  <c r="D31" i="62"/>
  <c r="C31" i="62"/>
  <c r="E30" i="62"/>
  <c r="D30" i="62"/>
  <c r="C30" i="62"/>
  <c r="D25" i="62"/>
  <c r="C25" i="62"/>
  <c r="D24" i="62"/>
  <c r="C24" i="62"/>
  <c r="D23" i="62"/>
  <c r="C23" i="62"/>
  <c r="D22" i="62"/>
  <c r="C22" i="62"/>
  <c r="D21" i="62"/>
  <c r="C21" i="62"/>
  <c r="D20" i="62"/>
  <c r="C20" i="62"/>
  <c r="D19" i="62"/>
  <c r="C19" i="62"/>
  <c r="C18" i="62"/>
  <c r="D17" i="62"/>
  <c r="C17" i="62"/>
  <c r="D16" i="62"/>
  <c r="C16" i="62"/>
  <c r="D15" i="62"/>
  <c r="C15" i="62"/>
  <c r="D14" i="62"/>
  <c r="C14" i="62"/>
  <c r="D13" i="62"/>
  <c r="C13" i="62"/>
  <c r="D12" i="62"/>
  <c r="C12" i="62"/>
  <c r="C4" i="62"/>
  <c r="C3" i="62"/>
  <c r="C238" i="62" l="1"/>
  <c r="D26" i="62"/>
  <c r="F12" i="62"/>
  <c r="I12" i="62" s="1"/>
  <c r="C26" i="62"/>
  <c r="C98" i="62"/>
  <c r="D98" i="62"/>
  <c r="C166" i="62"/>
  <c r="D166" i="62"/>
  <c r="E84" i="62"/>
  <c r="C107" i="62"/>
  <c r="D107" i="62"/>
  <c r="E107" i="62"/>
  <c r="E116" i="62"/>
  <c r="C124" i="62"/>
  <c r="D124" i="62"/>
  <c r="E202" i="62"/>
  <c r="E98" i="62"/>
  <c r="C116" i="62"/>
  <c r="D116" i="62"/>
  <c r="E166" i="62"/>
  <c r="C211" i="62"/>
  <c r="D211" i="62"/>
  <c r="E211" i="62"/>
  <c r="C233" i="62"/>
  <c r="C84" i="62"/>
  <c r="D84" i="62"/>
  <c r="E124" i="62"/>
  <c r="C202" i="62"/>
  <c r="D202" i="62"/>
  <c r="C66" i="62"/>
  <c r="D66" i="62"/>
  <c r="E66" i="62"/>
  <c r="D213" i="62" l="1"/>
  <c r="D220" i="62" s="1"/>
  <c r="C213" i="62"/>
  <c r="C217" i="62" s="1"/>
  <c r="E213" i="62"/>
  <c r="E220" i="62" s="1"/>
  <c r="C220" i="62" l="1"/>
  <c r="I249" i="145"/>
  <c r="I248" i="145"/>
  <c r="I247" i="145"/>
  <c r="I246" i="145"/>
  <c r="C243" i="145"/>
  <c r="C242" i="145"/>
  <c r="C241" i="145"/>
  <c r="C240" i="145"/>
  <c r="C237" i="145"/>
  <c r="C236" i="145"/>
  <c r="E233" i="145"/>
  <c r="D233" i="145"/>
  <c r="C232" i="145"/>
  <c r="C231" i="145"/>
  <c r="C230" i="145"/>
  <c r="C229" i="145"/>
  <c r="C228" i="145"/>
  <c r="C227" i="145"/>
  <c r="C226" i="145"/>
  <c r="C225" i="145"/>
  <c r="C224" i="145"/>
  <c r="C216" i="145"/>
  <c r="E210" i="145"/>
  <c r="D210" i="145"/>
  <c r="C210" i="145"/>
  <c r="E209" i="145"/>
  <c r="D209" i="145"/>
  <c r="C209" i="145"/>
  <c r="E208" i="145"/>
  <c r="D208" i="145"/>
  <c r="C208" i="145"/>
  <c r="E207" i="145"/>
  <c r="D207" i="145"/>
  <c r="C207" i="145"/>
  <c r="E206" i="145"/>
  <c r="D206" i="145"/>
  <c r="C206" i="145"/>
  <c r="E205" i="145"/>
  <c r="D205" i="145"/>
  <c r="C205" i="145"/>
  <c r="E201" i="145"/>
  <c r="D201" i="145"/>
  <c r="C201" i="145"/>
  <c r="E200" i="145"/>
  <c r="D200" i="145"/>
  <c r="C200" i="145"/>
  <c r="E199" i="145"/>
  <c r="D199" i="145"/>
  <c r="C199" i="145"/>
  <c r="E198" i="145"/>
  <c r="D198" i="145"/>
  <c r="C198" i="145"/>
  <c r="E197" i="145"/>
  <c r="D197" i="145"/>
  <c r="C197" i="145"/>
  <c r="E196" i="145"/>
  <c r="D196" i="145"/>
  <c r="C196" i="145"/>
  <c r="E195" i="145"/>
  <c r="D195" i="145"/>
  <c r="C195" i="145"/>
  <c r="E194" i="145"/>
  <c r="D194" i="145"/>
  <c r="C194" i="145"/>
  <c r="E193" i="145"/>
  <c r="D193" i="145"/>
  <c r="C193" i="145"/>
  <c r="E192" i="145"/>
  <c r="D192" i="145"/>
  <c r="C192" i="145"/>
  <c r="E191" i="145"/>
  <c r="D191" i="145"/>
  <c r="C191" i="145"/>
  <c r="E190" i="145"/>
  <c r="D190" i="145"/>
  <c r="C190" i="145"/>
  <c r="E189" i="145"/>
  <c r="D189" i="145"/>
  <c r="C189" i="145"/>
  <c r="E188" i="145"/>
  <c r="D188" i="145"/>
  <c r="C188" i="145"/>
  <c r="E187" i="145"/>
  <c r="D187" i="145"/>
  <c r="C187" i="145"/>
  <c r="E186" i="145"/>
  <c r="D186" i="145"/>
  <c r="C186" i="145"/>
  <c r="E185" i="145"/>
  <c r="D185" i="145"/>
  <c r="C185" i="145"/>
  <c r="E184" i="145"/>
  <c r="D184" i="145"/>
  <c r="C184" i="145"/>
  <c r="E183" i="145"/>
  <c r="D183" i="145"/>
  <c r="C183" i="145"/>
  <c r="E182" i="145"/>
  <c r="D182" i="145"/>
  <c r="C182" i="145"/>
  <c r="E181" i="145"/>
  <c r="D181" i="145"/>
  <c r="C181" i="145"/>
  <c r="E180" i="145"/>
  <c r="D180" i="145"/>
  <c r="C180" i="145"/>
  <c r="E179" i="145"/>
  <c r="D179" i="145"/>
  <c r="C179" i="145"/>
  <c r="E178" i="145"/>
  <c r="D178" i="145"/>
  <c r="C178" i="145"/>
  <c r="E177" i="145"/>
  <c r="D177" i="145"/>
  <c r="C177" i="145"/>
  <c r="E176" i="145"/>
  <c r="D176" i="145"/>
  <c r="C176" i="145"/>
  <c r="E175" i="145"/>
  <c r="D175" i="145"/>
  <c r="C175" i="145"/>
  <c r="E174" i="145"/>
  <c r="D174" i="145"/>
  <c r="C174" i="145"/>
  <c r="E173" i="145"/>
  <c r="D173" i="145"/>
  <c r="C173" i="145"/>
  <c r="E172" i="145"/>
  <c r="D172" i="145"/>
  <c r="C172" i="145"/>
  <c r="E171" i="145"/>
  <c r="D171" i="145"/>
  <c r="C171" i="145"/>
  <c r="E170" i="145"/>
  <c r="D170" i="145"/>
  <c r="C170" i="145"/>
  <c r="E169" i="145"/>
  <c r="D169" i="145"/>
  <c r="C169" i="145"/>
  <c r="E165" i="145"/>
  <c r="D165" i="145"/>
  <c r="C165" i="145"/>
  <c r="E164" i="145"/>
  <c r="D164" i="145"/>
  <c r="C164" i="145"/>
  <c r="E163" i="145"/>
  <c r="D163" i="145"/>
  <c r="C163" i="145"/>
  <c r="E162" i="145"/>
  <c r="D162" i="145"/>
  <c r="C162" i="145"/>
  <c r="E161" i="145"/>
  <c r="D161" i="145"/>
  <c r="C161" i="145"/>
  <c r="E160" i="145"/>
  <c r="D160" i="145"/>
  <c r="C160" i="145"/>
  <c r="E158" i="145"/>
  <c r="D158" i="145"/>
  <c r="C158" i="145"/>
  <c r="E157" i="145"/>
  <c r="D157" i="145"/>
  <c r="C157" i="145"/>
  <c r="E156" i="145"/>
  <c r="D156" i="145"/>
  <c r="C156" i="145"/>
  <c r="E155" i="145"/>
  <c r="D155" i="145"/>
  <c r="C155" i="145"/>
  <c r="E154" i="145"/>
  <c r="D154" i="145"/>
  <c r="C154" i="145"/>
  <c r="E153" i="145"/>
  <c r="D153" i="145"/>
  <c r="C153" i="145"/>
  <c r="E152" i="145"/>
  <c r="D152" i="145"/>
  <c r="C152" i="145"/>
  <c r="E151" i="145"/>
  <c r="D151" i="145"/>
  <c r="C151" i="145"/>
  <c r="E150" i="145"/>
  <c r="D150" i="145"/>
  <c r="C150" i="145"/>
  <c r="E148" i="145"/>
  <c r="D148" i="145"/>
  <c r="C148" i="145"/>
  <c r="E147" i="145"/>
  <c r="D147" i="145"/>
  <c r="C147" i="145"/>
  <c r="E146" i="145"/>
  <c r="D146" i="145"/>
  <c r="C146" i="145"/>
  <c r="E145" i="145"/>
  <c r="D145" i="145"/>
  <c r="C145" i="145"/>
  <c r="E143" i="145"/>
  <c r="D143" i="145"/>
  <c r="C143" i="145"/>
  <c r="E142" i="145"/>
  <c r="D142" i="145"/>
  <c r="C142" i="145"/>
  <c r="E141" i="145"/>
  <c r="D141" i="145"/>
  <c r="C141" i="145"/>
  <c r="E140" i="145"/>
  <c r="D140" i="145"/>
  <c r="C140" i="145"/>
  <c r="E138" i="145"/>
  <c r="D138" i="145"/>
  <c r="C138" i="145"/>
  <c r="E137" i="145"/>
  <c r="D137" i="145"/>
  <c r="C137" i="145"/>
  <c r="E136" i="145"/>
  <c r="D136" i="145"/>
  <c r="C136" i="145"/>
  <c r="E135" i="145"/>
  <c r="D135" i="145"/>
  <c r="C135" i="145"/>
  <c r="E134" i="145"/>
  <c r="D134" i="145"/>
  <c r="C134" i="145"/>
  <c r="E132" i="145"/>
  <c r="D132" i="145"/>
  <c r="C132" i="145"/>
  <c r="E131" i="145"/>
  <c r="D131" i="145"/>
  <c r="C131" i="145"/>
  <c r="E130" i="145"/>
  <c r="D130" i="145"/>
  <c r="C130" i="145"/>
  <c r="E129" i="145"/>
  <c r="D129" i="145"/>
  <c r="C129" i="145"/>
  <c r="E128" i="145"/>
  <c r="D128" i="145"/>
  <c r="C128" i="145"/>
  <c r="E123" i="145"/>
  <c r="D123" i="145"/>
  <c r="C123" i="145"/>
  <c r="E122" i="145"/>
  <c r="D122" i="145"/>
  <c r="C122" i="145"/>
  <c r="E121" i="145"/>
  <c r="D121" i="145"/>
  <c r="C121" i="145"/>
  <c r="E120" i="145"/>
  <c r="D120" i="145"/>
  <c r="C120" i="145"/>
  <c r="E119" i="145"/>
  <c r="D119" i="145"/>
  <c r="C119" i="145"/>
  <c r="E115" i="145"/>
  <c r="D115" i="145"/>
  <c r="C115" i="145"/>
  <c r="E114" i="145"/>
  <c r="D114" i="145"/>
  <c r="C114" i="145"/>
  <c r="E113" i="145"/>
  <c r="D113" i="145"/>
  <c r="C113" i="145"/>
  <c r="E112" i="145"/>
  <c r="D112" i="145"/>
  <c r="C112" i="145"/>
  <c r="E111" i="145"/>
  <c r="D111" i="145"/>
  <c r="C111" i="145"/>
  <c r="E110" i="145"/>
  <c r="D110" i="145"/>
  <c r="C110" i="145"/>
  <c r="E106" i="145"/>
  <c r="D106" i="145"/>
  <c r="C106" i="145"/>
  <c r="E105" i="145"/>
  <c r="D105" i="145"/>
  <c r="C105" i="145"/>
  <c r="E104" i="145"/>
  <c r="D104" i="145"/>
  <c r="C104" i="145"/>
  <c r="E103" i="145"/>
  <c r="D103" i="145"/>
  <c r="C103" i="145"/>
  <c r="E102" i="145"/>
  <c r="D102" i="145"/>
  <c r="C102" i="145"/>
  <c r="E101" i="145"/>
  <c r="D101" i="145"/>
  <c r="C101" i="145"/>
  <c r="E97" i="145"/>
  <c r="D97" i="145"/>
  <c r="C97" i="145"/>
  <c r="E96" i="145"/>
  <c r="D96" i="145"/>
  <c r="C96" i="145"/>
  <c r="E95" i="145"/>
  <c r="D95" i="145"/>
  <c r="C95" i="145"/>
  <c r="E94" i="145"/>
  <c r="D94" i="145"/>
  <c r="C94" i="145"/>
  <c r="E93" i="145"/>
  <c r="D93" i="145"/>
  <c r="C93" i="145"/>
  <c r="E92" i="145"/>
  <c r="D92" i="145"/>
  <c r="C92" i="145"/>
  <c r="E91" i="145"/>
  <c r="D91" i="145"/>
  <c r="C91" i="145"/>
  <c r="E90" i="145"/>
  <c r="D90" i="145"/>
  <c r="C90" i="145"/>
  <c r="E89" i="145"/>
  <c r="D89" i="145"/>
  <c r="C89" i="145"/>
  <c r="E88" i="145"/>
  <c r="D88" i="145"/>
  <c r="C88" i="145"/>
  <c r="E87" i="145"/>
  <c r="D87" i="145"/>
  <c r="C87" i="145"/>
  <c r="E83" i="145"/>
  <c r="D83" i="145"/>
  <c r="C83" i="145"/>
  <c r="E82" i="145"/>
  <c r="D82" i="145"/>
  <c r="C82" i="145"/>
  <c r="E81" i="145"/>
  <c r="D81" i="145"/>
  <c r="C81" i="145"/>
  <c r="E80" i="145"/>
  <c r="D80" i="145"/>
  <c r="C80" i="145"/>
  <c r="E79" i="145"/>
  <c r="D79" i="145"/>
  <c r="C79" i="145"/>
  <c r="E78" i="145"/>
  <c r="D78" i="145"/>
  <c r="C78" i="145"/>
  <c r="E77" i="145"/>
  <c r="D77" i="145"/>
  <c r="C77" i="145"/>
  <c r="E76" i="145"/>
  <c r="D76" i="145"/>
  <c r="C76" i="145"/>
  <c r="E75" i="145"/>
  <c r="D75" i="145"/>
  <c r="C75" i="145"/>
  <c r="E74" i="145"/>
  <c r="D74" i="145"/>
  <c r="C74" i="145"/>
  <c r="E73" i="145"/>
  <c r="D73" i="145"/>
  <c r="C73" i="145"/>
  <c r="E72" i="145"/>
  <c r="D72" i="145"/>
  <c r="C72" i="145"/>
  <c r="E71" i="145"/>
  <c r="D71" i="145"/>
  <c r="C71" i="145"/>
  <c r="E70" i="145"/>
  <c r="D70" i="145"/>
  <c r="C70" i="145"/>
  <c r="E69" i="145"/>
  <c r="D69" i="145"/>
  <c r="C69" i="145"/>
  <c r="E65" i="145"/>
  <c r="D65" i="145"/>
  <c r="C65" i="145"/>
  <c r="E64" i="145"/>
  <c r="D64" i="145"/>
  <c r="C64" i="145"/>
  <c r="E63" i="145"/>
  <c r="D63" i="145"/>
  <c r="C63" i="145"/>
  <c r="E62" i="145"/>
  <c r="D62" i="145"/>
  <c r="C62" i="145"/>
  <c r="E61" i="145"/>
  <c r="D61" i="145"/>
  <c r="C61" i="145"/>
  <c r="E60" i="145"/>
  <c r="D60" i="145"/>
  <c r="C60" i="145"/>
  <c r="E59" i="145"/>
  <c r="D59" i="145"/>
  <c r="C59" i="145"/>
  <c r="E58" i="145"/>
  <c r="D58" i="145"/>
  <c r="C58" i="145"/>
  <c r="E57" i="145"/>
  <c r="D57" i="145"/>
  <c r="C57" i="145"/>
  <c r="E56" i="145"/>
  <c r="D56" i="145"/>
  <c r="C56" i="145"/>
  <c r="E55" i="145"/>
  <c r="D55" i="145"/>
  <c r="C55" i="145"/>
  <c r="E54" i="145"/>
  <c r="D54" i="145"/>
  <c r="C54" i="145"/>
  <c r="E53" i="145"/>
  <c r="D53" i="145"/>
  <c r="C53" i="145"/>
  <c r="E52" i="145"/>
  <c r="D52" i="145"/>
  <c r="C52" i="145"/>
  <c r="E51" i="145"/>
  <c r="D51" i="145"/>
  <c r="C51" i="145"/>
  <c r="E50" i="145"/>
  <c r="D50" i="145"/>
  <c r="C50" i="145"/>
  <c r="E49" i="145"/>
  <c r="D49" i="145"/>
  <c r="C49" i="145"/>
  <c r="E48" i="145"/>
  <c r="D48" i="145"/>
  <c r="C48" i="145"/>
  <c r="E47" i="145"/>
  <c r="D47" i="145"/>
  <c r="C47" i="145"/>
  <c r="E46" i="145"/>
  <c r="D46" i="145"/>
  <c r="C46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E35" i="145"/>
  <c r="D35" i="145"/>
  <c r="C35" i="145"/>
  <c r="E34" i="145"/>
  <c r="D34" i="145"/>
  <c r="C34" i="145"/>
  <c r="E33" i="145"/>
  <c r="D33" i="145"/>
  <c r="C33" i="145"/>
  <c r="E32" i="145"/>
  <c r="D32" i="145"/>
  <c r="C32" i="145"/>
  <c r="E31" i="145"/>
  <c r="D31" i="145"/>
  <c r="C31" i="145"/>
  <c r="E30" i="145"/>
  <c r="D30" i="145"/>
  <c r="C30" i="145"/>
  <c r="D25" i="145"/>
  <c r="C25" i="145"/>
  <c r="D24" i="145"/>
  <c r="C24" i="145"/>
  <c r="D23" i="145"/>
  <c r="C23" i="145"/>
  <c r="D22" i="145"/>
  <c r="C22" i="145"/>
  <c r="D21" i="145"/>
  <c r="C21" i="145"/>
  <c r="D20" i="145"/>
  <c r="C20" i="145"/>
  <c r="D19" i="145"/>
  <c r="C19" i="145"/>
  <c r="D18" i="145"/>
  <c r="C18" i="145"/>
  <c r="D17" i="145"/>
  <c r="C17" i="145"/>
  <c r="D16" i="145"/>
  <c r="C16" i="145"/>
  <c r="D15" i="145"/>
  <c r="C15" i="145"/>
  <c r="D14" i="145"/>
  <c r="C14" i="145"/>
  <c r="D13" i="145"/>
  <c r="C13" i="145"/>
  <c r="D12" i="145"/>
  <c r="C12" i="145"/>
  <c r="C4" i="145"/>
  <c r="C3" i="145"/>
  <c r="C238" i="145" l="1"/>
  <c r="E98" i="145"/>
  <c r="C116" i="145"/>
  <c r="E166" i="145"/>
  <c r="D98" i="145"/>
  <c r="F12" i="145"/>
  <c r="I12" i="145" s="1"/>
  <c r="D26" i="145"/>
  <c r="D211" i="145"/>
  <c r="C233" i="145"/>
  <c r="C26" i="145"/>
  <c r="C84" i="145"/>
  <c r="E107" i="145"/>
  <c r="C202" i="145"/>
  <c r="D202" i="145"/>
  <c r="D116" i="145"/>
  <c r="C166" i="145"/>
  <c r="D166" i="145"/>
  <c r="E211" i="145"/>
  <c r="E84" i="145"/>
  <c r="C107" i="145"/>
  <c r="E116" i="145"/>
  <c r="E202" i="145"/>
  <c r="C98" i="145"/>
  <c r="E124" i="145"/>
  <c r="D84" i="145"/>
  <c r="D107" i="145"/>
  <c r="C211" i="145"/>
  <c r="C124" i="145"/>
  <c r="D124" i="145"/>
  <c r="C66" i="145"/>
  <c r="D66" i="145"/>
  <c r="E66" i="145"/>
  <c r="E213" i="145" l="1"/>
  <c r="E220" i="145" s="1"/>
  <c r="D213" i="145"/>
  <c r="D220" i="145" s="1"/>
  <c r="C213" i="145"/>
  <c r="C217" i="145" s="1"/>
  <c r="C220" i="145" l="1"/>
  <c r="I249" i="136"/>
  <c r="I248" i="136"/>
  <c r="I247" i="136"/>
  <c r="I246" i="136"/>
  <c r="D18" i="136"/>
  <c r="C243" i="136"/>
  <c r="C242" i="136"/>
  <c r="C241" i="136"/>
  <c r="C240" i="136"/>
  <c r="C237" i="136"/>
  <c r="C236" i="136"/>
  <c r="E233" i="136"/>
  <c r="D233" i="136"/>
  <c r="C232" i="136"/>
  <c r="C231" i="136"/>
  <c r="C230" i="136"/>
  <c r="C229" i="136"/>
  <c r="C228" i="136"/>
  <c r="C227" i="136"/>
  <c r="C226" i="136"/>
  <c r="C225" i="136"/>
  <c r="C224" i="136"/>
  <c r="C216" i="136"/>
  <c r="E210" i="136"/>
  <c r="D210" i="136"/>
  <c r="C210" i="136"/>
  <c r="E209" i="136"/>
  <c r="D209" i="136"/>
  <c r="C209" i="136"/>
  <c r="E208" i="136"/>
  <c r="D208" i="136"/>
  <c r="C208" i="136"/>
  <c r="E207" i="136"/>
  <c r="D207" i="136"/>
  <c r="C207" i="136"/>
  <c r="E206" i="136"/>
  <c r="D206" i="136"/>
  <c r="C206" i="136"/>
  <c r="E205" i="136"/>
  <c r="D205" i="136"/>
  <c r="C205" i="136"/>
  <c r="E201" i="136"/>
  <c r="D201" i="136"/>
  <c r="C201" i="136"/>
  <c r="E200" i="136"/>
  <c r="D200" i="136"/>
  <c r="C200" i="136"/>
  <c r="E199" i="136"/>
  <c r="D199" i="136"/>
  <c r="C199" i="136"/>
  <c r="E198" i="136"/>
  <c r="D198" i="136"/>
  <c r="C198" i="136"/>
  <c r="E197" i="136"/>
  <c r="D197" i="136"/>
  <c r="C197" i="136"/>
  <c r="E196" i="136"/>
  <c r="D196" i="136"/>
  <c r="C196" i="136"/>
  <c r="E195" i="136"/>
  <c r="D195" i="136"/>
  <c r="C195" i="136"/>
  <c r="E194" i="136"/>
  <c r="D194" i="136"/>
  <c r="C194" i="136"/>
  <c r="E193" i="136"/>
  <c r="D193" i="136"/>
  <c r="C193" i="136"/>
  <c r="E192" i="136"/>
  <c r="D192" i="136"/>
  <c r="C192" i="136"/>
  <c r="E191" i="136"/>
  <c r="D191" i="136"/>
  <c r="C191" i="136"/>
  <c r="E190" i="136"/>
  <c r="D190" i="136"/>
  <c r="C190" i="136"/>
  <c r="E189" i="136"/>
  <c r="D189" i="136"/>
  <c r="C189" i="136"/>
  <c r="E188" i="136"/>
  <c r="D188" i="136"/>
  <c r="C188" i="136"/>
  <c r="E187" i="136"/>
  <c r="D187" i="136"/>
  <c r="C187" i="136"/>
  <c r="E186" i="136"/>
  <c r="D186" i="136"/>
  <c r="C186" i="136"/>
  <c r="E185" i="136"/>
  <c r="D185" i="136"/>
  <c r="C185" i="136"/>
  <c r="E184" i="136"/>
  <c r="D184" i="136"/>
  <c r="C184" i="136"/>
  <c r="E183" i="136"/>
  <c r="D183" i="136"/>
  <c r="C183" i="136"/>
  <c r="E182" i="136"/>
  <c r="D182" i="136"/>
  <c r="C182" i="136"/>
  <c r="E181" i="136"/>
  <c r="D181" i="136"/>
  <c r="C181" i="136"/>
  <c r="E180" i="136"/>
  <c r="D180" i="136"/>
  <c r="C180" i="136"/>
  <c r="E179" i="136"/>
  <c r="D179" i="136"/>
  <c r="C179" i="136"/>
  <c r="E178" i="136"/>
  <c r="D178" i="136"/>
  <c r="C178" i="136"/>
  <c r="E177" i="136"/>
  <c r="D177" i="136"/>
  <c r="C177" i="136"/>
  <c r="E176" i="136"/>
  <c r="D176" i="136"/>
  <c r="C176" i="136"/>
  <c r="E175" i="136"/>
  <c r="D175" i="136"/>
  <c r="C175" i="136"/>
  <c r="E174" i="136"/>
  <c r="D174" i="136"/>
  <c r="C174" i="136"/>
  <c r="E173" i="136"/>
  <c r="D173" i="136"/>
  <c r="C173" i="136"/>
  <c r="E172" i="136"/>
  <c r="D172" i="136"/>
  <c r="C172" i="136"/>
  <c r="E171" i="136"/>
  <c r="D171" i="136"/>
  <c r="C171" i="136"/>
  <c r="E170" i="136"/>
  <c r="D170" i="136"/>
  <c r="C170" i="136"/>
  <c r="E169" i="136"/>
  <c r="D169" i="136"/>
  <c r="C169" i="136"/>
  <c r="E165" i="136"/>
  <c r="D165" i="136"/>
  <c r="C165" i="136"/>
  <c r="E164" i="136"/>
  <c r="D164" i="136"/>
  <c r="C164" i="136"/>
  <c r="E163" i="136"/>
  <c r="D163" i="136"/>
  <c r="C163" i="136"/>
  <c r="E162" i="136"/>
  <c r="D162" i="136"/>
  <c r="C162" i="136"/>
  <c r="E161" i="136"/>
  <c r="D161" i="136"/>
  <c r="C161" i="136"/>
  <c r="E160" i="136"/>
  <c r="D160" i="136"/>
  <c r="C160" i="136"/>
  <c r="E158" i="136"/>
  <c r="D158" i="136"/>
  <c r="C158" i="136"/>
  <c r="E157" i="136"/>
  <c r="D157" i="136"/>
  <c r="C157" i="136"/>
  <c r="E156" i="136"/>
  <c r="D156" i="136"/>
  <c r="C156" i="136"/>
  <c r="E155" i="136"/>
  <c r="D155" i="136"/>
  <c r="C155" i="136"/>
  <c r="E154" i="136"/>
  <c r="D154" i="136"/>
  <c r="C154" i="136"/>
  <c r="E153" i="136"/>
  <c r="D153" i="136"/>
  <c r="C153" i="136"/>
  <c r="E152" i="136"/>
  <c r="D152" i="136"/>
  <c r="C152" i="136"/>
  <c r="E151" i="136"/>
  <c r="D151" i="136"/>
  <c r="C151" i="136"/>
  <c r="E150" i="136"/>
  <c r="D150" i="136"/>
  <c r="C150" i="136"/>
  <c r="E148" i="136"/>
  <c r="D148" i="136"/>
  <c r="C148" i="136"/>
  <c r="E147" i="136"/>
  <c r="D147" i="136"/>
  <c r="C147" i="136"/>
  <c r="E146" i="136"/>
  <c r="D146" i="136"/>
  <c r="C146" i="136"/>
  <c r="E145" i="136"/>
  <c r="D145" i="136"/>
  <c r="C145" i="136"/>
  <c r="E143" i="136"/>
  <c r="D143" i="136"/>
  <c r="C143" i="136"/>
  <c r="E142" i="136"/>
  <c r="D142" i="136"/>
  <c r="C142" i="136"/>
  <c r="E141" i="136"/>
  <c r="D141" i="136"/>
  <c r="C141" i="136"/>
  <c r="E140" i="136"/>
  <c r="D140" i="136"/>
  <c r="C140" i="136"/>
  <c r="E138" i="136"/>
  <c r="D138" i="136"/>
  <c r="C138" i="136"/>
  <c r="E137" i="136"/>
  <c r="D137" i="136"/>
  <c r="C137" i="136"/>
  <c r="E136" i="136"/>
  <c r="D136" i="136"/>
  <c r="C136" i="136"/>
  <c r="E135" i="136"/>
  <c r="D135" i="136"/>
  <c r="C135" i="136"/>
  <c r="E134" i="136"/>
  <c r="D134" i="136"/>
  <c r="C134" i="136"/>
  <c r="E132" i="136"/>
  <c r="D132" i="136"/>
  <c r="C132" i="136"/>
  <c r="E131" i="136"/>
  <c r="D131" i="136"/>
  <c r="C131" i="136"/>
  <c r="E130" i="136"/>
  <c r="D130" i="136"/>
  <c r="C130" i="136"/>
  <c r="E129" i="136"/>
  <c r="D129" i="136"/>
  <c r="C129" i="136"/>
  <c r="E128" i="136"/>
  <c r="D128" i="136"/>
  <c r="C128" i="136"/>
  <c r="E123" i="136"/>
  <c r="D123" i="136"/>
  <c r="C123" i="136"/>
  <c r="E122" i="136"/>
  <c r="D122" i="136"/>
  <c r="C122" i="136"/>
  <c r="E121" i="136"/>
  <c r="D121" i="136"/>
  <c r="C121" i="136"/>
  <c r="E120" i="136"/>
  <c r="D120" i="136"/>
  <c r="C120" i="136"/>
  <c r="E119" i="136"/>
  <c r="D119" i="136"/>
  <c r="C119" i="136"/>
  <c r="E115" i="136"/>
  <c r="D115" i="136"/>
  <c r="C115" i="136"/>
  <c r="E114" i="136"/>
  <c r="D114" i="136"/>
  <c r="C114" i="136"/>
  <c r="E113" i="136"/>
  <c r="D113" i="136"/>
  <c r="C113" i="136"/>
  <c r="E112" i="136"/>
  <c r="D112" i="136"/>
  <c r="C112" i="136"/>
  <c r="E111" i="136"/>
  <c r="D111" i="136"/>
  <c r="C111" i="136"/>
  <c r="E110" i="136"/>
  <c r="D110" i="136"/>
  <c r="C110" i="136"/>
  <c r="E106" i="136"/>
  <c r="D106" i="136"/>
  <c r="C106" i="136"/>
  <c r="E105" i="136"/>
  <c r="D105" i="136"/>
  <c r="C105" i="136"/>
  <c r="E104" i="136"/>
  <c r="D104" i="136"/>
  <c r="C104" i="136"/>
  <c r="E103" i="136"/>
  <c r="D103" i="136"/>
  <c r="C103" i="136"/>
  <c r="E102" i="136"/>
  <c r="D102" i="136"/>
  <c r="C102" i="136"/>
  <c r="E101" i="136"/>
  <c r="D101" i="136"/>
  <c r="C101" i="136"/>
  <c r="E97" i="136"/>
  <c r="D97" i="136"/>
  <c r="C97" i="136"/>
  <c r="E96" i="136"/>
  <c r="D96" i="136"/>
  <c r="C96" i="136"/>
  <c r="E95" i="136"/>
  <c r="D95" i="136"/>
  <c r="C95" i="136"/>
  <c r="E94" i="136"/>
  <c r="D94" i="136"/>
  <c r="C94" i="136"/>
  <c r="E93" i="136"/>
  <c r="D93" i="136"/>
  <c r="C93" i="136"/>
  <c r="E92" i="136"/>
  <c r="D92" i="136"/>
  <c r="C92" i="136"/>
  <c r="E91" i="136"/>
  <c r="D91" i="136"/>
  <c r="C91" i="136"/>
  <c r="E90" i="136"/>
  <c r="D90" i="136"/>
  <c r="C90" i="136"/>
  <c r="E89" i="136"/>
  <c r="D89" i="136"/>
  <c r="C89" i="136"/>
  <c r="E88" i="136"/>
  <c r="D88" i="136"/>
  <c r="C88" i="136"/>
  <c r="E87" i="136"/>
  <c r="D87" i="136"/>
  <c r="C87" i="136"/>
  <c r="E83" i="136"/>
  <c r="D83" i="136"/>
  <c r="C83" i="136"/>
  <c r="E82" i="136"/>
  <c r="D82" i="136"/>
  <c r="C82" i="136"/>
  <c r="E81" i="136"/>
  <c r="D81" i="136"/>
  <c r="C81" i="136"/>
  <c r="E80" i="136"/>
  <c r="D80" i="136"/>
  <c r="C80" i="136"/>
  <c r="E79" i="136"/>
  <c r="D79" i="136"/>
  <c r="C79" i="136"/>
  <c r="E78" i="136"/>
  <c r="D78" i="136"/>
  <c r="C78" i="136"/>
  <c r="E77" i="136"/>
  <c r="D77" i="136"/>
  <c r="C77" i="136"/>
  <c r="E76" i="136"/>
  <c r="D76" i="136"/>
  <c r="C76" i="136"/>
  <c r="E75" i="136"/>
  <c r="D75" i="136"/>
  <c r="C75" i="136"/>
  <c r="E74" i="136"/>
  <c r="D74" i="136"/>
  <c r="C74" i="136"/>
  <c r="E73" i="136"/>
  <c r="D73" i="136"/>
  <c r="C73" i="136"/>
  <c r="E72" i="136"/>
  <c r="D72" i="136"/>
  <c r="C72" i="136"/>
  <c r="E71" i="136"/>
  <c r="D71" i="136"/>
  <c r="C71" i="136"/>
  <c r="E70" i="136"/>
  <c r="D70" i="136"/>
  <c r="C70" i="136"/>
  <c r="E69" i="136"/>
  <c r="D69" i="136"/>
  <c r="C69" i="136"/>
  <c r="E65" i="136"/>
  <c r="D65" i="136"/>
  <c r="C65" i="136"/>
  <c r="E64" i="136"/>
  <c r="D64" i="136"/>
  <c r="C64" i="136"/>
  <c r="E63" i="136"/>
  <c r="D63" i="136"/>
  <c r="C63" i="136"/>
  <c r="E62" i="136"/>
  <c r="D62" i="136"/>
  <c r="C62" i="136"/>
  <c r="E61" i="136"/>
  <c r="D61" i="136"/>
  <c r="C61" i="136"/>
  <c r="E60" i="136"/>
  <c r="D60" i="136"/>
  <c r="C60" i="136"/>
  <c r="E59" i="136"/>
  <c r="D59" i="136"/>
  <c r="C59" i="136"/>
  <c r="E58" i="136"/>
  <c r="D58" i="136"/>
  <c r="C58" i="136"/>
  <c r="E57" i="136"/>
  <c r="D57" i="136"/>
  <c r="C57" i="136"/>
  <c r="E56" i="136"/>
  <c r="D56" i="136"/>
  <c r="C56" i="136"/>
  <c r="E55" i="136"/>
  <c r="D55" i="136"/>
  <c r="C55" i="136"/>
  <c r="E54" i="136"/>
  <c r="D54" i="136"/>
  <c r="C54" i="136"/>
  <c r="E53" i="136"/>
  <c r="D53" i="136"/>
  <c r="C53" i="136"/>
  <c r="E52" i="136"/>
  <c r="D52" i="136"/>
  <c r="C52" i="136"/>
  <c r="E51" i="136"/>
  <c r="D51" i="136"/>
  <c r="C51" i="136"/>
  <c r="E50" i="136"/>
  <c r="D50" i="136"/>
  <c r="C50" i="136"/>
  <c r="E49" i="136"/>
  <c r="D49" i="136"/>
  <c r="C49" i="136"/>
  <c r="E48" i="136"/>
  <c r="D48" i="136"/>
  <c r="C48" i="136"/>
  <c r="E47" i="136"/>
  <c r="D47" i="136"/>
  <c r="C47" i="136"/>
  <c r="E46" i="136"/>
  <c r="D46" i="136"/>
  <c r="C46" i="136"/>
  <c r="E45" i="136"/>
  <c r="D45" i="136"/>
  <c r="C45" i="136"/>
  <c r="E44" i="136"/>
  <c r="D44" i="136"/>
  <c r="C44" i="136"/>
  <c r="E43" i="136"/>
  <c r="D43" i="136"/>
  <c r="C43" i="136"/>
  <c r="E42" i="136"/>
  <c r="D42" i="136"/>
  <c r="C42" i="136"/>
  <c r="E41" i="136"/>
  <c r="D41" i="136"/>
  <c r="C41" i="136"/>
  <c r="E40" i="136"/>
  <c r="D40" i="136"/>
  <c r="C40" i="136"/>
  <c r="E39" i="136"/>
  <c r="D39" i="136"/>
  <c r="C39" i="136"/>
  <c r="E38" i="136"/>
  <c r="D38" i="136"/>
  <c r="C38" i="136"/>
  <c r="E37" i="136"/>
  <c r="D37" i="136"/>
  <c r="C37" i="136"/>
  <c r="E36" i="136"/>
  <c r="D36" i="136"/>
  <c r="C36" i="136"/>
  <c r="E35" i="136"/>
  <c r="D35" i="136"/>
  <c r="C35" i="136"/>
  <c r="E34" i="136"/>
  <c r="D34" i="136"/>
  <c r="C34" i="136"/>
  <c r="E33" i="136"/>
  <c r="D33" i="136"/>
  <c r="C33" i="136"/>
  <c r="E32" i="136"/>
  <c r="D32" i="136"/>
  <c r="C32" i="136"/>
  <c r="E31" i="136"/>
  <c r="D31" i="136"/>
  <c r="C31" i="136"/>
  <c r="E30" i="136"/>
  <c r="D30" i="136"/>
  <c r="C30" i="136"/>
  <c r="D25" i="136"/>
  <c r="C25" i="136"/>
  <c r="D24" i="136"/>
  <c r="C24" i="136"/>
  <c r="D23" i="136"/>
  <c r="C23" i="136"/>
  <c r="D22" i="136"/>
  <c r="C22" i="136"/>
  <c r="D21" i="136"/>
  <c r="C21" i="136"/>
  <c r="D20" i="136"/>
  <c r="C20" i="136"/>
  <c r="D19" i="136"/>
  <c r="C19" i="136"/>
  <c r="C18" i="136"/>
  <c r="D17" i="136"/>
  <c r="C17" i="136"/>
  <c r="D16" i="136"/>
  <c r="C16" i="136"/>
  <c r="D15" i="136"/>
  <c r="C15" i="136"/>
  <c r="D14" i="136"/>
  <c r="C14" i="136"/>
  <c r="D13" i="136"/>
  <c r="C13" i="136"/>
  <c r="D12" i="136"/>
  <c r="C12" i="136"/>
  <c r="C4" i="136"/>
  <c r="C3" i="136"/>
  <c r="C238" i="136" l="1"/>
  <c r="D26" i="136"/>
  <c r="F12" i="136"/>
  <c r="I12" i="136" s="1"/>
  <c r="D98" i="136"/>
  <c r="C107" i="136"/>
  <c r="E166" i="136"/>
  <c r="E202" i="136"/>
  <c r="C233" i="136"/>
  <c r="E84" i="136"/>
  <c r="E107" i="136"/>
  <c r="E98" i="136"/>
  <c r="D107" i="136"/>
  <c r="D116" i="136"/>
  <c r="D124" i="136"/>
  <c r="C202" i="136"/>
  <c r="C211" i="136"/>
  <c r="E211" i="136"/>
  <c r="C84" i="136"/>
  <c r="C116" i="136"/>
  <c r="E116" i="136"/>
  <c r="E124" i="136"/>
  <c r="D211" i="136"/>
  <c r="C26" i="136"/>
  <c r="D84" i="136"/>
  <c r="C98" i="136"/>
  <c r="C124" i="136"/>
  <c r="C166" i="136"/>
  <c r="D166" i="136"/>
  <c r="D202" i="136"/>
  <c r="C66" i="136"/>
  <c r="D66" i="136"/>
  <c r="E66" i="136"/>
  <c r="E213" i="136" l="1"/>
  <c r="E220" i="136" s="1"/>
  <c r="D213" i="136"/>
  <c r="D220" i="136" s="1"/>
  <c r="C213" i="136"/>
  <c r="C217" i="136" s="1"/>
  <c r="C220" i="136" l="1"/>
  <c r="I249" i="43" l="1"/>
  <c r="I248" i="43"/>
  <c r="I247" i="43"/>
  <c r="I246" i="43"/>
  <c r="C243" i="43"/>
  <c r="C242" i="43"/>
  <c r="C241" i="43"/>
  <c r="C240" i="43"/>
  <c r="C237" i="43"/>
  <c r="C236" i="43"/>
  <c r="E233" i="43"/>
  <c r="D233" i="43"/>
  <c r="C232" i="43"/>
  <c r="C231" i="43"/>
  <c r="C230" i="43"/>
  <c r="C229" i="43"/>
  <c r="C228" i="43"/>
  <c r="C227" i="43"/>
  <c r="C226" i="43"/>
  <c r="C225" i="43"/>
  <c r="C224" i="43"/>
  <c r="C216" i="43"/>
  <c r="E210" i="43"/>
  <c r="D210" i="43"/>
  <c r="C210" i="43"/>
  <c r="E209" i="43"/>
  <c r="D209" i="43"/>
  <c r="C209" i="43"/>
  <c r="E208" i="43"/>
  <c r="D208" i="43"/>
  <c r="C208" i="43"/>
  <c r="E207" i="43"/>
  <c r="D207" i="43"/>
  <c r="C207" i="43"/>
  <c r="E206" i="43"/>
  <c r="D206" i="43"/>
  <c r="C206" i="43"/>
  <c r="E205" i="43"/>
  <c r="D205" i="43"/>
  <c r="C205" i="43"/>
  <c r="E201" i="43"/>
  <c r="D201" i="43"/>
  <c r="C201" i="43"/>
  <c r="E200" i="43"/>
  <c r="D200" i="43"/>
  <c r="C200" i="43"/>
  <c r="E199" i="43"/>
  <c r="D199" i="43"/>
  <c r="C199" i="43"/>
  <c r="E198" i="43"/>
  <c r="D198" i="43"/>
  <c r="C198" i="43"/>
  <c r="E197" i="43"/>
  <c r="D197" i="43"/>
  <c r="C197" i="43"/>
  <c r="E196" i="43"/>
  <c r="D196" i="43"/>
  <c r="C196" i="43"/>
  <c r="E195" i="43"/>
  <c r="D195" i="43"/>
  <c r="C195" i="43"/>
  <c r="E194" i="43"/>
  <c r="D194" i="43"/>
  <c r="C194" i="43"/>
  <c r="E193" i="43"/>
  <c r="D193" i="43"/>
  <c r="C193" i="43"/>
  <c r="E192" i="43"/>
  <c r="D192" i="43"/>
  <c r="C192" i="43"/>
  <c r="E191" i="43"/>
  <c r="D191" i="43"/>
  <c r="C191" i="43"/>
  <c r="E190" i="43"/>
  <c r="D190" i="43"/>
  <c r="C190" i="43"/>
  <c r="E189" i="43"/>
  <c r="D189" i="43"/>
  <c r="C189" i="43"/>
  <c r="E188" i="43"/>
  <c r="D188" i="43"/>
  <c r="C188" i="43"/>
  <c r="E187" i="43"/>
  <c r="D187" i="43"/>
  <c r="C187" i="43"/>
  <c r="E186" i="43"/>
  <c r="D186" i="43"/>
  <c r="C186" i="43"/>
  <c r="E185" i="43"/>
  <c r="D185" i="43"/>
  <c r="C185" i="43"/>
  <c r="E184" i="43"/>
  <c r="D184" i="43"/>
  <c r="C184" i="43"/>
  <c r="E183" i="43"/>
  <c r="D183" i="43"/>
  <c r="C183" i="43"/>
  <c r="E182" i="43"/>
  <c r="D182" i="43"/>
  <c r="C182" i="43"/>
  <c r="E181" i="43"/>
  <c r="D181" i="43"/>
  <c r="C181" i="43"/>
  <c r="E180" i="43"/>
  <c r="D180" i="43"/>
  <c r="C180" i="43"/>
  <c r="E179" i="43"/>
  <c r="D179" i="43"/>
  <c r="C179" i="43"/>
  <c r="E178" i="43"/>
  <c r="D178" i="43"/>
  <c r="C178" i="43"/>
  <c r="E177" i="43"/>
  <c r="D177" i="43"/>
  <c r="C177" i="43"/>
  <c r="E176" i="43"/>
  <c r="D176" i="43"/>
  <c r="C176" i="43"/>
  <c r="E175" i="43"/>
  <c r="D175" i="43"/>
  <c r="C175" i="43"/>
  <c r="E174" i="43"/>
  <c r="D174" i="43"/>
  <c r="C174" i="43"/>
  <c r="E173" i="43"/>
  <c r="D173" i="43"/>
  <c r="C173" i="43"/>
  <c r="E172" i="43"/>
  <c r="D172" i="43"/>
  <c r="C172" i="43"/>
  <c r="E171" i="43"/>
  <c r="D171" i="43"/>
  <c r="C171" i="43"/>
  <c r="E170" i="43"/>
  <c r="D170" i="43"/>
  <c r="C170" i="43"/>
  <c r="E169" i="43"/>
  <c r="D169" i="43"/>
  <c r="C169" i="43"/>
  <c r="E165" i="43"/>
  <c r="D165" i="43"/>
  <c r="C165" i="43"/>
  <c r="E164" i="43"/>
  <c r="D164" i="43"/>
  <c r="C164" i="43"/>
  <c r="E163" i="43"/>
  <c r="D163" i="43"/>
  <c r="C163" i="43"/>
  <c r="E162" i="43"/>
  <c r="D162" i="43"/>
  <c r="C162" i="43"/>
  <c r="E161" i="43"/>
  <c r="D161" i="43"/>
  <c r="C161" i="43"/>
  <c r="E160" i="43"/>
  <c r="D160" i="43"/>
  <c r="C160" i="43"/>
  <c r="E158" i="43"/>
  <c r="D158" i="43"/>
  <c r="C158" i="43"/>
  <c r="E157" i="43"/>
  <c r="D157" i="43"/>
  <c r="C157" i="43"/>
  <c r="E156" i="43"/>
  <c r="D156" i="43"/>
  <c r="C156" i="43"/>
  <c r="E155" i="43"/>
  <c r="D155" i="43"/>
  <c r="C155" i="43"/>
  <c r="E154" i="43"/>
  <c r="D154" i="43"/>
  <c r="C154" i="43"/>
  <c r="E153" i="43"/>
  <c r="D153" i="43"/>
  <c r="C153" i="43"/>
  <c r="E152" i="43"/>
  <c r="D152" i="43"/>
  <c r="C152" i="43"/>
  <c r="E151" i="43"/>
  <c r="D151" i="43"/>
  <c r="C151" i="43"/>
  <c r="E150" i="43"/>
  <c r="D150" i="43"/>
  <c r="C150" i="43"/>
  <c r="E148" i="43"/>
  <c r="D148" i="43"/>
  <c r="C148" i="43"/>
  <c r="E147" i="43"/>
  <c r="D147" i="43"/>
  <c r="C147" i="43"/>
  <c r="E146" i="43"/>
  <c r="D146" i="43"/>
  <c r="C146" i="43"/>
  <c r="E145" i="43"/>
  <c r="D145" i="43"/>
  <c r="C145" i="43"/>
  <c r="E143" i="43"/>
  <c r="D143" i="43"/>
  <c r="C143" i="43"/>
  <c r="E142" i="43"/>
  <c r="D142" i="43"/>
  <c r="C142" i="43"/>
  <c r="E141" i="43"/>
  <c r="D141" i="43"/>
  <c r="C141" i="43"/>
  <c r="E140" i="43"/>
  <c r="D140" i="43"/>
  <c r="C140" i="43"/>
  <c r="E138" i="43"/>
  <c r="D138" i="43"/>
  <c r="C138" i="43"/>
  <c r="E137" i="43"/>
  <c r="D137" i="43"/>
  <c r="C137" i="43"/>
  <c r="E136" i="43"/>
  <c r="D136" i="43"/>
  <c r="C136" i="43"/>
  <c r="E135" i="43"/>
  <c r="D135" i="43"/>
  <c r="C135" i="43"/>
  <c r="E134" i="43"/>
  <c r="D134" i="43"/>
  <c r="C134" i="43"/>
  <c r="E132" i="43"/>
  <c r="D132" i="43"/>
  <c r="C132" i="43"/>
  <c r="E131" i="43"/>
  <c r="D131" i="43"/>
  <c r="C131" i="43"/>
  <c r="E130" i="43"/>
  <c r="D130" i="43"/>
  <c r="C130" i="43"/>
  <c r="E129" i="43"/>
  <c r="D129" i="43"/>
  <c r="C129" i="43"/>
  <c r="E128" i="43"/>
  <c r="D128" i="43"/>
  <c r="C128" i="43"/>
  <c r="E123" i="43"/>
  <c r="D123" i="43"/>
  <c r="C123" i="43"/>
  <c r="E122" i="43"/>
  <c r="D122" i="43"/>
  <c r="C122" i="43"/>
  <c r="E121" i="43"/>
  <c r="D121" i="43"/>
  <c r="C121" i="43"/>
  <c r="E120" i="43"/>
  <c r="D120" i="43"/>
  <c r="C120" i="43"/>
  <c r="E119" i="43"/>
  <c r="D119" i="43"/>
  <c r="C119" i="43"/>
  <c r="E115" i="43"/>
  <c r="D115" i="43"/>
  <c r="C115" i="43"/>
  <c r="E114" i="43"/>
  <c r="D114" i="43"/>
  <c r="C114" i="43"/>
  <c r="E113" i="43"/>
  <c r="D113" i="43"/>
  <c r="C113" i="43"/>
  <c r="E112" i="43"/>
  <c r="D112" i="43"/>
  <c r="C112" i="43"/>
  <c r="E111" i="43"/>
  <c r="D111" i="43"/>
  <c r="C111" i="43"/>
  <c r="E110" i="43"/>
  <c r="D110" i="43"/>
  <c r="C110" i="43"/>
  <c r="E106" i="43"/>
  <c r="D106" i="43"/>
  <c r="C106" i="43"/>
  <c r="E105" i="43"/>
  <c r="D105" i="43"/>
  <c r="C105" i="43"/>
  <c r="E104" i="43"/>
  <c r="D104" i="43"/>
  <c r="C104" i="43"/>
  <c r="E103" i="43"/>
  <c r="D103" i="43"/>
  <c r="C103" i="43"/>
  <c r="E102" i="43"/>
  <c r="D102" i="43"/>
  <c r="C102" i="43"/>
  <c r="E101" i="43"/>
  <c r="D101" i="43"/>
  <c r="C101" i="43"/>
  <c r="E97" i="43"/>
  <c r="D97" i="43"/>
  <c r="C97" i="43"/>
  <c r="E96" i="43"/>
  <c r="D96" i="43"/>
  <c r="C96" i="43"/>
  <c r="E95" i="43"/>
  <c r="D95" i="43"/>
  <c r="C95" i="43"/>
  <c r="E94" i="43"/>
  <c r="D94" i="43"/>
  <c r="C94" i="43"/>
  <c r="E93" i="43"/>
  <c r="D93" i="43"/>
  <c r="C93" i="43"/>
  <c r="E92" i="43"/>
  <c r="D92" i="43"/>
  <c r="C92" i="43"/>
  <c r="E91" i="43"/>
  <c r="D91" i="43"/>
  <c r="C91" i="43"/>
  <c r="E90" i="43"/>
  <c r="D90" i="43"/>
  <c r="C90" i="43"/>
  <c r="E89" i="43"/>
  <c r="D89" i="43"/>
  <c r="C89" i="43"/>
  <c r="E88" i="43"/>
  <c r="D88" i="43"/>
  <c r="C88" i="43"/>
  <c r="E87" i="43"/>
  <c r="D87" i="43"/>
  <c r="C87" i="43"/>
  <c r="E83" i="43"/>
  <c r="D83" i="43"/>
  <c r="C83" i="43"/>
  <c r="E82" i="43"/>
  <c r="D82" i="43"/>
  <c r="C82" i="43"/>
  <c r="E81" i="43"/>
  <c r="D81" i="43"/>
  <c r="C81" i="43"/>
  <c r="E80" i="43"/>
  <c r="D80" i="43"/>
  <c r="C80" i="43"/>
  <c r="E79" i="43"/>
  <c r="D79" i="43"/>
  <c r="C79" i="43"/>
  <c r="E78" i="43"/>
  <c r="D78" i="43"/>
  <c r="C78" i="43"/>
  <c r="E77" i="43"/>
  <c r="D77" i="43"/>
  <c r="C77" i="43"/>
  <c r="E76" i="43"/>
  <c r="D76" i="43"/>
  <c r="C76" i="43"/>
  <c r="E75" i="43"/>
  <c r="D75" i="43"/>
  <c r="C75" i="43"/>
  <c r="E74" i="43"/>
  <c r="D74" i="43"/>
  <c r="C74" i="43"/>
  <c r="E73" i="43"/>
  <c r="D73" i="43"/>
  <c r="C73" i="43"/>
  <c r="E72" i="43"/>
  <c r="D72" i="43"/>
  <c r="C72" i="43"/>
  <c r="E71" i="43"/>
  <c r="D71" i="43"/>
  <c r="C71" i="43"/>
  <c r="E70" i="43"/>
  <c r="D70" i="43"/>
  <c r="C70" i="43"/>
  <c r="E69" i="43"/>
  <c r="D69" i="43"/>
  <c r="C69" i="43"/>
  <c r="E65" i="43"/>
  <c r="D65" i="43"/>
  <c r="C65" i="43"/>
  <c r="E64" i="43"/>
  <c r="D64" i="43"/>
  <c r="C64" i="43"/>
  <c r="E63" i="43"/>
  <c r="D63" i="43"/>
  <c r="C63" i="43"/>
  <c r="E62" i="43"/>
  <c r="D62" i="43"/>
  <c r="C62" i="43"/>
  <c r="E61" i="43"/>
  <c r="D61" i="43"/>
  <c r="C61" i="43"/>
  <c r="E60" i="43"/>
  <c r="D60" i="43"/>
  <c r="C60" i="43"/>
  <c r="E59" i="43"/>
  <c r="D59" i="43"/>
  <c r="C59" i="43"/>
  <c r="E58" i="43"/>
  <c r="D58" i="43"/>
  <c r="C58" i="43"/>
  <c r="E57" i="43"/>
  <c r="D57" i="43"/>
  <c r="C57" i="43"/>
  <c r="E56" i="43"/>
  <c r="D56" i="43"/>
  <c r="C56" i="43"/>
  <c r="E55" i="43"/>
  <c r="D55" i="43"/>
  <c r="C55" i="43"/>
  <c r="E54" i="43"/>
  <c r="D54" i="43"/>
  <c r="C54" i="43"/>
  <c r="E53" i="43"/>
  <c r="D53" i="43"/>
  <c r="C53" i="43"/>
  <c r="E52" i="43"/>
  <c r="D52" i="43"/>
  <c r="C52" i="43"/>
  <c r="E51" i="43"/>
  <c r="D51" i="43"/>
  <c r="C51" i="43"/>
  <c r="E50" i="43"/>
  <c r="D50" i="43"/>
  <c r="C50" i="43"/>
  <c r="E49" i="43"/>
  <c r="D49" i="43"/>
  <c r="C49" i="43"/>
  <c r="E48" i="43"/>
  <c r="D48" i="43"/>
  <c r="C48" i="43"/>
  <c r="E47" i="43"/>
  <c r="D47" i="43"/>
  <c r="C47" i="43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D25" i="43"/>
  <c r="C25" i="43"/>
  <c r="D24" i="43"/>
  <c r="C24" i="43"/>
  <c r="D23" i="43"/>
  <c r="C23" i="43"/>
  <c r="D22" i="43"/>
  <c r="C22" i="43"/>
  <c r="D21" i="43"/>
  <c r="C21" i="43"/>
  <c r="D20" i="43"/>
  <c r="C20" i="43"/>
  <c r="D19" i="43"/>
  <c r="C19" i="43"/>
  <c r="D18" i="43"/>
  <c r="C18" i="43"/>
  <c r="D17" i="43"/>
  <c r="C17" i="43"/>
  <c r="D16" i="43"/>
  <c r="C16" i="43"/>
  <c r="D15" i="43"/>
  <c r="C15" i="43"/>
  <c r="D14" i="43"/>
  <c r="C14" i="43"/>
  <c r="D13" i="43"/>
  <c r="C13" i="43"/>
  <c r="D12" i="43"/>
  <c r="C12" i="43"/>
  <c r="C4" i="43"/>
  <c r="C3" i="43"/>
  <c r="D26" i="43" l="1"/>
  <c r="F12" i="43"/>
  <c r="I12" i="43" s="1"/>
  <c r="C238" i="43"/>
  <c r="C26" i="43"/>
  <c r="D84" i="43"/>
  <c r="C98" i="43"/>
  <c r="C124" i="43"/>
  <c r="C166" i="43"/>
  <c r="D166" i="43"/>
  <c r="D202" i="43"/>
  <c r="E211" i="43"/>
  <c r="E84" i="43"/>
  <c r="D98" i="43"/>
  <c r="C107" i="43"/>
  <c r="E107" i="43"/>
  <c r="E166" i="43"/>
  <c r="E202" i="43"/>
  <c r="E98" i="43"/>
  <c r="D107" i="43"/>
  <c r="D116" i="43"/>
  <c r="E116" i="43"/>
  <c r="D124" i="43"/>
  <c r="C202" i="43"/>
  <c r="C211" i="43"/>
  <c r="C233" i="43"/>
  <c r="C84" i="43"/>
  <c r="C116" i="43"/>
  <c r="E124" i="43"/>
  <c r="D211" i="43"/>
  <c r="C66" i="43"/>
  <c r="D66" i="43"/>
  <c r="E66" i="43"/>
  <c r="D213" i="43" l="1"/>
  <c r="D220" i="43" s="1"/>
  <c r="C213" i="43"/>
  <c r="C217" i="43" s="1"/>
  <c r="E213" i="43"/>
  <c r="E220" i="43" s="1"/>
  <c r="C220" i="43" l="1"/>
  <c r="I249" i="152"/>
  <c r="I248" i="152"/>
  <c r="I247" i="152"/>
  <c r="I246" i="152"/>
  <c r="C243" i="152"/>
  <c r="C242" i="152"/>
  <c r="C241" i="152"/>
  <c r="C240" i="152"/>
  <c r="C237" i="152"/>
  <c r="C236" i="152"/>
  <c r="E233" i="152"/>
  <c r="D233" i="152"/>
  <c r="C232" i="152"/>
  <c r="C231" i="152"/>
  <c r="C230" i="152"/>
  <c r="C229" i="152"/>
  <c r="C228" i="152"/>
  <c r="C227" i="152"/>
  <c r="C226" i="152"/>
  <c r="C225" i="152"/>
  <c r="C224" i="152"/>
  <c r="C216" i="152"/>
  <c r="E210" i="152"/>
  <c r="D210" i="152"/>
  <c r="C210" i="152"/>
  <c r="E209" i="152"/>
  <c r="D209" i="152"/>
  <c r="C209" i="152"/>
  <c r="E208" i="152"/>
  <c r="D208" i="152"/>
  <c r="C208" i="152"/>
  <c r="E207" i="152"/>
  <c r="D207" i="152"/>
  <c r="C207" i="152"/>
  <c r="E206" i="152"/>
  <c r="D206" i="152"/>
  <c r="C206" i="152"/>
  <c r="E205" i="152"/>
  <c r="D205" i="152"/>
  <c r="C205" i="152"/>
  <c r="E201" i="152"/>
  <c r="D201" i="152"/>
  <c r="C201" i="152"/>
  <c r="E200" i="152"/>
  <c r="D200" i="152"/>
  <c r="C200" i="152"/>
  <c r="E199" i="152"/>
  <c r="D199" i="152"/>
  <c r="C199" i="152"/>
  <c r="E198" i="152"/>
  <c r="D198" i="152"/>
  <c r="C198" i="152"/>
  <c r="E197" i="152"/>
  <c r="D197" i="152"/>
  <c r="C197" i="152"/>
  <c r="E196" i="152"/>
  <c r="D196" i="152"/>
  <c r="C196" i="152"/>
  <c r="E195" i="152"/>
  <c r="D195" i="152"/>
  <c r="C195" i="152"/>
  <c r="E194" i="152"/>
  <c r="D194" i="152"/>
  <c r="C194" i="152"/>
  <c r="E193" i="152"/>
  <c r="D193" i="152"/>
  <c r="C193" i="152"/>
  <c r="E192" i="152"/>
  <c r="D192" i="152"/>
  <c r="C192" i="152"/>
  <c r="E191" i="152"/>
  <c r="D191" i="152"/>
  <c r="C191" i="152"/>
  <c r="E190" i="152"/>
  <c r="D190" i="152"/>
  <c r="C190" i="152"/>
  <c r="E189" i="152"/>
  <c r="D189" i="152"/>
  <c r="C189" i="152"/>
  <c r="E188" i="152"/>
  <c r="D188" i="152"/>
  <c r="C188" i="152"/>
  <c r="E187" i="152"/>
  <c r="D187" i="152"/>
  <c r="C187" i="152"/>
  <c r="E186" i="152"/>
  <c r="D186" i="152"/>
  <c r="C186" i="152"/>
  <c r="E185" i="152"/>
  <c r="D185" i="152"/>
  <c r="C185" i="152"/>
  <c r="E184" i="152"/>
  <c r="D184" i="152"/>
  <c r="C184" i="152"/>
  <c r="E183" i="152"/>
  <c r="D183" i="152"/>
  <c r="C183" i="152"/>
  <c r="E182" i="152"/>
  <c r="D182" i="152"/>
  <c r="C182" i="152"/>
  <c r="E181" i="152"/>
  <c r="D181" i="152"/>
  <c r="C181" i="152"/>
  <c r="E180" i="152"/>
  <c r="D180" i="152"/>
  <c r="C180" i="152"/>
  <c r="E179" i="152"/>
  <c r="D179" i="152"/>
  <c r="C179" i="152"/>
  <c r="E178" i="152"/>
  <c r="D178" i="152"/>
  <c r="C178" i="152"/>
  <c r="E177" i="152"/>
  <c r="D177" i="152"/>
  <c r="C177" i="152"/>
  <c r="E176" i="152"/>
  <c r="D176" i="152"/>
  <c r="C176" i="152"/>
  <c r="E175" i="152"/>
  <c r="D175" i="152"/>
  <c r="C175" i="152"/>
  <c r="E174" i="152"/>
  <c r="D174" i="152"/>
  <c r="C174" i="152"/>
  <c r="E173" i="152"/>
  <c r="D173" i="152"/>
  <c r="C173" i="152"/>
  <c r="E172" i="152"/>
  <c r="D172" i="152"/>
  <c r="C172" i="152"/>
  <c r="E171" i="152"/>
  <c r="D171" i="152"/>
  <c r="C171" i="152"/>
  <c r="E170" i="152"/>
  <c r="D170" i="152"/>
  <c r="C170" i="152"/>
  <c r="E169" i="152"/>
  <c r="D169" i="152"/>
  <c r="C169" i="152"/>
  <c r="E165" i="152"/>
  <c r="D165" i="152"/>
  <c r="C165" i="152"/>
  <c r="E164" i="152"/>
  <c r="D164" i="152"/>
  <c r="C164" i="152"/>
  <c r="E163" i="152"/>
  <c r="D163" i="152"/>
  <c r="C163" i="152"/>
  <c r="E162" i="152"/>
  <c r="D162" i="152"/>
  <c r="C162" i="152"/>
  <c r="E161" i="152"/>
  <c r="D161" i="152"/>
  <c r="C161" i="152"/>
  <c r="E160" i="152"/>
  <c r="D160" i="152"/>
  <c r="C160" i="152"/>
  <c r="E158" i="152"/>
  <c r="D158" i="152"/>
  <c r="C158" i="152"/>
  <c r="E157" i="152"/>
  <c r="D157" i="152"/>
  <c r="C157" i="152"/>
  <c r="E156" i="152"/>
  <c r="D156" i="152"/>
  <c r="C156" i="152"/>
  <c r="E155" i="152"/>
  <c r="D155" i="152"/>
  <c r="C155" i="152"/>
  <c r="E154" i="152"/>
  <c r="D154" i="152"/>
  <c r="C154" i="152"/>
  <c r="E153" i="152"/>
  <c r="D153" i="152"/>
  <c r="C153" i="152"/>
  <c r="E152" i="152"/>
  <c r="D152" i="152"/>
  <c r="C152" i="152"/>
  <c r="E151" i="152"/>
  <c r="D151" i="152"/>
  <c r="C151" i="152"/>
  <c r="E150" i="152"/>
  <c r="D150" i="152"/>
  <c r="C150" i="152"/>
  <c r="E148" i="152"/>
  <c r="D148" i="152"/>
  <c r="C148" i="152"/>
  <c r="E147" i="152"/>
  <c r="D147" i="152"/>
  <c r="C147" i="152"/>
  <c r="E146" i="152"/>
  <c r="D146" i="152"/>
  <c r="C146" i="152"/>
  <c r="E145" i="152"/>
  <c r="D145" i="152"/>
  <c r="C145" i="152"/>
  <c r="E143" i="152"/>
  <c r="D143" i="152"/>
  <c r="C143" i="152"/>
  <c r="E142" i="152"/>
  <c r="D142" i="152"/>
  <c r="C142" i="152"/>
  <c r="E141" i="152"/>
  <c r="D141" i="152"/>
  <c r="C141" i="152"/>
  <c r="E140" i="152"/>
  <c r="D140" i="152"/>
  <c r="C140" i="152"/>
  <c r="E138" i="152"/>
  <c r="D138" i="152"/>
  <c r="C138" i="152"/>
  <c r="E137" i="152"/>
  <c r="D137" i="152"/>
  <c r="C137" i="152"/>
  <c r="E136" i="152"/>
  <c r="D136" i="152"/>
  <c r="C136" i="152"/>
  <c r="E135" i="152"/>
  <c r="D135" i="152"/>
  <c r="C135" i="152"/>
  <c r="E134" i="152"/>
  <c r="D134" i="152"/>
  <c r="C134" i="152"/>
  <c r="E132" i="152"/>
  <c r="D132" i="152"/>
  <c r="C132" i="152"/>
  <c r="E131" i="152"/>
  <c r="D131" i="152"/>
  <c r="C131" i="152"/>
  <c r="E130" i="152"/>
  <c r="D130" i="152"/>
  <c r="C130" i="152"/>
  <c r="E129" i="152"/>
  <c r="D129" i="152"/>
  <c r="C129" i="152"/>
  <c r="E128" i="152"/>
  <c r="D128" i="152"/>
  <c r="C128" i="152"/>
  <c r="E123" i="152"/>
  <c r="D123" i="152"/>
  <c r="C123" i="152"/>
  <c r="E122" i="152"/>
  <c r="D122" i="152"/>
  <c r="C122" i="152"/>
  <c r="E121" i="152"/>
  <c r="D121" i="152"/>
  <c r="C121" i="152"/>
  <c r="E120" i="152"/>
  <c r="D120" i="152"/>
  <c r="C120" i="152"/>
  <c r="E119" i="152"/>
  <c r="D119" i="152"/>
  <c r="C119" i="152"/>
  <c r="E115" i="152"/>
  <c r="D115" i="152"/>
  <c r="C115" i="152"/>
  <c r="E114" i="152"/>
  <c r="D114" i="152"/>
  <c r="C114" i="152"/>
  <c r="E113" i="152"/>
  <c r="D113" i="152"/>
  <c r="C113" i="152"/>
  <c r="E112" i="152"/>
  <c r="D112" i="152"/>
  <c r="C112" i="152"/>
  <c r="E111" i="152"/>
  <c r="D111" i="152"/>
  <c r="C111" i="152"/>
  <c r="E110" i="152"/>
  <c r="D110" i="152"/>
  <c r="C110" i="152"/>
  <c r="E106" i="152"/>
  <c r="D106" i="152"/>
  <c r="C106" i="152"/>
  <c r="E105" i="152"/>
  <c r="D105" i="152"/>
  <c r="C105" i="152"/>
  <c r="E104" i="152"/>
  <c r="D104" i="152"/>
  <c r="C104" i="152"/>
  <c r="E103" i="152"/>
  <c r="D103" i="152"/>
  <c r="C103" i="152"/>
  <c r="E102" i="152"/>
  <c r="D102" i="152"/>
  <c r="C102" i="152"/>
  <c r="E101" i="152"/>
  <c r="D101" i="152"/>
  <c r="C101" i="152"/>
  <c r="E97" i="152"/>
  <c r="D97" i="152"/>
  <c r="C97" i="152"/>
  <c r="E96" i="152"/>
  <c r="D96" i="152"/>
  <c r="C96" i="152"/>
  <c r="E95" i="152"/>
  <c r="D95" i="152"/>
  <c r="C95" i="152"/>
  <c r="E94" i="152"/>
  <c r="D94" i="152"/>
  <c r="C94" i="152"/>
  <c r="E93" i="152"/>
  <c r="D93" i="152"/>
  <c r="C93" i="152"/>
  <c r="E92" i="152"/>
  <c r="D92" i="152"/>
  <c r="C92" i="152"/>
  <c r="E91" i="152"/>
  <c r="D91" i="152"/>
  <c r="C91" i="152"/>
  <c r="E90" i="152"/>
  <c r="D90" i="152"/>
  <c r="C90" i="152"/>
  <c r="E89" i="152"/>
  <c r="D89" i="152"/>
  <c r="C89" i="152"/>
  <c r="E88" i="152"/>
  <c r="D88" i="152"/>
  <c r="C88" i="152"/>
  <c r="E87" i="152"/>
  <c r="D87" i="152"/>
  <c r="C87" i="152"/>
  <c r="E83" i="152"/>
  <c r="C83" i="152"/>
  <c r="E82" i="152"/>
  <c r="D82" i="152"/>
  <c r="C82" i="152"/>
  <c r="E81" i="152"/>
  <c r="D81" i="152"/>
  <c r="C81" i="152"/>
  <c r="E80" i="152"/>
  <c r="D80" i="152"/>
  <c r="C80" i="152"/>
  <c r="E79" i="152"/>
  <c r="D79" i="152"/>
  <c r="C79" i="152"/>
  <c r="E78" i="152"/>
  <c r="D78" i="152"/>
  <c r="C78" i="152"/>
  <c r="E77" i="152"/>
  <c r="D77" i="152"/>
  <c r="C77" i="152"/>
  <c r="E76" i="152"/>
  <c r="D76" i="152"/>
  <c r="C76" i="152"/>
  <c r="E75" i="152"/>
  <c r="D75" i="152"/>
  <c r="C75" i="152"/>
  <c r="E74" i="152"/>
  <c r="D74" i="152"/>
  <c r="C74" i="152"/>
  <c r="E73" i="152"/>
  <c r="D73" i="152"/>
  <c r="C73" i="152"/>
  <c r="E72" i="152"/>
  <c r="D72" i="152"/>
  <c r="C72" i="152"/>
  <c r="E71" i="152"/>
  <c r="D71" i="152"/>
  <c r="C71" i="152"/>
  <c r="E70" i="152"/>
  <c r="D70" i="152"/>
  <c r="C70" i="152"/>
  <c r="E69" i="152"/>
  <c r="D69" i="152"/>
  <c r="C69" i="152"/>
  <c r="E65" i="152"/>
  <c r="D65" i="152"/>
  <c r="C65" i="152"/>
  <c r="E64" i="152"/>
  <c r="D64" i="152"/>
  <c r="C64" i="152"/>
  <c r="E63" i="152"/>
  <c r="D63" i="152"/>
  <c r="C63" i="152"/>
  <c r="E62" i="152"/>
  <c r="D62" i="152"/>
  <c r="C62" i="152"/>
  <c r="E61" i="152"/>
  <c r="D61" i="152"/>
  <c r="C61" i="152"/>
  <c r="E60" i="152"/>
  <c r="D60" i="152"/>
  <c r="C60" i="152"/>
  <c r="E59" i="152"/>
  <c r="D59" i="152"/>
  <c r="C59" i="152"/>
  <c r="E58" i="152"/>
  <c r="D58" i="152"/>
  <c r="C58" i="152"/>
  <c r="E57" i="152"/>
  <c r="D57" i="152"/>
  <c r="C57" i="152"/>
  <c r="E56" i="152"/>
  <c r="D56" i="152"/>
  <c r="C56" i="152"/>
  <c r="E55" i="152"/>
  <c r="D55" i="152"/>
  <c r="C55" i="152"/>
  <c r="E54" i="152"/>
  <c r="D54" i="152"/>
  <c r="C54" i="152"/>
  <c r="E53" i="152"/>
  <c r="D53" i="152"/>
  <c r="C53" i="152"/>
  <c r="E52" i="152"/>
  <c r="D52" i="152"/>
  <c r="C52" i="152"/>
  <c r="E51" i="152"/>
  <c r="D51" i="152"/>
  <c r="C51" i="152"/>
  <c r="E50" i="152"/>
  <c r="D50" i="152"/>
  <c r="C50" i="152"/>
  <c r="E49" i="152"/>
  <c r="D49" i="152"/>
  <c r="C49" i="152"/>
  <c r="E48" i="152"/>
  <c r="D48" i="152"/>
  <c r="C48" i="152"/>
  <c r="E47" i="152"/>
  <c r="D47" i="152"/>
  <c r="C47" i="152"/>
  <c r="E46" i="152"/>
  <c r="D46" i="152"/>
  <c r="C46" i="152"/>
  <c r="E45" i="152"/>
  <c r="D45" i="152"/>
  <c r="C45" i="152"/>
  <c r="E44" i="152"/>
  <c r="D44" i="152"/>
  <c r="C44" i="152"/>
  <c r="E43" i="152"/>
  <c r="D43" i="152"/>
  <c r="C43" i="152"/>
  <c r="E42" i="152"/>
  <c r="D42" i="152"/>
  <c r="C42" i="152"/>
  <c r="E41" i="152"/>
  <c r="D41" i="152"/>
  <c r="C41" i="152"/>
  <c r="E40" i="152"/>
  <c r="D40" i="152"/>
  <c r="C40" i="152"/>
  <c r="E39" i="152"/>
  <c r="D39" i="152"/>
  <c r="C39" i="152"/>
  <c r="E38" i="152"/>
  <c r="D38" i="152"/>
  <c r="C38" i="152"/>
  <c r="E37" i="152"/>
  <c r="D37" i="152"/>
  <c r="C37" i="152"/>
  <c r="E36" i="152"/>
  <c r="D36" i="152"/>
  <c r="C36" i="152"/>
  <c r="E35" i="152"/>
  <c r="D35" i="152"/>
  <c r="C35" i="152"/>
  <c r="E34" i="152"/>
  <c r="D34" i="152"/>
  <c r="C34" i="152"/>
  <c r="E33" i="152"/>
  <c r="D33" i="152"/>
  <c r="C33" i="152"/>
  <c r="E32" i="152"/>
  <c r="D32" i="152"/>
  <c r="C32" i="152"/>
  <c r="E31" i="152"/>
  <c r="D31" i="152"/>
  <c r="C31" i="152"/>
  <c r="E30" i="152"/>
  <c r="D30" i="152"/>
  <c r="C30" i="152"/>
  <c r="D25" i="152"/>
  <c r="C25" i="152"/>
  <c r="D24" i="152"/>
  <c r="C24" i="152"/>
  <c r="D23" i="152"/>
  <c r="C23" i="152"/>
  <c r="D22" i="152"/>
  <c r="C22" i="152"/>
  <c r="D21" i="152"/>
  <c r="C21" i="152"/>
  <c r="D20" i="152"/>
  <c r="C20" i="152"/>
  <c r="D19" i="152"/>
  <c r="C19" i="152"/>
  <c r="D18" i="152"/>
  <c r="C18" i="152"/>
  <c r="D17" i="152"/>
  <c r="C17" i="152"/>
  <c r="D16" i="152"/>
  <c r="C16" i="152"/>
  <c r="D15" i="152"/>
  <c r="C15" i="152"/>
  <c r="D14" i="152"/>
  <c r="C14" i="152"/>
  <c r="D13" i="152"/>
  <c r="C13" i="152"/>
  <c r="D12" i="152"/>
  <c r="C12" i="152"/>
  <c r="F12" i="152" s="1"/>
  <c r="I12" i="152" s="1"/>
  <c r="C26" i="152" l="1"/>
  <c r="D26" i="152"/>
  <c r="C84" i="152"/>
  <c r="E124" i="152"/>
  <c r="C202" i="152"/>
  <c r="D202" i="152"/>
  <c r="E84" i="152"/>
  <c r="D84" i="152"/>
  <c r="C98" i="152"/>
  <c r="E98" i="152"/>
  <c r="C166" i="152"/>
  <c r="D166" i="152"/>
  <c r="D98" i="152"/>
  <c r="C107" i="152"/>
  <c r="D107" i="152"/>
  <c r="E107" i="152"/>
  <c r="E116" i="152"/>
  <c r="C124" i="152"/>
  <c r="E202" i="152"/>
  <c r="C116" i="152"/>
  <c r="D116" i="152"/>
  <c r="D124" i="152"/>
  <c r="E166" i="152"/>
  <c r="C211" i="152"/>
  <c r="D211" i="152"/>
  <c r="E211" i="152"/>
  <c r="C233" i="152"/>
  <c r="C66" i="152"/>
  <c r="D66" i="152"/>
  <c r="E66" i="152"/>
  <c r="C4" i="152"/>
  <c r="C3" i="152"/>
  <c r="D213" i="152" l="1"/>
  <c r="D220" i="152" s="1"/>
  <c r="E213" i="152"/>
  <c r="E220" i="152" s="1"/>
  <c r="C213" i="152"/>
  <c r="C220" i="152" s="1"/>
  <c r="C238" i="152"/>
  <c r="C217" i="152" l="1"/>
  <c r="I249" i="87"/>
  <c r="I248" i="87"/>
  <c r="I247" i="87"/>
  <c r="I246" i="87"/>
  <c r="D18" i="87" l="1"/>
  <c r="C243" i="87"/>
  <c r="C242" i="87"/>
  <c r="C241" i="87"/>
  <c r="C240" i="87"/>
  <c r="C237" i="87"/>
  <c r="C236" i="87"/>
  <c r="E233" i="87"/>
  <c r="D233" i="87"/>
  <c r="C232" i="87"/>
  <c r="C231" i="87"/>
  <c r="C230" i="87"/>
  <c r="C229" i="87"/>
  <c r="C228" i="87"/>
  <c r="C227" i="87"/>
  <c r="C226" i="87"/>
  <c r="C225" i="87"/>
  <c r="C224" i="87"/>
  <c r="C216" i="87"/>
  <c r="E210" i="87"/>
  <c r="D210" i="87"/>
  <c r="C210" i="87"/>
  <c r="E209" i="87"/>
  <c r="D209" i="87"/>
  <c r="C209" i="87"/>
  <c r="E208" i="87"/>
  <c r="D208" i="87"/>
  <c r="C208" i="87"/>
  <c r="E207" i="87"/>
  <c r="D207" i="87"/>
  <c r="C207" i="87"/>
  <c r="E206" i="87"/>
  <c r="D206" i="87"/>
  <c r="C206" i="87"/>
  <c r="E205" i="87"/>
  <c r="D205" i="87"/>
  <c r="C205" i="87"/>
  <c r="E201" i="87"/>
  <c r="D201" i="87"/>
  <c r="C201" i="87"/>
  <c r="E200" i="87"/>
  <c r="D200" i="87"/>
  <c r="C200" i="87"/>
  <c r="E199" i="87"/>
  <c r="D199" i="87"/>
  <c r="C199" i="87"/>
  <c r="E198" i="87"/>
  <c r="D198" i="87"/>
  <c r="C198" i="87"/>
  <c r="E197" i="87"/>
  <c r="D197" i="87"/>
  <c r="C197" i="87"/>
  <c r="E196" i="87"/>
  <c r="D196" i="87"/>
  <c r="C196" i="87"/>
  <c r="E195" i="87"/>
  <c r="D195" i="87"/>
  <c r="C195" i="87"/>
  <c r="E194" i="87"/>
  <c r="D194" i="87"/>
  <c r="C194" i="87"/>
  <c r="E193" i="87"/>
  <c r="D193" i="87"/>
  <c r="C193" i="87"/>
  <c r="E192" i="87"/>
  <c r="D192" i="87"/>
  <c r="C192" i="87"/>
  <c r="E191" i="87"/>
  <c r="D191" i="87"/>
  <c r="C191" i="87"/>
  <c r="E190" i="87"/>
  <c r="D190" i="87"/>
  <c r="C190" i="87"/>
  <c r="E189" i="87"/>
  <c r="D189" i="87"/>
  <c r="C189" i="87"/>
  <c r="E188" i="87"/>
  <c r="D188" i="87"/>
  <c r="C188" i="87"/>
  <c r="E187" i="87"/>
  <c r="D187" i="87"/>
  <c r="C187" i="87"/>
  <c r="E186" i="87"/>
  <c r="D186" i="87"/>
  <c r="C186" i="87"/>
  <c r="E185" i="87"/>
  <c r="D185" i="87"/>
  <c r="C185" i="87"/>
  <c r="E184" i="87"/>
  <c r="D184" i="87"/>
  <c r="C184" i="87"/>
  <c r="E183" i="87"/>
  <c r="D183" i="87"/>
  <c r="C183" i="87"/>
  <c r="E182" i="87"/>
  <c r="D182" i="87"/>
  <c r="C182" i="87"/>
  <c r="E181" i="87"/>
  <c r="D181" i="87"/>
  <c r="C181" i="87"/>
  <c r="E180" i="87"/>
  <c r="D180" i="87"/>
  <c r="C180" i="87"/>
  <c r="E179" i="87"/>
  <c r="D179" i="87"/>
  <c r="C179" i="87"/>
  <c r="E178" i="87"/>
  <c r="D178" i="87"/>
  <c r="C178" i="87"/>
  <c r="E177" i="87"/>
  <c r="D177" i="87"/>
  <c r="C177" i="87"/>
  <c r="E176" i="87"/>
  <c r="D176" i="87"/>
  <c r="C176" i="87"/>
  <c r="E175" i="87"/>
  <c r="D175" i="87"/>
  <c r="C175" i="87"/>
  <c r="E174" i="87"/>
  <c r="D174" i="87"/>
  <c r="C174" i="87"/>
  <c r="E173" i="87"/>
  <c r="D173" i="87"/>
  <c r="C173" i="87"/>
  <c r="E172" i="87"/>
  <c r="D172" i="87"/>
  <c r="C172" i="87"/>
  <c r="E171" i="87"/>
  <c r="D171" i="87"/>
  <c r="C171" i="87"/>
  <c r="E170" i="87"/>
  <c r="D170" i="87"/>
  <c r="C170" i="87"/>
  <c r="E169" i="87"/>
  <c r="D169" i="87"/>
  <c r="C169" i="87"/>
  <c r="E165" i="87"/>
  <c r="D165" i="87"/>
  <c r="C165" i="87"/>
  <c r="E164" i="87"/>
  <c r="D164" i="87"/>
  <c r="C164" i="87"/>
  <c r="E163" i="87"/>
  <c r="D163" i="87"/>
  <c r="C163" i="87"/>
  <c r="E162" i="87"/>
  <c r="D162" i="87"/>
  <c r="C162" i="87"/>
  <c r="E161" i="87"/>
  <c r="D161" i="87"/>
  <c r="C161" i="87"/>
  <c r="E160" i="87"/>
  <c r="D160" i="87"/>
  <c r="C160" i="87"/>
  <c r="E158" i="87"/>
  <c r="D158" i="87"/>
  <c r="C158" i="87"/>
  <c r="E157" i="87"/>
  <c r="D157" i="87"/>
  <c r="C157" i="87"/>
  <c r="E156" i="87"/>
  <c r="D156" i="87"/>
  <c r="C156" i="87"/>
  <c r="E155" i="87"/>
  <c r="D155" i="87"/>
  <c r="C155" i="87"/>
  <c r="E154" i="87"/>
  <c r="D154" i="87"/>
  <c r="C154" i="87"/>
  <c r="E153" i="87"/>
  <c r="D153" i="87"/>
  <c r="C153" i="87"/>
  <c r="E152" i="87"/>
  <c r="D152" i="87"/>
  <c r="C152" i="87"/>
  <c r="E151" i="87"/>
  <c r="D151" i="87"/>
  <c r="C151" i="87"/>
  <c r="E150" i="87"/>
  <c r="D150" i="87"/>
  <c r="C150" i="87"/>
  <c r="E148" i="87"/>
  <c r="D148" i="87"/>
  <c r="C148" i="87"/>
  <c r="E147" i="87"/>
  <c r="D147" i="87"/>
  <c r="C147" i="87"/>
  <c r="E146" i="87"/>
  <c r="D146" i="87"/>
  <c r="C146" i="87"/>
  <c r="E145" i="87"/>
  <c r="D145" i="87"/>
  <c r="C145" i="87"/>
  <c r="E143" i="87"/>
  <c r="D143" i="87"/>
  <c r="C143" i="87"/>
  <c r="E142" i="87"/>
  <c r="D142" i="87"/>
  <c r="C142" i="87"/>
  <c r="E141" i="87"/>
  <c r="D141" i="87"/>
  <c r="C141" i="87"/>
  <c r="E140" i="87"/>
  <c r="D140" i="87"/>
  <c r="C140" i="87"/>
  <c r="E138" i="87"/>
  <c r="D138" i="87"/>
  <c r="C138" i="87"/>
  <c r="E137" i="87"/>
  <c r="D137" i="87"/>
  <c r="C137" i="87"/>
  <c r="E136" i="87"/>
  <c r="D136" i="87"/>
  <c r="C136" i="87"/>
  <c r="E135" i="87"/>
  <c r="D135" i="87"/>
  <c r="C135" i="87"/>
  <c r="E134" i="87"/>
  <c r="D134" i="87"/>
  <c r="C134" i="87"/>
  <c r="E132" i="87"/>
  <c r="D132" i="87"/>
  <c r="C132" i="87"/>
  <c r="E131" i="87"/>
  <c r="D131" i="87"/>
  <c r="C131" i="87"/>
  <c r="E130" i="87"/>
  <c r="D130" i="87"/>
  <c r="C130" i="87"/>
  <c r="E129" i="87"/>
  <c r="D129" i="87"/>
  <c r="C129" i="87"/>
  <c r="E128" i="87"/>
  <c r="D128" i="87"/>
  <c r="C128" i="87"/>
  <c r="E123" i="87"/>
  <c r="D123" i="87"/>
  <c r="C123" i="87"/>
  <c r="E122" i="87"/>
  <c r="D122" i="87"/>
  <c r="C122" i="87"/>
  <c r="E121" i="87"/>
  <c r="D121" i="87"/>
  <c r="C121" i="87"/>
  <c r="E120" i="87"/>
  <c r="D120" i="87"/>
  <c r="C120" i="87"/>
  <c r="E119" i="87"/>
  <c r="D119" i="87"/>
  <c r="C119" i="87"/>
  <c r="E115" i="87"/>
  <c r="D115" i="87"/>
  <c r="C115" i="87"/>
  <c r="E114" i="87"/>
  <c r="D114" i="87"/>
  <c r="C114" i="87"/>
  <c r="E113" i="87"/>
  <c r="D113" i="87"/>
  <c r="C113" i="87"/>
  <c r="E112" i="87"/>
  <c r="D112" i="87"/>
  <c r="C112" i="87"/>
  <c r="E111" i="87"/>
  <c r="D111" i="87"/>
  <c r="C111" i="87"/>
  <c r="E110" i="87"/>
  <c r="D110" i="87"/>
  <c r="C110" i="87"/>
  <c r="E106" i="87"/>
  <c r="D106" i="87"/>
  <c r="C106" i="87"/>
  <c r="E105" i="87"/>
  <c r="D105" i="87"/>
  <c r="C105" i="87"/>
  <c r="E104" i="87"/>
  <c r="D104" i="87"/>
  <c r="C104" i="87"/>
  <c r="E103" i="87"/>
  <c r="D103" i="87"/>
  <c r="C103" i="87"/>
  <c r="E102" i="87"/>
  <c r="D102" i="87"/>
  <c r="C102" i="87"/>
  <c r="E101" i="87"/>
  <c r="D101" i="87"/>
  <c r="C101" i="87"/>
  <c r="E97" i="87"/>
  <c r="D97" i="87"/>
  <c r="C97" i="87"/>
  <c r="E96" i="87"/>
  <c r="D96" i="87"/>
  <c r="C96" i="87"/>
  <c r="E95" i="87"/>
  <c r="D95" i="87"/>
  <c r="C95" i="87"/>
  <c r="E94" i="87"/>
  <c r="D94" i="87"/>
  <c r="C94" i="87"/>
  <c r="E93" i="87"/>
  <c r="D93" i="87"/>
  <c r="C93" i="87"/>
  <c r="E92" i="87"/>
  <c r="D92" i="87"/>
  <c r="C92" i="87"/>
  <c r="E91" i="87"/>
  <c r="D91" i="87"/>
  <c r="C91" i="87"/>
  <c r="E90" i="87"/>
  <c r="D90" i="87"/>
  <c r="C90" i="87"/>
  <c r="E89" i="87"/>
  <c r="D89" i="87"/>
  <c r="C89" i="87"/>
  <c r="E88" i="87"/>
  <c r="D88" i="87"/>
  <c r="C88" i="87"/>
  <c r="E87" i="87"/>
  <c r="D87" i="87"/>
  <c r="C87" i="87"/>
  <c r="E83" i="87"/>
  <c r="D83" i="87"/>
  <c r="C83" i="87"/>
  <c r="E82" i="87"/>
  <c r="D82" i="87"/>
  <c r="C82" i="87"/>
  <c r="E81" i="87"/>
  <c r="D81" i="87"/>
  <c r="C81" i="87"/>
  <c r="E80" i="87"/>
  <c r="D80" i="87"/>
  <c r="C80" i="87"/>
  <c r="E79" i="87"/>
  <c r="D79" i="87"/>
  <c r="C79" i="87"/>
  <c r="E78" i="87"/>
  <c r="D78" i="87"/>
  <c r="C78" i="87"/>
  <c r="E77" i="87"/>
  <c r="D77" i="87"/>
  <c r="C77" i="87"/>
  <c r="E76" i="87"/>
  <c r="D76" i="87"/>
  <c r="C76" i="87"/>
  <c r="E75" i="87"/>
  <c r="D75" i="87"/>
  <c r="C75" i="87"/>
  <c r="E74" i="87"/>
  <c r="D74" i="87"/>
  <c r="C74" i="87"/>
  <c r="E73" i="87"/>
  <c r="D73" i="87"/>
  <c r="C73" i="87"/>
  <c r="E72" i="87"/>
  <c r="D72" i="87"/>
  <c r="C72" i="87"/>
  <c r="E71" i="87"/>
  <c r="D71" i="87"/>
  <c r="C71" i="87"/>
  <c r="E70" i="87"/>
  <c r="D70" i="87"/>
  <c r="C70" i="87"/>
  <c r="E69" i="87"/>
  <c r="D69" i="87"/>
  <c r="C69" i="87"/>
  <c r="E65" i="87"/>
  <c r="D65" i="87"/>
  <c r="C65" i="87"/>
  <c r="E64" i="87"/>
  <c r="D64" i="87"/>
  <c r="C64" i="87"/>
  <c r="E63" i="87"/>
  <c r="D63" i="87"/>
  <c r="C63" i="87"/>
  <c r="E62" i="87"/>
  <c r="D62" i="87"/>
  <c r="C62" i="87"/>
  <c r="E61" i="87"/>
  <c r="D61" i="87"/>
  <c r="C61" i="87"/>
  <c r="E60" i="87"/>
  <c r="D60" i="87"/>
  <c r="C60" i="87"/>
  <c r="E59" i="87"/>
  <c r="D59" i="87"/>
  <c r="C59" i="87"/>
  <c r="E58" i="87"/>
  <c r="D58" i="87"/>
  <c r="C58" i="87"/>
  <c r="E57" i="87"/>
  <c r="D57" i="87"/>
  <c r="C57" i="87"/>
  <c r="E56" i="87"/>
  <c r="D56" i="87"/>
  <c r="C56" i="87"/>
  <c r="E55" i="87"/>
  <c r="D55" i="87"/>
  <c r="C55" i="87"/>
  <c r="E54" i="87"/>
  <c r="D54" i="87"/>
  <c r="C54" i="87"/>
  <c r="E53" i="87"/>
  <c r="D53" i="87"/>
  <c r="C53" i="87"/>
  <c r="E52" i="87"/>
  <c r="D52" i="87"/>
  <c r="C52" i="87"/>
  <c r="E51" i="87"/>
  <c r="D51" i="87"/>
  <c r="C51" i="87"/>
  <c r="E50" i="87"/>
  <c r="D50" i="87"/>
  <c r="C50" i="87"/>
  <c r="E49" i="87"/>
  <c r="D49" i="87"/>
  <c r="C49" i="87"/>
  <c r="E48" i="87"/>
  <c r="D48" i="87"/>
  <c r="C48" i="87"/>
  <c r="E47" i="87"/>
  <c r="D47" i="87"/>
  <c r="C47" i="87"/>
  <c r="E46" i="87"/>
  <c r="D46" i="87"/>
  <c r="C46" i="87"/>
  <c r="E45" i="87"/>
  <c r="D45" i="87"/>
  <c r="C45" i="87"/>
  <c r="E44" i="87"/>
  <c r="D44" i="87"/>
  <c r="C44" i="87"/>
  <c r="E43" i="87"/>
  <c r="D43" i="87"/>
  <c r="C43" i="87"/>
  <c r="E42" i="87"/>
  <c r="D42" i="87"/>
  <c r="C42" i="87"/>
  <c r="E41" i="87"/>
  <c r="D41" i="87"/>
  <c r="C41" i="87"/>
  <c r="E40" i="87"/>
  <c r="D40" i="87"/>
  <c r="C40" i="87"/>
  <c r="E39" i="87"/>
  <c r="D39" i="87"/>
  <c r="C39" i="87"/>
  <c r="E38" i="87"/>
  <c r="D38" i="87"/>
  <c r="C38" i="87"/>
  <c r="E37" i="87"/>
  <c r="D37" i="87"/>
  <c r="C37" i="87"/>
  <c r="E36" i="87"/>
  <c r="D36" i="87"/>
  <c r="C36" i="87"/>
  <c r="E35" i="87"/>
  <c r="D35" i="87"/>
  <c r="C35" i="87"/>
  <c r="E34" i="87"/>
  <c r="D34" i="87"/>
  <c r="C34" i="87"/>
  <c r="E33" i="87"/>
  <c r="D33" i="87"/>
  <c r="C33" i="87"/>
  <c r="E32" i="87"/>
  <c r="D32" i="87"/>
  <c r="C32" i="87"/>
  <c r="E31" i="87"/>
  <c r="D31" i="87"/>
  <c r="C31" i="87"/>
  <c r="E30" i="87"/>
  <c r="D30" i="87"/>
  <c r="C30" i="87"/>
  <c r="D25" i="87"/>
  <c r="C25" i="87"/>
  <c r="D24" i="87"/>
  <c r="C24" i="87"/>
  <c r="D23" i="87"/>
  <c r="C23" i="87"/>
  <c r="D22" i="87"/>
  <c r="C22" i="87"/>
  <c r="D21" i="87"/>
  <c r="C21" i="87"/>
  <c r="D20" i="87"/>
  <c r="C20" i="87"/>
  <c r="D19" i="87"/>
  <c r="C19" i="87"/>
  <c r="C18" i="87"/>
  <c r="D17" i="87"/>
  <c r="C17" i="87"/>
  <c r="D16" i="87"/>
  <c r="C16" i="87"/>
  <c r="D15" i="87"/>
  <c r="C15" i="87"/>
  <c r="D14" i="87"/>
  <c r="C14" i="87"/>
  <c r="D13" i="87"/>
  <c r="C13" i="87"/>
  <c r="D12" i="87"/>
  <c r="C12" i="87"/>
  <c r="C4" i="87"/>
  <c r="C3" i="87"/>
  <c r="F12" i="87" l="1"/>
  <c r="I12" i="87" s="1"/>
  <c r="D26" i="87"/>
  <c r="C238" i="87"/>
  <c r="E98" i="87"/>
  <c r="D107" i="87"/>
  <c r="D116" i="87"/>
  <c r="C202" i="87"/>
  <c r="C211" i="87"/>
  <c r="E211" i="87"/>
  <c r="C84" i="87"/>
  <c r="C116" i="87"/>
  <c r="E116" i="87"/>
  <c r="E124" i="87"/>
  <c r="D202" i="87"/>
  <c r="D211" i="87"/>
  <c r="C26" i="87"/>
  <c r="D66" i="87"/>
  <c r="D84" i="87"/>
  <c r="C98" i="87"/>
  <c r="C124" i="87"/>
  <c r="C166" i="87"/>
  <c r="D166" i="87"/>
  <c r="E84" i="87"/>
  <c r="D98" i="87"/>
  <c r="C107" i="87"/>
  <c r="E107" i="87"/>
  <c r="D124" i="87"/>
  <c r="E166" i="87"/>
  <c r="E202" i="87"/>
  <c r="C233" i="87"/>
  <c r="C66" i="87"/>
  <c r="E66" i="87"/>
  <c r="E213" i="87" l="1"/>
  <c r="E220" i="87" s="1"/>
  <c r="D213" i="87"/>
  <c r="D220" i="87" s="1"/>
  <c r="C213" i="87"/>
  <c r="C217" i="87" s="1"/>
  <c r="C220" i="87" l="1"/>
  <c r="D18" i="159" l="1"/>
  <c r="I249" i="159"/>
  <c r="I248" i="159"/>
  <c r="I247" i="159"/>
  <c r="I246" i="159"/>
  <c r="C243" i="159"/>
  <c r="C242" i="159"/>
  <c r="C241" i="159"/>
  <c r="C240" i="159"/>
  <c r="C237" i="159"/>
  <c r="C236" i="159"/>
  <c r="E233" i="159"/>
  <c r="D233" i="159"/>
  <c r="C232" i="159"/>
  <c r="C231" i="159"/>
  <c r="C230" i="159"/>
  <c r="C229" i="159"/>
  <c r="C228" i="159"/>
  <c r="C227" i="159"/>
  <c r="C226" i="159"/>
  <c r="C225" i="159"/>
  <c r="C224" i="159"/>
  <c r="C216" i="159"/>
  <c r="E210" i="159"/>
  <c r="D210" i="159"/>
  <c r="C210" i="159"/>
  <c r="E209" i="159"/>
  <c r="D209" i="159"/>
  <c r="C209" i="159"/>
  <c r="E208" i="159"/>
  <c r="D208" i="159"/>
  <c r="C208" i="159"/>
  <c r="E207" i="159"/>
  <c r="D207" i="159"/>
  <c r="C207" i="159"/>
  <c r="E206" i="159"/>
  <c r="D206" i="159"/>
  <c r="C206" i="159"/>
  <c r="E205" i="159"/>
  <c r="D205" i="159"/>
  <c r="C205" i="159"/>
  <c r="E201" i="159"/>
  <c r="D201" i="159"/>
  <c r="C201" i="159"/>
  <c r="E200" i="159"/>
  <c r="D200" i="159"/>
  <c r="C200" i="159"/>
  <c r="E199" i="159"/>
  <c r="D199" i="159"/>
  <c r="C199" i="159"/>
  <c r="E198" i="159"/>
  <c r="D198" i="159"/>
  <c r="C198" i="159"/>
  <c r="E197" i="159"/>
  <c r="D197" i="159"/>
  <c r="C197" i="159"/>
  <c r="E196" i="159"/>
  <c r="D196" i="159"/>
  <c r="C196" i="159"/>
  <c r="E195" i="159"/>
  <c r="D195" i="159"/>
  <c r="C195" i="159"/>
  <c r="E194" i="159"/>
  <c r="D194" i="159"/>
  <c r="C194" i="159"/>
  <c r="E193" i="159"/>
  <c r="D193" i="159"/>
  <c r="C193" i="159"/>
  <c r="E192" i="159"/>
  <c r="D192" i="159"/>
  <c r="C192" i="159"/>
  <c r="E191" i="159"/>
  <c r="D191" i="159"/>
  <c r="C191" i="159"/>
  <c r="E190" i="159"/>
  <c r="D190" i="159"/>
  <c r="C190" i="159"/>
  <c r="E189" i="159"/>
  <c r="D189" i="159"/>
  <c r="C189" i="159"/>
  <c r="E188" i="159"/>
  <c r="D188" i="159"/>
  <c r="C188" i="159"/>
  <c r="E187" i="159"/>
  <c r="D187" i="159"/>
  <c r="C187" i="159"/>
  <c r="E186" i="159"/>
  <c r="D186" i="159"/>
  <c r="C186" i="159"/>
  <c r="E185" i="159"/>
  <c r="D185" i="159"/>
  <c r="C185" i="159"/>
  <c r="E184" i="159"/>
  <c r="D184" i="159"/>
  <c r="C184" i="159"/>
  <c r="E183" i="159"/>
  <c r="D183" i="159"/>
  <c r="C183" i="159"/>
  <c r="E182" i="159"/>
  <c r="D182" i="159"/>
  <c r="C182" i="159"/>
  <c r="E181" i="159"/>
  <c r="D181" i="159"/>
  <c r="C181" i="159"/>
  <c r="E180" i="159"/>
  <c r="D180" i="159"/>
  <c r="C180" i="159"/>
  <c r="E179" i="159"/>
  <c r="D179" i="159"/>
  <c r="C179" i="159"/>
  <c r="E178" i="159"/>
  <c r="D178" i="159"/>
  <c r="C178" i="159"/>
  <c r="E177" i="159"/>
  <c r="D177" i="159"/>
  <c r="C177" i="159"/>
  <c r="E176" i="159"/>
  <c r="D176" i="159"/>
  <c r="C176" i="159"/>
  <c r="E175" i="159"/>
  <c r="D175" i="159"/>
  <c r="C175" i="159"/>
  <c r="E174" i="159"/>
  <c r="D174" i="159"/>
  <c r="C174" i="159"/>
  <c r="E173" i="159"/>
  <c r="D173" i="159"/>
  <c r="C173" i="159"/>
  <c r="E172" i="159"/>
  <c r="D172" i="159"/>
  <c r="C172" i="159"/>
  <c r="E171" i="159"/>
  <c r="D171" i="159"/>
  <c r="C171" i="159"/>
  <c r="E170" i="159"/>
  <c r="D170" i="159"/>
  <c r="C170" i="159"/>
  <c r="E169" i="159"/>
  <c r="D169" i="159"/>
  <c r="C169" i="159"/>
  <c r="E165" i="159"/>
  <c r="D165" i="159"/>
  <c r="C165" i="159"/>
  <c r="E164" i="159"/>
  <c r="D164" i="159"/>
  <c r="C164" i="159"/>
  <c r="E163" i="159"/>
  <c r="D163" i="159"/>
  <c r="C163" i="159"/>
  <c r="E162" i="159"/>
  <c r="D162" i="159"/>
  <c r="C162" i="159"/>
  <c r="E161" i="159"/>
  <c r="D161" i="159"/>
  <c r="C161" i="159"/>
  <c r="E160" i="159"/>
  <c r="D160" i="159"/>
  <c r="C160" i="159"/>
  <c r="E158" i="159"/>
  <c r="D158" i="159"/>
  <c r="C158" i="159"/>
  <c r="E157" i="159"/>
  <c r="D157" i="159"/>
  <c r="C157" i="159"/>
  <c r="E156" i="159"/>
  <c r="D156" i="159"/>
  <c r="C156" i="159"/>
  <c r="E155" i="159"/>
  <c r="D155" i="159"/>
  <c r="C155" i="159"/>
  <c r="E154" i="159"/>
  <c r="D154" i="159"/>
  <c r="C154" i="159"/>
  <c r="E153" i="159"/>
  <c r="D153" i="159"/>
  <c r="C153" i="159"/>
  <c r="E152" i="159"/>
  <c r="D152" i="159"/>
  <c r="C152" i="159"/>
  <c r="E151" i="159"/>
  <c r="D151" i="159"/>
  <c r="C151" i="159"/>
  <c r="E150" i="159"/>
  <c r="D150" i="159"/>
  <c r="C150" i="159"/>
  <c r="E148" i="159"/>
  <c r="D148" i="159"/>
  <c r="C148" i="159"/>
  <c r="E147" i="159"/>
  <c r="D147" i="159"/>
  <c r="C147" i="159"/>
  <c r="E146" i="159"/>
  <c r="D146" i="159"/>
  <c r="C146" i="159"/>
  <c r="E145" i="159"/>
  <c r="D145" i="159"/>
  <c r="C145" i="159"/>
  <c r="E143" i="159"/>
  <c r="D143" i="159"/>
  <c r="C143" i="159"/>
  <c r="E142" i="159"/>
  <c r="D142" i="159"/>
  <c r="C142" i="159"/>
  <c r="E141" i="159"/>
  <c r="D141" i="159"/>
  <c r="C141" i="159"/>
  <c r="E140" i="159"/>
  <c r="D140" i="159"/>
  <c r="C140" i="159"/>
  <c r="E138" i="159"/>
  <c r="D138" i="159"/>
  <c r="C138" i="159"/>
  <c r="E137" i="159"/>
  <c r="D137" i="159"/>
  <c r="C137" i="159"/>
  <c r="E136" i="159"/>
  <c r="D136" i="159"/>
  <c r="C136" i="159"/>
  <c r="E135" i="159"/>
  <c r="D135" i="159"/>
  <c r="C135" i="159"/>
  <c r="E134" i="159"/>
  <c r="D134" i="159"/>
  <c r="C134" i="159"/>
  <c r="E132" i="159"/>
  <c r="D132" i="159"/>
  <c r="C132" i="159"/>
  <c r="E131" i="159"/>
  <c r="D131" i="159"/>
  <c r="C131" i="159"/>
  <c r="E130" i="159"/>
  <c r="D130" i="159"/>
  <c r="C130" i="159"/>
  <c r="E129" i="159"/>
  <c r="D129" i="159"/>
  <c r="C129" i="159"/>
  <c r="E128" i="159"/>
  <c r="D128" i="159"/>
  <c r="C128" i="159"/>
  <c r="E123" i="159"/>
  <c r="D123" i="159"/>
  <c r="C123" i="159"/>
  <c r="E122" i="159"/>
  <c r="D122" i="159"/>
  <c r="C122" i="159"/>
  <c r="E121" i="159"/>
  <c r="D121" i="159"/>
  <c r="C121" i="159"/>
  <c r="E120" i="159"/>
  <c r="D120" i="159"/>
  <c r="C120" i="159"/>
  <c r="E119" i="159"/>
  <c r="D119" i="159"/>
  <c r="C119" i="159"/>
  <c r="E115" i="159"/>
  <c r="D115" i="159"/>
  <c r="C115" i="159"/>
  <c r="E114" i="159"/>
  <c r="D114" i="159"/>
  <c r="C114" i="159"/>
  <c r="E113" i="159"/>
  <c r="D113" i="159"/>
  <c r="C113" i="159"/>
  <c r="E112" i="159"/>
  <c r="D112" i="159"/>
  <c r="C112" i="159"/>
  <c r="E111" i="159"/>
  <c r="D111" i="159"/>
  <c r="C111" i="159"/>
  <c r="E110" i="159"/>
  <c r="D110" i="159"/>
  <c r="C110" i="159"/>
  <c r="E106" i="159"/>
  <c r="D106" i="159"/>
  <c r="C106" i="159"/>
  <c r="E105" i="159"/>
  <c r="D105" i="159"/>
  <c r="C105" i="159"/>
  <c r="E104" i="159"/>
  <c r="D104" i="159"/>
  <c r="C104" i="159"/>
  <c r="E103" i="159"/>
  <c r="D103" i="159"/>
  <c r="C103" i="159"/>
  <c r="E102" i="159"/>
  <c r="D102" i="159"/>
  <c r="C102" i="159"/>
  <c r="E101" i="159"/>
  <c r="D101" i="159"/>
  <c r="C101" i="159"/>
  <c r="E97" i="159"/>
  <c r="D97" i="159"/>
  <c r="C97" i="159"/>
  <c r="E96" i="159"/>
  <c r="D96" i="159"/>
  <c r="C96" i="159"/>
  <c r="E95" i="159"/>
  <c r="D95" i="159"/>
  <c r="C95" i="159"/>
  <c r="E94" i="159"/>
  <c r="D94" i="159"/>
  <c r="C94" i="159"/>
  <c r="E93" i="159"/>
  <c r="D93" i="159"/>
  <c r="C93" i="159"/>
  <c r="E92" i="159"/>
  <c r="D92" i="159"/>
  <c r="C92" i="159"/>
  <c r="E91" i="159"/>
  <c r="D91" i="159"/>
  <c r="C91" i="159"/>
  <c r="E90" i="159"/>
  <c r="D90" i="159"/>
  <c r="C90" i="159"/>
  <c r="E89" i="159"/>
  <c r="D89" i="159"/>
  <c r="C89" i="159"/>
  <c r="E88" i="159"/>
  <c r="D88" i="159"/>
  <c r="C88" i="159"/>
  <c r="E87" i="159"/>
  <c r="D87" i="159"/>
  <c r="C87" i="159"/>
  <c r="E83" i="159"/>
  <c r="D83" i="159"/>
  <c r="C83" i="159"/>
  <c r="E82" i="159"/>
  <c r="D82" i="159"/>
  <c r="C82" i="159"/>
  <c r="E81" i="159"/>
  <c r="D81" i="159"/>
  <c r="C81" i="159"/>
  <c r="E80" i="159"/>
  <c r="D80" i="159"/>
  <c r="C80" i="159"/>
  <c r="E79" i="159"/>
  <c r="D79" i="159"/>
  <c r="C79" i="159"/>
  <c r="E78" i="159"/>
  <c r="D78" i="159"/>
  <c r="C78" i="159"/>
  <c r="E77" i="159"/>
  <c r="D77" i="159"/>
  <c r="C77" i="159"/>
  <c r="E76" i="159"/>
  <c r="D76" i="159"/>
  <c r="C76" i="159"/>
  <c r="E75" i="159"/>
  <c r="D75" i="159"/>
  <c r="C75" i="159"/>
  <c r="E74" i="159"/>
  <c r="D74" i="159"/>
  <c r="C74" i="159"/>
  <c r="E73" i="159"/>
  <c r="D73" i="159"/>
  <c r="C73" i="159"/>
  <c r="E72" i="159"/>
  <c r="D72" i="159"/>
  <c r="C72" i="159"/>
  <c r="E71" i="159"/>
  <c r="D71" i="159"/>
  <c r="C71" i="159"/>
  <c r="E70" i="159"/>
  <c r="D70" i="159"/>
  <c r="C70" i="159"/>
  <c r="E69" i="159"/>
  <c r="D69" i="159"/>
  <c r="C69" i="159"/>
  <c r="E65" i="159"/>
  <c r="D65" i="159"/>
  <c r="C65" i="159"/>
  <c r="E64" i="159"/>
  <c r="D64" i="159"/>
  <c r="C64" i="159"/>
  <c r="E63" i="159"/>
  <c r="D63" i="159"/>
  <c r="C63" i="159"/>
  <c r="E62" i="159"/>
  <c r="D62" i="159"/>
  <c r="C62" i="159"/>
  <c r="E61" i="159"/>
  <c r="D61" i="159"/>
  <c r="C61" i="159"/>
  <c r="E60" i="159"/>
  <c r="D60" i="159"/>
  <c r="C60" i="159"/>
  <c r="E59" i="159"/>
  <c r="D59" i="159"/>
  <c r="C59" i="159"/>
  <c r="E58" i="159"/>
  <c r="D58" i="159"/>
  <c r="C58" i="159"/>
  <c r="E57" i="159"/>
  <c r="D57" i="159"/>
  <c r="C57" i="159"/>
  <c r="E56" i="159"/>
  <c r="D56" i="159"/>
  <c r="C56" i="159"/>
  <c r="E55" i="159"/>
  <c r="D55" i="159"/>
  <c r="C55" i="159"/>
  <c r="E54" i="159"/>
  <c r="D54" i="159"/>
  <c r="C54" i="159"/>
  <c r="E53" i="159"/>
  <c r="D53" i="159"/>
  <c r="C53" i="159"/>
  <c r="E52" i="159"/>
  <c r="D52" i="159"/>
  <c r="C52" i="159"/>
  <c r="E51" i="159"/>
  <c r="D51" i="159"/>
  <c r="C51" i="159"/>
  <c r="E50" i="159"/>
  <c r="D50" i="159"/>
  <c r="C50" i="159"/>
  <c r="E49" i="159"/>
  <c r="D49" i="159"/>
  <c r="C49" i="159"/>
  <c r="E48" i="159"/>
  <c r="D48" i="159"/>
  <c r="C48" i="159"/>
  <c r="E47" i="159"/>
  <c r="D47" i="159"/>
  <c r="C47" i="159"/>
  <c r="E46" i="159"/>
  <c r="D46" i="159"/>
  <c r="C46" i="159"/>
  <c r="E45" i="159"/>
  <c r="D45" i="159"/>
  <c r="C45" i="159"/>
  <c r="E44" i="159"/>
  <c r="D44" i="159"/>
  <c r="C44" i="159"/>
  <c r="E43" i="159"/>
  <c r="D43" i="159"/>
  <c r="C43" i="159"/>
  <c r="E42" i="159"/>
  <c r="D42" i="159"/>
  <c r="C42" i="159"/>
  <c r="E41" i="159"/>
  <c r="D41" i="159"/>
  <c r="C41" i="159"/>
  <c r="E40" i="159"/>
  <c r="D40" i="159"/>
  <c r="C40" i="159"/>
  <c r="E39" i="159"/>
  <c r="D39" i="159"/>
  <c r="C39" i="159"/>
  <c r="E38" i="159"/>
  <c r="D38" i="159"/>
  <c r="C38" i="159"/>
  <c r="E37" i="159"/>
  <c r="D37" i="159"/>
  <c r="C37" i="159"/>
  <c r="E36" i="159"/>
  <c r="C36" i="159"/>
  <c r="E35" i="159"/>
  <c r="D35" i="159"/>
  <c r="C35" i="159"/>
  <c r="E34" i="159"/>
  <c r="D34" i="159"/>
  <c r="C34" i="159"/>
  <c r="E33" i="159"/>
  <c r="D33" i="159"/>
  <c r="C33" i="159"/>
  <c r="E32" i="159"/>
  <c r="D32" i="159"/>
  <c r="C32" i="159"/>
  <c r="E31" i="159"/>
  <c r="D31" i="159"/>
  <c r="C31" i="159"/>
  <c r="E30" i="159"/>
  <c r="D30" i="159"/>
  <c r="C30" i="159"/>
  <c r="D25" i="159"/>
  <c r="C25" i="159"/>
  <c r="D24" i="159"/>
  <c r="C24" i="159"/>
  <c r="D23" i="159"/>
  <c r="C23" i="159"/>
  <c r="D22" i="159"/>
  <c r="C22" i="159"/>
  <c r="D21" i="159"/>
  <c r="C21" i="159"/>
  <c r="D20" i="159"/>
  <c r="C20" i="159"/>
  <c r="D19" i="159"/>
  <c r="C19" i="159"/>
  <c r="C18" i="159"/>
  <c r="D17" i="159"/>
  <c r="C17" i="159"/>
  <c r="D16" i="159"/>
  <c r="C16" i="159"/>
  <c r="D15" i="159"/>
  <c r="C15" i="159"/>
  <c r="D14" i="159"/>
  <c r="C14" i="159"/>
  <c r="D13" i="159"/>
  <c r="C13" i="159"/>
  <c r="D12" i="159"/>
  <c r="C12" i="159"/>
  <c r="C4" i="159"/>
  <c r="C3" i="159"/>
  <c r="F12" i="159" l="1"/>
  <c r="I12" i="159" s="1"/>
  <c r="D26" i="159"/>
  <c r="C238" i="159"/>
  <c r="C26" i="159"/>
  <c r="D84" i="159"/>
  <c r="C98" i="159"/>
  <c r="C124" i="159"/>
  <c r="C166" i="159"/>
  <c r="D166" i="159"/>
  <c r="D202" i="159"/>
  <c r="E84" i="159"/>
  <c r="D98" i="159"/>
  <c r="C107" i="159"/>
  <c r="E107" i="159"/>
  <c r="E202" i="159"/>
  <c r="C233" i="159"/>
  <c r="E98" i="159"/>
  <c r="D107" i="159"/>
  <c r="D116" i="159"/>
  <c r="D124" i="159"/>
  <c r="E166" i="159"/>
  <c r="C202" i="159"/>
  <c r="C211" i="159"/>
  <c r="E211" i="159"/>
  <c r="C84" i="159"/>
  <c r="C116" i="159"/>
  <c r="E116" i="159"/>
  <c r="E124" i="159"/>
  <c r="D211" i="159"/>
  <c r="C66" i="159"/>
  <c r="D66" i="159"/>
  <c r="E66" i="159"/>
  <c r="E213" i="159" l="1"/>
  <c r="E220" i="159" s="1"/>
  <c r="C213" i="159"/>
  <c r="C217" i="159" s="1"/>
  <c r="D213" i="159"/>
  <c r="D220" i="159" s="1"/>
  <c r="C220" i="159" l="1"/>
  <c r="D18" i="21"/>
  <c r="I249" i="21"/>
  <c r="I248" i="21"/>
  <c r="I247" i="21"/>
  <c r="I246" i="21"/>
  <c r="C243" i="21"/>
  <c r="C242" i="21"/>
  <c r="C241" i="21"/>
  <c r="C240" i="21"/>
  <c r="C237" i="21"/>
  <c r="C236" i="21"/>
  <c r="E233" i="21"/>
  <c r="D233" i="21"/>
  <c r="C232" i="21"/>
  <c r="C231" i="21"/>
  <c r="C230" i="21"/>
  <c r="C229" i="21"/>
  <c r="C228" i="21"/>
  <c r="C227" i="21"/>
  <c r="C226" i="21"/>
  <c r="C225" i="21"/>
  <c r="C224" i="21"/>
  <c r="C216" i="21"/>
  <c r="E210" i="21"/>
  <c r="D210" i="21"/>
  <c r="C210" i="21"/>
  <c r="E209" i="21"/>
  <c r="D209" i="21"/>
  <c r="C209" i="21"/>
  <c r="E208" i="21"/>
  <c r="D208" i="21"/>
  <c r="C208" i="21"/>
  <c r="E207" i="21"/>
  <c r="D207" i="21"/>
  <c r="C207" i="21"/>
  <c r="E206" i="21"/>
  <c r="D206" i="21"/>
  <c r="C206" i="21"/>
  <c r="E205" i="21"/>
  <c r="D205" i="21"/>
  <c r="C205" i="21"/>
  <c r="E201" i="21"/>
  <c r="D201" i="21"/>
  <c r="C201" i="21"/>
  <c r="E200" i="21"/>
  <c r="D200" i="21"/>
  <c r="C200" i="21"/>
  <c r="E199" i="21"/>
  <c r="D199" i="21"/>
  <c r="C199" i="21"/>
  <c r="E198" i="21"/>
  <c r="D198" i="21"/>
  <c r="C198" i="21"/>
  <c r="E197" i="21"/>
  <c r="D197" i="21"/>
  <c r="C197" i="21"/>
  <c r="E196" i="21"/>
  <c r="D196" i="21"/>
  <c r="C196" i="21"/>
  <c r="E195" i="21"/>
  <c r="D195" i="21"/>
  <c r="C195" i="21"/>
  <c r="E194" i="21"/>
  <c r="D194" i="21"/>
  <c r="C194" i="21"/>
  <c r="E193" i="21"/>
  <c r="D193" i="21"/>
  <c r="C193" i="21"/>
  <c r="E192" i="21"/>
  <c r="D192" i="21"/>
  <c r="C192" i="21"/>
  <c r="E191" i="21"/>
  <c r="D191" i="21"/>
  <c r="C191" i="21"/>
  <c r="E190" i="21"/>
  <c r="D190" i="21"/>
  <c r="C190" i="21"/>
  <c r="E189" i="21"/>
  <c r="D189" i="21"/>
  <c r="C189" i="21"/>
  <c r="E188" i="21"/>
  <c r="C188" i="21"/>
  <c r="E187" i="21"/>
  <c r="D187" i="21"/>
  <c r="C187" i="21"/>
  <c r="E186" i="21"/>
  <c r="D186" i="21"/>
  <c r="C186" i="21"/>
  <c r="E185" i="21"/>
  <c r="D185" i="21"/>
  <c r="C185" i="21"/>
  <c r="E184" i="21"/>
  <c r="D184" i="21"/>
  <c r="C184" i="21"/>
  <c r="E183" i="21"/>
  <c r="D183" i="21"/>
  <c r="C183" i="21"/>
  <c r="E182" i="21"/>
  <c r="D182" i="21"/>
  <c r="C182" i="21"/>
  <c r="E181" i="21"/>
  <c r="D181" i="21"/>
  <c r="C181" i="21"/>
  <c r="E180" i="21"/>
  <c r="D180" i="21"/>
  <c r="C180" i="21"/>
  <c r="E179" i="21"/>
  <c r="D179" i="21"/>
  <c r="C179" i="21"/>
  <c r="E178" i="21"/>
  <c r="D178" i="21"/>
  <c r="C178" i="21"/>
  <c r="E177" i="21"/>
  <c r="D177" i="21"/>
  <c r="C177" i="21"/>
  <c r="E176" i="21"/>
  <c r="D176" i="21"/>
  <c r="C176" i="21"/>
  <c r="E175" i="21"/>
  <c r="D175" i="21"/>
  <c r="C175" i="21"/>
  <c r="E174" i="21"/>
  <c r="D174" i="21"/>
  <c r="C174" i="21"/>
  <c r="E173" i="21"/>
  <c r="D173" i="21"/>
  <c r="C173" i="21"/>
  <c r="E172" i="21"/>
  <c r="D172" i="21"/>
  <c r="C172" i="21"/>
  <c r="E171" i="21"/>
  <c r="D171" i="21"/>
  <c r="C171" i="21"/>
  <c r="E170" i="21"/>
  <c r="D170" i="21"/>
  <c r="C170" i="21"/>
  <c r="E169" i="21"/>
  <c r="D169" i="21"/>
  <c r="C169" i="21"/>
  <c r="E165" i="21"/>
  <c r="D165" i="21"/>
  <c r="C165" i="21"/>
  <c r="E164" i="21"/>
  <c r="D164" i="21"/>
  <c r="C164" i="21"/>
  <c r="E163" i="21"/>
  <c r="D163" i="21"/>
  <c r="C163" i="21"/>
  <c r="E162" i="21"/>
  <c r="D162" i="21"/>
  <c r="C162" i="21"/>
  <c r="E161" i="21"/>
  <c r="D161" i="21"/>
  <c r="C161" i="21"/>
  <c r="E160" i="21"/>
  <c r="D160" i="21"/>
  <c r="C160" i="21"/>
  <c r="E158" i="21"/>
  <c r="D158" i="21"/>
  <c r="C158" i="21"/>
  <c r="E157" i="21"/>
  <c r="D157" i="21"/>
  <c r="C157" i="21"/>
  <c r="E156" i="21"/>
  <c r="D156" i="21"/>
  <c r="C156" i="21"/>
  <c r="E155" i="21"/>
  <c r="D155" i="21"/>
  <c r="C155" i="21"/>
  <c r="E154" i="21"/>
  <c r="C154" i="21"/>
  <c r="E153" i="21"/>
  <c r="D153" i="21"/>
  <c r="C153" i="21"/>
  <c r="E152" i="21"/>
  <c r="D152" i="21"/>
  <c r="C152" i="21"/>
  <c r="E151" i="21"/>
  <c r="D151" i="21"/>
  <c r="C151" i="21"/>
  <c r="E150" i="21"/>
  <c r="D150" i="21"/>
  <c r="C150" i="21"/>
  <c r="E148" i="21"/>
  <c r="D148" i="21"/>
  <c r="C148" i="21"/>
  <c r="E147" i="21"/>
  <c r="D147" i="21"/>
  <c r="C147" i="21"/>
  <c r="E146" i="21"/>
  <c r="D146" i="21"/>
  <c r="C146" i="21"/>
  <c r="E145" i="21"/>
  <c r="D145" i="21"/>
  <c r="C145" i="21"/>
  <c r="E143" i="21"/>
  <c r="D143" i="21"/>
  <c r="C143" i="21"/>
  <c r="E142" i="21"/>
  <c r="D142" i="21"/>
  <c r="C142" i="21"/>
  <c r="E141" i="21"/>
  <c r="D141" i="21"/>
  <c r="C141" i="21"/>
  <c r="E140" i="21"/>
  <c r="D140" i="21"/>
  <c r="C140" i="21"/>
  <c r="E138" i="21"/>
  <c r="D138" i="21"/>
  <c r="C138" i="21"/>
  <c r="E137" i="21"/>
  <c r="D137" i="21"/>
  <c r="C137" i="21"/>
  <c r="E136" i="21"/>
  <c r="D136" i="21"/>
  <c r="C136" i="21"/>
  <c r="E135" i="21"/>
  <c r="D135" i="21"/>
  <c r="C135" i="21"/>
  <c r="E134" i="21"/>
  <c r="D134" i="21"/>
  <c r="C134" i="21"/>
  <c r="E132" i="21"/>
  <c r="D132" i="21"/>
  <c r="C132" i="21"/>
  <c r="E131" i="21"/>
  <c r="D131" i="21"/>
  <c r="C131" i="21"/>
  <c r="E130" i="21"/>
  <c r="D130" i="21"/>
  <c r="C130" i="21"/>
  <c r="E129" i="21"/>
  <c r="D129" i="21"/>
  <c r="C129" i="21"/>
  <c r="E128" i="21"/>
  <c r="D128" i="21"/>
  <c r="C128" i="21"/>
  <c r="E123" i="21"/>
  <c r="D123" i="21"/>
  <c r="C123" i="21"/>
  <c r="E122" i="21"/>
  <c r="D122" i="21"/>
  <c r="C122" i="21"/>
  <c r="E121" i="21"/>
  <c r="D121" i="21"/>
  <c r="C121" i="21"/>
  <c r="E120" i="21"/>
  <c r="D120" i="21"/>
  <c r="C120" i="21"/>
  <c r="E119" i="21"/>
  <c r="D119" i="21"/>
  <c r="C119" i="21"/>
  <c r="E115" i="21"/>
  <c r="D115" i="21"/>
  <c r="C115" i="21"/>
  <c r="E114" i="21"/>
  <c r="D114" i="21"/>
  <c r="C114" i="21"/>
  <c r="E113" i="21"/>
  <c r="D113" i="21"/>
  <c r="C113" i="21"/>
  <c r="E112" i="21"/>
  <c r="D112" i="21"/>
  <c r="C112" i="21"/>
  <c r="E111" i="21"/>
  <c r="D111" i="21"/>
  <c r="C111" i="21"/>
  <c r="E110" i="21"/>
  <c r="D110" i="21"/>
  <c r="C110" i="21"/>
  <c r="E106" i="21"/>
  <c r="D106" i="21"/>
  <c r="C106" i="21"/>
  <c r="E105" i="21"/>
  <c r="D105" i="21"/>
  <c r="C105" i="21"/>
  <c r="E104" i="21"/>
  <c r="D104" i="21"/>
  <c r="C104" i="21"/>
  <c r="E103" i="21"/>
  <c r="D103" i="21"/>
  <c r="C103" i="21"/>
  <c r="E102" i="21"/>
  <c r="D102" i="21"/>
  <c r="C102" i="21"/>
  <c r="E101" i="21"/>
  <c r="D101" i="21"/>
  <c r="C101" i="21"/>
  <c r="E97" i="21"/>
  <c r="D97" i="21"/>
  <c r="C97" i="21"/>
  <c r="E96" i="21"/>
  <c r="C96" i="21"/>
  <c r="E95" i="21"/>
  <c r="D95" i="21"/>
  <c r="C95" i="21"/>
  <c r="E94" i="21"/>
  <c r="D94" i="21"/>
  <c r="C94" i="21"/>
  <c r="E93" i="21"/>
  <c r="D93" i="21"/>
  <c r="C93" i="21"/>
  <c r="E92" i="21"/>
  <c r="D92" i="21"/>
  <c r="C92" i="21"/>
  <c r="E91" i="21"/>
  <c r="D91" i="21"/>
  <c r="C91" i="21"/>
  <c r="E90" i="21"/>
  <c r="C90" i="21"/>
  <c r="E89" i="21"/>
  <c r="D89" i="21"/>
  <c r="C89" i="21"/>
  <c r="E88" i="21"/>
  <c r="D88" i="21"/>
  <c r="C88" i="21"/>
  <c r="E87" i="21"/>
  <c r="D87" i="21"/>
  <c r="C87" i="21"/>
  <c r="E83" i="21"/>
  <c r="D83" i="21"/>
  <c r="C83" i="21"/>
  <c r="E82" i="21"/>
  <c r="D82" i="21"/>
  <c r="C82" i="21"/>
  <c r="E81" i="21"/>
  <c r="D81" i="21"/>
  <c r="C81" i="21"/>
  <c r="E80" i="21"/>
  <c r="D80" i="21"/>
  <c r="C80" i="21"/>
  <c r="E79" i="21"/>
  <c r="C79" i="21"/>
  <c r="E78" i="21"/>
  <c r="D78" i="21"/>
  <c r="C78" i="21"/>
  <c r="E77" i="21"/>
  <c r="D77" i="21"/>
  <c r="C77" i="21"/>
  <c r="E76" i="21"/>
  <c r="D76" i="21"/>
  <c r="C76" i="21"/>
  <c r="E75" i="21"/>
  <c r="D75" i="21"/>
  <c r="C75" i="21"/>
  <c r="E74" i="21"/>
  <c r="D74" i="21"/>
  <c r="C74" i="21"/>
  <c r="E73" i="21"/>
  <c r="C73" i="21"/>
  <c r="E72" i="21"/>
  <c r="D72" i="21"/>
  <c r="C72" i="21"/>
  <c r="E71" i="21"/>
  <c r="D71" i="21"/>
  <c r="C71" i="21"/>
  <c r="E70" i="21"/>
  <c r="C70" i="21"/>
  <c r="E69" i="21"/>
  <c r="D69" i="21"/>
  <c r="C69" i="21"/>
  <c r="E65" i="21"/>
  <c r="C65" i="21"/>
  <c r="E64" i="21"/>
  <c r="D64" i="21"/>
  <c r="C64" i="21"/>
  <c r="E63" i="21"/>
  <c r="D63" i="21"/>
  <c r="C63" i="21"/>
  <c r="E62" i="21"/>
  <c r="C62" i="21"/>
  <c r="E61" i="21"/>
  <c r="D61" i="21"/>
  <c r="C61" i="21"/>
  <c r="E60" i="21"/>
  <c r="D60" i="21"/>
  <c r="C60" i="21"/>
  <c r="E59" i="21"/>
  <c r="C59" i="21"/>
  <c r="E58" i="21"/>
  <c r="D58" i="21"/>
  <c r="C58" i="21"/>
  <c r="E57" i="21"/>
  <c r="D57" i="21"/>
  <c r="C57" i="21"/>
  <c r="E56" i="21"/>
  <c r="D56" i="21"/>
  <c r="C56" i="21"/>
  <c r="E55" i="21"/>
  <c r="D55" i="21"/>
  <c r="C55" i="21"/>
  <c r="E54" i="21"/>
  <c r="C54" i="21"/>
  <c r="E53" i="21"/>
  <c r="D53" i="21"/>
  <c r="C53" i="21"/>
  <c r="E52" i="21"/>
  <c r="D52" i="21"/>
  <c r="C52" i="21"/>
  <c r="E51" i="21"/>
  <c r="D51" i="21"/>
  <c r="C51" i="21"/>
  <c r="E50" i="21"/>
  <c r="D50" i="21"/>
  <c r="C50" i="21"/>
  <c r="E49" i="21"/>
  <c r="D49" i="21"/>
  <c r="C49" i="21"/>
  <c r="E48" i="21"/>
  <c r="D48" i="21"/>
  <c r="C48" i="21"/>
  <c r="E47" i="21"/>
  <c r="C47" i="21"/>
  <c r="E46" i="21"/>
  <c r="D46" i="21"/>
  <c r="C46" i="21"/>
  <c r="E45" i="21"/>
  <c r="D45" i="21"/>
  <c r="C45" i="21"/>
  <c r="E44" i="21"/>
  <c r="D44" i="21"/>
  <c r="C44" i="21"/>
  <c r="E43" i="21"/>
  <c r="C43" i="21"/>
  <c r="E42" i="21"/>
  <c r="D42" i="21"/>
  <c r="C42" i="21"/>
  <c r="E41" i="21"/>
  <c r="C41" i="21"/>
  <c r="E40" i="21"/>
  <c r="C40" i="21"/>
  <c r="E39" i="21"/>
  <c r="D39" i="21"/>
  <c r="C39" i="21"/>
  <c r="E38" i="21"/>
  <c r="D38" i="21"/>
  <c r="C38" i="21"/>
  <c r="E37" i="21"/>
  <c r="D37" i="21"/>
  <c r="C37" i="21"/>
  <c r="E36" i="21"/>
  <c r="C36" i="21"/>
  <c r="E35" i="21"/>
  <c r="D35" i="21"/>
  <c r="C35" i="21"/>
  <c r="E34" i="21"/>
  <c r="D34" i="21"/>
  <c r="C34" i="21"/>
  <c r="E33" i="21"/>
  <c r="D33" i="21"/>
  <c r="C33" i="21"/>
  <c r="E32" i="21"/>
  <c r="D32" i="21"/>
  <c r="C32" i="21"/>
  <c r="E31" i="21"/>
  <c r="D31" i="21"/>
  <c r="C31" i="21"/>
  <c r="E30" i="21"/>
  <c r="D30" i="21"/>
  <c r="C30" i="21"/>
  <c r="D25" i="21"/>
  <c r="C25" i="21"/>
  <c r="D24" i="21"/>
  <c r="C24" i="21"/>
  <c r="D23" i="21"/>
  <c r="C23" i="21"/>
  <c r="D22" i="21"/>
  <c r="C22" i="21"/>
  <c r="D21" i="21"/>
  <c r="C21" i="21"/>
  <c r="D20" i="21"/>
  <c r="C20" i="21"/>
  <c r="D19" i="21"/>
  <c r="C19" i="21"/>
  <c r="C18" i="21"/>
  <c r="D17" i="21"/>
  <c r="C17" i="21"/>
  <c r="D16" i="21"/>
  <c r="C16" i="21"/>
  <c r="D15" i="21"/>
  <c r="C15" i="21"/>
  <c r="D14" i="21"/>
  <c r="C14" i="21"/>
  <c r="D13" i="21"/>
  <c r="C13" i="21"/>
  <c r="D12" i="21"/>
  <c r="C12" i="21"/>
  <c r="C4" i="21"/>
  <c r="C3" i="21"/>
  <c r="C238" i="21" l="1"/>
  <c r="D26" i="21"/>
  <c r="F12" i="21"/>
  <c r="I12" i="21" s="1"/>
  <c r="C26" i="21"/>
  <c r="D84" i="21"/>
  <c r="C98" i="21"/>
  <c r="C166" i="21"/>
  <c r="D166" i="21"/>
  <c r="D202" i="21"/>
  <c r="E84" i="21"/>
  <c r="D98" i="21"/>
  <c r="C107" i="21"/>
  <c r="E107" i="21"/>
  <c r="E116" i="21"/>
  <c r="C124" i="21"/>
  <c r="E202" i="21"/>
  <c r="E98" i="21"/>
  <c r="D107" i="21"/>
  <c r="D116" i="21"/>
  <c r="D124" i="21"/>
  <c r="E166" i="21"/>
  <c r="C211" i="21"/>
  <c r="E211" i="21"/>
  <c r="C233" i="21"/>
  <c r="C84" i="21"/>
  <c r="C116" i="21"/>
  <c r="E124" i="21"/>
  <c r="C202" i="21"/>
  <c r="D211" i="21"/>
  <c r="C66" i="21"/>
  <c r="D66" i="21"/>
  <c r="E66" i="21"/>
  <c r="E213" i="21" l="1"/>
  <c r="E220" i="21" s="1"/>
  <c r="C213" i="21"/>
  <c r="C217" i="21" s="1"/>
  <c r="D213" i="21"/>
  <c r="D220" i="21" s="1"/>
  <c r="C220" i="21" l="1"/>
  <c r="D18" i="89"/>
  <c r="I249" i="89"/>
  <c r="I248" i="89"/>
  <c r="I247" i="89"/>
  <c r="I246" i="89"/>
  <c r="C243" i="89"/>
  <c r="C242" i="89"/>
  <c r="C241" i="89"/>
  <c r="C240" i="89"/>
  <c r="C237" i="89"/>
  <c r="C236" i="89"/>
  <c r="E233" i="89"/>
  <c r="D233" i="89"/>
  <c r="C232" i="89"/>
  <c r="C231" i="89"/>
  <c r="C230" i="89"/>
  <c r="C229" i="89"/>
  <c r="C228" i="89"/>
  <c r="C227" i="89"/>
  <c r="C226" i="89"/>
  <c r="C225" i="89"/>
  <c r="C224" i="89"/>
  <c r="C216" i="89"/>
  <c r="E210" i="89"/>
  <c r="D210" i="89"/>
  <c r="C210" i="89"/>
  <c r="E209" i="89"/>
  <c r="D209" i="89"/>
  <c r="C209" i="89"/>
  <c r="E208" i="89"/>
  <c r="D208" i="89"/>
  <c r="C208" i="89"/>
  <c r="E207" i="89"/>
  <c r="D207" i="89"/>
  <c r="C207" i="89"/>
  <c r="E206" i="89"/>
  <c r="D206" i="89"/>
  <c r="C206" i="89"/>
  <c r="E205" i="89"/>
  <c r="D205" i="89"/>
  <c r="C205" i="89"/>
  <c r="E201" i="89"/>
  <c r="D201" i="89"/>
  <c r="C201" i="89"/>
  <c r="E200" i="89"/>
  <c r="D200" i="89"/>
  <c r="C200" i="89"/>
  <c r="E199" i="89"/>
  <c r="D199" i="89"/>
  <c r="C199" i="89"/>
  <c r="E198" i="89"/>
  <c r="D198" i="89"/>
  <c r="C198" i="89"/>
  <c r="E197" i="89"/>
  <c r="D197" i="89"/>
  <c r="C197" i="89"/>
  <c r="E196" i="89"/>
  <c r="D196" i="89"/>
  <c r="C196" i="89"/>
  <c r="E195" i="89"/>
  <c r="D195" i="89"/>
  <c r="C195" i="89"/>
  <c r="E194" i="89"/>
  <c r="D194" i="89"/>
  <c r="C194" i="89"/>
  <c r="E193" i="89"/>
  <c r="D193" i="89"/>
  <c r="C193" i="89"/>
  <c r="E192" i="89"/>
  <c r="D192" i="89"/>
  <c r="C192" i="89"/>
  <c r="E191" i="89"/>
  <c r="D191" i="89"/>
  <c r="C191" i="89"/>
  <c r="E190" i="89"/>
  <c r="D190" i="89"/>
  <c r="C190" i="89"/>
  <c r="E189" i="89"/>
  <c r="D189" i="89"/>
  <c r="C189" i="89"/>
  <c r="E188" i="89"/>
  <c r="D188" i="89"/>
  <c r="C188" i="89"/>
  <c r="E187" i="89"/>
  <c r="D187" i="89"/>
  <c r="C187" i="89"/>
  <c r="E186" i="89"/>
  <c r="D186" i="89"/>
  <c r="C186" i="89"/>
  <c r="E185" i="89"/>
  <c r="D185" i="89"/>
  <c r="C185" i="89"/>
  <c r="E184" i="89"/>
  <c r="D184" i="89"/>
  <c r="C184" i="89"/>
  <c r="E183" i="89"/>
  <c r="D183" i="89"/>
  <c r="C183" i="89"/>
  <c r="E182" i="89"/>
  <c r="D182" i="89"/>
  <c r="C182" i="89"/>
  <c r="E181" i="89"/>
  <c r="D181" i="89"/>
  <c r="C181" i="89"/>
  <c r="E180" i="89"/>
  <c r="D180" i="89"/>
  <c r="C180" i="89"/>
  <c r="E179" i="89"/>
  <c r="D179" i="89"/>
  <c r="C179" i="89"/>
  <c r="E178" i="89"/>
  <c r="D178" i="89"/>
  <c r="C178" i="89"/>
  <c r="E177" i="89"/>
  <c r="D177" i="89"/>
  <c r="C177" i="89"/>
  <c r="E176" i="89"/>
  <c r="D176" i="89"/>
  <c r="C176" i="89"/>
  <c r="E175" i="89"/>
  <c r="D175" i="89"/>
  <c r="C175" i="89"/>
  <c r="E174" i="89"/>
  <c r="D174" i="89"/>
  <c r="C174" i="89"/>
  <c r="E173" i="89"/>
  <c r="D173" i="89"/>
  <c r="C173" i="89"/>
  <c r="E172" i="89"/>
  <c r="D172" i="89"/>
  <c r="C172" i="89"/>
  <c r="E171" i="89"/>
  <c r="D171" i="89"/>
  <c r="C171" i="89"/>
  <c r="E170" i="89"/>
  <c r="D170" i="89"/>
  <c r="C170" i="89"/>
  <c r="E169" i="89"/>
  <c r="D169" i="89"/>
  <c r="C169" i="89"/>
  <c r="E165" i="89"/>
  <c r="D165" i="89"/>
  <c r="C165" i="89"/>
  <c r="E164" i="89"/>
  <c r="D164" i="89"/>
  <c r="C164" i="89"/>
  <c r="E163" i="89"/>
  <c r="D163" i="89"/>
  <c r="C163" i="89"/>
  <c r="E162" i="89"/>
  <c r="D162" i="89"/>
  <c r="C162" i="89"/>
  <c r="E161" i="89"/>
  <c r="D161" i="89"/>
  <c r="C161" i="89"/>
  <c r="E160" i="89"/>
  <c r="D160" i="89"/>
  <c r="C160" i="89"/>
  <c r="E158" i="89"/>
  <c r="D158" i="89"/>
  <c r="C158" i="89"/>
  <c r="E157" i="89"/>
  <c r="D157" i="89"/>
  <c r="C157" i="89"/>
  <c r="E156" i="89"/>
  <c r="D156" i="89"/>
  <c r="C156" i="89"/>
  <c r="E155" i="89"/>
  <c r="D155" i="89"/>
  <c r="C155" i="89"/>
  <c r="E154" i="89"/>
  <c r="D154" i="89"/>
  <c r="C154" i="89"/>
  <c r="E153" i="89"/>
  <c r="D153" i="89"/>
  <c r="C153" i="89"/>
  <c r="E152" i="89"/>
  <c r="D152" i="89"/>
  <c r="C152" i="89"/>
  <c r="E151" i="89"/>
  <c r="D151" i="89"/>
  <c r="C151" i="89"/>
  <c r="E150" i="89"/>
  <c r="D150" i="89"/>
  <c r="C150" i="89"/>
  <c r="E148" i="89"/>
  <c r="D148" i="89"/>
  <c r="C148" i="89"/>
  <c r="E147" i="89"/>
  <c r="D147" i="89"/>
  <c r="C147" i="89"/>
  <c r="E146" i="89"/>
  <c r="D146" i="89"/>
  <c r="C146" i="89"/>
  <c r="E145" i="89"/>
  <c r="D145" i="89"/>
  <c r="C145" i="89"/>
  <c r="E143" i="89"/>
  <c r="D143" i="89"/>
  <c r="C143" i="89"/>
  <c r="E142" i="89"/>
  <c r="D142" i="89"/>
  <c r="C142" i="89"/>
  <c r="E141" i="89"/>
  <c r="D141" i="89"/>
  <c r="C141" i="89"/>
  <c r="E140" i="89"/>
  <c r="D140" i="89"/>
  <c r="C140" i="89"/>
  <c r="E138" i="89"/>
  <c r="D138" i="89"/>
  <c r="C138" i="89"/>
  <c r="E137" i="89"/>
  <c r="D137" i="89"/>
  <c r="C137" i="89"/>
  <c r="E136" i="89"/>
  <c r="D136" i="89"/>
  <c r="C136" i="89"/>
  <c r="E135" i="89"/>
  <c r="D135" i="89"/>
  <c r="C135" i="89"/>
  <c r="E134" i="89"/>
  <c r="D134" i="89"/>
  <c r="C134" i="89"/>
  <c r="E132" i="89"/>
  <c r="D132" i="89"/>
  <c r="C132" i="89"/>
  <c r="E131" i="89"/>
  <c r="D131" i="89"/>
  <c r="C131" i="89"/>
  <c r="E130" i="89"/>
  <c r="D130" i="89"/>
  <c r="C130" i="89"/>
  <c r="E129" i="89"/>
  <c r="D129" i="89"/>
  <c r="C129" i="89"/>
  <c r="E128" i="89"/>
  <c r="D128" i="89"/>
  <c r="C128" i="89"/>
  <c r="E123" i="89"/>
  <c r="D123" i="89"/>
  <c r="C123" i="89"/>
  <c r="E122" i="89"/>
  <c r="D122" i="89"/>
  <c r="C122" i="89"/>
  <c r="E121" i="89"/>
  <c r="D121" i="89"/>
  <c r="C121" i="89"/>
  <c r="E120" i="89"/>
  <c r="D120" i="89"/>
  <c r="C120" i="89"/>
  <c r="E119" i="89"/>
  <c r="D119" i="89"/>
  <c r="C119" i="89"/>
  <c r="E115" i="89"/>
  <c r="D115" i="89"/>
  <c r="C115" i="89"/>
  <c r="E114" i="89"/>
  <c r="D114" i="89"/>
  <c r="C114" i="89"/>
  <c r="E113" i="89"/>
  <c r="D113" i="89"/>
  <c r="C113" i="89"/>
  <c r="E112" i="89"/>
  <c r="D112" i="89"/>
  <c r="C112" i="89"/>
  <c r="E111" i="89"/>
  <c r="D111" i="89"/>
  <c r="C111" i="89"/>
  <c r="E110" i="89"/>
  <c r="D110" i="89"/>
  <c r="C110" i="89"/>
  <c r="E106" i="89"/>
  <c r="D106" i="89"/>
  <c r="C106" i="89"/>
  <c r="E105" i="89"/>
  <c r="D105" i="89"/>
  <c r="C105" i="89"/>
  <c r="E104" i="89"/>
  <c r="D104" i="89"/>
  <c r="C104" i="89"/>
  <c r="E103" i="89"/>
  <c r="D103" i="89"/>
  <c r="C103" i="89"/>
  <c r="E102" i="89"/>
  <c r="D102" i="89"/>
  <c r="C102" i="89"/>
  <c r="E101" i="89"/>
  <c r="D101" i="89"/>
  <c r="C101" i="89"/>
  <c r="E97" i="89"/>
  <c r="D97" i="89"/>
  <c r="C97" i="89"/>
  <c r="E96" i="89"/>
  <c r="D96" i="89"/>
  <c r="C96" i="89"/>
  <c r="E95" i="89"/>
  <c r="D95" i="89"/>
  <c r="C95" i="89"/>
  <c r="E94" i="89"/>
  <c r="D94" i="89"/>
  <c r="C94" i="89"/>
  <c r="E93" i="89"/>
  <c r="D93" i="89"/>
  <c r="C93" i="89"/>
  <c r="E92" i="89"/>
  <c r="D92" i="89"/>
  <c r="C92" i="89"/>
  <c r="E91" i="89"/>
  <c r="D91" i="89"/>
  <c r="C91" i="89"/>
  <c r="E90" i="89"/>
  <c r="D90" i="89"/>
  <c r="C90" i="89"/>
  <c r="E89" i="89"/>
  <c r="D89" i="89"/>
  <c r="C89" i="89"/>
  <c r="E88" i="89"/>
  <c r="D88" i="89"/>
  <c r="C88" i="89"/>
  <c r="E87" i="89"/>
  <c r="D87" i="89"/>
  <c r="C87" i="89"/>
  <c r="E83" i="89"/>
  <c r="D83" i="89"/>
  <c r="C83" i="89"/>
  <c r="E82" i="89"/>
  <c r="D82" i="89"/>
  <c r="C82" i="89"/>
  <c r="E81" i="89"/>
  <c r="D81" i="89"/>
  <c r="C81" i="89"/>
  <c r="E80" i="89"/>
  <c r="D80" i="89"/>
  <c r="C80" i="89"/>
  <c r="E79" i="89"/>
  <c r="D79" i="89"/>
  <c r="C79" i="89"/>
  <c r="E78" i="89"/>
  <c r="D78" i="89"/>
  <c r="C78" i="89"/>
  <c r="E77" i="89"/>
  <c r="D77" i="89"/>
  <c r="C77" i="89"/>
  <c r="E76" i="89"/>
  <c r="D76" i="89"/>
  <c r="C76" i="89"/>
  <c r="E75" i="89"/>
  <c r="D75" i="89"/>
  <c r="C75" i="89"/>
  <c r="E74" i="89"/>
  <c r="D74" i="89"/>
  <c r="C74" i="89"/>
  <c r="E73" i="89"/>
  <c r="D73" i="89"/>
  <c r="C73" i="89"/>
  <c r="E72" i="89"/>
  <c r="D72" i="89"/>
  <c r="C72" i="89"/>
  <c r="E71" i="89"/>
  <c r="D71" i="89"/>
  <c r="C71" i="89"/>
  <c r="E70" i="89"/>
  <c r="D70" i="89"/>
  <c r="C70" i="89"/>
  <c r="E69" i="89"/>
  <c r="D69" i="89"/>
  <c r="C69" i="89"/>
  <c r="E65" i="89"/>
  <c r="D65" i="89"/>
  <c r="C65" i="89"/>
  <c r="E64" i="89"/>
  <c r="D64" i="89"/>
  <c r="C64" i="89"/>
  <c r="E63" i="89"/>
  <c r="D63" i="89"/>
  <c r="C63" i="89"/>
  <c r="E62" i="89"/>
  <c r="D62" i="89"/>
  <c r="C62" i="89"/>
  <c r="E61" i="89"/>
  <c r="D61" i="89"/>
  <c r="C61" i="89"/>
  <c r="E60" i="89"/>
  <c r="D60" i="89"/>
  <c r="C60" i="89"/>
  <c r="E59" i="89"/>
  <c r="D59" i="89"/>
  <c r="C59" i="89"/>
  <c r="E58" i="89"/>
  <c r="D58" i="89"/>
  <c r="C58" i="89"/>
  <c r="E57" i="89"/>
  <c r="D57" i="89"/>
  <c r="C57" i="89"/>
  <c r="E56" i="89"/>
  <c r="D56" i="89"/>
  <c r="C56" i="89"/>
  <c r="E55" i="89"/>
  <c r="D55" i="89"/>
  <c r="C55" i="89"/>
  <c r="E54" i="89"/>
  <c r="D54" i="89"/>
  <c r="C54" i="89"/>
  <c r="E53" i="89"/>
  <c r="D53" i="89"/>
  <c r="C53" i="89"/>
  <c r="E52" i="89"/>
  <c r="D52" i="89"/>
  <c r="C52" i="89"/>
  <c r="E51" i="89"/>
  <c r="D51" i="89"/>
  <c r="C51" i="89"/>
  <c r="E50" i="89"/>
  <c r="D50" i="89"/>
  <c r="C50" i="89"/>
  <c r="E49" i="89"/>
  <c r="D49" i="89"/>
  <c r="C49" i="89"/>
  <c r="E48" i="89"/>
  <c r="D48" i="89"/>
  <c r="C48" i="89"/>
  <c r="E47" i="89"/>
  <c r="D47" i="89"/>
  <c r="C47" i="89"/>
  <c r="E46" i="89"/>
  <c r="D46" i="89"/>
  <c r="C46" i="89"/>
  <c r="E45" i="89"/>
  <c r="D45" i="89"/>
  <c r="C45" i="89"/>
  <c r="E44" i="89"/>
  <c r="D44" i="89"/>
  <c r="C44" i="89"/>
  <c r="E43" i="89"/>
  <c r="D43" i="89"/>
  <c r="C43" i="89"/>
  <c r="E42" i="89"/>
  <c r="D42" i="89"/>
  <c r="C42" i="89"/>
  <c r="E41" i="89"/>
  <c r="D41" i="89"/>
  <c r="C41" i="89"/>
  <c r="E40" i="89"/>
  <c r="D40" i="89"/>
  <c r="C40" i="89"/>
  <c r="E39" i="89"/>
  <c r="D39" i="89"/>
  <c r="C39" i="89"/>
  <c r="E38" i="89"/>
  <c r="D38" i="89"/>
  <c r="C38" i="89"/>
  <c r="E37" i="89"/>
  <c r="D37" i="89"/>
  <c r="C37" i="89"/>
  <c r="E36" i="89"/>
  <c r="D36" i="89"/>
  <c r="C36" i="89"/>
  <c r="E35" i="89"/>
  <c r="D35" i="89"/>
  <c r="C35" i="89"/>
  <c r="E34" i="89"/>
  <c r="D34" i="89"/>
  <c r="C34" i="89"/>
  <c r="E33" i="89"/>
  <c r="D33" i="89"/>
  <c r="C33" i="89"/>
  <c r="E32" i="89"/>
  <c r="D32" i="89"/>
  <c r="C32" i="89"/>
  <c r="E31" i="89"/>
  <c r="D31" i="89"/>
  <c r="C31" i="89"/>
  <c r="E30" i="89"/>
  <c r="D30" i="89"/>
  <c r="C30" i="89"/>
  <c r="D25" i="89"/>
  <c r="C25" i="89"/>
  <c r="D24" i="89"/>
  <c r="C24" i="89"/>
  <c r="D23" i="89"/>
  <c r="C23" i="89"/>
  <c r="D22" i="89"/>
  <c r="C22" i="89"/>
  <c r="D21" i="89"/>
  <c r="C21" i="89"/>
  <c r="D20" i="89"/>
  <c r="C20" i="89"/>
  <c r="D19" i="89"/>
  <c r="C19" i="89"/>
  <c r="C18" i="89"/>
  <c r="D17" i="89"/>
  <c r="C17" i="89"/>
  <c r="D16" i="89"/>
  <c r="C16" i="89"/>
  <c r="D15" i="89"/>
  <c r="C15" i="89"/>
  <c r="D14" i="89"/>
  <c r="C14" i="89"/>
  <c r="D13" i="89"/>
  <c r="C13" i="89"/>
  <c r="D12" i="89"/>
  <c r="C12" i="89"/>
  <c r="F12" i="89" s="1"/>
  <c r="I12" i="89" s="1"/>
  <c r="C4" i="89"/>
  <c r="C3" i="89"/>
  <c r="C238" i="89" l="1"/>
  <c r="D26" i="89"/>
  <c r="C26" i="89"/>
  <c r="D84" i="89"/>
  <c r="C98" i="89"/>
  <c r="C166" i="89"/>
  <c r="D166" i="89"/>
  <c r="D202" i="89"/>
  <c r="E84" i="89"/>
  <c r="D98" i="89"/>
  <c r="C107" i="89"/>
  <c r="E107" i="89"/>
  <c r="E116" i="89"/>
  <c r="C124" i="89"/>
  <c r="E202" i="89"/>
  <c r="C233" i="89"/>
  <c r="E98" i="89"/>
  <c r="D107" i="89"/>
  <c r="D116" i="89"/>
  <c r="D124" i="89"/>
  <c r="E166" i="89"/>
  <c r="C211" i="89"/>
  <c r="E211" i="89"/>
  <c r="C84" i="89"/>
  <c r="C116" i="89"/>
  <c r="E124" i="89"/>
  <c r="C202" i="89"/>
  <c r="D211" i="89"/>
  <c r="C66" i="89"/>
  <c r="D66" i="89"/>
  <c r="E66" i="89"/>
  <c r="E213" i="89" l="1"/>
  <c r="E220" i="89" s="1"/>
  <c r="D213" i="89"/>
  <c r="D220" i="89" s="1"/>
  <c r="C213" i="89"/>
  <c r="C220" i="89" s="1"/>
  <c r="C217" i="89" l="1"/>
  <c r="C243" i="92"/>
  <c r="C242" i="92"/>
  <c r="C241" i="92"/>
  <c r="C240" i="92"/>
  <c r="C237" i="92"/>
  <c r="C236" i="92"/>
  <c r="E233" i="92"/>
  <c r="D233" i="92"/>
  <c r="C232" i="92"/>
  <c r="C231" i="92"/>
  <c r="C230" i="92"/>
  <c r="C229" i="92"/>
  <c r="C228" i="92"/>
  <c r="C227" i="92"/>
  <c r="C226" i="92"/>
  <c r="C225" i="92"/>
  <c r="C224" i="92"/>
  <c r="C216" i="92"/>
  <c r="E210" i="92"/>
  <c r="D210" i="92"/>
  <c r="C210" i="92"/>
  <c r="E209" i="92"/>
  <c r="D209" i="92"/>
  <c r="C209" i="92"/>
  <c r="E208" i="92"/>
  <c r="D208" i="92"/>
  <c r="C208" i="92"/>
  <c r="E207" i="92"/>
  <c r="D207" i="92"/>
  <c r="C207" i="92"/>
  <c r="E206" i="92"/>
  <c r="D206" i="92"/>
  <c r="C206" i="92"/>
  <c r="E205" i="92"/>
  <c r="D205" i="92"/>
  <c r="C205" i="92"/>
  <c r="E201" i="92"/>
  <c r="D201" i="92"/>
  <c r="C201" i="92"/>
  <c r="E200" i="92"/>
  <c r="D200" i="92"/>
  <c r="C200" i="92"/>
  <c r="E199" i="92"/>
  <c r="D199" i="92"/>
  <c r="C199" i="92"/>
  <c r="E198" i="92"/>
  <c r="D198" i="92"/>
  <c r="C198" i="92"/>
  <c r="E197" i="92"/>
  <c r="D197" i="92"/>
  <c r="C197" i="92"/>
  <c r="E196" i="92"/>
  <c r="D196" i="92"/>
  <c r="C196" i="92"/>
  <c r="E195" i="92"/>
  <c r="D195" i="92"/>
  <c r="C195" i="92"/>
  <c r="E194" i="92"/>
  <c r="D194" i="92"/>
  <c r="C194" i="92"/>
  <c r="E193" i="92"/>
  <c r="D193" i="92"/>
  <c r="C193" i="92"/>
  <c r="E192" i="92"/>
  <c r="D192" i="92"/>
  <c r="C192" i="92"/>
  <c r="E191" i="92"/>
  <c r="D191" i="92"/>
  <c r="C191" i="92"/>
  <c r="E190" i="92"/>
  <c r="D190" i="92"/>
  <c r="C190" i="92"/>
  <c r="E189" i="92"/>
  <c r="D189" i="92"/>
  <c r="C189" i="92"/>
  <c r="E188" i="92"/>
  <c r="D188" i="92"/>
  <c r="C188" i="92"/>
  <c r="E187" i="92"/>
  <c r="D187" i="92"/>
  <c r="C187" i="92"/>
  <c r="E186" i="92"/>
  <c r="D186" i="92"/>
  <c r="C186" i="92"/>
  <c r="E185" i="92"/>
  <c r="D185" i="92"/>
  <c r="C185" i="92"/>
  <c r="E184" i="92"/>
  <c r="D184" i="92"/>
  <c r="C184" i="92"/>
  <c r="E183" i="92"/>
  <c r="D183" i="92"/>
  <c r="C183" i="92"/>
  <c r="E182" i="92"/>
  <c r="D182" i="92"/>
  <c r="C182" i="92"/>
  <c r="E181" i="92"/>
  <c r="D181" i="92"/>
  <c r="C181" i="92"/>
  <c r="E180" i="92"/>
  <c r="D180" i="92"/>
  <c r="C180" i="92"/>
  <c r="E179" i="92"/>
  <c r="D179" i="92"/>
  <c r="C179" i="92"/>
  <c r="E178" i="92"/>
  <c r="D178" i="92"/>
  <c r="C178" i="92"/>
  <c r="E177" i="92"/>
  <c r="D177" i="92"/>
  <c r="C177" i="92"/>
  <c r="E176" i="92"/>
  <c r="D176" i="92"/>
  <c r="C176" i="92"/>
  <c r="E175" i="92"/>
  <c r="D175" i="92"/>
  <c r="C175" i="92"/>
  <c r="E174" i="92"/>
  <c r="D174" i="92"/>
  <c r="C174" i="92"/>
  <c r="E173" i="92"/>
  <c r="D173" i="92"/>
  <c r="C173" i="92"/>
  <c r="E172" i="92"/>
  <c r="D172" i="92"/>
  <c r="C172" i="92"/>
  <c r="E171" i="92"/>
  <c r="D171" i="92"/>
  <c r="C171" i="92"/>
  <c r="E170" i="92"/>
  <c r="D170" i="92"/>
  <c r="C170" i="92"/>
  <c r="E169" i="92"/>
  <c r="D169" i="92"/>
  <c r="C169" i="92"/>
  <c r="E165" i="92"/>
  <c r="D165" i="92"/>
  <c r="C165" i="92"/>
  <c r="E164" i="92"/>
  <c r="D164" i="92"/>
  <c r="C164" i="92"/>
  <c r="E163" i="92"/>
  <c r="D163" i="92"/>
  <c r="C163" i="92"/>
  <c r="E162" i="92"/>
  <c r="D162" i="92"/>
  <c r="C162" i="92"/>
  <c r="E161" i="92"/>
  <c r="D161" i="92"/>
  <c r="C161" i="92"/>
  <c r="E160" i="92"/>
  <c r="D160" i="92"/>
  <c r="C160" i="92"/>
  <c r="E158" i="92"/>
  <c r="D158" i="92"/>
  <c r="C158" i="92"/>
  <c r="E157" i="92"/>
  <c r="D157" i="92"/>
  <c r="C157" i="92"/>
  <c r="E156" i="92"/>
  <c r="D156" i="92"/>
  <c r="C156" i="92"/>
  <c r="E155" i="92"/>
  <c r="D155" i="92"/>
  <c r="C155" i="92"/>
  <c r="E154" i="92"/>
  <c r="D154" i="92"/>
  <c r="C154" i="92"/>
  <c r="E153" i="92"/>
  <c r="D153" i="92"/>
  <c r="C153" i="92"/>
  <c r="E152" i="92"/>
  <c r="D152" i="92"/>
  <c r="C152" i="92"/>
  <c r="E151" i="92"/>
  <c r="D151" i="92"/>
  <c r="C151" i="92"/>
  <c r="E150" i="92"/>
  <c r="D150" i="92"/>
  <c r="C150" i="92"/>
  <c r="E148" i="92"/>
  <c r="D148" i="92"/>
  <c r="C148" i="92"/>
  <c r="E147" i="92"/>
  <c r="D147" i="92"/>
  <c r="C147" i="92"/>
  <c r="E146" i="92"/>
  <c r="D146" i="92"/>
  <c r="C146" i="92"/>
  <c r="E145" i="92"/>
  <c r="D145" i="92"/>
  <c r="C145" i="92"/>
  <c r="E143" i="92"/>
  <c r="D143" i="92"/>
  <c r="C143" i="92"/>
  <c r="E142" i="92"/>
  <c r="D142" i="92"/>
  <c r="C142" i="92"/>
  <c r="E141" i="92"/>
  <c r="D141" i="92"/>
  <c r="C141" i="92"/>
  <c r="E140" i="92"/>
  <c r="D140" i="92"/>
  <c r="C140" i="92"/>
  <c r="E138" i="92"/>
  <c r="D138" i="92"/>
  <c r="C138" i="92"/>
  <c r="E137" i="92"/>
  <c r="D137" i="92"/>
  <c r="C137" i="92"/>
  <c r="E136" i="92"/>
  <c r="D136" i="92"/>
  <c r="C136" i="92"/>
  <c r="E135" i="92"/>
  <c r="D135" i="92"/>
  <c r="C135" i="92"/>
  <c r="E134" i="92"/>
  <c r="D134" i="92"/>
  <c r="C134" i="92"/>
  <c r="E132" i="92"/>
  <c r="D132" i="92"/>
  <c r="C132" i="92"/>
  <c r="E131" i="92"/>
  <c r="D131" i="92"/>
  <c r="C131" i="92"/>
  <c r="E130" i="92"/>
  <c r="D130" i="92"/>
  <c r="C130" i="92"/>
  <c r="E129" i="92"/>
  <c r="D129" i="92"/>
  <c r="C129" i="92"/>
  <c r="E128" i="92"/>
  <c r="D128" i="92"/>
  <c r="C128" i="92"/>
  <c r="E123" i="92"/>
  <c r="D123" i="92"/>
  <c r="C123" i="92"/>
  <c r="E122" i="92"/>
  <c r="D122" i="92"/>
  <c r="C122" i="92"/>
  <c r="E121" i="92"/>
  <c r="D121" i="92"/>
  <c r="C121" i="92"/>
  <c r="E120" i="92"/>
  <c r="D120" i="92"/>
  <c r="C120" i="92"/>
  <c r="E119" i="92"/>
  <c r="D119" i="92"/>
  <c r="C119" i="92"/>
  <c r="E115" i="92"/>
  <c r="D115" i="92"/>
  <c r="C115" i="92"/>
  <c r="E114" i="92"/>
  <c r="D114" i="92"/>
  <c r="C114" i="92"/>
  <c r="E113" i="92"/>
  <c r="D113" i="92"/>
  <c r="C113" i="92"/>
  <c r="E112" i="92"/>
  <c r="D112" i="92"/>
  <c r="C112" i="92"/>
  <c r="E111" i="92"/>
  <c r="D111" i="92"/>
  <c r="C111" i="92"/>
  <c r="E110" i="92"/>
  <c r="D110" i="92"/>
  <c r="C110" i="92"/>
  <c r="E106" i="92"/>
  <c r="D106" i="92"/>
  <c r="C106" i="92"/>
  <c r="E105" i="92"/>
  <c r="D105" i="92"/>
  <c r="C105" i="92"/>
  <c r="E104" i="92"/>
  <c r="D104" i="92"/>
  <c r="C104" i="92"/>
  <c r="E103" i="92"/>
  <c r="D103" i="92"/>
  <c r="C103" i="92"/>
  <c r="E102" i="92"/>
  <c r="D102" i="92"/>
  <c r="C102" i="92"/>
  <c r="E101" i="92"/>
  <c r="D101" i="92"/>
  <c r="C101" i="92"/>
  <c r="E97" i="92"/>
  <c r="D97" i="92"/>
  <c r="C97" i="92"/>
  <c r="E96" i="92"/>
  <c r="D96" i="92"/>
  <c r="C96" i="92"/>
  <c r="E95" i="92"/>
  <c r="D95" i="92"/>
  <c r="C95" i="92"/>
  <c r="E94" i="92"/>
  <c r="D94" i="92"/>
  <c r="C94" i="92"/>
  <c r="E93" i="92"/>
  <c r="D93" i="92"/>
  <c r="C93" i="92"/>
  <c r="E92" i="92"/>
  <c r="D92" i="92"/>
  <c r="C92" i="92"/>
  <c r="E91" i="92"/>
  <c r="D91" i="92"/>
  <c r="C91" i="92"/>
  <c r="E90" i="92"/>
  <c r="D90" i="92"/>
  <c r="C90" i="92"/>
  <c r="E89" i="92"/>
  <c r="D89" i="92"/>
  <c r="C89" i="92"/>
  <c r="E88" i="92"/>
  <c r="D88" i="92"/>
  <c r="C88" i="92"/>
  <c r="E87" i="92"/>
  <c r="D87" i="92"/>
  <c r="C87" i="92"/>
  <c r="E83" i="92"/>
  <c r="D83" i="92"/>
  <c r="C83" i="92"/>
  <c r="E82" i="92"/>
  <c r="D82" i="92"/>
  <c r="C82" i="92"/>
  <c r="E81" i="92"/>
  <c r="D81" i="92"/>
  <c r="C81" i="92"/>
  <c r="E80" i="92"/>
  <c r="D80" i="92"/>
  <c r="C80" i="92"/>
  <c r="E79" i="92"/>
  <c r="D79" i="92"/>
  <c r="C79" i="92"/>
  <c r="E78" i="92"/>
  <c r="D78" i="92"/>
  <c r="C78" i="92"/>
  <c r="E77" i="92"/>
  <c r="D77" i="92"/>
  <c r="C77" i="92"/>
  <c r="E76" i="92"/>
  <c r="D76" i="92"/>
  <c r="C76" i="92"/>
  <c r="E75" i="92"/>
  <c r="D75" i="92"/>
  <c r="C75" i="92"/>
  <c r="E74" i="92"/>
  <c r="D74" i="92"/>
  <c r="C74" i="92"/>
  <c r="E73" i="92"/>
  <c r="D73" i="92"/>
  <c r="C73" i="92"/>
  <c r="E72" i="92"/>
  <c r="D72" i="92"/>
  <c r="C72" i="92"/>
  <c r="E71" i="92"/>
  <c r="D71" i="92"/>
  <c r="C71" i="92"/>
  <c r="E70" i="92"/>
  <c r="D70" i="92"/>
  <c r="C70" i="92"/>
  <c r="E69" i="92"/>
  <c r="D69" i="92"/>
  <c r="C69" i="92"/>
  <c r="E65" i="92"/>
  <c r="D65" i="92"/>
  <c r="C65" i="92"/>
  <c r="E64" i="92"/>
  <c r="D64" i="92"/>
  <c r="C64" i="92"/>
  <c r="E63" i="92"/>
  <c r="D63" i="92"/>
  <c r="C63" i="92"/>
  <c r="E62" i="92"/>
  <c r="D62" i="92"/>
  <c r="C62" i="92"/>
  <c r="E61" i="92"/>
  <c r="D61" i="92"/>
  <c r="C61" i="92"/>
  <c r="E60" i="92"/>
  <c r="D60" i="92"/>
  <c r="C60" i="92"/>
  <c r="E59" i="92"/>
  <c r="D59" i="92"/>
  <c r="C59" i="92"/>
  <c r="E58" i="92"/>
  <c r="D58" i="92"/>
  <c r="C58" i="92"/>
  <c r="E57" i="92"/>
  <c r="D57" i="92"/>
  <c r="C57" i="92"/>
  <c r="E56" i="92"/>
  <c r="D56" i="92"/>
  <c r="C56" i="92"/>
  <c r="E55" i="92"/>
  <c r="D55" i="92"/>
  <c r="C55" i="92"/>
  <c r="E54" i="92"/>
  <c r="D54" i="92"/>
  <c r="C54" i="92"/>
  <c r="E53" i="92"/>
  <c r="D53" i="92"/>
  <c r="C53" i="92"/>
  <c r="E52" i="92"/>
  <c r="D52" i="92"/>
  <c r="C52" i="92"/>
  <c r="E51" i="92"/>
  <c r="D51" i="92"/>
  <c r="C51" i="92"/>
  <c r="E50" i="92"/>
  <c r="D50" i="92"/>
  <c r="C50" i="92"/>
  <c r="E49" i="92"/>
  <c r="D49" i="92"/>
  <c r="C49" i="92"/>
  <c r="E48" i="92"/>
  <c r="D48" i="92"/>
  <c r="C48" i="92"/>
  <c r="E47" i="92"/>
  <c r="D47" i="92"/>
  <c r="C47" i="92"/>
  <c r="E46" i="92"/>
  <c r="D46" i="92"/>
  <c r="C46" i="92"/>
  <c r="E45" i="92"/>
  <c r="D45" i="92"/>
  <c r="C45" i="92"/>
  <c r="E44" i="92"/>
  <c r="D44" i="92"/>
  <c r="C44" i="92"/>
  <c r="E43" i="92"/>
  <c r="D43" i="92"/>
  <c r="C43" i="92"/>
  <c r="E42" i="92"/>
  <c r="D42" i="92"/>
  <c r="C42" i="92"/>
  <c r="E41" i="92"/>
  <c r="D41" i="92"/>
  <c r="C41" i="92"/>
  <c r="E40" i="92"/>
  <c r="D40" i="92"/>
  <c r="C40" i="92"/>
  <c r="E39" i="92"/>
  <c r="D39" i="92"/>
  <c r="C39" i="92"/>
  <c r="E38" i="92"/>
  <c r="D38" i="92"/>
  <c r="C38" i="92"/>
  <c r="E37" i="92"/>
  <c r="D37" i="92"/>
  <c r="C37" i="92"/>
  <c r="E36" i="92"/>
  <c r="D36" i="92"/>
  <c r="C36" i="92"/>
  <c r="E35" i="92"/>
  <c r="D35" i="92"/>
  <c r="C35" i="92"/>
  <c r="E34" i="92"/>
  <c r="D34" i="92"/>
  <c r="C34" i="92"/>
  <c r="E33" i="92"/>
  <c r="D33" i="92"/>
  <c r="C33" i="92"/>
  <c r="E32" i="92"/>
  <c r="D32" i="92"/>
  <c r="C32" i="92"/>
  <c r="E31" i="92"/>
  <c r="D31" i="92"/>
  <c r="C31" i="92"/>
  <c r="E30" i="92"/>
  <c r="D30" i="92"/>
  <c r="C30" i="92"/>
  <c r="D25" i="92"/>
  <c r="C25" i="92"/>
  <c r="D24" i="92"/>
  <c r="C24" i="92"/>
  <c r="D23" i="92"/>
  <c r="C23" i="92"/>
  <c r="D22" i="92"/>
  <c r="C22" i="92"/>
  <c r="D21" i="92"/>
  <c r="C21" i="92"/>
  <c r="D20" i="92"/>
  <c r="C20" i="92"/>
  <c r="D19" i="92"/>
  <c r="C19" i="92"/>
  <c r="D18" i="92"/>
  <c r="C18" i="92"/>
  <c r="D17" i="92"/>
  <c r="C17" i="92"/>
  <c r="D16" i="92"/>
  <c r="C16" i="92"/>
  <c r="D15" i="92"/>
  <c r="C15" i="92"/>
  <c r="D14" i="92"/>
  <c r="C14" i="92"/>
  <c r="D13" i="92"/>
  <c r="C13" i="92"/>
  <c r="D12" i="92"/>
  <c r="C12" i="92"/>
  <c r="C4" i="92"/>
  <c r="C3" i="92"/>
  <c r="C26" i="92" l="1"/>
  <c r="F12" i="92"/>
  <c r="I12" i="92" s="1"/>
  <c r="C84" i="92"/>
  <c r="D84" i="92"/>
  <c r="C202" i="92"/>
  <c r="D26" i="92"/>
  <c r="C98" i="92"/>
  <c r="D98" i="92"/>
  <c r="C166" i="92"/>
  <c r="D166" i="92"/>
  <c r="C238" i="92"/>
  <c r="E98" i="92"/>
  <c r="C116" i="92"/>
  <c r="E166" i="92"/>
  <c r="C211" i="92"/>
  <c r="E124" i="92"/>
  <c r="D202" i="92"/>
  <c r="E84" i="92"/>
  <c r="C107" i="92"/>
  <c r="D107" i="92"/>
  <c r="E107" i="92"/>
  <c r="E116" i="92"/>
  <c r="C124" i="92"/>
  <c r="D124" i="92"/>
  <c r="E202" i="92"/>
  <c r="D116" i="92"/>
  <c r="D211" i="92"/>
  <c r="E211" i="92"/>
  <c r="C233" i="92"/>
  <c r="C66" i="92"/>
  <c r="D66" i="92"/>
  <c r="E66" i="92"/>
  <c r="D213" i="92" l="1"/>
  <c r="D220" i="92" s="1"/>
  <c r="E213" i="92"/>
  <c r="E220" i="92" s="1"/>
  <c r="C213" i="92"/>
  <c r="C217" i="92" s="1"/>
  <c r="C220" i="92" l="1"/>
  <c r="D18" i="16"/>
  <c r="C243" i="16"/>
  <c r="C242" i="16"/>
  <c r="C241" i="16"/>
  <c r="C240" i="16"/>
  <c r="C237" i="16"/>
  <c r="C236" i="16"/>
  <c r="E233" i="16"/>
  <c r="D233" i="16"/>
  <c r="C232" i="16"/>
  <c r="C231" i="16"/>
  <c r="C230" i="16"/>
  <c r="C229" i="16"/>
  <c r="C228" i="16"/>
  <c r="C227" i="16"/>
  <c r="C226" i="16"/>
  <c r="C225" i="16"/>
  <c r="C224" i="16"/>
  <c r="C216" i="16"/>
  <c r="E210" i="16"/>
  <c r="D210" i="16"/>
  <c r="C210" i="16"/>
  <c r="E209" i="16"/>
  <c r="D209" i="16"/>
  <c r="C209" i="16"/>
  <c r="E208" i="16"/>
  <c r="D208" i="16"/>
  <c r="C208" i="16"/>
  <c r="E207" i="16"/>
  <c r="D207" i="16"/>
  <c r="C207" i="16"/>
  <c r="E206" i="16"/>
  <c r="D206" i="16"/>
  <c r="C206" i="16"/>
  <c r="E205" i="16"/>
  <c r="D205" i="16"/>
  <c r="C205" i="16"/>
  <c r="E201" i="16"/>
  <c r="D201" i="16"/>
  <c r="C201" i="16"/>
  <c r="E200" i="16"/>
  <c r="D200" i="16"/>
  <c r="C200" i="16"/>
  <c r="E199" i="16"/>
  <c r="D199" i="16"/>
  <c r="C199" i="16"/>
  <c r="E198" i="16"/>
  <c r="D198" i="16"/>
  <c r="C198" i="16"/>
  <c r="E197" i="16"/>
  <c r="D197" i="16"/>
  <c r="C197" i="16"/>
  <c r="E196" i="16"/>
  <c r="D196" i="16"/>
  <c r="C196" i="16"/>
  <c r="E195" i="16"/>
  <c r="D195" i="16"/>
  <c r="C195" i="16"/>
  <c r="E194" i="16"/>
  <c r="D194" i="16"/>
  <c r="C194" i="16"/>
  <c r="E193" i="16"/>
  <c r="D193" i="16"/>
  <c r="C193" i="16"/>
  <c r="E192" i="16"/>
  <c r="D192" i="16"/>
  <c r="C192" i="16"/>
  <c r="E191" i="16"/>
  <c r="D191" i="16"/>
  <c r="C191" i="16"/>
  <c r="E190" i="16"/>
  <c r="D190" i="16"/>
  <c r="C190" i="16"/>
  <c r="E189" i="16"/>
  <c r="D189" i="16"/>
  <c r="C189" i="16"/>
  <c r="E188" i="16"/>
  <c r="C188" i="16"/>
  <c r="E187" i="16"/>
  <c r="D187" i="16"/>
  <c r="C187" i="16"/>
  <c r="E186" i="16"/>
  <c r="C186" i="16"/>
  <c r="E185" i="16"/>
  <c r="D185" i="16"/>
  <c r="C185" i="16"/>
  <c r="E184" i="16"/>
  <c r="D184" i="16"/>
  <c r="C184" i="16"/>
  <c r="E183" i="16"/>
  <c r="D183" i="16"/>
  <c r="C183" i="16"/>
  <c r="E182" i="16"/>
  <c r="D182" i="16"/>
  <c r="C182" i="16"/>
  <c r="E181" i="16"/>
  <c r="D181" i="16"/>
  <c r="C181" i="16"/>
  <c r="E180" i="16"/>
  <c r="D180" i="16"/>
  <c r="C180" i="16"/>
  <c r="E179" i="16"/>
  <c r="D179" i="16"/>
  <c r="C179" i="16"/>
  <c r="E178" i="16"/>
  <c r="D178" i="16"/>
  <c r="C178" i="16"/>
  <c r="E177" i="16"/>
  <c r="D177" i="16"/>
  <c r="C177" i="16"/>
  <c r="E176" i="16"/>
  <c r="D176" i="16"/>
  <c r="C176" i="16"/>
  <c r="E175" i="16"/>
  <c r="D175" i="16"/>
  <c r="C175" i="16"/>
  <c r="E174" i="16"/>
  <c r="D174" i="16"/>
  <c r="C174" i="16"/>
  <c r="E173" i="16"/>
  <c r="D173" i="16"/>
  <c r="C173" i="16"/>
  <c r="E172" i="16"/>
  <c r="D172" i="16"/>
  <c r="C172" i="16"/>
  <c r="E171" i="16"/>
  <c r="D171" i="16"/>
  <c r="C171" i="16"/>
  <c r="E170" i="16"/>
  <c r="D170" i="16"/>
  <c r="C170" i="16"/>
  <c r="E169" i="16"/>
  <c r="D169" i="16"/>
  <c r="C169" i="16"/>
  <c r="E165" i="16"/>
  <c r="D165" i="16"/>
  <c r="C165" i="16"/>
  <c r="E164" i="16"/>
  <c r="D164" i="16"/>
  <c r="C164" i="16"/>
  <c r="E163" i="16"/>
  <c r="D163" i="16"/>
  <c r="C163" i="16"/>
  <c r="E162" i="16"/>
  <c r="D162" i="16"/>
  <c r="C162" i="16"/>
  <c r="E161" i="16"/>
  <c r="D161" i="16"/>
  <c r="C161" i="16"/>
  <c r="E160" i="16"/>
  <c r="D160" i="16"/>
  <c r="C160" i="16"/>
  <c r="E158" i="16"/>
  <c r="D158" i="16"/>
  <c r="C158" i="16"/>
  <c r="E157" i="16"/>
  <c r="D157" i="16"/>
  <c r="C157" i="16"/>
  <c r="E156" i="16"/>
  <c r="D156" i="16"/>
  <c r="C156" i="16"/>
  <c r="E155" i="16"/>
  <c r="D155" i="16"/>
  <c r="C155" i="16"/>
  <c r="E154" i="16"/>
  <c r="C154" i="16"/>
  <c r="E153" i="16"/>
  <c r="D153" i="16"/>
  <c r="C153" i="16"/>
  <c r="E152" i="16"/>
  <c r="D152" i="16"/>
  <c r="C152" i="16"/>
  <c r="E151" i="16"/>
  <c r="D151" i="16"/>
  <c r="C151" i="16"/>
  <c r="E150" i="16"/>
  <c r="D150" i="16"/>
  <c r="C150" i="16"/>
  <c r="E148" i="16"/>
  <c r="D148" i="16"/>
  <c r="C148" i="16"/>
  <c r="E147" i="16"/>
  <c r="D147" i="16"/>
  <c r="C147" i="16"/>
  <c r="E146" i="16"/>
  <c r="D146" i="16"/>
  <c r="C146" i="16"/>
  <c r="E145" i="16"/>
  <c r="D145" i="16"/>
  <c r="C145" i="16"/>
  <c r="E143" i="16"/>
  <c r="D143" i="16"/>
  <c r="C143" i="16"/>
  <c r="E142" i="16"/>
  <c r="D142" i="16"/>
  <c r="C142" i="16"/>
  <c r="E141" i="16"/>
  <c r="D141" i="16"/>
  <c r="C141" i="16"/>
  <c r="E140" i="16"/>
  <c r="D140" i="16"/>
  <c r="C140" i="16"/>
  <c r="E138" i="16"/>
  <c r="D138" i="16"/>
  <c r="C138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8" i="16"/>
  <c r="D128" i="16"/>
  <c r="C128" i="16"/>
  <c r="E123" i="16"/>
  <c r="D123" i="16"/>
  <c r="C123" i="16"/>
  <c r="E122" i="16"/>
  <c r="D122" i="16"/>
  <c r="C122" i="16"/>
  <c r="E121" i="16"/>
  <c r="D121" i="16"/>
  <c r="C121" i="16"/>
  <c r="E120" i="16"/>
  <c r="D120" i="16"/>
  <c r="C120" i="16"/>
  <c r="E119" i="16"/>
  <c r="D119" i="16"/>
  <c r="C119" i="16"/>
  <c r="E115" i="16"/>
  <c r="D115" i="16"/>
  <c r="C115" i="16"/>
  <c r="E114" i="16"/>
  <c r="D114" i="16"/>
  <c r="C114" i="16"/>
  <c r="E113" i="16"/>
  <c r="D113" i="16"/>
  <c r="C113" i="16"/>
  <c r="E112" i="16"/>
  <c r="D112" i="16"/>
  <c r="C112" i="16"/>
  <c r="E111" i="16"/>
  <c r="D111" i="16"/>
  <c r="C111" i="16"/>
  <c r="E110" i="16"/>
  <c r="D110" i="16"/>
  <c r="C110" i="16"/>
  <c r="E106" i="16"/>
  <c r="D106" i="16"/>
  <c r="C106" i="16"/>
  <c r="E105" i="16"/>
  <c r="D105" i="16"/>
  <c r="C105" i="16"/>
  <c r="E104" i="16"/>
  <c r="D104" i="16"/>
  <c r="C104" i="16"/>
  <c r="E103" i="16"/>
  <c r="D103" i="16"/>
  <c r="C103" i="16"/>
  <c r="E102" i="16"/>
  <c r="D102" i="16"/>
  <c r="C102" i="16"/>
  <c r="E101" i="16"/>
  <c r="D101" i="16"/>
  <c r="C101" i="16"/>
  <c r="E97" i="16"/>
  <c r="D97" i="16"/>
  <c r="C97" i="16"/>
  <c r="E96" i="16"/>
  <c r="C96" i="16"/>
  <c r="E95" i="16"/>
  <c r="D95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90" i="16"/>
  <c r="C90" i="16"/>
  <c r="E89" i="16"/>
  <c r="D89" i="16"/>
  <c r="C89" i="16"/>
  <c r="E88" i="16"/>
  <c r="D88" i="16"/>
  <c r="C88" i="16"/>
  <c r="E87" i="16"/>
  <c r="D87" i="16"/>
  <c r="C87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9" i="16"/>
  <c r="C79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C73" i="16"/>
  <c r="E72" i="16"/>
  <c r="D72" i="16"/>
  <c r="C72" i="16"/>
  <c r="E71" i="16"/>
  <c r="D71" i="16"/>
  <c r="C71" i="16"/>
  <c r="E70" i="16"/>
  <c r="C70" i="16"/>
  <c r="E69" i="16"/>
  <c r="D69" i="16"/>
  <c r="C69" i="16"/>
  <c r="E65" i="16"/>
  <c r="C65" i="16"/>
  <c r="E64" i="16"/>
  <c r="D64" i="16"/>
  <c r="C64" i="16"/>
  <c r="E63" i="16"/>
  <c r="D63" i="16"/>
  <c r="C63" i="16"/>
  <c r="E62" i="16"/>
  <c r="C62" i="16"/>
  <c r="E61" i="16"/>
  <c r="D61" i="16"/>
  <c r="C61" i="16"/>
  <c r="E60" i="16"/>
  <c r="D60" i="16"/>
  <c r="C60" i="16"/>
  <c r="E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C47" i="16"/>
  <c r="E46" i="16"/>
  <c r="D46" i="16"/>
  <c r="C46" i="16"/>
  <c r="E45" i="16"/>
  <c r="D45" i="16"/>
  <c r="C45" i="16"/>
  <c r="E44" i="16"/>
  <c r="D44" i="16"/>
  <c r="C44" i="16"/>
  <c r="E43" i="16"/>
  <c r="C43" i="16"/>
  <c r="E42" i="16"/>
  <c r="D42" i="16"/>
  <c r="C42" i="16"/>
  <c r="E41" i="16"/>
  <c r="C41" i="16"/>
  <c r="E40" i="16"/>
  <c r="C40" i="16"/>
  <c r="E39" i="16"/>
  <c r="D39" i="16"/>
  <c r="C39" i="16"/>
  <c r="E38" i="16"/>
  <c r="D38" i="16"/>
  <c r="C38" i="16"/>
  <c r="E37" i="16"/>
  <c r="D37" i="16"/>
  <c r="C37" i="16"/>
  <c r="E36" i="16"/>
  <c r="C36" i="16"/>
  <c r="E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D25" i="16"/>
  <c r="C25" i="16"/>
  <c r="D24" i="16"/>
  <c r="C24" i="16"/>
  <c r="D23" i="16"/>
  <c r="C23" i="16"/>
  <c r="D22" i="16"/>
  <c r="C22" i="16"/>
  <c r="D21" i="16"/>
  <c r="C21" i="16"/>
  <c r="D20" i="16"/>
  <c r="C20" i="16"/>
  <c r="D19" i="16"/>
  <c r="C19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C4" i="16"/>
  <c r="C3" i="16"/>
  <c r="C238" i="16" l="1"/>
  <c r="D26" i="16"/>
  <c r="F12" i="16"/>
  <c r="I12" i="16" s="1"/>
  <c r="E202" i="16"/>
  <c r="E84" i="16"/>
  <c r="D124" i="16"/>
  <c r="C84" i="16"/>
  <c r="C116" i="16"/>
  <c r="E116" i="16"/>
  <c r="E124" i="16"/>
  <c r="D202" i="16"/>
  <c r="D211" i="16"/>
  <c r="D98" i="16"/>
  <c r="C107" i="16"/>
  <c r="E107" i="16"/>
  <c r="E166" i="16"/>
  <c r="C233" i="16"/>
  <c r="E98" i="16"/>
  <c r="D107" i="16"/>
  <c r="D116" i="16"/>
  <c r="C202" i="16"/>
  <c r="C211" i="16"/>
  <c r="E211" i="16"/>
  <c r="C26" i="16"/>
  <c r="D84" i="16"/>
  <c r="C98" i="16"/>
  <c r="C124" i="16"/>
  <c r="C166" i="16"/>
  <c r="D166" i="16"/>
  <c r="C66" i="16"/>
  <c r="D66" i="16"/>
  <c r="E66" i="16"/>
  <c r="D213" i="16" l="1"/>
  <c r="D220" i="16" s="1"/>
  <c r="C213" i="16"/>
  <c r="C220" i="16" s="1"/>
  <c r="E213" i="16"/>
  <c r="E220" i="16" s="1"/>
  <c r="C217" i="16" l="1"/>
  <c r="D18" i="119"/>
  <c r="I249" i="119"/>
  <c r="I248" i="119"/>
  <c r="I247" i="119"/>
  <c r="I246" i="119"/>
  <c r="C243" i="119"/>
  <c r="C242" i="119"/>
  <c r="C241" i="119"/>
  <c r="C240" i="119"/>
  <c r="C237" i="119"/>
  <c r="C236" i="119"/>
  <c r="E233" i="119"/>
  <c r="D233" i="119"/>
  <c r="C232" i="119"/>
  <c r="C231" i="119"/>
  <c r="C230" i="119"/>
  <c r="C229" i="119"/>
  <c r="C228" i="119"/>
  <c r="C227" i="119"/>
  <c r="C226" i="119"/>
  <c r="C225" i="119"/>
  <c r="C224" i="119"/>
  <c r="C216" i="119"/>
  <c r="E210" i="119"/>
  <c r="D210" i="119"/>
  <c r="C210" i="119"/>
  <c r="E209" i="119"/>
  <c r="D209" i="119"/>
  <c r="C209" i="119"/>
  <c r="E208" i="119"/>
  <c r="D208" i="119"/>
  <c r="C208" i="119"/>
  <c r="E207" i="119"/>
  <c r="D207" i="119"/>
  <c r="C207" i="119"/>
  <c r="E206" i="119"/>
  <c r="D206" i="119"/>
  <c r="C206" i="119"/>
  <c r="E205" i="119"/>
  <c r="D205" i="119"/>
  <c r="C205" i="119"/>
  <c r="E201" i="119"/>
  <c r="D201" i="119"/>
  <c r="C201" i="119"/>
  <c r="E200" i="119"/>
  <c r="D200" i="119"/>
  <c r="C200" i="119"/>
  <c r="E199" i="119"/>
  <c r="D199" i="119"/>
  <c r="C199" i="119"/>
  <c r="E198" i="119"/>
  <c r="D198" i="119"/>
  <c r="C198" i="119"/>
  <c r="E197" i="119"/>
  <c r="D197" i="119"/>
  <c r="C197" i="119"/>
  <c r="E196" i="119"/>
  <c r="D196" i="119"/>
  <c r="C196" i="119"/>
  <c r="E195" i="119"/>
  <c r="D195" i="119"/>
  <c r="C195" i="119"/>
  <c r="E194" i="119"/>
  <c r="D194" i="119"/>
  <c r="C194" i="119"/>
  <c r="E193" i="119"/>
  <c r="D193" i="119"/>
  <c r="C193" i="119"/>
  <c r="E192" i="119"/>
  <c r="D192" i="119"/>
  <c r="C192" i="119"/>
  <c r="E191" i="119"/>
  <c r="D191" i="119"/>
  <c r="C191" i="119"/>
  <c r="E190" i="119"/>
  <c r="D190" i="119"/>
  <c r="C190" i="119"/>
  <c r="E189" i="119"/>
  <c r="D189" i="119"/>
  <c r="C189" i="119"/>
  <c r="E188" i="119"/>
  <c r="D188" i="119"/>
  <c r="C188" i="119"/>
  <c r="E187" i="119"/>
  <c r="D187" i="119"/>
  <c r="C187" i="119"/>
  <c r="E186" i="119"/>
  <c r="D186" i="119"/>
  <c r="C186" i="119"/>
  <c r="E185" i="119"/>
  <c r="D185" i="119"/>
  <c r="C185" i="119"/>
  <c r="E184" i="119"/>
  <c r="D184" i="119"/>
  <c r="C184" i="119"/>
  <c r="E183" i="119"/>
  <c r="D183" i="119"/>
  <c r="C183" i="119"/>
  <c r="E182" i="119"/>
  <c r="D182" i="119"/>
  <c r="C182" i="119"/>
  <c r="E181" i="119"/>
  <c r="D181" i="119"/>
  <c r="C181" i="119"/>
  <c r="E180" i="119"/>
  <c r="D180" i="119"/>
  <c r="C180" i="119"/>
  <c r="E179" i="119"/>
  <c r="D179" i="119"/>
  <c r="C179" i="119"/>
  <c r="E178" i="119"/>
  <c r="D178" i="119"/>
  <c r="C178" i="119"/>
  <c r="E177" i="119"/>
  <c r="D177" i="119"/>
  <c r="C177" i="119"/>
  <c r="E176" i="119"/>
  <c r="D176" i="119"/>
  <c r="C176" i="119"/>
  <c r="E175" i="119"/>
  <c r="D175" i="119"/>
  <c r="C175" i="119"/>
  <c r="E174" i="119"/>
  <c r="D174" i="119"/>
  <c r="C174" i="119"/>
  <c r="E173" i="119"/>
  <c r="D173" i="119"/>
  <c r="C173" i="119"/>
  <c r="E172" i="119"/>
  <c r="D172" i="119"/>
  <c r="C172" i="119"/>
  <c r="E171" i="119"/>
  <c r="C171" i="119"/>
  <c r="E170" i="119"/>
  <c r="D170" i="119"/>
  <c r="C170" i="119"/>
  <c r="E169" i="119"/>
  <c r="D169" i="119"/>
  <c r="C169" i="119"/>
  <c r="E165" i="119"/>
  <c r="D165" i="119"/>
  <c r="C165" i="119"/>
  <c r="E164" i="119"/>
  <c r="D164" i="119"/>
  <c r="C164" i="119"/>
  <c r="E163" i="119"/>
  <c r="D163" i="119"/>
  <c r="C163" i="119"/>
  <c r="E162" i="119"/>
  <c r="D162" i="119"/>
  <c r="C162" i="119"/>
  <c r="E161" i="119"/>
  <c r="D161" i="119"/>
  <c r="C161" i="119"/>
  <c r="E160" i="119"/>
  <c r="D160" i="119"/>
  <c r="C160" i="119"/>
  <c r="E158" i="119"/>
  <c r="D158" i="119"/>
  <c r="C158" i="119"/>
  <c r="E157" i="119"/>
  <c r="D157" i="119"/>
  <c r="C157" i="119"/>
  <c r="E156" i="119"/>
  <c r="D156" i="119"/>
  <c r="C156" i="119"/>
  <c r="E155" i="119"/>
  <c r="D155" i="119"/>
  <c r="C155" i="119"/>
  <c r="E154" i="119"/>
  <c r="D154" i="119"/>
  <c r="C154" i="119"/>
  <c r="E153" i="119"/>
  <c r="D153" i="119"/>
  <c r="C153" i="119"/>
  <c r="E152" i="119"/>
  <c r="D152" i="119"/>
  <c r="C152" i="119"/>
  <c r="E151" i="119"/>
  <c r="D151" i="119"/>
  <c r="C151" i="119"/>
  <c r="E150" i="119"/>
  <c r="D150" i="119"/>
  <c r="C150" i="119"/>
  <c r="E148" i="119"/>
  <c r="D148" i="119"/>
  <c r="C148" i="119"/>
  <c r="E147" i="119"/>
  <c r="D147" i="119"/>
  <c r="C147" i="119"/>
  <c r="E146" i="119"/>
  <c r="D146" i="119"/>
  <c r="C146" i="119"/>
  <c r="E145" i="119"/>
  <c r="D145" i="119"/>
  <c r="C145" i="119"/>
  <c r="E143" i="119"/>
  <c r="D143" i="119"/>
  <c r="C143" i="119"/>
  <c r="E142" i="119"/>
  <c r="D142" i="119"/>
  <c r="C142" i="119"/>
  <c r="E141" i="119"/>
  <c r="D141" i="119"/>
  <c r="C141" i="119"/>
  <c r="E140" i="119"/>
  <c r="D140" i="119"/>
  <c r="C140" i="119"/>
  <c r="E138" i="119"/>
  <c r="D138" i="119"/>
  <c r="C138" i="119"/>
  <c r="E137" i="119"/>
  <c r="D137" i="119"/>
  <c r="C137" i="119"/>
  <c r="E136" i="119"/>
  <c r="D136" i="119"/>
  <c r="C136" i="119"/>
  <c r="E135" i="119"/>
  <c r="D135" i="119"/>
  <c r="C135" i="119"/>
  <c r="E134" i="119"/>
  <c r="D134" i="119"/>
  <c r="C134" i="119"/>
  <c r="E132" i="119"/>
  <c r="C132" i="119"/>
  <c r="E131" i="119"/>
  <c r="D131" i="119"/>
  <c r="C131" i="119"/>
  <c r="E130" i="119"/>
  <c r="D130" i="119"/>
  <c r="C130" i="119"/>
  <c r="E129" i="119"/>
  <c r="D129" i="119"/>
  <c r="C129" i="119"/>
  <c r="E128" i="119"/>
  <c r="D128" i="119"/>
  <c r="C128" i="119"/>
  <c r="E123" i="119"/>
  <c r="D123" i="119"/>
  <c r="C123" i="119"/>
  <c r="E122" i="119"/>
  <c r="D122" i="119"/>
  <c r="C122" i="119"/>
  <c r="E121" i="119"/>
  <c r="D121" i="119"/>
  <c r="C121" i="119"/>
  <c r="E120" i="119"/>
  <c r="D120" i="119"/>
  <c r="C120" i="119"/>
  <c r="E119" i="119"/>
  <c r="D119" i="119"/>
  <c r="C119" i="119"/>
  <c r="E115" i="119"/>
  <c r="D115" i="119"/>
  <c r="C115" i="119"/>
  <c r="E114" i="119"/>
  <c r="D114" i="119"/>
  <c r="C114" i="119"/>
  <c r="E113" i="119"/>
  <c r="D113" i="119"/>
  <c r="C113" i="119"/>
  <c r="E112" i="119"/>
  <c r="D112" i="119"/>
  <c r="C112" i="119"/>
  <c r="E111" i="119"/>
  <c r="D111" i="119"/>
  <c r="C111" i="119"/>
  <c r="E110" i="119"/>
  <c r="D110" i="119"/>
  <c r="C110" i="119"/>
  <c r="E106" i="119"/>
  <c r="D106" i="119"/>
  <c r="C106" i="119"/>
  <c r="E105" i="119"/>
  <c r="D105" i="119"/>
  <c r="C105" i="119"/>
  <c r="E104" i="119"/>
  <c r="D104" i="119"/>
  <c r="C104" i="119"/>
  <c r="E103" i="119"/>
  <c r="D103" i="119"/>
  <c r="C103" i="119"/>
  <c r="E102" i="119"/>
  <c r="D102" i="119"/>
  <c r="C102" i="119"/>
  <c r="E101" i="119"/>
  <c r="D101" i="119"/>
  <c r="C101" i="119"/>
  <c r="E97" i="119"/>
  <c r="D97" i="119"/>
  <c r="C97" i="119"/>
  <c r="E96" i="119"/>
  <c r="C96" i="119"/>
  <c r="E95" i="119"/>
  <c r="D95" i="119"/>
  <c r="C95" i="119"/>
  <c r="E94" i="119"/>
  <c r="D94" i="119"/>
  <c r="C94" i="119"/>
  <c r="E93" i="119"/>
  <c r="D93" i="119"/>
  <c r="C93" i="119"/>
  <c r="E92" i="119"/>
  <c r="D92" i="119"/>
  <c r="C92" i="119"/>
  <c r="E91" i="119"/>
  <c r="D91" i="119"/>
  <c r="C91" i="119"/>
  <c r="E90" i="119"/>
  <c r="C90" i="119"/>
  <c r="E89" i="119"/>
  <c r="D89" i="119"/>
  <c r="C89" i="119"/>
  <c r="E88" i="119"/>
  <c r="D88" i="119"/>
  <c r="C88" i="119"/>
  <c r="E87" i="119"/>
  <c r="D87" i="119"/>
  <c r="C87" i="119"/>
  <c r="E83" i="119"/>
  <c r="D83" i="119"/>
  <c r="C83" i="119"/>
  <c r="E82" i="119"/>
  <c r="D82" i="119"/>
  <c r="C82" i="119"/>
  <c r="E81" i="119"/>
  <c r="D81" i="119"/>
  <c r="C81" i="119"/>
  <c r="E80" i="119"/>
  <c r="D80" i="119"/>
  <c r="C80" i="119"/>
  <c r="E79" i="119"/>
  <c r="C79" i="119"/>
  <c r="E78" i="119"/>
  <c r="D78" i="119"/>
  <c r="C78" i="119"/>
  <c r="E77" i="119"/>
  <c r="D77" i="119"/>
  <c r="C77" i="119"/>
  <c r="E76" i="119"/>
  <c r="D76" i="119"/>
  <c r="C76" i="119"/>
  <c r="E75" i="119"/>
  <c r="D75" i="119"/>
  <c r="C75" i="119"/>
  <c r="E74" i="119"/>
  <c r="D74" i="119"/>
  <c r="C74" i="119"/>
  <c r="E73" i="119"/>
  <c r="C73" i="119"/>
  <c r="E72" i="119"/>
  <c r="D72" i="119"/>
  <c r="C72" i="119"/>
  <c r="E71" i="119"/>
  <c r="D71" i="119"/>
  <c r="C71" i="119"/>
  <c r="E70" i="119"/>
  <c r="C70" i="119"/>
  <c r="E69" i="119"/>
  <c r="D69" i="119"/>
  <c r="C69" i="119"/>
  <c r="E65" i="119"/>
  <c r="C65" i="119"/>
  <c r="E64" i="119"/>
  <c r="D64" i="119"/>
  <c r="C64" i="119"/>
  <c r="E63" i="119"/>
  <c r="D63" i="119"/>
  <c r="C63" i="119"/>
  <c r="E62" i="119"/>
  <c r="C62" i="119"/>
  <c r="E61" i="119"/>
  <c r="C61" i="119"/>
  <c r="E60" i="119"/>
  <c r="D60" i="119"/>
  <c r="C60" i="119"/>
  <c r="E59" i="119"/>
  <c r="C59" i="119"/>
  <c r="E58" i="119"/>
  <c r="D58" i="119"/>
  <c r="C58" i="119"/>
  <c r="E57" i="119"/>
  <c r="D57" i="119"/>
  <c r="C57" i="119"/>
  <c r="E56" i="119"/>
  <c r="D56" i="119"/>
  <c r="C56" i="119"/>
  <c r="E55" i="119"/>
  <c r="D55" i="119"/>
  <c r="C55" i="119"/>
  <c r="E54" i="119"/>
  <c r="D54" i="119"/>
  <c r="C54" i="119"/>
  <c r="E53" i="119"/>
  <c r="D53" i="119"/>
  <c r="C53" i="119"/>
  <c r="E52" i="119"/>
  <c r="C52" i="119"/>
  <c r="E51" i="119"/>
  <c r="D51" i="119"/>
  <c r="C51" i="119"/>
  <c r="E50" i="119"/>
  <c r="D50" i="119"/>
  <c r="C50" i="119"/>
  <c r="E49" i="119"/>
  <c r="D49" i="119"/>
  <c r="C49" i="119"/>
  <c r="E48" i="119"/>
  <c r="D48" i="119"/>
  <c r="C48" i="119"/>
  <c r="E47" i="119"/>
  <c r="C47" i="119"/>
  <c r="E46" i="119"/>
  <c r="D46" i="119"/>
  <c r="C46" i="119"/>
  <c r="E45" i="119"/>
  <c r="D45" i="119"/>
  <c r="C45" i="119"/>
  <c r="E44" i="119"/>
  <c r="D44" i="119"/>
  <c r="C44" i="119"/>
  <c r="E43" i="119"/>
  <c r="C43" i="119"/>
  <c r="E42" i="119"/>
  <c r="D42" i="119"/>
  <c r="C42" i="119"/>
  <c r="E41" i="119"/>
  <c r="C41" i="119"/>
  <c r="E40" i="119"/>
  <c r="C40" i="119"/>
  <c r="E39" i="119"/>
  <c r="C39" i="119"/>
  <c r="E38" i="119"/>
  <c r="D38" i="119"/>
  <c r="C38" i="119"/>
  <c r="E37" i="119"/>
  <c r="D37" i="119"/>
  <c r="C37" i="119"/>
  <c r="E36" i="119"/>
  <c r="C36" i="119"/>
  <c r="E35" i="119"/>
  <c r="C35" i="119"/>
  <c r="E34" i="119"/>
  <c r="D34" i="119"/>
  <c r="C34" i="119"/>
  <c r="E33" i="119"/>
  <c r="D33" i="119"/>
  <c r="C33" i="119"/>
  <c r="E32" i="119"/>
  <c r="D32" i="119"/>
  <c r="C32" i="119"/>
  <c r="E31" i="119"/>
  <c r="D31" i="119"/>
  <c r="C31" i="119"/>
  <c r="E30" i="119"/>
  <c r="D30" i="119"/>
  <c r="C30" i="119"/>
  <c r="D25" i="119"/>
  <c r="C25" i="119"/>
  <c r="D24" i="119"/>
  <c r="C24" i="119"/>
  <c r="D23" i="119"/>
  <c r="C23" i="119"/>
  <c r="D22" i="119"/>
  <c r="C22" i="119"/>
  <c r="D21" i="119"/>
  <c r="C21" i="119"/>
  <c r="D20" i="119"/>
  <c r="C20" i="119"/>
  <c r="D19" i="119"/>
  <c r="C19" i="119"/>
  <c r="C18" i="119"/>
  <c r="D17" i="119"/>
  <c r="C17" i="119"/>
  <c r="D16" i="119"/>
  <c r="C16" i="119"/>
  <c r="D15" i="119"/>
  <c r="C15" i="119"/>
  <c r="D14" i="119"/>
  <c r="C14" i="119"/>
  <c r="D13" i="119"/>
  <c r="C13" i="119"/>
  <c r="D12" i="119"/>
  <c r="C12" i="119"/>
  <c r="C4" i="119"/>
  <c r="C3" i="119"/>
  <c r="D26" i="119" l="1"/>
  <c r="F12" i="119"/>
  <c r="I12" i="119" s="1"/>
  <c r="C238" i="119"/>
  <c r="C84" i="119"/>
  <c r="E84" i="119"/>
  <c r="C116" i="119"/>
  <c r="E116" i="119"/>
  <c r="E124" i="119"/>
  <c r="D211" i="119"/>
  <c r="C26" i="119"/>
  <c r="D84" i="119"/>
  <c r="C98" i="119"/>
  <c r="E98" i="119"/>
  <c r="C124" i="119"/>
  <c r="C166" i="119"/>
  <c r="D166" i="119"/>
  <c r="D202" i="119"/>
  <c r="D98" i="119"/>
  <c r="C107" i="119"/>
  <c r="E107" i="119"/>
  <c r="E166" i="119"/>
  <c r="E202" i="119"/>
  <c r="C233" i="119"/>
  <c r="D107" i="119"/>
  <c r="D116" i="119"/>
  <c r="D124" i="119"/>
  <c r="C202" i="119"/>
  <c r="C211" i="119"/>
  <c r="E211" i="119"/>
  <c r="C66" i="119"/>
  <c r="D66" i="119"/>
  <c r="E66" i="119"/>
  <c r="D213" i="119" l="1"/>
  <c r="D220" i="119" s="1"/>
  <c r="C213" i="119"/>
  <c r="C220" i="119" s="1"/>
  <c r="E213" i="119"/>
  <c r="E220" i="119" s="1"/>
  <c r="C217" i="119" l="1"/>
  <c r="D18" i="71"/>
  <c r="I249" i="71"/>
  <c r="I248" i="71"/>
  <c r="I247" i="71"/>
  <c r="I246" i="71"/>
  <c r="C243" i="71"/>
  <c r="C242" i="71"/>
  <c r="C241" i="71"/>
  <c r="C240" i="71"/>
  <c r="C237" i="71"/>
  <c r="C236" i="71"/>
  <c r="E233" i="71"/>
  <c r="D233" i="71"/>
  <c r="C232" i="71"/>
  <c r="C231" i="71"/>
  <c r="C230" i="71"/>
  <c r="C229" i="71"/>
  <c r="C228" i="71"/>
  <c r="C227" i="71"/>
  <c r="C226" i="71"/>
  <c r="C225" i="71"/>
  <c r="C224" i="71"/>
  <c r="C216" i="71"/>
  <c r="E210" i="71"/>
  <c r="D210" i="71"/>
  <c r="C210" i="71"/>
  <c r="E209" i="71"/>
  <c r="D209" i="71"/>
  <c r="C209" i="71"/>
  <c r="E208" i="71"/>
  <c r="D208" i="71"/>
  <c r="C208" i="71"/>
  <c r="E207" i="71"/>
  <c r="D207" i="71"/>
  <c r="C207" i="71"/>
  <c r="E206" i="71"/>
  <c r="D206" i="71"/>
  <c r="C206" i="71"/>
  <c r="E205" i="71"/>
  <c r="D205" i="71"/>
  <c r="C205" i="71"/>
  <c r="E201" i="71"/>
  <c r="D201" i="71"/>
  <c r="C201" i="71"/>
  <c r="E200" i="71"/>
  <c r="D200" i="71"/>
  <c r="C200" i="71"/>
  <c r="E199" i="71"/>
  <c r="D199" i="71"/>
  <c r="C199" i="71"/>
  <c r="E198" i="71"/>
  <c r="D198" i="71"/>
  <c r="C198" i="71"/>
  <c r="E197" i="71"/>
  <c r="D197" i="71"/>
  <c r="C197" i="71"/>
  <c r="E196" i="71"/>
  <c r="D196" i="71"/>
  <c r="C196" i="71"/>
  <c r="E195" i="71"/>
  <c r="D195" i="71"/>
  <c r="C195" i="71"/>
  <c r="E194" i="71"/>
  <c r="D194" i="71"/>
  <c r="C194" i="71"/>
  <c r="E193" i="71"/>
  <c r="D193" i="71"/>
  <c r="C193" i="71"/>
  <c r="E192" i="71"/>
  <c r="C192" i="71"/>
  <c r="E191" i="71"/>
  <c r="D191" i="71"/>
  <c r="C191" i="71"/>
  <c r="E190" i="71"/>
  <c r="D190" i="71"/>
  <c r="C190" i="71"/>
  <c r="E189" i="71"/>
  <c r="D189" i="71"/>
  <c r="C189" i="71"/>
  <c r="E188" i="71"/>
  <c r="D188" i="71"/>
  <c r="C188" i="71"/>
  <c r="E187" i="71"/>
  <c r="D187" i="71"/>
  <c r="C187" i="71"/>
  <c r="E186" i="71"/>
  <c r="D186" i="71"/>
  <c r="C186" i="71"/>
  <c r="E185" i="71"/>
  <c r="D185" i="71"/>
  <c r="C185" i="71"/>
  <c r="E184" i="71"/>
  <c r="D184" i="71"/>
  <c r="C184" i="71"/>
  <c r="E183" i="71"/>
  <c r="D183" i="71"/>
  <c r="C183" i="71"/>
  <c r="E182" i="71"/>
  <c r="D182" i="71"/>
  <c r="C182" i="71"/>
  <c r="E181" i="71"/>
  <c r="D181" i="71"/>
  <c r="C181" i="71"/>
  <c r="E180" i="71"/>
  <c r="D180" i="71"/>
  <c r="C180" i="71"/>
  <c r="E179" i="71"/>
  <c r="D179" i="71"/>
  <c r="C179" i="71"/>
  <c r="E178" i="71"/>
  <c r="D178" i="71"/>
  <c r="C178" i="71"/>
  <c r="E177" i="71"/>
  <c r="D177" i="71"/>
  <c r="C177" i="71"/>
  <c r="E176" i="71"/>
  <c r="D176" i="71"/>
  <c r="C176" i="71"/>
  <c r="E175" i="71"/>
  <c r="D175" i="71"/>
  <c r="C175" i="71"/>
  <c r="E174" i="71"/>
  <c r="D174" i="71"/>
  <c r="C174" i="71"/>
  <c r="E173" i="71"/>
  <c r="D173" i="71"/>
  <c r="C173" i="71"/>
  <c r="E172" i="71"/>
  <c r="D172" i="71"/>
  <c r="C172" i="71"/>
  <c r="E171" i="71"/>
  <c r="C171" i="71"/>
  <c r="E170" i="71"/>
  <c r="D170" i="71"/>
  <c r="C170" i="71"/>
  <c r="E169" i="71"/>
  <c r="D169" i="71"/>
  <c r="C169" i="71"/>
  <c r="E165" i="71"/>
  <c r="D165" i="71"/>
  <c r="C165" i="71"/>
  <c r="E164" i="71"/>
  <c r="D164" i="71"/>
  <c r="C164" i="71"/>
  <c r="E163" i="71"/>
  <c r="D163" i="71"/>
  <c r="C163" i="71"/>
  <c r="E162" i="71"/>
  <c r="D162" i="71"/>
  <c r="C162" i="71"/>
  <c r="E161" i="71"/>
  <c r="D161" i="71"/>
  <c r="C161" i="71"/>
  <c r="E160" i="71"/>
  <c r="D160" i="71"/>
  <c r="C160" i="71"/>
  <c r="E158" i="71"/>
  <c r="D158" i="71"/>
  <c r="C158" i="71"/>
  <c r="E157" i="71"/>
  <c r="D157" i="71"/>
  <c r="C157" i="71"/>
  <c r="E156" i="71"/>
  <c r="D156" i="71"/>
  <c r="C156" i="71"/>
  <c r="E155" i="71"/>
  <c r="D155" i="71"/>
  <c r="C155" i="71"/>
  <c r="E154" i="71"/>
  <c r="D154" i="71"/>
  <c r="C154" i="71"/>
  <c r="E153" i="71"/>
  <c r="D153" i="71"/>
  <c r="C153" i="71"/>
  <c r="E152" i="71"/>
  <c r="D152" i="71"/>
  <c r="C152" i="71"/>
  <c r="E151" i="71"/>
  <c r="D151" i="71"/>
  <c r="C151" i="71"/>
  <c r="E150" i="71"/>
  <c r="D150" i="71"/>
  <c r="C150" i="71"/>
  <c r="E148" i="71"/>
  <c r="D148" i="71"/>
  <c r="C148" i="71"/>
  <c r="E147" i="71"/>
  <c r="D147" i="71"/>
  <c r="C147" i="71"/>
  <c r="E146" i="71"/>
  <c r="D146" i="71"/>
  <c r="C146" i="71"/>
  <c r="E145" i="71"/>
  <c r="D145" i="71"/>
  <c r="C145" i="71"/>
  <c r="E143" i="71"/>
  <c r="D143" i="71"/>
  <c r="C143" i="71"/>
  <c r="E142" i="71"/>
  <c r="D142" i="71"/>
  <c r="C142" i="71"/>
  <c r="E141" i="71"/>
  <c r="D141" i="71"/>
  <c r="C141" i="71"/>
  <c r="E140" i="71"/>
  <c r="D140" i="71"/>
  <c r="C140" i="71"/>
  <c r="E138" i="71"/>
  <c r="D138" i="71"/>
  <c r="C138" i="71"/>
  <c r="E137" i="71"/>
  <c r="D137" i="71"/>
  <c r="C137" i="71"/>
  <c r="E136" i="71"/>
  <c r="D136" i="71"/>
  <c r="C136" i="71"/>
  <c r="E135" i="71"/>
  <c r="D135" i="71"/>
  <c r="C135" i="71"/>
  <c r="E134" i="71"/>
  <c r="D134" i="71"/>
  <c r="C134" i="71"/>
  <c r="E132" i="71"/>
  <c r="C132" i="71"/>
  <c r="E131" i="71"/>
  <c r="D131" i="71"/>
  <c r="C131" i="71"/>
  <c r="E130" i="71"/>
  <c r="D130" i="71"/>
  <c r="C130" i="71"/>
  <c r="E129" i="71"/>
  <c r="D129" i="71"/>
  <c r="C129" i="71"/>
  <c r="E128" i="71"/>
  <c r="D128" i="71"/>
  <c r="C128" i="71"/>
  <c r="E123" i="71"/>
  <c r="D123" i="71"/>
  <c r="C123" i="71"/>
  <c r="E122" i="71"/>
  <c r="D122" i="71"/>
  <c r="C122" i="71"/>
  <c r="E121" i="71"/>
  <c r="D121" i="71"/>
  <c r="C121" i="71"/>
  <c r="E120" i="71"/>
  <c r="D120" i="71"/>
  <c r="C120" i="71"/>
  <c r="E119" i="71"/>
  <c r="D119" i="71"/>
  <c r="C119" i="71"/>
  <c r="E115" i="71"/>
  <c r="D115" i="71"/>
  <c r="C115" i="71"/>
  <c r="E114" i="71"/>
  <c r="D114" i="71"/>
  <c r="C114" i="71"/>
  <c r="E113" i="71"/>
  <c r="D113" i="71"/>
  <c r="C113" i="71"/>
  <c r="E112" i="71"/>
  <c r="D112" i="71"/>
  <c r="C112" i="71"/>
  <c r="E111" i="71"/>
  <c r="D111" i="71"/>
  <c r="C111" i="71"/>
  <c r="E110" i="71"/>
  <c r="D110" i="71"/>
  <c r="C110" i="71"/>
  <c r="E106" i="71"/>
  <c r="D106" i="71"/>
  <c r="C106" i="71"/>
  <c r="E105" i="71"/>
  <c r="D105" i="71"/>
  <c r="C105" i="71"/>
  <c r="E104" i="71"/>
  <c r="D104" i="71"/>
  <c r="C104" i="71"/>
  <c r="E103" i="71"/>
  <c r="D103" i="71"/>
  <c r="C103" i="71"/>
  <c r="E102" i="71"/>
  <c r="D102" i="71"/>
  <c r="C102" i="71"/>
  <c r="E101" i="71"/>
  <c r="D101" i="71"/>
  <c r="C101" i="71"/>
  <c r="E97" i="71"/>
  <c r="D97" i="71"/>
  <c r="C97" i="71"/>
  <c r="E96" i="71"/>
  <c r="C96" i="71"/>
  <c r="E95" i="71"/>
  <c r="D95" i="71"/>
  <c r="C95" i="71"/>
  <c r="E94" i="71"/>
  <c r="D94" i="71"/>
  <c r="C94" i="71"/>
  <c r="E93" i="71"/>
  <c r="D93" i="71"/>
  <c r="C93" i="71"/>
  <c r="E92" i="71"/>
  <c r="D92" i="71"/>
  <c r="C92" i="71"/>
  <c r="E91" i="71"/>
  <c r="D91" i="71"/>
  <c r="C91" i="71"/>
  <c r="E90" i="71"/>
  <c r="C90" i="71"/>
  <c r="E89" i="71"/>
  <c r="D89" i="71"/>
  <c r="C89" i="71"/>
  <c r="E88" i="71"/>
  <c r="D88" i="71"/>
  <c r="C88" i="71"/>
  <c r="E87" i="71"/>
  <c r="D87" i="71"/>
  <c r="C87" i="71"/>
  <c r="E83" i="71"/>
  <c r="D83" i="71"/>
  <c r="C83" i="71"/>
  <c r="E82" i="71"/>
  <c r="D82" i="71"/>
  <c r="C82" i="71"/>
  <c r="E81" i="71"/>
  <c r="D81" i="71"/>
  <c r="C81" i="71"/>
  <c r="E80" i="71"/>
  <c r="D80" i="71"/>
  <c r="C80" i="71"/>
  <c r="E79" i="71"/>
  <c r="C79" i="71"/>
  <c r="E78" i="71"/>
  <c r="D78" i="71"/>
  <c r="C78" i="71"/>
  <c r="E77" i="71"/>
  <c r="D77" i="71"/>
  <c r="C77" i="71"/>
  <c r="E76" i="71"/>
  <c r="D76" i="71"/>
  <c r="C76" i="71"/>
  <c r="E75" i="71"/>
  <c r="D75" i="71"/>
  <c r="C75" i="71"/>
  <c r="E74" i="71"/>
  <c r="D74" i="71"/>
  <c r="C74" i="71"/>
  <c r="E73" i="71"/>
  <c r="C73" i="71"/>
  <c r="E72" i="71"/>
  <c r="D72" i="71"/>
  <c r="C72" i="71"/>
  <c r="E71" i="71"/>
  <c r="D71" i="71"/>
  <c r="C71" i="71"/>
  <c r="E70" i="71"/>
  <c r="C70" i="71"/>
  <c r="E69" i="71"/>
  <c r="D69" i="71"/>
  <c r="C69" i="71"/>
  <c r="E65" i="71"/>
  <c r="C65" i="71"/>
  <c r="E64" i="71"/>
  <c r="D64" i="71"/>
  <c r="C64" i="71"/>
  <c r="E63" i="71"/>
  <c r="D63" i="71"/>
  <c r="C63" i="71"/>
  <c r="E62" i="71"/>
  <c r="C62" i="71"/>
  <c r="E61" i="71"/>
  <c r="C61" i="71"/>
  <c r="E60" i="71"/>
  <c r="D60" i="71"/>
  <c r="C60" i="71"/>
  <c r="E59" i="71"/>
  <c r="C59" i="71"/>
  <c r="E58" i="71"/>
  <c r="D58" i="71"/>
  <c r="C58" i="71"/>
  <c r="E57" i="71"/>
  <c r="D57" i="71"/>
  <c r="C57" i="71"/>
  <c r="E56" i="71"/>
  <c r="D56" i="71"/>
  <c r="C56" i="71"/>
  <c r="E55" i="71"/>
  <c r="D55" i="71"/>
  <c r="C55" i="71"/>
  <c r="E54" i="71"/>
  <c r="D54" i="71"/>
  <c r="C54" i="71"/>
  <c r="E53" i="71"/>
  <c r="D53" i="71"/>
  <c r="C53" i="71"/>
  <c r="E52" i="71"/>
  <c r="C52" i="71"/>
  <c r="E51" i="71"/>
  <c r="D51" i="71"/>
  <c r="C51" i="71"/>
  <c r="E50" i="71"/>
  <c r="D50" i="71"/>
  <c r="C50" i="71"/>
  <c r="E49" i="71"/>
  <c r="D49" i="71"/>
  <c r="C49" i="71"/>
  <c r="E48" i="71"/>
  <c r="D48" i="71"/>
  <c r="C48" i="71"/>
  <c r="E47" i="71"/>
  <c r="C47" i="71"/>
  <c r="E46" i="71"/>
  <c r="D46" i="71"/>
  <c r="C46" i="71"/>
  <c r="E45" i="71"/>
  <c r="D45" i="71"/>
  <c r="C45" i="71"/>
  <c r="E44" i="71"/>
  <c r="D44" i="71"/>
  <c r="C44" i="71"/>
  <c r="E43" i="71"/>
  <c r="C43" i="71"/>
  <c r="E42" i="71"/>
  <c r="D42" i="71"/>
  <c r="C42" i="71"/>
  <c r="E41" i="71"/>
  <c r="C41" i="71"/>
  <c r="E40" i="71"/>
  <c r="C40" i="71"/>
  <c r="E39" i="71"/>
  <c r="C39" i="71"/>
  <c r="E38" i="71"/>
  <c r="D38" i="71"/>
  <c r="C38" i="71"/>
  <c r="E37" i="71"/>
  <c r="D37" i="71"/>
  <c r="C37" i="71"/>
  <c r="E36" i="71"/>
  <c r="C36" i="71"/>
  <c r="E35" i="71"/>
  <c r="C35" i="71"/>
  <c r="E34" i="71"/>
  <c r="D34" i="71"/>
  <c r="C34" i="71"/>
  <c r="E33" i="71"/>
  <c r="D33" i="71"/>
  <c r="C33" i="71"/>
  <c r="E32" i="71"/>
  <c r="D32" i="71"/>
  <c r="C32" i="71"/>
  <c r="E31" i="71"/>
  <c r="D31" i="71"/>
  <c r="C31" i="71"/>
  <c r="E30" i="71"/>
  <c r="D30" i="71"/>
  <c r="C30" i="71"/>
  <c r="D25" i="71"/>
  <c r="C25" i="71"/>
  <c r="D24" i="71"/>
  <c r="C24" i="71"/>
  <c r="D23" i="71"/>
  <c r="C23" i="71"/>
  <c r="D22" i="71"/>
  <c r="C22" i="71"/>
  <c r="D21" i="71"/>
  <c r="C21" i="71"/>
  <c r="D20" i="71"/>
  <c r="C20" i="71"/>
  <c r="D19" i="71"/>
  <c r="C19" i="71"/>
  <c r="C18" i="71"/>
  <c r="D17" i="71"/>
  <c r="C17" i="71"/>
  <c r="D16" i="71"/>
  <c r="C16" i="71"/>
  <c r="D15" i="71"/>
  <c r="C15" i="71"/>
  <c r="D14" i="71"/>
  <c r="C14" i="71"/>
  <c r="D13" i="71"/>
  <c r="C13" i="71"/>
  <c r="D12" i="71"/>
  <c r="C12" i="71"/>
  <c r="F12" i="71" s="1"/>
  <c r="I12" i="71" s="1"/>
  <c r="C4" i="71"/>
  <c r="C3" i="71"/>
  <c r="C238" i="71" l="1"/>
  <c r="D84" i="71"/>
  <c r="C26" i="71"/>
  <c r="D26" i="71"/>
  <c r="C98" i="71"/>
  <c r="D202" i="71"/>
  <c r="C124" i="71"/>
  <c r="C166" i="71"/>
  <c r="D166" i="71"/>
  <c r="E84" i="71"/>
  <c r="D98" i="71"/>
  <c r="C107" i="71"/>
  <c r="E166" i="71"/>
  <c r="C233" i="71"/>
  <c r="E98" i="71"/>
  <c r="D107" i="71"/>
  <c r="D116" i="71"/>
  <c r="D124" i="71"/>
  <c r="C202" i="71"/>
  <c r="C211" i="71"/>
  <c r="E211" i="71"/>
  <c r="E107" i="71"/>
  <c r="E202" i="71"/>
  <c r="C84" i="71"/>
  <c r="C116" i="71"/>
  <c r="E116" i="71"/>
  <c r="E124" i="71"/>
  <c r="D211" i="71"/>
  <c r="C66" i="71"/>
  <c r="D66" i="71"/>
  <c r="E66" i="71"/>
  <c r="D213" i="71" l="1"/>
  <c r="D220" i="71" s="1"/>
  <c r="C213" i="71"/>
  <c r="C220" i="71" s="1"/>
  <c r="E213" i="71"/>
  <c r="E220" i="71" s="1"/>
  <c r="C217" i="71" l="1"/>
  <c r="D18" i="58"/>
  <c r="C243" i="58"/>
  <c r="C242" i="58"/>
  <c r="C241" i="58"/>
  <c r="C240" i="58"/>
  <c r="C237" i="58"/>
  <c r="C236" i="58"/>
  <c r="E233" i="58"/>
  <c r="D233" i="58"/>
  <c r="C232" i="58"/>
  <c r="C231" i="58"/>
  <c r="C230" i="58"/>
  <c r="C229" i="58"/>
  <c r="C228" i="58"/>
  <c r="C227" i="58"/>
  <c r="C226" i="58"/>
  <c r="C225" i="58"/>
  <c r="C224" i="58"/>
  <c r="C216" i="58"/>
  <c r="E210" i="58"/>
  <c r="D210" i="58"/>
  <c r="C210" i="58"/>
  <c r="E209" i="58"/>
  <c r="D209" i="58"/>
  <c r="C209" i="58"/>
  <c r="E208" i="58"/>
  <c r="D208" i="58"/>
  <c r="C208" i="58"/>
  <c r="E207" i="58"/>
  <c r="D207" i="58"/>
  <c r="C207" i="58"/>
  <c r="E206" i="58"/>
  <c r="D206" i="58"/>
  <c r="C206" i="58"/>
  <c r="E205" i="58"/>
  <c r="D205" i="58"/>
  <c r="C205" i="58"/>
  <c r="E201" i="58"/>
  <c r="D201" i="58"/>
  <c r="C201" i="58"/>
  <c r="E200" i="58"/>
  <c r="D200" i="58"/>
  <c r="C200" i="58"/>
  <c r="E199" i="58"/>
  <c r="D199" i="58"/>
  <c r="C199" i="58"/>
  <c r="E198" i="58"/>
  <c r="D198" i="58"/>
  <c r="C198" i="58"/>
  <c r="E197" i="58"/>
  <c r="D197" i="58"/>
  <c r="C197" i="58"/>
  <c r="E196" i="58"/>
  <c r="D196" i="58"/>
  <c r="C196" i="58"/>
  <c r="E195" i="58"/>
  <c r="D195" i="58"/>
  <c r="C195" i="58"/>
  <c r="E194" i="58"/>
  <c r="D194" i="58"/>
  <c r="C194" i="58"/>
  <c r="E193" i="58"/>
  <c r="D193" i="58"/>
  <c r="C193" i="58"/>
  <c r="E192" i="58"/>
  <c r="D192" i="58"/>
  <c r="C192" i="58"/>
  <c r="E191" i="58"/>
  <c r="D191" i="58"/>
  <c r="C191" i="58"/>
  <c r="E190" i="58"/>
  <c r="D190" i="58"/>
  <c r="C190" i="58"/>
  <c r="E189" i="58"/>
  <c r="D189" i="58"/>
  <c r="C189" i="58"/>
  <c r="E188" i="58"/>
  <c r="D188" i="58"/>
  <c r="C188" i="58"/>
  <c r="E187" i="58"/>
  <c r="D187" i="58"/>
  <c r="C187" i="58"/>
  <c r="E186" i="58"/>
  <c r="D186" i="58"/>
  <c r="C186" i="58"/>
  <c r="E185" i="58"/>
  <c r="D185" i="58"/>
  <c r="C185" i="58"/>
  <c r="E184" i="58"/>
  <c r="D184" i="58"/>
  <c r="C184" i="58"/>
  <c r="E183" i="58"/>
  <c r="D183" i="58"/>
  <c r="C183" i="58"/>
  <c r="E182" i="58"/>
  <c r="D182" i="58"/>
  <c r="C182" i="58"/>
  <c r="E181" i="58"/>
  <c r="D181" i="58"/>
  <c r="C181" i="58"/>
  <c r="E180" i="58"/>
  <c r="D180" i="58"/>
  <c r="C180" i="58"/>
  <c r="E179" i="58"/>
  <c r="D179" i="58"/>
  <c r="C179" i="58"/>
  <c r="E178" i="58"/>
  <c r="D178" i="58"/>
  <c r="C178" i="58"/>
  <c r="E177" i="58"/>
  <c r="D177" i="58"/>
  <c r="C177" i="58"/>
  <c r="E176" i="58"/>
  <c r="D176" i="58"/>
  <c r="C176" i="58"/>
  <c r="E175" i="58"/>
  <c r="D175" i="58"/>
  <c r="C175" i="58"/>
  <c r="E174" i="58"/>
  <c r="D174" i="58"/>
  <c r="C174" i="58"/>
  <c r="E173" i="58"/>
  <c r="D173" i="58"/>
  <c r="C173" i="58"/>
  <c r="E172" i="58"/>
  <c r="D172" i="58"/>
  <c r="C172" i="58"/>
  <c r="E171" i="58"/>
  <c r="C171" i="58"/>
  <c r="E170" i="58"/>
  <c r="D170" i="58"/>
  <c r="C170" i="58"/>
  <c r="E169" i="58"/>
  <c r="D169" i="58"/>
  <c r="C169" i="58"/>
  <c r="E165" i="58"/>
  <c r="D165" i="58"/>
  <c r="C165" i="58"/>
  <c r="E164" i="58"/>
  <c r="D164" i="58"/>
  <c r="C164" i="58"/>
  <c r="E163" i="58"/>
  <c r="D163" i="58"/>
  <c r="C163" i="58"/>
  <c r="E162" i="58"/>
  <c r="D162" i="58"/>
  <c r="C162" i="58"/>
  <c r="E161" i="58"/>
  <c r="D161" i="58"/>
  <c r="C161" i="58"/>
  <c r="E160" i="58"/>
  <c r="D160" i="58"/>
  <c r="C160" i="58"/>
  <c r="E158" i="58"/>
  <c r="D158" i="58"/>
  <c r="C158" i="58"/>
  <c r="E157" i="58"/>
  <c r="D157" i="58"/>
  <c r="C157" i="58"/>
  <c r="E156" i="58"/>
  <c r="D156" i="58"/>
  <c r="C156" i="58"/>
  <c r="E155" i="58"/>
  <c r="D155" i="58"/>
  <c r="C155" i="58"/>
  <c r="E154" i="58"/>
  <c r="D154" i="58"/>
  <c r="C154" i="58"/>
  <c r="E153" i="58"/>
  <c r="D153" i="58"/>
  <c r="C153" i="58"/>
  <c r="E152" i="58"/>
  <c r="D152" i="58"/>
  <c r="C152" i="58"/>
  <c r="E151" i="58"/>
  <c r="D151" i="58"/>
  <c r="C151" i="58"/>
  <c r="E150" i="58"/>
  <c r="D150" i="58"/>
  <c r="C150" i="58"/>
  <c r="E148" i="58"/>
  <c r="D148" i="58"/>
  <c r="C148" i="58"/>
  <c r="E147" i="58"/>
  <c r="D147" i="58"/>
  <c r="C147" i="58"/>
  <c r="E146" i="58"/>
  <c r="D146" i="58"/>
  <c r="C146" i="58"/>
  <c r="E145" i="58"/>
  <c r="D145" i="58"/>
  <c r="C145" i="58"/>
  <c r="E143" i="58"/>
  <c r="D143" i="58"/>
  <c r="C143" i="58"/>
  <c r="E142" i="58"/>
  <c r="D142" i="58"/>
  <c r="C142" i="58"/>
  <c r="E141" i="58"/>
  <c r="D141" i="58"/>
  <c r="C141" i="58"/>
  <c r="E140" i="58"/>
  <c r="D140" i="58"/>
  <c r="C140" i="58"/>
  <c r="E138" i="58"/>
  <c r="D138" i="58"/>
  <c r="C138" i="58"/>
  <c r="E137" i="58"/>
  <c r="D137" i="58"/>
  <c r="C137" i="58"/>
  <c r="E136" i="58"/>
  <c r="D136" i="58"/>
  <c r="C136" i="58"/>
  <c r="E135" i="58"/>
  <c r="D135" i="58"/>
  <c r="C135" i="58"/>
  <c r="E134" i="58"/>
  <c r="D134" i="58"/>
  <c r="C134" i="58"/>
  <c r="E132" i="58"/>
  <c r="C132" i="58"/>
  <c r="E131" i="58"/>
  <c r="D131" i="58"/>
  <c r="C131" i="58"/>
  <c r="E130" i="58"/>
  <c r="D130" i="58"/>
  <c r="C130" i="58"/>
  <c r="E129" i="58"/>
  <c r="D129" i="58"/>
  <c r="C129" i="58"/>
  <c r="E128" i="58"/>
  <c r="D128" i="58"/>
  <c r="C128" i="58"/>
  <c r="E123" i="58"/>
  <c r="D123" i="58"/>
  <c r="C123" i="58"/>
  <c r="E122" i="58"/>
  <c r="D122" i="58"/>
  <c r="C122" i="58"/>
  <c r="E121" i="58"/>
  <c r="D121" i="58"/>
  <c r="C121" i="58"/>
  <c r="E120" i="58"/>
  <c r="D120" i="58"/>
  <c r="C120" i="58"/>
  <c r="E119" i="58"/>
  <c r="D119" i="58"/>
  <c r="C119" i="58"/>
  <c r="E115" i="58"/>
  <c r="D115" i="58"/>
  <c r="C115" i="58"/>
  <c r="E114" i="58"/>
  <c r="D114" i="58"/>
  <c r="C114" i="58"/>
  <c r="E113" i="58"/>
  <c r="D113" i="58"/>
  <c r="C113" i="58"/>
  <c r="E112" i="58"/>
  <c r="D112" i="58"/>
  <c r="C112" i="58"/>
  <c r="E111" i="58"/>
  <c r="D111" i="58"/>
  <c r="C111" i="58"/>
  <c r="E110" i="58"/>
  <c r="D110" i="58"/>
  <c r="C110" i="58"/>
  <c r="E106" i="58"/>
  <c r="D106" i="58"/>
  <c r="C106" i="58"/>
  <c r="E105" i="58"/>
  <c r="D105" i="58"/>
  <c r="C105" i="58"/>
  <c r="E104" i="58"/>
  <c r="D104" i="58"/>
  <c r="C104" i="58"/>
  <c r="E103" i="58"/>
  <c r="D103" i="58"/>
  <c r="C103" i="58"/>
  <c r="E102" i="58"/>
  <c r="D102" i="58"/>
  <c r="C102" i="58"/>
  <c r="E101" i="58"/>
  <c r="D101" i="58"/>
  <c r="C101" i="58"/>
  <c r="E97" i="58"/>
  <c r="D97" i="58"/>
  <c r="C97" i="58"/>
  <c r="E96" i="58"/>
  <c r="C96" i="58"/>
  <c r="E95" i="58"/>
  <c r="D95" i="58"/>
  <c r="C95" i="58"/>
  <c r="E94" i="58"/>
  <c r="D94" i="58"/>
  <c r="C94" i="58"/>
  <c r="E93" i="58"/>
  <c r="D93" i="58"/>
  <c r="C93" i="58"/>
  <c r="E92" i="58"/>
  <c r="D92" i="58"/>
  <c r="C92" i="58"/>
  <c r="E91" i="58"/>
  <c r="D91" i="58"/>
  <c r="C91" i="58"/>
  <c r="E90" i="58"/>
  <c r="C90" i="58"/>
  <c r="E89" i="58"/>
  <c r="D89" i="58"/>
  <c r="C89" i="58"/>
  <c r="E88" i="58"/>
  <c r="D88" i="58"/>
  <c r="C88" i="58"/>
  <c r="E87" i="58"/>
  <c r="D87" i="58"/>
  <c r="C87" i="58"/>
  <c r="E83" i="58"/>
  <c r="D83" i="58"/>
  <c r="C83" i="58"/>
  <c r="E82" i="58"/>
  <c r="D82" i="58"/>
  <c r="C82" i="58"/>
  <c r="E81" i="58"/>
  <c r="D81" i="58"/>
  <c r="C81" i="58"/>
  <c r="E80" i="58"/>
  <c r="D80" i="58"/>
  <c r="C80" i="58"/>
  <c r="E79" i="58"/>
  <c r="C79" i="58"/>
  <c r="E78" i="58"/>
  <c r="D78" i="58"/>
  <c r="C78" i="58"/>
  <c r="E77" i="58"/>
  <c r="D77" i="58"/>
  <c r="C77" i="58"/>
  <c r="E76" i="58"/>
  <c r="D76" i="58"/>
  <c r="C76" i="58"/>
  <c r="E75" i="58"/>
  <c r="D75" i="58"/>
  <c r="C75" i="58"/>
  <c r="E74" i="58"/>
  <c r="D74" i="58"/>
  <c r="C74" i="58"/>
  <c r="E73" i="58"/>
  <c r="C73" i="58"/>
  <c r="E72" i="58"/>
  <c r="D72" i="58"/>
  <c r="C72" i="58"/>
  <c r="E71" i="58"/>
  <c r="D71" i="58"/>
  <c r="C71" i="58"/>
  <c r="E70" i="58"/>
  <c r="C70" i="58"/>
  <c r="E69" i="58"/>
  <c r="D69" i="58"/>
  <c r="C69" i="58"/>
  <c r="E65" i="58"/>
  <c r="C65" i="58"/>
  <c r="E64" i="58"/>
  <c r="D64" i="58"/>
  <c r="C64" i="58"/>
  <c r="E63" i="58"/>
  <c r="D63" i="58"/>
  <c r="C63" i="58"/>
  <c r="E62" i="58"/>
  <c r="C62" i="58"/>
  <c r="E61" i="58"/>
  <c r="C61" i="58"/>
  <c r="E60" i="58"/>
  <c r="D60" i="58"/>
  <c r="C60" i="58"/>
  <c r="E59" i="58"/>
  <c r="C59" i="58"/>
  <c r="E58" i="58"/>
  <c r="D58" i="58"/>
  <c r="C58" i="58"/>
  <c r="E57" i="58"/>
  <c r="D57" i="58"/>
  <c r="C57" i="58"/>
  <c r="E56" i="58"/>
  <c r="D56" i="58"/>
  <c r="C56" i="58"/>
  <c r="E55" i="58"/>
  <c r="D55" i="58"/>
  <c r="C55" i="58"/>
  <c r="E54" i="58"/>
  <c r="D54" i="58"/>
  <c r="C54" i="58"/>
  <c r="E53" i="58"/>
  <c r="D53" i="58"/>
  <c r="C53" i="58"/>
  <c r="E52" i="58"/>
  <c r="C52" i="58"/>
  <c r="E51" i="58"/>
  <c r="D51" i="58"/>
  <c r="C51" i="58"/>
  <c r="E50" i="58"/>
  <c r="D50" i="58"/>
  <c r="C50" i="58"/>
  <c r="E49" i="58"/>
  <c r="D49" i="58"/>
  <c r="C49" i="58"/>
  <c r="E48" i="58"/>
  <c r="D48" i="58"/>
  <c r="C48" i="58"/>
  <c r="E47" i="58"/>
  <c r="C47" i="58"/>
  <c r="E46" i="58"/>
  <c r="D46" i="58"/>
  <c r="C46" i="58"/>
  <c r="E45" i="58"/>
  <c r="D45" i="58"/>
  <c r="C45" i="58"/>
  <c r="E44" i="58"/>
  <c r="D44" i="58"/>
  <c r="C44" i="58"/>
  <c r="E43" i="58"/>
  <c r="C43" i="58"/>
  <c r="E42" i="58"/>
  <c r="D42" i="58"/>
  <c r="C42" i="58"/>
  <c r="E41" i="58"/>
  <c r="C41" i="58"/>
  <c r="E40" i="58"/>
  <c r="C40" i="58"/>
  <c r="E39" i="58"/>
  <c r="C39" i="58"/>
  <c r="E38" i="58"/>
  <c r="D38" i="58"/>
  <c r="C38" i="58"/>
  <c r="E37" i="58"/>
  <c r="D37" i="58"/>
  <c r="C37" i="58"/>
  <c r="E36" i="58"/>
  <c r="C36" i="58"/>
  <c r="E35" i="58"/>
  <c r="C35" i="58"/>
  <c r="E34" i="58"/>
  <c r="D34" i="58"/>
  <c r="C34" i="58"/>
  <c r="E33" i="58"/>
  <c r="D33" i="58"/>
  <c r="C33" i="58"/>
  <c r="E32" i="58"/>
  <c r="D32" i="58"/>
  <c r="C32" i="58"/>
  <c r="E31" i="58"/>
  <c r="D31" i="58"/>
  <c r="C31" i="58"/>
  <c r="E30" i="58"/>
  <c r="D30" i="58"/>
  <c r="C30" i="58"/>
  <c r="D25" i="58"/>
  <c r="C25" i="58"/>
  <c r="D24" i="58"/>
  <c r="C24" i="58"/>
  <c r="D23" i="58"/>
  <c r="C23" i="58"/>
  <c r="D22" i="58"/>
  <c r="C22" i="58"/>
  <c r="D21" i="58"/>
  <c r="C21" i="58"/>
  <c r="D20" i="58"/>
  <c r="C20" i="58"/>
  <c r="D19" i="58"/>
  <c r="C19" i="58"/>
  <c r="C18" i="58"/>
  <c r="D17" i="58"/>
  <c r="C17" i="58"/>
  <c r="D16" i="58"/>
  <c r="C16" i="58"/>
  <c r="D15" i="58"/>
  <c r="C15" i="58"/>
  <c r="D14" i="58"/>
  <c r="C14" i="58"/>
  <c r="D13" i="58"/>
  <c r="C13" i="58"/>
  <c r="D12" i="58"/>
  <c r="C12" i="58"/>
  <c r="C4" i="58"/>
  <c r="C3" i="58"/>
  <c r="C238" i="58" l="1"/>
  <c r="D26" i="58"/>
  <c r="F12" i="58"/>
  <c r="I12" i="58" s="1"/>
  <c r="C26" i="58"/>
  <c r="C98" i="58"/>
  <c r="D98" i="58"/>
  <c r="C166" i="58"/>
  <c r="D166" i="58"/>
  <c r="D202" i="58"/>
  <c r="C107" i="58"/>
  <c r="D107" i="58"/>
  <c r="E107" i="58"/>
  <c r="E116" i="58"/>
  <c r="C124" i="58"/>
  <c r="E202" i="58"/>
  <c r="E84" i="58"/>
  <c r="E98" i="58"/>
  <c r="C116" i="58"/>
  <c r="D116" i="58"/>
  <c r="D124" i="58"/>
  <c r="E166" i="58"/>
  <c r="C211" i="58"/>
  <c r="D211" i="58"/>
  <c r="E211" i="58"/>
  <c r="C233" i="58"/>
  <c r="C84" i="58"/>
  <c r="D84" i="58"/>
  <c r="E124" i="58"/>
  <c r="C202" i="58"/>
  <c r="C66" i="58"/>
  <c r="D66" i="58"/>
  <c r="E66" i="58"/>
  <c r="C213" i="58" l="1"/>
  <c r="C217" i="58" s="1"/>
  <c r="D213" i="58"/>
  <c r="D220" i="58" s="1"/>
  <c r="E213" i="58"/>
  <c r="E220" i="58" s="1"/>
  <c r="C220" i="58" l="1"/>
  <c r="I249" i="31"/>
  <c r="I248" i="31"/>
  <c r="I247" i="31"/>
  <c r="I246" i="31"/>
  <c r="C243" i="31"/>
  <c r="C242" i="31"/>
  <c r="C241" i="31"/>
  <c r="C240" i="31"/>
  <c r="C237" i="31"/>
  <c r="C236" i="31"/>
  <c r="E233" i="31"/>
  <c r="D233" i="31"/>
  <c r="C232" i="31"/>
  <c r="C231" i="31"/>
  <c r="C230" i="31"/>
  <c r="C229" i="31"/>
  <c r="C228" i="31"/>
  <c r="C227" i="31"/>
  <c r="C226" i="31"/>
  <c r="C225" i="31"/>
  <c r="C224" i="31"/>
  <c r="C216" i="31"/>
  <c r="E210" i="31"/>
  <c r="D210" i="31"/>
  <c r="C210" i="31"/>
  <c r="E209" i="31"/>
  <c r="D209" i="31"/>
  <c r="C209" i="31"/>
  <c r="E208" i="31"/>
  <c r="D208" i="31"/>
  <c r="C208" i="31"/>
  <c r="E207" i="31"/>
  <c r="D207" i="31"/>
  <c r="C207" i="31"/>
  <c r="E206" i="31"/>
  <c r="D206" i="31"/>
  <c r="C206" i="31"/>
  <c r="E205" i="31"/>
  <c r="D205" i="31"/>
  <c r="C205" i="31"/>
  <c r="E201" i="31"/>
  <c r="D201" i="31"/>
  <c r="C201" i="31"/>
  <c r="E200" i="31"/>
  <c r="D200" i="31"/>
  <c r="C200" i="31"/>
  <c r="E199" i="31"/>
  <c r="D199" i="31"/>
  <c r="C199" i="31"/>
  <c r="E198" i="31"/>
  <c r="D198" i="31"/>
  <c r="C198" i="31"/>
  <c r="E197" i="31"/>
  <c r="D197" i="31"/>
  <c r="C197" i="31"/>
  <c r="E196" i="31"/>
  <c r="D196" i="31"/>
  <c r="C196" i="31"/>
  <c r="E195" i="31"/>
  <c r="D195" i="31"/>
  <c r="C195" i="31"/>
  <c r="E194" i="31"/>
  <c r="D194" i="31"/>
  <c r="C194" i="31"/>
  <c r="E193" i="31"/>
  <c r="D193" i="31"/>
  <c r="C193" i="31"/>
  <c r="E192" i="31"/>
  <c r="D192" i="31"/>
  <c r="C192" i="31"/>
  <c r="E191" i="31"/>
  <c r="D191" i="31"/>
  <c r="C191" i="31"/>
  <c r="E190" i="31"/>
  <c r="D190" i="31"/>
  <c r="C190" i="31"/>
  <c r="E189" i="31"/>
  <c r="D189" i="31"/>
  <c r="C189" i="31"/>
  <c r="E188" i="31"/>
  <c r="D188" i="31"/>
  <c r="C188" i="31"/>
  <c r="E187" i="31"/>
  <c r="D187" i="31"/>
  <c r="C187" i="31"/>
  <c r="E186" i="31"/>
  <c r="D186" i="31"/>
  <c r="C186" i="31"/>
  <c r="E185" i="31"/>
  <c r="D185" i="31"/>
  <c r="C185" i="31"/>
  <c r="E184" i="31"/>
  <c r="D184" i="31"/>
  <c r="C184" i="31"/>
  <c r="E183" i="31"/>
  <c r="D183" i="31"/>
  <c r="C183" i="31"/>
  <c r="E182" i="31"/>
  <c r="D182" i="31"/>
  <c r="C182" i="31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E177" i="31"/>
  <c r="D177" i="31"/>
  <c r="C177" i="31"/>
  <c r="E176" i="31"/>
  <c r="D176" i="31"/>
  <c r="C176" i="31"/>
  <c r="E175" i="31"/>
  <c r="D175" i="31"/>
  <c r="C175" i="31"/>
  <c r="E174" i="31"/>
  <c r="D174" i="31"/>
  <c r="C174" i="31"/>
  <c r="E173" i="31"/>
  <c r="D173" i="31"/>
  <c r="C173" i="31"/>
  <c r="E172" i="31"/>
  <c r="D172" i="31"/>
  <c r="C172" i="31"/>
  <c r="E171" i="31"/>
  <c r="D171" i="31"/>
  <c r="C171" i="31"/>
  <c r="E170" i="31"/>
  <c r="D170" i="31"/>
  <c r="C170" i="31"/>
  <c r="E169" i="31"/>
  <c r="D169" i="31"/>
  <c r="C169" i="31"/>
  <c r="E165" i="31"/>
  <c r="D165" i="31"/>
  <c r="C165" i="31"/>
  <c r="E164" i="31"/>
  <c r="D164" i="31"/>
  <c r="C164" i="31"/>
  <c r="E163" i="31"/>
  <c r="D163" i="31"/>
  <c r="C163" i="31"/>
  <c r="E162" i="31"/>
  <c r="D162" i="31"/>
  <c r="C162" i="31"/>
  <c r="E161" i="31"/>
  <c r="D161" i="31"/>
  <c r="C161" i="31"/>
  <c r="E160" i="31"/>
  <c r="D160" i="31"/>
  <c r="C160" i="31"/>
  <c r="E158" i="31"/>
  <c r="D158" i="31"/>
  <c r="C158" i="31"/>
  <c r="E157" i="31"/>
  <c r="D157" i="31"/>
  <c r="C157" i="31"/>
  <c r="E156" i="31"/>
  <c r="D156" i="31"/>
  <c r="C156" i="31"/>
  <c r="E155" i="31"/>
  <c r="D155" i="31"/>
  <c r="C155" i="31"/>
  <c r="E154" i="31"/>
  <c r="D154" i="31"/>
  <c r="C154" i="31"/>
  <c r="E153" i="31"/>
  <c r="D153" i="31"/>
  <c r="C153" i="31"/>
  <c r="E152" i="31"/>
  <c r="D152" i="31"/>
  <c r="C152" i="31"/>
  <c r="E151" i="31"/>
  <c r="D151" i="31"/>
  <c r="C151" i="31"/>
  <c r="E150" i="31"/>
  <c r="D150" i="31"/>
  <c r="C150" i="31"/>
  <c r="E148" i="31"/>
  <c r="D148" i="31"/>
  <c r="C148" i="31"/>
  <c r="E147" i="31"/>
  <c r="D147" i="31"/>
  <c r="C147" i="31"/>
  <c r="E146" i="31"/>
  <c r="D146" i="31"/>
  <c r="C146" i="31"/>
  <c r="E145" i="31"/>
  <c r="D145" i="31"/>
  <c r="C145" i="31"/>
  <c r="E143" i="31"/>
  <c r="D143" i="31"/>
  <c r="C143" i="31"/>
  <c r="E142" i="31"/>
  <c r="D142" i="31"/>
  <c r="C142" i="31"/>
  <c r="E141" i="31"/>
  <c r="D141" i="31"/>
  <c r="C141" i="31"/>
  <c r="E140" i="31"/>
  <c r="D140" i="31"/>
  <c r="C140" i="31"/>
  <c r="E138" i="31"/>
  <c r="D138" i="31"/>
  <c r="C138" i="31"/>
  <c r="E137" i="31"/>
  <c r="D137" i="31"/>
  <c r="C137" i="31"/>
  <c r="E136" i="31"/>
  <c r="D136" i="31"/>
  <c r="C136" i="31"/>
  <c r="E135" i="31"/>
  <c r="D135" i="31"/>
  <c r="C135" i="31"/>
  <c r="E134" i="31"/>
  <c r="D134" i="31"/>
  <c r="C134" i="31"/>
  <c r="E132" i="31"/>
  <c r="D132" i="31"/>
  <c r="C132" i="31"/>
  <c r="E131" i="31"/>
  <c r="D131" i="31"/>
  <c r="C131" i="31"/>
  <c r="E130" i="31"/>
  <c r="D130" i="31"/>
  <c r="C130" i="31"/>
  <c r="E129" i="31"/>
  <c r="D129" i="31"/>
  <c r="C129" i="31"/>
  <c r="E128" i="31"/>
  <c r="D128" i="31"/>
  <c r="C128" i="31"/>
  <c r="E123" i="31"/>
  <c r="D123" i="31"/>
  <c r="C123" i="31"/>
  <c r="E122" i="31"/>
  <c r="D122" i="31"/>
  <c r="C122" i="31"/>
  <c r="E121" i="31"/>
  <c r="D121" i="31"/>
  <c r="C121" i="31"/>
  <c r="E120" i="31"/>
  <c r="D120" i="31"/>
  <c r="C120" i="31"/>
  <c r="E119" i="31"/>
  <c r="D119" i="31"/>
  <c r="C119" i="31"/>
  <c r="E115" i="31"/>
  <c r="D115" i="31"/>
  <c r="C115" i="31"/>
  <c r="E114" i="31"/>
  <c r="D114" i="31"/>
  <c r="C114" i="31"/>
  <c r="E113" i="31"/>
  <c r="D113" i="31"/>
  <c r="C113" i="31"/>
  <c r="E112" i="31"/>
  <c r="D112" i="31"/>
  <c r="C112" i="31"/>
  <c r="E111" i="31"/>
  <c r="D111" i="31"/>
  <c r="C111" i="31"/>
  <c r="E110" i="31"/>
  <c r="D110" i="31"/>
  <c r="C110" i="31"/>
  <c r="E106" i="31"/>
  <c r="D106" i="31"/>
  <c r="C106" i="31"/>
  <c r="E105" i="31"/>
  <c r="D105" i="31"/>
  <c r="C105" i="31"/>
  <c r="E104" i="31"/>
  <c r="D104" i="31"/>
  <c r="C104" i="31"/>
  <c r="E103" i="31"/>
  <c r="D103" i="31"/>
  <c r="C103" i="31"/>
  <c r="E102" i="31"/>
  <c r="D102" i="31"/>
  <c r="C102" i="31"/>
  <c r="E101" i="31"/>
  <c r="D101" i="31"/>
  <c r="C101" i="31"/>
  <c r="E97" i="31"/>
  <c r="D97" i="31"/>
  <c r="C97" i="31"/>
  <c r="E96" i="31"/>
  <c r="D96" i="31"/>
  <c r="C96" i="31"/>
  <c r="E95" i="31"/>
  <c r="D95" i="31"/>
  <c r="C95" i="31"/>
  <c r="E94" i="31"/>
  <c r="D94" i="31"/>
  <c r="C94" i="31"/>
  <c r="E93" i="31"/>
  <c r="D93" i="31"/>
  <c r="C93" i="31"/>
  <c r="E92" i="31"/>
  <c r="D92" i="31"/>
  <c r="C92" i="31"/>
  <c r="E91" i="31"/>
  <c r="D91" i="31"/>
  <c r="C91" i="31"/>
  <c r="E90" i="31"/>
  <c r="D90" i="31"/>
  <c r="C90" i="31"/>
  <c r="E89" i="31"/>
  <c r="D89" i="31"/>
  <c r="C89" i="31"/>
  <c r="E88" i="31"/>
  <c r="D88" i="31"/>
  <c r="C88" i="31"/>
  <c r="E87" i="31"/>
  <c r="D87" i="31"/>
  <c r="C87" i="31"/>
  <c r="E83" i="31"/>
  <c r="D83" i="31"/>
  <c r="C83" i="31"/>
  <c r="E82" i="31"/>
  <c r="D82" i="31"/>
  <c r="C82" i="31"/>
  <c r="E81" i="31"/>
  <c r="D81" i="31"/>
  <c r="C81" i="31"/>
  <c r="E80" i="31"/>
  <c r="D80" i="31"/>
  <c r="C80" i="31"/>
  <c r="E79" i="31"/>
  <c r="D79" i="31"/>
  <c r="C79" i="31"/>
  <c r="E78" i="31"/>
  <c r="D78" i="31"/>
  <c r="C78" i="31"/>
  <c r="E77" i="31"/>
  <c r="D77" i="31"/>
  <c r="C77" i="31"/>
  <c r="E76" i="31"/>
  <c r="D76" i="31"/>
  <c r="C76" i="31"/>
  <c r="E75" i="31"/>
  <c r="D75" i="31"/>
  <c r="C75" i="31"/>
  <c r="E74" i="31"/>
  <c r="D74" i="31"/>
  <c r="C74" i="31"/>
  <c r="E73" i="31"/>
  <c r="D73" i="31"/>
  <c r="C73" i="31"/>
  <c r="E72" i="31"/>
  <c r="D72" i="31"/>
  <c r="C72" i="31"/>
  <c r="E71" i="31"/>
  <c r="D71" i="31"/>
  <c r="C71" i="31"/>
  <c r="E70" i="31"/>
  <c r="D70" i="31"/>
  <c r="C70" i="31"/>
  <c r="E69" i="31"/>
  <c r="D69" i="31"/>
  <c r="C69" i="31"/>
  <c r="E65" i="31"/>
  <c r="D65" i="31"/>
  <c r="C65" i="31"/>
  <c r="E64" i="31"/>
  <c r="D64" i="31"/>
  <c r="C64" i="31"/>
  <c r="E63" i="31"/>
  <c r="D63" i="31"/>
  <c r="C63" i="31"/>
  <c r="E62" i="31"/>
  <c r="D62" i="31"/>
  <c r="C62" i="31"/>
  <c r="E61" i="31"/>
  <c r="D61" i="31"/>
  <c r="C61" i="31"/>
  <c r="E60" i="31"/>
  <c r="D60" i="31"/>
  <c r="C60" i="31"/>
  <c r="E59" i="31"/>
  <c r="D59" i="31"/>
  <c r="C59" i="31"/>
  <c r="E58" i="31"/>
  <c r="D58" i="31"/>
  <c r="C58" i="31"/>
  <c r="E57" i="31"/>
  <c r="D57" i="31"/>
  <c r="C57" i="31"/>
  <c r="E56" i="31"/>
  <c r="D56" i="31"/>
  <c r="C56" i="31"/>
  <c r="E55" i="31"/>
  <c r="D55" i="31"/>
  <c r="C55" i="31"/>
  <c r="E54" i="31"/>
  <c r="D54" i="31"/>
  <c r="C54" i="31"/>
  <c r="E53" i="31"/>
  <c r="D53" i="31"/>
  <c r="C53" i="31"/>
  <c r="E52" i="31"/>
  <c r="D52" i="31"/>
  <c r="C52" i="31"/>
  <c r="E51" i="31"/>
  <c r="D51" i="31"/>
  <c r="C51" i="31"/>
  <c r="E50" i="31"/>
  <c r="D50" i="31"/>
  <c r="C50" i="31"/>
  <c r="E49" i="31"/>
  <c r="D49" i="31"/>
  <c r="C49" i="31"/>
  <c r="E48" i="31"/>
  <c r="D48" i="31"/>
  <c r="C48" i="31"/>
  <c r="E47" i="31"/>
  <c r="D47" i="31"/>
  <c r="C47" i="31"/>
  <c r="E46" i="31"/>
  <c r="D46" i="31"/>
  <c r="C46" i="31"/>
  <c r="E45" i="31"/>
  <c r="D45" i="31"/>
  <c r="C45" i="31"/>
  <c r="E44" i="31"/>
  <c r="D44" i="31"/>
  <c r="C44" i="31"/>
  <c r="E43" i="31"/>
  <c r="D43" i="31"/>
  <c r="C43" i="31"/>
  <c r="E42" i="31"/>
  <c r="D42" i="31"/>
  <c r="C42" i="31"/>
  <c r="E41" i="31"/>
  <c r="D41" i="31"/>
  <c r="C41" i="31"/>
  <c r="E40" i="31"/>
  <c r="D40" i="31"/>
  <c r="C40" i="31"/>
  <c r="E39" i="31"/>
  <c r="D39" i="31"/>
  <c r="C39" i="31"/>
  <c r="E38" i="31"/>
  <c r="D38" i="31"/>
  <c r="C38" i="31"/>
  <c r="E37" i="31"/>
  <c r="D37" i="31"/>
  <c r="C37" i="31"/>
  <c r="E36" i="31"/>
  <c r="D36" i="31"/>
  <c r="C36" i="31"/>
  <c r="E35" i="31"/>
  <c r="D35" i="31"/>
  <c r="C35" i="31"/>
  <c r="E34" i="31"/>
  <c r="D34" i="31"/>
  <c r="C34" i="31"/>
  <c r="E33" i="31"/>
  <c r="D33" i="31"/>
  <c r="C33" i="31"/>
  <c r="E32" i="31"/>
  <c r="D32" i="31"/>
  <c r="C32" i="31"/>
  <c r="E31" i="31"/>
  <c r="D31" i="31"/>
  <c r="C31" i="31"/>
  <c r="E30" i="31"/>
  <c r="D30" i="31"/>
  <c r="C30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C4" i="31"/>
  <c r="C3" i="31"/>
  <c r="C3" i="90"/>
  <c r="C4" i="90"/>
  <c r="C238" i="90" s="1"/>
  <c r="C12" i="90"/>
  <c r="D12" i="90"/>
  <c r="C13" i="90"/>
  <c r="D13" i="90"/>
  <c r="C14" i="90"/>
  <c r="D14" i="90"/>
  <c r="C15" i="90"/>
  <c r="D15" i="90"/>
  <c r="C16" i="90"/>
  <c r="D16" i="90"/>
  <c r="C17" i="90"/>
  <c r="D17" i="90"/>
  <c r="C18" i="90"/>
  <c r="D18" i="90"/>
  <c r="C19" i="90"/>
  <c r="D19" i="90"/>
  <c r="C20" i="90"/>
  <c r="D20" i="90"/>
  <c r="C21" i="90"/>
  <c r="D21" i="90"/>
  <c r="C22" i="90"/>
  <c r="D22" i="90"/>
  <c r="C23" i="90"/>
  <c r="D23" i="90"/>
  <c r="C24" i="90"/>
  <c r="D24" i="90"/>
  <c r="C25" i="90"/>
  <c r="D25" i="90"/>
  <c r="C30" i="90"/>
  <c r="D30" i="90"/>
  <c r="E30" i="90"/>
  <c r="C31" i="90"/>
  <c r="D31" i="90"/>
  <c r="E31" i="90"/>
  <c r="C32" i="90"/>
  <c r="D32" i="90"/>
  <c r="E32" i="90"/>
  <c r="C33" i="90"/>
  <c r="D33" i="90"/>
  <c r="E33" i="90"/>
  <c r="C34" i="90"/>
  <c r="D34" i="90"/>
  <c r="E34" i="90"/>
  <c r="C35" i="90"/>
  <c r="E35" i="90"/>
  <c r="C36" i="90"/>
  <c r="E36" i="90"/>
  <c r="C37" i="90"/>
  <c r="D37" i="90"/>
  <c r="E37" i="90"/>
  <c r="C38" i="90"/>
  <c r="D38" i="90"/>
  <c r="E38" i="90"/>
  <c r="C39" i="90"/>
  <c r="D39" i="90"/>
  <c r="E39" i="90"/>
  <c r="C40" i="90"/>
  <c r="E40" i="90"/>
  <c r="C41" i="90"/>
  <c r="E41" i="90"/>
  <c r="C42" i="90"/>
  <c r="D42" i="90"/>
  <c r="E42" i="90"/>
  <c r="C43" i="90"/>
  <c r="E43" i="90"/>
  <c r="C44" i="90"/>
  <c r="D44" i="90"/>
  <c r="E44" i="90"/>
  <c r="C45" i="90"/>
  <c r="D45" i="90"/>
  <c r="E45" i="90"/>
  <c r="C46" i="90"/>
  <c r="D46" i="90"/>
  <c r="E46" i="90"/>
  <c r="C47" i="90"/>
  <c r="E47" i="90"/>
  <c r="C48" i="90"/>
  <c r="D48" i="90"/>
  <c r="E48" i="90"/>
  <c r="C49" i="90"/>
  <c r="D49" i="90"/>
  <c r="E49" i="90"/>
  <c r="C50" i="90"/>
  <c r="D50" i="90"/>
  <c r="E50" i="90"/>
  <c r="C51" i="90"/>
  <c r="D51" i="90"/>
  <c r="E51" i="90"/>
  <c r="C52" i="90"/>
  <c r="D52" i="90"/>
  <c r="E52" i="90"/>
  <c r="C53" i="90"/>
  <c r="D53" i="90"/>
  <c r="E53" i="90"/>
  <c r="C54" i="90"/>
  <c r="E54" i="90"/>
  <c r="C55" i="90"/>
  <c r="D55" i="90"/>
  <c r="E55" i="90"/>
  <c r="C56" i="90"/>
  <c r="D56" i="90"/>
  <c r="E56" i="90"/>
  <c r="C57" i="90"/>
  <c r="D57" i="90"/>
  <c r="E57" i="90"/>
  <c r="C58" i="90"/>
  <c r="D58" i="90"/>
  <c r="E58" i="90"/>
  <c r="C59" i="90"/>
  <c r="E59" i="90"/>
  <c r="C60" i="90"/>
  <c r="D60" i="90"/>
  <c r="E60" i="90"/>
  <c r="C61" i="90"/>
  <c r="D61" i="90"/>
  <c r="E61" i="90"/>
  <c r="C62" i="90"/>
  <c r="E62" i="90"/>
  <c r="C63" i="90"/>
  <c r="D63" i="90"/>
  <c r="E63" i="90"/>
  <c r="C64" i="90"/>
  <c r="D64" i="90"/>
  <c r="E64" i="90"/>
  <c r="C65" i="90"/>
  <c r="E65" i="90"/>
  <c r="C69" i="90"/>
  <c r="D69" i="90"/>
  <c r="E69" i="90"/>
  <c r="C70" i="90"/>
  <c r="E70" i="90"/>
  <c r="C71" i="90"/>
  <c r="D71" i="90"/>
  <c r="E71" i="90"/>
  <c r="C72" i="90"/>
  <c r="D72" i="90"/>
  <c r="E72" i="90"/>
  <c r="C73" i="90"/>
  <c r="D73" i="90"/>
  <c r="E73" i="90"/>
  <c r="C74" i="90"/>
  <c r="D74" i="90"/>
  <c r="E74" i="90"/>
  <c r="C75" i="90"/>
  <c r="D75" i="90"/>
  <c r="E75" i="90"/>
  <c r="C76" i="90"/>
  <c r="D76" i="90"/>
  <c r="E76" i="90"/>
  <c r="C77" i="90"/>
  <c r="D77" i="90"/>
  <c r="E77" i="90"/>
  <c r="C78" i="90"/>
  <c r="D78" i="90"/>
  <c r="E78" i="90"/>
  <c r="C79" i="90"/>
  <c r="E79" i="90"/>
  <c r="C80" i="90"/>
  <c r="D80" i="90"/>
  <c r="E80" i="90"/>
  <c r="C81" i="90"/>
  <c r="D81" i="90"/>
  <c r="E81" i="90"/>
  <c r="C82" i="90"/>
  <c r="D82" i="90"/>
  <c r="E82" i="90"/>
  <c r="C83" i="90"/>
  <c r="D83" i="90"/>
  <c r="E83" i="90"/>
  <c r="C87" i="90"/>
  <c r="D87" i="90"/>
  <c r="E87" i="90"/>
  <c r="C88" i="90"/>
  <c r="D88" i="90"/>
  <c r="E88" i="90"/>
  <c r="C89" i="90"/>
  <c r="D89" i="90"/>
  <c r="E89" i="90"/>
  <c r="C90" i="90"/>
  <c r="E90" i="90"/>
  <c r="C91" i="90"/>
  <c r="D91" i="90"/>
  <c r="E91" i="90"/>
  <c r="C92" i="90"/>
  <c r="D92" i="90"/>
  <c r="E92" i="90"/>
  <c r="C93" i="90"/>
  <c r="D93" i="90"/>
  <c r="E93" i="90"/>
  <c r="C94" i="90"/>
  <c r="D94" i="90"/>
  <c r="E94" i="90"/>
  <c r="C95" i="90"/>
  <c r="D95" i="90"/>
  <c r="E95" i="90"/>
  <c r="C96" i="90"/>
  <c r="E96" i="90"/>
  <c r="C97" i="90"/>
  <c r="D97" i="90"/>
  <c r="E97" i="90"/>
  <c r="C101" i="90"/>
  <c r="D101" i="90"/>
  <c r="E101" i="90"/>
  <c r="C102" i="90"/>
  <c r="D102" i="90"/>
  <c r="E102" i="90"/>
  <c r="C103" i="90"/>
  <c r="D103" i="90"/>
  <c r="E103" i="90"/>
  <c r="C104" i="90"/>
  <c r="D104" i="90"/>
  <c r="E104" i="90"/>
  <c r="C105" i="90"/>
  <c r="D105" i="90"/>
  <c r="E105" i="90"/>
  <c r="C106" i="90"/>
  <c r="D106" i="90"/>
  <c r="E106" i="90"/>
  <c r="C110" i="90"/>
  <c r="D110" i="90"/>
  <c r="E110" i="90"/>
  <c r="C111" i="90"/>
  <c r="D111" i="90"/>
  <c r="E111" i="90"/>
  <c r="C112" i="90"/>
  <c r="D112" i="90"/>
  <c r="E112" i="90"/>
  <c r="C113" i="90"/>
  <c r="D113" i="90"/>
  <c r="E113" i="90"/>
  <c r="C114" i="90"/>
  <c r="D114" i="90"/>
  <c r="E114" i="90"/>
  <c r="C115" i="90"/>
  <c r="D115" i="90"/>
  <c r="E115" i="90"/>
  <c r="C119" i="90"/>
  <c r="D119" i="90"/>
  <c r="E119" i="90"/>
  <c r="C120" i="90"/>
  <c r="D120" i="90"/>
  <c r="E120" i="90"/>
  <c r="C121" i="90"/>
  <c r="D121" i="90"/>
  <c r="E121" i="90"/>
  <c r="C122" i="90"/>
  <c r="D122" i="90"/>
  <c r="E122" i="90"/>
  <c r="C123" i="90"/>
  <c r="D123" i="90"/>
  <c r="E123" i="90"/>
  <c r="C128" i="90"/>
  <c r="D128" i="90"/>
  <c r="E128" i="90"/>
  <c r="C129" i="90"/>
  <c r="D129" i="90"/>
  <c r="E129" i="90"/>
  <c r="C130" i="90"/>
  <c r="D130" i="90"/>
  <c r="E130" i="90"/>
  <c r="C131" i="90"/>
  <c r="D131" i="90"/>
  <c r="E131" i="90"/>
  <c r="C132" i="90"/>
  <c r="D132" i="90"/>
  <c r="E132" i="90"/>
  <c r="C134" i="90"/>
  <c r="D134" i="90"/>
  <c r="E134" i="90"/>
  <c r="C135" i="90"/>
  <c r="D135" i="90"/>
  <c r="E135" i="90"/>
  <c r="C136" i="90"/>
  <c r="D136" i="90"/>
  <c r="E136" i="90"/>
  <c r="C137" i="90"/>
  <c r="D137" i="90"/>
  <c r="E137" i="90"/>
  <c r="C138" i="90"/>
  <c r="D138" i="90"/>
  <c r="E138" i="90"/>
  <c r="C140" i="90"/>
  <c r="D140" i="90"/>
  <c r="E140" i="90"/>
  <c r="C141" i="90"/>
  <c r="D141" i="90"/>
  <c r="E141" i="90"/>
  <c r="C142" i="90"/>
  <c r="D142" i="90"/>
  <c r="E142" i="90"/>
  <c r="C143" i="90"/>
  <c r="D143" i="90"/>
  <c r="E143" i="90"/>
  <c r="C145" i="90"/>
  <c r="D145" i="90"/>
  <c r="E145" i="90"/>
  <c r="C146" i="90"/>
  <c r="D146" i="90"/>
  <c r="E146" i="90"/>
  <c r="C147" i="90"/>
  <c r="D147" i="90"/>
  <c r="E147" i="90"/>
  <c r="C148" i="90"/>
  <c r="D148" i="90"/>
  <c r="E148" i="90"/>
  <c r="C150" i="90"/>
  <c r="D150" i="90"/>
  <c r="E150" i="90"/>
  <c r="C151" i="90"/>
  <c r="D151" i="90"/>
  <c r="E151" i="90"/>
  <c r="C152" i="90"/>
  <c r="D152" i="90"/>
  <c r="E152" i="90"/>
  <c r="C153" i="90"/>
  <c r="D153" i="90"/>
  <c r="E153" i="90"/>
  <c r="C154" i="90"/>
  <c r="E154" i="90"/>
  <c r="C155" i="90"/>
  <c r="D155" i="90"/>
  <c r="E155" i="90"/>
  <c r="C156" i="90"/>
  <c r="D156" i="90"/>
  <c r="E156" i="90"/>
  <c r="C157" i="90"/>
  <c r="D157" i="90"/>
  <c r="E157" i="90"/>
  <c r="C158" i="90"/>
  <c r="D158" i="90"/>
  <c r="E158" i="90"/>
  <c r="C160" i="90"/>
  <c r="D160" i="90"/>
  <c r="E160" i="90"/>
  <c r="C161" i="90"/>
  <c r="D161" i="90"/>
  <c r="E161" i="90"/>
  <c r="C162" i="90"/>
  <c r="D162" i="90"/>
  <c r="E162" i="90"/>
  <c r="C163" i="90"/>
  <c r="D163" i="90"/>
  <c r="E163" i="90"/>
  <c r="C164" i="90"/>
  <c r="D164" i="90"/>
  <c r="E164" i="90"/>
  <c r="C165" i="90"/>
  <c r="D165" i="90"/>
  <c r="E165" i="90"/>
  <c r="C169" i="90"/>
  <c r="D169" i="90"/>
  <c r="E169" i="90"/>
  <c r="C170" i="90"/>
  <c r="D170" i="90"/>
  <c r="E170" i="90"/>
  <c r="C171" i="90"/>
  <c r="D171" i="90"/>
  <c r="E171" i="90"/>
  <c r="C172" i="90"/>
  <c r="D172" i="90"/>
  <c r="E172" i="90"/>
  <c r="C173" i="90"/>
  <c r="D173" i="90"/>
  <c r="E173" i="90"/>
  <c r="C174" i="90"/>
  <c r="D174" i="90"/>
  <c r="E174" i="90"/>
  <c r="C175" i="90"/>
  <c r="D175" i="90"/>
  <c r="E175" i="90"/>
  <c r="C176" i="90"/>
  <c r="D176" i="90"/>
  <c r="E176" i="90"/>
  <c r="C177" i="90"/>
  <c r="D177" i="90"/>
  <c r="E177" i="90"/>
  <c r="C178" i="90"/>
  <c r="D178" i="90"/>
  <c r="E178" i="90"/>
  <c r="C179" i="90"/>
  <c r="D179" i="90"/>
  <c r="E179" i="90"/>
  <c r="C180" i="90"/>
  <c r="D180" i="90"/>
  <c r="E180" i="90"/>
  <c r="C181" i="90"/>
  <c r="D181" i="90"/>
  <c r="E181" i="90"/>
  <c r="C182" i="90"/>
  <c r="D182" i="90"/>
  <c r="E182" i="90"/>
  <c r="C183" i="90"/>
  <c r="D183" i="90"/>
  <c r="E183" i="90"/>
  <c r="C184" i="90"/>
  <c r="D184" i="90"/>
  <c r="E184" i="90"/>
  <c r="C185" i="90"/>
  <c r="D185" i="90"/>
  <c r="E185" i="90"/>
  <c r="C186" i="90"/>
  <c r="E186" i="90"/>
  <c r="C187" i="90"/>
  <c r="D187" i="90"/>
  <c r="E187" i="90"/>
  <c r="C188" i="90"/>
  <c r="E188" i="90"/>
  <c r="C189" i="90"/>
  <c r="D189" i="90"/>
  <c r="E189" i="90"/>
  <c r="C190" i="90"/>
  <c r="D190" i="90"/>
  <c r="E190" i="90"/>
  <c r="C191" i="90"/>
  <c r="D191" i="90"/>
  <c r="E191" i="90"/>
  <c r="C192" i="90"/>
  <c r="D192" i="90"/>
  <c r="E192" i="90"/>
  <c r="C193" i="90"/>
  <c r="D193" i="90"/>
  <c r="E193" i="90"/>
  <c r="C194" i="90"/>
  <c r="D194" i="90"/>
  <c r="E194" i="90"/>
  <c r="C195" i="90"/>
  <c r="D195" i="90"/>
  <c r="E195" i="90"/>
  <c r="C196" i="90"/>
  <c r="D196" i="90"/>
  <c r="E196" i="90"/>
  <c r="C197" i="90"/>
  <c r="D197" i="90"/>
  <c r="E197" i="90"/>
  <c r="C198" i="90"/>
  <c r="D198" i="90"/>
  <c r="E198" i="90"/>
  <c r="C199" i="90"/>
  <c r="D199" i="90"/>
  <c r="E199" i="90"/>
  <c r="C200" i="90"/>
  <c r="D200" i="90"/>
  <c r="E200" i="90"/>
  <c r="C201" i="90"/>
  <c r="D201" i="90"/>
  <c r="E201" i="90"/>
  <c r="C205" i="90"/>
  <c r="D205" i="90"/>
  <c r="E205" i="90"/>
  <c r="C206" i="90"/>
  <c r="D206" i="90"/>
  <c r="E206" i="90"/>
  <c r="C207" i="90"/>
  <c r="D207" i="90"/>
  <c r="E207" i="90"/>
  <c r="C208" i="90"/>
  <c r="D208" i="90"/>
  <c r="E208" i="90"/>
  <c r="C209" i="90"/>
  <c r="D209" i="90"/>
  <c r="E209" i="90"/>
  <c r="C210" i="90"/>
  <c r="D210" i="90"/>
  <c r="E210" i="90"/>
  <c r="C216" i="90"/>
  <c r="C224" i="90"/>
  <c r="C225" i="90"/>
  <c r="C226" i="90"/>
  <c r="C227" i="90"/>
  <c r="C228" i="90"/>
  <c r="C229" i="90"/>
  <c r="C230" i="90"/>
  <c r="C231" i="90"/>
  <c r="C232" i="90"/>
  <c r="D233" i="90"/>
  <c r="E233" i="90"/>
  <c r="C236" i="90"/>
  <c r="C237" i="90"/>
  <c r="C240" i="90"/>
  <c r="C241" i="90"/>
  <c r="C242" i="90"/>
  <c r="C243" i="90"/>
  <c r="F12" i="90" l="1"/>
  <c r="I12" i="90" s="1"/>
  <c r="C238" i="31"/>
  <c r="D26" i="31"/>
  <c r="F12" i="31"/>
  <c r="I12" i="31" s="1"/>
  <c r="D26" i="90"/>
  <c r="C26" i="31"/>
  <c r="E211" i="90"/>
  <c r="E107" i="90"/>
  <c r="C84" i="31"/>
  <c r="D84" i="31"/>
  <c r="E124" i="31"/>
  <c r="C202" i="31"/>
  <c r="D202" i="31"/>
  <c r="D116" i="90"/>
  <c r="D166" i="90"/>
  <c r="C26" i="90"/>
  <c r="C233" i="90"/>
  <c r="D202" i="90"/>
  <c r="E202" i="90"/>
  <c r="C98" i="90"/>
  <c r="C166" i="31"/>
  <c r="E166" i="90"/>
  <c r="D98" i="90"/>
  <c r="D84" i="90"/>
  <c r="D98" i="31"/>
  <c r="C202" i="90"/>
  <c r="C166" i="90"/>
  <c r="E116" i="90"/>
  <c r="E98" i="90"/>
  <c r="D66" i="90"/>
  <c r="C66" i="90"/>
  <c r="E84" i="31"/>
  <c r="C107" i="31"/>
  <c r="D107" i="31"/>
  <c r="E107" i="31"/>
  <c r="E116" i="31"/>
  <c r="C124" i="31"/>
  <c r="D124" i="31"/>
  <c r="E202" i="31"/>
  <c r="E66" i="90"/>
  <c r="C124" i="90"/>
  <c r="C116" i="90"/>
  <c r="C84" i="90"/>
  <c r="C98" i="31"/>
  <c r="D166" i="31"/>
  <c r="D211" i="90"/>
  <c r="C211" i="90"/>
  <c r="D124" i="90"/>
  <c r="E124" i="90"/>
  <c r="D107" i="90"/>
  <c r="C107" i="90"/>
  <c r="E84" i="90"/>
  <c r="E98" i="31"/>
  <c r="C116" i="31"/>
  <c r="D116" i="31"/>
  <c r="E166" i="31"/>
  <c r="C211" i="31"/>
  <c r="D211" i="31"/>
  <c r="E211" i="31"/>
  <c r="C233" i="31"/>
  <c r="C66" i="31"/>
  <c r="D66" i="31"/>
  <c r="E66" i="31"/>
  <c r="C213" i="90" l="1"/>
  <c r="C217" i="90" s="1"/>
  <c r="D213" i="90"/>
  <c r="D220" i="90" s="1"/>
  <c r="E213" i="31"/>
  <c r="E220" i="31" s="1"/>
  <c r="D213" i="31"/>
  <c r="D220" i="31" s="1"/>
  <c r="E213" i="90"/>
  <c r="E220" i="90" s="1"/>
  <c r="C213" i="31"/>
  <c r="C217" i="31" s="1"/>
  <c r="C220" i="90"/>
  <c r="C220" i="31" l="1"/>
  <c r="I249" i="90"/>
  <c r="I248" i="90"/>
  <c r="I247" i="90"/>
  <c r="I246" i="90"/>
  <c r="I249" i="86" l="1"/>
  <c r="I248" i="86"/>
  <c r="I247" i="86"/>
  <c r="I246" i="86"/>
  <c r="C243" i="86"/>
  <c r="C242" i="86"/>
  <c r="C241" i="86"/>
  <c r="C240" i="86"/>
  <c r="C237" i="86"/>
  <c r="C236" i="86"/>
  <c r="E233" i="86"/>
  <c r="D233" i="86"/>
  <c r="C232" i="86"/>
  <c r="C231" i="86"/>
  <c r="C230" i="86"/>
  <c r="C229" i="86"/>
  <c r="C228" i="86"/>
  <c r="C227" i="86"/>
  <c r="C226" i="86"/>
  <c r="C225" i="86"/>
  <c r="C224" i="86"/>
  <c r="C216" i="86"/>
  <c r="E210" i="86"/>
  <c r="D210" i="86"/>
  <c r="C210" i="86"/>
  <c r="E209" i="86"/>
  <c r="D209" i="86"/>
  <c r="C209" i="86"/>
  <c r="E208" i="86"/>
  <c r="D208" i="86"/>
  <c r="C208" i="86"/>
  <c r="E207" i="86"/>
  <c r="D207" i="86"/>
  <c r="C207" i="86"/>
  <c r="E206" i="86"/>
  <c r="D206" i="86"/>
  <c r="C206" i="86"/>
  <c r="E205" i="86"/>
  <c r="D205" i="86"/>
  <c r="C205" i="86"/>
  <c r="E201" i="86"/>
  <c r="D201" i="86"/>
  <c r="C201" i="86"/>
  <c r="E200" i="86"/>
  <c r="D200" i="86"/>
  <c r="C200" i="86"/>
  <c r="E199" i="86"/>
  <c r="D199" i="86"/>
  <c r="C199" i="86"/>
  <c r="E198" i="86"/>
  <c r="D198" i="86"/>
  <c r="C198" i="86"/>
  <c r="E197" i="86"/>
  <c r="D197" i="86"/>
  <c r="C197" i="86"/>
  <c r="E196" i="86"/>
  <c r="D196" i="86"/>
  <c r="C196" i="86"/>
  <c r="E195" i="86"/>
  <c r="D195" i="86"/>
  <c r="C195" i="86"/>
  <c r="E194" i="86"/>
  <c r="D194" i="86"/>
  <c r="C194" i="86"/>
  <c r="E193" i="86"/>
  <c r="D193" i="86"/>
  <c r="C193" i="86"/>
  <c r="E192" i="86"/>
  <c r="D192" i="86"/>
  <c r="C192" i="86"/>
  <c r="E191" i="86"/>
  <c r="D191" i="86"/>
  <c r="C191" i="86"/>
  <c r="E190" i="86"/>
  <c r="D190" i="86"/>
  <c r="C190" i="86"/>
  <c r="E189" i="86"/>
  <c r="D189" i="86"/>
  <c r="C189" i="86"/>
  <c r="E188" i="86"/>
  <c r="D188" i="86"/>
  <c r="C188" i="86"/>
  <c r="E187" i="86"/>
  <c r="D187" i="86"/>
  <c r="C187" i="86"/>
  <c r="E186" i="86"/>
  <c r="D186" i="86"/>
  <c r="C186" i="86"/>
  <c r="E185" i="86"/>
  <c r="D185" i="86"/>
  <c r="C185" i="86"/>
  <c r="E184" i="86"/>
  <c r="D184" i="86"/>
  <c r="C184" i="86"/>
  <c r="E183" i="86"/>
  <c r="D183" i="86"/>
  <c r="C183" i="86"/>
  <c r="E182" i="86"/>
  <c r="D182" i="86"/>
  <c r="C182" i="86"/>
  <c r="E181" i="86"/>
  <c r="D181" i="86"/>
  <c r="C181" i="86"/>
  <c r="E180" i="86"/>
  <c r="D180" i="86"/>
  <c r="C180" i="86"/>
  <c r="E179" i="86"/>
  <c r="D179" i="86"/>
  <c r="C179" i="86"/>
  <c r="E178" i="86"/>
  <c r="D178" i="86"/>
  <c r="C178" i="86"/>
  <c r="E177" i="86"/>
  <c r="D177" i="86"/>
  <c r="C177" i="86"/>
  <c r="E176" i="86"/>
  <c r="D176" i="86"/>
  <c r="C176" i="86"/>
  <c r="E175" i="86"/>
  <c r="D175" i="86"/>
  <c r="C175" i="86"/>
  <c r="E174" i="86"/>
  <c r="D174" i="86"/>
  <c r="C174" i="86"/>
  <c r="E173" i="86"/>
  <c r="D173" i="86"/>
  <c r="C173" i="86"/>
  <c r="E172" i="86"/>
  <c r="D172" i="86"/>
  <c r="C172" i="86"/>
  <c r="E171" i="86"/>
  <c r="D171" i="86"/>
  <c r="C171" i="86"/>
  <c r="E170" i="86"/>
  <c r="D170" i="86"/>
  <c r="C170" i="86"/>
  <c r="E169" i="86"/>
  <c r="D169" i="86"/>
  <c r="C169" i="86"/>
  <c r="E165" i="86"/>
  <c r="D165" i="86"/>
  <c r="C165" i="86"/>
  <c r="E164" i="86"/>
  <c r="D164" i="86"/>
  <c r="C164" i="86"/>
  <c r="E163" i="86"/>
  <c r="D163" i="86"/>
  <c r="C163" i="86"/>
  <c r="E162" i="86"/>
  <c r="D162" i="86"/>
  <c r="C162" i="86"/>
  <c r="E161" i="86"/>
  <c r="D161" i="86"/>
  <c r="C161" i="86"/>
  <c r="E160" i="86"/>
  <c r="D160" i="86"/>
  <c r="C160" i="86"/>
  <c r="E158" i="86"/>
  <c r="D158" i="86"/>
  <c r="C158" i="86"/>
  <c r="E157" i="86"/>
  <c r="D157" i="86"/>
  <c r="C157" i="86"/>
  <c r="E156" i="86"/>
  <c r="D156" i="86"/>
  <c r="C156" i="86"/>
  <c r="E155" i="86"/>
  <c r="D155" i="86"/>
  <c r="C155" i="86"/>
  <c r="E154" i="86"/>
  <c r="D154" i="86"/>
  <c r="C154" i="86"/>
  <c r="E153" i="86"/>
  <c r="D153" i="86"/>
  <c r="C153" i="86"/>
  <c r="E152" i="86"/>
  <c r="D152" i="86"/>
  <c r="C152" i="86"/>
  <c r="E151" i="86"/>
  <c r="D151" i="86"/>
  <c r="C151" i="86"/>
  <c r="E150" i="86"/>
  <c r="D150" i="86"/>
  <c r="C150" i="86"/>
  <c r="E148" i="86"/>
  <c r="D148" i="86"/>
  <c r="C148" i="86"/>
  <c r="E147" i="86"/>
  <c r="D147" i="86"/>
  <c r="C147" i="86"/>
  <c r="E146" i="86"/>
  <c r="D146" i="86"/>
  <c r="C146" i="86"/>
  <c r="E145" i="86"/>
  <c r="D145" i="86"/>
  <c r="C145" i="86"/>
  <c r="E143" i="86"/>
  <c r="D143" i="86"/>
  <c r="C143" i="86"/>
  <c r="E142" i="86"/>
  <c r="D142" i="86"/>
  <c r="C142" i="86"/>
  <c r="E141" i="86"/>
  <c r="D141" i="86"/>
  <c r="C141" i="86"/>
  <c r="E140" i="86"/>
  <c r="D140" i="86"/>
  <c r="C140" i="86"/>
  <c r="E138" i="86"/>
  <c r="D138" i="86"/>
  <c r="C138" i="86"/>
  <c r="E137" i="86"/>
  <c r="D137" i="86"/>
  <c r="C137" i="86"/>
  <c r="E136" i="86"/>
  <c r="D136" i="86"/>
  <c r="C136" i="86"/>
  <c r="E135" i="86"/>
  <c r="D135" i="86"/>
  <c r="C135" i="86"/>
  <c r="E134" i="86"/>
  <c r="D134" i="86"/>
  <c r="C134" i="86"/>
  <c r="E132" i="86"/>
  <c r="D132" i="86"/>
  <c r="C132" i="86"/>
  <c r="E131" i="86"/>
  <c r="D131" i="86"/>
  <c r="C131" i="86"/>
  <c r="E130" i="86"/>
  <c r="D130" i="86"/>
  <c r="C130" i="86"/>
  <c r="E129" i="86"/>
  <c r="D129" i="86"/>
  <c r="C129" i="86"/>
  <c r="E128" i="86"/>
  <c r="D128" i="86"/>
  <c r="C128" i="86"/>
  <c r="E123" i="86"/>
  <c r="D123" i="86"/>
  <c r="C123" i="86"/>
  <c r="E122" i="86"/>
  <c r="D122" i="86"/>
  <c r="C122" i="86"/>
  <c r="E121" i="86"/>
  <c r="D121" i="86"/>
  <c r="C121" i="86"/>
  <c r="E120" i="86"/>
  <c r="D120" i="86"/>
  <c r="C120" i="86"/>
  <c r="E119" i="86"/>
  <c r="D119" i="86"/>
  <c r="C119" i="86"/>
  <c r="E115" i="86"/>
  <c r="D115" i="86"/>
  <c r="C115" i="86"/>
  <c r="E114" i="86"/>
  <c r="D114" i="86"/>
  <c r="C114" i="86"/>
  <c r="E113" i="86"/>
  <c r="D113" i="86"/>
  <c r="C113" i="86"/>
  <c r="E112" i="86"/>
  <c r="D112" i="86"/>
  <c r="C112" i="86"/>
  <c r="E111" i="86"/>
  <c r="D111" i="86"/>
  <c r="C111" i="86"/>
  <c r="E110" i="86"/>
  <c r="D110" i="86"/>
  <c r="C110" i="86"/>
  <c r="E106" i="86"/>
  <c r="D106" i="86"/>
  <c r="C106" i="86"/>
  <c r="E105" i="86"/>
  <c r="D105" i="86"/>
  <c r="C105" i="86"/>
  <c r="E104" i="86"/>
  <c r="D104" i="86"/>
  <c r="C104" i="86"/>
  <c r="E103" i="86"/>
  <c r="D103" i="86"/>
  <c r="C103" i="86"/>
  <c r="E102" i="86"/>
  <c r="D102" i="86"/>
  <c r="C102" i="86"/>
  <c r="E101" i="86"/>
  <c r="D101" i="86"/>
  <c r="C101" i="86"/>
  <c r="E97" i="86"/>
  <c r="D97" i="86"/>
  <c r="C97" i="86"/>
  <c r="E96" i="86"/>
  <c r="D96" i="86"/>
  <c r="C96" i="86"/>
  <c r="E95" i="86"/>
  <c r="D95" i="86"/>
  <c r="C95" i="86"/>
  <c r="E94" i="86"/>
  <c r="D94" i="86"/>
  <c r="C94" i="86"/>
  <c r="E93" i="86"/>
  <c r="D93" i="86"/>
  <c r="C93" i="86"/>
  <c r="E92" i="86"/>
  <c r="D92" i="86"/>
  <c r="C92" i="86"/>
  <c r="E91" i="86"/>
  <c r="D91" i="86"/>
  <c r="C91" i="86"/>
  <c r="E90" i="86"/>
  <c r="D90" i="86"/>
  <c r="C90" i="86"/>
  <c r="E89" i="86"/>
  <c r="D89" i="86"/>
  <c r="C89" i="86"/>
  <c r="E88" i="86"/>
  <c r="D88" i="86"/>
  <c r="C88" i="86"/>
  <c r="E87" i="86"/>
  <c r="D87" i="86"/>
  <c r="C87" i="86"/>
  <c r="E83" i="86"/>
  <c r="D83" i="86"/>
  <c r="C83" i="86"/>
  <c r="E82" i="86"/>
  <c r="D82" i="86"/>
  <c r="C82" i="86"/>
  <c r="E81" i="86"/>
  <c r="D81" i="86"/>
  <c r="C81" i="86"/>
  <c r="E80" i="86"/>
  <c r="D80" i="86"/>
  <c r="C80" i="86"/>
  <c r="E79" i="86"/>
  <c r="D79" i="86"/>
  <c r="C79" i="86"/>
  <c r="E78" i="86"/>
  <c r="D78" i="86"/>
  <c r="C78" i="86"/>
  <c r="E77" i="86"/>
  <c r="D77" i="86"/>
  <c r="C77" i="86"/>
  <c r="E76" i="86"/>
  <c r="D76" i="86"/>
  <c r="C76" i="86"/>
  <c r="E75" i="86"/>
  <c r="D75" i="86"/>
  <c r="C75" i="86"/>
  <c r="E74" i="86"/>
  <c r="D74" i="86"/>
  <c r="C74" i="86"/>
  <c r="E73" i="86"/>
  <c r="D73" i="86"/>
  <c r="C73" i="86"/>
  <c r="E72" i="86"/>
  <c r="D72" i="86"/>
  <c r="C72" i="86"/>
  <c r="E71" i="86"/>
  <c r="D71" i="86"/>
  <c r="C71" i="86"/>
  <c r="E70" i="86"/>
  <c r="D70" i="86"/>
  <c r="C70" i="86"/>
  <c r="E69" i="86"/>
  <c r="D69" i="86"/>
  <c r="C69" i="86"/>
  <c r="E65" i="86"/>
  <c r="D65" i="86"/>
  <c r="C65" i="86"/>
  <c r="E64" i="86"/>
  <c r="D64" i="86"/>
  <c r="C64" i="86"/>
  <c r="E63" i="86"/>
  <c r="D63" i="86"/>
  <c r="C63" i="86"/>
  <c r="E62" i="86"/>
  <c r="D62" i="86"/>
  <c r="C62" i="86"/>
  <c r="E61" i="86"/>
  <c r="D61" i="86"/>
  <c r="C61" i="86"/>
  <c r="E60" i="86"/>
  <c r="D60" i="86"/>
  <c r="C60" i="86"/>
  <c r="E59" i="86"/>
  <c r="D59" i="86"/>
  <c r="C59" i="86"/>
  <c r="E58" i="86"/>
  <c r="D58" i="86"/>
  <c r="C58" i="86"/>
  <c r="E57" i="86"/>
  <c r="D57" i="86"/>
  <c r="C57" i="86"/>
  <c r="E56" i="86"/>
  <c r="D56" i="86"/>
  <c r="C56" i="86"/>
  <c r="E55" i="86"/>
  <c r="D55" i="86"/>
  <c r="C55" i="86"/>
  <c r="E54" i="86"/>
  <c r="D54" i="86"/>
  <c r="C54" i="86"/>
  <c r="E53" i="86"/>
  <c r="D53" i="86"/>
  <c r="C53" i="86"/>
  <c r="E52" i="86"/>
  <c r="D52" i="86"/>
  <c r="C52" i="86"/>
  <c r="E51" i="86"/>
  <c r="D51" i="86"/>
  <c r="C51" i="86"/>
  <c r="E50" i="86"/>
  <c r="D50" i="86"/>
  <c r="C50" i="86"/>
  <c r="E49" i="86"/>
  <c r="D49" i="86"/>
  <c r="C49" i="86"/>
  <c r="E48" i="86"/>
  <c r="D48" i="86"/>
  <c r="C48" i="86"/>
  <c r="E47" i="86"/>
  <c r="D47" i="86"/>
  <c r="C47" i="86"/>
  <c r="E46" i="86"/>
  <c r="D46" i="86"/>
  <c r="C46" i="86"/>
  <c r="E45" i="86"/>
  <c r="D45" i="86"/>
  <c r="C45" i="86"/>
  <c r="E44" i="86"/>
  <c r="D44" i="86"/>
  <c r="C44" i="86"/>
  <c r="E43" i="86"/>
  <c r="D43" i="86"/>
  <c r="C43" i="86"/>
  <c r="E42" i="86"/>
  <c r="D42" i="86"/>
  <c r="C42" i="86"/>
  <c r="E41" i="86"/>
  <c r="D41" i="86"/>
  <c r="C41" i="86"/>
  <c r="E40" i="86"/>
  <c r="D40" i="86"/>
  <c r="C40" i="86"/>
  <c r="E39" i="86"/>
  <c r="D39" i="86"/>
  <c r="C39" i="86"/>
  <c r="E38" i="86"/>
  <c r="D38" i="86"/>
  <c r="C38" i="86"/>
  <c r="E37" i="86"/>
  <c r="D37" i="86"/>
  <c r="C37" i="86"/>
  <c r="E36" i="86"/>
  <c r="D36" i="86"/>
  <c r="C36" i="86"/>
  <c r="E35" i="86"/>
  <c r="D35" i="86"/>
  <c r="C35" i="86"/>
  <c r="E34" i="86"/>
  <c r="D34" i="86"/>
  <c r="C34" i="86"/>
  <c r="E33" i="86"/>
  <c r="D33" i="86"/>
  <c r="C33" i="86"/>
  <c r="E32" i="86"/>
  <c r="D32" i="86"/>
  <c r="C32" i="86"/>
  <c r="E31" i="86"/>
  <c r="D31" i="86"/>
  <c r="C31" i="86"/>
  <c r="E30" i="86"/>
  <c r="D30" i="86"/>
  <c r="C30" i="86"/>
  <c r="D25" i="86"/>
  <c r="C25" i="86"/>
  <c r="D24" i="86"/>
  <c r="C24" i="86"/>
  <c r="D23" i="86"/>
  <c r="C23" i="86"/>
  <c r="D22" i="86"/>
  <c r="C22" i="86"/>
  <c r="D21" i="86"/>
  <c r="C21" i="86"/>
  <c r="D20" i="86"/>
  <c r="C20" i="86"/>
  <c r="D19" i="86"/>
  <c r="C19" i="86"/>
  <c r="D18" i="86"/>
  <c r="C18" i="86"/>
  <c r="D17" i="86"/>
  <c r="C17" i="86"/>
  <c r="D16" i="86"/>
  <c r="C16" i="86"/>
  <c r="D15" i="86"/>
  <c r="C15" i="86"/>
  <c r="D14" i="86"/>
  <c r="C14" i="86"/>
  <c r="D13" i="86"/>
  <c r="C13" i="86"/>
  <c r="D12" i="86"/>
  <c r="C12" i="86"/>
  <c r="C4" i="86"/>
  <c r="C3" i="86"/>
  <c r="F12" i="86" l="1"/>
  <c r="I12" i="86" s="1"/>
  <c r="D26" i="86"/>
  <c r="C238" i="86"/>
  <c r="C26" i="86"/>
  <c r="D84" i="86"/>
  <c r="C98" i="86"/>
  <c r="C124" i="86"/>
  <c r="C166" i="86"/>
  <c r="D202" i="86"/>
  <c r="C84" i="86"/>
  <c r="C116" i="86"/>
  <c r="E116" i="86"/>
  <c r="E124" i="86"/>
  <c r="D211" i="86"/>
  <c r="D166" i="86"/>
  <c r="E84" i="86"/>
  <c r="D98" i="86"/>
  <c r="C107" i="86"/>
  <c r="E107" i="86"/>
  <c r="E166" i="86"/>
  <c r="E202" i="86"/>
  <c r="C233" i="86"/>
  <c r="E98" i="86"/>
  <c r="D107" i="86"/>
  <c r="D116" i="86"/>
  <c r="D124" i="86"/>
  <c r="C202" i="86"/>
  <c r="C211" i="86"/>
  <c r="E211" i="86"/>
  <c r="C66" i="86"/>
  <c r="D66" i="86"/>
  <c r="E66" i="86"/>
  <c r="C213" i="86" l="1"/>
  <c r="C217" i="86" s="1"/>
  <c r="E213" i="86"/>
  <c r="E220" i="86" s="1"/>
  <c r="D213" i="86"/>
  <c r="D220" i="86" s="1"/>
  <c r="C220" i="86" l="1"/>
  <c r="I249" i="156"/>
  <c r="I248" i="156"/>
  <c r="I247" i="156"/>
  <c r="I246" i="156"/>
  <c r="C243" i="156"/>
  <c r="C242" i="156"/>
  <c r="C241" i="156"/>
  <c r="C240" i="156"/>
  <c r="C237" i="156"/>
  <c r="C236" i="156"/>
  <c r="E233" i="156"/>
  <c r="D233" i="156"/>
  <c r="C232" i="156"/>
  <c r="C231" i="156"/>
  <c r="C230" i="156"/>
  <c r="C229" i="156"/>
  <c r="C228" i="156"/>
  <c r="C227" i="156"/>
  <c r="C226" i="156"/>
  <c r="C225" i="156"/>
  <c r="C224" i="156"/>
  <c r="C216" i="156"/>
  <c r="E210" i="156"/>
  <c r="D210" i="156"/>
  <c r="C210" i="156"/>
  <c r="E209" i="156"/>
  <c r="D209" i="156"/>
  <c r="C209" i="156"/>
  <c r="E208" i="156"/>
  <c r="D208" i="156"/>
  <c r="C208" i="156"/>
  <c r="E207" i="156"/>
  <c r="D207" i="156"/>
  <c r="C207" i="156"/>
  <c r="E206" i="156"/>
  <c r="D206" i="156"/>
  <c r="C206" i="156"/>
  <c r="E205" i="156"/>
  <c r="D205" i="156"/>
  <c r="C205" i="156"/>
  <c r="E201" i="156"/>
  <c r="D201" i="156"/>
  <c r="C201" i="156"/>
  <c r="E200" i="156"/>
  <c r="D200" i="156"/>
  <c r="C200" i="156"/>
  <c r="E199" i="156"/>
  <c r="D199" i="156"/>
  <c r="C199" i="156"/>
  <c r="E198" i="156"/>
  <c r="D198" i="156"/>
  <c r="C198" i="156"/>
  <c r="E197" i="156"/>
  <c r="D197" i="156"/>
  <c r="C197" i="156"/>
  <c r="E196" i="156"/>
  <c r="D196" i="156"/>
  <c r="C196" i="156"/>
  <c r="E195" i="156"/>
  <c r="D195" i="156"/>
  <c r="C195" i="156"/>
  <c r="E194" i="156"/>
  <c r="D194" i="156"/>
  <c r="C194" i="156"/>
  <c r="E193" i="156"/>
  <c r="D193" i="156"/>
  <c r="C193" i="156"/>
  <c r="E192" i="156"/>
  <c r="D192" i="156"/>
  <c r="C192" i="156"/>
  <c r="E191" i="156"/>
  <c r="D191" i="156"/>
  <c r="C191" i="156"/>
  <c r="E190" i="156"/>
  <c r="D190" i="156"/>
  <c r="C190" i="156"/>
  <c r="E189" i="156"/>
  <c r="D189" i="156"/>
  <c r="C189" i="156"/>
  <c r="E188" i="156"/>
  <c r="D188" i="156"/>
  <c r="C188" i="156"/>
  <c r="E187" i="156"/>
  <c r="D187" i="156"/>
  <c r="C187" i="156"/>
  <c r="E186" i="156"/>
  <c r="D186" i="156"/>
  <c r="C186" i="156"/>
  <c r="E185" i="156"/>
  <c r="D185" i="156"/>
  <c r="C185" i="156"/>
  <c r="E184" i="156"/>
  <c r="D184" i="156"/>
  <c r="C184" i="156"/>
  <c r="E183" i="156"/>
  <c r="D183" i="156"/>
  <c r="C183" i="156"/>
  <c r="E182" i="156"/>
  <c r="D182" i="156"/>
  <c r="C182" i="156"/>
  <c r="E181" i="156"/>
  <c r="D181" i="156"/>
  <c r="C181" i="156"/>
  <c r="E180" i="156"/>
  <c r="D180" i="156"/>
  <c r="C180" i="156"/>
  <c r="E179" i="156"/>
  <c r="D179" i="156"/>
  <c r="C179" i="156"/>
  <c r="E178" i="156"/>
  <c r="D178" i="156"/>
  <c r="C178" i="156"/>
  <c r="E177" i="156"/>
  <c r="D177" i="156"/>
  <c r="C177" i="156"/>
  <c r="E176" i="156"/>
  <c r="D176" i="156"/>
  <c r="C176" i="156"/>
  <c r="E175" i="156"/>
  <c r="D175" i="156"/>
  <c r="C175" i="156"/>
  <c r="E174" i="156"/>
  <c r="D174" i="156"/>
  <c r="C174" i="156"/>
  <c r="E173" i="156"/>
  <c r="D173" i="156"/>
  <c r="C173" i="156"/>
  <c r="E172" i="156"/>
  <c r="D172" i="156"/>
  <c r="C172" i="156"/>
  <c r="E171" i="156"/>
  <c r="D171" i="156"/>
  <c r="C171" i="156"/>
  <c r="E170" i="156"/>
  <c r="D170" i="156"/>
  <c r="C170" i="156"/>
  <c r="E169" i="156"/>
  <c r="D169" i="156"/>
  <c r="C169" i="156"/>
  <c r="E165" i="156"/>
  <c r="D165" i="156"/>
  <c r="C165" i="156"/>
  <c r="E164" i="156"/>
  <c r="D164" i="156"/>
  <c r="C164" i="156"/>
  <c r="E163" i="156"/>
  <c r="D163" i="156"/>
  <c r="C163" i="156"/>
  <c r="E162" i="156"/>
  <c r="D162" i="156"/>
  <c r="C162" i="156"/>
  <c r="E161" i="156"/>
  <c r="D161" i="156"/>
  <c r="C161" i="156"/>
  <c r="E160" i="156"/>
  <c r="D160" i="156"/>
  <c r="C160" i="156"/>
  <c r="E158" i="156"/>
  <c r="D158" i="156"/>
  <c r="C158" i="156"/>
  <c r="E157" i="156"/>
  <c r="D157" i="156"/>
  <c r="C157" i="156"/>
  <c r="E156" i="156"/>
  <c r="D156" i="156"/>
  <c r="C156" i="156"/>
  <c r="E155" i="156"/>
  <c r="D155" i="156"/>
  <c r="C155" i="156"/>
  <c r="E154" i="156"/>
  <c r="D154" i="156"/>
  <c r="C154" i="156"/>
  <c r="E153" i="156"/>
  <c r="D153" i="156"/>
  <c r="C153" i="156"/>
  <c r="E152" i="156"/>
  <c r="D152" i="156"/>
  <c r="C152" i="156"/>
  <c r="E151" i="156"/>
  <c r="D151" i="156"/>
  <c r="C151" i="156"/>
  <c r="E150" i="156"/>
  <c r="D150" i="156"/>
  <c r="C150" i="156"/>
  <c r="E148" i="156"/>
  <c r="D148" i="156"/>
  <c r="C148" i="156"/>
  <c r="E147" i="156"/>
  <c r="D147" i="156"/>
  <c r="C147" i="156"/>
  <c r="E146" i="156"/>
  <c r="D146" i="156"/>
  <c r="C146" i="156"/>
  <c r="E145" i="156"/>
  <c r="D145" i="156"/>
  <c r="C145" i="156"/>
  <c r="E143" i="156"/>
  <c r="D143" i="156"/>
  <c r="C143" i="156"/>
  <c r="E142" i="156"/>
  <c r="D142" i="156"/>
  <c r="C142" i="156"/>
  <c r="E141" i="156"/>
  <c r="D141" i="156"/>
  <c r="C141" i="156"/>
  <c r="E140" i="156"/>
  <c r="D140" i="156"/>
  <c r="C140" i="156"/>
  <c r="E138" i="156"/>
  <c r="D138" i="156"/>
  <c r="C138" i="156"/>
  <c r="E137" i="156"/>
  <c r="D137" i="156"/>
  <c r="C137" i="156"/>
  <c r="E136" i="156"/>
  <c r="D136" i="156"/>
  <c r="C136" i="156"/>
  <c r="E135" i="156"/>
  <c r="D135" i="156"/>
  <c r="C135" i="156"/>
  <c r="E134" i="156"/>
  <c r="D134" i="156"/>
  <c r="C134" i="156"/>
  <c r="E132" i="156"/>
  <c r="D132" i="156"/>
  <c r="C132" i="156"/>
  <c r="E131" i="156"/>
  <c r="D131" i="156"/>
  <c r="C131" i="156"/>
  <c r="E130" i="156"/>
  <c r="D130" i="156"/>
  <c r="C130" i="156"/>
  <c r="E129" i="156"/>
  <c r="D129" i="156"/>
  <c r="C129" i="156"/>
  <c r="E128" i="156"/>
  <c r="D128" i="156"/>
  <c r="C128" i="156"/>
  <c r="E123" i="156"/>
  <c r="D123" i="156"/>
  <c r="C123" i="156"/>
  <c r="E122" i="156"/>
  <c r="D122" i="156"/>
  <c r="C122" i="156"/>
  <c r="E121" i="156"/>
  <c r="D121" i="156"/>
  <c r="C121" i="156"/>
  <c r="E120" i="156"/>
  <c r="D120" i="156"/>
  <c r="C120" i="156"/>
  <c r="E119" i="156"/>
  <c r="D119" i="156"/>
  <c r="C119" i="156"/>
  <c r="E115" i="156"/>
  <c r="D115" i="156"/>
  <c r="C115" i="156"/>
  <c r="E114" i="156"/>
  <c r="D114" i="156"/>
  <c r="C114" i="156"/>
  <c r="E113" i="156"/>
  <c r="D113" i="156"/>
  <c r="C113" i="156"/>
  <c r="E112" i="156"/>
  <c r="D112" i="156"/>
  <c r="C112" i="156"/>
  <c r="E111" i="156"/>
  <c r="D111" i="156"/>
  <c r="C111" i="156"/>
  <c r="E110" i="156"/>
  <c r="D110" i="156"/>
  <c r="C110" i="156"/>
  <c r="E106" i="156"/>
  <c r="D106" i="156"/>
  <c r="C106" i="156"/>
  <c r="E105" i="156"/>
  <c r="D105" i="156"/>
  <c r="C105" i="156"/>
  <c r="E104" i="156"/>
  <c r="D104" i="156"/>
  <c r="C104" i="156"/>
  <c r="E103" i="156"/>
  <c r="D103" i="156"/>
  <c r="C103" i="156"/>
  <c r="E102" i="156"/>
  <c r="D102" i="156"/>
  <c r="C102" i="156"/>
  <c r="E101" i="156"/>
  <c r="D101" i="156"/>
  <c r="C101" i="156"/>
  <c r="E97" i="156"/>
  <c r="D97" i="156"/>
  <c r="C97" i="156"/>
  <c r="E96" i="156"/>
  <c r="D96" i="156"/>
  <c r="C96" i="156"/>
  <c r="E95" i="156"/>
  <c r="D95" i="156"/>
  <c r="C95" i="156"/>
  <c r="E94" i="156"/>
  <c r="D94" i="156"/>
  <c r="C94" i="156"/>
  <c r="E93" i="156"/>
  <c r="D93" i="156"/>
  <c r="C93" i="156"/>
  <c r="E92" i="156"/>
  <c r="D92" i="156"/>
  <c r="C92" i="156"/>
  <c r="E91" i="156"/>
  <c r="D91" i="156"/>
  <c r="C91" i="156"/>
  <c r="E90" i="156"/>
  <c r="D90" i="156"/>
  <c r="C90" i="156"/>
  <c r="E89" i="156"/>
  <c r="D89" i="156"/>
  <c r="C89" i="156"/>
  <c r="E88" i="156"/>
  <c r="D88" i="156"/>
  <c r="C88" i="156"/>
  <c r="E87" i="156"/>
  <c r="D87" i="156"/>
  <c r="C87" i="156"/>
  <c r="E83" i="156"/>
  <c r="D83" i="156"/>
  <c r="C83" i="156"/>
  <c r="E82" i="156"/>
  <c r="D82" i="156"/>
  <c r="C82" i="156"/>
  <c r="E81" i="156"/>
  <c r="D81" i="156"/>
  <c r="C81" i="156"/>
  <c r="E80" i="156"/>
  <c r="D80" i="156"/>
  <c r="C80" i="156"/>
  <c r="E79" i="156"/>
  <c r="D79" i="156"/>
  <c r="C79" i="156"/>
  <c r="E78" i="156"/>
  <c r="D78" i="156"/>
  <c r="C78" i="156"/>
  <c r="E77" i="156"/>
  <c r="D77" i="156"/>
  <c r="C77" i="156"/>
  <c r="E76" i="156"/>
  <c r="D76" i="156"/>
  <c r="C76" i="156"/>
  <c r="E75" i="156"/>
  <c r="D75" i="156"/>
  <c r="C75" i="156"/>
  <c r="E74" i="156"/>
  <c r="D74" i="156"/>
  <c r="C74" i="156"/>
  <c r="E73" i="156"/>
  <c r="D73" i="156"/>
  <c r="C73" i="156"/>
  <c r="E72" i="156"/>
  <c r="D72" i="156"/>
  <c r="C72" i="156"/>
  <c r="E71" i="156"/>
  <c r="C71" i="156"/>
  <c r="E70" i="156"/>
  <c r="C70" i="156"/>
  <c r="E69" i="156"/>
  <c r="C69" i="156"/>
  <c r="E65" i="156"/>
  <c r="D65" i="156"/>
  <c r="C65" i="156"/>
  <c r="E64" i="156"/>
  <c r="D64" i="156"/>
  <c r="C64" i="156"/>
  <c r="E63" i="156"/>
  <c r="D63" i="156"/>
  <c r="C63" i="156"/>
  <c r="E62" i="156"/>
  <c r="D62" i="156"/>
  <c r="C62" i="156"/>
  <c r="E61" i="156"/>
  <c r="D61" i="156"/>
  <c r="C61" i="156"/>
  <c r="E60" i="156"/>
  <c r="D60" i="156"/>
  <c r="C60" i="156"/>
  <c r="E59" i="156"/>
  <c r="D59" i="156"/>
  <c r="C59" i="156"/>
  <c r="E58" i="156"/>
  <c r="D58" i="156"/>
  <c r="C58" i="156"/>
  <c r="E57" i="156"/>
  <c r="D57" i="156"/>
  <c r="C57" i="156"/>
  <c r="E56" i="156"/>
  <c r="D56" i="156"/>
  <c r="C56" i="156"/>
  <c r="E55" i="156"/>
  <c r="D55" i="156"/>
  <c r="C55" i="156"/>
  <c r="E54" i="156"/>
  <c r="D54" i="156"/>
  <c r="C54" i="156"/>
  <c r="E53" i="156"/>
  <c r="D53" i="156"/>
  <c r="C53" i="156"/>
  <c r="E52" i="156"/>
  <c r="D52" i="156"/>
  <c r="C52" i="156"/>
  <c r="E51" i="156"/>
  <c r="D51" i="156"/>
  <c r="C51" i="156"/>
  <c r="E50" i="156"/>
  <c r="D50" i="156"/>
  <c r="C50" i="156"/>
  <c r="E49" i="156"/>
  <c r="D49" i="156"/>
  <c r="C49" i="156"/>
  <c r="E48" i="156"/>
  <c r="D48" i="156"/>
  <c r="C48" i="156"/>
  <c r="E47" i="156"/>
  <c r="D47" i="156"/>
  <c r="C47" i="156"/>
  <c r="E46" i="156"/>
  <c r="D46" i="156"/>
  <c r="C46" i="156"/>
  <c r="E45" i="156"/>
  <c r="D45" i="156"/>
  <c r="C45" i="156"/>
  <c r="E44" i="156"/>
  <c r="D44" i="156"/>
  <c r="C44" i="156"/>
  <c r="E43" i="156"/>
  <c r="D43" i="156"/>
  <c r="C43" i="156"/>
  <c r="E42" i="156"/>
  <c r="D42" i="156"/>
  <c r="C42" i="156"/>
  <c r="E41" i="156"/>
  <c r="D41" i="156"/>
  <c r="C41" i="156"/>
  <c r="E40" i="156"/>
  <c r="D40" i="156"/>
  <c r="C40" i="156"/>
  <c r="E39" i="156"/>
  <c r="D39" i="156"/>
  <c r="C39" i="156"/>
  <c r="E38" i="156"/>
  <c r="D38" i="156"/>
  <c r="C38" i="156"/>
  <c r="E37" i="156"/>
  <c r="D37" i="156"/>
  <c r="C37" i="156"/>
  <c r="E36" i="156"/>
  <c r="C36" i="156"/>
  <c r="E35" i="156"/>
  <c r="D35" i="156"/>
  <c r="C35" i="156"/>
  <c r="E34" i="156"/>
  <c r="D34" i="156"/>
  <c r="C34" i="156"/>
  <c r="E33" i="156"/>
  <c r="D33" i="156"/>
  <c r="C33" i="156"/>
  <c r="E32" i="156"/>
  <c r="D32" i="156"/>
  <c r="C32" i="156"/>
  <c r="E31" i="156"/>
  <c r="D31" i="156"/>
  <c r="C31" i="156"/>
  <c r="E30" i="156"/>
  <c r="D30" i="156"/>
  <c r="C30" i="156"/>
  <c r="D25" i="156"/>
  <c r="C25" i="156"/>
  <c r="D24" i="156"/>
  <c r="C24" i="156"/>
  <c r="D23" i="156"/>
  <c r="C23" i="156"/>
  <c r="D22" i="156"/>
  <c r="C22" i="156"/>
  <c r="D21" i="156"/>
  <c r="C21" i="156"/>
  <c r="D20" i="156"/>
  <c r="C20" i="156"/>
  <c r="D19" i="156"/>
  <c r="C19" i="156"/>
  <c r="D18" i="156"/>
  <c r="C18" i="156"/>
  <c r="D17" i="156"/>
  <c r="C17" i="156"/>
  <c r="D16" i="156"/>
  <c r="C16" i="156"/>
  <c r="D15" i="156"/>
  <c r="C15" i="156"/>
  <c r="D14" i="156"/>
  <c r="C14" i="156"/>
  <c r="D13" i="156"/>
  <c r="C13" i="156"/>
  <c r="D12" i="156"/>
  <c r="C12" i="156"/>
  <c r="C4" i="156"/>
  <c r="C3" i="156"/>
  <c r="D26" i="156" l="1"/>
  <c r="F12" i="156"/>
  <c r="I12" i="156" s="1"/>
  <c r="F51" i="156"/>
  <c r="E84" i="156"/>
  <c r="D98" i="156"/>
  <c r="C107" i="156"/>
  <c r="C238" i="156"/>
  <c r="E107" i="156"/>
  <c r="C166" i="156"/>
  <c r="D166" i="156"/>
  <c r="D202" i="156"/>
  <c r="D84" i="156"/>
  <c r="C98" i="156"/>
  <c r="C116" i="156"/>
  <c r="E124" i="156"/>
  <c r="C202" i="156"/>
  <c r="D211" i="156"/>
  <c r="E98" i="156"/>
  <c r="D107" i="156"/>
  <c r="E116" i="156"/>
  <c r="C124" i="156"/>
  <c r="E202" i="156"/>
  <c r="C26" i="156"/>
  <c r="C84" i="156"/>
  <c r="D116" i="156"/>
  <c r="D124" i="156"/>
  <c r="E166" i="156"/>
  <c r="C211" i="156"/>
  <c r="E211" i="156"/>
  <c r="C233" i="156"/>
  <c r="C66" i="156"/>
  <c r="D66" i="156"/>
  <c r="E66" i="156"/>
  <c r="E213" i="156" l="1"/>
  <c r="E220" i="156" s="1"/>
  <c r="D213" i="156"/>
  <c r="D220" i="156" s="1"/>
  <c r="C213" i="156"/>
  <c r="C217" i="156" s="1"/>
  <c r="C220" i="156" l="1"/>
  <c r="I249" i="20"/>
  <c r="I248" i="20"/>
  <c r="I247" i="20"/>
  <c r="I246" i="20"/>
  <c r="C243" i="20"/>
  <c r="C242" i="20"/>
  <c r="C241" i="20"/>
  <c r="C240" i="20"/>
  <c r="C237" i="20"/>
  <c r="C236" i="20"/>
  <c r="E233" i="20"/>
  <c r="D233" i="20"/>
  <c r="C232" i="20"/>
  <c r="C231" i="20"/>
  <c r="C230" i="20"/>
  <c r="C229" i="20"/>
  <c r="C228" i="20"/>
  <c r="C227" i="20"/>
  <c r="C226" i="20"/>
  <c r="C225" i="20"/>
  <c r="C224" i="20"/>
  <c r="C216" i="20"/>
  <c r="E210" i="20"/>
  <c r="D210" i="20"/>
  <c r="C210" i="20"/>
  <c r="E209" i="20"/>
  <c r="D209" i="20"/>
  <c r="C209" i="20"/>
  <c r="E208" i="20"/>
  <c r="D208" i="20"/>
  <c r="C208" i="20"/>
  <c r="E207" i="20"/>
  <c r="D207" i="20"/>
  <c r="C207" i="20"/>
  <c r="E206" i="20"/>
  <c r="D206" i="20"/>
  <c r="C206" i="20"/>
  <c r="E205" i="20"/>
  <c r="D205" i="20"/>
  <c r="C205" i="20"/>
  <c r="E201" i="20"/>
  <c r="D201" i="20"/>
  <c r="C201" i="20"/>
  <c r="E200" i="20"/>
  <c r="D200" i="20"/>
  <c r="C200" i="20"/>
  <c r="E199" i="20"/>
  <c r="D199" i="20"/>
  <c r="C199" i="20"/>
  <c r="E198" i="20"/>
  <c r="D198" i="20"/>
  <c r="C198" i="20"/>
  <c r="E197" i="20"/>
  <c r="D197" i="20"/>
  <c r="C197" i="20"/>
  <c r="E196" i="20"/>
  <c r="D196" i="20"/>
  <c r="C196" i="20"/>
  <c r="E195" i="20"/>
  <c r="D195" i="20"/>
  <c r="C195" i="20"/>
  <c r="E194" i="20"/>
  <c r="D194" i="20"/>
  <c r="C194" i="20"/>
  <c r="E193" i="20"/>
  <c r="D193" i="20"/>
  <c r="C193" i="20"/>
  <c r="E192" i="20"/>
  <c r="D192" i="20"/>
  <c r="C192" i="20"/>
  <c r="E191" i="20"/>
  <c r="D191" i="20"/>
  <c r="C191" i="20"/>
  <c r="E190" i="20"/>
  <c r="D190" i="20"/>
  <c r="C190" i="20"/>
  <c r="E189" i="20"/>
  <c r="D189" i="20"/>
  <c r="C189" i="20"/>
  <c r="E188" i="20"/>
  <c r="D188" i="20"/>
  <c r="C188" i="20"/>
  <c r="E187" i="20"/>
  <c r="D187" i="20"/>
  <c r="C187" i="20"/>
  <c r="E186" i="20"/>
  <c r="D186" i="20"/>
  <c r="C186" i="20"/>
  <c r="E185" i="20"/>
  <c r="D185" i="20"/>
  <c r="C185" i="20"/>
  <c r="E184" i="20"/>
  <c r="D184" i="20"/>
  <c r="C184" i="20"/>
  <c r="E183" i="20"/>
  <c r="D183" i="20"/>
  <c r="C183" i="20"/>
  <c r="E182" i="20"/>
  <c r="D182" i="20"/>
  <c r="C182" i="20"/>
  <c r="E181" i="20"/>
  <c r="D181" i="20"/>
  <c r="C181" i="20"/>
  <c r="E180" i="20"/>
  <c r="D180" i="20"/>
  <c r="C180" i="20"/>
  <c r="E179" i="20"/>
  <c r="D179" i="20"/>
  <c r="C179" i="20"/>
  <c r="E178" i="20"/>
  <c r="D178" i="20"/>
  <c r="C178" i="20"/>
  <c r="E177" i="20"/>
  <c r="D177" i="20"/>
  <c r="C177" i="20"/>
  <c r="E176" i="20"/>
  <c r="D176" i="20"/>
  <c r="C176" i="20"/>
  <c r="E175" i="20"/>
  <c r="D175" i="20"/>
  <c r="C175" i="20"/>
  <c r="E174" i="20"/>
  <c r="D174" i="20"/>
  <c r="C174" i="20"/>
  <c r="E173" i="20"/>
  <c r="D173" i="20"/>
  <c r="C173" i="20"/>
  <c r="E172" i="20"/>
  <c r="D172" i="20"/>
  <c r="C172" i="20"/>
  <c r="E171" i="20"/>
  <c r="D171" i="20"/>
  <c r="C171" i="20"/>
  <c r="E170" i="20"/>
  <c r="D170" i="20"/>
  <c r="C170" i="20"/>
  <c r="E169" i="20"/>
  <c r="D169" i="20"/>
  <c r="C169" i="20"/>
  <c r="E165" i="20"/>
  <c r="D165" i="20"/>
  <c r="C165" i="20"/>
  <c r="E164" i="20"/>
  <c r="D164" i="20"/>
  <c r="C164" i="20"/>
  <c r="E163" i="20"/>
  <c r="D163" i="20"/>
  <c r="C163" i="20"/>
  <c r="E162" i="20"/>
  <c r="D162" i="20"/>
  <c r="C162" i="20"/>
  <c r="E161" i="20"/>
  <c r="D161" i="20"/>
  <c r="C161" i="20"/>
  <c r="E160" i="20"/>
  <c r="D160" i="20"/>
  <c r="C160" i="20"/>
  <c r="E158" i="20"/>
  <c r="D158" i="20"/>
  <c r="C158" i="20"/>
  <c r="E157" i="20"/>
  <c r="D157" i="20"/>
  <c r="C157" i="20"/>
  <c r="E156" i="20"/>
  <c r="D156" i="20"/>
  <c r="C156" i="20"/>
  <c r="E155" i="20"/>
  <c r="D155" i="20"/>
  <c r="C155" i="20"/>
  <c r="E154" i="20"/>
  <c r="D154" i="20"/>
  <c r="C154" i="20"/>
  <c r="E153" i="20"/>
  <c r="D153" i="20"/>
  <c r="C153" i="20"/>
  <c r="E152" i="20"/>
  <c r="D152" i="20"/>
  <c r="C152" i="20"/>
  <c r="E151" i="20"/>
  <c r="D151" i="20"/>
  <c r="C151" i="20"/>
  <c r="E150" i="20"/>
  <c r="D150" i="20"/>
  <c r="C150" i="20"/>
  <c r="E148" i="20"/>
  <c r="D148" i="20"/>
  <c r="C148" i="20"/>
  <c r="E147" i="20"/>
  <c r="D147" i="20"/>
  <c r="C147" i="20"/>
  <c r="E146" i="20"/>
  <c r="D146" i="20"/>
  <c r="C146" i="20"/>
  <c r="E145" i="20"/>
  <c r="D145" i="20"/>
  <c r="C145" i="20"/>
  <c r="E143" i="20"/>
  <c r="D143" i="20"/>
  <c r="C143" i="20"/>
  <c r="E142" i="20"/>
  <c r="D142" i="20"/>
  <c r="C142" i="20"/>
  <c r="E141" i="20"/>
  <c r="D141" i="20"/>
  <c r="C141" i="20"/>
  <c r="E140" i="20"/>
  <c r="D140" i="20"/>
  <c r="C140" i="20"/>
  <c r="E138" i="20"/>
  <c r="D138" i="20"/>
  <c r="C138" i="20"/>
  <c r="E137" i="20"/>
  <c r="D137" i="20"/>
  <c r="C137" i="20"/>
  <c r="E136" i="20"/>
  <c r="D136" i="20"/>
  <c r="C136" i="20"/>
  <c r="E135" i="20"/>
  <c r="D135" i="20"/>
  <c r="C135" i="20"/>
  <c r="E134" i="20"/>
  <c r="D134" i="20"/>
  <c r="C134" i="20"/>
  <c r="E132" i="20"/>
  <c r="D132" i="20"/>
  <c r="C132" i="20"/>
  <c r="E131" i="20"/>
  <c r="D131" i="20"/>
  <c r="C131" i="20"/>
  <c r="E130" i="20"/>
  <c r="D130" i="20"/>
  <c r="C130" i="20"/>
  <c r="E129" i="20"/>
  <c r="D129" i="20"/>
  <c r="C129" i="20"/>
  <c r="E128" i="20"/>
  <c r="D128" i="20"/>
  <c r="C128" i="20"/>
  <c r="E123" i="20"/>
  <c r="D123" i="20"/>
  <c r="C123" i="20"/>
  <c r="E122" i="20"/>
  <c r="D122" i="20"/>
  <c r="C122" i="20"/>
  <c r="E121" i="20"/>
  <c r="D121" i="20"/>
  <c r="C121" i="20"/>
  <c r="E120" i="20"/>
  <c r="D120" i="20"/>
  <c r="C120" i="20"/>
  <c r="E119" i="20"/>
  <c r="D119" i="20"/>
  <c r="C119" i="20"/>
  <c r="E115" i="20"/>
  <c r="D115" i="20"/>
  <c r="C115" i="20"/>
  <c r="E114" i="20"/>
  <c r="D114" i="20"/>
  <c r="C114" i="20"/>
  <c r="E113" i="20"/>
  <c r="D113" i="20"/>
  <c r="C113" i="20"/>
  <c r="E112" i="20"/>
  <c r="D112" i="20"/>
  <c r="C112" i="20"/>
  <c r="E111" i="20"/>
  <c r="D111" i="20"/>
  <c r="C111" i="20"/>
  <c r="E110" i="20"/>
  <c r="D110" i="20"/>
  <c r="C110" i="20"/>
  <c r="E106" i="20"/>
  <c r="D106" i="20"/>
  <c r="C106" i="20"/>
  <c r="E105" i="20"/>
  <c r="D105" i="20"/>
  <c r="C105" i="20"/>
  <c r="E104" i="20"/>
  <c r="D104" i="20"/>
  <c r="C104" i="20"/>
  <c r="E103" i="20"/>
  <c r="D103" i="20"/>
  <c r="C103" i="20"/>
  <c r="E102" i="20"/>
  <c r="D102" i="20"/>
  <c r="C102" i="20"/>
  <c r="E101" i="20"/>
  <c r="D101" i="20"/>
  <c r="C101" i="20"/>
  <c r="E97" i="20"/>
  <c r="D97" i="20"/>
  <c r="C97" i="20"/>
  <c r="E96" i="20"/>
  <c r="D96" i="20"/>
  <c r="C96" i="20"/>
  <c r="E95" i="20"/>
  <c r="D95" i="20"/>
  <c r="C95" i="20"/>
  <c r="E94" i="20"/>
  <c r="D94" i="20"/>
  <c r="C94" i="20"/>
  <c r="E93" i="20"/>
  <c r="D93" i="20"/>
  <c r="C93" i="20"/>
  <c r="E92" i="20"/>
  <c r="D92" i="20"/>
  <c r="C92" i="20"/>
  <c r="E91" i="20"/>
  <c r="D91" i="20"/>
  <c r="C91" i="20"/>
  <c r="E90" i="20"/>
  <c r="D90" i="20"/>
  <c r="C90" i="20"/>
  <c r="E89" i="20"/>
  <c r="D89" i="20"/>
  <c r="C89" i="20"/>
  <c r="E88" i="20"/>
  <c r="D88" i="20"/>
  <c r="C88" i="20"/>
  <c r="E87" i="20"/>
  <c r="D87" i="20"/>
  <c r="C87" i="20"/>
  <c r="E83" i="20"/>
  <c r="D83" i="20"/>
  <c r="C83" i="20"/>
  <c r="E82" i="20"/>
  <c r="D82" i="20"/>
  <c r="C82" i="20"/>
  <c r="E81" i="20"/>
  <c r="D81" i="20"/>
  <c r="C81" i="20"/>
  <c r="E80" i="20"/>
  <c r="D80" i="20"/>
  <c r="C80" i="20"/>
  <c r="E79" i="20"/>
  <c r="D79" i="20"/>
  <c r="C79" i="20"/>
  <c r="E78" i="20"/>
  <c r="D78" i="20"/>
  <c r="C78" i="20"/>
  <c r="E77" i="20"/>
  <c r="D77" i="20"/>
  <c r="C77" i="20"/>
  <c r="E76" i="20"/>
  <c r="D76" i="20"/>
  <c r="C76" i="20"/>
  <c r="E75" i="20"/>
  <c r="D75" i="20"/>
  <c r="C75" i="20"/>
  <c r="E74" i="20"/>
  <c r="D74" i="20"/>
  <c r="C74" i="20"/>
  <c r="E73" i="20"/>
  <c r="D73" i="20"/>
  <c r="C73" i="20"/>
  <c r="E72" i="20"/>
  <c r="D72" i="20"/>
  <c r="C72" i="20"/>
  <c r="E71" i="20"/>
  <c r="D71" i="20"/>
  <c r="C71" i="20"/>
  <c r="E70" i="20"/>
  <c r="D70" i="20"/>
  <c r="C70" i="20"/>
  <c r="E69" i="20"/>
  <c r="D69" i="20"/>
  <c r="C69" i="20"/>
  <c r="E65" i="20"/>
  <c r="D65" i="20"/>
  <c r="C65" i="20"/>
  <c r="E64" i="20"/>
  <c r="D64" i="20"/>
  <c r="C64" i="20"/>
  <c r="E63" i="20"/>
  <c r="D63" i="20"/>
  <c r="C63" i="20"/>
  <c r="E62" i="20"/>
  <c r="D62" i="20"/>
  <c r="C62" i="20"/>
  <c r="E61" i="20"/>
  <c r="D61" i="20"/>
  <c r="C61" i="20"/>
  <c r="E60" i="20"/>
  <c r="D60" i="20"/>
  <c r="C60" i="20"/>
  <c r="E59" i="20"/>
  <c r="D59" i="20"/>
  <c r="C59" i="20"/>
  <c r="E58" i="20"/>
  <c r="D58" i="20"/>
  <c r="C58" i="20"/>
  <c r="E57" i="20"/>
  <c r="D57" i="20"/>
  <c r="C57" i="20"/>
  <c r="E56" i="20"/>
  <c r="D56" i="20"/>
  <c r="C56" i="20"/>
  <c r="E55" i="20"/>
  <c r="D55" i="20"/>
  <c r="C55" i="20"/>
  <c r="E54" i="20"/>
  <c r="D54" i="20"/>
  <c r="C54" i="20"/>
  <c r="E53" i="20"/>
  <c r="D53" i="20"/>
  <c r="C53" i="20"/>
  <c r="E52" i="20"/>
  <c r="D52" i="20"/>
  <c r="C52" i="20"/>
  <c r="E51" i="20"/>
  <c r="D51" i="20"/>
  <c r="C51" i="20"/>
  <c r="E50" i="20"/>
  <c r="D50" i="20"/>
  <c r="C50" i="20"/>
  <c r="E49" i="20"/>
  <c r="D49" i="20"/>
  <c r="C49" i="20"/>
  <c r="E48" i="20"/>
  <c r="D48" i="20"/>
  <c r="C48" i="20"/>
  <c r="E47" i="20"/>
  <c r="D47" i="20"/>
  <c r="C47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E42" i="20"/>
  <c r="D42" i="20"/>
  <c r="C42" i="20"/>
  <c r="E41" i="20"/>
  <c r="D41" i="20"/>
  <c r="C41" i="20"/>
  <c r="E40" i="20"/>
  <c r="D40" i="20"/>
  <c r="C40" i="20"/>
  <c r="E39" i="20"/>
  <c r="D39" i="20"/>
  <c r="C39" i="20"/>
  <c r="E38" i="20"/>
  <c r="D38" i="20"/>
  <c r="C38" i="20"/>
  <c r="E37" i="20"/>
  <c r="D37" i="20"/>
  <c r="C37" i="20"/>
  <c r="E36" i="20"/>
  <c r="C36" i="20"/>
  <c r="E35" i="20"/>
  <c r="D35" i="20"/>
  <c r="C35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D25" i="20"/>
  <c r="C25" i="20"/>
  <c r="D24" i="20"/>
  <c r="C24" i="20"/>
  <c r="D23" i="20"/>
  <c r="C23" i="20"/>
  <c r="D22" i="20"/>
  <c r="C22" i="20"/>
  <c r="D21" i="20"/>
  <c r="C21" i="20"/>
  <c r="D20" i="20"/>
  <c r="C20" i="20"/>
  <c r="D19" i="20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C12" i="20"/>
  <c r="C4" i="20"/>
  <c r="C3" i="20"/>
  <c r="I249" i="155"/>
  <c r="I248" i="155"/>
  <c r="I247" i="155"/>
  <c r="I246" i="155"/>
  <c r="C4" i="155"/>
  <c r="C238" i="155" s="1"/>
  <c r="C3" i="155"/>
  <c r="I249" i="158"/>
  <c r="I248" i="158"/>
  <c r="I247" i="158"/>
  <c r="I246" i="158"/>
  <c r="C243" i="158"/>
  <c r="C242" i="158"/>
  <c r="C241" i="158"/>
  <c r="C240" i="158"/>
  <c r="C237" i="158"/>
  <c r="C236" i="158"/>
  <c r="E233" i="158"/>
  <c r="D233" i="158"/>
  <c r="C232" i="158"/>
  <c r="C231" i="158"/>
  <c r="C230" i="158"/>
  <c r="C229" i="158"/>
  <c r="C228" i="158"/>
  <c r="C227" i="158"/>
  <c r="C226" i="158"/>
  <c r="C225" i="158"/>
  <c r="C224" i="158"/>
  <c r="C216" i="158"/>
  <c r="E210" i="158"/>
  <c r="D210" i="158"/>
  <c r="C210" i="158"/>
  <c r="E209" i="158"/>
  <c r="D209" i="158"/>
  <c r="C209" i="158"/>
  <c r="E208" i="158"/>
  <c r="D208" i="158"/>
  <c r="C208" i="158"/>
  <c r="E207" i="158"/>
  <c r="D207" i="158"/>
  <c r="C207" i="158"/>
  <c r="E206" i="158"/>
  <c r="D206" i="158"/>
  <c r="C206" i="158"/>
  <c r="E205" i="158"/>
  <c r="D205" i="158"/>
  <c r="C205" i="158"/>
  <c r="E201" i="158"/>
  <c r="D201" i="158"/>
  <c r="C201" i="158"/>
  <c r="E200" i="158"/>
  <c r="D200" i="158"/>
  <c r="C200" i="158"/>
  <c r="E199" i="158"/>
  <c r="D199" i="158"/>
  <c r="C199" i="158"/>
  <c r="E198" i="158"/>
  <c r="D198" i="158"/>
  <c r="C198" i="158"/>
  <c r="E197" i="158"/>
  <c r="D197" i="158"/>
  <c r="C197" i="158"/>
  <c r="E196" i="158"/>
  <c r="D196" i="158"/>
  <c r="C196" i="158"/>
  <c r="E195" i="158"/>
  <c r="D195" i="158"/>
  <c r="C195" i="158"/>
  <c r="E194" i="158"/>
  <c r="D194" i="158"/>
  <c r="C194" i="158"/>
  <c r="E193" i="158"/>
  <c r="D193" i="158"/>
  <c r="C193" i="158"/>
  <c r="E192" i="158"/>
  <c r="D192" i="158"/>
  <c r="C192" i="158"/>
  <c r="E191" i="158"/>
  <c r="D191" i="158"/>
  <c r="C191" i="158"/>
  <c r="E190" i="158"/>
  <c r="D190" i="158"/>
  <c r="C190" i="158"/>
  <c r="E189" i="158"/>
  <c r="D189" i="158"/>
  <c r="C189" i="158"/>
  <c r="E188" i="158"/>
  <c r="D188" i="158"/>
  <c r="C188" i="158"/>
  <c r="E187" i="158"/>
  <c r="D187" i="158"/>
  <c r="C187" i="158"/>
  <c r="E186" i="158"/>
  <c r="D186" i="158"/>
  <c r="C186" i="158"/>
  <c r="E185" i="158"/>
  <c r="D185" i="158"/>
  <c r="C185" i="158"/>
  <c r="E184" i="158"/>
  <c r="D184" i="158"/>
  <c r="C184" i="158"/>
  <c r="E183" i="158"/>
  <c r="D183" i="158"/>
  <c r="C183" i="158"/>
  <c r="E182" i="158"/>
  <c r="D182" i="158"/>
  <c r="C182" i="158"/>
  <c r="E181" i="158"/>
  <c r="D181" i="158"/>
  <c r="C181" i="158"/>
  <c r="E180" i="158"/>
  <c r="D180" i="158"/>
  <c r="C180" i="158"/>
  <c r="E179" i="158"/>
  <c r="D179" i="158"/>
  <c r="C179" i="158"/>
  <c r="E178" i="158"/>
  <c r="D178" i="158"/>
  <c r="C178" i="158"/>
  <c r="E177" i="158"/>
  <c r="D177" i="158"/>
  <c r="C177" i="158"/>
  <c r="E176" i="158"/>
  <c r="D176" i="158"/>
  <c r="C176" i="158"/>
  <c r="E175" i="158"/>
  <c r="D175" i="158"/>
  <c r="C175" i="158"/>
  <c r="E174" i="158"/>
  <c r="D174" i="158"/>
  <c r="C174" i="158"/>
  <c r="E173" i="158"/>
  <c r="D173" i="158"/>
  <c r="C173" i="158"/>
  <c r="E172" i="158"/>
  <c r="D172" i="158"/>
  <c r="C172" i="158"/>
  <c r="E171" i="158"/>
  <c r="D171" i="158"/>
  <c r="C171" i="158"/>
  <c r="E170" i="158"/>
  <c r="D170" i="158"/>
  <c r="C170" i="158"/>
  <c r="E169" i="158"/>
  <c r="D169" i="158"/>
  <c r="C169" i="158"/>
  <c r="E165" i="158"/>
  <c r="D165" i="158"/>
  <c r="C165" i="158"/>
  <c r="E164" i="158"/>
  <c r="D164" i="158"/>
  <c r="C164" i="158"/>
  <c r="E163" i="158"/>
  <c r="D163" i="158"/>
  <c r="C163" i="158"/>
  <c r="E162" i="158"/>
  <c r="D162" i="158"/>
  <c r="C162" i="158"/>
  <c r="E161" i="158"/>
  <c r="D161" i="158"/>
  <c r="C161" i="158"/>
  <c r="E160" i="158"/>
  <c r="D160" i="158"/>
  <c r="C160" i="158"/>
  <c r="E158" i="158"/>
  <c r="D158" i="158"/>
  <c r="C158" i="158"/>
  <c r="E157" i="158"/>
  <c r="D157" i="158"/>
  <c r="C157" i="158"/>
  <c r="E156" i="158"/>
  <c r="D156" i="158"/>
  <c r="C156" i="158"/>
  <c r="E155" i="158"/>
  <c r="D155" i="158"/>
  <c r="C155" i="158"/>
  <c r="E154" i="158"/>
  <c r="D154" i="158"/>
  <c r="C154" i="158"/>
  <c r="E153" i="158"/>
  <c r="D153" i="158"/>
  <c r="C153" i="158"/>
  <c r="E152" i="158"/>
  <c r="D152" i="158"/>
  <c r="C152" i="158"/>
  <c r="E151" i="158"/>
  <c r="D151" i="158"/>
  <c r="C151" i="158"/>
  <c r="E150" i="158"/>
  <c r="D150" i="158"/>
  <c r="C150" i="158"/>
  <c r="E148" i="158"/>
  <c r="D148" i="158"/>
  <c r="C148" i="158"/>
  <c r="E147" i="158"/>
  <c r="D147" i="158"/>
  <c r="C147" i="158"/>
  <c r="E146" i="158"/>
  <c r="D146" i="158"/>
  <c r="C146" i="158"/>
  <c r="E145" i="158"/>
  <c r="D145" i="158"/>
  <c r="C145" i="158"/>
  <c r="E143" i="158"/>
  <c r="D143" i="158"/>
  <c r="C143" i="158"/>
  <c r="E142" i="158"/>
  <c r="D142" i="158"/>
  <c r="C142" i="158"/>
  <c r="E141" i="158"/>
  <c r="D141" i="158"/>
  <c r="C141" i="158"/>
  <c r="E140" i="158"/>
  <c r="D140" i="158"/>
  <c r="C140" i="158"/>
  <c r="E138" i="158"/>
  <c r="D138" i="158"/>
  <c r="C138" i="158"/>
  <c r="E137" i="158"/>
  <c r="D137" i="158"/>
  <c r="C137" i="158"/>
  <c r="E136" i="158"/>
  <c r="D136" i="158"/>
  <c r="C136" i="158"/>
  <c r="E135" i="158"/>
  <c r="D135" i="158"/>
  <c r="C135" i="158"/>
  <c r="E134" i="158"/>
  <c r="D134" i="158"/>
  <c r="C134" i="158"/>
  <c r="E132" i="158"/>
  <c r="D132" i="158"/>
  <c r="C132" i="158"/>
  <c r="E131" i="158"/>
  <c r="D131" i="158"/>
  <c r="C131" i="158"/>
  <c r="E130" i="158"/>
  <c r="D130" i="158"/>
  <c r="C130" i="158"/>
  <c r="E129" i="158"/>
  <c r="D129" i="158"/>
  <c r="C129" i="158"/>
  <c r="E128" i="158"/>
  <c r="D128" i="158"/>
  <c r="C128" i="158"/>
  <c r="E123" i="158"/>
  <c r="D123" i="158"/>
  <c r="C123" i="158"/>
  <c r="E122" i="158"/>
  <c r="D122" i="158"/>
  <c r="C122" i="158"/>
  <c r="E121" i="158"/>
  <c r="D121" i="158"/>
  <c r="C121" i="158"/>
  <c r="E120" i="158"/>
  <c r="D120" i="158"/>
  <c r="C120" i="158"/>
  <c r="E119" i="158"/>
  <c r="D119" i="158"/>
  <c r="C119" i="158"/>
  <c r="E115" i="158"/>
  <c r="D115" i="158"/>
  <c r="C115" i="158"/>
  <c r="E114" i="158"/>
  <c r="D114" i="158"/>
  <c r="C114" i="158"/>
  <c r="E113" i="158"/>
  <c r="D113" i="158"/>
  <c r="C113" i="158"/>
  <c r="E112" i="158"/>
  <c r="D112" i="158"/>
  <c r="C112" i="158"/>
  <c r="E111" i="158"/>
  <c r="D111" i="158"/>
  <c r="C111" i="158"/>
  <c r="E110" i="158"/>
  <c r="D110" i="158"/>
  <c r="C110" i="158"/>
  <c r="E106" i="158"/>
  <c r="D106" i="158"/>
  <c r="C106" i="158"/>
  <c r="E105" i="158"/>
  <c r="D105" i="158"/>
  <c r="C105" i="158"/>
  <c r="E104" i="158"/>
  <c r="D104" i="158"/>
  <c r="C104" i="158"/>
  <c r="E103" i="158"/>
  <c r="D103" i="158"/>
  <c r="C103" i="158"/>
  <c r="E102" i="158"/>
  <c r="D102" i="158"/>
  <c r="C102" i="158"/>
  <c r="E101" i="158"/>
  <c r="D101" i="158"/>
  <c r="C101" i="158"/>
  <c r="E97" i="158"/>
  <c r="D97" i="158"/>
  <c r="C97" i="158"/>
  <c r="E96" i="158"/>
  <c r="D96" i="158"/>
  <c r="C96" i="158"/>
  <c r="E95" i="158"/>
  <c r="D95" i="158"/>
  <c r="C95" i="158"/>
  <c r="E94" i="158"/>
  <c r="D94" i="158"/>
  <c r="C94" i="158"/>
  <c r="E93" i="158"/>
  <c r="D93" i="158"/>
  <c r="C93" i="158"/>
  <c r="E92" i="158"/>
  <c r="D92" i="158"/>
  <c r="C92" i="158"/>
  <c r="E91" i="158"/>
  <c r="D91" i="158"/>
  <c r="C91" i="158"/>
  <c r="E90" i="158"/>
  <c r="D90" i="158"/>
  <c r="C90" i="158"/>
  <c r="E89" i="158"/>
  <c r="D89" i="158"/>
  <c r="C89" i="158"/>
  <c r="E88" i="158"/>
  <c r="D88" i="158"/>
  <c r="C88" i="158"/>
  <c r="E87" i="158"/>
  <c r="D87" i="158"/>
  <c r="C87" i="158"/>
  <c r="E83" i="158"/>
  <c r="D83" i="158"/>
  <c r="C83" i="158"/>
  <c r="E82" i="158"/>
  <c r="D82" i="158"/>
  <c r="C82" i="158"/>
  <c r="E81" i="158"/>
  <c r="D81" i="158"/>
  <c r="C81" i="158"/>
  <c r="E80" i="158"/>
  <c r="D80" i="158"/>
  <c r="C80" i="158"/>
  <c r="E79" i="158"/>
  <c r="D79" i="158"/>
  <c r="C79" i="158"/>
  <c r="E78" i="158"/>
  <c r="D78" i="158"/>
  <c r="C78" i="158"/>
  <c r="E77" i="158"/>
  <c r="D77" i="158"/>
  <c r="C77" i="158"/>
  <c r="E76" i="158"/>
  <c r="D76" i="158"/>
  <c r="C76" i="158"/>
  <c r="E75" i="158"/>
  <c r="D75" i="158"/>
  <c r="C75" i="158"/>
  <c r="E74" i="158"/>
  <c r="D74" i="158"/>
  <c r="C74" i="158"/>
  <c r="E73" i="158"/>
  <c r="D73" i="158"/>
  <c r="C73" i="158"/>
  <c r="E72" i="158"/>
  <c r="D72" i="158"/>
  <c r="C72" i="158"/>
  <c r="E71" i="158"/>
  <c r="D71" i="158"/>
  <c r="C71" i="158"/>
  <c r="E70" i="158"/>
  <c r="D70" i="158"/>
  <c r="C70" i="158"/>
  <c r="E69" i="158"/>
  <c r="D69" i="158"/>
  <c r="C69" i="158"/>
  <c r="E65" i="158"/>
  <c r="D65" i="158"/>
  <c r="C65" i="158"/>
  <c r="E64" i="158"/>
  <c r="D64" i="158"/>
  <c r="C64" i="158"/>
  <c r="E63" i="158"/>
  <c r="D63" i="158"/>
  <c r="C63" i="158"/>
  <c r="E62" i="158"/>
  <c r="D62" i="158"/>
  <c r="C62" i="158"/>
  <c r="E61" i="158"/>
  <c r="D61" i="158"/>
  <c r="C61" i="158"/>
  <c r="E60" i="158"/>
  <c r="D60" i="158"/>
  <c r="C60" i="158"/>
  <c r="E59" i="158"/>
  <c r="D59" i="158"/>
  <c r="C59" i="158"/>
  <c r="E58" i="158"/>
  <c r="D58" i="158"/>
  <c r="C58" i="158"/>
  <c r="E57" i="158"/>
  <c r="D57" i="158"/>
  <c r="C57" i="158"/>
  <c r="E56" i="158"/>
  <c r="D56" i="158"/>
  <c r="C56" i="158"/>
  <c r="E55" i="158"/>
  <c r="D55" i="158"/>
  <c r="C55" i="158"/>
  <c r="E54" i="158"/>
  <c r="D54" i="158"/>
  <c r="C54" i="158"/>
  <c r="E53" i="158"/>
  <c r="D53" i="158"/>
  <c r="C53" i="158"/>
  <c r="E52" i="158"/>
  <c r="D52" i="158"/>
  <c r="C52" i="158"/>
  <c r="E51" i="158"/>
  <c r="D51" i="158"/>
  <c r="C51" i="158"/>
  <c r="E50" i="158"/>
  <c r="D50" i="158"/>
  <c r="C50" i="158"/>
  <c r="E49" i="158"/>
  <c r="D49" i="158"/>
  <c r="C49" i="158"/>
  <c r="E48" i="158"/>
  <c r="D48" i="158"/>
  <c r="C48" i="158"/>
  <c r="E47" i="158"/>
  <c r="D47" i="158"/>
  <c r="C47" i="158"/>
  <c r="E46" i="158"/>
  <c r="D46" i="158"/>
  <c r="C46" i="158"/>
  <c r="E45" i="158"/>
  <c r="D45" i="158"/>
  <c r="C45" i="158"/>
  <c r="E44" i="158"/>
  <c r="D44" i="158"/>
  <c r="C44" i="158"/>
  <c r="E43" i="158"/>
  <c r="D43" i="158"/>
  <c r="C43" i="158"/>
  <c r="E42" i="158"/>
  <c r="D42" i="158"/>
  <c r="C42" i="158"/>
  <c r="E41" i="158"/>
  <c r="D41" i="158"/>
  <c r="C41" i="158"/>
  <c r="E40" i="158"/>
  <c r="D40" i="158"/>
  <c r="C40" i="158"/>
  <c r="E39" i="158"/>
  <c r="D39" i="158"/>
  <c r="C39" i="158"/>
  <c r="E38" i="158"/>
  <c r="D38" i="158"/>
  <c r="C38" i="158"/>
  <c r="E37" i="158"/>
  <c r="D37" i="158"/>
  <c r="C37" i="158"/>
  <c r="E36" i="158"/>
  <c r="C36" i="158"/>
  <c r="E35" i="158"/>
  <c r="D35" i="158"/>
  <c r="C35" i="158"/>
  <c r="E34" i="158"/>
  <c r="D34" i="158"/>
  <c r="C34" i="158"/>
  <c r="E33" i="158"/>
  <c r="D33" i="158"/>
  <c r="C33" i="158"/>
  <c r="E32" i="158"/>
  <c r="D32" i="158"/>
  <c r="C32" i="158"/>
  <c r="E31" i="158"/>
  <c r="D31" i="158"/>
  <c r="C31" i="158"/>
  <c r="E30" i="158"/>
  <c r="D30" i="158"/>
  <c r="C30" i="158"/>
  <c r="D25" i="158"/>
  <c r="C25" i="158"/>
  <c r="D24" i="158"/>
  <c r="C24" i="158"/>
  <c r="D23" i="158"/>
  <c r="C23" i="158"/>
  <c r="D22" i="158"/>
  <c r="C22" i="158"/>
  <c r="D21" i="158"/>
  <c r="C21" i="158"/>
  <c r="D20" i="158"/>
  <c r="C20" i="158"/>
  <c r="D19" i="158"/>
  <c r="C19" i="158"/>
  <c r="D18" i="158"/>
  <c r="C18" i="158"/>
  <c r="D17" i="158"/>
  <c r="C17" i="158"/>
  <c r="D16" i="158"/>
  <c r="C16" i="158"/>
  <c r="D15" i="158"/>
  <c r="C15" i="158"/>
  <c r="D14" i="158"/>
  <c r="C14" i="158"/>
  <c r="D13" i="158"/>
  <c r="C13" i="158"/>
  <c r="D12" i="158"/>
  <c r="C12" i="158"/>
  <c r="C4" i="158"/>
  <c r="C3" i="158"/>
  <c r="D26" i="158" l="1"/>
  <c r="F12" i="158"/>
  <c r="I12" i="158" s="1"/>
  <c r="C238" i="20"/>
  <c r="F12" i="155"/>
  <c r="I12" i="155" s="1"/>
  <c r="C26" i="158"/>
  <c r="F12" i="20"/>
  <c r="I12" i="20" s="1"/>
  <c r="D26" i="20"/>
  <c r="F51" i="20"/>
  <c r="C84" i="158"/>
  <c r="D202" i="158"/>
  <c r="E84" i="20"/>
  <c r="C107" i="20"/>
  <c r="D107" i="20"/>
  <c r="E107" i="20"/>
  <c r="E116" i="20"/>
  <c r="C124" i="20"/>
  <c r="D124" i="20"/>
  <c r="E202" i="20"/>
  <c r="D84" i="158"/>
  <c r="E84" i="158"/>
  <c r="D98" i="158"/>
  <c r="C107" i="158"/>
  <c r="E107" i="158"/>
  <c r="D124" i="158"/>
  <c r="E166" i="158"/>
  <c r="E202" i="158"/>
  <c r="C233" i="158"/>
  <c r="C238" i="158"/>
  <c r="C116" i="158"/>
  <c r="C98" i="158"/>
  <c r="C124" i="158"/>
  <c r="C166" i="158"/>
  <c r="D166" i="158"/>
  <c r="C98" i="20"/>
  <c r="D98" i="20"/>
  <c r="C166" i="20"/>
  <c r="D166" i="20"/>
  <c r="E98" i="158"/>
  <c r="D107" i="158"/>
  <c r="D116" i="158"/>
  <c r="C202" i="158"/>
  <c r="C211" i="158"/>
  <c r="E211" i="158"/>
  <c r="E98" i="20"/>
  <c r="C116" i="20"/>
  <c r="D116" i="20"/>
  <c r="E166" i="20"/>
  <c r="C211" i="20"/>
  <c r="D211" i="20"/>
  <c r="E211" i="20"/>
  <c r="C233" i="20"/>
  <c r="E116" i="158"/>
  <c r="E124" i="158"/>
  <c r="D211" i="158"/>
  <c r="C26" i="20"/>
  <c r="C84" i="20"/>
  <c r="D84" i="20"/>
  <c r="E124" i="20"/>
  <c r="C202" i="20"/>
  <c r="D202" i="20"/>
  <c r="C66" i="20"/>
  <c r="D66" i="20"/>
  <c r="E66" i="20"/>
  <c r="C66" i="158"/>
  <c r="D66" i="158"/>
  <c r="E66" i="158"/>
  <c r="D213" i="158" l="1"/>
  <c r="D220" i="158" s="1"/>
  <c r="C213" i="20"/>
  <c r="C217" i="20" s="1"/>
  <c r="E213" i="20"/>
  <c r="E220" i="20" s="1"/>
  <c r="D213" i="20"/>
  <c r="D220" i="20" s="1"/>
  <c r="E213" i="158"/>
  <c r="E220" i="158" s="1"/>
  <c r="C213" i="158"/>
  <c r="C220" i="158" s="1"/>
  <c r="C220" i="20" l="1"/>
  <c r="C217" i="158"/>
  <c r="I249" i="42"/>
  <c r="I248" i="42"/>
  <c r="I247" i="42"/>
  <c r="I246" i="42"/>
  <c r="C243" i="42"/>
  <c r="C242" i="42"/>
  <c r="C241" i="42"/>
  <c r="C240" i="42"/>
  <c r="C237" i="42"/>
  <c r="C236" i="42"/>
  <c r="E233" i="42"/>
  <c r="D233" i="42"/>
  <c r="C232" i="42"/>
  <c r="C231" i="42"/>
  <c r="C230" i="42"/>
  <c r="C229" i="42"/>
  <c r="C228" i="42"/>
  <c r="C227" i="42"/>
  <c r="C226" i="42"/>
  <c r="C225" i="42"/>
  <c r="C224" i="42"/>
  <c r="C216" i="42"/>
  <c r="E210" i="42"/>
  <c r="D210" i="42"/>
  <c r="C210" i="42"/>
  <c r="E209" i="42"/>
  <c r="D209" i="42"/>
  <c r="C209" i="42"/>
  <c r="E208" i="42"/>
  <c r="D208" i="42"/>
  <c r="C208" i="42"/>
  <c r="E207" i="42"/>
  <c r="D207" i="42"/>
  <c r="C207" i="42"/>
  <c r="E206" i="42"/>
  <c r="D206" i="42"/>
  <c r="C206" i="42"/>
  <c r="E205" i="42"/>
  <c r="D205" i="42"/>
  <c r="C205" i="42"/>
  <c r="E201" i="42"/>
  <c r="D201" i="42"/>
  <c r="C201" i="42"/>
  <c r="E200" i="42"/>
  <c r="D200" i="42"/>
  <c r="C200" i="42"/>
  <c r="E199" i="42"/>
  <c r="D199" i="42"/>
  <c r="C199" i="42"/>
  <c r="E198" i="42"/>
  <c r="D198" i="42"/>
  <c r="C198" i="42"/>
  <c r="E197" i="42"/>
  <c r="D197" i="42"/>
  <c r="C197" i="42"/>
  <c r="E196" i="42"/>
  <c r="D196" i="42"/>
  <c r="C196" i="42"/>
  <c r="E195" i="42"/>
  <c r="D195" i="42"/>
  <c r="C195" i="42"/>
  <c r="E194" i="42"/>
  <c r="D194" i="42"/>
  <c r="C194" i="42"/>
  <c r="E193" i="42"/>
  <c r="D193" i="42"/>
  <c r="C193" i="42"/>
  <c r="E192" i="42"/>
  <c r="D192" i="42"/>
  <c r="C192" i="42"/>
  <c r="E191" i="42"/>
  <c r="D191" i="42"/>
  <c r="C191" i="42"/>
  <c r="E190" i="42"/>
  <c r="D190" i="42"/>
  <c r="C190" i="42"/>
  <c r="E189" i="42"/>
  <c r="D189" i="42"/>
  <c r="C189" i="42"/>
  <c r="E188" i="42"/>
  <c r="D188" i="42"/>
  <c r="C188" i="42"/>
  <c r="E187" i="42"/>
  <c r="D187" i="42"/>
  <c r="C187" i="42"/>
  <c r="E186" i="42"/>
  <c r="D186" i="42"/>
  <c r="C186" i="42"/>
  <c r="E185" i="42"/>
  <c r="D185" i="42"/>
  <c r="C185" i="42"/>
  <c r="E184" i="42"/>
  <c r="D184" i="42"/>
  <c r="C184" i="42"/>
  <c r="E183" i="42"/>
  <c r="D183" i="42"/>
  <c r="C183" i="42"/>
  <c r="E182" i="42"/>
  <c r="D182" i="42"/>
  <c r="C182" i="42"/>
  <c r="E181" i="42"/>
  <c r="D181" i="42"/>
  <c r="C181" i="42"/>
  <c r="E180" i="42"/>
  <c r="D180" i="42"/>
  <c r="C180" i="42"/>
  <c r="E179" i="42"/>
  <c r="D179" i="42"/>
  <c r="C179" i="42"/>
  <c r="E178" i="42"/>
  <c r="D178" i="42"/>
  <c r="C178" i="42"/>
  <c r="E177" i="42"/>
  <c r="D177" i="42"/>
  <c r="C177" i="42"/>
  <c r="E176" i="42"/>
  <c r="D176" i="42"/>
  <c r="C176" i="42"/>
  <c r="E175" i="42"/>
  <c r="D175" i="42"/>
  <c r="C175" i="42"/>
  <c r="E174" i="42"/>
  <c r="D174" i="42"/>
  <c r="C174" i="42"/>
  <c r="E173" i="42"/>
  <c r="D173" i="42"/>
  <c r="C173" i="42"/>
  <c r="E172" i="42"/>
  <c r="D172" i="42"/>
  <c r="C172" i="42"/>
  <c r="E171" i="42"/>
  <c r="D171" i="42"/>
  <c r="C171" i="42"/>
  <c r="E170" i="42"/>
  <c r="D170" i="42"/>
  <c r="C170" i="42"/>
  <c r="E169" i="42"/>
  <c r="D169" i="42"/>
  <c r="C169" i="42"/>
  <c r="E165" i="42"/>
  <c r="D165" i="42"/>
  <c r="C165" i="42"/>
  <c r="E164" i="42"/>
  <c r="D164" i="42"/>
  <c r="C164" i="42"/>
  <c r="E163" i="42"/>
  <c r="D163" i="42"/>
  <c r="C163" i="42"/>
  <c r="E162" i="42"/>
  <c r="D162" i="42"/>
  <c r="C162" i="42"/>
  <c r="E161" i="42"/>
  <c r="D161" i="42"/>
  <c r="C161" i="42"/>
  <c r="E160" i="42"/>
  <c r="D160" i="42"/>
  <c r="C160" i="42"/>
  <c r="E158" i="42"/>
  <c r="D158" i="42"/>
  <c r="C158" i="42"/>
  <c r="E157" i="42"/>
  <c r="D157" i="42"/>
  <c r="C157" i="42"/>
  <c r="E156" i="42"/>
  <c r="D156" i="42"/>
  <c r="C156" i="42"/>
  <c r="E155" i="42"/>
  <c r="D155" i="42"/>
  <c r="C155" i="42"/>
  <c r="E154" i="42"/>
  <c r="D154" i="42"/>
  <c r="C154" i="42"/>
  <c r="E153" i="42"/>
  <c r="D153" i="42"/>
  <c r="C153" i="42"/>
  <c r="E152" i="42"/>
  <c r="D152" i="42"/>
  <c r="C152" i="42"/>
  <c r="E151" i="42"/>
  <c r="D151" i="42"/>
  <c r="C151" i="42"/>
  <c r="E150" i="42"/>
  <c r="D150" i="42"/>
  <c r="C150" i="42"/>
  <c r="E148" i="42"/>
  <c r="D148" i="42"/>
  <c r="C148" i="42"/>
  <c r="E147" i="42"/>
  <c r="D147" i="42"/>
  <c r="C147" i="42"/>
  <c r="E146" i="42"/>
  <c r="D146" i="42"/>
  <c r="C146" i="42"/>
  <c r="E145" i="42"/>
  <c r="D145" i="42"/>
  <c r="C145" i="42"/>
  <c r="E143" i="42"/>
  <c r="D143" i="42"/>
  <c r="C143" i="42"/>
  <c r="E142" i="42"/>
  <c r="D142" i="42"/>
  <c r="C142" i="42"/>
  <c r="E141" i="42"/>
  <c r="D141" i="42"/>
  <c r="C141" i="42"/>
  <c r="E140" i="42"/>
  <c r="D140" i="42"/>
  <c r="C140" i="42"/>
  <c r="E138" i="42"/>
  <c r="D138" i="42"/>
  <c r="C138" i="42"/>
  <c r="E137" i="42"/>
  <c r="D137" i="42"/>
  <c r="C137" i="42"/>
  <c r="E136" i="42"/>
  <c r="D136" i="42"/>
  <c r="C136" i="42"/>
  <c r="E135" i="42"/>
  <c r="D135" i="42"/>
  <c r="C135" i="42"/>
  <c r="E134" i="42"/>
  <c r="D134" i="42"/>
  <c r="C134" i="42"/>
  <c r="E132" i="42"/>
  <c r="D132" i="42"/>
  <c r="C132" i="42"/>
  <c r="E131" i="42"/>
  <c r="D131" i="42"/>
  <c r="C131" i="42"/>
  <c r="E130" i="42"/>
  <c r="D130" i="42"/>
  <c r="C130" i="42"/>
  <c r="E129" i="42"/>
  <c r="D129" i="42"/>
  <c r="C129" i="42"/>
  <c r="E128" i="42"/>
  <c r="D128" i="42"/>
  <c r="C128" i="42"/>
  <c r="E123" i="42"/>
  <c r="D123" i="42"/>
  <c r="C123" i="42"/>
  <c r="E122" i="42"/>
  <c r="D122" i="42"/>
  <c r="C122" i="42"/>
  <c r="E121" i="42"/>
  <c r="D121" i="42"/>
  <c r="C121" i="42"/>
  <c r="E120" i="42"/>
  <c r="D120" i="42"/>
  <c r="C120" i="42"/>
  <c r="E119" i="42"/>
  <c r="D119" i="42"/>
  <c r="C119" i="42"/>
  <c r="E115" i="42"/>
  <c r="D115" i="42"/>
  <c r="C115" i="42"/>
  <c r="E114" i="42"/>
  <c r="D114" i="42"/>
  <c r="C114" i="42"/>
  <c r="E113" i="42"/>
  <c r="D113" i="42"/>
  <c r="C113" i="42"/>
  <c r="E112" i="42"/>
  <c r="D112" i="42"/>
  <c r="C112" i="42"/>
  <c r="E111" i="42"/>
  <c r="D111" i="42"/>
  <c r="C111" i="42"/>
  <c r="E110" i="42"/>
  <c r="D110" i="42"/>
  <c r="C110" i="42"/>
  <c r="E106" i="42"/>
  <c r="D106" i="42"/>
  <c r="C106" i="42"/>
  <c r="E105" i="42"/>
  <c r="D105" i="42"/>
  <c r="C105" i="42"/>
  <c r="E104" i="42"/>
  <c r="D104" i="42"/>
  <c r="C104" i="42"/>
  <c r="E103" i="42"/>
  <c r="D103" i="42"/>
  <c r="C103" i="42"/>
  <c r="E102" i="42"/>
  <c r="D102" i="42"/>
  <c r="C102" i="42"/>
  <c r="E101" i="42"/>
  <c r="D101" i="42"/>
  <c r="C101" i="42"/>
  <c r="E97" i="42"/>
  <c r="D97" i="42"/>
  <c r="C97" i="42"/>
  <c r="E96" i="42"/>
  <c r="D96" i="42"/>
  <c r="C96" i="42"/>
  <c r="E95" i="42"/>
  <c r="D95" i="42"/>
  <c r="C95" i="42"/>
  <c r="E94" i="42"/>
  <c r="D94" i="42"/>
  <c r="C94" i="42"/>
  <c r="E93" i="42"/>
  <c r="D93" i="42"/>
  <c r="C93" i="42"/>
  <c r="E92" i="42"/>
  <c r="D92" i="42"/>
  <c r="C92" i="42"/>
  <c r="E91" i="42"/>
  <c r="D91" i="42"/>
  <c r="C91" i="42"/>
  <c r="E90" i="42"/>
  <c r="D90" i="42"/>
  <c r="C90" i="42"/>
  <c r="E89" i="42"/>
  <c r="D89" i="42"/>
  <c r="C89" i="42"/>
  <c r="E88" i="42"/>
  <c r="D88" i="42"/>
  <c r="C88" i="42"/>
  <c r="E87" i="42"/>
  <c r="D87" i="42"/>
  <c r="C87" i="42"/>
  <c r="E83" i="42"/>
  <c r="D83" i="42"/>
  <c r="C83" i="42"/>
  <c r="E82" i="42"/>
  <c r="D82" i="42"/>
  <c r="C82" i="42"/>
  <c r="E81" i="42"/>
  <c r="D81" i="42"/>
  <c r="C81" i="42"/>
  <c r="E80" i="42"/>
  <c r="D80" i="42"/>
  <c r="C80" i="42"/>
  <c r="E79" i="42"/>
  <c r="D79" i="42"/>
  <c r="C79" i="42"/>
  <c r="E78" i="42"/>
  <c r="D78" i="42"/>
  <c r="C78" i="42"/>
  <c r="E77" i="42"/>
  <c r="D77" i="42"/>
  <c r="C77" i="42"/>
  <c r="E76" i="42"/>
  <c r="D76" i="42"/>
  <c r="C76" i="42"/>
  <c r="E75" i="42"/>
  <c r="D75" i="42"/>
  <c r="C75" i="42"/>
  <c r="E74" i="42"/>
  <c r="D74" i="42"/>
  <c r="C74" i="42"/>
  <c r="E73" i="42"/>
  <c r="D73" i="42"/>
  <c r="C73" i="42"/>
  <c r="E72" i="42"/>
  <c r="D72" i="42"/>
  <c r="C72" i="42"/>
  <c r="E71" i="42"/>
  <c r="D71" i="42"/>
  <c r="C71" i="42"/>
  <c r="E70" i="42"/>
  <c r="D70" i="42"/>
  <c r="C70" i="42"/>
  <c r="E69" i="42"/>
  <c r="D69" i="42"/>
  <c r="C69" i="42"/>
  <c r="E65" i="42"/>
  <c r="D65" i="42"/>
  <c r="C65" i="42"/>
  <c r="E64" i="42"/>
  <c r="D64" i="42"/>
  <c r="C64" i="42"/>
  <c r="E63" i="42"/>
  <c r="D63" i="42"/>
  <c r="C63" i="42"/>
  <c r="E62" i="42"/>
  <c r="D62" i="42"/>
  <c r="C62" i="42"/>
  <c r="E61" i="42"/>
  <c r="D61" i="42"/>
  <c r="C61" i="42"/>
  <c r="E60" i="42"/>
  <c r="D60" i="42"/>
  <c r="C60" i="42"/>
  <c r="E59" i="42"/>
  <c r="D59" i="42"/>
  <c r="C59" i="42"/>
  <c r="E58" i="42"/>
  <c r="D58" i="42"/>
  <c r="C58" i="42"/>
  <c r="E57" i="42"/>
  <c r="D57" i="42"/>
  <c r="C57" i="42"/>
  <c r="E56" i="42"/>
  <c r="D56" i="42"/>
  <c r="C56" i="42"/>
  <c r="E55" i="42"/>
  <c r="D55" i="42"/>
  <c r="C55" i="42"/>
  <c r="E54" i="42"/>
  <c r="D54" i="42"/>
  <c r="C54" i="42"/>
  <c r="E53" i="42"/>
  <c r="D53" i="42"/>
  <c r="C53" i="42"/>
  <c r="E52" i="42"/>
  <c r="D52" i="42"/>
  <c r="C52" i="42"/>
  <c r="E51" i="42"/>
  <c r="D51" i="42"/>
  <c r="C51" i="42"/>
  <c r="E50" i="42"/>
  <c r="D50" i="42"/>
  <c r="C50" i="42"/>
  <c r="E49" i="42"/>
  <c r="D49" i="42"/>
  <c r="C49" i="42"/>
  <c r="E48" i="42"/>
  <c r="D48" i="42"/>
  <c r="C48" i="42"/>
  <c r="E47" i="42"/>
  <c r="D47" i="42"/>
  <c r="C47" i="42"/>
  <c r="E46" i="42"/>
  <c r="D46" i="42"/>
  <c r="C46" i="42"/>
  <c r="E45" i="42"/>
  <c r="D45" i="42"/>
  <c r="C45" i="42"/>
  <c r="E44" i="42"/>
  <c r="D44" i="42"/>
  <c r="C44" i="42"/>
  <c r="E43" i="42"/>
  <c r="D43" i="42"/>
  <c r="C43" i="42"/>
  <c r="E42" i="42"/>
  <c r="D42" i="42"/>
  <c r="C42" i="42"/>
  <c r="E41" i="42"/>
  <c r="D41" i="42"/>
  <c r="C41" i="42"/>
  <c r="E40" i="42"/>
  <c r="D40" i="42"/>
  <c r="C40" i="42"/>
  <c r="E39" i="42"/>
  <c r="D39" i="42"/>
  <c r="C39" i="42"/>
  <c r="E38" i="42"/>
  <c r="D38" i="42"/>
  <c r="C38" i="42"/>
  <c r="E37" i="42"/>
  <c r="D37" i="42"/>
  <c r="C37" i="42"/>
  <c r="E36" i="42"/>
  <c r="C36" i="42"/>
  <c r="E35" i="42"/>
  <c r="D35" i="42"/>
  <c r="C35" i="42"/>
  <c r="E34" i="42"/>
  <c r="D34" i="42"/>
  <c r="C34" i="42"/>
  <c r="E33" i="42"/>
  <c r="D33" i="42"/>
  <c r="C33" i="42"/>
  <c r="E32" i="42"/>
  <c r="D32" i="42"/>
  <c r="C32" i="42"/>
  <c r="E31" i="42"/>
  <c r="D31" i="42"/>
  <c r="C31" i="42"/>
  <c r="E30" i="42"/>
  <c r="D30" i="42"/>
  <c r="C30" i="42"/>
  <c r="D25" i="42"/>
  <c r="C25" i="42"/>
  <c r="D24" i="42"/>
  <c r="C24" i="42"/>
  <c r="D23" i="42"/>
  <c r="C23" i="42"/>
  <c r="D22" i="42"/>
  <c r="C22" i="42"/>
  <c r="D21" i="42"/>
  <c r="C21" i="42"/>
  <c r="D20" i="42"/>
  <c r="C20" i="42"/>
  <c r="D19" i="42"/>
  <c r="C19" i="42"/>
  <c r="D18" i="42"/>
  <c r="C18" i="42"/>
  <c r="D17" i="42"/>
  <c r="C17" i="42"/>
  <c r="D16" i="42"/>
  <c r="C16" i="42"/>
  <c r="D15" i="42"/>
  <c r="C15" i="42"/>
  <c r="D14" i="42"/>
  <c r="C14" i="42"/>
  <c r="D13" i="42"/>
  <c r="C13" i="42"/>
  <c r="D12" i="42"/>
  <c r="C12" i="42"/>
  <c r="C4" i="42"/>
  <c r="C3" i="42"/>
  <c r="D26" i="42" l="1"/>
  <c r="F12" i="42"/>
  <c r="I12" i="42" s="1"/>
  <c r="F51" i="42"/>
  <c r="C238" i="42"/>
  <c r="E98" i="42"/>
  <c r="D107" i="42"/>
  <c r="D116" i="42"/>
  <c r="C26" i="42"/>
  <c r="C202" i="42"/>
  <c r="C211" i="42"/>
  <c r="E211" i="42"/>
  <c r="C84" i="42"/>
  <c r="C116" i="42"/>
  <c r="E116" i="42"/>
  <c r="E124" i="42"/>
  <c r="D202" i="42"/>
  <c r="D211" i="42"/>
  <c r="D84" i="42"/>
  <c r="C98" i="42"/>
  <c r="C124" i="42"/>
  <c r="C166" i="42"/>
  <c r="D166" i="42"/>
  <c r="E84" i="42"/>
  <c r="D98" i="42"/>
  <c r="C107" i="42"/>
  <c r="E107" i="42"/>
  <c r="D124" i="42"/>
  <c r="E166" i="42"/>
  <c r="E202" i="42"/>
  <c r="C233" i="42"/>
  <c r="C66" i="42"/>
  <c r="D66" i="42"/>
  <c r="E66" i="42"/>
  <c r="E213" i="42" l="1"/>
  <c r="E220" i="42" s="1"/>
  <c r="D213" i="42"/>
  <c r="D220" i="42" s="1"/>
  <c r="C213" i="42"/>
  <c r="C220" i="42" s="1"/>
  <c r="C217" i="42" l="1"/>
  <c r="I249" i="157"/>
  <c r="I248" i="157"/>
  <c r="I247" i="157"/>
  <c r="I246" i="157"/>
  <c r="C243" i="157"/>
  <c r="C242" i="157"/>
  <c r="C241" i="157"/>
  <c r="C240" i="157"/>
  <c r="C237" i="157"/>
  <c r="C236" i="157"/>
  <c r="E233" i="157"/>
  <c r="D233" i="157"/>
  <c r="C232" i="157"/>
  <c r="C231" i="157"/>
  <c r="C230" i="157"/>
  <c r="C229" i="157"/>
  <c r="C228" i="157"/>
  <c r="C227" i="157"/>
  <c r="C226" i="157"/>
  <c r="C225" i="157"/>
  <c r="C224" i="157"/>
  <c r="C216" i="157"/>
  <c r="E210" i="157"/>
  <c r="D210" i="157"/>
  <c r="C210" i="157"/>
  <c r="E209" i="157"/>
  <c r="D209" i="157"/>
  <c r="C209" i="157"/>
  <c r="E208" i="157"/>
  <c r="D208" i="157"/>
  <c r="C208" i="157"/>
  <c r="E207" i="157"/>
  <c r="D207" i="157"/>
  <c r="C207" i="157"/>
  <c r="E206" i="157"/>
  <c r="D206" i="157"/>
  <c r="C206" i="157"/>
  <c r="E205" i="157"/>
  <c r="D205" i="157"/>
  <c r="C205" i="157"/>
  <c r="E201" i="157"/>
  <c r="D201" i="157"/>
  <c r="C201" i="157"/>
  <c r="E200" i="157"/>
  <c r="D200" i="157"/>
  <c r="C200" i="157"/>
  <c r="E199" i="157"/>
  <c r="D199" i="157"/>
  <c r="C199" i="157"/>
  <c r="E198" i="157"/>
  <c r="D198" i="157"/>
  <c r="C198" i="157"/>
  <c r="E197" i="157"/>
  <c r="D197" i="157"/>
  <c r="C197" i="157"/>
  <c r="E196" i="157"/>
  <c r="D196" i="157"/>
  <c r="C196" i="157"/>
  <c r="E195" i="157"/>
  <c r="D195" i="157"/>
  <c r="C195" i="157"/>
  <c r="E194" i="157"/>
  <c r="D194" i="157"/>
  <c r="C194" i="157"/>
  <c r="E193" i="157"/>
  <c r="D193" i="157"/>
  <c r="C193" i="157"/>
  <c r="E192" i="157"/>
  <c r="D192" i="157"/>
  <c r="C192" i="157"/>
  <c r="E191" i="157"/>
  <c r="D191" i="157"/>
  <c r="C191" i="157"/>
  <c r="E190" i="157"/>
  <c r="D190" i="157"/>
  <c r="C190" i="157"/>
  <c r="E189" i="157"/>
  <c r="D189" i="157"/>
  <c r="C189" i="157"/>
  <c r="E188" i="157"/>
  <c r="D188" i="157"/>
  <c r="C188" i="157"/>
  <c r="E187" i="157"/>
  <c r="D187" i="157"/>
  <c r="C187" i="157"/>
  <c r="E186" i="157"/>
  <c r="D186" i="157"/>
  <c r="C186" i="157"/>
  <c r="E185" i="157"/>
  <c r="D185" i="157"/>
  <c r="C185" i="157"/>
  <c r="E184" i="157"/>
  <c r="D184" i="157"/>
  <c r="C184" i="157"/>
  <c r="E183" i="157"/>
  <c r="D183" i="157"/>
  <c r="C183" i="157"/>
  <c r="E182" i="157"/>
  <c r="D182" i="157"/>
  <c r="C182" i="157"/>
  <c r="E181" i="157"/>
  <c r="D181" i="157"/>
  <c r="C181" i="157"/>
  <c r="E180" i="157"/>
  <c r="D180" i="157"/>
  <c r="C180" i="157"/>
  <c r="E179" i="157"/>
  <c r="D179" i="157"/>
  <c r="C179" i="157"/>
  <c r="E178" i="157"/>
  <c r="D178" i="157"/>
  <c r="C178" i="157"/>
  <c r="E177" i="157"/>
  <c r="D177" i="157"/>
  <c r="C177" i="157"/>
  <c r="E176" i="157"/>
  <c r="D176" i="157"/>
  <c r="C176" i="157"/>
  <c r="E175" i="157"/>
  <c r="D175" i="157"/>
  <c r="C175" i="157"/>
  <c r="E174" i="157"/>
  <c r="D174" i="157"/>
  <c r="C174" i="157"/>
  <c r="E173" i="157"/>
  <c r="D173" i="157"/>
  <c r="C173" i="157"/>
  <c r="E172" i="157"/>
  <c r="D172" i="157"/>
  <c r="C172" i="157"/>
  <c r="E171" i="157"/>
  <c r="D171" i="157"/>
  <c r="C171" i="157"/>
  <c r="E170" i="157"/>
  <c r="D170" i="157"/>
  <c r="C170" i="157"/>
  <c r="E169" i="157"/>
  <c r="D169" i="157"/>
  <c r="C169" i="157"/>
  <c r="E165" i="157"/>
  <c r="D165" i="157"/>
  <c r="C165" i="157"/>
  <c r="E164" i="157"/>
  <c r="D164" i="157"/>
  <c r="C164" i="157"/>
  <c r="E163" i="157"/>
  <c r="D163" i="157"/>
  <c r="C163" i="157"/>
  <c r="E162" i="157"/>
  <c r="D162" i="157"/>
  <c r="C162" i="157"/>
  <c r="E161" i="157"/>
  <c r="D161" i="157"/>
  <c r="C161" i="157"/>
  <c r="E160" i="157"/>
  <c r="D160" i="157"/>
  <c r="C160" i="157"/>
  <c r="E158" i="157"/>
  <c r="D158" i="157"/>
  <c r="C158" i="157"/>
  <c r="E157" i="157"/>
  <c r="D157" i="157"/>
  <c r="C157" i="157"/>
  <c r="E156" i="157"/>
  <c r="D156" i="157"/>
  <c r="C156" i="157"/>
  <c r="E155" i="157"/>
  <c r="D155" i="157"/>
  <c r="C155" i="157"/>
  <c r="E154" i="157"/>
  <c r="D154" i="157"/>
  <c r="C154" i="157"/>
  <c r="E153" i="157"/>
  <c r="D153" i="157"/>
  <c r="C153" i="157"/>
  <c r="E152" i="157"/>
  <c r="D152" i="157"/>
  <c r="C152" i="157"/>
  <c r="E151" i="157"/>
  <c r="D151" i="157"/>
  <c r="C151" i="157"/>
  <c r="E150" i="157"/>
  <c r="D150" i="157"/>
  <c r="C150" i="157"/>
  <c r="E148" i="157"/>
  <c r="D148" i="157"/>
  <c r="C148" i="157"/>
  <c r="E147" i="157"/>
  <c r="D147" i="157"/>
  <c r="C147" i="157"/>
  <c r="E146" i="157"/>
  <c r="D146" i="157"/>
  <c r="C146" i="157"/>
  <c r="E145" i="157"/>
  <c r="D145" i="157"/>
  <c r="C145" i="157"/>
  <c r="E143" i="157"/>
  <c r="D143" i="157"/>
  <c r="C143" i="157"/>
  <c r="E142" i="157"/>
  <c r="D142" i="157"/>
  <c r="C142" i="157"/>
  <c r="E141" i="157"/>
  <c r="D141" i="157"/>
  <c r="C141" i="157"/>
  <c r="E140" i="157"/>
  <c r="D140" i="157"/>
  <c r="C140" i="157"/>
  <c r="E138" i="157"/>
  <c r="D138" i="157"/>
  <c r="C138" i="157"/>
  <c r="E137" i="157"/>
  <c r="D137" i="157"/>
  <c r="C137" i="157"/>
  <c r="E136" i="157"/>
  <c r="D136" i="157"/>
  <c r="C136" i="157"/>
  <c r="E135" i="157"/>
  <c r="D135" i="157"/>
  <c r="C135" i="157"/>
  <c r="E134" i="157"/>
  <c r="D134" i="157"/>
  <c r="C134" i="157"/>
  <c r="E132" i="157"/>
  <c r="D132" i="157"/>
  <c r="C132" i="157"/>
  <c r="E131" i="157"/>
  <c r="D131" i="157"/>
  <c r="C131" i="157"/>
  <c r="E130" i="157"/>
  <c r="D130" i="157"/>
  <c r="C130" i="157"/>
  <c r="E129" i="157"/>
  <c r="D129" i="157"/>
  <c r="C129" i="157"/>
  <c r="E128" i="157"/>
  <c r="D128" i="157"/>
  <c r="C128" i="157"/>
  <c r="E123" i="157"/>
  <c r="D123" i="157"/>
  <c r="C123" i="157"/>
  <c r="E122" i="157"/>
  <c r="D122" i="157"/>
  <c r="C122" i="157"/>
  <c r="E121" i="157"/>
  <c r="D121" i="157"/>
  <c r="C121" i="157"/>
  <c r="E120" i="157"/>
  <c r="D120" i="157"/>
  <c r="C120" i="157"/>
  <c r="E119" i="157"/>
  <c r="D119" i="157"/>
  <c r="C119" i="157"/>
  <c r="E115" i="157"/>
  <c r="D115" i="157"/>
  <c r="C115" i="157"/>
  <c r="E114" i="157"/>
  <c r="D114" i="157"/>
  <c r="C114" i="157"/>
  <c r="E113" i="157"/>
  <c r="D113" i="157"/>
  <c r="C113" i="157"/>
  <c r="E112" i="157"/>
  <c r="D112" i="157"/>
  <c r="C112" i="157"/>
  <c r="E111" i="157"/>
  <c r="D111" i="157"/>
  <c r="C111" i="157"/>
  <c r="E110" i="157"/>
  <c r="D110" i="157"/>
  <c r="C110" i="157"/>
  <c r="E106" i="157"/>
  <c r="D106" i="157"/>
  <c r="C106" i="157"/>
  <c r="E105" i="157"/>
  <c r="D105" i="157"/>
  <c r="C105" i="157"/>
  <c r="E104" i="157"/>
  <c r="D104" i="157"/>
  <c r="C104" i="157"/>
  <c r="E103" i="157"/>
  <c r="D103" i="157"/>
  <c r="C103" i="157"/>
  <c r="E102" i="157"/>
  <c r="D102" i="157"/>
  <c r="C102" i="157"/>
  <c r="E101" i="157"/>
  <c r="D101" i="157"/>
  <c r="C101" i="157"/>
  <c r="E97" i="157"/>
  <c r="D97" i="157"/>
  <c r="C97" i="157"/>
  <c r="E96" i="157"/>
  <c r="D96" i="157"/>
  <c r="C96" i="157"/>
  <c r="E95" i="157"/>
  <c r="D95" i="157"/>
  <c r="C95" i="157"/>
  <c r="E94" i="157"/>
  <c r="D94" i="157"/>
  <c r="C94" i="157"/>
  <c r="E93" i="157"/>
  <c r="D93" i="157"/>
  <c r="C93" i="157"/>
  <c r="E92" i="157"/>
  <c r="D92" i="157"/>
  <c r="C92" i="157"/>
  <c r="E91" i="157"/>
  <c r="D91" i="157"/>
  <c r="C91" i="157"/>
  <c r="E90" i="157"/>
  <c r="D90" i="157"/>
  <c r="C90" i="157"/>
  <c r="E89" i="157"/>
  <c r="D89" i="157"/>
  <c r="C89" i="157"/>
  <c r="E88" i="157"/>
  <c r="D88" i="157"/>
  <c r="C88" i="157"/>
  <c r="E87" i="157"/>
  <c r="D87" i="157"/>
  <c r="C87" i="157"/>
  <c r="E83" i="157"/>
  <c r="D83" i="157"/>
  <c r="C83" i="157"/>
  <c r="E82" i="157"/>
  <c r="D82" i="157"/>
  <c r="C82" i="157"/>
  <c r="E81" i="157"/>
  <c r="D81" i="157"/>
  <c r="C81" i="157"/>
  <c r="E80" i="157"/>
  <c r="D80" i="157"/>
  <c r="C80" i="157"/>
  <c r="E79" i="157"/>
  <c r="D79" i="157"/>
  <c r="C79" i="157"/>
  <c r="E78" i="157"/>
  <c r="D78" i="157"/>
  <c r="C78" i="157"/>
  <c r="E77" i="157"/>
  <c r="D77" i="157"/>
  <c r="C77" i="157"/>
  <c r="E76" i="157"/>
  <c r="D76" i="157"/>
  <c r="C76" i="157"/>
  <c r="E75" i="157"/>
  <c r="D75" i="157"/>
  <c r="C75" i="157"/>
  <c r="E74" i="157"/>
  <c r="D74" i="157"/>
  <c r="C74" i="157"/>
  <c r="E73" i="157"/>
  <c r="D73" i="157"/>
  <c r="C73" i="157"/>
  <c r="E72" i="157"/>
  <c r="D72" i="157"/>
  <c r="C72" i="157"/>
  <c r="E71" i="157"/>
  <c r="D71" i="157"/>
  <c r="C71" i="157"/>
  <c r="E70" i="157"/>
  <c r="D70" i="157"/>
  <c r="C70" i="157"/>
  <c r="E69" i="157"/>
  <c r="D69" i="157"/>
  <c r="C69" i="157"/>
  <c r="E65" i="157"/>
  <c r="D65" i="157"/>
  <c r="C65" i="157"/>
  <c r="E64" i="157"/>
  <c r="D64" i="157"/>
  <c r="C64" i="157"/>
  <c r="E63" i="157"/>
  <c r="D63" i="157"/>
  <c r="C63" i="157"/>
  <c r="E62" i="157"/>
  <c r="D62" i="157"/>
  <c r="C62" i="157"/>
  <c r="E61" i="157"/>
  <c r="D61" i="157"/>
  <c r="C61" i="157"/>
  <c r="E60" i="157"/>
  <c r="D60" i="157"/>
  <c r="C60" i="157"/>
  <c r="E59" i="157"/>
  <c r="D59" i="157"/>
  <c r="C59" i="157"/>
  <c r="E58" i="157"/>
  <c r="D58" i="157"/>
  <c r="C58" i="157"/>
  <c r="E57" i="157"/>
  <c r="D57" i="157"/>
  <c r="C57" i="157"/>
  <c r="E56" i="157"/>
  <c r="D56" i="157"/>
  <c r="C56" i="157"/>
  <c r="E55" i="157"/>
  <c r="D55" i="157"/>
  <c r="C55" i="157"/>
  <c r="E54" i="157"/>
  <c r="D54" i="157"/>
  <c r="C54" i="157"/>
  <c r="E53" i="157"/>
  <c r="D53" i="157"/>
  <c r="C53" i="157"/>
  <c r="E52" i="157"/>
  <c r="D52" i="157"/>
  <c r="C52" i="157"/>
  <c r="E51" i="157"/>
  <c r="D51" i="157"/>
  <c r="C51" i="157"/>
  <c r="E50" i="157"/>
  <c r="D50" i="157"/>
  <c r="C50" i="157"/>
  <c r="E49" i="157"/>
  <c r="D49" i="157"/>
  <c r="C49" i="157"/>
  <c r="E48" i="157"/>
  <c r="D48" i="157"/>
  <c r="C48" i="157"/>
  <c r="E47" i="157"/>
  <c r="D47" i="157"/>
  <c r="C47" i="157"/>
  <c r="E46" i="157"/>
  <c r="D46" i="157"/>
  <c r="C46" i="157"/>
  <c r="E45" i="157"/>
  <c r="D45" i="157"/>
  <c r="C45" i="157"/>
  <c r="E44" i="157"/>
  <c r="D44" i="157"/>
  <c r="C44" i="157"/>
  <c r="E43" i="157"/>
  <c r="D43" i="157"/>
  <c r="C43" i="157"/>
  <c r="E42" i="157"/>
  <c r="D42" i="157"/>
  <c r="C42" i="157"/>
  <c r="E41" i="157"/>
  <c r="D41" i="157"/>
  <c r="C41" i="157"/>
  <c r="E40" i="157"/>
  <c r="D40" i="157"/>
  <c r="C40" i="157"/>
  <c r="E39" i="157"/>
  <c r="D39" i="157"/>
  <c r="C39" i="157"/>
  <c r="E38" i="157"/>
  <c r="D38" i="157"/>
  <c r="C38" i="157"/>
  <c r="E37" i="157"/>
  <c r="D37" i="157"/>
  <c r="C37" i="157"/>
  <c r="E36" i="157"/>
  <c r="C36" i="157"/>
  <c r="E35" i="157"/>
  <c r="D35" i="157"/>
  <c r="C35" i="157"/>
  <c r="E34" i="157"/>
  <c r="D34" i="157"/>
  <c r="C34" i="157"/>
  <c r="E33" i="157"/>
  <c r="D33" i="157"/>
  <c r="C33" i="157"/>
  <c r="E32" i="157"/>
  <c r="D32" i="157"/>
  <c r="C32" i="157"/>
  <c r="E31" i="157"/>
  <c r="D31" i="157"/>
  <c r="C31" i="157"/>
  <c r="E30" i="157"/>
  <c r="D30" i="157"/>
  <c r="C30" i="157"/>
  <c r="D25" i="157"/>
  <c r="C25" i="157"/>
  <c r="D24" i="157"/>
  <c r="C24" i="157"/>
  <c r="D23" i="157"/>
  <c r="C23" i="157"/>
  <c r="D22" i="157"/>
  <c r="C22" i="157"/>
  <c r="D21" i="157"/>
  <c r="C21" i="157"/>
  <c r="D20" i="157"/>
  <c r="C20" i="157"/>
  <c r="D19" i="157"/>
  <c r="C19" i="157"/>
  <c r="D18" i="157"/>
  <c r="C18" i="157"/>
  <c r="D17" i="157"/>
  <c r="C17" i="157"/>
  <c r="D16" i="157"/>
  <c r="C16" i="157"/>
  <c r="D15" i="157"/>
  <c r="C15" i="157"/>
  <c r="D14" i="157"/>
  <c r="C14" i="157"/>
  <c r="D13" i="157"/>
  <c r="C13" i="157"/>
  <c r="D12" i="157"/>
  <c r="C12" i="157"/>
  <c r="C4" i="157"/>
  <c r="C3" i="157"/>
  <c r="D26" i="157" l="1"/>
  <c r="F12" i="157"/>
  <c r="I12" i="157" s="1"/>
  <c r="C238" i="157"/>
  <c r="C26" i="157"/>
  <c r="C98" i="157"/>
  <c r="D98" i="157"/>
  <c r="C166" i="157"/>
  <c r="D166" i="157"/>
  <c r="C84" i="157"/>
  <c r="D84" i="157"/>
  <c r="E124" i="157"/>
  <c r="C202" i="157"/>
  <c r="D202" i="157"/>
  <c r="E84" i="157"/>
  <c r="C107" i="157"/>
  <c r="D107" i="157"/>
  <c r="E107" i="157"/>
  <c r="E116" i="157"/>
  <c r="C124" i="157"/>
  <c r="D124" i="157"/>
  <c r="E202" i="157"/>
  <c r="E98" i="157"/>
  <c r="C116" i="157"/>
  <c r="D116" i="157"/>
  <c r="E166" i="157"/>
  <c r="C211" i="157"/>
  <c r="D211" i="157"/>
  <c r="E211" i="157"/>
  <c r="C233" i="157"/>
  <c r="C66" i="157"/>
  <c r="D66" i="157"/>
  <c r="E66" i="157"/>
  <c r="C213" i="157" l="1"/>
  <c r="C217" i="157" s="1"/>
  <c r="E213" i="157"/>
  <c r="E220" i="157" s="1"/>
  <c r="D213" i="157"/>
  <c r="D220" i="157" s="1"/>
  <c r="C220" i="157" l="1"/>
  <c r="C240" i="97"/>
  <c r="F238" i="184" l="1"/>
  <c r="I238" i="184" s="1"/>
  <c r="F237" i="184"/>
  <c r="F236" i="184"/>
  <c r="H233" i="184"/>
  <c r="G233" i="184"/>
  <c r="F232" i="184"/>
  <c r="F231" i="184"/>
  <c r="F230" i="184"/>
  <c r="F229" i="184"/>
  <c r="F228" i="184"/>
  <c r="F227" i="184"/>
  <c r="F226" i="184"/>
  <c r="F225" i="184"/>
  <c r="F224" i="184"/>
  <c r="M213" i="184"/>
  <c r="M23" i="184" s="1"/>
  <c r="L213" i="184"/>
  <c r="M22" i="184" s="1"/>
  <c r="H211" i="184"/>
  <c r="G211" i="184"/>
  <c r="F210" i="184"/>
  <c r="F209" i="184"/>
  <c r="F208" i="184"/>
  <c r="F207" i="184"/>
  <c r="F206" i="184"/>
  <c r="I206" i="184" s="1"/>
  <c r="F205" i="184"/>
  <c r="H202" i="184"/>
  <c r="G202" i="184"/>
  <c r="F201" i="184"/>
  <c r="I201" i="184" s="1"/>
  <c r="F200" i="184"/>
  <c r="F199" i="184"/>
  <c r="F198" i="184"/>
  <c r="F197" i="184"/>
  <c r="F196" i="184"/>
  <c r="F195" i="184"/>
  <c r="I195" i="184" s="1"/>
  <c r="F194" i="184"/>
  <c r="I194" i="184" s="1"/>
  <c r="F193" i="184"/>
  <c r="F192" i="184"/>
  <c r="F191" i="184"/>
  <c r="F190" i="184"/>
  <c r="F189" i="184"/>
  <c r="F188" i="184"/>
  <c r="I188" i="184" s="1"/>
  <c r="F187" i="184"/>
  <c r="F186" i="184"/>
  <c r="F185" i="184"/>
  <c r="F184" i="184"/>
  <c r="F183" i="184"/>
  <c r="F182" i="184"/>
  <c r="F181" i="184"/>
  <c r="I181" i="184" s="1"/>
  <c r="F180" i="184"/>
  <c r="I180" i="184" s="1"/>
  <c r="F179" i="184"/>
  <c r="F178" i="184"/>
  <c r="F177" i="184"/>
  <c r="F176" i="184"/>
  <c r="F175" i="184"/>
  <c r="F174" i="184"/>
  <c r="F173" i="184"/>
  <c r="F172" i="184"/>
  <c r="F171" i="184"/>
  <c r="F170" i="184"/>
  <c r="F169" i="184"/>
  <c r="H166" i="184"/>
  <c r="G166" i="184"/>
  <c r="F165" i="184"/>
  <c r="F164" i="184"/>
  <c r="F163" i="184"/>
  <c r="I163" i="184" s="1"/>
  <c r="F162" i="184"/>
  <c r="F161" i="184"/>
  <c r="F160" i="184"/>
  <c r="I160" i="184" s="1"/>
  <c r="F158" i="184"/>
  <c r="F157" i="184"/>
  <c r="F156" i="184"/>
  <c r="F155" i="184"/>
  <c r="F154" i="184"/>
  <c r="F153" i="184"/>
  <c r="F152" i="184"/>
  <c r="F151" i="184"/>
  <c r="F150" i="184"/>
  <c r="F148" i="184"/>
  <c r="F147" i="184"/>
  <c r="F146" i="184"/>
  <c r="F145" i="184"/>
  <c r="F143" i="184"/>
  <c r="I143" i="184" s="1"/>
  <c r="F142" i="184"/>
  <c r="F141" i="184"/>
  <c r="I141" i="184" s="1"/>
  <c r="F140" i="184"/>
  <c r="F138" i="184"/>
  <c r="F137" i="184"/>
  <c r="F136" i="184"/>
  <c r="F135" i="184"/>
  <c r="F134" i="184"/>
  <c r="F132" i="184"/>
  <c r="I132" i="184" s="1"/>
  <c r="F131" i="184"/>
  <c r="F130" i="184"/>
  <c r="F129" i="184"/>
  <c r="F128" i="184"/>
  <c r="H124" i="184"/>
  <c r="G124" i="184"/>
  <c r="F123" i="184"/>
  <c r="F122" i="184"/>
  <c r="I122" i="184" s="1"/>
  <c r="F121" i="184"/>
  <c r="F120" i="184"/>
  <c r="F119" i="184"/>
  <c r="H116" i="184"/>
  <c r="G116" i="184"/>
  <c r="F115" i="184"/>
  <c r="F114" i="184"/>
  <c r="F113" i="184"/>
  <c r="F112" i="184"/>
  <c r="F111" i="184"/>
  <c r="F110" i="184"/>
  <c r="I110" i="184" s="1"/>
  <c r="H107" i="184"/>
  <c r="G107" i="184"/>
  <c r="F106" i="184"/>
  <c r="F105" i="184"/>
  <c r="F104" i="184"/>
  <c r="F103" i="184"/>
  <c r="I103" i="184" s="1"/>
  <c r="F102" i="184"/>
  <c r="I102" i="184" s="1"/>
  <c r="F101" i="184"/>
  <c r="H98" i="184"/>
  <c r="G98" i="184"/>
  <c r="F97" i="184"/>
  <c r="F96" i="184"/>
  <c r="F95" i="184"/>
  <c r="F94" i="184"/>
  <c r="F93" i="184"/>
  <c r="F92" i="184"/>
  <c r="I92" i="184" s="1"/>
  <c r="F91" i="184"/>
  <c r="I91" i="184" s="1"/>
  <c r="F90" i="184"/>
  <c r="I90" i="184" s="1"/>
  <c r="F89" i="184"/>
  <c r="I89" i="184" s="1"/>
  <c r="F88" i="184"/>
  <c r="I88" i="184" s="1"/>
  <c r="F87" i="184"/>
  <c r="H84" i="184"/>
  <c r="G84" i="184"/>
  <c r="F83" i="184"/>
  <c r="I83" i="184" s="1"/>
  <c r="F82" i="184"/>
  <c r="I82" i="184" s="1"/>
  <c r="F81" i="184"/>
  <c r="I81" i="184" s="1"/>
  <c r="F80" i="184"/>
  <c r="F79" i="184"/>
  <c r="I79" i="184" s="1"/>
  <c r="F78" i="184"/>
  <c r="I78" i="184" s="1"/>
  <c r="F77" i="184"/>
  <c r="I77" i="184" s="1"/>
  <c r="F76" i="184"/>
  <c r="I76" i="184" s="1"/>
  <c r="F75" i="184"/>
  <c r="F74" i="184"/>
  <c r="I74" i="184" s="1"/>
  <c r="F73" i="184"/>
  <c r="I73" i="184" s="1"/>
  <c r="F72" i="184"/>
  <c r="F71" i="184"/>
  <c r="F70" i="184"/>
  <c r="I70" i="184" s="1"/>
  <c r="F69" i="184"/>
  <c r="H66" i="184"/>
  <c r="G66" i="184"/>
  <c r="F65" i="184"/>
  <c r="I65" i="184" s="1"/>
  <c r="F64" i="184"/>
  <c r="F63" i="184"/>
  <c r="I63" i="184" s="1"/>
  <c r="F62" i="184"/>
  <c r="F61" i="184"/>
  <c r="I61" i="184" s="1"/>
  <c r="F60" i="184"/>
  <c r="I60" i="184" s="1"/>
  <c r="F59" i="184"/>
  <c r="I59" i="184" s="1"/>
  <c r="F58" i="184"/>
  <c r="I58" i="184" s="1"/>
  <c r="F57" i="184"/>
  <c r="I57" i="184" s="1"/>
  <c r="F56" i="184"/>
  <c r="F55" i="184"/>
  <c r="F54" i="184"/>
  <c r="F53" i="184"/>
  <c r="F52" i="184"/>
  <c r="F51" i="184"/>
  <c r="F50" i="184"/>
  <c r="F49" i="184"/>
  <c r="F48" i="184"/>
  <c r="F47" i="184"/>
  <c r="F46" i="184"/>
  <c r="F45" i="184"/>
  <c r="I45" i="184" s="1"/>
  <c r="F44" i="184"/>
  <c r="F43" i="184"/>
  <c r="F42" i="184"/>
  <c r="F41" i="184"/>
  <c r="I41" i="184" s="1"/>
  <c r="F40" i="184"/>
  <c r="F39" i="184"/>
  <c r="F38" i="184"/>
  <c r="F37" i="184"/>
  <c r="F36" i="184"/>
  <c r="F35" i="184"/>
  <c r="F34" i="184"/>
  <c r="F33" i="184"/>
  <c r="F32" i="184"/>
  <c r="F31" i="184"/>
  <c r="I31" i="184" s="1"/>
  <c r="F30" i="184"/>
  <c r="F25" i="184"/>
  <c r="F24" i="184"/>
  <c r="I24" i="184" s="1"/>
  <c r="F23" i="184"/>
  <c r="F22" i="184"/>
  <c r="F21" i="184"/>
  <c r="F20" i="184"/>
  <c r="I20" i="184" s="1"/>
  <c r="F19" i="184"/>
  <c r="F18" i="184"/>
  <c r="I18" i="184" s="1"/>
  <c r="F17" i="184"/>
  <c r="I17" i="184" s="1"/>
  <c r="F16" i="184"/>
  <c r="F15" i="184"/>
  <c r="F14" i="184"/>
  <c r="I14" i="184" s="1"/>
  <c r="F13" i="184"/>
  <c r="A1" i="184"/>
  <c r="F238" i="183"/>
  <c r="I238" i="183" s="1"/>
  <c r="F237" i="183"/>
  <c r="F236" i="183"/>
  <c r="H233" i="183"/>
  <c r="G233" i="183"/>
  <c r="F232" i="183"/>
  <c r="F231" i="183"/>
  <c r="F230" i="183"/>
  <c r="F229" i="183"/>
  <c r="F228" i="183"/>
  <c r="F227" i="183"/>
  <c r="F226" i="183"/>
  <c r="F225" i="183"/>
  <c r="F224" i="183"/>
  <c r="M213" i="183"/>
  <c r="L213" i="183"/>
  <c r="H211" i="183"/>
  <c r="G211" i="183"/>
  <c r="F210" i="183"/>
  <c r="F209" i="183"/>
  <c r="F208" i="183"/>
  <c r="F207" i="183"/>
  <c r="F206" i="183"/>
  <c r="F205" i="183"/>
  <c r="H202" i="183"/>
  <c r="G202" i="183"/>
  <c r="F201" i="183"/>
  <c r="F200" i="183"/>
  <c r="F199" i="183"/>
  <c r="F198" i="183"/>
  <c r="F197" i="183"/>
  <c r="F196" i="183"/>
  <c r="F195" i="183"/>
  <c r="F194" i="183"/>
  <c r="F193" i="183"/>
  <c r="F192" i="183"/>
  <c r="F191" i="183"/>
  <c r="F190" i="183"/>
  <c r="F189" i="183"/>
  <c r="F188" i="183"/>
  <c r="F187" i="183"/>
  <c r="F186" i="183"/>
  <c r="F185" i="183"/>
  <c r="F184" i="183"/>
  <c r="F183" i="183"/>
  <c r="F182" i="183"/>
  <c r="F181" i="183"/>
  <c r="F180" i="183"/>
  <c r="F179" i="183"/>
  <c r="F178" i="183"/>
  <c r="F177" i="183"/>
  <c r="F176" i="183"/>
  <c r="F175" i="183"/>
  <c r="F174" i="183"/>
  <c r="F173" i="183"/>
  <c r="F172" i="183"/>
  <c r="F171" i="183"/>
  <c r="F170" i="183"/>
  <c r="F169" i="183"/>
  <c r="I169" i="183" s="1"/>
  <c r="H166" i="183"/>
  <c r="G166" i="183"/>
  <c r="F165" i="183"/>
  <c r="F164" i="183"/>
  <c r="F163" i="183"/>
  <c r="F162" i="183"/>
  <c r="F161" i="183"/>
  <c r="F160" i="183"/>
  <c r="F158" i="183"/>
  <c r="F157" i="183"/>
  <c r="F156" i="183"/>
  <c r="F155" i="183"/>
  <c r="F154" i="183"/>
  <c r="F153" i="183"/>
  <c r="F152" i="183"/>
  <c r="F151" i="183"/>
  <c r="F150" i="183"/>
  <c r="F148" i="183"/>
  <c r="F147" i="183"/>
  <c r="F146" i="183"/>
  <c r="F145" i="183"/>
  <c r="F143" i="183"/>
  <c r="F142" i="183"/>
  <c r="F141" i="183"/>
  <c r="F140" i="183"/>
  <c r="F138" i="183"/>
  <c r="F137" i="183"/>
  <c r="F136" i="183"/>
  <c r="F135" i="183"/>
  <c r="F134" i="183"/>
  <c r="F132" i="183"/>
  <c r="F131" i="183"/>
  <c r="F130" i="183"/>
  <c r="F129" i="183"/>
  <c r="F128" i="183"/>
  <c r="H124" i="183"/>
  <c r="G124" i="183"/>
  <c r="F123" i="183"/>
  <c r="F122" i="183"/>
  <c r="F121" i="183"/>
  <c r="F120" i="183"/>
  <c r="F119" i="183"/>
  <c r="H116" i="183"/>
  <c r="G116" i="183"/>
  <c r="F115" i="183"/>
  <c r="F114" i="183"/>
  <c r="F113" i="183"/>
  <c r="F112" i="183"/>
  <c r="F111" i="183"/>
  <c r="F110" i="183"/>
  <c r="I110" i="183" s="1"/>
  <c r="H107" i="183"/>
  <c r="G107" i="183"/>
  <c r="F106" i="183"/>
  <c r="F105" i="183"/>
  <c r="F104" i="183"/>
  <c r="F103" i="183"/>
  <c r="F102" i="183"/>
  <c r="F101" i="183"/>
  <c r="H98" i="183"/>
  <c r="G98" i="183"/>
  <c r="F97" i="183"/>
  <c r="F96" i="183"/>
  <c r="F95" i="183"/>
  <c r="F94" i="183"/>
  <c r="F93" i="183"/>
  <c r="F92" i="183"/>
  <c r="F91" i="183"/>
  <c r="F90" i="183"/>
  <c r="F89" i="183"/>
  <c r="F88" i="183"/>
  <c r="F87" i="183"/>
  <c r="H84" i="183"/>
  <c r="G84" i="183"/>
  <c r="F83" i="183"/>
  <c r="F82" i="183"/>
  <c r="F81" i="183"/>
  <c r="F80" i="183"/>
  <c r="F79" i="183"/>
  <c r="F78" i="183"/>
  <c r="F77" i="183"/>
  <c r="F76" i="183"/>
  <c r="F75" i="183"/>
  <c r="F74" i="183"/>
  <c r="F73" i="183"/>
  <c r="F72" i="183"/>
  <c r="F71" i="183"/>
  <c r="F70" i="183"/>
  <c r="F69" i="183"/>
  <c r="H66" i="183"/>
  <c r="G66" i="183"/>
  <c r="F65" i="183"/>
  <c r="F64" i="183"/>
  <c r="F63" i="183"/>
  <c r="F62" i="183"/>
  <c r="F61" i="183"/>
  <c r="F60" i="183"/>
  <c r="F59" i="183"/>
  <c r="F58" i="183"/>
  <c r="F57" i="183"/>
  <c r="F56" i="183"/>
  <c r="F55" i="183"/>
  <c r="F54" i="183"/>
  <c r="F53" i="183"/>
  <c r="F52" i="183"/>
  <c r="F51" i="183"/>
  <c r="F50" i="183"/>
  <c r="F49" i="183"/>
  <c r="F48" i="183"/>
  <c r="F47" i="183"/>
  <c r="F46" i="183"/>
  <c r="F45" i="183"/>
  <c r="F44" i="183"/>
  <c r="F43" i="183"/>
  <c r="F42" i="183"/>
  <c r="F41" i="183"/>
  <c r="F40" i="183"/>
  <c r="F39" i="183"/>
  <c r="F38" i="183"/>
  <c r="F37" i="183"/>
  <c r="F36" i="183"/>
  <c r="F35" i="183"/>
  <c r="F34" i="183"/>
  <c r="F33" i="183"/>
  <c r="F32" i="183"/>
  <c r="F31" i="183"/>
  <c r="I31" i="183" s="1"/>
  <c r="F30" i="183"/>
  <c r="F25" i="183"/>
  <c r="I25" i="183" s="1"/>
  <c r="F24" i="183"/>
  <c r="I24" i="183" s="1"/>
  <c r="F23" i="183"/>
  <c r="I23" i="183" s="1"/>
  <c r="F22" i="183"/>
  <c r="I22" i="183" s="1"/>
  <c r="F21" i="183"/>
  <c r="F20" i="183"/>
  <c r="I20" i="183" s="1"/>
  <c r="F19" i="183"/>
  <c r="I19" i="183" s="1"/>
  <c r="F18" i="183"/>
  <c r="I18" i="183" s="1"/>
  <c r="F17" i="183"/>
  <c r="F16" i="183"/>
  <c r="F15" i="183"/>
  <c r="I15" i="183" s="1"/>
  <c r="F14" i="183"/>
  <c r="I14" i="183" s="1"/>
  <c r="F13" i="183"/>
  <c r="I13" i="183" s="1"/>
  <c r="A1" i="183"/>
  <c r="F26" i="184" l="1"/>
  <c r="M23" i="183"/>
  <c r="H213" i="184"/>
  <c r="I16" i="183"/>
  <c r="F26" i="183"/>
  <c r="I132" i="183"/>
  <c r="I38" i="184"/>
  <c r="I165" i="183"/>
  <c r="I183" i="183"/>
  <c r="I199" i="183"/>
  <c r="I154" i="184"/>
  <c r="I192" i="184"/>
  <c r="I104" i="184"/>
  <c r="I42" i="184"/>
  <c r="I62" i="184"/>
  <c r="I69" i="184"/>
  <c r="I72" i="184"/>
  <c r="I95" i="184"/>
  <c r="I200" i="184"/>
  <c r="I135" i="184"/>
  <c r="I150" i="184"/>
  <c r="I19" i="184"/>
  <c r="I32" i="184"/>
  <c r="I93" i="184"/>
  <c r="I123" i="184"/>
  <c r="I130" i="184"/>
  <c r="I189" i="184"/>
  <c r="I196" i="184"/>
  <c r="I13" i="184"/>
  <c r="I25" i="184"/>
  <c r="I33" i="184"/>
  <c r="I54" i="184"/>
  <c r="I173" i="184"/>
  <c r="I184" i="184"/>
  <c r="I228" i="184"/>
  <c r="I231" i="184"/>
  <c r="I23" i="184"/>
  <c r="I37" i="184"/>
  <c r="I48" i="184"/>
  <c r="I55" i="184"/>
  <c r="I94" i="184"/>
  <c r="I137" i="184"/>
  <c r="I157" i="184"/>
  <c r="I162" i="184"/>
  <c r="I170" i="184"/>
  <c r="I176" i="184"/>
  <c r="I21" i="183"/>
  <c r="I30" i="183"/>
  <c r="I113" i="183"/>
  <c r="I154" i="183"/>
  <c r="I95" i="183"/>
  <c r="I201" i="183"/>
  <c r="I226" i="183"/>
  <c r="I82" i="183"/>
  <c r="I36" i="183"/>
  <c r="I178" i="183"/>
  <c r="I187" i="183"/>
  <c r="I210" i="183"/>
  <c r="I224" i="183"/>
  <c r="I17" i="183"/>
  <c r="I47" i="183"/>
  <c r="I50" i="183"/>
  <c r="I73" i="183"/>
  <c r="I140" i="183"/>
  <c r="I151" i="183"/>
  <c r="I160" i="183"/>
  <c r="I174" i="183"/>
  <c r="I179" i="183"/>
  <c r="I191" i="183"/>
  <c r="I56" i="183"/>
  <c r="I70" i="183"/>
  <c r="I87" i="183"/>
  <c r="I120" i="183"/>
  <c r="I171" i="183"/>
  <c r="I175" i="183"/>
  <c r="I195" i="183"/>
  <c r="I207" i="183"/>
  <c r="I232" i="183"/>
  <c r="M22" i="183"/>
  <c r="I34" i="183"/>
  <c r="I38" i="183"/>
  <c r="I39" i="183"/>
  <c r="I40" i="183"/>
  <c r="I41" i="183"/>
  <c r="I48" i="183"/>
  <c r="I58" i="183"/>
  <c r="I59" i="183"/>
  <c r="I65" i="183"/>
  <c r="I71" i="183"/>
  <c r="I74" i="183"/>
  <c r="I75" i="183"/>
  <c r="I93" i="183"/>
  <c r="I103" i="183"/>
  <c r="F124" i="183"/>
  <c r="I123" i="183"/>
  <c r="I130" i="183"/>
  <c r="I134" i="183"/>
  <c r="I141" i="183"/>
  <c r="I155" i="183"/>
  <c r="I156" i="183"/>
  <c r="I157" i="183"/>
  <c r="I163" i="183"/>
  <c r="I172" i="183"/>
  <c r="I176" i="183"/>
  <c r="I180" i="183"/>
  <c r="I227" i="183"/>
  <c r="I237" i="183"/>
  <c r="I35" i="183"/>
  <c r="I42" i="183"/>
  <c r="I43" i="183"/>
  <c r="I46" i="183"/>
  <c r="I49" i="183"/>
  <c r="I51" i="183"/>
  <c r="I54" i="183"/>
  <c r="I60" i="183"/>
  <c r="I61" i="183"/>
  <c r="I76" i="183"/>
  <c r="I77" i="183"/>
  <c r="I80" i="183"/>
  <c r="I81" i="183"/>
  <c r="I89" i="183"/>
  <c r="I90" i="183"/>
  <c r="I94" i="183"/>
  <c r="I97" i="183"/>
  <c r="I101" i="183"/>
  <c r="I104" i="183"/>
  <c r="I111" i="183"/>
  <c r="I119" i="183"/>
  <c r="I121" i="183"/>
  <c r="I131" i="183"/>
  <c r="I142" i="183"/>
  <c r="I152" i="183"/>
  <c r="I161" i="183"/>
  <c r="I164" i="183"/>
  <c r="I170" i="183"/>
  <c r="I185" i="183"/>
  <c r="I189" i="183"/>
  <c r="I193" i="183"/>
  <c r="I197" i="183"/>
  <c r="I225" i="183"/>
  <c r="I230" i="183"/>
  <c r="I44" i="183"/>
  <c r="I52" i="183"/>
  <c r="I55" i="183"/>
  <c r="I62" i="183"/>
  <c r="I63" i="183"/>
  <c r="I72" i="183"/>
  <c r="I78" i="183"/>
  <c r="I91" i="183"/>
  <c r="I92" i="183"/>
  <c r="I102" i="183"/>
  <c r="I105" i="183"/>
  <c r="F116" i="183"/>
  <c r="I112" i="183"/>
  <c r="I122" i="183"/>
  <c r="I135" i="183"/>
  <c r="I136" i="183"/>
  <c r="I137" i="183"/>
  <c r="I143" i="183"/>
  <c r="I145" i="183"/>
  <c r="I146" i="183"/>
  <c r="I147" i="183"/>
  <c r="I148" i="183"/>
  <c r="I150" i="183"/>
  <c r="I153" i="183"/>
  <c r="I158" i="183"/>
  <c r="I162" i="183"/>
  <c r="F202" i="183"/>
  <c r="I173" i="183"/>
  <c r="I177" i="183"/>
  <c r="I181" i="183"/>
  <c r="I182" i="183"/>
  <c r="I186" i="183"/>
  <c r="I190" i="183"/>
  <c r="I194" i="183"/>
  <c r="I198" i="183"/>
  <c r="I206" i="183"/>
  <c r="I208" i="183"/>
  <c r="I209" i="183"/>
  <c r="I228" i="183"/>
  <c r="I231" i="183"/>
  <c r="I32" i="183"/>
  <c r="I33" i="183"/>
  <c r="I37" i="183"/>
  <c r="I45" i="183"/>
  <c r="I53" i="183"/>
  <c r="I57" i="183"/>
  <c r="I64" i="183"/>
  <c r="I79" i="183"/>
  <c r="I83" i="183"/>
  <c r="I88" i="183"/>
  <c r="I96" i="183"/>
  <c r="I106" i="183"/>
  <c r="I114" i="183"/>
  <c r="I115" i="183"/>
  <c r="I129" i="183"/>
  <c r="I138" i="183"/>
  <c r="I184" i="183"/>
  <c r="I188" i="183"/>
  <c r="I192" i="183"/>
  <c r="I196" i="183"/>
  <c r="I200" i="183"/>
  <c r="I229" i="183"/>
  <c r="I236" i="183"/>
  <c r="I39" i="184"/>
  <c r="I185" i="184"/>
  <c r="I197" i="184"/>
  <c r="I34" i="184"/>
  <c r="I36" i="184"/>
  <c r="I46" i="184"/>
  <c r="I53" i="184"/>
  <c r="I56" i="184"/>
  <c r="I80" i="184"/>
  <c r="I97" i="184"/>
  <c r="I158" i="184"/>
  <c r="O20" i="184"/>
  <c r="I44" i="184"/>
  <c r="I152" i="184"/>
  <c r="I179" i="184"/>
  <c r="I193" i="184"/>
  <c r="I227" i="184"/>
  <c r="I237" i="184"/>
  <c r="I40" i="184"/>
  <c r="I52" i="184"/>
  <c r="I75" i="184"/>
  <c r="F107" i="184"/>
  <c r="I113" i="184"/>
  <c r="I129" i="184"/>
  <c r="I155" i="184"/>
  <c r="I174" i="184"/>
  <c r="I186" i="184"/>
  <c r="I187" i="184"/>
  <c r="I226" i="184"/>
  <c r="I35" i="184"/>
  <c r="I43" i="184"/>
  <c r="I49" i="184"/>
  <c r="I96" i="184"/>
  <c r="I138" i="184"/>
  <c r="I140" i="184"/>
  <c r="I177" i="184"/>
  <c r="I190" i="184"/>
  <c r="I236" i="184"/>
  <c r="I240" i="184" s="1"/>
  <c r="I71" i="184"/>
  <c r="I106" i="184"/>
  <c r="I111" i="184"/>
  <c r="F124" i="184"/>
  <c r="I119" i="184"/>
  <c r="I131" i="184"/>
  <c r="I148" i="184"/>
  <c r="I151" i="184"/>
  <c r="I178" i="184"/>
  <c r="I207" i="184"/>
  <c r="I224" i="184"/>
  <c r="I230" i="184"/>
  <c r="I232" i="184"/>
  <c r="I15" i="184"/>
  <c r="I21" i="184"/>
  <c r="I22" i="184"/>
  <c r="I51" i="184"/>
  <c r="I64" i="184"/>
  <c r="I112" i="184"/>
  <c r="I120" i="184"/>
  <c r="I136" i="184"/>
  <c r="I153" i="184"/>
  <c r="I161" i="184"/>
  <c r="I164" i="184"/>
  <c r="I169" i="184"/>
  <c r="I172" i="184"/>
  <c r="I205" i="184"/>
  <c r="I47" i="184"/>
  <c r="I50" i="184"/>
  <c r="I105" i="184"/>
  <c r="I121" i="184"/>
  <c r="I128" i="184"/>
  <c r="I134" i="184"/>
  <c r="I142" i="184"/>
  <c r="I145" i="184"/>
  <c r="I147" i="184"/>
  <c r="I156" i="184"/>
  <c r="I165" i="184"/>
  <c r="I182" i="184"/>
  <c r="I183" i="184"/>
  <c r="I191" i="184"/>
  <c r="I198" i="184"/>
  <c r="I199" i="184"/>
  <c r="I208" i="184"/>
  <c r="I209" i="184"/>
  <c r="I114" i="184"/>
  <c r="I115" i="184"/>
  <c r="I146" i="184"/>
  <c r="I171" i="184"/>
  <c r="I175" i="184"/>
  <c r="F211" i="184"/>
  <c r="I210" i="184"/>
  <c r="I225" i="184"/>
  <c r="I30" i="184"/>
  <c r="H220" i="184"/>
  <c r="F66" i="184"/>
  <c r="F98" i="184"/>
  <c r="I87" i="184"/>
  <c r="F116" i="184"/>
  <c r="F166" i="184"/>
  <c r="F84" i="184"/>
  <c r="I101" i="184"/>
  <c r="I229" i="184"/>
  <c r="F233" i="184"/>
  <c r="F202" i="184"/>
  <c r="F240" i="184"/>
  <c r="G213" i="184"/>
  <c r="F66" i="183"/>
  <c r="F84" i="183"/>
  <c r="I69" i="183"/>
  <c r="F98" i="183"/>
  <c r="H213" i="183"/>
  <c r="F107" i="183"/>
  <c r="G213" i="183"/>
  <c r="F166" i="183"/>
  <c r="I128" i="183"/>
  <c r="F211" i="183"/>
  <c r="I205" i="183"/>
  <c r="F233" i="183"/>
  <c r="F240" i="183"/>
  <c r="O24" i="184" l="1"/>
  <c r="I16" i="184"/>
  <c r="I26" i="183"/>
  <c r="O23" i="184"/>
  <c r="G220" i="184"/>
  <c r="G220" i="183"/>
  <c r="I66" i="183"/>
  <c r="H220" i="183"/>
  <c r="I116" i="183"/>
  <c r="O17" i="183"/>
  <c r="O19" i="184"/>
  <c r="I84" i="184"/>
  <c r="F213" i="184"/>
  <c r="I242" i="184"/>
  <c r="O17" i="184"/>
  <c r="I202" i="183"/>
  <c r="O18" i="183"/>
  <c r="I98" i="183"/>
  <c r="I233" i="183"/>
  <c r="O172" i="183" s="1"/>
  <c r="I107" i="183"/>
  <c r="O22" i="183"/>
  <c r="O24" i="183"/>
  <c r="F213" i="183"/>
  <c r="I124" i="183"/>
  <c r="O124" i="183" s="1"/>
  <c r="I240" i="183"/>
  <c r="M19" i="183"/>
  <c r="O23" i="183"/>
  <c r="O20" i="183"/>
  <c r="O21" i="183"/>
  <c r="O19" i="183"/>
  <c r="F242" i="183"/>
  <c r="O21" i="184"/>
  <c r="I116" i="184"/>
  <c r="O18" i="184"/>
  <c r="O16" i="184"/>
  <c r="M19" i="184"/>
  <c r="I166" i="184"/>
  <c r="I202" i="184"/>
  <c r="I211" i="184"/>
  <c r="O22" i="184"/>
  <c r="I124" i="184"/>
  <c r="F242" i="184"/>
  <c r="M20" i="184"/>
  <c r="I233" i="184"/>
  <c r="F241" i="184"/>
  <c r="I98" i="184"/>
  <c r="I66" i="184"/>
  <c r="O66" i="184" s="1"/>
  <c r="I107" i="184"/>
  <c r="O102" i="183"/>
  <c r="O151" i="183"/>
  <c r="O112" i="183"/>
  <c r="O16" i="183"/>
  <c r="O49" i="183"/>
  <c r="F241" i="183"/>
  <c r="O155" i="183"/>
  <c r="O53" i="183"/>
  <c r="I166" i="183"/>
  <c r="O178" i="183"/>
  <c r="O175" i="183"/>
  <c r="I84" i="183"/>
  <c r="O50" i="183"/>
  <c r="O181" i="183"/>
  <c r="O122" i="183"/>
  <c r="O93" i="183"/>
  <c r="M18" i="183"/>
  <c r="O36" i="183"/>
  <c r="O205" i="183"/>
  <c r="I211" i="183"/>
  <c r="O54" i="183" l="1"/>
  <c r="O184" i="183"/>
  <c r="O107" i="183"/>
  <c r="O87" i="184"/>
  <c r="O57" i="183"/>
  <c r="O147" i="183"/>
  <c r="J233" i="183"/>
  <c r="O110" i="183"/>
  <c r="O209" i="183"/>
  <c r="O78" i="183"/>
  <c r="O91" i="183"/>
  <c r="O169" i="183"/>
  <c r="J230" i="183"/>
  <c r="O113" i="183"/>
  <c r="O145" i="183"/>
  <c r="O63" i="183"/>
  <c r="O116" i="183"/>
  <c r="O94" i="183"/>
  <c r="O119" i="183"/>
  <c r="O185" i="183"/>
  <c r="J225" i="183"/>
  <c r="O69" i="183"/>
  <c r="O111" i="183"/>
  <c r="O137" i="183"/>
  <c r="O120" i="183"/>
  <c r="O87" i="183"/>
  <c r="O198" i="183"/>
  <c r="O188" i="183"/>
  <c r="O202" i="183"/>
  <c r="O66" i="183"/>
  <c r="I26" i="184"/>
  <c r="O46" i="183"/>
  <c r="O37" i="183"/>
  <c r="O38" i="183"/>
  <c r="O105" i="183"/>
  <c r="O177" i="183"/>
  <c r="O134" i="183"/>
  <c r="J224" i="183"/>
  <c r="O138" i="183"/>
  <c r="O200" i="183"/>
  <c r="O128" i="183"/>
  <c r="O208" i="183"/>
  <c r="O72" i="183"/>
  <c r="O77" i="183"/>
  <c r="O157" i="183"/>
  <c r="O190" i="183"/>
  <c r="O162" i="183"/>
  <c r="O92" i="183"/>
  <c r="O143" i="183"/>
  <c r="O73" i="183"/>
  <c r="O161" i="183"/>
  <c r="O179" i="183"/>
  <c r="O32" i="183"/>
  <c r="O30" i="183"/>
  <c r="O83" i="183"/>
  <c r="O199" i="183"/>
  <c r="O164" i="183"/>
  <c r="O44" i="183"/>
  <c r="O130" i="183"/>
  <c r="O42" i="183"/>
  <c r="O82" i="183"/>
  <c r="O158" i="183"/>
  <c r="O206" i="183"/>
  <c r="O140" i="183"/>
  <c r="J228" i="183"/>
  <c r="J231" i="183"/>
  <c r="O48" i="183"/>
  <c r="O70" i="183"/>
  <c r="O58" i="183"/>
  <c r="O150" i="183"/>
  <c r="O152" i="183"/>
  <c r="O142" i="183"/>
  <c r="O131" i="183"/>
  <c r="O166" i="183"/>
  <c r="O194" i="183"/>
  <c r="O47" i="183"/>
  <c r="O71" i="183"/>
  <c r="O79" i="183"/>
  <c r="O88" i="183"/>
  <c r="O176" i="183"/>
  <c r="O174" i="183"/>
  <c r="O31" i="183"/>
  <c r="O59" i="183"/>
  <c r="O101" i="183"/>
  <c r="O121" i="183"/>
  <c r="O183" i="183"/>
  <c r="O187" i="183"/>
  <c r="O40" i="183"/>
  <c r="O51" i="183"/>
  <c r="O160" i="183"/>
  <c r="O186" i="183"/>
  <c r="I241" i="183"/>
  <c r="O106" i="183"/>
  <c r="O75" i="183"/>
  <c r="O129" i="183"/>
  <c r="O201" i="183"/>
  <c r="O154" i="183"/>
  <c r="O173" i="183"/>
  <c r="O189" i="183"/>
  <c r="J227" i="183"/>
  <c r="O45" i="183"/>
  <c r="O65" i="183"/>
  <c r="O136" i="183"/>
  <c r="O165" i="183"/>
  <c r="O43" i="183"/>
  <c r="O39" i="183"/>
  <c r="O95" i="183"/>
  <c r="O41" i="183"/>
  <c r="O33" i="183"/>
  <c r="O135" i="183"/>
  <c r="O115" i="183"/>
  <c r="O193" i="183"/>
  <c r="O197" i="183"/>
  <c r="O211" i="183"/>
  <c r="O80" i="183"/>
  <c r="O180" i="183"/>
  <c r="O74" i="183"/>
  <c r="O61" i="183"/>
  <c r="O62" i="183"/>
  <c r="O148" i="183"/>
  <c r="O89" i="183"/>
  <c r="O123" i="183"/>
  <c r="O163" i="183"/>
  <c r="J229" i="183"/>
  <c r="O103" i="183"/>
  <c r="O153" i="183"/>
  <c r="O210" i="183"/>
  <c r="J232" i="183"/>
  <c r="J226" i="183"/>
  <c r="O35" i="183"/>
  <c r="O97" i="183"/>
  <c r="O81" i="183"/>
  <c r="O90" i="183"/>
  <c r="O207" i="183"/>
  <c r="O171" i="183"/>
  <c r="O182" i="183"/>
  <c r="O52" i="183"/>
  <c r="O34" i="183"/>
  <c r="O76" i="183"/>
  <c r="O96" i="183"/>
  <c r="O114" i="183"/>
  <c r="O132" i="183"/>
  <c r="O191" i="183"/>
  <c r="O195" i="183"/>
  <c r="O56" i="183"/>
  <c r="O55" i="183"/>
  <c r="O64" i="183"/>
  <c r="O104" i="183"/>
  <c r="O146" i="183"/>
  <c r="O141" i="183"/>
  <c r="O192" i="183"/>
  <c r="O196" i="183"/>
  <c r="O60" i="183"/>
  <c r="O156" i="183"/>
  <c r="O170" i="183"/>
  <c r="F220" i="184"/>
  <c r="O98" i="183"/>
  <c r="F220" i="183"/>
  <c r="O84" i="184"/>
  <c r="O116" i="184"/>
  <c r="O211" i="184"/>
  <c r="M20" i="183"/>
  <c r="I242" i="183"/>
  <c r="F243" i="183"/>
  <c r="O98" i="184"/>
  <c r="O107" i="184"/>
  <c r="F243" i="184"/>
  <c r="I241" i="184"/>
  <c r="J229" i="184"/>
  <c r="J225" i="184"/>
  <c r="J230" i="184"/>
  <c r="J226" i="184"/>
  <c r="J233" i="184"/>
  <c r="J228" i="184"/>
  <c r="J224" i="184"/>
  <c r="J232" i="184"/>
  <c r="O195" i="184"/>
  <c r="O179" i="184"/>
  <c r="O148" i="184"/>
  <c r="O191" i="184"/>
  <c r="O175" i="184"/>
  <c r="O162" i="184"/>
  <c r="O156" i="184"/>
  <c r="J227" i="184"/>
  <c r="O207" i="184"/>
  <c r="J231" i="184"/>
  <c r="O155" i="184"/>
  <c r="O147" i="184"/>
  <c r="O196" i="184"/>
  <c r="O194" i="184"/>
  <c r="O190" i="184"/>
  <c r="O184" i="184"/>
  <c r="O180" i="184"/>
  <c r="O178" i="184"/>
  <c r="O174" i="184"/>
  <c r="O113" i="184"/>
  <c r="O111" i="184"/>
  <c r="O106" i="184"/>
  <c r="O105" i="184"/>
  <c r="O102" i="184"/>
  <c r="O130" i="184"/>
  <c r="O97" i="184"/>
  <c r="O93" i="184"/>
  <c r="O72" i="184"/>
  <c r="O65" i="184"/>
  <c r="O54" i="184"/>
  <c r="O143" i="184"/>
  <c r="O208" i="184"/>
  <c r="O96" i="184"/>
  <c r="O91" i="184"/>
  <c r="M18" i="184"/>
  <c r="O95" i="184"/>
  <c r="O138" i="184"/>
  <c r="O89" i="184"/>
  <c r="O35" i="184"/>
  <c r="O92" i="184"/>
  <c r="O80" i="184"/>
  <c r="O78" i="184"/>
  <c r="O71" i="184"/>
  <c r="O60" i="184"/>
  <c r="O53" i="184"/>
  <c r="O48" i="184"/>
  <c r="O44" i="184"/>
  <c r="O40" i="184"/>
  <c r="O39" i="184"/>
  <c r="O38" i="184"/>
  <c r="O32" i="184"/>
  <c r="O58" i="184"/>
  <c r="O70" i="184"/>
  <c r="O36" i="184"/>
  <c r="O33" i="184"/>
  <c r="O55" i="184"/>
  <c r="O73" i="184"/>
  <c r="O49" i="184"/>
  <c r="O115" i="184"/>
  <c r="O59" i="184"/>
  <c r="O77" i="184"/>
  <c r="O193" i="184"/>
  <c r="O51" i="184"/>
  <c r="O121" i="184"/>
  <c r="O170" i="184"/>
  <c r="O104" i="184"/>
  <c r="O129" i="184"/>
  <c r="O158" i="184"/>
  <c r="O160" i="184"/>
  <c r="O181" i="184"/>
  <c r="O201" i="184"/>
  <c r="O128" i="184"/>
  <c r="O183" i="184"/>
  <c r="O205" i="184"/>
  <c r="O164" i="184"/>
  <c r="O173" i="184"/>
  <c r="O210" i="184"/>
  <c r="O161" i="184"/>
  <c r="O187" i="184"/>
  <c r="O157" i="184"/>
  <c r="O192" i="184"/>
  <c r="O42" i="184"/>
  <c r="O41" i="184"/>
  <c r="O79" i="184"/>
  <c r="O57" i="184"/>
  <c r="O124" i="184"/>
  <c r="O120" i="184"/>
  <c r="O56" i="184"/>
  <c r="O135" i="184"/>
  <c r="O131" i="184"/>
  <c r="O94" i="184"/>
  <c r="O171" i="184"/>
  <c r="O189" i="184"/>
  <c r="O198" i="184"/>
  <c r="O163" i="184"/>
  <c r="O206" i="184"/>
  <c r="O45" i="184"/>
  <c r="O64" i="184"/>
  <c r="O112" i="184"/>
  <c r="O122" i="184"/>
  <c r="O110" i="184"/>
  <c r="O169" i="184"/>
  <c r="O88" i="184"/>
  <c r="O209" i="184"/>
  <c r="O61" i="184"/>
  <c r="O76" i="184"/>
  <c r="O50" i="184"/>
  <c r="O63" i="184"/>
  <c r="O103" i="184"/>
  <c r="O90" i="184"/>
  <c r="O62" i="184"/>
  <c r="O74" i="184"/>
  <c r="O132" i="184"/>
  <c r="O185" i="184"/>
  <c r="O188" i="184"/>
  <c r="O145" i="184"/>
  <c r="O150" i="184"/>
  <c r="O46" i="184"/>
  <c r="O81" i="184"/>
  <c r="O43" i="184"/>
  <c r="O140" i="184"/>
  <c r="O142" i="184"/>
  <c r="O37" i="184"/>
  <c r="O82" i="184"/>
  <c r="O137" i="184"/>
  <c r="O119" i="184"/>
  <c r="O114" i="184"/>
  <c r="O136" i="184"/>
  <c r="O186" i="184"/>
  <c r="O123" i="184"/>
  <c r="O134" i="184"/>
  <c r="O199" i="184"/>
  <c r="O152" i="184"/>
  <c r="O182" i="184"/>
  <c r="O165" i="184"/>
  <c r="O200" i="184"/>
  <c r="O52" i="184"/>
  <c r="O34" i="184"/>
  <c r="O31" i="184"/>
  <c r="O75" i="184"/>
  <c r="O146" i="184"/>
  <c r="O69" i="184"/>
  <c r="O153" i="184"/>
  <c r="O47" i="184"/>
  <c r="O83" i="184"/>
  <c r="O177" i="184"/>
  <c r="O141" i="184"/>
  <c r="O151" i="184"/>
  <c r="O197" i="184"/>
  <c r="O172" i="184"/>
  <c r="O154" i="184"/>
  <c r="O176" i="184"/>
  <c r="O26" i="184"/>
  <c r="O202" i="184"/>
  <c r="I213" i="184"/>
  <c r="O101" i="184"/>
  <c r="O30" i="184"/>
  <c r="O166" i="184"/>
  <c r="J24" i="183"/>
  <c r="O26" i="183"/>
  <c r="J25" i="183"/>
  <c r="J23" i="183"/>
  <c r="J20" i="183"/>
  <c r="J17" i="183"/>
  <c r="J16" i="183"/>
  <c r="J12" i="183"/>
  <c r="J21" i="183"/>
  <c r="J22" i="183"/>
  <c r="J13" i="183"/>
  <c r="J26" i="183"/>
  <c r="J19" i="183"/>
  <c r="J18" i="183"/>
  <c r="J14" i="183"/>
  <c r="M16" i="183"/>
  <c r="J15" i="183"/>
  <c r="O84" i="183"/>
  <c r="I213" i="183"/>
  <c r="J20" i="184" l="1"/>
  <c r="J25" i="184"/>
  <c r="J24" i="184"/>
  <c r="J14" i="184"/>
  <c r="J17" i="184"/>
  <c r="J23" i="184"/>
  <c r="J19" i="184"/>
  <c r="J13" i="184"/>
  <c r="J22" i="184"/>
  <c r="J15" i="184"/>
  <c r="J18" i="184"/>
  <c r="J21" i="184"/>
  <c r="J16" i="184"/>
  <c r="J12" i="184"/>
  <c r="J26" i="184"/>
  <c r="M16" i="184"/>
  <c r="I243" i="183"/>
  <c r="I243" i="184"/>
  <c r="J207" i="184"/>
  <c r="J198" i="184"/>
  <c r="J194" i="184"/>
  <c r="J190" i="184"/>
  <c r="J186" i="184"/>
  <c r="J182" i="184"/>
  <c r="J178" i="184"/>
  <c r="J174" i="184"/>
  <c r="J170" i="184"/>
  <c r="J164" i="184"/>
  <c r="J160" i="184"/>
  <c r="J155" i="184"/>
  <c r="J151" i="184"/>
  <c r="J210" i="184"/>
  <c r="J206" i="184"/>
  <c r="J201" i="184"/>
  <c r="J211" i="184"/>
  <c r="J208" i="184"/>
  <c r="J200" i="184"/>
  <c r="J197" i="184"/>
  <c r="J195" i="184"/>
  <c r="J184" i="184"/>
  <c r="J181" i="184"/>
  <c r="J179" i="184"/>
  <c r="J163" i="184"/>
  <c r="J162" i="184"/>
  <c r="J147" i="184"/>
  <c r="J142" i="184"/>
  <c r="J137" i="184"/>
  <c r="J132" i="184"/>
  <c r="J128" i="184"/>
  <c r="J124" i="184"/>
  <c r="J121" i="184"/>
  <c r="J115" i="184"/>
  <c r="J111" i="184"/>
  <c r="J105" i="184"/>
  <c r="J101" i="184"/>
  <c r="J98" i="184"/>
  <c r="J95" i="184"/>
  <c r="J91" i="184"/>
  <c r="J87" i="184"/>
  <c r="J82" i="184"/>
  <c r="J78" i="184"/>
  <c r="J74" i="184"/>
  <c r="J70" i="184"/>
  <c r="J64" i="184"/>
  <c r="J60" i="184"/>
  <c r="J56" i="184"/>
  <c r="J52" i="184"/>
  <c r="J213" i="184"/>
  <c r="J209" i="184"/>
  <c r="J199" i="184"/>
  <c r="J188" i="184"/>
  <c r="J185" i="184"/>
  <c r="J183" i="184"/>
  <c r="J172" i="184"/>
  <c r="J169" i="184"/>
  <c r="J165" i="184"/>
  <c r="J161" i="184"/>
  <c r="J153" i="184"/>
  <c r="J146" i="184"/>
  <c r="J196" i="184"/>
  <c r="J187" i="184"/>
  <c r="J180" i="184"/>
  <c r="J166" i="184"/>
  <c r="J189" i="184"/>
  <c r="J173" i="184"/>
  <c r="J171" i="184"/>
  <c r="J154" i="184"/>
  <c r="J152" i="184"/>
  <c r="J148" i="184"/>
  <c r="J143" i="184"/>
  <c r="J130" i="184"/>
  <c r="J114" i="184"/>
  <c r="J112" i="184"/>
  <c r="J89" i="184"/>
  <c r="J84" i="184"/>
  <c r="J81" i="184"/>
  <c r="J79" i="184"/>
  <c r="O213" i="184"/>
  <c r="J205" i="184"/>
  <c r="J193" i="184"/>
  <c r="J191" i="184"/>
  <c r="J177" i="184"/>
  <c r="J175" i="184"/>
  <c r="J158" i="184"/>
  <c r="J156" i="184"/>
  <c r="J135" i="184"/>
  <c r="J131" i="184"/>
  <c r="J129" i="184"/>
  <c r="J123" i="184"/>
  <c r="J120" i="184"/>
  <c r="J119" i="184"/>
  <c r="J138" i="184"/>
  <c r="J136" i="184"/>
  <c r="J110" i="184"/>
  <c r="J107" i="184"/>
  <c r="J96" i="184"/>
  <c r="J76" i="184"/>
  <c r="J73" i="184"/>
  <c r="J71" i="184"/>
  <c r="J58" i="184"/>
  <c r="J55" i="184"/>
  <c r="J53" i="184"/>
  <c r="J50" i="184"/>
  <c r="J46" i="184"/>
  <c r="J42" i="184"/>
  <c r="J38" i="184"/>
  <c r="J34" i="184"/>
  <c r="J30" i="184"/>
  <c r="J150" i="184"/>
  <c r="J141" i="184"/>
  <c r="J122" i="184"/>
  <c r="J104" i="184"/>
  <c r="J103" i="184"/>
  <c r="J157" i="184"/>
  <c r="J140" i="184"/>
  <c r="J113" i="184"/>
  <c r="J106" i="184"/>
  <c r="J102" i="184"/>
  <c r="J92" i="184"/>
  <c r="J83" i="184"/>
  <c r="J80" i="184"/>
  <c r="J69" i="184"/>
  <c r="J63" i="184"/>
  <c r="J61" i="184"/>
  <c r="J48" i="184"/>
  <c r="J44" i="184"/>
  <c r="J40" i="184"/>
  <c r="J134" i="184"/>
  <c r="J202" i="184"/>
  <c r="J176" i="184"/>
  <c r="J94" i="184"/>
  <c r="J77" i="184"/>
  <c r="J72" i="184"/>
  <c r="J62" i="184"/>
  <c r="J59" i="184"/>
  <c r="J54" i="184"/>
  <c r="J39" i="184"/>
  <c r="J192" i="184"/>
  <c r="J116" i="184"/>
  <c r="J90" i="184"/>
  <c r="J88" i="184"/>
  <c r="J75" i="184"/>
  <c r="J66" i="184"/>
  <c r="J65" i="184"/>
  <c r="J57" i="184"/>
  <c r="J49" i="184"/>
  <c r="J45" i="184"/>
  <c r="J43" i="184"/>
  <c r="J32" i="184"/>
  <c r="J145" i="184"/>
  <c r="J97" i="184"/>
  <c r="J41" i="184"/>
  <c r="J36" i="184"/>
  <c r="J33" i="184"/>
  <c r="J31" i="184"/>
  <c r="J93" i="184"/>
  <c r="J51" i="184"/>
  <c r="J47" i="184"/>
  <c r="J37" i="184"/>
  <c r="J35" i="184"/>
  <c r="M17" i="184"/>
  <c r="I220" i="184"/>
  <c r="J210" i="183"/>
  <c r="J206" i="183"/>
  <c r="J201" i="183"/>
  <c r="J197" i="183"/>
  <c r="J193" i="183"/>
  <c r="J189" i="183"/>
  <c r="J185" i="183"/>
  <c r="J181" i="183"/>
  <c r="J177" i="183"/>
  <c r="J173" i="183"/>
  <c r="J169" i="183"/>
  <c r="J166" i="183"/>
  <c r="J163" i="183"/>
  <c r="J158" i="183"/>
  <c r="J213" i="183"/>
  <c r="J209" i="183"/>
  <c r="J205" i="183"/>
  <c r="J200" i="183"/>
  <c r="J196" i="183"/>
  <c r="J192" i="183"/>
  <c r="J188" i="183"/>
  <c r="J184" i="183"/>
  <c r="J180" i="183"/>
  <c r="J176" i="183"/>
  <c r="J172" i="183"/>
  <c r="J162" i="183"/>
  <c r="J157" i="183"/>
  <c r="O213" i="183"/>
  <c r="J211" i="183"/>
  <c r="J208" i="183"/>
  <c r="J202" i="183"/>
  <c r="J199" i="183"/>
  <c r="J195" i="183"/>
  <c r="J191" i="183"/>
  <c r="J187" i="183"/>
  <c r="J183" i="183"/>
  <c r="J179" i="183"/>
  <c r="J175" i="183"/>
  <c r="J171" i="183"/>
  <c r="J165" i="183"/>
  <c r="J161" i="183"/>
  <c r="J156" i="183"/>
  <c r="J207" i="183"/>
  <c r="J198" i="183"/>
  <c r="J190" i="183"/>
  <c r="J178" i="183"/>
  <c r="J170" i="183"/>
  <c r="J160" i="183"/>
  <c r="J152" i="183"/>
  <c r="J147" i="183"/>
  <c r="J142" i="183"/>
  <c r="J137" i="183"/>
  <c r="J132" i="183"/>
  <c r="J128" i="183"/>
  <c r="J124" i="183"/>
  <c r="J121" i="183"/>
  <c r="J115" i="183"/>
  <c r="J111" i="183"/>
  <c r="J105" i="183"/>
  <c r="J194" i="183"/>
  <c r="J154" i="183"/>
  <c r="J151" i="183"/>
  <c r="J148" i="183"/>
  <c r="J135" i="183"/>
  <c r="J131" i="183"/>
  <c r="J129" i="183"/>
  <c r="J123" i="183"/>
  <c r="J120" i="183"/>
  <c r="J119" i="183"/>
  <c r="J107" i="183"/>
  <c r="J97" i="183"/>
  <c r="J93" i="183"/>
  <c r="J89" i="183"/>
  <c r="J80" i="183"/>
  <c r="J186" i="183"/>
  <c r="J164" i="183"/>
  <c r="J155" i="183"/>
  <c r="J153" i="183"/>
  <c r="J140" i="183"/>
  <c r="J136" i="183"/>
  <c r="J134" i="183"/>
  <c r="J122" i="183"/>
  <c r="J145" i="183"/>
  <c r="J141" i="183"/>
  <c r="J138" i="183"/>
  <c r="J116" i="183"/>
  <c r="J113" i="183"/>
  <c r="J110" i="183"/>
  <c r="J106" i="183"/>
  <c r="J102" i="183"/>
  <c r="J101" i="183"/>
  <c r="J98" i="183"/>
  <c r="J95" i="183"/>
  <c r="J91" i="183"/>
  <c r="J87" i="183"/>
  <c r="J82" i="183"/>
  <c r="J78" i="183"/>
  <c r="J74" i="183"/>
  <c r="J70" i="183"/>
  <c r="J64" i="183"/>
  <c r="J60" i="183"/>
  <c r="J56" i="183"/>
  <c r="J52" i="183"/>
  <c r="J48" i="183"/>
  <c r="J44" i="183"/>
  <c r="J40" i="183"/>
  <c r="J36" i="183"/>
  <c r="J32" i="183"/>
  <c r="J182" i="183"/>
  <c r="J103" i="183"/>
  <c r="J174" i="183"/>
  <c r="J146" i="183"/>
  <c r="J130" i="183"/>
  <c r="J114" i="183"/>
  <c r="J88" i="183"/>
  <c r="J81" i="183"/>
  <c r="J77" i="183"/>
  <c r="J75" i="183"/>
  <c r="J66" i="183"/>
  <c r="J150" i="183"/>
  <c r="J143" i="183"/>
  <c r="J104" i="183"/>
  <c r="J96" i="183"/>
  <c r="J84" i="183"/>
  <c r="J79" i="183"/>
  <c r="J69" i="183"/>
  <c r="J63" i="183"/>
  <c r="J61" i="183"/>
  <c r="J43" i="183"/>
  <c r="J41" i="183"/>
  <c r="J30" i="183"/>
  <c r="J112" i="183"/>
  <c r="J94" i="183"/>
  <c r="J92" i="183"/>
  <c r="J72" i="183"/>
  <c r="J65" i="183"/>
  <c r="J54" i="183"/>
  <c r="J76" i="183"/>
  <c r="J58" i="183"/>
  <c r="J73" i="183"/>
  <c r="J38" i="183"/>
  <c r="J35" i="183"/>
  <c r="J31" i="183"/>
  <c r="J83" i="183"/>
  <c r="J55" i="183"/>
  <c r="J37" i="183"/>
  <c r="J33" i="183"/>
  <c r="J90" i="183"/>
  <c r="J59" i="183"/>
  <c r="J57" i="183"/>
  <c r="J53" i="183"/>
  <c r="J50" i="183"/>
  <c r="J49" i="183"/>
  <c r="J46" i="183"/>
  <c r="J45" i="183"/>
  <c r="J39" i="183"/>
  <c r="J34" i="183"/>
  <c r="J51" i="183"/>
  <c r="J47" i="183"/>
  <c r="M17" i="183"/>
  <c r="J71" i="183"/>
  <c r="J62" i="183"/>
  <c r="J42" i="183"/>
  <c r="I220" i="183"/>
  <c r="I249" i="103" l="1"/>
  <c r="I248" i="103"/>
  <c r="I247" i="103"/>
  <c r="I246" i="103"/>
  <c r="C4" i="103"/>
  <c r="C3" i="103"/>
  <c r="C243" i="103" l="1"/>
  <c r="C242" i="103"/>
  <c r="C241" i="103"/>
  <c r="C240" i="103"/>
  <c r="C238" i="103"/>
  <c r="C237" i="103"/>
  <c r="C236" i="103"/>
  <c r="E233" i="103"/>
  <c r="D233" i="103"/>
  <c r="C232" i="103"/>
  <c r="C231" i="103"/>
  <c r="C230" i="103"/>
  <c r="C229" i="103"/>
  <c r="C228" i="103"/>
  <c r="C227" i="103"/>
  <c r="C226" i="103"/>
  <c r="C225" i="103"/>
  <c r="C224" i="103"/>
  <c r="C216" i="103"/>
  <c r="E210" i="103"/>
  <c r="D210" i="103"/>
  <c r="C210" i="103"/>
  <c r="E209" i="103"/>
  <c r="D209" i="103"/>
  <c r="C209" i="103"/>
  <c r="E208" i="103"/>
  <c r="D208" i="103"/>
  <c r="C208" i="103"/>
  <c r="E207" i="103"/>
  <c r="D207" i="103"/>
  <c r="C207" i="103"/>
  <c r="E206" i="103"/>
  <c r="D206" i="103"/>
  <c r="C206" i="103"/>
  <c r="E205" i="103"/>
  <c r="D205" i="103"/>
  <c r="C205" i="103"/>
  <c r="E201" i="103"/>
  <c r="D201" i="103"/>
  <c r="C201" i="103"/>
  <c r="E200" i="103"/>
  <c r="D200" i="103"/>
  <c r="C200" i="103"/>
  <c r="E199" i="103"/>
  <c r="D199" i="103"/>
  <c r="C199" i="103"/>
  <c r="E198" i="103"/>
  <c r="D198" i="103"/>
  <c r="C198" i="103"/>
  <c r="E197" i="103"/>
  <c r="D197" i="103"/>
  <c r="C197" i="103"/>
  <c r="E196" i="103"/>
  <c r="D196" i="103"/>
  <c r="C196" i="103"/>
  <c r="E195" i="103"/>
  <c r="D195" i="103"/>
  <c r="C195" i="103"/>
  <c r="E194" i="103"/>
  <c r="D194" i="103"/>
  <c r="C194" i="103"/>
  <c r="E193" i="103"/>
  <c r="D193" i="103"/>
  <c r="C193" i="103"/>
  <c r="E192" i="103"/>
  <c r="D192" i="103"/>
  <c r="C192" i="103"/>
  <c r="E191" i="103"/>
  <c r="D191" i="103"/>
  <c r="C191" i="103"/>
  <c r="E190" i="103"/>
  <c r="D190" i="103"/>
  <c r="C190" i="103"/>
  <c r="E189" i="103"/>
  <c r="D189" i="103"/>
  <c r="C189" i="103"/>
  <c r="E188" i="103"/>
  <c r="D188" i="103"/>
  <c r="C188" i="103"/>
  <c r="E187" i="103"/>
  <c r="D187" i="103"/>
  <c r="C187" i="103"/>
  <c r="E186" i="103"/>
  <c r="D186" i="103"/>
  <c r="C186" i="103"/>
  <c r="E185" i="103"/>
  <c r="D185" i="103"/>
  <c r="C185" i="103"/>
  <c r="E184" i="103"/>
  <c r="D184" i="103"/>
  <c r="C184" i="103"/>
  <c r="E183" i="103"/>
  <c r="D183" i="103"/>
  <c r="C183" i="103"/>
  <c r="E182" i="103"/>
  <c r="D182" i="103"/>
  <c r="C182" i="103"/>
  <c r="E181" i="103"/>
  <c r="D181" i="103"/>
  <c r="C181" i="103"/>
  <c r="E180" i="103"/>
  <c r="D180" i="103"/>
  <c r="C180" i="103"/>
  <c r="E179" i="103"/>
  <c r="D179" i="103"/>
  <c r="C179" i="103"/>
  <c r="E178" i="103"/>
  <c r="D178" i="103"/>
  <c r="C178" i="103"/>
  <c r="E177" i="103"/>
  <c r="D177" i="103"/>
  <c r="C177" i="103"/>
  <c r="E176" i="103"/>
  <c r="D176" i="103"/>
  <c r="C176" i="103"/>
  <c r="E175" i="103"/>
  <c r="D175" i="103"/>
  <c r="C175" i="103"/>
  <c r="E174" i="103"/>
  <c r="D174" i="103"/>
  <c r="C174" i="103"/>
  <c r="E173" i="103"/>
  <c r="D173" i="103"/>
  <c r="C173" i="103"/>
  <c r="E172" i="103"/>
  <c r="D172" i="103"/>
  <c r="C172" i="103"/>
  <c r="E171" i="103"/>
  <c r="D171" i="103"/>
  <c r="C171" i="103"/>
  <c r="E170" i="103"/>
  <c r="D170" i="103"/>
  <c r="C170" i="103"/>
  <c r="E169" i="103"/>
  <c r="D169" i="103"/>
  <c r="C169" i="103"/>
  <c r="E165" i="103"/>
  <c r="D165" i="103"/>
  <c r="C165" i="103"/>
  <c r="E164" i="103"/>
  <c r="D164" i="103"/>
  <c r="C164" i="103"/>
  <c r="E163" i="103"/>
  <c r="D163" i="103"/>
  <c r="C163" i="103"/>
  <c r="E162" i="103"/>
  <c r="D162" i="103"/>
  <c r="C162" i="103"/>
  <c r="E161" i="103"/>
  <c r="D161" i="103"/>
  <c r="C161" i="103"/>
  <c r="E160" i="103"/>
  <c r="D160" i="103"/>
  <c r="C160" i="103"/>
  <c r="E158" i="103"/>
  <c r="D158" i="103"/>
  <c r="C158" i="103"/>
  <c r="E157" i="103"/>
  <c r="D157" i="103"/>
  <c r="C157" i="103"/>
  <c r="E156" i="103"/>
  <c r="D156" i="103"/>
  <c r="C156" i="103"/>
  <c r="E155" i="103"/>
  <c r="D155" i="103"/>
  <c r="C155" i="103"/>
  <c r="E154" i="103"/>
  <c r="D154" i="103"/>
  <c r="C154" i="103"/>
  <c r="E153" i="103"/>
  <c r="D153" i="103"/>
  <c r="C153" i="103"/>
  <c r="E152" i="103"/>
  <c r="D152" i="103"/>
  <c r="C152" i="103"/>
  <c r="E151" i="103"/>
  <c r="D151" i="103"/>
  <c r="C151" i="103"/>
  <c r="E150" i="103"/>
  <c r="D150" i="103"/>
  <c r="C150" i="103"/>
  <c r="E148" i="103"/>
  <c r="D148" i="103"/>
  <c r="C148" i="103"/>
  <c r="E147" i="103"/>
  <c r="D147" i="103"/>
  <c r="C147" i="103"/>
  <c r="E146" i="103"/>
  <c r="D146" i="103"/>
  <c r="C146" i="103"/>
  <c r="E145" i="103"/>
  <c r="D145" i="103"/>
  <c r="C145" i="103"/>
  <c r="E143" i="103"/>
  <c r="D143" i="103"/>
  <c r="C143" i="103"/>
  <c r="E142" i="103"/>
  <c r="D142" i="103"/>
  <c r="C142" i="103"/>
  <c r="E141" i="103"/>
  <c r="D141" i="103"/>
  <c r="C141" i="103"/>
  <c r="E140" i="103"/>
  <c r="D140" i="103"/>
  <c r="C140" i="103"/>
  <c r="E138" i="103"/>
  <c r="D138" i="103"/>
  <c r="C138" i="103"/>
  <c r="E137" i="103"/>
  <c r="D137" i="103"/>
  <c r="C137" i="103"/>
  <c r="E136" i="103"/>
  <c r="D136" i="103"/>
  <c r="C136" i="103"/>
  <c r="E135" i="103"/>
  <c r="D135" i="103"/>
  <c r="C135" i="103"/>
  <c r="E134" i="103"/>
  <c r="D134" i="103"/>
  <c r="C134" i="103"/>
  <c r="E132" i="103"/>
  <c r="D132" i="103"/>
  <c r="C132" i="103"/>
  <c r="E131" i="103"/>
  <c r="D131" i="103"/>
  <c r="C131" i="103"/>
  <c r="E130" i="103"/>
  <c r="D130" i="103"/>
  <c r="C130" i="103"/>
  <c r="E129" i="103"/>
  <c r="D129" i="103"/>
  <c r="C129" i="103"/>
  <c r="E128" i="103"/>
  <c r="D128" i="103"/>
  <c r="C128" i="103"/>
  <c r="E123" i="103"/>
  <c r="D123" i="103"/>
  <c r="C123" i="103"/>
  <c r="E122" i="103"/>
  <c r="D122" i="103"/>
  <c r="C122" i="103"/>
  <c r="E121" i="103"/>
  <c r="D121" i="103"/>
  <c r="C121" i="103"/>
  <c r="E120" i="103"/>
  <c r="D120" i="103"/>
  <c r="C120" i="103"/>
  <c r="E119" i="103"/>
  <c r="D119" i="103"/>
  <c r="C119" i="103"/>
  <c r="E115" i="103"/>
  <c r="D115" i="103"/>
  <c r="C115" i="103"/>
  <c r="E114" i="103"/>
  <c r="D114" i="103"/>
  <c r="C114" i="103"/>
  <c r="E113" i="103"/>
  <c r="D113" i="103"/>
  <c r="C113" i="103"/>
  <c r="E112" i="103"/>
  <c r="D112" i="103"/>
  <c r="C112" i="103"/>
  <c r="E111" i="103"/>
  <c r="D111" i="103"/>
  <c r="C111" i="103"/>
  <c r="E110" i="103"/>
  <c r="D110" i="103"/>
  <c r="C110" i="103"/>
  <c r="E106" i="103"/>
  <c r="D106" i="103"/>
  <c r="C106" i="103"/>
  <c r="E105" i="103"/>
  <c r="D105" i="103"/>
  <c r="C105" i="103"/>
  <c r="E104" i="103"/>
  <c r="D104" i="103"/>
  <c r="C104" i="103"/>
  <c r="E103" i="103"/>
  <c r="D103" i="103"/>
  <c r="C103" i="103"/>
  <c r="E102" i="103"/>
  <c r="D102" i="103"/>
  <c r="C102" i="103"/>
  <c r="E101" i="103"/>
  <c r="D101" i="103"/>
  <c r="C101" i="103"/>
  <c r="E97" i="103"/>
  <c r="D97" i="103"/>
  <c r="C97" i="103"/>
  <c r="E96" i="103"/>
  <c r="D96" i="103"/>
  <c r="C96" i="103"/>
  <c r="E95" i="103"/>
  <c r="D95" i="103"/>
  <c r="C95" i="103"/>
  <c r="E94" i="103"/>
  <c r="D94" i="103"/>
  <c r="C94" i="103"/>
  <c r="E93" i="103"/>
  <c r="D93" i="103"/>
  <c r="C93" i="103"/>
  <c r="E92" i="103"/>
  <c r="D92" i="103"/>
  <c r="C92" i="103"/>
  <c r="E91" i="103"/>
  <c r="D91" i="103"/>
  <c r="C91" i="103"/>
  <c r="E90" i="103"/>
  <c r="D90" i="103"/>
  <c r="C90" i="103"/>
  <c r="E89" i="103"/>
  <c r="D89" i="103"/>
  <c r="C89" i="103"/>
  <c r="E88" i="103"/>
  <c r="D88" i="103"/>
  <c r="C88" i="103"/>
  <c r="E87" i="103"/>
  <c r="D87" i="103"/>
  <c r="C87" i="103"/>
  <c r="E83" i="103"/>
  <c r="D83" i="103"/>
  <c r="C83" i="103"/>
  <c r="E82" i="103"/>
  <c r="D82" i="103"/>
  <c r="C82" i="103"/>
  <c r="E81" i="103"/>
  <c r="D81" i="103"/>
  <c r="C81" i="103"/>
  <c r="E80" i="103"/>
  <c r="D80" i="103"/>
  <c r="C80" i="103"/>
  <c r="E79" i="103"/>
  <c r="D79" i="103"/>
  <c r="C79" i="103"/>
  <c r="E78" i="103"/>
  <c r="D78" i="103"/>
  <c r="C78" i="103"/>
  <c r="E77" i="103"/>
  <c r="D77" i="103"/>
  <c r="C77" i="103"/>
  <c r="E76" i="103"/>
  <c r="D76" i="103"/>
  <c r="C76" i="103"/>
  <c r="E75" i="103"/>
  <c r="D75" i="103"/>
  <c r="C75" i="103"/>
  <c r="E74" i="103"/>
  <c r="D74" i="103"/>
  <c r="C74" i="103"/>
  <c r="E73" i="103"/>
  <c r="D73" i="103"/>
  <c r="C73" i="103"/>
  <c r="E72" i="103"/>
  <c r="D72" i="103"/>
  <c r="C72" i="103"/>
  <c r="E71" i="103"/>
  <c r="D71" i="103"/>
  <c r="C71" i="103"/>
  <c r="E70" i="103"/>
  <c r="D70" i="103"/>
  <c r="C70" i="103"/>
  <c r="E69" i="103"/>
  <c r="D69" i="103"/>
  <c r="C69" i="103"/>
  <c r="E65" i="103"/>
  <c r="D65" i="103"/>
  <c r="C65" i="103"/>
  <c r="E64" i="103"/>
  <c r="D64" i="103"/>
  <c r="C64" i="103"/>
  <c r="E63" i="103"/>
  <c r="D63" i="103"/>
  <c r="C63" i="103"/>
  <c r="E62" i="103"/>
  <c r="D62" i="103"/>
  <c r="C62" i="103"/>
  <c r="E61" i="103"/>
  <c r="D61" i="103"/>
  <c r="C61" i="103"/>
  <c r="E60" i="103"/>
  <c r="D60" i="103"/>
  <c r="C60" i="103"/>
  <c r="E59" i="103"/>
  <c r="D59" i="103"/>
  <c r="C59" i="103"/>
  <c r="E58" i="103"/>
  <c r="D58" i="103"/>
  <c r="C58" i="103"/>
  <c r="E57" i="103"/>
  <c r="D57" i="103"/>
  <c r="C57" i="103"/>
  <c r="E56" i="103"/>
  <c r="D56" i="103"/>
  <c r="C56" i="103"/>
  <c r="E55" i="103"/>
  <c r="D55" i="103"/>
  <c r="C55" i="103"/>
  <c r="E54" i="103"/>
  <c r="D54" i="103"/>
  <c r="C54" i="103"/>
  <c r="E53" i="103"/>
  <c r="D53" i="103"/>
  <c r="C53" i="103"/>
  <c r="E52" i="103"/>
  <c r="D52" i="103"/>
  <c r="C52" i="103"/>
  <c r="E51" i="103"/>
  <c r="D51" i="103"/>
  <c r="C51" i="103"/>
  <c r="E50" i="103"/>
  <c r="D50" i="103"/>
  <c r="C50" i="103"/>
  <c r="E49" i="103"/>
  <c r="D49" i="103"/>
  <c r="C49" i="103"/>
  <c r="E48" i="103"/>
  <c r="D48" i="103"/>
  <c r="C48" i="103"/>
  <c r="E47" i="103"/>
  <c r="D47" i="103"/>
  <c r="C47" i="103"/>
  <c r="E46" i="103"/>
  <c r="D46" i="103"/>
  <c r="C46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E35" i="103"/>
  <c r="D35" i="103"/>
  <c r="C35" i="103"/>
  <c r="E34" i="103"/>
  <c r="D34" i="103"/>
  <c r="C34" i="103"/>
  <c r="E33" i="103"/>
  <c r="D33" i="103"/>
  <c r="C33" i="103"/>
  <c r="E32" i="103"/>
  <c r="D32" i="103"/>
  <c r="C32" i="103"/>
  <c r="E31" i="103"/>
  <c r="D31" i="103"/>
  <c r="C31" i="103"/>
  <c r="E30" i="103"/>
  <c r="D30" i="103"/>
  <c r="C30" i="103"/>
  <c r="D25" i="103"/>
  <c r="C25" i="103"/>
  <c r="D24" i="103"/>
  <c r="C24" i="103"/>
  <c r="D23" i="103"/>
  <c r="C23" i="103"/>
  <c r="D22" i="103"/>
  <c r="C22" i="103"/>
  <c r="D21" i="103"/>
  <c r="C21" i="103"/>
  <c r="D20" i="103"/>
  <c r="C20" i="103"/>
  <c r="D19" i="103"/>
  <c r="C19" i="103"/>
  <c r="D18" i="103"/>
  <c r="C18" i="103"/>
  <c r="D17" i="103"/>
  <c r="C17" i="103"/>
  <c r="D16" i="103"/>
  <c r="C16" i="103"/>
  <c r="D15" i="103"/>
  <c r="C15" i="103"/>
  <c r="D14" i="103"/>
  <c r="C14" i="103"/>
  <c r="D13" i="103"/>
  <c r="C13" i="103"/>
  <c r="D12" i="103"/>
  <c r="C12" i="103"/>
  <c r="D26" i="103" l="1"/>
  <c r="F12" i="103"/>
  <c r="I12" i="103" s="1"/>
  <c r="E124" i="103"/>
  <c r="C26" i="103"/>
  <c r="C84" i="103"/>
  <c r="D84" i="103"/>
  <c r="C98" i="103"/>
  <c r="C166" i="103"/>
  <c r="D166" i="103"/>
  <c r="D202" i="103"/>
  <c r="E84" i="103"/>
  <c r="D98" i="103"/>
  <c r="C107" i="103"/>
  <c r="E107" i="103"/>
  <c r="E116" i="103"/>
  <c r="C124" i="103"/>
  <c r="E202" i="103"/>
  <c r="E98" i="103"/>
  <c r="D107" i="103"/>
  <c r="D116" i="103"/>
  <c r="D124" i="103"/>
  <c r="E166" i="103"/>
  <c r="C211" i="103"/>
  <c r="D211" i="103"/>
  <c r="E211" i="103"/>
  <c r="C233" i="103"/>
  <c r="C116" i="103"/>
  <c r="C202" i="103"/>
  <c r="C66" i="103"/>
  <c r="D66" i="103"/>
  <c r="E66" i="103"/>
  <c r="C213" i="103" l="1"/>
  <c r="C217" i="103" s="1"/>
  <c r="D213" i="103"/>
  <c r="D220" i="103" s="1"/>
  <c r="E213" i="103"/>
  <c r="E220" i="103" s="1"/>
  <c r="C220" i="103" l="1"/>
  <c r="E239" i="97"/>
  <c r="D239" i="97"/>
  <c r="E238" i="97"/>
  <c r="D238" i="97"/>
  <c r="G14" i="97"/>
  <c r="E215" i="97"/>
  <c r="D215" i="97"/>
  <c r="E213" i="97"/>
  <c r="D213" i="97"/>
  <c r="E212" i="97"/>
  <c r="D212" i="97"/>
  <c r="E211" i="97"/>
  <c r="D211" i="97"/>
  <c r="E210" i="97"/>
  <c r="D210" i="97"/>
  <c r="E209" i="97"/>
  <c r="D209" i="97"/>
  <c r="E208" i="97"/>
  <c r="D208" i="97"/>
  <c r="E207" i="97"/>
  <c r="D207" i="97"/>
  <c r="E204" i="97"/>
  <c r="D204" i="97"/>
  <c r="E203" i="97"/>
  <c r="D203" i="97"/>
  <c r="E202" i="97"/>
  <c r="D202" i="97"/>
  <c r="E201" i="97"/>
  <c r="D201" i="97"/>
  <c r="E200" i="97"/>
  <c r="D200" i="97"/>
  <c r="E199" i="97"/>
  <c r="D199" i="97"/>
  <c r="E198" i="97"/>
  <c r="D198" i="97"/>
  <c r="E197" i="97"/>
  <c r="D197" i="97"/>
  <c r="E196" i="97"/>
  <c r="D196" i="97"/>
  <c r="E195" i="97"/>
  <c r="D195" i="97"/>
  <c r="E194" i="97"/>
  <c r="D194" i="97"/>
  <c r="E193" i="97"/>
  <c r="D193" i="97"/>
  <c r="E192" i="97"/>
  <c r="D192" i="97"/>
  <c r="E191" i="97"/>
  <c r="D191" i="97"/>
  <c r="E190" i="97"/>
  <c r="D190" i="97"/>
  <c r="E189" i="97"/>
  <c r="D189" i="97"/>
  <c r="E188" i="97"/>
  <c r="D188" i="97"/>
  <c r="E187" i="97"/>
  <c r="D187" i="97"/>
  <c r="E186" i="97"/>
  <c r="D186" i="97"/>
  <c r="E185" i="97"/>
  <c r="D185" i="97"/>
  <c r="E184" i="97"/>
  <c r="D184" i="97"/>
  <c r="E183" i="97"/>
  <c r="D183" i="97"/>
  <c r="E182" i="97"/>
  <c r="D182" i="97"/>
  <c r="E181" i="97"/>
  <c r="D181" i="97"/>
  <c r="E180" i="97"/>
  <c r="D180" i="97"/>
  <c r="E179" i="97"/>
  <c r="D179" i="97"/>
  <c r="E178" i="97"/>
  <c r="D178" i="97"/>
  <c r="E177" i="97"/>
  <c r="D177" i="97"/>
  <c r="E176" i="97"/>
  <c r="D176" i="97"/>
  <c r="E175" i="97"/>
  <c r="D175" i="97"/>
  <c r="E174" i="97"/>
  <c r="D174" i="97"/>
  <c r="E173" i="97"/>
  <c r="D173" i="97"/>
  <c r="E172" i="97"/>
  <c r="D172" i="97"/>
  <c r="E171" i="97"/>
  <c r="D171" i="97"/>
  <c r="E168" i="97"/>
  <c r="D168" i="97"/>
  <c r="E167" i="97"/>
  <c r="D167" i="97"/>
  <c r="E166" i="97"/>
  <c r="D166" i="97"/>
  <c r="E165" i="97"/>
  <c r="D165" i="97"/>
  <c r="E164" i="97"/>
  <c r="D164" i="97"/>
  <c r="E163" i="97"/>
  <c r="D163" i="97"/>
  <c r="E162" i="97"/>
  <c r="D162" i="97"/>
  <c r="E160" i="97"/>
  <c r="D160" i="97"/>
  <c r="E159" i="97"/>
  <c r="D159" i="97"/>
  <c r="E158" i="97"/>
  <c r="D158" i="97"/>
  <c r="E157" i="97"/>
  <c r="D157" i="97"/>
  <c r="E156" i="97"/>
  <c r="D156" i="97"/>
  <c r="E155" i="97"/>
  <c r="D155" i="97"/>
  <c r="E154" i="97"/>
  <c r="D154" i="97"/>
  <c r="E153" i="97"/>
  <c r="D153" i="97"/>
  <c r="E152" i="97"/>
  <c r="D152" i="97"/>
  <c r="E150" i="97"/>
  <c r="D150" i="97"/>
  <c r="E149" i="97"/>
  <c r="D149" i="97"/>
  <c r="E148" i="97"/>
  <c r="D148" i="97"/>
  <c r="E147" i="97"/>
  <c r="D147" i="97"/>
  <c r="E145" i="97"/>
  <c r="D145" i="97"/>
  <c r="E144" i="97"/>
  <c r="D144" i="97"/>
  <c r="E143" i="97"/>
  <c r="D143" i="97"/>
  <c r="E142" i="97"/>
  <c r="D142" i="97"/>
  <c r="E140" i="97"/>
  <c r="D140" i="97"/>
  <c r="E139" i="97"/>
  <c r="D139" i="97"/>
  <c r="E138" i="97"/>
  <c r="D138" i="97"/>
  <c r="E137" i="97"/>
  <c r="D137" i="97"/>
  <c r="E136" i="97"/>
  <c r="D136" i="97"/>
  <c r="E134" i="97"/>
  <c r="D134" i="97"/>
  <c r="E133" i="97"/>
  <c r="D133" i="97"/>
  <c r="E132" i="97"/>
  <c r="D132" i="97"/>
  <c r="E131" i="97"/>
  <c r="D131" i="97"/>
  <c r="E130" i="97"/>
  <c r="D130" i="97"/>
  <c r="E126" i="97"/>
  <c r="D126" i="97"/>
  <c r="E125" i="97"/>
  <c r="D125" i="97"/>
  <c r="E124" i="97"/>
  <c r="D124" i="97"/>
  <c r="E123" i="97"/>
  <c r="D123" i="97"/>
  <c r="E122" i="97"/>
  <c r="D122" i="97"/>
  <c r="E121" i="97"/>
  <c r="D121" i="97"/>
  <c r="E118" i="97"/>
  <c r="D118" i="97"/>
  <c r="E117" i="97"/>
  <c r="D117" i="97"/>
  <c r="E116" i="97"/>
  <c r="D116" i="97"/>
  <c r="E115" i="97"/>
  <c r="D115" i="97"/>
  <c r="E114" i="97"/>
  <c r="D114" i="97"/>
  <c r="E113" i="97"/>
  <c r="D113" i="97"/>
  <c r="E112" i="97"/>
  <c r="D112" i="97"/>
  <c r="E109" i="97"/>
  <c r="D109" i="97"/>
  <c r="E108" i="97"/>
  <c r="D108" i="97"/>
  <c r="E107" i="97"/>
  <c r="D107" i="97"/>
  <c r="E106" i="97"/>
  <c r="D106" i="97"/>
  <c r="E105" i="97"/>
  <c r="D105" i="97"/>
  <c r="E104" i="97"/>
  <c r="D104" i="97"/>
  <c r="E103" i="97"/>
  <c r="D103" i="97"/>
  <c r="E100" i="97"/>
  <c r="D100" i="97"/>
  <c r="E99" i="97"/>
  <c r="D99" i="97"/>
  <c r="E98" i="97"/>
  <c r="D98" i="97"/>
  <c r="E97" i="97"/>
  <c r="D97" i="97"/>
  <c r="E96" i="97"/>
  <c r="D96" i="97"/>
  <c r="E95" i="97"/>
  <c r="D95" i="97"/>
  <c r="E94" i="97"/>
  <c r="D94" i="97"/>
  <c r="E93" i="97"/>
  <c r="D93" i="97"/>
  <c r="E92" i="97"/>
  <c r="D92" i="97"/>
  <c r="E91" i="97"/>
  <c r="D91" i="97"/>
  <c r="E90" i="97"/>
  <c r="D90" i="97"/>
  <c r="E89" i="97"/>
  <c r="D89" i="97"/>
  <c r="E86" i="97"/>
  <c r="D86" i="97"/>
  <c r="E85" i="97"/>
  <c r="D85" i="97"/>
  <c r="E84" i="97"/>
  <c r="D84" i="97"/>
  <c r="E83" i="97"/>
  <c r="D83" i="97"/>
  <c r="E82" i="97"/>
  <c r="D82" i="97"/>
  <c r="E81" i="97"/>
  <c r="D81" i="97"/>
  <c r="E80" i="97"/>
  <c r="D80" i="97"/>
  <c r="E79" i="97"/>
  <c r="D79" i="97"/>
  <c r="E78" i="97"/>
  <c r="D78" i="97"/>
  <c r="E77" i="97"/>
  <c r="D77" i="97"/>
  <c r="E76" i="97"/>
  <c r="D76" i="97"/>
  <c r="E75" i="97"/>
  <c r="D75" i="97"/>
  <c r="E74" i="97"/>
  <c r="D74" i="97"/>
  <c r="E73" i="97"/>
  <c r="D73" i="97"/>
  <c r="E72" i="97"/>
  <c r="D72" i="97"/>
  <c r="E71" i="97"/>
  <c r="D71" i="97"/>
  <c r="E68" i="97"/>
  <c r="D68" i="97"/>
  <c r="E67" i="97"/>
  <c r="D67" i="97"/>
  <c r="E66" i="97"/>
  <c r="D66" i="97"/>
  <c r="E65" i="97"/>
  <c r="D65" i="97"/>
  <c r="E64" i="97"/>
  <c r="D64" i="97"/>
  <c r="E63" i="97"/>
  <c r="D63" i="97"/>
  <c r="E62" i="97"/>
  <c r="D62" i="97"/>
  <c r="E61" i="97"/>
  <c r="D61" i="97"/>
  <c r="E60" i="97"/>
  <c r="D60" i="97"/>
  <c r="E59" i="97"/>
  <c r="D59" i="97"/>
  <c r="E58" i="97"/>
  <c r="D58" i="97"/>
  <c r="E57" i="97"/>
  <c r="D57" i="97"/>
  <c r="E56" i="97"/>
  <c r="D56" i="97"/>
  <c r="E55" i="97"/>
  <c r="D55" i="97"/>
  <c r="E54" i="97"/>
  <c r="D54" i="97"/>
  <c r="E53" i="97"/>
  <c r="D53" i="97"/>
  <c r="E52" i="97"/>
  <c r="D52" i="97"/>
  <c r="E51" i="97"/>
  <c r="D51" i="97"/>
  <c r="E50" i="97"/>
  <c r="D50" i="97"/>
  <c r="E49" i="97"/>
  <c r="D49" i="97"/>
  <c r="E48" i="97"/>
  <c r="D48" i="97"/>
  <c r="E47" i="97"/>
  <c r="D47" i="97"/>
  <c r="E46" i="97"/>
  <c r="D46" i="97"/>
  <c r="E45" i="97"/>
  <c r="D45" i="97"/>
  <c r="E44" i="97"/>
  <c r="D44" i="97"/>
  <c r="E43" i="97"/>
  <c r="D43" i="97"/>
  <c r="E42" i="97"/>
  <c r="D42" i="97"/>
  <c r="E41" i="97"/>
  <c r="D41" i="97"/>
  <c r="E40" i="97"/>
  <c r="D40" i="97"/>
  <c r="E39" i="97"/>
  <c r="D39" i="97"/>
  <c r="E38" i="97"/>
  <c r="D38" i="97"/>
  <c r="E37" i="97"/>
  <c r="D37" i="97"/>
  <c r="E36" i="97"/>
  <c r="D36" i="97"/>
  <c r="E35" i="97"/>
  <c r="D35" i="97"/>
  <c r="E34" i="97"/>
  <c r="D34" i="97"/>
  <c r="E33" i="97"/>
  <c r="D33" i="97"/>
  <c r="E32" i="97"/>
  <c r="D32" i="97"/>
  <c r="E28" i="97"/>
  <c r="D28" i="97"/>
  <c r="E27" i="97"/>
  <c r="D27" i="97"/>
  <c r="E26" i="97"/>
  <c r="D26" i="97"/>
  <c r="E25" i="97"/>
  <c r="D25" i="97"/>
  <c r="E24" i="97"/>
  <c r="D24" i="97"/>
  <c r="E23" i="97"/>
  <c r="D23" i="97"/>
  <c r="E22" i="97"/>
  <c r="D22" i="97"/>
  <c r="E21" i="97"/>
  <c r="D21" i="97"/>
  <c r="E20" i="97"/>
  <c r="D20" i="97"/>
  <c r="E19" i="97"/>
  <c r="D19" i="97"/>
  <c r="E18" i="97"/>
  <c r="D18" i="97"/>
  <c r="E17" i="97"/>
  <c r="D17" i="97"/>
  <c r="E16" i="97"/>
  <c r="D16" i="97"/>
  <c r="E15" i="97"/>
  <c r="D15" i="97"/>
  <c r="E14" i="97"/>
  <c r="D14" i="97"/>
  <c r="E235" i="97"/>
  <c r="D235" i="97"/>
  <c r="E234" i="97"/>
  <c r="D234" i="97"/>
  <c r="E233" i="97"/>
  <c r="D233" i="97"/>
  <c r="E232" i="97"/>
  <c r="D232" i="97"/>
  <c r="E231" i="97"/>
  <c r="D231" i="97"/>
  <c r="E230" i="97"/>
  <c r="D230" i="97"/>
  <c r="E229" i="97"/>
  <c r="D229" i="97"/>
  <c r="E228" i="97"/>
  <c r="D228" i="97"/>
  <c r="E227" i="97"/>
  <c r="D227" i="97"/>
  <c r="E226" i="97"/>
  <c r="D226" i="97"/>
  <c r="E222" i="97"/>
  <c r="D222" i="97"/>
  <c r="C28" i="97"/>
  <c r="H166" i="106"/>
  <c r="G166" i="106"/>
  <c r="I240" i="97"/>
  <c r="F240" i="97" l="1"/>
  <c r="F210" i="118" l="1"/>
  <c r="I210" i="118" s="1"/>
  <c r="F209" i="118"/>
  <c r="I209" i="118" s="1"/>
  <c r="F208" i="118"/>
  <c r="I208" i="118" s="1"/>
  <c r="F207" i="118"/>
  <c r="I207" i="118" s="1"/>
  <c r="F206" i="118"/>
  <c r="I206" i="118" s="1"/>
  <c r="F205" i="118"/>
  <c r="I205" i="118" s="1"/>
  <c r="F210" i="60"/>
  <c r="I210" i="60" s="1"/>
  <c r="F209" i="60"/>
  <c r="I209" i="60" s="1"/>
  <c r="F208" i="60"/>
  <c r="I208" i="60" s="1"/>
  <c r="F207" i="60"/>
  <c r="I207" i="60" s="1"/>
  <c r="F206" i="60"/>
  <c r="I206" i="60" s="1"/>
  <c r="F205" i="60"/>
  <c r="I205" i="60" s="1"/>
  <c r="F210" i="106"/>
  <c r="I210" i="106" s="1"/>
  <c r="F209" i="106"/>
  <c r="I209" i="106" s="1"/>
  <c r="F208" i="106"/>
  <c r="I208" i="106" s="1"/>
  <c r="F207" i="106"/>
  <c r="I207" i="106" s="1"/>
  <c r="F206" i="106"/>
  <c r="I206" i="106" s="1"/>
  <c r="F205" i="106"/>
  <c r="I205" i="106" s="1"/>
  <c r="F210" i="104"/>
  <c r="I210" i="104" s="1"/>
  <c r="F209" i="104"/>
  <c r="I209" i="104" s="1"/>
  <c r="F208" i="104"/>
  <c r="I208" i="104" s="1"/>
  <c r="F207" i="104"/>
  <c r="I207" i="104" s="1"/>
  <c r="F206" i="104"/>
  <c r="I206" i="104" s="1"/>
  <c r="F205" i="104"/>
  <c r="I205" i="104" s="1"/>
  <c r="F210" i="54"/>
  <c r="I210" i="54" s="1"/>
  <c r="F209" i="54"/>
  <c r="I209" i="54" s="1"/>
  <c r="F208" i="54"/>
  <c r="I208" i="54" s="1"/>
  <c r="F207" i="54"/>
  <c r="I207" i="54" s="1"/>
  <c r="F206" i="54"/>
  <c r="I206" i="54" s="1"/>
  <c r="F205" i="54"/>
  <c r="I205" i="54" s="1"/>
  <c r="F210" i="181"/>
  <c r="I210" i="181" s="1"/>
  <c r="F209" i="181"/>
  <c r="I209" i="181" s="1"/>
  <c r="F208" i="181"/>
  <c r="I208" i="181" s="1"/>
  <c r="F207" i="181"/>
  <c r="I207" i="181" s="1"/>
  <c r="F206" i="181"/>
  <c r="I206" i="181" s="1"/>
  <c r="F205" i="181"/>
  <c r="I205" i="181" s="1"/>
  <c r="F210" i="94"/>
  <c r="I210" i="94" s="1"/>
  <c r="F209" i="94"/>
  <c r="I209" i="94" s="1"/>
  <c r="F208" i="94"/>
  <c r="I208" i="94" s="1"/>
  <c r="F207" i="94"/>
  <c r="I207" i="94" s="1"/>
  <c r="F206" i="94"/>
  <c r="I206" i="94" s="1"/>
  <c r="F205" i="94"/>
  <c r="I205" i="94" s="1"/>
  <c r="F210" i="145"/>
  <c r="I210" i="145" s="1"/>
  <c r="F209" i="145"/>
  <c r="I209" i="145" s="1"/>
  <c r="F208" i="145"/>
  <c r="I208" i="145" s="1"/>
  <c r="F207" i="145"/>
  <c r="I207" i="145" s="1"/>
  <c r="F206" i="145"/>
  <c r="I206" i="145" s="1"/>
  <c r="F205" i="145"/>
  <c r="I205" i="145" s="1"/>
  <c r="F210" i="33"/>
  <c r="I210" i="33" s="1"/>
  <c r="F209" i="33"/>
  <c r="I209" i="33" s="1"/>
  <c r="F208" i="33"/>
  <c r="I208" i="33" s="1"/>
  <c r="F207" i="33"/>
  <c r="I207" i="33" s="1"/>
  <c r="F206" i="33"/>
  <c r="I206" i="33" s="1"/>
  <c r="F205" i="33"/>
  <c r="I205" i="33" s="1"/>
  <c r="F210" i="177"/>
  <c r="I210" i="177" s="1"/>
  <c r="F209" i="177"/>
  <c r="I209" i="177" s="1"/>
  <c r="F208" i="177"/>
  <c r="I208" i="177" s="1"/>
  <c r="F207" i="177"/>
  <c r="I207" i="177" s="1"/>
  <c r="F206" i="177"/>
  <c r="I206" i="177" s="1"/>
  <c r="F205" i="177"/>
  <c r="I205" i="177" s="1"/>
  <c r="F210" i="164"/>
  <c r="I210" i="164" s="1"/>
  <c r="F209" i="164"/>
  <c r="I209" i="164" s="1"/>
  <c r="F208" i="164"/>
  <c r="I208" i="164" s="1"/>
  <c r="F207" i="164"/>
  <c r="I207" i="164" s="1"/>
  <c r="F206" i="164"/>
  <c r="I206" i="164" s="1"/>
  <c r="F205" i="164"/>
  <c r="I205" i="164" s="1"/>
  <c r="F210" i="19"/>
  <c r="I210" i="19" s="1"/>
  <c r="F209" i="19"/>
  <c r="I209" i="19" s="1"/>
  <c r="F208" i="19"/>
  <c r="I208" i="19" s="1"/>
  <c r="F207" i="19"/>
  <c r="I207" i="19" s="1"/>
  <c r="F206" i="19"/>
  <c r="I206" i="19" s="1"/>
  <c r="F205" i="19"/>
  <c r="I205" i="19" s="1"/>
  <c r="F210" i="15"/>
  <c r="I210" i="15" s="1"/>
  <c r="F209" i="15"/>
  <c r="I209" i="15" s="1"/>
  <c r="F208" i="15"/>
  <c r="I208" i="15" s="1"/>
  <c r="F207" i="15"/>
  <c r="I207" i="15" s="1"/>
  <c r="F206" i="15"/>
  <c r="I206" i="15" s="1"/>
  <c r="F205" i="15"/>
  <c r="I205" i="15" s="1"/>
  <c r="F210" i="178"/>
  <c r="I210" i="178" s="1"/>
  <c r="F209" i="178"/>
  <c r="I209" i="178" s="1"/>
  <c r="F208" i="178"/>
  <c r="I208" i="178" s="1"/>
  <c r="F207" i="178"/>
  <c r="I207" i="178" s="1"/>
  <c r="F206" i="178"/>
  <c r="I206" i="178" s="1"/>
  <c r="F205" i="178"/>
  <c r="I205" i="178" s="1"/>
  <c r="F210" i="150"/>
  <c r="I210" i="150" s="1"/>
  <c r="F209" i="150"/>
  <c r="I209" i="150" s="1"/>
  <c r="F208" i="150"/>
  <c r="I208" i="150" s="1"/>
  <c r="F207" i="150"/>
  <c r="I207" i="150" s="1"/>
  <c r="F206" i="150"/>
  <c r="I206" i="150" s="1"/>
  <c r="F205" i="150"/>
  <c r="I205" i="150" s="1"/>
  <c r="F210" i="68"/>
  <c r="I210" i="68" s="1"/>
  <c r="F209" i="68"/>
  <c r="I209" i="68" s="1"/>
  <c r="F208" i="68"/>
  <c r="I208" i="68" s="1"/>
  <c r="F207" i="68"/>
  <c r="I207" i="68" s="1"/>
  <c r="F206" i="68"/>
  <c r="I206" i="68" s="1"/>
  <c r="F205" i="68"/>
  <c r="I205" i="68" s="1"/>
  <c r="F210" i="66"/>
  <c r="I210" i="66" s="1"/>
  <c r="F209" i="66"/>
  <c r="I209" i="66" s="1"/>
  <c r="F208" i="66"/>
  <c r="I208" i="66" s="1"/>
  <c r="F207" i="66"/>
  <c r="I207" i="66" s="1"/>
  <c r="F206" i="66"/>
  <c r="I206" i="66" s="1"/>
  <c r="F205" i="66"/>
  <c r="I205" i="66" s="1"/>
  <c r="F210" i="63"/>
  <c r="I210" i="63" s="1"/>
  <c r="F209" i="63"/>
  <c r="I209" i="63" s="1"/>
  <c r="F208" i="63"/>
  <c r="I208" i="63" s="1"/>
  <c r="F207" i="63"/>
  <c r="I207" i="63" s="1"/>
  <c r="F206" i="63"/>
  <c r="I206" i="63" s="1"/>
  <c r="F205" i="63"/>
  <c r="I205" i="63" s="1"/>
  <c r="F210" i="62"/>
  <c r="I210" i="62" s="1"/>
  <c r="F209" i="62"/>
  <c r="I209" i="62" s="1"/>
  <c r="F208" i="62"/>
  <c r="I208" i="62" s="1"/>
  <c r="F207" i="62"/>
  <c r="I207" i="62" s="1"/>
  <c r="F206" i="62"/>
  <c r="I206" i="62" s="1"/>
  <c r="F205" i="62"/>
  <c r="I205" i="62" s="1"/>
  <c r="F210" i="58"/>
  <c r="I210" i="58" s="1"/>
  <c r="F209" i="58"/>
  <c r="I209" i="58" s="1"/>
  <c r="F208" i="58"/>
  <c r="I208" i="58" s="1"/>
  <c r="F207" i="58"/>
  <c r="I207" i="58" s="1"/>
  <c r="F206" i="58"/>
  <c r="I206" i="58" s="1"/>
  <c r="F205" i="58"/>
  <c r="I205" i="58" s="1"/>
  <c r="F210" i="136"/>
  <c r="I210" i="136" s="1"/>
  <c r="F209" i="136"/>
  <c r="I209" i="136" s="1"/>
  <c r="F208" i="136"/>
  <c r="I208" i="136" s="1"/>
  <c r="F207" i="136"/>
  <c r="I207" i="136" s="1"/>
  <c r="F206" i="136"/>
  <c r="I206" i="136" s="1"/>
  <c r="F205" i="136"/>
  <c r="I205" i="136" s="1"/>
  <c r="F210" i="141"/>
  <c r="I210" i="141" s="1"/>
  <c r="F209" i="141"/>
  <c r="I209" i="141" s="1"/>
  <c r="F208" i="141"/>
  <c r="I208" i="141" s="1"/>
  <c r="F207" i="141"/>
  <c r="I207" i="141" s="1"/>
  <c r="F206" i="141"/>
  <c r="I206" i="141" s="1"/>
  <c r="F205" i="141"/>
  <c r="I205" i="141" s="1"/>
  <c r="F210" i="174"/>
  <c r="I210" i="174" s="1"/>
  <c r="F209" i="174"/>
  <c r="I209" i="174" s="1"/>
  <c r="F208" i="174"/>
  <c r="I208" i="174" s="1"/>
  <c r="F207" i="174"/>
  <c r="I207" i="174" s="1"/>
  <c r="F206" i="174"/>
  <c r="I206" i="174" s="1"/>
  <c r="F205" i="174"/>
  <c r="I205" i="174" s="1"/>
  <c r="F210" i="53"/>
  <c r="I210" i="53" s="1"/>
  <c r="F209" i="53"/>
  <c r="I209" i="53" s="1"/>
  <c r="F208" i="53"/>
  <c r="I208" i="53" s="1"/>
  <c r="F207" i="53"/>
  <c r="I207" i="53" s="1"/>
  <c r="F206" i="53"/>
  <c r="I206" i="53" s="1"/>
  <c r="F205" i="53"/>
  <c r="I205" i="53" s="1"/>
  <c r="F210" i="98"/>
  <c r="I210" i="98" s="1"/>
  <c r="F209" i="98"/>
  <c r="I209" i="98" s="1"/>
  <c r="F208" i="98"/>
  <c r="I208" i="98" s="1"/>
  <c r="F207" i="98"/>
  <c r="I207" i="98" s="1"/>
  <c r="F206" i="98"/>
  <c r="I206" i="98" s="1"/>
  <c r="F205" i="98"/>
  <c r="I205" i="98" s="1"/>
  <c r="F210" i="49"/>
  <c r="I210" i="49" s="1"/>
  <c r="F209" i="49"/>
  <c r="I209" i="49" s="1"/>
  <c r="F208" i="49"/>
  <c r="I208" i="49" s="1"/>
  <c r="F207" i="49"/>
  <c r="I207" i="49" s="1"/>
  <c r="F206" i="49"/>
  <c r="I206" i="49" s="1"/>
  <c r="F205" i="49"/>
  <c r="I205" i="49" s="1"/>
  <c r="F210" i="83"/>
  <c r="F209" i="83"/>
  <c r="F208" i="83"/>
  <c r="F207" i="83"/>
  <c r="F206" i="83"/>
  <c r="F205" i="83"/>
  <c r="F210" i="46"/>
  <c r="I210" i="46" s="1"/>
  <c r="F209" i="46"/>
  <c r="I209" i="46" s="1"/>
  <c r="F208" i="46"/>
  <c r="I208" i="46" s="1"/>
  <c r="F207" i="46"/>
  <c r="I207" i="46" s="1"/>
  <c r="F206" i="46"/>
  <c r="I206" i="46" s="1"/>
  <c r="F205" i="46"/>
  <c r="I205" i="46" s="1"/>
  <c r="F210" i="102"/>
  <c r="I210" i="102" s="1"/>
  <c r="F209" i="102"/>
  <c r="I209" i="102" s="1"/>
  <c r="F208" i="102"/>
  <c r="I208" i="102" s="1"/>
  <c r="F207" i="102"/>
  <c r="I207" i="102" s="1"/>
  <c r="F206" i="102"/>
  <c r="I206" i="102" s="1"/>
  <c r="F205" i="102"/>
  <c r="I205" i="102" s="1"/>
  <c r="F210" i="43"/>
  <c r="I210" i="43" s="1"/>
  <c r="F209" i="43"/>
  <c r="I209" i="43" s="1"/>
  <c r="F208" i="43"/>
  <c r="I208" i="43" s="1"/>
  <c r="F207" i="43"/>
  <c r="I207" i="43" s="1"/>
  <c r="F206" i="43"/>
  <c r="I206" i="43" s="1"/>
  <c r="F205" i="43"/>
  <c r="I205" i="43" s="1"/>
  <c r="F210" i="175"/>
  <c r="I210" i="175" s="1"/>
  <c r="F209" i="175"/>
  <c r="I209" i="175" s="1"/>
  <c r="F208" i="175"/>
  <c r="I208" i="175" s="1"/>
  <c r="F207" i="175"/>
  <c r="I207" i="175" s="1"/>
  <c r="F206" i="175"/>
  <c r="I206" i="175" s="1"/>
  <c r="F205" i="175"/>
  <c r="I205" i="175" s="1"/>
  <c r="F210" i="57"/>
  <c r="I210" i="57" s="1"/>
  <c r="F209" i="57"/>
  <c r="I209" i="57" s="1"/>
  <c r="F208" i="57"/>
  <c r="I208" i="57" s="1"/>
  <c r="F207" i="57"/>
  <c r="I207" i="57" s="1"/>
  <c r="F206" i="57"/>
  <c r="I206" i="57" s="1"/>
  <c r="F205" i="57"/>
  <c r="I205" i="57" s="1"/>
  <c r="F210" i="84"/>
  <c r="I210" i="84" s="1"/>
  <c r="F209" i="84"/>
  <c r="I209" i="84" s="1"/>
  <c r="F208" i="84"/>
  <c r="I208" i="84" s="1"/>
  <c r="F207" i="84"/>
  <c r="I207" i="84" s="1"/>
  <c r="F206" i="84"/>
  <c r="I206" i="84" s="1"/>
  <c r="F205" i="84"/>
  <c r="I205" i="84" s="1"/>
  <c r="F210" i="167"/>
  <c r="I210" i="167" s="1"/>
  <c r="F209" i="167"/>
  <c r="I209" i="167" s="1"/>
  <c r="F208" i="167"/>
  <c r="I208" i="167" s="1"/>
  <c r="F207" i="167"/>
  <c r="I207" i="167" s="1"/>
  <c r="F206" i="167"/>
  <c r="I206" i="167" s="1"/>
  <c r="F205" i="167"/>
  <c r="I205" i="167" s="1"/>
  <c r="F210" i="39"/>
  <c r="I210" i="39" s="1"/>
  <c r="F209" i="39"/>
  <c r="I209" i="39" s="1"/>
  <c r="F208" i="39"/>
  <c r="I208" i="39" s="1"/>
  <c r="F207" i="39"/>
  <c r="I207" i="39" s="1"/>
  <c r="F206" i="39"/>
  <c r="I206" i="39" s="1"/>
  <c r="F205" i="39"/>
  <c r="I205" i="39" s="1"/>
  <c r="F210" i="135"/>
  <c r="I210" i="135" s="1"/>
  <c r="F209" i="135"/>
  <c r="I209" i="135" s="1"/>
  <c r="F208" i="135"/>
  <c r="I208" i="135" s="1"/>
  <c r="F207" i="135"/>
  <c r="I207" i="135" s="1"/>
  <c r="F206" i="135"/>
  <c r="I206" i="135" s="1"/>
  <c r="F205" i="135"/>
  <c r="I205" i="135" s="1"/>
  <c r="F210" i="38"/>
  <c r="I210" i="38" s="1"/>
  <c r="F209" i="38"/>
  <c r="I209" i="38" s="1"/>
  <c r="F208" i="38"/>
  <c r="I208" i="38" s="1"/>
  <c r="F207" i="38"/>
  <c r="I207" i="38" s="1"/>
  <c r="F206" i="38"/>
  <c r="I206" i="38" s="1"/>
  <c r="F205" i="38"/>
  <c r="I205" i="38" s="1"/>
  <c r="F210" i="103"/>
  <c r="I210" i="103" s="1"/>
  <c r="F209" i="103"/>
  <c r="I209" i="103" s="1"/>
  <c r="F208" i="103"/>
  <c r="I208" i="103" s="1"/>
  <c r="F207" i="103"/>
  <c r="I207" i="103" s="1"/>
  <c r="F206" i="103"/>
  <c r="I206" i="103" s="1"/>
  <c r="F205" i="103"/>
  <c r="I205" i="103" s="1"/>
  <c r="F210" i="133"/>
  <c r="I210" i="133" s="1"/>
  <c r="F209" i="133"/>
  <c r="I209" i="133" s="1"/>
  <c r="F208" i="133"/>
  <c r="I208" i="133" s="1"/>
  <c r="F207" i="133"/>
  <c r="I207" i="133" s="1"/>
  <c r="F206" i="133"/>
  <c r="I206" i="133" s="1"/>
  <c r="F205" i="133"/>
  <c r="I205" i="133" s="1"/>
  <c r="F210" i="152"/>
  <c r="I210" i="152" s="1"/>
  <c r="F209" i="152"/>
  <c r="I209" i="152" s="1"/>
  <c r="F208" i="152"/>
  <c r="I208" i="152" s="1"/>
  <c r="F207" i="152"/>
  <c r="I207" i="152" s="1"/>
  <c r="F206" i="152"/>
  <c r="I206" i="152" s="1"/>
  <c r="F205" i="152"/>
  <c r="I205" i="152" s="1"/>
  <c r="F210" i="47"/>
  <c r="I210" i="47" s="1"/>
  <c r="F209" i="47"/>
  <c r="I209" i="47" s="1"/>
  <c r="F208" i="47"/>
  <c r="I208" i="47" s="1"/>
  <c r="F207" i="47"/>
  <c r="I207" i="47" s="1"/>
  <c r="F206" i="47"/>
  <c r="I206" i="47" s="1"/>
  <c r="F205" i="47"/>
  <c r="I205" i="47" s="1"/>
  <c r="F210" i="120"/>
  <c r="I210" i="120" s="1"/>
  <c r="F209" i="120"/>
  <c r="I209" i="120" s="1"/>
  <c r="F208" i="120"/>
  <c r="I208" i="120" s="1"/>
  <c r="F207" i="120"/>
  <c r="I207" i="120" s="1"/>
  <c r="F206" i="120"/>
  <c r="I206" i="120" s="1"/>
  <c r="F205" i="120"/>
  <c r="I205" i="120" s="1"/>
  <c r="F210" i="37"/>
  <c r="I210" i="37" s="1"/>
  <c r="F209" i="37"/>
  <c r="I209" i="37" s="1"/>
  <c r="F208" i="37"/>
  <c r="I208" i="37" s="1"/>
  <c r="F207" i="37"/>
  <c r="I207" i="37" s="1"/>
  <c r="F206" i="37"/>
  <c r="I206" i="37" s="1"/>
  <c r="F205" i="37"/>
  <c r="I205" i="37" s="1"/>
  <c r="F210" i="90"/>
  <c r="I210" i="90" s="1"/>
  <c r="F209" i="90"/>
  <c r="I209" i="90" s="1"/>
  <c r="F208" i="90"/>
  <c r="I208" i="90" s="1"/>
  <c r="F207" i="90"/>
  <c r="I207" i="90" s="1"/>
  <c r="F206" i="90"/>
  <c r="I206" i="90" s="1"/>
  <c r="F205" i="90"/>
  <c r="I205" i="90" s="1"/>
  <c r="F210" i="24"/>
  <c r="I210" i="24" s="1"/>
  <c r="F209" i="24"/>
  <c r="I209" i="24" s="1"/>
  <c r="F208" i="24"/>
  <c r="I208" i="24" s="1"/>
  <c r="F207" i="24"/>
  <c r="I207" i="24" s="1"/>
  <c r="F206" i="24"/>
  <c r="I206" i="24" s="1"/>
  <c r="F205" i="24"/>
  <c r="I205" i="24" s="1"/>
  <c r="F210" i="32"/>
  <c r="I210" i="32" s="1"/>
  <c r="F209" i="32"/>
  <c r="I209" i="32" s="1"/>
  <c r="F208" i="32"/>
  <c r="I208" i="32" s="1"/>
  <c r="F207" i="32"/>
  <c r="I207" i="32" s="1"/>
  <c r="F206" i="32"/>
  <c r="I206" i="32" s="1"/>
  <c r="F205" i="32"/>
  <c r="I205" i="32" s="1"/>
  <c r="F210" i="79"/>
  <c r="I210" i="79" s="1"/>
  <c r="F209" i="79"/>
  <c r="I209" i="79" s="1"/>
  <c r="F208" i="79"/>
  <c r="I208" i="79" s="1"/>
  <c r="F207" i="79"/>
  <c r="I207" i="79" s="1"/>
  <c r="F206" i="79"/>
  <c r="I206" i="79" s="1"/>
  <c r="F205" i="79"/>
  <c r="I205" i="79" s="1"/>
  <c r="F210" i="31"/>
  <c r="I210" i="31" s="1"/>
  <c r="F209" i="31"/>
  <c r="I209" i="31" s="1"/>
  <c r="F208" i="31"/>
  <c r="I208" i="31" s="1"/>
  <c r="F207" i="31"/>
  <c r="I207" i="31" s="1"/>
  <c r="F206" i="31"/>
  <c r="I206" i="31" s="1"/>
  <c r="F205" i="31"/>
  <c r="I205" i="31" s="1"/>
  <c r="F210" i="64"/>
  <c r="I210" i="64" s="1"/>
  <c r="F209" i="64"/>
  <c r="I209" i="64" s="1"/>
  <c r="F208" i="64"/>
  <c r="I208" i="64" s="1"/>
  <c r="F207" i="64"/>
  <c r="I207" i="64" s="1"/>
  <c r="F206" i="64"/>
  <c r="I206" i="64" s="1"/>
  <c r="F205" i="64"/>
  <c r="I205" i="64" s="1"/>
  <c r="F210" i="113"/>
  <c r="I210" i="113" s="1"/>
  <c r="F209" i="113"/>
  <c r="I209" i="113" s="1"/>
  <c r="F208" i="113"/>
  <c r="I208" i="113" s="1"/>
  <c r="F207" i="113"/>
  <c r="I207" i="113" s="1"/>
  <c r="F206" i="113"/>
  <c r="I206" i="113" s="1"/>
  <c r="F205" i="113"/>
  <c r="I205" i="113" s="1"/>
  <c r="F210" i="72"/>
  <c r="I210" i="72" s="1"/>
  <c r="F209" i="72"/>
  <c r="I209" i="72" s="1"/>
  <c r="F208" i="72"/>
  <c r="I208" i="72" s="1"/>
  <c r="F207" i="72"/>
  <c r="I207" i="72" s="1"/>
  <c r="F206" i="72"/>
  <c r="I206" i="72" s="1"/>
  <c r="F205" i="72"/>
  <c r="I205" i="72" s="1"/>
  <c r="F210" i="28"/>
  <c r="I210" i="28" s="1"/>
  <c r="F209" i="28"/>
  <c r="I209" i="28" s="1"/>
  <c r="F208" i="28"/>
  <c r="I208" i="28" s="1"/>
  <c r="F207" i="28"/>
  <c r="I207" i="28" s="1"/>
  <c r="F206" i="28"/>
  <c r="I206" i="28" s="1"/>
  <c r="F205" i="28"/>
  <c r="I205" i="28" s="1"/>
  <c r="F210" i="65"/>
  <c r="I210" i="65" s="1"/>
  <c r="F209" i="65"/>
  <c r="I209" i="65" s="1"/>
  <c r="F208" i="65"/>
  <c r="I208" i="65" s="1"/>
  <c r="F207" i="65"/>
  <c r="I207" i="65" s="1"/>
  <c r="F206" i="65"/>
  <c r="I206" i="65" s="1"/>
  <c r="F205" i="65"/>
  <c r="I205" i="65" s="1"/>
  <c r="F210" i="119"/>
  <c r="I210" i="119" s="1"/>
  <c r="F209" i="119"/>
  <c r="I209" i="119" s="1"/>
  <c r="F208" i="119"/>
  <c r="I208" i="119" s="1"/>
  <c r="F207" i="119"/>
  <c r="I207" i="119" s="1"/>
  <c r="F206" i="119"/>
  <c r="I206" i="119" s="1"/>
  <c r="F205" i="119"/>
  <c r="I205" i="119" s="1"/>
  <c r="F210" i="25"/>
  <c r="I210" i="25" s="1"/>
  <c r="F209" i="25"/>
  <c r="I209" i="25" s="1"/>
  <c r="F208" i="25"/>
  <c r="I208" i="25" s="1"/>
  <c r="F207" i="25"/>
  <c r="I207" i="25" s="1"/>
  <c r="F206" i="25"/>
  <c r="I206" i="25" s="1"/>
  <c r="F205" i="25"/>
  <c r="I205" i="25" s="1"/>
  <c r="F210" i="155"/>
  <c r="I210" i="155" s="1"/>
  <c r="F209" i="155"/>
  <c r="I209" i="155" s="1"/>
  <c r="F208" i="155"/>
  <c r="I208" i="155" s="1"/>
  <c r="F207" i="155"/>
  <c r="I207" i="155" s="1"/>
  <c r="F206" i="155"/>
  <c r="I206" i="155" s="1"/>
  <c r="F205" i="155"/>
  <c r="I205" i="155" s="1"/>
  <c r="F210" i="156"/>
  <c r="I210" i="156" s="1"/>
  <c r="F209" i="156"/>
  <c r="I209" i="156" s="1"/>
  <c r="F208" i="156"/>
  <c r="I208" i="156" s="1"/>
  <c r="F207" i="156"/>
  <c r="I207" i="156" s="1"/>
  <c r="F206" i="156"/>
  <c r="I206" i="156" s="1"/>
  <c r="F205" i="156"/>
  <c r="I205" i="156" s="1"/>
  <c r="F210" i="20"/>
  <c r="I210" i="20" s="1"/>
  <c r="F209" i="20"/>
  <c r="I209" i="20" s="1"/>
  <c r="F208" i="20"/>
  <c r="I208" i="20" s="1"/>
  <c r="F207" i="20"/>
  <c r="I207" i="20" s="1"/>
  <c r="F206" i="20"/>
  <c r="I206" i="20" s="1"/>
  <c r="F205" i="20"/>
  <c r="I205" i="20" s="1"/>
  <c r="F210" i="42"/>
  <c r="I210" i="42" s="1"/>
  <c r="F209" i="42"/>
  <c r="I209" i="42" s="1"/>
  <c r="F208" i="42"/>
  <c r="I208" i="42" s="1"/>
  <c r="F207" i="42"/>
  <c r="I207" i="42" s="1"/>
  <c r="F206" i="42"/>
  <c r="I206" i="42" s="1"/>
  <c r="F205" i="42"/>
  <c r="I205" i="42" s="1"/>
  <c r="F210" i="157"/>
  <c r="I210" i="157" s="1"/>
  <c r="F209" i="157"/>
  <c r="I209" i="157" s="1"/>
  <c r="F208" i="157"/>
  <c r="I208" i="157" s="1"/>
  <c r="F207" i="157"/>
  <c r="I207" i="157" s="1"/>
  <c r="F206" i="157"/>
  <c r="I206" i="157" s="1"/>
  <c r="F205" i="157"/>
  <c r="I205" i="157" s="1"/>
  <c r="F210" i="159"/>
  <c r="I210" i="159" s="1"/>
  <c r="F209" i="159"/>
  <c r="I209" i="159" s="1"/>
  <c r="F208" i="159"/>
  <c r="I208" i="159" s="1"/>
  <c r="F207" i="159"/>
  <c r="I207" i="159" s="1"/>
  <c r="F206" i="159"/>
  <c r="I206" i="159" s="1"/>
  <c r="F205" i="159"/>
  <c r="I205" i="159" s="1"/>
  <c r="F210" i="158"/>
  <c r="I210" i="158" s="1"/>
  <c r="F209" i="158"/>
  <c r="I209" i="158" s="1"/>
  <c r="F208" i="158"/>
  <c r="I208" i="158" s="1"/>
  <c r="F207" i="158"/>
  <c r="I207" i="158" s="1"/>
  <c r="F206" i="158"/>
  <c r="I206" i="158" s="1"/>
  <c r="F205" i="158"/>
  <c r="I205" i="158" s="1"/>
  <c r="F210" i="16"/>
  <c r="I210" i="16" s="1"/>
  <c r="F209" i="16"/>
  <c r="I209" i="16" s="1"/>
  <c r="F208" i="16"/>
  <c r="I208" i="16" s="1"/>
  <c r="F207" i="16"/>
  <c r="I207" i="16" s="1"/>
  <c r="F206" i="16"/>
  <c r="I206" i="16" s="1"/>
  <c r="F205" i="16"/>
  <c r="I205" i="16" s="1"/>
  <c r="F210" i="27"/>
  <c r="I210" i="27" s="1"/>
  <c r="F209" i="27"/>
  <c r="I209" i="27" s="1"/>
  <c r="F208" i="27"/>
  <c r="I208" i="27" s="1"/>
  <c r="F207" i="27"/>
  <c r="I207" i="27" s="1"/>
  <c r="F206" i="27"/>
  <c r="I206" i="27" s="1"/>
  <c r="F205" i="27"/>
  <c r="I205" i="27" s="1"/>
  <c r="F210" i="111"/>
  <c r="I210" i="111" s="1"/>
  <c r="F209" i="111"/>
  <c r="I209" i="111" s="1"/>
  <c r="F208" i="111"/>
  <c r="I208" i="111" s="1"/>
  <c r="F207" i="111"/>
  <c r="I207" i="111" s="1"/>
  <c r="F206" i="111"/>
  <c r="I206" i="111" s="1"/>
  <c r="F205" i="111"/>
  <c r="I205" i="111" s="1"/>
  <c r="F210" i="71"/>
  <c r="I210" i="71" s="1"/>
  <c r="F209" i="71"/>
  <c r="I209" i="71" s="1"/>
  <c r="F208" i="71"/>
  <c r="I208" i="71" s="1"/>
  <c r="F207" i="71"/>
  <c r="I207" i="71" s="1"/>
  <c r="F206" i="71"/>
  <c r="I206" i="71" s="1"/>
  <c r="F205" i="71"/>
  <c r="I205" i="71" s="1"/>
  <c r="F210" i="165"/>
  <c r="I210" i="165" s="1"/>
  <c r="F209" i="165"/>
  <c r="I209" i="165" s="1"/>
  <c r="F208" i="165"/>
  <c r="I208" i="165" s="1"/>
  <c r="F207" i="165"/>
  <c r="I207" i="165" s="1"/>
  <c r="F206" i="165"/>
  <c r="I206" i="165" s="1"/>
  <c r="F205" i="165"/>
  <c r="I205" i="165" s="1"/>
  <c r="F210" i="55"/>
  <c r="I210" i="55" s="1"/>
  <c r="F209" i="55"/>
  <c r="I209" i="55" s="1"/>
  <c r="F208" i="55"/>
  <c r="I208" i="55" s="1"/>
  <c r="F207" i="55"/>
  <c r="I207" i="55" s="1"/>
  <c r="F206" i="55"/>
  <c r="I206" i="55" s="1"/>
  <c r="F205" i="55"/>
  <c r="I205" i="55" s="1"/>
  <c r="F210" i="21"/>
  <c r="I210" i="21" s="1"/>
  <c r="F209" i="21"/>
  <c r="I209" i="21" s="1"/>
  <c r="F208" i="21"/>
  <c r="I208" i="21" s="1"/>
  <c r="F207" i="21"/>
  <c r="I207" i="21" s="1"/>
  <c r="F206" i="21"/>
  <c r="I206" i="21" s="1"/>
  <c r="F205" i="21"/>
  <c r="I205" i="21" s="1"/>
  <c r="F210" i="14"/>
  <c r="I210" i="14" s="1"/>
  <c r="F209" i="14"/>
  <c r="I209" i="14" s="1"/>
  <c r="F208" i="14"/>
  <c r="I208" i="14" s="1"/>
  <c r="F207" i="14"/>
  <c r="I207" i="14" s="1"/>
  <c r="F206" i="14"/>
  <c r="I206" i="14" s="1"/>
  <c r="F205" i="14"/>
  <c r="I205" i="14" s="1"/>
  <c r="I210" i="85"/>
  <c r="I209" i="85"/>
  <c r="I208" i="85"/>
  <c r="I207" i="85"/>
  <c r="I206" i="85"/>
  <c r="I205" i="85"/>
  <c r="F210" i="87"/>
  <c r="I210" i="87" s="1"/>
  <c r="F209" i="87"/>
  <c r="I209" i="87" s="1"/>
  <c r="F208" i="87"/>
  <c r="I208" i="87" s="1"/>
  <c r="F207" i="87"/>
  <c r="I207" i="87" s="1"/>
  <c r="F206" i="87"/>
  <c r="I206" i="87" s="1"/>
  <c r="F205" i="87"/>
  <c r="I205" i="87" s="1"/>
  <c r="F210" i="86"/>
  <c r="I210" i="86" s="1"/>
  <c r="F209" i="86"/>
  <c r="I209" i="86" s="1"/>
  <c r="F208" i="86"/>
  <c r="I208" i="86" s="1"/>
  <c r="F207" i="86"/>
  <c r="I207" i="86" s="1"/>
  <c r="F206" i="86"/>
  <c r="I206" i="86" s="1"/>
  <c r="F205" i="86"/>
  <c r="I205" i="86" s="1"/>
  <c r="F210" i="89"/>
  <c r="I210" i="89" s="1"/>
  <c r="F209" i="89"/>
  <c r="I209" i="89" s="1"/>
  <c r="F208" i="89"/>
  <c r="I208" i="89" s="1"/>
  <c r="F207" i="89"/>
  <c r="I207" i="89" s="1"/>
  <c r="F206" i="89"/>
  <c r="I206" i="89" s="1"/>
  <c r="F205" i="89"/>
  <c r="I205" i="89" s="1"/>
  <c r="F210" i="142"/>
  <c r="I210" i="142" s="1"/>
  <c r="F209" i="142"/>
  <c r="I209" i="142" s="1"/>
  <c r="F208" i="142"/>
  <c r="I208" i="142" s="1"/>
  <c r="F207" i="142"/>
  <c r="I207" i="142" s="1"/>
  <c r="F206" i="142"/>
  <c r="I206" i="142" s="1"/>
  <c r="F205" i="142"/>
  <c r="I205" i="142" s="1"/>
  <c r="F210" i="92"/>
  <c r="I210" i="92" s="1"/>
  <c r="F209" i="92"/>
  <c r="I209" i="92" s="1"/>
  <c r="F208" i="92"/>
  <c r="I208" i="92" s="1"/>
  <c r="F207" i="92"/>
  <c r="I207" i="92" s="1"/>
  <c r="F206" i="92"/>
  <c r="I206" i="92" s="1"/>
  <c r="F205" i="92"/>
  <c r="I205" i="92" s="1"/>
  <c r="F210" i="1"/>
  <c r="I210" i="1" s="1"/>
  <c r="F209" i="1"/>
  <c r="I209" i="1" s="1"/>
  <c r="F208" i="1"/>
  <c r="I208" i="1" s="1"/>
  <c r="F207" i="1"/>
  <c r="I207" i="1" s="1"/>
  <c r="F206" i="1"/>
  <c r="I206" i="1" s="1"/>
  <c r="F205" i="1"/>
  <c r="I205" i="1" s="1"/>
  <c r="F210" i="50"/>
  <c r="I210" i="50" s="1"/>
  <c r="F209" i="50"/>
  <c r="I209" i="50" s="1"/>
  <c r="F208" i="50"/>
  <c r="I208" i="50" s="1"/>
  <c r="F207" i="50"/>
  <c r="I207" i="50" s="1"/>
  <c r="F206" i="50"/>
  <c r="I206" i="50" s="1"/>
  <c r="F205" i="50"/>
  <c r="I205" i="50" s="1"/>
  <c r="F210" i="95"/>
  <c r="I210" i="95" s="1"/>
  <c r="F209" i="95"/>
  <c r="I209" i="95" s="1"/>
  <c r="F208" i="95"/>
  <c r="I208" i="95" s="1"/>
  <c r="F207" i="95"/>
  <c r="I207" i="95" s="1"/>
  <c r="F206" i="95"/>
  <c r="I206" i="95" s="1"/>
  <c r="F205" i="95"/>
  <c r="I205" i="95" s="1"/>
  <c r="F210" i="180"/>
  <c r="I210" i="180" s="1"/>
  <c r="F209" i="180"/>
  <c r="I209" i="180" s="1"/>
  <c r="F208" i="180"/>
  <c r="I208" i="180" s="1"/>
  <c r="F207" i="180"/>
  <c r="I207" i="180" s="1"/>
  <c r="F206" i="180"/>
  <c r="I206" i="180" s="1"/>
  <c r="F205" i="180"/>
  <c r="I205" i="180" s="1"/>
  <c r="F201" i="118"/>
  <c r="I201" i="118" s="1"/>
  <c r="F200" i="118"/>
  <c r="I200" i="118" s="1"/>
  <c r="F199" i="118"/>
  <c r="I199" i="118" s="1"/>
  <c r="F198" i="118"/>
  <c r="I198" i="118" s="1"/>
  <c r="F197" i="118"/>
  <c r="I197" i="118" s="1"/>
  <c r="F196" i="118"/>
  <c r="I196" i="118" s="1"/>
  <c r="F195" i="118"/>
  <c r="I195" i="118" s="1"/>
  <c r="F194" i="118"/>
  <c r="I194" i="118" s="1"/>
  <c r="F193" i="118"/>
  <c r="I193" i="118" s="1"/>
  <c r="F192" i="118"/>
  <c r="I192" i="118" s="1"/>
  <c r="F191" i="118"/>
  <c r="I191" i="118" s="1"/>
  <c r="F190" i="118"/>
  <c r="I190" i="118" s="1"/>
  <c r="F189" i="118"/>
  <c r="I189" i="118" s="1"/>
  <c r="F188" i="118"/>
  <c r="I188" i="118" s="1"/>
  <c r="F187" i="118"/>
  <c r="I187" i="118" s="1"/>
  <c r="F186" i="118"/>
  <c r="I186" i="118" s="1"/>
  <c r="F185" i="118"/>
  <c r="I185" i="118" s="1"/>
  <c r="F184" i="118"/>
  <c r="I184" i="118" s="1"/>
  <c r="F183" i="118"/>
  <c r="I183" i="118" s="1"/>
  <c r="F182" i="118"/>
  <c r="I182" i="118" s="1"/>
  <c r="F181" i="118"/>
  <c r="I181" i="118" s="1"/>
  <c r="F180" i="118"/>
  <c r="I180" i="118" s="1"/>
  <c r="F179" i="118"/>
  <c r="I179" i="118" s="1"/>
  <c r="F178" i="118"/>
  <c r="I178" i="118" s="1"/>
  <c r="F177" i="118"/>
  <c r="I177" i="118" s="1"/>
  <c r="F176" i="118"/>
  <c r="I176" i="118" s="1"/>
  <c r="F175" i="118"/>
  <c r="I175" i="118" s="1"/>
  <c r="F174" i="118"/>
  <c r="I174" i="118" s="1"/>
  <c r="F173" i="118"/>
  <c r="I173" i="118" s="1"/>
  <c r="F172" i="118"/>
  <c r="I172" i="118" s="1"/>
  <c r="F171" i="118"/>
  <c r="I171" i="118" s="1"/>
  <c r="F170" i="118"/>
  <c r="I170" i="118" s="1"/>
  <c r="F169" i="118"/>
  <c r="I169" i="118" s="1"/>
  <c r="F201" i="60"/>
  <c r="I201" i="60" s="1"/>
  <c r="F200" i="60"/>
  <c r="I200" i="60" s="1"/>
  <c r="F199" i="60"/>
  <c r="I199" i="60" s="1"/>
  <c r="F198" i="60"/>
  <c r="I198" i="60" s="1"/>
  <c r="F197" i="60"/>
  <c r="I197" i="60" s="1"/>
  <c r="F196" i="60"/>
  <c r="I196" i="60" s="1"/>
  <c r="F195" i="60"/>
  <c r="I195" i="60" s="1"/>
  <c r="F194" i="60"/>
  <c r="I194" i="60" s="1"/>
  <c r="F193" i="60"/>
  <c r="I193" i="60" s="1"/>
  <c r="F192" i="60"/>
  <c r="I192" i="60" s="1"/>
  <c r="F191" i="60"/>
  <c r="I191" i="60" s="1"/>
  <c r="F190" i="60"/>
  <c r="I190" i="60" s="1"/>
  <c r="F189" i="60"/>
  <c r="I189" i="60" s="1"/>
  <c r="F188" i="60"/>
  <c r="I188" i="60" s="1"/>
  <c r="F187" i="60"/>
  <c r="I187" i="60" s="1"/>
  <c r="F186" i="60"/>
  <c r="I186" i="60" s="1"/>
  <c r="F185" i="60"/>
  <c r="I185" i="60" s="1"/>
  <c r="F184" i="60"/>
  <c r="I184" i="60" s="1"/>
  <c r="F183" i="60"/>
  <c r="I183" i="60" s="1"/>
  <c r="F182" i="60"/>
  <c r="I182" i="60" s="1"/>
  <c r="F181" i="60"/>
  <c r="I181" i="60" s="1"/>
  <c r="F180" i="60"/>
  <c r="I180" i="60" s="1"/>
  <c r="F179" i="60"/>
  <c r="I179" i="60" s="1"/>
  <c r="F178" i="60"/>
  <c r="I178" i="60" s="1"/>
  <c r="F177" i="60"/>
  <c r="I177" i="60" s="1"/>
  <c r="F176" i="60"/>
  <c r="I176" i="60" s="1"/>
  <c r="F175" i="60"/>
  <c r="I175" i="60" s="1"/>
  <c r="F174" i="60"/>
  <c r="I174" i="60" s="1"/>
  <c r="F173" i="60"/>
  <c r="I173" i="60" s="1"/>
  <c r="F172" i="60"/>
  <c r="I172" i="60" s="1"/>
  <c r="F171" i="60"/>
  <c r="I171" i="60" s="1"/>
  <c r="F170" i="60"/>
  <c r="I170" i="60" s="1"/>
  <c r="F169" i="60"/>
  <c r="I169" i="60" s="1"/>
  <c r="F201" i="106"/>
  <c r="I201" i="106" s="1"/>
  <c r="F200" i="106"/>
  <c r="I200" i="106" s="1"/>
  <c r="F199" i="106"/>
  <c r="I199" i="106" s="1"/>
  <c r="F198" i="106"/>
  <c r="I198" i="106" s="1"/>
  <c r="F197" i="106"/>
  <c r="I197" i="106" s="1"/>
  <c r="F196" i="106"/>
  <c r="I196" i="106" s="1"/>
  <c r="F195" i="106"/>
  <c r="I195" i="106" s="1"/>
  <c r="F194" i="106"/>
  <c r="I194" i="106" s="1"/>
  <c r="F193" i="106"/>
  <c r="I193" i="106" s="1"/>
  <c r="F192" i="106"/>
  <c r="I192" i="106" s="1"/>
  <c r="F191" i="106"/>
  <c r="I191" i="106" s="1"/>
  <c r="F190" i="106"/>
  <c r="I190" i="106" s="1"/>
  <c r="F189" i="106"/>
  <c r="I189" i="106" s="1"/>
  <c r="F188" i="106"/>
  <c r="I188" i="106" s="1"/>
  <c r="F187" i="106"/>
  <c r="I187" i="106" s="1"/>
  <c r="F186" i="106"/>
  <c r="I186" i="106" s="1"/>
  <c r="F185" i="106"/>
  <c r="I185" i="106" s="1"/>
  <c r="F184" i="106"/>
  <c r="I184" i="106" s="1"/>
  <c r="F183" i="106"/>
  <c r="I183" i="106" s="1"/>
  <c r="F182" i="106"/>
  <c r="I182" i="106" s="1"/>
  <c r="F181" i="106"/>
  <c r="I181" i="106" s="1"/>
  <c r="F180" i="106"/>
  <c r="I180" i="106" s="1"/>
  <c r="F179" i="106"/>
  <c r="I179" i="106" s="1"/>
  <c r="F178" i="106"/>
  <c r="I178" i="106" s="1"/>
  <c r="F177" i="106"/>
  <c r="I177" i="106" s="1"/>
  <c r="F176" i="106"/>
  <c r="I176" i="106" s="1"/>
  <c r="F175" i="106"/>
  <c r="I175" i="106" s="1"/>
  <c r="F174" i="106"/>
  <c r="I174" i="106" s="1"/>
  <c r="F173" i="106"/>
  <c r="I173" i="106" s="1"/>
  <c r="F172" i="106"/>
  <c r="I172" i="106" s="1"/>
  <c r="F171" i="106"/>
  <c r="I171" i="106" s="1"/>
  <c r="F170" i="106"/>
  <c r="I170" i="106" s="1"/>
  <c r="F169" i="106"/>
  <c r="I169" i="106" s="1"/>
  <c r="F201" i="104"/>
  <c r="I201" i="104" s="1"/>
  <c r="F200" i="104"/>
  <c r="I200" i="104" s="1"/>
  <c r="F199" i="104"/>
  <c r="I199" i="104" s="1"/>
  <c r="F198" i="104"/>
  <c r="I198" i="104" s="1"/>
  <c r="F197" i="104"/>
  <c r="I197" i="104" s="1"/>
  <c r="F196" i="104"/>
  <c r="I196" i="104" s="1"/>
  <c r="F195" i="104"/>
  <c r="I195" i="104" s="1"/>
  <c r="F194" i="104"/>
  <c r="I194" i="104" s="1"/>
  <c r="F193" i="104"/>
  <c r="I193" i="104" s="1"/>
  <c r="F192" i="104"/>
  <c r="I192" i="104" s="1"/>
  <c r="F191" i="104"/>
  <c r="I191" i="104" s="1"/>
  <c r="F190" i="104"/>
  <c r="I190" i="104" s="1"/>
  <c r="F189" i="104"/>
  <c r="I189" i="104" s="1"/>
  <c r="F188" i="104"/>
  <c r="I188" i="104" s="1"/>
  <c r="F187" i="104"/>
  <c r="I187" i="104" s="1"/>
  <c r="F186" i="104"/>
  <c r="I186" i="104" s="1"/>
  <c r="F185" i="104"/>
  <c r="I185" i="104" s="1"/>
  <c r="F184" i="104"/>
  <c r="I184" i="104" s="1"/>
  <c r="F183" i="104"/>
  <c r="I183" i="104" s="1"/>
  <c r="F182" i="104"/>
  <c r="I182" i="104" s="1"/>
  <c r="F181" i="104"/>
  <c r="I181" i="104" s="1"/>
  <c r="F180" i="104"/>
  <c r="I180" i="104" s="1"/>
  <c r="F179" i="104"/>
  <c r="I179" i="104" s="1"/>
  <c r="F178" i="104"/>
  <c r="I178" i="104" s="1"/>
  <c r="F177" i="104"/>
  <c r="I177" i="104" s="1"/>
  <c r="F176" i="104"/>
  <c r="I176" i="104" s="1"/>
  <c r="F175" i="104"/>
  <c r="I175" i="104" s="1"/>
  <c r="F174" i="104"/>
  <c r="I174" i="104" s="1"/>
  <c r="F173" i="104"/>
  <c r="I173" i="104" s="1"/>
  <c r="F172" i="104"/>
  <c r="I172" i="104" s="1"/>
  <c r="F171" i="104"/>
  <c r="I171" i="104" s="1"/>
  <c r="F170" i="104"/>
  <c r="I170" i="104" s="1"/>
  <c r="F169" i="104"/>
  <c r="I169" i="104" s="1"/>
  <c r="F201" i="54"/>
  <c r="I201" i="54" s="1"/>
  <c r="F200" i="54"/>
  <c r="I200" i="54" s="1"/>
  <c r="F199" i="54"/>
  <c r="I199" i="54" s="1"/>
  <c r="F198" i="54"/>
  <c r="I198" i="54" s="1"/>
  <c r="F197" i="54"/>
  <c r="I197" i="54" s="1"/>
  <c r="F196" i="54"/>
  <c r="I196" i="54" s="1"/>
  <c r="F195" i="54"/>
  <c r="I195" i="54" s="1"/>
  <c r="F194" i="54"/>
  <c r="I194" i="54" s="1"/>
  <c r="F193" i="54"/>
  <c r="I193" i="54" s="1"/>
  <c r="F192" i="54"/>
  <c r="I192" i="54" s="1"/>
  <c r="F191" i="54"/>
  <c r="I191" i="54" s="1"/>
  <c r="F190" i="54"/>
  <c r="I190" i="54" s="1"/>
  <c r="F189" i="54"/>
  <c r="I189" i="54" s="1"/>
  <c r="F188" i="54"/>
  <c r="I188" i="54" s="1"/>
  <c r="F187" i="54"/>
  <c r="I187" i="54" s="1"/>
  <c r="F186" i="54"/>
  <c r="I186" i="54" s="1"/>
  <c r="F185" i="54"/>
  <c r="I185" i="54" s="1"/>
  <c r="F184" i="54"/>
  <c r="I184" i="54" s="1"/>
  <c r="F183" i="54"/>
  <c r="I183" i="54" s="1"/>
  <c r="F182" i="54"/>
  <c r="I182" i="54" s="1"/>
  <c r="F181" i="54"/>
  <c r="I181" i="54" s="1"/>
  <c r="F180" i="54"/>
  <c r="I180" i="54" s="1"/>
  <c r="F179" i="54"/>
  <c r="I179" i="54" s="1"/>
  <c r="F178" i="54"/>
  <c r="I178" i="54" s="1"/>
  <c r="F177" i="54"/>
  <c r="I177" i="54" s="1"/>
  <c r="F176" i="54"/>
  <c r="I176" i="54" s="1"/>
  <c r="F175" i="54"/>
  <c r="I175" i="54" s="1"/>
  <c r="F174" i="54"/>
  <c r="I174" i="54" s="1"/>
  <c r="F173" i="54"/>
  <c r="I173" i="54" s="1"/>
  <c r="F172" i="54"/>
  <c r="I172" i="54" s="1"/>
  <c r="F171" i="54"/>
  <c r="I171" i="54" s="1"/>
  <c r="F170" i="54"/>
  <c r="I170" i="54" s="1"/>
  <c r="F169" i="54"/>
  <c r="I169" i="54" s="1"/>
  <c r="F201" i="181"/>
  <c r="I201" i="181" s="1"/>
  <c r="F200" i="181"/>
  <c r="I200" i="181" s="1"/>
  <c r="F199" i="181"/>
  <c r="I199" i="181" s="1"/>
  <c r="F198" i="181"/>
  <c r="I198" i="181" s="1"/>
  <c r="F197" i="181"/>
  <c r="I197" i="181" s="1"/>
  <c r="F196" i="181"/>
  <c r="I196" i="181" s="1"/>
  <c r="F195" i="181"/>
  <c r="I195" i="181" s="1"/>
  <c r="F194" i="181"/>
  <c r="I194" i="181" s="1"/>
  <c r="F193" i="181"/>
  <c r="I193" i="181" s="1"/>
  <c r="F192" i="181"/>
  <c r="I192" i="181" s="1"/>
  <c r="F191" i="181"/>
  <c r="I191" i="181" s="1"/>
  <c r="F190" i="181"/>
  <c r="I190" i="181" s="1"/>
  <c r="F189" i="181"/>
  <c r="I189" i="181" s="1"/>
  <c r="F188" i="181"/>
  <c r="I188" i="181" s="1"/>
  <c r="F187" i="181"/>
  <c r="I187" i="181" s="1"/>
  <c r="F186" i="181"/>
  <c r="I186" i="181" s="1"/>
  <c r="F185" i="181"/>
  <c r="I185" i="181" s="1"/>
  <c r="F184" i="181"/>
  <c r="I184" i="181" s="1"/>
  <c r="F183" i="181"/>
  <c r="I183" i="181" s="1"/>
  <c r="F182" i="181"/>
  <c r="I182" i="181" s="1"/>
  <c r="F181" i="181"/>
  <c r="I181" i="181" s="1"/>
  <c r="F180" i="181"/>
  <c r="I180" i="181" s="1"/>
  <c r="F179" i="181"/>
  <c r="I179" i="181" s="1"/>
  <c r="F178" i="181"/>
  <c r="I178" i="181" s="1"/>
  <c r="F177" i="181"/>
  <c r="I177" i="181" s="1"/>
  <c r="F176" i="181"/>
  <c r="I176" i="181" s="1"/>
  <c r="F175" i="181"/>
  <c r="I175" i="181" s="1"/>
  <c r="F174" i="181"/>
  <c r="I174" i="181" s="1"/>
  <c r="F173" i="181"/>
  <c r="I173" i="181" s="1"/>
  <c r="F172" i="181"/>
  <c r="I172" i="181" s="1"/>
  <c r="F171" i="181"/>
  <c r="I171" i="181" s="1"/>
  <c r="F170" i="181"/>
  <c r="I170" i="181" s="1"/>
  <c r="F169" i="181"/>
  <c r="I169" i="181" s="1"/>
  <c r="F201" i="94"/>
  <c r="I201" i="94" s="1"/>
  <c r="F200" i="94"/>
  <c r="I200" i="94" s="1"/>
  <c r="F199" i="94"/>
  <c r="I199" i="94" s="1"/>
  <c r="F198" i="94"/>
  <c r="I198" i="94" s="1"/>
  <c r="F197" i="94"/>
  <c r="I197" i="94" s="1"/>
  <c r="F196" i="94"/>
  <c r="I196" i="94" s="1"/>
  <c r="F195" i="94"/>
  <c r="I195" i="94" s="1"/>
  <c r="F194" i="94"/>
  <c r="I194" i="94" s="1"/>
  <c r="F193" i="94"/>
  <c r="I193" i="94" s="1"/>
  <c r="F192" i="94"/>
  <c r="I192" i="94" s="1"/>
  <c r="F191" i="94"/>
  <c r="I191" i="94" s="1"/>
  <c r="F190" i="94"/>
  <c r="I190" i="94" s="1"/>
  <c r="F189" i="94"/>
  <c r="I189" i="94" s="1"/>
  <c r="F188" i="94"/>
  <c r="I188" i="94" s="1"/>
  <c r="F187" i="94"/>
  <c r="I187" i="94" s="1"/>
  <c r="F186" i="94"/>
  <c r="I186" i="94" s="1"/>
  <c r="F185" i="94"/>
  <c r="I185" i="94" s="1"/>
  <c r="F184" i="94"/>
  <c r="I184" i="94" s="1"/>
  <c r="F183" i="94"/>
  <c r="I183" i="94" s="1"/>
  <c r="F182" i="94"/>
  <c r="I182" i="94" s="1"/>
  <c r="F181" i="94"/>
  <c r="I181" i="94" s="1"/>
  <c r="F180" i="94"/>
  <c r="I180" i="94" s="1"/>
  <c r="F179" i="94"/>
  <c r="I179" i="94" s="1"/>
  <c r="F178" i="94"/>
  <c r="I178" i="94" s="1"/>
  <c r="F177" i="94"/>
  <c r="I177" i="94" s="1"/>
  <c r="F176" i="94"/>
  <c r="I176" i="94" s="1"/>
  <c r="F175" i="94"/>
  <c r="I175" i="94" s="1"/>
  <c r="F174" i="94"/>
  <c r="I174" i="94" s="1"/>
  <c r="F173" i="94"/>
  <c r="I173" i="94" s="1"/>
  <c r="F172" i="94"/>
  <c r="I172" i="94" s="1"/>
  <c r="F171" i="94"/>
  <c r="I171" i="94" s="1"/>
  <c r="F170" i="94"/>
  <c r="I170" i="94" s="1"/>
  <c r="F169" i="94"/>
  <c r="I169" i="94" s="1"/>
  <c r="F201" i="145"/>
  <c r="I201" i="145" s="1"/>
  <c r="F200" i="145"/>
  <c r="I200" i="145" s="1"/>
  <c r="F199" i="145"/>
  <c r="I199" i="145" s="1"/>
  <c r="F198" i="145"/>
  <c r="I198" i="145" s="1"/>
  <c r="F197" i="145"/>
  <c r="I197" i="145" s="1"/>
  <c r="F196" i="145"/>
  <c r="I196" i="145" s="1"/>
  <c r="F195" i="145"/>
  <c r="I195" i="145" s="1"/>
  <c r="F194" i="145"/>
  <c r="I194" i="145" s="1"/>
  <c r="F193" i="145"/>
  <c r="I193" i="145" s="1"/>
  <c r="F192" i="145"/>
  <c r="I192" i="145" s="1"/>
  <c r="F191" i="145"/>
  <c r="I191" i="145" s="1"/>
  <c r="F190" i="145"/>
  <c r="I190" i="145" s="1"/>
  <c r="F189" i="145"/>
  <c r="I189" i="145" s="1"/>
  <c r="F188" i="145"/>
  <c r="I188" i="145" s="1"/>
  <c r="F187" i="145"/>
  <c r="I187" i="145" s="1"/>
  <c r="F186" i="145"/>
  <c r="I186" i="145" s="1"/>
  <c r="F185" i="145"/>
  <c r="I185" i="145" s="1"/>
  <c r="F184" i="145"/>
  <c r="I184" i="145" s="1"/>
  <c r="F183" i="145"/>
  <c r="I183" i="145" s="1"/>
  <c r="F182" i="145"/>
  <c r="I182" i="145" s="1"/>
  <c r="F181" i="145"/>
  <c r="I181" i="145" s="1"/>
  <c r="F180" i="145"/>
  <c r="I180" i="145" s="1"/>
  <c r="F179" i="145"/>
  <c r="I179" i="145" s="1"/>
  <c r="F178" i="145"/>
  <c r="I178" i="145" s="1"/>
  <c r="F177" i="145"/>
  <c r="I177" i="145" s="1"/>
  <c r="F176" i="145"/>
  <c r="I176" i="145" s="1"/>
  <c r="F175" i="145"/>
  <c r="I175" i="145" s="1"/>
  <c r="F174" i="145"/>
  <c r="I174" i="145" s="1"/>
  <c r="F173" i="145"/>
  <c r="I173" i="145" s="1"/>
  <c r="F172" i="145"/>
  <c r="I172" i="145" s="1"/>
  <c r="F171" i="145"/>
  <c r="I171" i="145" s="1"/>
  <c r="F170" i="145"/>
  <c r="I170" i="145" s="1"/>
  <c r="F169" i="145"/>
  <c r="I169" i="145" s="1"/>
  <c r="F201" i="33"/>
  <c r="I201" i="33" s="1"/>
  <c r="F200" i="33"/>
  <c r="I200" i="33" s="1"/>
  <c r="F199" i="33"/>
  <c r="I199" i="33" s="1"/>
  <c r="F198" i="33"/>
  <c r="I198" i="33" s="1"/>
  <c r="F197" i="33"/>
  <c r="I197" i="33" s="1"/>
  <c r="F196" i="33"/>
  <c r="I196" i="33" s="1"/>
  <c r="F195" i="33"/>
  <c r="I195" i="33" s="1"/>
  <c r="F194" i="33"/>
  <c r="I194" i="33" s="1"/>
  <c r="F193" i="33"/>
  <c r="I193" i="33" s="1"/>
  <c r="F192" i="33"/>
  <c r="I192" i="33" s="1"/>
  <c r="F191" i="33"/>
  <c r="I191" i="33" s="1"/>
  <c r="F190" i="33"/>
  <c r="I190" i="33" s="1"/>
  <c r="F189" i="33"/>
  <c r="I189" i="33" s="1"/>
  <c r="F188" i="33"/>
  <c r="I188" i="33" s="1"/>
  <c r="F187" i="33"/>
  <c r="I187" i="33" s="1"/>
  <c r="F186" i="33"/>
  <c r="I186" i="33" s="1"/>
  <c r="F185" i="33"/>
  <c r="I185" i="33" s="1"/>
  <c r="F184" i="33"/>
  <c r="I184" i="33" s="1"/>
  <c r="F183" i="33"/>
  <c r="I183" i="33" s="1"/>
  <c r="F182" i="33"/>
  <c r="I182" i="33" s="1"/>
  <c r="F181" i="33"/>
  <c r="I181" i="33" s="1"/>
  <c r="F180" i="33"/>
  <c r="I180" i="33" s="1"/>
  <c r="F179" i="33"/>
  <c r="I179" i="33" s="1"/>
  <c r="F178" i="33"/>
  <c r="I178" i="33" s="1"/>
  <c r="F177" i="33"/>
  <c r="I177" i="33" s="1"/>
  <c r="F176" i="33"/>
  <c r="I176" i="33" s="1"/>
  <c r="F175" i="33"/>
  <c r="I175" i="33" s="1"/>
  <c r="F174" i="33"/>
  <c r="I174" i="33" s="1"/>
  <c r="F173" i="33"/>
  <c r="I173" i="33" s="1"/>
  <c r="F172" i="33"/>
  <c r="I172" i="33" s="1"/>
  <c r="F171" i="33"/>
  <c r="I171" i="33" s="1"/>
  <c r="F170" i="33"/>
  <c r="I170" i="33" s="1"/>
  <c r="F169" i="33"/>
  <c r="I169" i="33" s="1"/>
  <c r="F201" i="177"/>
  <c r="I201" i="177" s="1"/>
  <c r="F200" i="177"/>
  <c r="I200" i="177" s="1"/>
  <c r="F199" i="177"/>
  <c r="I199" i="177" s="1"/>
  <c r="F198" i="177"/>
  <c r="I198" i="177" s="1"/>
  <c r="F197" i="177"/>
  <c r="I197" i="177" s="1"/>
  <c r="F196" i="177"/>
  <c r="I196" i="177" s="1"/>
  <c r="F195" i="177"/>
  <c r="I195" i="177" s="1"/>
  <c r="F194" i="177"/>
  <c r="I194" i="177" s="1"/>
  <c r="F193" i="177"/>
  <c r="I193" i="177" s="1"/>
  <c r="F192" i="177"/>
  <c r="I192" i="177" s="1"/>
  <c r="F191" i="177"/>
  <c r="I191" i="177" s="1"/>
  <c r="F190" i="177"/>
  <c r="I190" i="177" s="1"/>
  <c r="F189" i="177"/>
  <c r="I189" i="177" s="1"/>
  <c r="F188" i="177"/>
  <c r="I188" i="177" s="1"/>
  <c r="F187" i="177"/>
  <c r="I187" i="177" s="1"/>
  <c r="F186" i="177"/>
  <c r="I186" i="177" s="1"/>
  <c r="F185" i="177"/>
  <c r="I185" i="177" s="1"/>
  <c r="F184" i="177"/>
  <c r="I184" i="177" s="1"/>
  <c r="F183" i="177"/>
  <c r="I183" i="177" s="1"/>
  <c r="F182" i="177"/>
  <c r="I182" i="177" s="1"/>
  <c r="F181" i="177"/>
  <c r="I181" i="177" s="1"/>
  <c r="F180" i="177"/>
  <c r="I180" i="177" s="1"/>
  <c r="F179" i="177"/>
  <c r="I179" i="177" s="1"/>
  <c r="F178" i="177"/>
  <c r="I178" i="177" s="1"/>
  <c r="F177" i="177"/>
  <c r="I177" i="177" s="1"/>
  <c r="F176" i="177"/>
  <c r="I176" i="177" s="1"/>
  <c r="F175" i="177"/>
  <c r="I175" i="177" s="1"/>
  <c r="F174" i="177"/>
  <c r="I174" i="177" s="1"/>
  <c r="F173" i="177"/>
  <c r="I173" i="177" s="1"/>
  <c r="F172" i="177"/>
  <c r="I172" i="177" s="1"/>
  <c r="F171" i="177"/>
  <c r="I171" i="177" s="1"/>
  <c r="F170" i="177"/>
  <c r="I170" i="177" s="1"/>
  <c r="F169" i="177"/>
  <c r="I169" i="177" s="1"/>
  <c r="F201" i="164"/>
  <c r="I201" i="164" s="1"/>
  <c r="F200" i="164"/>
  <c r="I200" i="164" s="1"/>
  <c r="F199" i="164"/>
  <c r="I199" i="164" s="1"/>
  <c r="F198" i="164"/>
  <c r="I198" i="164" s="1"/>
  <c r="F197" i="164"/>
  <c r="I197" i="164" s="1"/>
  <c r="F196" i="164"/>
  <c r="I196" i="164" s="1"/>
  <c r="F195" i="164"/>
  <c r="I195" i="164" s="1"/>
  <c r="F194" i="164"/>
  <c r="I194" i="164" s="1"/>
  <c r="F193" i="164"/>
  <c r="I193" i="164" s="1"/>
  <c r="F192" i="164"/>
  <c r="I192" i="164" s="1"/>
  <c r="F191" i="164"/>
  <c r="I191" i="164" s="1"/>
  <c r="F190" i="164"/>
  <c r="I190" i="164" s="1"/>
  <c r="F189" i="164"/>
  <c r="I189" i="164" s="1"/>
  <c r="F188" i="164"/>
  <c r="I188" i="164" s="1"/>
  <c r="F187" i="164"/>
  <c r="I187" i="164" s="1"/>
  <c r="F186" i="164"/>
  <c r="I186" i="164" s="1"/>
  <c r="F185" i="164"/>
  <c r="I185" i="164" s="1"/>
  <c r="F184" i="164"/>
  <c r="I184" i="164" s="1"/>
  <c r="F183" i="164"/>
  <c r="I183" i="164" s="1"/>
  <c r="F182" i="164"/>
  <c r="I182" i="164" s="1"/>
  <c r="F181" i="164"/>
  <c r="I181" i="164" s="1"/>
  <c r="F180" i="164"/>
  <c r="I180" i="164" s="1"/>
  <c r="F179" i="164"/>
  <c r="I179" i="164" s="1"/>
  <c r="F178" i="164"/>
  <c r="I178" i="164" s="1"/>
  <c r="F177" i="164"/>
  <c r="I177" i="164" s="1"/>
  <c r="F176" i="164"/>
  <c r="I176" i="164" s="1"/>
  <c r="F175" i="164"/>
  <c r="I175" i="164" s="1"/>
  <c r="F174" i="164"/>
  <c r="I174" i="164" s="1"/>
  <c r="F173" i="164"/>
  <c r="I173" i="164" s="1"/>
  <c r="F172" i="164"/>
  <c r="I172" i="164" s="1"/>
  <c r="F171" i="164"/>
  <c r="I171" i="164" s="1"/>
  <c r="F170" i="164"/>
  <c r="I170" i="164" s="1"/>
  <c r="F169" i="164"/>
  <c r="I169" i="164" s="1"/>
  <c r="F201" i="19"/>
  <c r="I201" i="19" s="1"/>
  <c r="F200" i="19"/>
  <c r="I200" i="19" s="1"/>
  <c r="F199" i="19"/>
  <c r="I199" i="19" s="1"/>
  <c r="F198" i="19"/>
  <c r="I198" i="19" s="1"/>
  <c r="F197" i="19"/>
  <c r="I197" i="19" s="1"/>
  <c r="F196" i="19"/>
  <c r="I196" i="19" s="1"/>
  <c r="F195" i="19"/>
  <c r="I195" i="19" s="1"/>
  <c r="F194" i="19"/>
  <c r="I194" i="19" s="1"/>
  <c r="F193" i="19"/>
  <c r="I193" i="19" s="1"/>
  <c r="F192" i="19"/>
  <c r="I192" i="19" s="1"/>
  <c r="F191" i="19"/>
  <c r="I191" i="19" s="1"/>
  <c r="F190" i="19"/>
  <c r="I190" i="19" s="1"/>
  <c r="F189" i="19"/>
  <c r="I189" i="19" s="1"/>
  <c r="F188" i="19"/>
  <c r="I188" i="19" s="1"/>
  <c r="F187" i="19"/>
  <c r="I187" i="19" s="1"/>
  <c r="F186" i="19"/>
  <c r="I186" i="19" s="1"/>
  <c r="F185" i="19"/>
  <c r="I185" i="19" s="1"/>
  <c r="F184" i="19"/>
  <c r="I184" i="19" s="1"/>
  <c r="F183" i="19"/>
  <c r="I183" i="19" s="1"/>
  <c r="F182" i="19"/>
  <c r="I182" i="19" s="1"/>
  <c r="F181" i="19"/>
  <c r="I181" i="19" s="1"/>
  <c r="F180" i="19"/>
  <c r="I180" i="19" s="1"/>
  <c r="F179" i="19"/>
  <c r="I179" i="19" s="1"/>
  <c r="F178" i="19"/>
  <c r="I178" i="19" s="1"/>
  <c r="F177" i="19"/>
  <c r="I177" i="19" s="1"/>
  <c r="F176" i="19"/>
  <c r="I176" i="19" s="1"/>
  <c r="F175" i="19"/>
  <c r="I175" i="19" s="1"/>
  <c r="F174" i="19"/>
  <c r="I174" i="19" s="1"/>
  <c r="F173" i="19"/>
  <c r="I173" i="19" s="1"/>
  <c r="F172" i="19"/>
  <c r="I172" i="19" s="1"/>
  <c r="F171" i="19"/>
  <c r="I171" i="19" s="1"/>
  <c r="F170" i="19"/>
  <c r="I170" i="19" s="1"/>
  <c r="F169" i="19"/>
  <c r="I169" i="19" s="1"/>
  <c r="F201" i="15"/>
  <c r="I201" i="15" s="1"/>
  <c r="F200" i="15"/>
  <c r="I200" i="15" s="1"/>
  <c r="F199" i="15"/>
  <c r="I199" i="15" s="1"/>
  <c r="F198" i="15"/>
  <c r="I198" i="15" s="1"/>
  <c r="F197" i="15"/>
  <c r="I197" i="15" s="1"/>
  <c r="F196" i="15"/>
  <c r="I196" i="15" s="1"/>
  <c r="F195" i="15"/>
  <c r="I195" i="15" s="1"/>
  <c r="F194" i="15"/>
  <c r="I194" i="15" s="1"/>
  <c r="F193" i="15"/>
  <c r="I193" i="15" s="1"/>
  <c r="F192" i="15"/>
  <c r="I192" i="15" s="1"/>
  <c r="F191" i="15"/>
  <c r="I191" i="15" s="1"/>
  <c r="F190" i="15"/>
  <c r="I190" i="15" s="1"/>
  <c r="F189" i="15"/>
  <c r="I189" i="15" s="1"/>
  <c r="F188" i="15"/>
  <c r="I188" i="15" s="1"/>
  <c r="F187" i="15"/>
  <c r="I187" i="15" s="1"/>
  <c r="F186" i="15"/>
  <c r="I186" i="15" s="1"/>
  <c r="F185" i="15"/>
  <c r="I185" i="15" s="1"/>
  <c r="F184" i="15"/>
  <c r="I184" i="15" s="1"/>
  <c r="F183" i="15"/>
  <c r="I183" i="15" s="1"/>
  <c r="F182" i="15"/>
  <c r="I182" i="15" s="1"/>
  <c r="F181" i="15"/>
  <c r="I181" i="15" s="1"/>
  <c r="F180" i="15"/>
  <c r="I180" i="15" s="1"/>
  <c r="F179" i="15"/>
  <c r="I179" i="15" s="1"/>
  <c r="F178" i="15"/>
  <c r="I178" i="15" s="1"/>
  <c r="F177" i="15"/>
  <c r="I177" i="15" s="1"/>
  <c r="F176" i="15"/>
  <c r="I176" i="15" s="1"/>
  <c r="F175" i="15"/>
  <c r="I175" i="15" s="1"/>
  <c r="F174" i="15"/>
  <c r="I174" i="15" s="1"/>
  <c r="F173" i="15"/>
  <c r="I173" i="15" s="1"/>
  <c r="F172" i="15"/>
  <c r="I172" i="15" s="1"/>
  <c r="F171" i="15"/>
  <c r="I171" i="15" s="1"/>
  <c r="F170" i="15"/>
  <c r="I170" i="15" s="1"/>
  <c r="F169" i="15"/>
  <c r="I169" i="15" s="1"/>
  <c r="F201" i="178"/>
  <c r="I201" i="178" s="1"/>
  <c r="F200" i="178"/>
  <c r="I200" i="178" s="1"/>
  <c r="F199" i="178"/>
  <c r="I199" i="178" s="1"/>
  <c r="F198" i="178"/>
  <c r="I198" i="178" s="1"/>
  <c r="F197" i="178"/>
  <c r="I197" i="178" s="1"/>
  <c r="F196" i="178"/>
  <c r="I196" i="178" s="1"/>
  <c r="F195" i="178"/>
  <c r="I195" i="178" s="1"/>
  <c r="F194" i="178"/>
  <c r="I194" i="178" s="1"/>
  <c r="F193" i="178"/>
  <c r="I193" i="178" s="1"/>
  <c r="F192" i="178"/>
  <c r="I192" i="178" s="1"/>
  <c r="F191" i="178"/>
  <c r="I191" i="178" s="1"/>
  <c r="F190" i="178"/>
  <c r="I190" i="178" s="1"/>
  <c r="F189" i="178"/>
  <c r="I189" i="178" s="1"/>
  <c r="F188" i="178"/>
  <c r="I188" i="178" s="1"/>
  <c r="F187" i="178"/>
  <c r="I187" i="178" s="1"/>
  <c r="F186" i="178"/>
  <c r="I186" i="178" s="1"/>
  <c r="F185" i="178"/>
  <c r="I185" i="178" s="1"/>
  <c r="F184" i="178"/>
  <c r="I184" i="178" s="1"/>
  <c r="F183" i="178"/>
  <c r="I183" i="178" s="1"/>
  <c r="F182" i="178"/>
  <c r="I182" i="178" s="1"/>
  <c r="F181" i="178"/>
  <c r="I181" i="178" s="1"/>
  <c r="F180" i="178"/>
  <c r="I180" i="178" s="1"/>
  <c r="F179" i="178"/>
  <c r="I179" i="178" s="1"/>
  <c r="F178" i="178"/>
  <c r="I178" i="178" s="1"/>
  <c r="F177" i="178"/>
  <c r="I177" i="178" s="1"/>
  <c r="F176" i="178"/>
  <c r="I176" i="178" s="1"/>
  <c r="F175" i="178"/>
  <c r="I175" i="178" s="1"/>
  <c r="F174" i="178"/>
  <c r="I174" i="178" s="1"/>
  <c r="F173" i="178"/>
  <c r="I173" i="178" s="1"/>
  <c r="F172" i="178"/>
  <c r="I172" i="178" s="1"/>
  <c r="F171" i="178"/>
  <c r="I171" i="178" s="1"/>
  <c r="F170" i="178"/>
  <c r="I170" i="178" s="1"/>
  <c r="F169" i="178"/>
  <c r="I169" i="178" s="1"/>
  <c r="F201" i="150"/>
  <c r="I201" i="150" s="1"/>
  <c r="F200" i="150"/>
  <c r="I200" i="150" s="1"/>
  <c r="F199" i="150"/>
  <c r="I199" i="150" s="1"/>
  <c r="F198" i="150"/>
  <c r="I198" i="150" s="1"/>
  <c r="F197" i="150"/>
  <c r="I197" i="150" s="1"/>
  <c r="F196" i="150"/>
  <c r="I196" i="150" s="1"/>
  <c r="F195" i="150"/>
  <c r="I195" i="150" s="1"/>
  <c r="F194" i="150"/>
  <c r="I194" i="150" s="1"/>
  <c r="F193" i="150"/>
  <c r="I193" i="150" s="1"/>
  <c r="F192" i="150"/>
  <c r="I192" i="150" s="1"/>
  <c r="F191" i="150"/>
  <c r="I191" i="150" s="1"/>
  <c r="F190" i="150"/>
  <c r="I190" i="150" s="1"/>
  <c r="F189" i="150"/>
  <c r="I189" i="150" s="1"/>
  <c r="F188" i="150"/>
  <c r="I188" i="150" s="1"/>
  <c r="F187" i="150"/>
  <c r="I187" i="150" s="1"/>
  <c r="F186" i="150"/>
  <c r="I186" i="150" s="1"/>
  <c r="F185" i="150"/>
  <c r="I185" i="150" s="1"/>
  <c r="F184" i="150"/>
  <c r="I184" i="150" s="1"/>
  <c r="F183" i="150"/>
  <c r="I183" i="150" s="1"/>
  <c r="F182" i="150"/>
  <c r="I182" i="150" s="1"/>
  <c r="F181" i="150"/>
  <c r="I181" i="150" s="1"/>
  <c r="F180" i="150"/>
  <c r="I180" i="150" s="1"/>
  <c r="F179" i="150"/>
  <c r="I179" i="150" s="1"/>
  <c r="F178" i="150"/>
  <c r="I178" i="150" s="1"/>
  <c r="F177" i="150"/>
  <c r="I177" i="150" s="1"/>
  <c r="F176" i="150"/>
  <c r="I176" i="150" s="1"/>
  <c r="F175" i="150"/>
  <c r="I175" i="150" s="1"/>
  <c r="F174" i="150"/>
  <c r="I174" i="150" s="1"/>
  <c r="F173" i="150"/>
  <c r="I173" i="150" s="1"/>
  <c r="F172" i="150"/>
  <c r="I172" i="150" s="1"/>
  <c r="F171" i="150"/>
  <c r="I171" i="150" s="1"/>
  <c r="F170" i="150"/>
  <c r="I170" i="150" s="1"/>
  <c r="F169" i="150"/>
  <c r="I169" i="150" s="1"/>
  <c r="F201" i="68"/>
  <c r="I201" i="68" s="1"/>
  <c r="F200" i="68"/>
  <c r="I200" i="68" s="1"/>
  <c r="F199" i="68"/>
  <c r="I199" i="68" s="1"/>
  <c r="F198" i="68"/>
  <c r="I198" i="68" s="1"/>
  <c r="F197" i="68"/>
  <c r="I197" i="68" s="1"/>
  <c r="F196" i="68"/>
  <c r="I196" i="68" s="1"/>
  <c r="F195" i="68"/>
  <c r="I195" i="68" s="1"/>
  <c r="F194" i="68"/>
  <c r="I194" i="68" s="1"/>
  <c r="F193" i="68"/>
  <c r="I193" i="68" s="1"/>
  <c r="F192" i="68"/>
  <c r="I192" i="68" s="1"/>
  <c r="F191" i="68"/>
  <c r="I191" i="68" s="1"/>
  <c r="F190" i="68"/>
  <c r="I190" i="68" s="1"/>
  <c r="F189" i="68"/>
  <c r="I189" i="68" s="1"/>
  <c r="F188" i="68"/>
  <c r="I188" i="68" s="1"/>
  <c r="F187" i="68"/>
  <c r="I187" i="68" s="1"/>
  <c r="F186" i="68"/>
  <c r="I186" i="68" s="1"/>
  <c r="F185" i="68"/>
  <c r="I185" i="68" s="1"/>
  <c r="F184" i="68"/>
  <c r="I184" i="68" s="1"/>
  <c r="F183" i="68"/>
  <c r="I183" i="68" s="1"/>
  <c r="F182" i="68"/>
  <c r="I182" i="68" s="1"/>
  <c r="F181" i="68"/>
  <c r="I181" i="68" s="1"/>
  <c r="F180" i="68"/>
  <c r="I180" i="68" s="1"/>
  <c r="F179" i="68"/>
  <c r="I179" i="68" s="1"/>
  <c r="F178" i="68"/>
  <c r="I178" i="68" s="1"/>
  <c r="F177" i="68"/>
  <c r="I177" i="68" s="1"/>
  <c r="F176" i="68"/>
  <c r="I176" i="68" s="1"/>
  <c r="F175" i="68"/>
  <c r="I175" i="68" s="1"/>
  <c r="F174" i="68"/>
  <c r="I174" i="68" s="1"/>
  <c r="F173" i="68"/>
  <c r="I173" i="68" s="1"/>
  <c r="F172" i="68"/>
  <c r="I172" i="68" s="1"/>
  <c r="F171" i="68"/>
  <c r="I171" i="68" s="1"/>
  <c r="F170" i="68"/>
  <c r="I170" i="68" s="1"/>
  <c r="F169" i="68"/>
  <c r="I169" i="68" s="1"/>
  <c r="F201" i="66"/>
  <c r="I201" i="66" s="1"/>
  <c r="F200" i="66"/>
  <c r="I200" i="66" s="1"/>
  <c r="F199" i="66"/>
  <c r="I199" i="66" s="1"/>
  <c r="F198" i="66"/>
  <c r="I198" i="66" s="1"/>
  <c r="F197" i="66"/>
  <c r="I197" i="66" s="1"/>
  <c r="F196" i="66"/>
  <c r="I196" i="66" s="1"/>
  <c r="F195" i="66"/>
  <c r="I195" i="66" s="1"/>
  <c r="F194" i="66"/>
  <c r="I194" i="66" s="1"/>
  <c r="F193" i="66"/>
  <c r="I193" i="66" s="1"/>
  <c r="F192" i="66"/>
  <c r="I192" i="66" s="1"/>
  <c r="F191" i="66"/>
  <c r="I191" i="66" s="1"/>
  <c r="F190" i="66"/>
  <c r="I190" i="66" s="1"/>
  <c r="F189" i="66"/>
  <c r="I189" i="66" s="1"/>
  <c r="F188" i="66"/>
  <c r="I188" i="66" s="1"/>
  <c r="F187" i="66"/>
  <c r="I187" i="66" s="1"/>
  <c r="F186" i="66"/>
  <c r="I186" i="66" s="1"/>
  <c r="F185" i="66"/>
  <c r="I185" i="66" s="1"/>
  <c r="F184" i="66"/>
  <c r="I184" i="66" s="1"/>
  <c r="F183" i="66"/>
  <c r="I183" i="66" s="1"/>
  <c r="F182" i="66"/>
  <c r="I182" i="66" s="1"/>
  <c r="F181" i="66"/>
  <c r="I181" i="66" s="1"/>
  <c r="F180" i="66"/>
  <c r="I180" i="66" s="1"/>
  <c r="F179" i="66"/>
  <c r="I179" i="66" s="1"/>
  <c r="F178" i="66"/>
  <c r="I178" i="66" s="1"/>
  <c r="F177" i="66"/>
  <c r="I177" i="66" s="1"/>
  <c r="F176" i="66"/>
  <c r="I176" i="66" s="1"/>
  <c r="F175" i="66"/>
  <c r="I175" i="66" s="1"/>
  <c r="F174" i="66"/>
  <c r="I174" i="66" s="1"/>
  <c r="F173" i="66"/>
  <c r="I173" i="66" s="1"/>
  <c r="F172" i="66"/>
  <c r="I172" i="66" s="1"/>
  <c r="F171" i="66"/>
  <c r="I171" i="66" s="1"/>
  <c r="F170" i="66"/>
  <c r="I170" i="66" s="1"/>
  <c r="F169" i="66"/>
  <c r="I169" i="66" s="1"/>
  <c r="F201" i="63"/>
  <c r="I201" i="63" s="1"/>
  <c r="F200" i="63"/>
  <c r="I200" i="63" s="1"/>
  <c r="F199" i="63"/>
  <c r="I199" i="63" s="1"/>
  <c r="F198" i="63"/>
  <c r="I198" i="63" s="1"/>
  <c r="F197" i="63"/>
  <c r="I197" i="63" s="1"/>
  <c r="F196" i="63"/>
  <c r="I196" i="63" s="1"/>
  <c r="F195" i="63"/>
  <c r="I195" i="63" s="1"/>
  <c r="F194" i="63"/>
  <c r="I194" i="63" s="1"/>
  <c r="F193" i="63"/>
  <c r="I193" i="63" s="1"/>
  <c r="F192" i="63"/>
  <c r="I192" i="63" s="1"/>
  <c r="F191" i="63"/>
  <c r="I191" i="63" s="1"/>
  <c r="F190" i="63"/>
  <c r="I190" i="63" s="1"/>
  <c r="F189" i="63"/>
  <c r="I189" i="63" s="1"/>
  <c r="F188" i="63"/>
  <c r="I188" i="63" s="1"/>
  <c r="F187" i="63"/>
  <c r="I187" i="63" s="1"/>
  <c r="F186" i="63"/>
  <c r="I186" i="63" s="1"/>
  <c r="F185" i="63"/>
  <c r="I185" i="63" s="1"/>
  <c r="F184" i="63"/>
  <c r="I184" i="63" s="1"/>
  <c r="F183" i="63"/>
  <c r="I183" i="63" s="1"/>
  <c r="F182" i="63"/>
  <c r="I182" i="63" s="1"/>
  <c r="F181" i="63"/>
  <c r="I181" i="63" s="1"/>
  <c r="F180" i="63"/>
  <c r="I180" i="63" s="1"/>
  <c r="F179" i="63"/>
  <c r="I179" i="63" s="1"/>
  <c r="F178" i="63"/>
  <c r="I178" i="63" s="1"/>
  <c r="F177" i="63"/>
  <c r="I177" i="63" s="1"/>
  <c r="F176" i="63"/>
  <c r="I176" i="63" s="1"/>
  <c r="F175" i="63"/>
  <c r="I175" i="63" s="1"/>
  <c r="F174" i="63"/>
  <c r="I174" i="63" s="1"/>
  <c r="F173" i="63"/>
  <c r="I173" i="63" s="1"/>
  <c r="F172" i="63"/>
  <c r="I172" i="63" s="1"/>
  <c r="F171" i="63"/>
  <c r="I171" i="63" s="1"/>
  <c r="F170" i="63"/>
  <c r="I170" i="63" s="1"/>
  <c r="F169" i="63"/>
  <c r="I169" i="63" s="1"/>
  <c r="F201" i="62"/>
  <c r="I201" i="62" s="1"/>
  <c r="F200" i="62"/>
  <c r="I200" i="62" s="1"/>
  <c r="F199" i="62"/>
  <c r="I199" i="62" s="1"/>
  <c r="F198" i="62"/>
  <c r="I198" i="62" s="1"/>
  <c r="F197" i="62"/>
  <c r="I197" i="62" s="1"/>
  <c r="F196" i="62"/>
  <c r="I196" i="62" s="1"/>
  <c r="F195" i="62"/>
  <c r="I195" i="62" s="1"/>
  <c r="F194" i="62"/>
  <c r="I194" i="62" s="1"/>
  <c r="F193" i="62"/>
  <c r="I193" i="62" s="1"/>
  <c r="F192" i="62"/>
  <c r="I192" i="62" s="1"/>
  <c r="F191" i="62"/>
  <c r="I191" i="62" s="1"/>
  <c r="F190" i="62"/>
  <c r="I190" i="62" s="1"/>
  <c r="F189" i="62"/>
  <c r="I189" i="62" s="1"/>
  <c r="F188" i="62"/>
  <c r="I188" i="62" s="1"/>
  <c r="F187" i="62"/>
  <c r="I187" i="62" s="1"/>
  <c r="F186" i="62"/>
  <c r="I186" i="62" s="1"/>
  <c r="F185" i="62"/>
  <c r="I185" i="62" s="1"/>
  <c r="F184" i="62"/>
  <c r="I184" i="62" s="1"/>
  <c r="F183" i="62"/>
  <c r="I183" i="62" s="1"/>
  <c r="F182" i="62"/>
  <c r="I182" i="62" s="1"/>
  <c r="F181" i="62"/>
  <c r="I181" i="62" s="1"/>
  <c r="F180" i="62"/>
  <c r="I180" i="62" s="1"/>
  <c r="F179" i="62"/>
  <c r="I179" i="62" s="1"/>
  <c r="F178" i="62"/>
  <c r="I178" i="62" s="1"/>
  <c r="F177" i="62"/>
  <c r="I177" i="62" s="1"/>
  <c r="F176" i="62"/>
  <c r="I176" i="62" s="1"/>
  <c r="F175" i="62"/>
  <c r="I175" i="62" s="1"/>
  <c r="F174" i="62"/>
  <c r="I174" i="62" s="1"/>
  <c r="F173" i="62"/>
  <c r="I173" i="62" s="1"/>
  <c r="F172" i="62"/>
  <c r="I172" i="62" s="1"/>
  <c r="F171" i="62"/>
  <c r="I171" i="62" s="1"/>
  <c r="F170" i="62"/>
  <c r="I170" i="62" s="1"/>
  <c r="F169" i="62"/>
  <c r="I169" i="62" s="1"/>
  <c r="F201" i="58"/>
  <c r="I201" i="58" s="1"/>
  <c r="F200" i="58"/>
  <c r="I200" i="58" s="1"/>
  <c r="F199" i="58"/>
  <c r="I199" i="58" s="1"/>
  <c r="F198" i="58"/>
  <c r="I198" i="58" s="1"/>
  <c r="F197" i="58"/>
  <c r="I197" i="58" s="1"/>
  <c r="F196" i="58"/>
  <c r="I196" i="58" s="1"/>
  <c r="F195" i="58"/>
  <c r="I195" i="58" s="1"/>
  <c r="F194" i="58"/>
  <c r="I194" i="58" s="1"/>
  <c r="F193" i="58"/>
  <c r="I193" i="58" s="1"/>
  <c r="F192" i="58"/>
  <c r="I192" i="58" s="1"/>
  <c r="F191" i="58"/>
  <c r="I191" i="58" s="1"/>
  <c r="F190" i="58"/>
  <c r="I190" i="58" s="1"/>
  <c r="F189" i="58"/>
  <c r="I189" i="58" s="1"/>
  <c r="F188" i="58"/>
  <c r="I188" i="58" s="1"/>
  <c r="F187" i="58"/>
  <c r="I187" i="58" s="1"/>
  <c r="F186" i="58"/>
  <c r="I186" i="58" s="1"/>
  <c r="F185" i="58"/>
  <c r="I185" i="58" s="1"/>
  <c r="F184" i="58"/>
  <c r="I184" i="58" s="1"/>
  <c r="F183" i="58"/>
  <c r="I183" i="58" s="1"/>
  <c r="F182" i="58"/>
  <c r="I182" i="58" s="1"/>
  <c r="F181" i="58"/>
  <c r="I181" i="58" s="1"/>
  <c r="F180" i="58"/>
  <c r="I180" i="58" s="1"/>
  <c r="F179" i="58"/>
  <c r="I179" i="58" s="1"/>
  <c r="F178" i="58"/>
  <c r="I178" i="58" s="1"/>
  <c r="F177" i="58"/>
  <c r="I177" i="58" s="1"/>
  <c r="F176" i="58"/>
  <c r="I176" i="58" s="1"/>
  <c r="F175" i="58"/>
  <c r="I175" i="58" s="1"/>
  <c r="F174" i="58"/>
  <c r="I174" i="58" s="1"/>
  <c r="F173" i="58"/>
  <c r="I173" i="58" s="1"/>
  <c r="F172" i="58"/>
  <c r="I172" i="58" s="1"/>
  <c r="F171" i="58"/>
  <c r="I171" i="58" s="1"/>
  <c r="F170" i="58"/>
  <c r="I170" i="58" s="1"/>
  <c r="F169" i="58"/>
  <c r="I169" i="58" s="1"/>
  <c r="F201" i="136"/>
  <c r="I201" i="136" s="1"/>
  <c r="F200" i="136"/>
  <c r="I200" i="136" s="1"/>
  <c r="F199" i="136"/>
  <c r="I199" i="136" s="1"/>
  <c r="F198" i="136"/>
  <c r="I198" i="136" s="1"/>
  <c r="F197" i="136"/>
  <c r="I197" i="136" s="1"/>
  <c r="F196" i="136"/>
  <c r="I196" i="136" s="1"/>
  <c r="F195" i="136"/>
  <c r="I195" i="136" s="1"/>
  <c r="F194" i="136"/>
  <c r="I194" i="136" s="1"/>
  <c r="F193" i="136"/>
  <c r="I193" i="136" s="1"/>
  <c r="F192" i="136"/>
  <c r="I192" i="136" s="1"/>
  <c r="F191" i="136"/>
  <c r="I191" i="136" s="1"/>
  <c r="F190" i="136"/>
  <c r="I190" i="136" s="1"/>
  <c r="F189" i="136"/>
  <c r="I189" i="136" s="1"/>
  <c r="F188" i="136"/>
  <c r="I188" i="136" s="1"/>
  <c r="F187" i="136"/>
  <c r="I187" i="136" s="1"/>
  <c r="F186" i="136"/>
  <c r="I186" i="136" s="1"/>
  <c r="F185" i="136"/>
  <c r="I185" i="136" s="1"/>
  <c r="F184" i="136"/>
  <c r="I184" i="136" s="1"/>
  <c r="F183" i="136"/>
  <c r="I183" i="136" s="1"/>
  <c r="F182" i="136"/>
  <c r="I182" i="136" s="1"/>
  <c r="F181" i="136"/>
  <c r="I181" i="136" s="1"/>
  <c r="F180" i="136"/>
  <c r="I180" i="136" s="1"/>
  <c r="F179" i="136"/>
  <c r="I179" i="136" s="1"/>
  <c r="F178" i="136"/>
  <c r="I178" i="136" s="1"/>
  <c r="F177" i="136"/>
  <c r="I177" i="136" s="1"/>
  <c r="F176" i="136"/>
  <c r="I176" i="136" s="1"/>
  <c r="F175" i="136"/>
  <c r="I175" i="136" s="1"/>
  <c r="F174" i="136"/>
  <c r="I174" i="136" s="1"/>
  <c r="F173" i="136"/>
  <c r="I173" i="136" s="1"/>
  <c r="F172" i="136"/>
  <c r="I172" i="136" s="1"/>
  <c r="F171" i="136"/>
  <c r="I171" i="136" s="1"/>
  <c r="F170" i="136"/>
  <c r="I170" i="136" s="1"/>
  <c r="F169" i="136"/>
  <c r="I169" i="136" s="1"/>
  <c r="F201" i="141"/>
  <c r="I201" i="141" s="1"/>
  <c r="F200" i="141"/>
  <c r="I200" i="141" s="1"/>
  <c r="F199" i="141"/>
  <c r="I199" i="141" s="1"/>
  <c r="F198" i="141"/>
  <c r="I198" i="141" s="1"/>
  <c r="F197" i="141"/>
  <c r="I197" i="141" s="1"/>
  <c r="F196" i="141"/>
  <c r="I196" i="141" s="1"/>
  <c r="F195" i="141"/>
  <c r="I195" i="141" s="1"/>
  <c r="F194" i="141"/>
  <c r="I194" i="141" s="1"/>
  <c r="F193" i="141"/>
  <c r="I193" i="141" s="1"/>
  <c r="F192" i="141"/>
  <c r="I192" i="141" s="1"/>
  <c r="F191" i="141"/>
  <c r="I191" i="141" s="1"/>
  <c r="F190" i="141"/>
  <c r="I190" i="141" s="1"/>
  <c r="F189" i="141"/>
  <c r="I189" i="141" s="1"/>
  <c r="F188" i="141"/>
  <c r="I188" i="141" s="1"/>
  <c r="F187" i="141"/>
  <c r="I187" i="141" s="1"/>
  <c r="F186" i="141"/>
  <c r="I186" i="141" s="1"/>
  <c r="F185" i="141"/>
  <c r="I185" i="141" s="1"/>
  <c r="F184" i="141"/>
  <c r="I184" i="141" s="1"/>
  <c r="F183" i="141"/>
  <c r="I183" i="141" s="1"/>
  <c r="F182" i="141"/>
  <c r="I182" i="141" s="1"/>
  <c r="F181" i="141"/>
  <c r="I181" i="141" s="1"/>
  <c r="F180" i="141"/>
  <c r="I180" i="141" s="1"/>
  <c r="F179" i="141"/>
  <c r="I179" i="141" s="1"/>
  <c r="F178" i="141"/>
  <c r="I178" i="141" s="1"/>
  <c r="F177" i="141"/>
  <c r="I177" i="141" s="1"/>
  <c r="F176" i="141"/>
  <c r="I176" i="141" s="1"/>
  <c r="F175" i="141"/>
  <c r="I175" i="141" s="1"/>
  <c r="F174" i="141"/>
  <c r="I174" i="141" s="1"/>
  <c r="F173" i="141"/>
  <c r="I173" i="141" s="1"/>
  <c r="F172" i="141"/>
  <c r="I172" i="141" s="1"/>
  <c r="F171" i="141"/>
  <c r="I171" i="141" s="1"/>
  <c r="F170" i="141"/>
  <c r="I170" i="141" s="1"/>
  <c r="F169" i="141"/>
  <c r="I169" i="141" s="1"/>
  <c r="F201" i="174"/>
  <c r="I201" i="174" s="1"/>
  <c r="F200" i="174"/>
  <c r="I200" i="174" s="1"/>
  <c r="F199" i="174"/>
  <c r="I199" i="174" s="1"/>
  <c r="F198" i="174"/>
  <c r="I198" i="174" s="1"/>
  <c r="F197" i="174"/>
  <c r="I197" i="174" s="1"/>
  <c r="F196" i="174"/>
  <c r="I196" i="174" s="1"/>
  <c r="F195" i="174"/>
  <c r="I195" i="174" s="1"/>
  <c r="F194" i="174"/>
  <c r="I194" i="174" s="1"/>
  <c r="F193" i="174"/>
  <c r="I193" i="174" s="1"/>
  <c r="F192" i="174"/>
  <c r="I192" i="174" s="1"/>
  <c r="F191" i="174"/>
  <c r="I191" i="174" s="1"/>
  <c r="F190" i="174"/>
  <c r="I190" i="174" s="1"/>
  <c r="F189" i="174"/>
  <c r="I189" i="174" s="1"/>
  <c r="F188" i="174"/>
  <c r="I188" i="174" s="1"/>
  <c r="F187" i="174"/>
  <c r="I187" i="174" s="1"/>
  <c r="F186" i="174"/>
  <c r="I186" i="174" s="1"/>
  <c r="F185" i="174"/>
  <c r="I185" i="174" s="1"/>
  <c r="F184" i="174"/>
  <c r="I184" i="174" s="1"/>
  <c r="F183" i="174"/>
  <c r="I183" i="174" s="1"/>
  <c r="F182" i="174"/>
  <c r="I182" i="174" s="1"/>
  <c r="F181" i="174"/>
  <c r="I181" i="174" s="1"/>
  <c r="F180" i="174"/>
  <c r="I180" i="174" s="1"/>
  <c r="F179" i="174"/>
  <c r="I179" i="174" s="1"/>
  <c r="F178" i="174"/>
  <c r="I178" i="174" s="1"/>
  <c r="F177" i="174"/>
  <c r="I177" i="174" s="1"/>
  <c r="F176" i="174"/>
  <c r="I176" i="174" s="1"/>
  <c r="F175" i="174"/>
  <c r="I175" i="174" s="1"/>
  <c r="F174" i="174"/>
  <c r="I174" i="174" s="1"/>
  <c r="F173" i="174"/>
  <c r="I173" i="174" s="1"/>
  <c r="F172" i="174"/>
  <c r="I172" i="174" s="1"/>
  <c r="F171" i="174"/>
  <c r="I171" i="174" s="1"/>
  <c r="F170" i="174"/>
  <c r="I170" i="174" s="1"/>
  <c r="F169" i="174"/>
  <c r="I169" i="174" s="1"/>
  <c r="F201" i="53"/>
  <c r="I201" i="53" s="1"/>
  <c r="F200" i="53"/>
  <c r="I200" i="53" s="1"/>
  <c r="F199" i="53"/>
  <c r="I199" i="53" s="1"/>
  <c r="F198" i="53"/>
  <c r="I198" i="53" s="1"/>
  <c r="F197" i="53"/>
  <c r="I197" i="53" s="1"/>
  <c r="F196" i="53"/>
  <c r="I196" i="53" s="1"/>
  <c r="F195" i="53"/>
  <c r="I195" i="53" s="1"/>
  <c r="F194" i="53"/>
  <c r="I194" i="53" s="1"/>
  <c r="F193" i="53"/>
  <c r="I193" i="53" s="1"/>
  <c r="F192" i="53"/>
  <c r="I192" i="53" s="1"/>
  <c r="F191" i="53"/>
  <c r="I191" i="53" s="1"/>
  <c r="F190" i="53"/>
  <c r="I190" i="53" s="1"/>
  <c r="F189" i="53"/>
  <c r="I189" i="53" s="1"/>
  <c r="F188" i="53"/>
  <c r="I188" i="53" s="1"/>
  <c r="F187" i="53"/>
  <c r="I187" i="53" s="1"/>
  <c r="F186" i="53"/>
  <c r="I186" i="53" s="1"/>
  <c r="F185" i="53"/>
  <c r="I185" i="53" s="1"/>
  <c r="F184" i="53"/>
  <c r="I184" i="53" s="1"/>
  <c r="F183" i="53"/>
  <c r="I183" i="53" s="1"/>
  <c r="F182" i="53"/>
  <c r="I182" i="53" s="1"/>
  <c r="F181" i="53"/>
  <c r="I181" i="53" s="1"/>
  <c r="F180" i="53"/>
  <c r="I180" i="53" s="1"/>
  <c r="F179" i="53"/>
  <c r="I179" i="53" s="1"/>
  <c r="F178" i="53"/>
  <c r="I178" i="53" s="1"/>
  <c r="F177" i="53"/>
  <c r="I177" i="53" s="1"/>
  <c r="F176" i="53"/>
  <c r="I176" i="53" s="1"/>
  <c r="F175" i="53"/>
  <c r="I175" i="53" s="1"/>
  <c r="F174" i="53"/>
  <c r="I174" i="53" s="1"/>
  <c r="F173" i="53"/>
  <c r="I173" i="53" s="1"/>
  <c r="F172" i="53"/>
  <c r="I172" i="53" s="1"/>
  <c r="F171" i="53"/>
  <c r="I171" i="53" s="1"/>
  <c r="F170" i="53"/>
  <c r="I170" i="53" s="1"/>
  <c r="F169" i="53"/>
  <c r="I169" i="53" s="1"/>
  <c r="F201" i="98"/>
  <c r="I201" i="98" s="1"/>
  <c r="F200" i="98"/>
  <c r="I200" i="98" s="1"/>
  <c r="F199" i="98"/>
  <c r="I199" i="98" s="1"/>
  <c r="F198" i="98"/>
  <c r="I198" i="98" s="1"/>
  <c r="F197" i="98"/>
  <c r="I197" i="98" s="1"/>
  <c r="F196" i="98"/>
  <c r="I196" i="98" s="1"/>
  <c r="F195" i="98"/>
  <c r="I195" i="98" s="1"/>
  <c r="F194" i="98"/>
  <c r="I194" i="98" s="1"/>
  <c r="F193" i="98"/>
  <c r="I193" i="98" s="1"/>
  <c r="F192" i="98"/>
  <c r="I192" i="98" s="1"/>
  <c r="F191" i="98"/>
  <c r="I191" i="98" s="1"/>
  <c r="F190" i="98"/>
  <c r="I190" i="98" s="1"/>
  <c r="F189" i="98"/>
  <c r="I189" i="98" s="1"/>
  <c r="F188" i="98"/>
  <c r="I188" i="98" s="1"/>
  <c r="F187" i="98"/>
  <c r="I187" i="98" s="1"/>
  <c r="F186" i="98"/>
  <c r="I186" i="98" s="1"/>
  <c r="F185" i="98"/>
  <c r="I185" i="98" s="1"/>
  <c r="F184" i="98"/>
  <c r="I184" i="98" s="1"/>
  <c r="F183" i="98"/>
  <c r="I183" i="98" s="1"/>
  <c r="F182" i="98"/>
  <c r="I182" i="98" s="1"/>
  <c r="F181" i="98"/>
  <c r="I181" i="98" s="1"/>
  <c r="F180" i="98"/>
  <c r="I180" i="98" s="1"/>
  <c r="F179" i="98"/>
  <c r="I179" i="98" s="1"/>
  <c r="F178" i="98"/>
  <c r="I178" i="98" s="1"/>
  <c r="F177" i="98"/>
  <c r="I177" i="98" s="1"/>
  <c r="F176" i="98"/>
  <c r="I176" i="98" s="1"/>
  <c r="F175" i="98"/>
  <c r="I175" i="98" s="1"/>
  <c r="F174" i="98"/>
  <c r="I174" i="98" s="1"/>
  <c r="F173" i="98"/>
  <c r="I173" i="98" s="1"/>
  <c r="F172" i="98"/>
  <c r="I172" i="98" s="1"/>
  <c r="F171" i="98"/>
  <c r="I171" i="98" s="1"/>
  <c r="F170" i="98"/>
  <c r="I170" i="98" s="1"/>
  <c r="F169" i="98"/>
  <c r="I169" i="98" s="1"/>
  <c r="F201" i="49"/>
  <c r="I201" i="49" s="1"/>
  <c r="F200" i="49"/>
  <c r="I200" i="49" s="1"/>
  <c r="F199" i="49"/>
  <c r="I199" i="49" s="1"/>
  <c r="F198" i="49"/>
  <c r="I198" i="49" s="1"/>
  <c r="F197" i="49"/>
  <c r="I197" i="49" s="1"/>
  <c r="F196" i="49"/>
  <c r="I196" i="49" s="1"/>
  <c r="F195" i="49"/>
  <c r="I195" i="49" s="1"/>
  <c r="F194" i="49"/>
  <c r="I194" i="49" s="1"/>
  <c r="F193" i="49"/>
  <c r="I193" i="49" s="1"/>
  <c r="F192" i="49"/>
  <c r="I192" i="49" s="1"/>
  <c r="F191" i="49"/>
  <c r="I191" i="49" s="1"/>
  <c r="F190" i="49"/>
  <c r="I190" i="49" s="1"/>
  <c r="F189" i="49"/>
  <c r="I189" i="49" s="1"/>
  <c r="F188" i="49"/>
  <c r="I188" i="49" s="1"/>
  <c r="F187" i="49"/>
  <c r="I187" i="49" s="1"/>
  <c r="F186" i="49"/>
  <c r="I186" i="49" s="1"/>
  <c r="F185" i="49"/>
  <c r="I185" i="49" s="1"/>
  <c r="F184" i="49"/>
  <c r="I184" i="49" s="1"/>
  <c r="F183" i="49"/>
  <c r="I183" i="49" s="1"/>
  <c r="F182" i="49"/>
  <c r="I182" i="49" s="1"/>
  <c r="F181" i="49"/>
  <c r="I181" i="49" s="1"/>
  <c r="F180" i="49"/>
  <c r="I180" i="49" s="1"/>
  <c r="F179" i="49"/>
  <c r="I179" i="49" s="1"/>
  <c r="F178" i="49"/>
  <c r="I178" i="49" s="1"/>
  <c r="F177" i="49"/>
  <c r="I177" i="49" s="1"/>
  <c r="F176" i="49"/>
  <c r="I176" i="49" s="1"/>
  <c r="F175" i="49"/>
  <c r="I175" i="49" s="1"/>
  <c r="F174" i="49"/>
  <c r="I174" i="49" s="1"/>
  <c r="F173" i="49"/>
  <c r="I173" i="49" s="1"/>
  <c r="F172" i="49"/>
  <c r="I172" i="49" s="1"/>
  <c r="F171" i="49"/>
  <c r="I171" i="49" s="1"/>
  <c r="F170" i="49"/>
  <c r="I170" i="49" s="1"/>
  <c r="F169" i="49"/>
  <c r="I169" i="49" s="1"/>
  <c r="F201" i="83"/>
  <c r="F200" i="83"/>
  <c r="F199" i="83"/>
  <c r="F198" i="83"/>
  <c r="F197" i="83"/>
  <c r="F196" i="83"/>
  <c r="F195" i="83"/>
  <c r="F194" i="83"/>
  <c r="F193" i="83"/>
  <c r="F192" i="83"/>
  <c r="F191" i="83"/>
  <c r="F190" i="83"/>
  <c r="F189" i="83"/>
  <c r="F188" i="83"/>
  <c r="F187" i="83"/>
  <c r="F186" i="83"/>
  <c r="F185" i="83"/>
  <c r="F184" i="83"/>
  <c r="F183" i="83"/>
  <c r="F182" i="83"/>
  <c r="F181" i="83"/>
  <c r="F180" i="83"/>
  <c r="F179" i="83"/>
  <c r="F178" i="83"/>
  <c r="F177" i="83"/>
  <c r="F176" i="83"/>
  <c r="F175" i="83"/>
  <c r="F174" i="83"/>
  <c r="F173" i="83"/>
  <c r="F172" i="83"/>
  <c r="F171" i="83"/>
  <c r="F170" i="83"/>
  <c r="F169" i="83"/>
  <c r="F201" i="46"/>
  <c r="I201" i="46" s="1"/>
  <c r="F200" i="46"/>
  <c r="I200" i="46" s="1"/>
  <c r="F199" i="46"/>
  <c r="I199" i="46" s="1"/>
  <c r="F198" i="46"/>
  <c r="I198" i="46" s="1"/>
  <c r="F197" i="46"/>
  <c r="I197" i="46" s="1"/>
  <c r="F196" i="46"/>
  <c r="I196" i="46" s="1"/>
  <c r="F195" i="46"/>
  <c r="I195" i="46" s="1"/>
  <c r="F194" i="46"/>
  <c r="I194" i="46" s="1"/>
  <c r="F193" i="46"/>
  <c r="I193" i="46" s="1"/>
  <c r="F192" i="46"/>
  <c r="I192" i="46" s="1"/>
  <c r="F191" i="46"/>
  <c r="I191" i="46" s="1"/>
  <c r="F190" i="46"/>
  <c r="I190" i="46" s="1"/>
  <c r="F189" i="46"/>
  <c r="I189" i="46" s="1"/>
  <c r="F188" i="46"/>
  <c r="I188" i="46" s="1"/>
  <c r="F187" i="46"/>
  <c r="I187" i="46" s="1"/>
  <c r="F186" i="46"/>
  <c r="I186" i="46" s="1"/>
  <c r="F185" i="46"/>
  <c r="I185" i="46" s="1"/>
  <c r="F184" i="46"/>
  <c r="I184" i="46" s="1"/>
  <c r="F183" i="46"/>
  <c r="I183" i="46" s="1"/>
  <c r="F182" i="46"/>
  <c r="I182" i="46" s="1"/>
  <c r="F181" i="46"/>
  <c r="I181" i="46" s="1"/>
  <c r="F180" i="46"/>
  <c r="I180" i="46" s="1"/>
  <c r="F179" i="46"/>
  <c r="I179" i="46" s="1"/>
  <c r="F178" i="46"/>
  <c r="I178" i="46" s="1"/>
  <c r="F177" i="46"/>
  <c r="I177" i="46" s="1"/>
  <c r="F176" i="46"/>
  <c r="I176" i="46" s="1"/>
  <c r="F175" i="46"/>
  <c r="I175" i="46" s="1"/>
  <c r="F174" i="46"/>
  <c r="I174" i="46" s="1"/>
  <c r="F173" i="46"/>
  <c r="I173" i="46" s="1"/>
  <c r="F172" i="46"/>
  <c r="I172" i="46" s="1"/>
  <c r="F171" i="46"/>
  <c r="I171" i="46" s="1"/>
  <c r="F170" i="46"/>
  <c r="I170" i="46" s="1"/>
  <c r="F169" i="46"/>
  <c r="I169" i="46" s="1"/>
  <c r="F201" i="102"/>
  <c r="I201" i="102" s="1"/>
  <c r="F200" i="102"/>
  <c r="I200" i="102" s="1"/>
  <c r="F199" i="102"/>
  <c r="I199" i="102" s="1"/>
  <c r="F198" i="102"/>
  <c r="I198" i="102" s="1"/>
  <c r="F197" i="102"/>
  <c r="I197" i="102" s="1"/>
  <c r="F196" i="102"/>
  <c r="I196" i="102" s="1"/>
  <c r="F195" i="102"/>
  <c r="I195" i="102" s="1"/>
  <c r="F194" i="102"/>
  <c r="I194" i="102" s="1"/>
  <c r="F193" i="102"/>
  <c r="I193" i="102" s="1"/>
  <c r="F192" i="102"/>
  <c r="I192" i="102" s="1"/>
  <c r="F191" i="102"/>
  <c r="I191" i="102" s="1"/>
  <c r="F190" i="102"/>
  <c r="I190" i="102" s="1"/>
  <c r="F189" i="102"/>
  <c r="I189" i="102" s="1"/>
  <c r="F188" i="102"/>
  <c r="I188" i="102" s="1"/>
  <c r="F187" i="102"/>
  <c r="I187" i="102" s="1"/>
  <c r="F186" i="102"/>
  <c r="I186" i="102" s="1"/>
  <c r="F185" i="102"/>
  <c r="I185" i="102" s="1"/>
  <c r="F184" i="102"/>
  <c r="I184" i="102" s="1"/>
  <c r="F183" i="102"/>
  <c r="I183" i="102" s="1"/>
  <c r="F182" i="102"/>
  <c r="I182" i="102" s="1"/>
  <c r="F181" i="102"/>
  <c r="I181" i="102" s="1"/>
  <c r="F180" i="102"/>
  <c r="I180" i="102" s="1"/>
  <c r="F179" i="102"/>
  <c r="I179" i="102" s="1"/>
  <c r="F178" i="102"/>
  <c r="I178" i="102" s="1"/>
  <c r="F177" i="102"/>
  <c r="I177" i="102" s="1"/>
  <c r="F176" i="102"/>
  <c r="I176" i="102" s="1"/>
  <c r="F175" i="102"/>
  <c r="I175" i="102" s="1"/>
  <c r="F174" i="102"/>
  <c r="I174" i="102" s="1"/>
  <c r="F173" i="102"/>
  <c r="I173" i="102" s="1"/>
  <c r="F172" i="102"/>
  <c r="I172" i="102" s="1"/>
  <c r="F171" i="102"/>
  <c r="I171" i="102" s="1"/>
  <c r="F170" i="102"/>
  <c r="I170" i="102" s="1"/>
  <c r="F169" i="102"/>
  <c r="I169" i="102" s="1"/>
  <c r="F201" i="43"/>
  <c r="I201" i="43" s="1"/>
  <c r="F200" i="43"/>
  <c r="I200" i="43" s="1"/>
  <c r="F199" i="43"/>
  <c r="I199" i="43" s="1"/>
  <c r="F198" i="43"/>
  <c r="I198" i="43" s="1"/>
  <c r="F197" i="43"/>
  <c r="I197" i="43" s="1"/>
  <c r="F196" i="43"/>
  <c r="I196" i="43" s="1"/>
  <c r="F195" i="43"/>
  <c r="I195" i="43" s="1"/>
  <c r="F194" i="43"/>
  <c r="I194" i="43" s="1"/>
  <c r="F193" i="43"/>
  <c r="I193" i="43" s="1"/>
  <c r="F192" i="43"/>
  <c r="I192" i="43" s="1"/>
  <c r="F191" i="43"/>
  <c r="I191" i="43" s="1"/>
  <c r="F190" i="43"/>
  <c r="I190" i="43" s="1"/>
  <c r="F189" i="43"/>
  <c r="I189" i="43" s="1"/>
  <c r="F188" i="43"/>
  <c r="I188" i="43" s="1"/>
  <c r="F187" i="43"/>
  <c r="I187" i="43" s="1"/>
  <c r="F186" i="43"/>
  <c r="I186" i="43" s="1"/>
  <c r="F185" i="43"/>
  <c r="I185" i="43" s="1"/>
  <c r="F184" i="43"/>
  <c r="I184" i="43" s="1"/>
  <c r="F183" i="43"/>
  <c r="I183" i="43" s="1"/>
  <c r="F182" i="43"/>
  <c r="I182" i="43" s="1"/>
  <c r="F181" i="43"/>
  <c r="I181" i="43" s="1"/>
  <c r="F180" i="43"/>
  <c r="I180" i="43" s="1"/>
  <c r="F179" i="43"/>
  <c r="I179" i="43" s="1"/>
  <c r="F178" i="43"/>
  <c r="I178" i="43" s="1"/>
  <c r="F177" i="43"/>
  <c r="I177" i="43" s="1"/>
  <c r="F176" i="43"/>
  <c r="I176" i="43" s="1"/>
  <c r="F175" i="43"/>
  <c r="I175" i="43" s="1"/>
  <c r="F174" i="43"/>
  <c r="I174" i="43" s="1"/>
  <c r="F173" i="43"/>
  <c r="I173" i="43" s="1"/>
  <c r="F172" i="43"/>
  <c r="I172" i="43" s="1"/>
  <c r="F171" i="43"/>
  <c r="I171" i="43" s="1"/>
  <c r="F170" i="43"/>
  <c r="I170" i="43" s="1"/>
  <c r="F169" i="43"/>
  <c r="I169" i="43" s="1"/>
  <c r="F201" i="175"/>
  <c r="I201" i="175" s="1"/>
  <c r="F200" i="175"/>
  <c r="I200" i="175" s="1"/>
  <c r="F199" i="175"/>
  <c r="I199" i="175" s="1"/>
  <c r="F198" i="175"/>
  <c r="I198" i="175" s="1"/>
  <c r="F197" i="175"/>
  <c r="I197" i="175" s="1"/>
  <c r="F196" i="175"/>
  <c r="I196" i="175" s="1"/>
  <c r="F195" i="175"/>
  <c r="I195" i="175" s="1"/>
  <c r="F194" i="175"/>
  <c r="I194" i="175" s="1"/>
  <c r="F193" i="175"/>
  <c r="I193" i="175" s="1"/>
  <c r="F192" i="175"/>
  <c r="I192" i="175" s="1"/>
  <c r="F191" i="175"/>
  <c r="I191" i="175" s="1"/>
  <c r="F190" i="175"/>
  <c r="I190" i="175" s="1"/>
  <c r="F189" i="175"/>
  <c r="I189" i="175" s="1"/>
  <c r="F188" i="175"/>
  <c r="I188" i="175" s="1"/>
  <c r="F187" i="175"/>
  <c r="I187" i="175" s="1"/>
  <c r="F186" i="175"/>
  <c r="I186" i="175" s="1"/>
  <c r="F185" i="175"/>
  <c r="I185" i="175" s="1"/>
  <c r="F184" i="175"/>
  <c r="I184" i="175" s="1"/>
  <c r="F183" i="175"/>
  <c r="I183" i="175" s="1"/>
  <c r="F182" i="175"/>
  <c r="I182" i="175" s="1"/>
  <c r="F181" i="175"/>
  <c r="I181" i="175" s="1"/>
  <c r="F180" i="175"/>
  <c r="I180" i="175" s="1"/>
  <c r="F179" i="175"/>
  <c r="I179" i="175" s="1"/>
  <c r="F178" i="175"/>
  <c r="I178" i="175" s="1"/>
  <c r="F177" i="175"/>
  <c r="I177" i="175" s="1"/>
  <c r="F176" i="175"/>
  <c r="I176" i="175" s="1"/>
  <c r="F175" i="175"/>
  <c r="I175" i="175" s="1"/>
  <c r="F174" i="175"/>
  <c r="I174" i="175" s="1"/>
  <c r="F173" i="175"/>
  <c r="I173" i="175" s="1"/>
  <c r="F172" i="175"/>
  <c r="I172" i="175" s="1"/>
  <c r="F171" i="175"/>
  <c r="I171" i="175" s="1"/>
  <c r="F170" i="175"/>
  <c r="I170" i="175" s="1"/>
  <c r="F169" i="175"/>
  <c r="I169" i="175" s="1"/>
  <c r="F201" i="57"/>
  <c r="I201" i="57" s="1"/>
  <c r="F200" i="57"/>
  <c r="I200" i="57" s="1"/>
  <c r="F199" i="57"/>
  <c r="I199" i="57" s="1"/>
  <c r="F198" i="57"/>
  <c r="I198" i="57" s="1"/>
  <c r="F197" i="57"/>
  <c r="I197" i="57" s="1"/>
  <c r="F196" i="57"/>
  <c r="I196" i="57" s="1"/>
  <c r="F195" i="57"/>
  <c r="I195" i="57" s="1"/>
  <c r="F194" i="57"/>
  <c r="I194" i="57" s="1"/>
  <c r="F193" i="57"/>
  <c r="I193" i="57" s="1"/>
  <c r="F192" i="57"/>
  <c r="I192" i="57" s="1"/>
  <c r="F191" i="57"/>
  <c r="I191" i="57" s="1"/>
  <c r="F190" i="57"/>
  <c r="I190" i="57" s="1"/>
  <c r="F189" i="57"/>
  <c r="I189" i="57" s="1"/>
  <c r="F188" i="57"/>
  <c r="I188" i="57" s="1"/>
  <c r="F187" i="57"/>
  <c r="I187" i="57" s="1"/>
  <c r="F186" i="57"/>
  <c r="I186" i="57" s="1"/>
  <c r="F185" i="57"/>
  <c r="I185" i="57" s="1"/>
  <c r="F184" i="57"/>
  <c r="I184" i="57" s="1"/>
  <c r="F183" i="57"/>
  <c r="I183" i="57" s="1"/>
  <c r="F182" i="57"/>
  <c r="I182" i="57" s="1"/>
  <c r="F181" i="57"/>
  <c r="I181" i="57" s="1"/>
  <c r="F180" i="57"/>
  <c r="I180" i="57" s="1"/>
  <c r="F179" i="57"/>
  <c r="I179" i="57" s="1"/>
  <c r="F178" i="57"/>
  <c r="I178" i="57" s="1"/>
  <c r="F177" i="57"/>
  <c r="I177" i="57" s="1"/>
  <c r="F176" i="57"/>
  <c r="I176" i="57" s="1"/>
  <c r="F175" i="57"/>
  <c r="I175" i="57" s="1"/>
  <c r="F174" i="57"/>
  <c r="I174" i="57" s="1"/>
  <c r="F173" i="57"/>
  <c r="I173" i="57" s="1"/>
  <c r="F172" i="57"/>
  <c r="I172" i="57" s="1"/>
  <c r="F171" i="57"/>
  <c r="I171" i="57" s="1"/>
  <c r="F170" i="57"/>
  <c r="I170" i="57" s="1"/>
  <c r="F169" i="57"/>
  <c r="I169" i="57" s="1"/>
  <c r="F201" i="84"/>
  <c r="I201" i="84" s="1"/>
  <c r="F200" i="84"/>
  <c r="I200" i="84" s="1"/>
  <c r="F199" i="84"/>
  <c r="I199" i="84" s="1"/>
  <c r="F198" i="84"/>
  <c r="I198" i="84" s="1"/>
  <c r="F197" i="84"/>
  <c r="I197" i="84" s="1"/>
  <c r="F196" i="84"/>
  <c r="I196" i="84" s="1"/>
  <c r="F195" i="84"/>
  <c r="I195" i="84" s="1"/>
  <c r="F194" i="84"/>
  <c r="I194" i="84" s="1"/>
  <c r="F193" i="84"/>
  <c r="I193" i="84" s="1"/>
  <c r="F192" i="84"/>
  <c r="I192" i="84" s="1"/>
  <c r="F191" i="84"/>
  <c r="I191" i="84" s="1"/>
  <c r="F190" i="84"/>
  <c r="I190" i="84" s="1"/>
  <c r="F189" i="84"/>
  <c r="I189" i="84" s="1"/>
  <c r="F188" i="84"/>
  <c r="I188" i="84" s="1"/>
  <c r="F187" i="84"/>
  <c r="I187" i="84" s="1"/>
  <c r="F186" i="84"/>
  <c r="I186" i="84" s="1"/>
  <c r="F185" i="84"/>
  <c r="I185" i="84" s="1"/>
  <c r="F184" i="84"/>
  <c r="I184" i="84" s="1"/>
  <c r="F183" i="84"/>
  <c r="I183" i="84" s="1"/>
  <c r="F182" i="84"/>
  <c r="I182" i="84" s="1"/>
  <c r="F181" i="84"/>
  <c r="I181" i="84" s="1"/>
  <c r="F180" i="84"/>
  <c r="I180" i="84" s="1"/>
  <c r="F179" i="84"/>
  <c r="I179" i="84" s="1"/>
  <c r="F178" i="84"/>
  <c r="I178" i="84" s="1"/>
  <c r="F177" i="84"/>
  <c r="I177" i="84" s="1"/>
  <c r="F176" i="84"/>
  <c r="I176" i="84" s="1"/>
  <c r="F175" i="84"/>
  <c r="I175" i="84" s="1"/>
  <c r="F174" i="84"/>
  <c r="I174" i="84" s="1"/>
  <c r="F173" i="84"/>
  <c r="I173" i="84" s="1"/>
  <c r="F172" i="84"/>
  <c r="I172" i="84" s="1"/>
  <c r="F171" i="84"/>
  <c r="I171" i="84" s="1"/>
  <c r="F170" i="84"/>
  <c r="I170" i="84" s="1"/>
  <c r="F169" i="84"/>
  <c r="I169" i="84" s="1"/>
  <c r="F201" i="167"/>
  <c r="I201" i="167" s="1"/>
  <c r="F200" i="167"/>
  <c r="I200" i="167" s="1"/>
  <c r="F199" i="167"/>
  <c r="I199" i="167" s="1"/>
  <c r="F198" i="167"/>
  <c r="I198" i="167" s="1"/>
  <c r="F197" i="167"/>
  <c r="I197" i="167" s="1"/>
  <c r="F196" i="167"/>
  <c r="I196" i="167" s="1"/>
  <c r="F195" i="167"/>
  <c r="I195" i="167" s="1"/>
  <c r="F194" i="167"/>
  <c r="I194" i="167" s="1"/>
  <c r="F193" i="167"/>
  <c r="I193" i="167" s="1"/>
  <c r="F192" i="167"/>
  <c r="I192" i="167" s="1"/>
  <c r="F191" i="167"/>
  <c r="I191" i="167" s="1"/>
  <c r="F190" i="167"/>
  <c r="I190" i="167" s="1"/>
  <c r="F189" i="167"/>
  <c r="I189" i="167" s="1"/>
  <c r="F188" i="167"/>
  <c r="I188" i="167" s="1"/>
  <c r="F187" i="167"/>
  <c r="I187" i="167" s="1"/>
  <c r="F186" i="167"/>
  <c r="I186" i="167" s="1"/>
  <c r="F185" i="167"/>
  <c r="I185" i="167" s="1"/>
  <c r="F184" i="167"/>
  <c r="I184" i="167" s="1"/>
  <c r="F183" i="167"/>
  <c r="I183" i="167" s="1"/>
  <c r="F182" i="167"/>
  <c r="I182" i="167" s="1"/>
  <c r="F181" i="167"/>
  <c r="I181" i="167" s="1"/>
  <c r="F180" i="167"/>
  <c r="I180" i="167" s="1"/>
  <c r="F179" i="167"/>
  <c r="I179" i="167" s="1"/>
  <c r="F178" i="167"/>
  <c r="I178" i="167" s="1"/>
  <c r="F177" i="167"/>
  <c r="I177" i="167" s="1"/>
  <c r="F176" i="167"/>
  <c r="I176" i="167" s="1"/>
  <c r="F175" i="167"/>
  <c r="I175" i="167" s="1"/>
  <c r="F174" i="167"/>
  <c r="I174" i="167" s="1"/>
  <c r="F173" i="167"/>
  <c r="I173" i="167" s="1"/>
  <c r="F172" i="167"/>
  <c r="I172" i="167" s="1"/>
  <c r="F171" i="167"/>
  <c r="I171" i="167" s="1"/>
  <c r="F170" i="167"/>
  <c r="I170" i="167" s="1"/>
  <c r="F169" i="167"/>
  <c r="I169" i="167" s="1"/>
  <c r="F201" i="39"/>
  <c r="I201" i="39" s="1"/>
  <c r="F200" i="39"/>
  <c r="I200" i="39" s="1"/>
  <c r="F199" i="39"/>
  <c r="I199" i="39" s="1"/>
  <c r="F198" i="39"/>
  <c r="I198" i="39" s="1"/>
  <c r="F197" i="39"/>
  <c r="I197" i="39" s="1"/>
  <c r="F196" i="39"/>
  <c r="I196" i="39" s="1"/>
  <c r="F195" i="39"/>
  <c r="I195" i="39" s="1"/>
  <c r="F194" i="39"/>
  <c r="I194" i="39" s="1"/>
  <c r="F193" i="39"/>
  <c r="I193" i="39" s="1"/>
  <c r="F192" i="39"/>
  <c r="I192" i="39" s="1"/>
  <c r="F191" i="39"/>
  <c r="I191" i="39" s="1"/>
  <c r="F190" i="39"/>
  <c r="I190" i="39" s="1"/>
  <c r="F189" i="39"/>
  <c r="I189" i="39" s="1"/>
  <c r="F188" i="39"/>
  <c r="I188" i="39" s="1"/>
  <c r="F187" i="39"/>
  <c r="I187" i="39" s="1"/>
  <c r="F186" i="39"/>
  <c r="I186" i="39" s="1"/>
  <c r="F185" i="39"/>
  <c r="I185" i="39" s="1"/>
  <c r="F184" i="39"/>
  <c r="I184" i="39" s="1"/>
  <c r="F183" i="39"/>
  <c r="I183" i="39" s="1"/>
  <c r="F182" i="39"/>
  <c r="I182" i="39" s="1"/>
  <c r="F181" i="39"/>
  <c r="I181" i="39" s="1"/>
  <c r="F180" i="39"/>
  <c r="I180" i="39" s="1"/>
  <c r="F179" i="39"/>
  <c r="I179" i="39" s="1"/>
  <c r="F178" i="39"/>
  <c r="I178" i="39" s="1"/>
  <c r="F177" i="39"/>
  <c r="I177" i="39" s="1"/>
  <c r="F176" i="39"/>
  <c r="I176" i="39" s="1"/>
  <c r="F175" i="39"/>
  <c r="I175" i="39" s="1"/>
  <c r="F174" i="39"/>
  <c r="I174" i="39" s="1"/>
  <c r="F173" i="39"/>
  <c r="I173" i="39" s="1"/>
  <c r="F172" i="39"/>
  <c r="I172" i="39" s="1"/>
  <c r="F171" i="39"/>
  <c r="I171" i="39" s="1"/>
  <c r="F170" i="39"/>
  <c r="I170" i="39" s="1"/>
  <c r="F169" i="39"/>
  <c r="I169" i="39" s="1"/>
  <c r="F201" i="135"/>
  <c r="I201" i="135" s="1"/>
  <c r="F200" i="135"/>
  <c r="I200" i="135" s="1"/>
  <c r="F199" i="135"/>
  <c r="I199" i="135" s="1"/>
  <c r="F198" i="135"/>
  <c r="I198" i="135" s="1"/>
  <c r="F197" i="135"/>
  <c r="I197" i="135" s="1"/>
  <c r="F196" i="135"/>
  <c r="I196" i="135" s="1"/>
  <c r="F195" i="135"/>
  <c r="I195" i="135" s="1"/>
  <c r="F194" i="135"/>
  <c r="I194" i="135" s="1"/>
  <c r="F193" i="135"/>
  <c r="I193" i="135" s="1"/>
  <c r="F192" i="135"/>
  <c r="I192" i="135" s="1"/>
  <c r="F191" i="135"/>
  <c r="I191" i="135" s="1"/>
  <c r="F190" i="135"/>
  <c r="I190" i="135" s="1"/>
  <c r="F189" i="135"/>
  <c r="I189" i="135" s="1"/>
  <c r="F188" i="135"/>
  <c r="I188" i="135" s="1"/>
  <c r="F187" i="135"/>
  <c r="I187" i="135" s="1"/>
  <c r="F186" i="135"/>
  <c r="I186" i="135" s="1"/>
  <c r="F185" i="135"/>
  <c r="I185" i="135" s="1"/>
  <c r="F184" i="135"/>
  <c r="I184" i="135" s="1"/>
  <c r="F183" i="135"/>
  <c r="I183" i="135" s="1"/>
  <c r="F182" i="135"/>
  <c r="I182" i="135" s="1"/>
  <c r="F181" i="135"/>
  <c r="I181" i="135" s="1"/>
  <c r="F180" i="135"/>
  <c r="I180" i="135" s="1"/>
  <c r="F179" i="135"/>
  <c r="I179" i="135" s="1"/>
  <c r="F178" i="135"/>
  <c r="I178" i="135" s="1"/>
  <c r="F177" i="135"/>
  <c r="I177" i="135" s="1"/>
  <c r="F176" i="135"/>
  <c r="I176" i="135" s="1"/>
  <c r="F175" i="135"/>
  <c r="I175" i="135" s="1"/>
  <c r="F174" i="135"/>
  <c r="I174" i="135" s="1"/>
  <c r="F173" i="135"/>
  <c r="I173" i="135" s="1"/>
  <c r="F172" i="135"/>
  <c r="I172" i="135" s="1"/>
  <c r="F171" i="135"/>
  <c r="I171" i="135" s="1"/>
  <c r="F170" i="135"/>
  <c r="I170" i="135" s="1"/>
  <c r="F169" i="135"/>
  <c r="I169" i="135" s="1"/>
  <c r="F201" i="38"/>
  <c r="I201" i="38" s="1"/>
  <c r="F200" i="38"/>
  <c r="I200" i="38" s="1"/>
  <c r="F199" i="38"/>
  <c r="I199" i="38" s="1"/>
  <c r="F198" i="38"/>
  <c r="I198" i="38" s="1"/>
  <c r="F197" i="38"/>
  <c r="I197" i="38" s="1"/>
  <c r="F196" i="38"/>
  <c r="I196" i="38" s="1"/>
  <c r="F195" i="38"/>
  <c r="I195" i="38" s="1"/>
  <c r="F194" i="38"/>
  <c r="I194" i="38" s="1"/>
  <c r="F193" i="38"/>
  <c r="I193" i="38" s="1"/>
  <c r="F192" i="38"/>
  <c r="I192" i="38" s="1"/>
  <c r="F191" i="38"/>
  <c r="I191" i="38" s="1"/>
  <c r="F190" i="38"/>
  <c r="I190" i="38" s="1"/>
  <c r="F189" i="38"/>
  <c r="I189" i="38" s="1"/>
  <c r="F188" i="38"/>
  <c r="I188" i="38" s="1"/>
  <c r="F187" i="38"/>
  <c r="I187" i="38" s="1"/>
  <c r="F186" i="38"/>
  <c r="I186" i="38" s="1"/>
  <c r="F185" i="38"/>
  <c r="I185" i="38" s="1"/>
  <c r="F184" i="38"/>
  <c r="I184" i="38" s="1"/>
  <c r="F183" i="38"/>
  <c r="I183" i="38" s="1"/>
  <c r="F182" i="38"/>
  <c r="I182" i="38" s="1"/>
  <c r="F181" i="38"/>
  <c r="I181" i="38" s="1"/>
  <c r="F180" i="38"/>
  <c r="I180" i="38" s="1"/>
  <c r="F179" i="38"/>
  <c r="I179" i="38" s="1"/>
  <c r="F178" i="38"/>
  <c r="I178" i="38" s="1"/>
  <c r="F177" i="38"/>
  <c r="I177" i="38" s="1"/>
  <c r="F176" i="38"/>
  <c r="I176" i="38" s="1"/>
  <c r="F175" i="38"/>
  <c r="I175" i="38" s="1"/>
  <c r="F174" i="38"/>
  <c r="I174" i="38" s="1"/>
  <c r="F173" i="38"/>
  <c r="I173" i="38" s="1"/>
  <c r="F172" i="38"/>
  <c r="I172" i="38" s="1"/>
  <c r="F171" i="38"/>
  <c r="I171" i="38" s="1"/>
  <c r="F170" i="38"/>
  <c r="I170" i="38" s="1"/>
  <c r="F169" i="38"/>
  <c r="I169" i="38" s="1"/>
  <c r="F201" i="103"/>
  <c r="I201" i="103" s="1"/>
  <c r="F200" i="103"/>
  <c r="I200" i="103" s="1"/>
  <c r="F199" i="103"/>
  <c r="I199" i="103" s="1"/>
  <c r="F198" i="103"/>
  <c r="I198" i="103" s="1"/>
  <c r="F197" i="103"/>
  <c r="I197" i="103" s="1"/>
  <c r="F196" i="103"/>
  <c r="I196" i="103" s="1"/>
  <c r="F195" i="103"/>
  <c r="I195" i="103" s="1"/>
  <c r="F194" i="103"/>
  <c r="I194" i="103" s="1"/>
  <c r="F193" i="103"/>
  <c r="I193" i="103" s="1"/>
  <c r="F192" i="103"/>
  <c r="I192" i="103" s="1"/>
  <c r="F191" i="103"/>
  <c r="I191" i="103" s="1"/>
  <c r="F190" i="103"/>
  <c r="I190" i="103" s="1"/>
  <c r="F189" i="103"/>
  <c r="I189" i="103" s="1"/>
  <c r="F188" i="103"/>
  <c r="I188" i="103" s="1"/>
  <c r="F187" i="103"/>
  <c r="I187" i="103" s="1"/>
  <c r="F186" i="103"/>
  <c r="I186" i="103" s="1"/>
  <c r="F185" i="103"/>
  <c r="I185" i="103" s="1"/>
  <c r="F184" i="103"/>
  <c r="I184" i="103" s="1"/>
  <c r="F183" i="103"/>
  <c r="I183" i="103" s="1"/>
  <c r="F182" i="103"/>
  <c r="I182" i="103" s="1"/>
  <c r="F181" i="103"/>
  <c r="I181" i="103" s="1"/>
  <c r="F180" i="103"/>
  <c r="I180" i="103" s="1"/>
  <c r="F179" i="103"/>
  <c r="I179" i="103" s="1"/>
  <c r="F178" i="103"/>
  <c r="I178" i="103" s="1"/>
  <c r="F177" i="103"/>
  <c r="I177" i="103" s="1"/>
  <c r="F176" i="103"/>
  <c r="I176" i="103" s="1"/>
  <c r="F175" i="103"/>
  <c r="I175" i="103" s="1"/>
  <c r="F174" i="103"/>
  <c r="I174" i="103" s="1"/>
  <c r="F173" i="103"/>
  <c r="I173" i="103" s="1"/>
  <c r="F172" i="103"/>
  <c r="I172" i="103" s="1"/>
  <c r="F171" i="103"/>
  <c r="I171" i="103" s="1"/>
  <c r="F170" i="103"/>
  <c r="I170" i="103" s="1"/>
  <c r="F169" i="103"/>
  <c r="I169" i="103" s="1"/>
  <c r="F201" i="133"/>
  <c r="I201" i="133" s="1"/>
  <c r="F200" i="133"/>
  <c r="I200" i="133" s="1"/>
  <c r="F199" i="133"/>
  <c r="I199" i="133" s="1"/>
  <c r="F198" i="133"/>
  <c r="I198" i="133" s="1"/>
  <c r="F197" i="133"/>
  <c r="I197" i="133" s="1"/>
  <c r="F196" i="133"/>
  <c r="I196" i="133" s="1"/>
  <c r="F195" i="133"/>
  <c r="I195" i="133" s="1"/>
  <c r="F194" i="133"/>
  <c r="I194" i="133" s="1"/>
  <c r="F193" i="133"/>
  <c r="I193" i="133" s="1"/>
  <c r="F192" i="133"/>
  <c r="I192" i="133" s="1"/>
  <c r="F191" i="133"/>
  <c r="I191" i="133" s="1"/>
  <c r="F190" i="133"/>
  <c r="I190" i="133" s="1"/>
  <c r="F189" i="133"/>
  <c r="I189" i="133" s="1"/>
  <c r="F188" i="133"/>
  <c r="I188" i="133" s="1"/>
  <c r="F187" i="133"/>
  <c r="I187" i="133" s="1"/>
  <c r="F186" i="133"/>
  <c r="I186" i="133" s="1"/>
  <c r="F185" i="133"/>
  <c r="I185" i="133" s="1"/>
  <c r="F184" i="133"/>
  <c r="I184" i="133" s="1"/>
  <c r="F183" i="133"/>
  <c r="I183" i="133" s="1"/>
  <c r="F182" i="133"/>
  <c r="I182" i="133" s="1"/>
  <c r="F181" i="133"/>
  <c r="I181" i="133" s="1"/>
  <c r="F180" i="133"/>
  <c r="I180" i="133" s="1"/>
  <c r="F179" i="133"/>
  <c r="I179" i="133" s="1"/>
  <c r="F178" i="133"/>
  <c r="I178" i="133" s="1"/>
  <c r="F177" i="133"/>
  <c r="I177" i="133" s="1"/>
  <c r="F176" i="133"/>
  <c r="I176" i="133" s="1"/>
  <c r="F175" i="133"/>
  <c r="I175" i="133" s="1"/>
  <c r="F174" i="133"/>
  <c r="I174" i="133" s="1"/>
  <c r="F173" i="133"/>
  <c r="I173" i="133" s="1"/>
  <c r="F172" i="133"/>
  <c r="I172" i="133" s="1"/>
  <c r="F171" i="133"/>
  <c r="I171" i="133" s="1"/>
  <c r="F170" i="133"/>
  <c r="I170" i="133" s="1"/>
  <c r="F169" i="133"/>
  <c r="I169" i="133" s="1"/>
  <c r="F201" i="152"/>
  <c r="I201" i="152" s="1"/>
  <c r="F200" i="152"/>
  <c r="I200" i="152" s="1"/>
  <c r="F199" i="152"/>
  <c r="I199" i="152" s="1"/>
  <c r="F198" i="152"/>
  <c r="I198" i="152" s="1"/>
  <c r="F197" i="152"/>
  <c r="I197" i="152" s="1"/>
  <c r="F196" i="152"/>
  <c r="I196" i="152" s="1"/>
  <c r="F195" i="152"/>
  <c r="I195" i="152" s="1"/>
  <c r="F194" i="152"/>
  <c r="I194" i="152" s="1"/>
  <c r="F193" i="152"/>
  <c r="I193" i="152" s="1"/>
  <c r="F192" i="152"/>
  <c r="I192" i="152" s="1"/>
  <c r="F191" i="152"/>
  <c r="I191" i="152" s="1"/>
  <c r="F190" i="152"/>
  <c r="I190" i="152" s="1"/>
  <c r="F189" i="152"/>
  <c r="I189" i="152" s="1"/>
  <c r="F188" i="152"/>
  <c r="I188" i="152" s="1"/>
  <c r="F187" i="152"/>
  <c r="I187" i="152" s="1"/>
  <c r="F186" i="152"/>
  <c r="I186" i="152" s="1"/>
  <c r="F185" i="152"/>
  <c r="I185" i="152" s="1"/>
  <c r="F184" i="152"/>
  <c r="I184" i="152" s="1"/>
  <c r="F183" i="152"/>
  <c r="I183" i="152" s="1"/>
  <c r="F182" i="152"/>
  <c r="I182" i="152" s="1"/>
  <c r="F181" i="152"/>
  <c r="I181" i="152" s="1"/>
  <c r="F180" i="152"/>
  <c r="I180" i="152" s="1"/>
  <c r="F179" i="152"/>
  <c r="I179" i="152" s="1"/>
  <c r="F178" i="152"/>
  <c r="I178" i="152" s="1"/>
  <c r="F177" i="152"/>
  <c r="I177" i="152" s="1"/>
  <c r="F176" i="152"/>
  <c r="I176" i="152" s="1"/>
  <c r="F175" i="152"/>
  <c r="I175" i="152" s="1"/>
  <c r="F174" i="152"/>
  <c r="I174" i="152" s="1"/>
  <c r="F173" i="152"/>
  <c r="I173" i="152" s="1"/>
  <c r="F172" i="152"/>
  <c r="I172" i="152" s="1"/>
  <c r="F171" i="152"/>
  <c r="I171" i="152" s="1"/>
  <c r="F170" i="152"/>
  <c r="I170" i="152" s="1"/>
  <c r="F169" i="152"/>
  <c r="I169" i="152" s="1"/>
  <c r="F201" i="47"/>
  <c r="I201" i="47" s="1"/>
  <c r="F200" i="47"/>
  <c r="I200" i="47" s="1"/>
  <c r="F199" i="47"/>
  <c r="I199" i="47" s="1"/>
  <c r="F198" i="47"/>
  <c r="I198" i="47" s="1"/>
  <c r="F197" i="47"/>
  <c r="I197" i="47" s="1"/>
  <c r="F196" i="47"/>
  <c r="I196" i="47" s="1"/>
  <c r="F195" i="47"/>
  <c r="I195" i="47" s="1"/>
  <c r="F194" i="47"/>
  <c r="I194" i="47" s="1"/>
  <c r="F193" i="47"/>
  <c r="I193" i="47" s="1"/>
  <c r="F192" i="47"/>
  <c r="I192" i="47" s="1"/>
  <c r="F191" i="47"/>
  <c r="I191" i="47" s="1"/>
  <c r="F190" i="47"/>
  <c r="I190" i="47" s="1"/>
  <c r="F189" i="47"/>
  <c r="I189" i="47" s="1"/>
  <c r="F188" i="47"/>
  <c r="I188" i="47" s="1"/>
  <c r="F187" i="47"/>
  <c r="I187" i="47" s="1"/>
  <c r="F186" i="47"/>
  <c r="I186" i="47" s="1"/>
  <c r="F185" i="47"/>
  <c r="I185" i="47" s="1"/>
  <c r="F184" i="47"/>
  <c r="I184" i="47" s="1"/>
  <c r="F183" i="47"/>
  <c r="I183" i="47" s="1"/>
  <c r="F182" i="47"/>
  <c r="I182" i="47" s="1"/>
  <c r="F181" i="47"/>
  <c r="I181" i="47" s="1"/>
  <c r="F180" i="47"/>
  <c r="I180" i="47" s="1"/>
  <c r="F179" i="47"/>
  <c r="I179" i="47" s="1"/>
  <c r="F178" i="47"/>
  <c r="I178" i="47" s="1"/>
  <c r="F177" i="47"/>
  <c r="I177" i="47" s="1"/>
  <c r="F176" i="47"/>
  <c r="I176" i="47" s="1"/>
  <c r="F175" i="47"/>
  <c r="I175" i="47" s="1"/>
  <c r="F174" i="47"/>
  <c r="I174" i="47" s="1"/>
  <c r="F173" i="47"/>
  <c r="I173" i="47" s="1"/>
  <c r="F172" i="47"/>
  <c r="I172" i="47" s="1"/>
  <c r="F171" i="47"/>
  <c r="I171" i="47" s="1"/>
  <c r="F170" i="47"/>
  <c r="I170" i="47" s="1"/>
  <c r="F169" i="47"/>
  <c r="I169" i="47" s="1"/>
  <c r="F201" i="120"/>
  <c r="I201" i="120" s="1"/>
  <c r="F200" i="120"/>
  <c r="I200" i="120" s="1"/>
  <c r="F199" i="120"/>
  <c r="I199" i="120" s="1"/>
  <c r="F198" i="120"/>
  <c r="I198" i="120" s="1"/>
  <c r="F197" i="120"/>
  <c r="I197" i="120" s="1"/>
  <c r="F196" i="120"/>
  <c r="I196" i="120" s="1"/>
  <c r="F195" i="120"/>
  <c r="I195" i="120" s="1"/>
  <c r="F194" i="120"/>
  <c r="I194" i="120" s="1"/>
  <c r="F193" i="120"/>
  <c r="I193" i="120" s="1"/>
  <c r="F192" i="120"/>
  <c r="I192" i="120" s="1"/>
  <c r="F191" i="120"/>
  <c r="I191" i="120" s="1"/>
  <c r="F190" i="120"/>
  <c r="I190" i="120" s="1"/>
  <c r="F189" i="120"/>
  <c r="I189" i="120" s="1"/>
  <c r="F188" i="120"/>
  <c r="I188" i="120" s="1"/>
  <c r="F187" i="120"/>
  <c r="I187" i="120" s="1"/>
  <c r="F186" i="120"/>
  <c r="I186" i="120" s="1"/>
  <c r="F185" i="120"/>
  <c r="I185" i="120" s="1"/>
  <c r="F184" i="120"/>
  <c r="I184" i="120" s="1"/>
  <c r="F183" i="120"/>
  <c r="I183" i="120" s="1"/>
  <c r="F182" i="120"/>
  <c r="I182" i="120" s="1"/>
  <c r="F181" i="120"/>
  <c r="I181" i="120" s="1"/>
  <c r="F180" i="120"/>
  <c r="I180" i="120" s="1"/>
  <c r="F179" i="120"/>
  <c r="I179" i="120" s="1"/>
  <c r="F178" i="120"/>
  <c r="I178" i="120" s="1"/>
  <c r="F177" i="120"/>
  <c r="I177" i="120" s="1"/>
  <c r="F176" i="120"/>
  <c r="I176" i="120" s="1"/>
  <c r="F175" i="120"/>
  <c r="I175" i="120" s="1"/>
  <c r="F174" i="120"/>
  <c r="I174" i="120" s="1"/>
  <c r="F173" i="120"/>
  <c r="I173" i="120" s="1"/>
  <c r="F172" i="120"/>
  <c r="I172" i="120" s="1"/>
  <c r="F171" i="120"/>
  <c r="I171" i="120" s="1"/>
  <c r="F170" i="120"/>
  <c r="I170" i="120" s="1"/>
  <c r="F169" i="120"/>
  <c r="I169" i="120" s="1"/>
  <c r="F201" i="37"/>
  <c r="I201" i="37" s="1"/>
  <c r="F200" i="37"/>
  <c r="I200" i="37" s="1"/>
  <c r="F199" i="37"/>
  <c r="I199" i="37" s="1"/>
  <c r="F198" i="37"/>
  <c r="I198" i="37" s="1"/>
  <c r="F197" i="37"/>
  <c r="I197" i="37" s="1"/>
  <c r="F196" i="37"/>
  <c r="I196" i="37" s="1"/>
  <c r="F195" i="37"/>
  <c r="I195" i="37" s="1"/>
  <c r="F194" i="37"/>
  <c r="I194" i="37" s="1"/>
  <c r="F193" i="37"/>
  <c r="I193" i="37" s="1"/>
  <c r="F192" i="37"/>
  <c r="I192" i="37" s="1"/>
  <c r="F191" i="37"/>
  <c r="I191" i="37" s="1"/>
  <c r="F190" i="37"/>
  <c r="I190" i="37" s="1"/>
  <c r="F189" i="37"/>
  <c r="I189" i="37" s="1"/>
  <c r="F188" i="37"/>
  <c r="I188" i="37" s="1"/>
  <c r="F187" i="37"/>
  <c r="I187" i="37" s="1"/>
  <c r="F186" i="37"/>
  <c r="I186" i="37" s="1"/>
  <c r="F185" i="37"/>
  <c r="I185" i="37" s="1"/>
  <c r="F184" i="37"/>
  <c r="I184" i="37" s="1"/>
  <c r="F183" i="37"/>
  <c r="I183" i="37" s="1"/>
  <c r="F182" i="37"/>
  <c r="I182" i="37" s="1"/>
  <c r="F181" i="37"/>
  <c r="I181" i="37" s="1"/>
  <c r="F180" i="37"/>
  <c r="I180" i="37" s="1"/>
  <c r="F179" i="37"/>
  <c r="I179" i="37" s="1"/>
  <c r="F178" i="37"/>
  <c r="I178" i="37" s="1"/>
  <c r="F177" i="37"/>
  <c r="I177" i="37" s="1"/>
  <c r="F176" i="37"/>
  <c r="I176" i="37" s="1"/>
  <c r="F175" i="37"/>
  <c r="I175" i="37" s="1"/>
  <c r="F174" i="37"/>
  <c r="I174" i="37" s="1"/>
  <c r="F173" i="37"/>
  <c r="I173" i="37" s="1"/>
  <c r="F172" i="37"/>
  <c r="I172" i="37" s="1"/>
  <c r="F171" i="37"/>
  <c r="I171" i="37" s="1"/>
  <c r="F170" i="37"/>
  <c r="I170" i="37" s="1"/>
  <c r="F169" i="37"/>
  <c r="I169" i="37" s="1"/>
  <c r="F201" i="90"/>
  <c r="I201" i="90" s="1"/>
  <c r="F200" i="90"/>
  <c r="I200" i="90" s="1"/>
  <c r="F199" i="90"/>
  <c r="I199" i="90" s="1"/>
  <c r="F198" i="90"/>
  <c r="I198" i="90" s="1"/>
  <c r="F197" i="90"/>
  <c r="I197" i="90" s="1"/>
  <c r="F196" i="90"/>
  <c r="I196" i="90" s="1"/>
  <c r="F195" i="90"/>
  <c r="I195" i="90" s="1"/>
  <c r="F194" i="90"/>
  <c r="I194" i="90" s="1"/>
  <c r="F193" i="90"/>
  <c r="I193" i="90" s="1"/>
  <c r="F192" i="90"/>
  <c r="I192" i="90" s="1"/>
  <c r="F191" i="90"/>
  <c r="I191" i="90" s="1"/>
  <c r="F190" i="90"/>
  <c r="I190" i="90" s="1"/>
  <c r="F189" i="90"/>
  <c r="I189" i="90" s="1"/>
  <c r="F188" i="90"/>
  <c r="I188" i="90" s="1"/>
  <c r="F187" i="90"/>
  <c r="I187" i="90" s="1"/>
  <c r="F186" i="90"/>
  <c r="I186" i="90" s="1"/>
  <c r="F185" i="90"/>
  <c r="I185" i="90" s="1"/>
  <c r="F184" i="90"/>
  <c r="I184" i="90" s="1"/>
  <c r="F183" i="90"/>
  <c r="I183" i="90" s="1"/>
  <c r="F182" i="90"/>
  <c r="I182" i="90" s="1"/>
  <c r="F181" i="90"/>
  <c r="I181" i="90" s="1"/>
  <c r="F180" i="90"/>
  <c r="I180" i="90" s="1"/>
  <c r="F179" i="90"/>
  <c r="I179" i="90" s="1"/>
  <c r="F178" i="90"/>
  <c r="I178" i="90" s="1"/>
  <c r="F177" i="90"/>
  <c r="I177" i="90" s="1"/>
  <c r="F176" i="90"/>
  <c r="I176" i="90" s="1"/>
  <c r="F175" i="90"/>
  <c r="I175" i="90" s="1"/>
  <c r="F174" i="90"/>
  <c r="I174" i="90" s="1"/>
  <c r="F173" i="90"/>
  <c r="I173" i="90" s="1"/>
  <c r="F172" i="90"/>
  <c r="I172" i="90" s="1"/>
  <c r="F171" i="90"/>
  <c r="I171" i="90" s="1"/>
  <c r="F170" i="90"/>
  <c r="I170" i="90" s="1"/>
  <c r="F169" i="90"/>
  <c r="I169" i="90" s="1"/>
  <c r="F201" i="24"/>
  <c r="I201" i="24" s="1"/>
  <c r="F200" i="24"/>
  <c r="I200" i="24" s="1"/>
  <c r="F199" i="24"/>
  <c r="I199" i="24" s="1"/>
  <c r="F198" i="24"/>
  <c r="I198" i="24" s="1"/>
  <c r="F197" i="24"/>
  <c r="I197" i="24" s="1"/>
  <c r="F196" i="24"/>
  <c r="I196" i="24" s="1"/>
  <c r="F195" i="24"/>
  <c r="I195" i="24" s="1"/>
  <c r="F194" i="24"/>
  <c r="I194" i="24" s="1"/>
  <c r="F193" i="24"/>
  <c r="I193" i="24" s="1"/>
  <c r="F192" i="24"/>
  <c r="I192" i="24" s="1"/>
  <c r="F191" i="24"/>
  <c r="I191" i="24" s="1"/>
  <c r="F190" i="24"/>
  <c r="I190" i="24" s="1"/>
  <c r="F189" i="24"/>
  <c r="I189" i="24" s="1"/>
  <c r="F188" i="24"/>
  <c r="I188" i="24" s="1"/>
  <c r="F187" i="24"/>
  <c r="I187" i="24" s="1"/>
  <c r="F186" i="24"/>
  <c r="I186" i="24" s="1"/>
  <c r="F185" i="24"/>
  <c r="I185" i="24" s="1"/>
  <c r="F184" i="24"/>
  <c r="I184" i="24" s="1"/>
  <c r="F183" i="24"/>
  <c r="I183" i="24" s="1"/>
  <c r="F182" i="24"/>
  <c r="I182" i="24" s="1"/>
  <c r="F181" i="24"/>
  <c r="I181" i="24" s="1"/>
  <c r="F180" i="24"/>
  <c r="I180" i="24" s="1"/>
  <c r="F179" i="24"/>
  <c r="I179" i="24" s="1"/>
  <c r="F178" i="24"/>
  <c r="I178" i="24" s="1"/>
  <c r="F177" i="24"/>
  <c r="I177" i="24" s="1"/>
  <c r="F176" i="24"/>
  <c r="I176" i="24" s="1"/>
  <c r="F175" i="24"/>
  <c r="I175" i="24" s="1"/>
  <c r="F174" i="24"/>
  <c r="I174" i="24" s="1"/>
  <c r="F173" i="24"/>
  <c r="I173" i="24" s="1"/>
  <c r="F172" i="24"/>
  <c r="I172" i="24" s="1"/>
  <c r="F171" i="24"/>
  <c r="I171" i="24" s="1"/>
  <c r="F170" i="24"/>
  <c r="I170" i="24" s="1"/>
  <c r="F169" i="24"/>
  <c r="I169" i="24" s="1"/>
  <c r="F201" i="32"/>
  <c r="I201" i="32" s="1"/>
  <c r="F200" i="32"/>
  <c r="I200" i="32" s="1"/>
  <c r="F199" i="32"/>
  <c r="I199" i="32" s="1"/>
  <c r="F198" i="32"/>
  <c r="I198" i="32" s="1"/>
  <c r="F197" i="32"/>
  <c r="I197" i="32" s="1"/>
  <c r="F196" i="32"/>
  <c r="I196" i="32" s="1"/>
  <c r="F195" i="32"/>
  <c r="I195" i="32" s="1"/>
  <c r="F194" i="32"/>
  <c r="I194" i="32" s="1"/>
  <c r="F193" i="32"/>
  <c r="I193" i="32" s="1"/>
  <c r="F192" i="32"/>
  <c r="I192" i="32" s="1"/>
  <c r="F191" i="32"/>
  <c r="I191" i="32" s="1"/>
  <c r="F190" i="32"/>
  <c r="I190" i="32" s="1"/>
  <c r="F189" i="32"/>
  <c r="I189" i="32" s="1"/>
  <c r="F188" i="32"/>
  <c r="I188" i="32" s="1"/>
  <c r="F187" i="32"/>
  <c r="I187" i="32" s="1"/>
  <c r="F186" i="32"/>
  <c r="I186" i="32" s="1"/>
  <c r="F185" i="32"/>
  <c r="I185" i="32" s="1"/>
  <c r="F184" i="32"/>
  <c r="I184" i="32" s="1"/>
  <c r="F183" i="32"/>
  <c r="I183" i="32" s="1"/>
  <c r="F182" i="32"/>
  <c r="I182" i="32" s="1"/>
  <c r="F181" i="32"/>
  <c r="I181" i="32" s="1"/>
  <c r="F180" i="32"/>
  <c r="I180" i="32" s="1"/>
  <c r="F179" i="32"/>
  <c r="I179" i="32" s="1"/>
  <c r="F178" i="32"/>
  <c r="I178" i="32" s="1"/>
  <c r="F177" i="32"/>
  <c r="I177" i="32" s="1"/>
  <c r="F176" i="32"/>
  <c r="I176" i="32" s="1"/>
  <c r="F175" i="32"/>
  <c r="I175" i="32" s="1"/>
  <c r="F174" i="32"/>
  <c r="I174" i="32" s="1"/>
  <c r="F173" i="32"/>
  <c r="I173" i="32" s="1"/>
  <c r="F172" i="32"/>
  <c r="I172" i="32" s="1"/>
  <c r="F171" i="32"/>
  <c r="I171" i="32" s="1"/>
  <c r="F170" i="32"/>
  <c r="I170" i="32" s="1"/>
  <c r="F169" i="32"/>
  <c r="I169" i="32" s="1"/>
  <c r="F201" i="79"/>
  <c r="I201" i="79" s="1"/>
  <c r="F200" i="79"/>
  <c r="I200" i="79" s="1"/>
  <c r="F199" i="79"/>
  <c r="I199" i="79" s="1"/>
  <c r="F198" i="79"/>
  <c r="I198" i="79" s="1"/>
  <c r="F197" i="79"/>
  <c r="I197" i="79" s="1"/>
  <c r="F196" i="79"/>
  <c r="I196" i="79" s="1"/>
  <c r="F195" i="79"/>
  <c r="I195" i="79" s="1"/>
  <c r="F194" i="79"/>
  <c r="I194" i="79" s="1"/>
  <c r="F193" i="79"/>
  <c r="I193" i="79" s="1"/>
  <c r="F192" i="79"/>
  <c r="I192" i="79" s="1"/>
  <c r="F191" i="79"/>
  <c r="I191" i="79" s="1"/>
  <c r="F190" i="79"/>
  <c r="I190" i="79" s="1"/>
  <c r="F189" i="79"/>
  <c r="I189" i="79" s="1"/>
  <c r="F188" i="79"/>
  <c r="I188" i="79" s="1"/>
  <c r="F187" i="79"/>
  <c r="I187" i="79" s="1"/>
  <c r="F186" i="79"/>
  <c r="I186" i="79" s="1"/>
  <c r="F185" i="79"/>
  <c r="I185" i="79" s="1"/>
  <c r="F184" i="79"/>
  <c r="I184" i="79" s="1"/>
  <c r="F183" i="79"/>
  <c r="I183" i="79" s="1"/>
  <c r="F182" i="79"/>
  <c r="I182" i="79" s="1"/>
  <c r="F181" i="79"/>
  <c r="I181" i="79" s="1"/>
  <c r="F180" i="79"/>
  <c r="I180" i="79" s="1"/>
  <c r="F179" i="79"/>
  <c r="I179" i="79" s="1"/>
  <c r="F178" i="79"/>
  <c r="I178" i="79" s="1"/>
  <c r="F177" i="79"/>
  <c r="I177" i="79" s="1"/>
  <c r="F176" i="79"/>
  <c r="I176" i="79" s="1"/>
  <c r="F175" i="79"/>
  <c r="I175" i="79" s="1"/>
  <c r="F174" i="79"/>
  <c r="I174" i="79" s="1"/>
  <c r="F173" i="79"/>
  <c r="I173" i="79" s="1"/>
  <c r="F172" i="79"/>
  <c r="I172" i="79" s="1"/>
  <c r="F171" i="79"/>
  <c r="I171" i="79" s="1"/>
  <c r="F170" i="79"/>
  <c r="I170" i="79" s="1"/>
  <c r="F169" i="79"/>
  <c r="I169" i="79" s="1"/>
  <c r="F201" i="31"/>
  <c r="I201" i="31" s="1"/>
  <c r="F200" i="31"/>
  <c r="I200" i="31" s="1"/>
  <c r="F199" i="31"/>
  <c r="I199" i="31" s="1"/>
  <c r="F198" i="31"/>
  <c r="I198" i="31" s="1"/>
  <c r="F197" i="31"/>
  <c r="I197" i="31" s="1"/>
  <c r="F196" i="31"/>
  <c r="I196" i="31" s="1"/>
  <c r="F195" i="31"/>
  <c r="I195" i="31" s="1"/>
  <c r="F194" i="31"/>
  <c r="I194" i="31" s="1"/>
  <c r="F193" i="31"/>
  <c r="I193" i="31" s="1"/>
  <c r="F192" i="31"/>
  <c r="I192" i="31" s="1"/>
  <c r="F191" i="31"/>
  <c r="I191" i="31" s="1"/>
  <c r="F190" i="31"/>
  <c r="I190" i="31" s="1"/>
  <c r="F189" i="31"/>
  <c r="I189" i="31" s="1"/>
  <c r="F188" i="31"/>
  <c r="I188" i="31" s="1"/>
  <c r="F187" i="31"/>
  <c r="I187" i="31" s="1"/>
  <c r="F186" i="31"/>
  <c r="I186" i="31" s="1"/>
  <c r="F185" i="31"/>
  <c r="I185" i="31" s="1"/>
  <c r="F184" i="31"/>
  <c r="I184" i="31" s="1"/>
  <c r="F183" i="31"/>
  <c r="I183" i="31" s="1"/>
  <c r="F182" i="31"/>
  <c r="I182" i="31" s="1"/>
  <c r="F181" i="31"/>
  <c r="I181" i="31" s="1"/>
  <c r="F180" i="31"/>
  <c r="I180" i="31" s="1"/>
  <c r="F179" i="31"/>
  <c r="I179" i="31" s="1"/>
  <c r="F178" i="31"/>
  <c r="I178" i="31" s="1"/>
  <c r="F177" i="31"/>
  <c r="I177" i="31" s="1"/>
  <c r="F176" i="31"/>
  <c r="I176" i="31" s="1"/>
  <c r="F175" i="31"/>
  <c r="I175" i="31" s="1"/>
  <c r="F174" i="31"/>
  <c r="I174" i="31" s="1"/>
  <c r="F173" i="31"/>
  <c r="I173" i="31" s="1"/>
  <c r="F172" i="31"/>
  <c r="I172" i="31" s="1"/>
  <c r="F171" i="31"/>
  <c r="I171" i="31" s="1"/>
  <c r="F170" i="31"/>
  <c r="I170" i="31" s="1"/>
  <c r="F169" i="31"/>
  <c r="I169" i="31" s="1"/>
  <c r="F201" i="64"/>
  <c r="I201" i="64" s="1"/>
  <c r="F200" i="64"/>
  <c r="I200" i="64" s="1"/>
  <c r="F199" i="64"/>
  <c r="I199" i="64" s="1"/>
  <c r="F198" i="64"/>
  <c r="I198" i="64" s="1"/>
  <c r="F197" i="64"/>
  <c r="I197" i="64" s="1"/>
  <c r="F196" i="64"/>
  <c r="I196" i="64" s="1"/>
  <c r="F195" i="64"/>
  <c r="I195" i="64" s="1"/>
  <c r="F194" i="64"/>
  <c r="I194" i="64" s="1"/>
  <c r="F193" i="64"/>
  <c r="I193" i="64" s="1"/>
  <c r="F192" i="64"/>
  <c r="I192" i="64" s="1"/>
  <c r="F191" i="64"/>
  <c r="I191" i="64" s="1"/>
  <c r="F190" i="64"/>
  <c r="I190" i="64" s="1"/>
  <c r="F189" i="64"/>
  <c r="I189" i="64" s="1"/>
  <c r="F188" i="64"/>
  <c r="I188" i="64" s="1"/>
  <c r="F187" i="64"/>
  <c r="I187" i="64" s="1"/>
  <c r="F186" i="64"/>
  <c r="I186" i="64" s="1"/>
  <c r="F185" i="64"/>
  <c r="I185" i="64" s="1"/>
  <c r="F184" i="64"/>
  <c r="I184" i="64" s="1"/>
  <c r="F183" i="64"/>
  <c r="I183" i="64" s="1"/>
  <c r="F182" i="64"/>
  <c r="I182" i="64" s="1"/>
  <c r="F181" i="64"/>
  <c r="I181" i="64" s="1"/>
  <c r="F180" i="64"/>
  <c r="I180" i="64" s="1"/>
  <c r="F179" i="64"/>
  <c r="I179" i="64" s="1"/>
  <c r="F178" i="64"/>
  <c r="I178" i="64" s="1"/>
  <c r="F177" i="64"/>
  <c r="I177" i="64" s="1"/>
  <c r="F176" i="64"/>
  <c r="I176" i="64" s="1"/>
  <c r="F175" i="64"/>
  <c r="I175" i="64" s="1"/>
  <c r="F174" i="64"/>
  <c r="I174" i="64" s="1"/>
  <c r="F173" i="64"/>
  <c r="I173" i="64" s="1"/>
  <c r="F172" i="64"/>
  <c r="I172" i="64" s="1"/>
  <c r="F171" i="64"/>
  <c r="I171" i="64" s="1"/>
  <c r="F170" i="64"/>
  <c r="I170" i="64" s="1"/>
  <c r="F169" i="64"/>
  <c r="I169" i="64" s="1"/>
  <c r="F201" i="113"/>
  <c r="I201" i="113" s="1"/>
  <c r="F200" i="113"/>
  <c r="I200" i="113" s="1"/>
  <c r="F199" i="113"/>
  <c r="I199" i="113" s="1"/>
  <c r="F198" i="113"/>
  <c r="I198" i="113" s="1"/>
  <c r="F197" i="113"/>
  <c r="I197" i="113" s="1"/>
  <c r="F196" i="113"/>
  <c r="I196" i="113" s="1"/>
  <c r="F195" i="113"/>
  <c r="I195" i="113" s="1"/>
  <c r="F194" i="113"/>
  <c r="I194" i="113" s="1"/>
  <c r="F193" i="113"/>
  <c r="I193" i="113" s="1"/>
  <c r="F192" i="113"/>
  <c r="I192" i="113" s="1"/>
  <c r="F191" i="113"/>
  <c r="I191" i="113" s="1"/>
  <c r="F190" i="113"/>
  <c r="I190" i="113" s="1"/>
  <c r="F189" i="113"/>
  <c r="I189" i="113" s="1"/>
  <c r="F188" i="113"/>
  <c r="I188" i="113" s="1"/>
  <c r="F187" i="113"/>
  <c r="I187" i="113" s="1"/>
  <c r="F186" i="113"/>
  <c r="I186" i="113" s="1"/>
  <c r="F185" i="113"/>
  <c r="I185" i="113" s="1"/>
  <c r="F184" i="113"/>
  <c r="I184" i="113" s="1"/>
  <c r="F183" i="113"/>
  <c r="I183" i="113" s="1"/>
  <c r="F182" i="113"/>
  <c r="I182" i="113" s="1"/>
  <c r="F181" i="113"/>
  <c r="I181" i="113" s="1"/>
  <c r="F180" i="113"/>
  <c r="I180" i="113" s="1"/>
  <c r="F179" i="113"/>
  <c r="I179" i="113" s="1"/>
  <c r="F178" i="113"/>
  <c r="I178" i="113" s="1"/>
  <c r="F177" i="113"/>
  <c r="I177" i="113" s="1"/>
  <c r="F176" i="113"/>
  <c r="I176" i="113" s="1"/>
  <c r="F175" i="113"/>
  <c r="I175" i="113" s="1"/>
  <c r="F174" i="113"/>
  <c r="I174" i="113" s="1"/>
  <c r="F173" i="113"/>
  <c r="I173" i="113" s="1"/>
  <c r="F172" i="113"/>
  <c r="I172" i="113" s="1"/>
  <c r="F171" i="113"/>
  <c r="I171" i="113" s="1"/>
  <c r="F170" i="113"/>
  <c r="I170" i="113" s="1"/>
  <c r="F169" i="113"/>
  <c r="I169" i="113" s="1"/>
  <c r="F201" i="72"/>
  <c r="I201" i="72" s="1"/>
  <c r="F200" i="72"/>
  <c r="I200" i="72" s="1"/>
  <c r="F199" i="72"/>
  <c r="I199" i="72" s="1"/>
  <c r="F198" i="72"/>
  <c r="I198" i="72" s="1"/>
  <c r="F197" i="72"/>
  <c r="I197" i="72" s="1"/>
  <c r="F196" i="72"/>
  <c r="I196" i="72" s="1"/>
  <c r="F195" i="72"/>
  <c r="I195" i="72" s="1"/>
  <c r="F194" i="72"/>
  <c r="I194" i="72" s="1"/>
  <c r="F193" i="72"/>
  <c r="I193" i="72" s="1"/>
  <c r="F192" i="72"/>
  <c r="I192" i="72" s="1"/>
  <c r="F191" i="72"/>
  <c r="I191" i="72" s="1"/>
  <c r="F190" i="72"/>
  <c r="I190" i="72" s="1"/>
  <c r="F189" i="72"/>
  <c r="I189" i="72" s="1"/>
  <c r="F188" i="72"/>
  <c r="I188" i="72" s="1"/>
  <c r="F187" i="72"/>
  <c r="I187" i="72" s="1"/>
  <c r="F186" i="72"/>
  <c r="I186" i="72" s="1"/>
  <c r="F185" i="72"/>
  <c r="I185" i="72" s="1"/>
  <c r="F184" i="72"/>
  <c r="I184" i="72" s="1"/>
  <c r="F183" i="72"/>
  <c r="I183" i="72" s="1"/>
  <c r="F182" i="72"/>
  <c r="I182" i="72" s="1"/>
  <c r="F181" i="72"/>
  <c r="I181" i="72" s="1"/>
  <c r="F180" i="72"/>
  <c r="I180" i="72" s="1"/>
  <c r="F179" i="72"/>
  <c r="I179" i="72" s="1"/>
  <c r="F178" i="72"/>
  <c r="I178" i="72" s="1"/>
  <c r="F177" i="72"/>
  <c r="I177" i="72" s="1"/>
  <c r="F176" i="72"/>
  <c r="I176" i="72" s="1"/>
  <c r="F175" i="72"/>
  <c r="I175" i="72" s="1"/>
  <c r="F174" i="72"/>
  <c r="I174" i="72" s="1"/>
  <c r="F173" i="72"/>
  <c r="I173" i="72" s="1"/>
  <c r="F172" i="72"/>
  <c r="I172" i="72" s="1"/>
  <c r="F171" i="72"/>
  <c r="I171" i="72" s="1"/>
  <c r="F170" i="72"/>
  <c r="I170" i="72" s="1"/>
  <c r="F169" i="72"/>
  <c r="I169" i="72" s="1"/>
  <c r="F201" i="28"/>
  <c r="I201" i="28" s="1"/>
  <c r="F200" i="28"/>
  <c r="I200" i="28" s="1"/>
  <c r="F199" i="28"/>
  <c r="I199" i="28" s="1"/>
  <c r="F198" i="28"/>
  <c r="I198" i="28" s="1"/>
  <c r="F197" i="28"/>
  <c r="I197" i="28" s="1"/>
  <c r="F196" i="28"/>
  <c r="I196" i="28" s="1"/>
  <c r="F195" i="28"/>
  <c r="I195" i="28" s="1"/>
  <c r="F194" i="28"/>
  <c r="I194" i="28" s="1"/>
  <c r="F193" i="28"/>
  <c r="I193" i="28" s="1"/>
  <c r="F192" i="28"/>
  <c r="I192" i="28" s="1"/>
  <c r="F191" i="28"/>
  <c r="I191" i="28" s="1"/>
  <c r="F190" i="28"/>
  <c r="I190" i="28" s="1"/>
  <c r="F189" i="28"/>
  <c r="I189" i="28" s="1"/>
  <c r="F188" i="28"/>
  <c r="I188" i="28" s="1"/>
  <c r="F187" i="28"/>
  <c r="I187" i="28" s="1"/>
  <c r="F186" i="28"/>
  <c r="I186" i="28" s="1"/>
  <c r="F185" i="28"/>
  <c r="I185" i="28" s="1"/>
  <c r="F184" i="28"/>
  <c r="I184" i="28" s="1"/>
  <c r="F183" i="28"/>
  <c r="I183" i="28" s="1"/>
  <c r="F182" i="28"/>
  <c r="I182" i="28" s="1"/>
  <c r="F181" i="28"/>
  <c r="I181" i="28" s="1"/>
  <c r="F180" i="28"/>
  <c r="I180" i="28" s="1"/>
  <c r="F179" i="28"/>
  <c r="I179" i="28" s="1"/>
  <c r="F178" i="28"/>
  <c r="I178" i="28" s="1"/>
  <c r="F177" i="28"/>
  <c r="I177" i="28" s="1"/>
  <c r="F176" i="28"/>
  <c r="I176" i="28" s="1"/>
  <c r="F175" i="28"/>
  <c r="I175" i="28" s="1"/>
  <c r="F174" i="28"/>
  <c r="I174" i="28" s="1"/>
  <c r="F173" i="28"/>
  <c r="I173" i="28" s="1"/>
  <c r="F172" i="28"/>
  <c r="I172" i="28" s="1"/>
  <c r="F171" i="28"/>
  <c r="I171" i="28" s="1"/>
  <c r="F170" i="28"/>
  <c r="I170" i="28" s="1"/>
  <c r="F169" i="28"/>
  <c r="I169" i="28" s="1"/>
  <c r="F201" i="65"/>
  <c r="I201" i="65" s="1"/>
  <c r="F200" i="65"/>
  <c r="I200" i="65" s="1"/>
  <c r="F199" i="65"/>
  <c r="I199" i="65" s="1"/>
  <c r="F198" i="65"/>
  <c r="I198" i="65" s="1"/>
  <c r="F197" i="65"/>
  <c r="I197" i="65" s="1"/>
  <c r="F196" i="65"/>
  <c r="I196" i="65" s="1"/>
  <c r="F195" i="65"/>
  <c r="I195" i="65" s="1"/>
  <c r="F194" i="65"/>
  <c r="I194" i="65" s="1"/>
  <c r="F193" i="65"/>
  <c r="I193" i="65" s="1"/>
  <c r="F192" i="65"/>
  <c r="I192" i="65" s="1"/>
  <c r="F191" i="65"/>
  <c r="I191" i="65" s="1"/>
  <c r="F190" i="65"/>
  <c r="I190" i="65" s="1"/>
  <c r="F189" i="65"/>
  <c r="I189" i="65" s="1"/>
  <c r="F188" i="65"/>
  <c r="I188" i="65" s="1"/>
  <c r="F187" i="65"/>
  <c r="I187" i="65" s="1"/>
  <c r="F186" i="65"/>
  <c r="I186" i="65" s="1"/>
  <c r="F185" i="65"/>
  <c r="I185" i="65" s="1"/>
  <c r="F184" i="65"/>
  <c r="I184" i="65" s="1"/>
  <c r="F183" i="65"/>
  <c r="I183" i="65" s="1"/>
  <c r="F182" i="65"/>
  <c r="I182" i="65" s="1"/>
  <c r="F181" i="65"/>
  <c r="I181" i="65" s="1"/>
  <c r="F180" i="65"/>
  <c r="I180" i="65" s="1"/>
  <c r="F179" i="65"/>
  <c r="I179" i="65" s="1"/>
  <c r="F178" i="65"/>
  <c r="I178" i="65" s="1"/>
  <c r="F177" i="65"/>
  <c r="I177" i="65" s="1"/>
  <c r="F176" i="65"/>
  <c r="I176" i="65" s="1"/>
  <c r="F175" i="65"/>
  <c r="I175" i="65" s="1"/>
  <c r="F174" i="65"/>
  <c r="I174" i="65" s="1"/>
  <c r="F173" i="65"/>
  <c r="I173" i="65" s="1"/>
  <c r="F172" i="65"/>
  <c r="I172" i="65" s="1"/>
  <c r="F171" i="65"/>
  <c r="I171" i="65" s="1"/>
  <c r="F170" i="65"/>
  <c r="I170" i="65" s="1"/>
  <c r="F169" i="65"/>
  <c r="I169" i="65" s="1"/>
  <c r="F201" i="119"/>
  <c r="I201" i="119" s="1"/>
  <c r="F200" i="119"/>
  <c r="I200" i="119" s="1"/>
  <c r="F199" i="119"/>
  <c r="I199" i="119" s="1"/>
  <c r="F198" i="119"/>
  <c r="I198" i="119" s="1"/>
  <c r="F197" i="119"/>
  <c r="I197" i="119" s="1"/>
  <c r="F196" i="119"/>
  <c r="I196" i="119" s="1"/>
  <c r="F195" i="119"/>
  <c r="I195" i="119" s="1"/>
  <c r="F194" i="119"/>
  <c r="I194" i="119" s="1"/>
  <c r="F193" i="119"/>
  <c r="I193" i="119" s="1"/>
  <c r="F192" i="119"/>
  <c r="I192" i="119" s="1"/>
  <c r="F191" i="119"/>
  <c r="I191" i="119" s="1"/>
  <c r="F190" i="119"/>
  <c r="I190" i="119" s="1"/>
  <c r="F189" i="119"/>
  <c r="I189" i="119" s="1"/>
  <c r="F188" i="119"/>
  <c r="I188" i="119" s="1"/>
  <c r="F187" i="119"/>
  <c r="I187" i="119" s="1"/>
  <c r="F186" i="119"/>
  <c r="I186" i="119" s="1"/>
  <c r="F185" i="119"/>
  <c r="I185" i="119" s="1"/>
  <c r="F184" i="119"/>
  <c r="I184" i="119" s="1"/>
  <c r="F183" i="119"/>
  <c r="I183" i="119" s="1"/>
  <c r="F182" i="119"/>
  <c r="I182" i="119" s="1"/>
  <c r="F181" i="119"/>
  <c r="I181" i="119" s="1"/>
  <c r="F180" i="119"/>
  <c r="I180" i="119" s="1"/>
  <c r="F179" i="119"/>
  <c r="I179" i="119" s="1"/>
  <c r="F178" i="119"/>
  <c r="I178" i="119" s="1"/>
  <c r="F177" i="119"/>
  <c r="I177" i="119" s="1"/>
  <c r="F176" i="119"/>
  <c r="I176" i="119" s="1"/>
  <c r="F175" i="119"/>
  <c r="I175" i="119" s="1"/>
  <c r="F174" i="119"/>
  <c r="I174" i="119" s="1"/>
  <c r="F173" i="119"/>
  <c r="I173" i="119" s="1"/>
  <c r="F172" i="119"/>
  <c r="I172" i="119" s="1"/>
  <c r="F171" i="119"/>
  <c r="I171" i="119" s="1"/>
  <c r="F170" i="119"/>
  <c r="I170" i="119" s="1"/>
  <c r="F169" i="119"/>
  <c r="I169" i="119" s="1"/>
  <c r="F201" i="25"/>
  <c r="I201" i="25" s="1"/>
  <c r="F200" i="25"/>
  <c r="I200" i="25" s="1"/>
  <c r="F199" i="25"/>
  <c r="I199" i="25" s="1"/>
  <c r="F198" i="25"/>
  <c r="I198" i="25" s="1"/>
  <c r="F197" i="25"/>
  <c r="I197" i="25" s="1"/>
  <c r="F196" i="25"/>
  <c r="I196" i="25" s="1"/>
  <c r="F195" i="25"/>
  <c r="I195" i="25" s="1"/>
  <c r="F194" i="25"/>
  <c r="I194" i="25" s="1"/>
  <c r="F193" i="25"/>
  <c r="I193" i="25" s="1"/>
  <c r="F192" i="25"/>
  <c r="I192" i="25" s="1"/>
  <c r="F191" i="25"/>
  <c r="I191" i="25" s="1"/>
  <c r="F190" i="25"/>
  <c r="I190" i="25" s="1"/>
  <c r="F189" i="25"/>
  <c r="I189" i="25" s="1"/>
  <c r="F188" i="25"/>
  <c r="I188" i="25" s="1"/>
  <c r="F187" i="25"/>
  <c r="I187" i="25" s="1"/>
  <c r="F186" i="25"/>
  <c r="I186" i="25" s="1"/>
  <c r="F185" i="25"/>
  <c r="I185" i="25" s="1"/>
  <c r="F184" i="25"/>
  <c r="I184" i="25" s="1"/>
  <c r="F183" i="25"/>
  <c r="I183" i="25" s="1"/>
  <c r="F182" i="25"/>
  <c r="I182" i="25" s="1"/>
  <c r="F181" i="25"/>
  <c r="I181" i="25" s="1"/>
  <c r="F180" i="25"/>
  <c r="I180" i="25" s="1"/>
  <c r="F179" i="25"/>
  <c r="I179" i="25" s="1"/>
  <c r="F178" i="25"/>
  <c r="I178" i="25" s="1"/>
  <c r="F177" i="25"/>
  <c r="I177" i="25" s="1"/>
  <c r="F176" i="25"/>
  <c r="I176" i="25" s="1"/>
  <c r="F175" i="25"/>
  <c r="I175" i="25" s="1"/>
  <c r="F174" i="25"/>
  <c r="I174" i="25" s="1"/>
  <c r="F173" i="25"/>
  <c r="I173" i="25" s="1"/>
  <c r="F172" i="25"/>
  <c r="I172" i="25" s="1"/>
  <c r="F171" i="25"/>
  <c r="I171" i="25" s="1"/>
  <c r="F170" i="25"/>
  <c r="I170" i="25" s="1"/>
  <c r="F169" i="25"/>
  <c r="I169" i="25" s="1"/>
  <c r="F201" i="155"/>
  <c r="I201" i="155" s="1"/>
  <c r="F200" i="155"/>
  <c r="I200" i="155" s="1"/>
  <c r="F199" i="155"/>
  <c r="I199" i="155" s="1"/>
  <c r="F198" i="155"/>
  <c r="I198" i="155" s="1"/>
  <c r="F197" i="155"/>
  <c r="I197" i="155" s="1"/>
  <c r="F196" i="155"/>
  <c r="I196" i="155" s="1"/>
  <c r="F195" i="155"/>
  <c r="I195" i="155" s="1"/>
  <c r="F194" i="155"/>
  <c r="I194" i="155" s="1"/>
  <c r="F193" i="155"/>
  <c r="I193" i="155" s="1"/>
  <c r="F192" i="155"/>
  <c r="I192" i="155" s="1"/>
  <c r="F191" i="155"/>
  <c r="I191" i="155" s="1"/>
  <c r="F190" i="155"/>
  <c r="I190" i="155" s="1"/>
  <c r="F189" i="155"/>
  <c r="I189" i="155" s="1"/>
  <c r="F188" i="155"/>
  <c r="I188" i="155" s="1"/>
  <c r="F187" i="155"/>
  <c r="I187" i="155" s="1"/>
  <c r="F186" i="155"/>
  <c r="I186" i="155" s="1"/>
  <c r="F185" i="155"/>
  <c r="I185" i="155" s="1"/>
  <c r="F184" i="155"/>
  <c r="I184" i="155" s="1"/>
  <c r="F183" i="155"/>
  <c r="I183" i="155" s="1"/>
  <c r="F182" i="155"/>
  <c r="I182" i="155" s="1"/>
  <c r="F181" i="155"/>
  <c r="I181" i="155" s="1"/>
  <c r="F180" i="155"/>
  <c r="I180" i="155" s="1"/>
  <c r="F179" i="155"/>
  <c r="I179" i="155" s="1"/>
  <c r="F178" i="155"/>
  <c r="I178" i="155" s="1"/>
  <c r="F177" i="155"/>
  <c r="I177" i="155" s="1"/>
  <c r="F176" i="155"/>
  <c r="I176" i="155" s="1"/>
  <c r="F175" i="155"/>
  <c r="I175" i="155" s="1"/>
  <c r="F174" i="155"/>
  <c r="I174" i="155" s="1"/>
  <c r="F173" i="155"/>
  <c r="I173" i="155" s="1"/>
  <c r="F172" i="155"/>
  <c r="I172" i="155" s="1"/>
  <c r="F171" i="155"/>
  <c r="I171" i="155" s="1"/>
  <c r="F170" i="155"/>
  <c r="I170" i="155" s="1"/>
  <c r="F169" i="155"/>
  <c r="I169" i="155" s="1"/>
  <c r="F201" i="156"/>
  <c r="I201" i="156" s="1"/>
  <c r="F200" i="156"/>
  <c r="I200" i="156" s="1"/>
  <c r="F199" i="156"/>
  <c r="I199" i="156" s="1"/>
  <c r="F198" i="156"/>
  <c r="I198" i="156" s="1"/>
  <c r="F197" i="156"/>
  <c r="I197" i="156" s="1"/>
  <c r="F196" i="156"/>
  <c r="I196" i="156" s="1"/>
  <c r="F195" i="156"/>
  <c r="I195" i="156" s="1"/>
  <c r="F194" i="156"/>
  <c r="I194" i="156" s="1"/>
  <c r="F193" i="156"/>
  <c r="I193" i="156" s="1"/>
  <c r="F192" i="156"/>
  <c r="I192" i="156" s="1"/>
  <c r="F191" i="156"/>
  <c r="I191" i="156" s="1"/>
  <c r="F190" i="156"/>
  <c r="I190" i="156" s="1"/>
  <c r="F189" i="156"/>
  <c r="I189" i="156" s="1"/>
  <c r="F188" i="156"/>
  <c r="I188" i="156" s="1"/>
  <c r="F187" i="156"/>
  <c r="I187" i="156" s="1"/>
  <c r="F186" i="156"/>
  <c r="I186" i="156" s="1"/>
  <c r="F185" i="156"/>
  <c r="I185" i="156" s="1"/>
  <c r="F184" i="156"/>
  <c r="I184" i="156" s="1"/>
  <c r="F183" i="156"/>
  <c r="I183" i="156" s="1"/>
  <c r="F182" i="156"/>
  <c r="I182" i="156" s="1"/>
  <c r="F181" i="156"/>
  <c r="I181" i="156" s="1"/>
  <c r="F180" i="156"/>
  <c r="I180" i="156" s="1"/>
  <c r="F179" i="156"/>
  <c r="I179" i="156" s="1"/>
  <c r="F178" i="156"/>
  <c r="I178" i="156" s="1"/>
  <c r="F177" i="156"/>
  <c r="I177" i="156" s="1"/>
  <c r="F176" i="156"/>
  <c r="I176" i="156" s="1"/>
  <c r="F175" i="156"/>
  <c r="I175" i="156" s="1"/>
  <c r="F174" i="156"/>
  <c r="I174" i="156" s="1"/>
  <c r="F173" i="156"/>
  <c r="I173" i="156" s="1"/>
  <c r="F172" i="156"/>
  <c r="I172" i="156" s="1"/>
  <c r="F171" i="156"/>
  <c r="I171" i="156" s="1"/>
  <c r="F170" i="156"/>
  <c r="I170" i="156" s="1"/>
  <c r="F169" i="156"/>
  <c r="I169" i="156" s="1"/>
  <c r="F201" i="20"/>
  <c r="I201" i="20" s="1"/>
  <c r="F200" i="20"/>
  <c r="I200" i="20" s="1"/>
  <c r="F199" i="20"/>
  <c r="I199" i="20" s="1"/>
  <c r="F198" i="20"/>
  <c r="I198" i="20" s="1"/>
  <c r="F197" i="20"/>
  <c r="I197" i="20" s="1"/>
  <c r="F196" i="20"/>
  <c r="I196" i="20" s="1"/>
  <c r="F195" i="20"/>
  <c r="I195" i="20" s="1"/>
  <c r="F194" i="20"/>
  <c r="I194" i="20" s="1"/>
  <c r="F193" i="20"/>
  <c r="I193" i="20" s="1"/>
  <c r="F192" i="20"/>
  <c r="I192" i="20" s="1"/>
  <c r="F191" i="20"/>
  <c r="I191" i="20" s="1"/>
  <c r="F190" i="20"/>
  <c r="I190" i="20" s="1"/>
  <c r="F189" i="20"/>
  <c r="I189" i="20" s="1"/>
  <c r="F188" i="20"/>
  <c r="I188" i="20" s="1"/>
  <c r="F187" i="20"/>
  <c r="I187" i="20" s="1"/>
  <c r="F186" i="20"/>
  <c r="I186" i="20" s="1"/>
  <c r="F185" i="20"/>
  <c r="I185" i="20" s="1"/>
  <c r="F184" i="20"/>
  <c r="I184" i="20" s="1"/>
  <c r="F183" i="20"/>
  <c r="I183" i="20" s="1"/>
  <c r="F182" i="20"/>
  <c r="I182" i="20" s="1"/>
  <c r="F181" i="20"/>
  <c r="I181" i="20" s="1"/>
  <c r="F180" i="20"/>
  <c r="I180" i="20" s="1"/>
  <c r="F179" i="20"/>
  <c r="I179" i="20" s="1"/>
  <c r="F178" i="20"/>
  <c r="I178" i="20" s="1"/>
  <c r="F177" i="20"/>
  <c r="I177" i="20" s="1"/>
  <c r="F176" i="20"/>
  <c r="I176" i="20" s="1"/>
  <c r="F175" i="20"/>
  <c r="I175" i="20" s="1"/>
  <c r="F174" i="20"/>
  <c r="I174" i="20" s="1"/>
  <c r="F173" i="20"/>
  <c r="I173" i="20" s="1"/>
  <c r="F172" i="20"/>
  <c r="I172" i="20" s="1"/>
  <c r="F171" i="20"/>
  <c r="I171" i="20" s="1"/>
  <c r="F170" i="20"/>
  <c r="I170" i="20" s="1"/>
  <c r="F169" i="20"/>
  <c r="I169" i="20" s="1"/>
  <c r="F201" i="42"/>
  <c r="I201" i="42" s="1"/>
  <c r="F200" i="42"/>
  <c r="I200" i="42" s="1"/>
  <c r="F199" i="42"/>
  <c r="I199" i="42" s="1"/>
  <c r="F198" i="42"/>
  <c r="I198" i="42" s="1"/>
  <c r="F197" i="42"/>
  <c r="I197" i="42" s="1"/>
  <c r="F196" i="42"/>
  <c r="I196" i="42" s="1"/>
  <c r="F195" i="42"/>
  <c r="I195" i="42" s="1"/>
  <c r="F194" i="42"/>
  <c r="I194" i="42" s="1"/>
  <c r="F193" i="42"/>
  <c r="I193" i="42" s="1"/>
  <c r="F192" i="42"/>
  <c r="I192" i="42" s="1"/>
  <c r="F191" i="42"/>
  <c r="I191" i="42" s="1"/>
  <c r="F190" i="42"/>
  <c r="I190" i="42" s="1"/>
  <c r="F189" i="42"/>
  <c r="I189" i="42" s="1"/>
  <c r="F188" i="42"/>
  <c r="I188" i="42" s="1"/>
  <c r="F187" i="42"/>
  <c r="I187" i="42" s="1"/>
  <c r="F186" i="42"/>
  <c r="I186" i="42" s="1"/>
  <c r="F185" i="42"/>
  <c r="I185" i="42" s="1"/>
  <c r="F184" i="42"/>
  <c r="I184" i="42" s="1"/>
  <c r="F183" i="42"/>
  <c r="I183" i="42" s="1"/>
  <c r="F182" i="42"/>
  <c r="I182" i="42" s="1"/>
  <c r="F181" i="42"/>
  <c r="I181" i="42" s="1"/>
  <c r="F180" i="42"/>
  <c r="I180" i="42" s="1"/>
  <c r="F179" i="42"/>
  <c r="I179" i="42" s="1"/>
  <c r="F178" i="42"/>
  <c r="I178" i="42" s="1"/>
  <c r="F177" i="42"/>
  <c r="I177" i="42" s="1"/>
  <c r="F176" i="42"/>
  <c r="I176" i="42" s="1"/>
  <c r="F175" i="42"/>
  <c r="I175" i="42" s="1"/>
  <c r="F174" i="42"/>
  <c r="I174" i="42" s="1"/>
  <c r="F173" i="42"/>
  <c r="I173" i="42" s="1"/>
  <c r="F172" i="42"/>
  <c r="I172" i="42" s="1"/>
  <c r="F171" i="42"/>
  <c r="I171" i="42" s="1"/>
  <c r="F170" i="42"/>
  <c r="I170" i="42" s="1"/>
  <c r="F169" i="42"/>
  <c r="I169" i="42" s="1"/>
  <c r="F201" i="157"/>
  <c r="I201" i="157" s="1"/>
  <c r="F200" i="157"/>
  <c r="I200" i="157" s="1"/>
  <c r="F199" i="157"/>
  <c r="I199" i="157" s="1"/>
  <c r="F198" i="157"/>
  <c r="I198" i="157" s="1"/>
  <c r="F197" i="157"/>
  <c r="I197" i="157" s="1"/>
  <c r="F196" i="157"/>
  <c r="I196" i="157" s="1"/>
  <c r="F195" i="157"/>
  <c r="I195" i="157" s="1"/>
  <c r="F194" i="157"/>
  <c r="I194" i="157" s="1"/>
  <c r="F193" i="157"/>
  <c r="I193" i="157" s="1"/>
  <c r="F192" i="157"/>
  <c r="I192" i="157" s="1"/>
  <c r="F191" i="157"/>
  <c r="I191" i="157" s="1"/>
  <c r="F190" i="157"/>
  <c r="I190" i="157" s="1"/>
  <c r="F189" i="157"/>
  <c r="I189" i="157" s="1"/>
  <c r="F188" i="157"/>
  <c r="I188" i="157" s="1"/>
  <c r="F187" i="157"/>
  <c r="I187" i="157" s="1"/>
  <c r="F186" i="157"/>
  <c r="I186" i="157" s="1"/>
  <c r="F185" i="157"/>
  <c r="I185" i="157" s="1"/>
  <c r="F184" i="157"/>
  <c r="I184" i="157" s="1"/>
  <c r="F183" i="157"/>
  <c r="I183" i="157" s="1"/>
  <c r="F182" i="157"/>
  <c r="I182" i="157" s="1"/>
  <c r="F181" i="157"/>
  <c r="I181" i="157" s="1"/>
  <c r="F180" i="157"/>
  <c r="I180" i="157" s="1"/>
  <c r="F179" i="157"/>
  <c r="I179" i="157" s="1"/>
  <c r="F178" i="157"/>
  <c r="I178" i="157" s="1"/>
  <c r="F177" i="157"/>
  <c r="I177" i="157" s="1"/>
  <c r="F176" i="157"/>
  <c r="I176" i="157" s="1"/>
  <c r="F175" i="157"/>
  <c r="I175" i="157" s="1"/>
  <c r="F174" i="157"/>
  <c r="I174" i="157" s="1"/>
  <c r="F173" i="157"/>
  <c r="I173" i="157" s="1"/>
  <c r="F172" i="157"/>
  <c r="I172" i="157" s="1"/>
  <c r="F171" i="157"/>
  <c r="I171" i="157" s="1"/>
  <c r="F170" i="157"/>
  <c r="I170" i="157" s="1"/>
  <c r="F169" i="157"/>
  <c r="I169" i="157" s="1"/>
  <c r="F201" i="159"/>
  <c r="I201" i="159" s="1"/>
  <c r="F200" i="159"/>
  <c r="I200" i="159" s="1"/>
  <c r="F199" i="159"/>
  <c r="I199" i="159" s="1"/>
  <c r="F198" i="159"/>
  <c r="I198" i="159" s="1"/>
  <c r="F197" i="159"/>
  <c r="I197" i="159" s="1"/>
  <c r="F196" i="159"/>
  <c r="I196" i="159" s="1"/>
  <c r="F195" i="159"/>
  <c r="I195" i="159" s="1"/>
  <c r="F194" i="159"/>
  <c r="I194" i="159" s="1"/>
  <c r="F193" i="159"/>
  <c r="I193" i="159" s="1"/>
  <c r="F192" i="159"/>
  <c r="I192" i="159" s="1"/>
  <c r="F191" i="159"/>
  <c r="I191" i="159" s="1"/>
  <c r="F190" i="159"/>
  <c r="I190" i="159" s="1"/>
  <c r="F189" i="159"/>
  <c r="I189" i="159" s="1"/>
  <c r="F188" i="159"/>
  <c r="I188" i="159" s="1"/>
  <c r="F187" i="159"/>
  <c r="I187" i="159" s="1"/>
  <c r="F186" i="159"/>
  <c r="I186" i="159" s="1"/>
  <c r="F185" i="159"/>
  <c r="I185" i="159" s="1"/>
  <c r="F184" i="159"/>
  <c r="I184" i="159" s="1"/>
  <c r="F183" i="159"/>
  <c r="I183" i="159" s="1"/>
  <c r="F182" i="159"/>
  <c r="I182" i="159" s="1"/>
  <c r="F181" i="159"/>
  <c r="I181" i="159" s="1"/>
  <c r="F180" i="159"/>
  <c r="I180" i="159" s="1"/>
  <c r="F179" i="159"/>
  <c r="I179" i="159" s="1"/>
  <c r="F178" i="159"/>
  <c r="I178" i="159" s="1"/>
  <c r="F177" i="159"/>
  <c r="I177" i="159" s="1"/>
  <c r="F176" i="159"/>
  <c r="I176" i="159" s="1"/>
  <c r="F175" i="159"/>
  <c r="I175" i="159" s="1"/>
  <c r="F174" i="159"/>
  <c r="I174" i="159" s="1"/>
  <c r="F173" i="159"/>
  <c r="I173" i="159" s="1"/>
  <c r="F172" i="159"/>
  <c r="I172" i="159" s="1"/>
  <c r="F171" i="159"/>
  <c r="I171" i="159" s="1"/>
  <c r="F170" i="159"/>
  <c r="I170" i="159" s="1"/>
  <c r="F169" i="159"/>
  <c r="I169" i="159" s="1"/>
  <c r="F201" i="158"/>
  <c r="I201" i="158" s="1"/>
  <c r="F200" i="158"/>
  <c r="I200" i="158" s="1"/>
  <c r="F199" i="158"/>
  <c r="I199" i="158" s="1"/>
  <c r="F198" i="158"/>
  <c r="I198" i="158" s="1"/>
  <c r="F197" i="158"/>
  <c r="I197" i="158" s="1"/>
  <c r="F196" i="158"/>
  <c r="I196" i="158" s="1"/>
  <c r="F195" i="158"/>
  <c r="I195" i="158" s="1"/>
  <c r="F194" i="158"/>
  <c r="I194" i="158" s="1"/>
  <c r="F193" i="158"/>
  <c r="I193" i="158" s="1"/>
  <c r="F192" i="158"/>
  <c r="I192" i="158" s="1"/>
  <c r="F191" i="158"/>
  <c r="I191" i="158" s="1"/>
  <c r="F190" i="158"/>
  <c r="I190" i="158" s="1"/>
  <c r="F189" i="158"/>
  <c r="I189" i="158" s="1"/>
  <c r="F188" i="158"/>
  <c r="I188" i="158" s="1"/>
  <c r="F187" i="158"/>
  <c r="I187" i="158" s="1"/>
  <c r="F186" i="158"/>
  <c r="I186" i="158" s="1"/>
  <c r="F185" i="158"/>
  <c r="I185" i="158" s="1"/>
  <c r="F184" i="158"/>
  <c r="I184" i="158" s="1"/>
  <c r="F183" i="158"/>
  <c r="I183" i="158" s="1"/>
  <c r="F182" i="158"/>
  <c r="I182" i="158" s="1"/>
  <c r="F181" i="158"/>
  <c r="I181" i="158" s="1"/>
  <c r="F180" i="158"/>
  <c r="I180" i="158" s="1"/>
  <c r="F179" i="158"/>
  <c r="I179" i="158" s="1"/>
  <c r="F178" i="158"/>
  <c r="I178" i="158" s="1"/>
  <c r="F177" i="158"/>
  <c r="I177" i="158" s="1"/>
  <c r="F176" i="158"/>
  <c r="I176" i="158" s="1"/>
  <c r="F175" i="158"/>
  <c r="I175" i="158" s="1"/>
  <c r="F174" i="158"/>
  <c r="I174" i="158" s="1"/>
  <c r="F173" i="158"/>
  <c r="I173" i="158" s="1"/>
  <c r="F172" i="158"/>
  <c r="I172" i="158" s="1"/>
  <c r="F171" i="158"/>
  <c r="I171" i="158" s="1"/>
  <c r="F170" i="158"/>
  <c r="I170" i="158" s="1"/>
  <c r="F169" i="158"/>
  <c r="I169" i="158" s="1"/>
  <c r="F201" i="16"/>
  <c r="I201" i="16" s="1"/>
  <c r="F200" i="16"/>
  <c r="I200" i="16" s="1"/>
  <c r="F199" i="16"/>
  <c r="I199" i="16" s="1"/>
  <c r="F198" i="16"/>
  <c r="I198" i="16" s="1"/>
  <c r="F197" i="16"/>
  <c r="I197" i="16" s="1"/>
  <c r="F196" i="16"/>
  <c r="I196" i="16" s="1"/>
  <c r="F195" i="16"/>
  <c r="I195" i="16" s="1"/>
  <c r="F194" i="16"/>
  <c r="I194" i="16" s="1"/>
  <c r="F193" i="16"/>
  <c r="I193" i="16" s="1"/>
  <c r="F192" i="16"/>
  <c r="I192" i="16" s="1"/>
  <c r="F191" i="16"/>
  <c r="I191" i="16" s="1"/>
  <c r="F190" i="16"/>
  <c r="I190" i="16" s="1"/>
  <c r="F189" i="16"/>
  <c r="I189" i="16" s="1"/>
  <c r="F188" i="16"/>
  <c r="I188" i="16" s="1"/>
  <c r="F187" i="16"/>
  <c r="I187" i="16" s="1"/>
  <c r="F186" i="16"/>
  <c r="I186" i="16" s="1"/>
  <c r="F185" i="16"/>
  <c r="I185" i="16" s="1"/>
  <c r="F184" i="16"/>
  <c r="I184" i="16" s="1"/>
  <c r="F183" i="16"/>
  <c r="I183" i="16" s="1"/>
  <c r="F182" i="16"/>
  <c r="I182" i="16" s="1"/>
  <c r="F181" i="16"/>
  <c r="I181" i="16" s="1"/>
  <c r="F180" i="16"/>
  <c r="I180" i="16" s="1"/>
  <c r="F179" i="16"/>
  <c r="I179" i="16" s="1"/>
  <c r="F178" i="16"/>
  <c r="I178" i="16" s="1"/>
  <c r="F177" i="16"/>
  <c r="I177" i="16" s="1"/>
  <c r="F176" i="16"/>
  <c r="I176" i="16" s="1"/>
  <c r="F175" i="16"/>
  <c r="I175" i="16" s="1"/>
  <c r="F174" i="16"/>
  <c r="I174" i="16" s="1"/>
  <c r="F173" i="16"/>
  <c r="I173" i="16" s="1"/>
  <c r="F172" i="16"/>
  <c r="I172" i="16" s="1"/>
  <c r="F171" i="16"/>
  <c r="I171" i="16" s="1"/>
  <c r="F170" i="16"/>
  <c r="I170" i="16" s="1"/>
  <c r="F169" i="16"/>
  <c r="I169" i="16" s="1"/>
  <c r="F201" i="27"/>
  <c r="I201" i="27" s="1"/>
  <c r="F200" i="27"/>
  <c r="I200" i="27" s="1"/>
  <c r="F199" i="27"/>
  <c r="I199" i="27" s="1"/>
  <c r="F198" i="27"/>
  <c r="I198" i="27" s="1"/>
  <c r="F197" i="27"/>
  <c r="I197" i="27" s="1"/>
  <c r="F196" i="27"/>
  <c r="I196" i="27" s="1"/>
  <c r="F195" i="27"/>
  <c r="I195" i="27" s="1"/>
  <c r="F194" i="27"/>
  <c r="I194" i="27" s="1"/>
  <c r="F193" i="27"/>
  <c r="I193" i="27" s="1"/>
  <c r="F192" i="27"/>
  <c r="I192" i="27" s="1"/>
  <c r="F191" i="27"/>
  <c r="I191" i="27" s="1"/>
  <c r="F190" i="27"/>
  <c r="I190" i="27" s="1"/>
  <c r="F189" i="27"/>
  <c r="I189" i="27" s="1"/>
  <c r="F188" i="27"/>
  <c r="I188" i="27" s="1"/>
  <c r="F187" i="27"/>
  <c r="I187" i="27" s="1"/>
  <c r="F186" i="27"/>
  <c r="I186" i="27" s="1"/>
  <c r="F185" i="27"/>
  <c r="I185" i="27" s="1"/>
  <c r="F184" i="27"/>
  <c r="I184" i="27" s="1"/>
  <c r="F183" i="27"/>
  <c r="I183" i="27" s="1"/>
  <c r="F182" i="27"/>
  <c r="I182" i="27" s="1"/>
  <c r="F181" i="27"/>
  <c r="I181" i="27" s="1"/>
  <c r="F180" i="27"/>
  <c r="I180" i="27" s="1"/>
  <c r="F179" i="27"/>
  <c r="I179" i="27" s="1"/>
  <c r="F178" i="27"/>
  <c r="I178" i="27" s="1"/>
  <c r="F177" i="27"/>
  <c r="I177" i="27" s="1"/>
  <c r="F176" i="27"/>
  <c r="I176" i="27" s="1"/>
  <c r="F175" i="27"/>
  <c r="I175" i="27" s="1"/>
  <c r="F174" i="27"/>
  <c r="I174" i="27" s="1"/>
  <c r="F173" i="27"/>
  <c r="I173" i="27" s="1"/>
  <c r="F172" i="27"/>
  <c r="I172" i="27" s="1"/>
  <c r="F171" i="27"/>
  <c r="I171" i="27" s="1"/>
  <c r="F170" i="27"/>
  <c r="I170" i="27" s="1"/>
  <c r="F169" i="27"/>
  <c r="I169" i="27" s="1"/>
  <c r="F201" i="111"/>
  <c r="I201" i="111" s="1"/>
  <c r="F200" i="111"/>
  <c r="I200" i="111" s="1"/>
  <c r="F199" i="111"/>
  <c r="I199" i="111" s="1"/>
  <c r="F198" i="111"/>
  <c r="I198" i="111" s="1"/>
  <c r="F197" i="111"/>
  <c r="I197" i="111" s="1"/>
  <c r="F196" i="111"/>
  <c r="I196" i="111" s="1"/>
  <c r="F195" i="111"/>
  <c r="I195" i="111" s="1"/>
  <c r="F194" i="111"/>
  <c r="I194" i="111" s="1"/>
  <c r="F193" i="111"/>
  <c r="I193" i="111" s="1"/>
  <c r="F192" i="111"/>
  <c r="I192" i="111" s="1"/>
  <c r="F191" i="111"/>
  <c r="I191" i="111" s="1"/>
  <c r="F190" i="111"/>
  <c r="I190" i="111" s="1"/>
  <c r="F189" i="111"/>
  <c r="I189" i="111" s="1"/>
  <c r="F188" i="111"/>
  <c r="I188" i="111" s="1"/>
  <c r="F187" i="111"/>
  <c r="I187" i="111" s="1"/>
  <c r="F186" i="111"/>
  <c r="I186" i="111" s="1"/>
  <c r="F185" i="111"/>
  <c r="I185" i="111" s="1"/>
  <c r="F184" i="111"/>
  <c r="I184" i="111" s="1"/>
  <c r="F183" i="111"/>
  <c r="I183" i="111" s="1"/>
  <c r="F182" i="111"/>
  <c r="I182" i="111" s="1"/>
  <c r="F181" i="111"/>
  <c r="I181" i="111" s="1"/>
  <c r="F180" i="111"/>
  <c r="I180" i="111" s="1"/>
  <c r="F179" i="111"/>
  <c r="I179" i="111" s="1"/>
  <c r="F178" i="111"/>
  <c r="I178" i="111" s="1"/>
  <c r="F177" i="111"/>
  <c r="I177" i="111" s="1"/>
  <c r="F176" i="111"/>
  <c r="I176" i="111" s="1"/>
  <c r="F175" i="111"/>
  <c r="I175" i="111" s="1"/>
  <c r="F174" i="111"/>
  <c r="I174" i="111" s="1"/>
  <c r="F173" i="111"/>
  <c r="I173" i="111" s="1"/>
  <c r="F172" i="111"/>
  <c r="I172" i="111" s="1"/>
  <c r="F171" i="111"/>
  <c r="I171" i="111" s="1"/>
  <c r="F170" i="111"/>
  <c r="I170" i="111" s="1"/>
  <c r="F169" i="111"/>
  <c r="I169" i="111" s="1"/>
  <c r="F201" i="71"/>
  <c r="I201" i="71" s="1"/>
  <c r="F200" i="71"/>
  <c r="I200" i="71" s="1"/>
  <c r="F199" i="71"/>
  <c r="I199" i="71" s="1"/>
  <c r="F198" i="71"/>
  <c r="I198" i="71" s="1"/>
  <c r="F197" i="71"/>
  <c r="I197" i="71" s="1"/>
  <c r="F196" i="71"/>
  <c r="I196" i="71" s="1"/>
  <c r="F195" i="71"/>
  <c r="I195" i="71" s="1"/>
  <c r="F194" i="71"/>
  <c r="I194" i="71" s="1"/>
  <c r="F193" i="71"/>
  <c r="I193" i="71" s="1"/>
  <c r="F192" i="71"/>
  <c r="I192" i="71" s="1"/>
  <c r="F191" i="71"/>
  <c r="I191" i="71" s="1"/>
  <c r="F190" i="71"/>
  <c r="I190" i="71" s="1"/>
  <c r="F189" i="71"/>
  <c r="I189" i="71" s="1"/>
  <c r="F188" i="71"/>
  <c r="I188" i="71" s="1"/>
  <c r="F187" i="71"/>
  <c r="I187" i="71" s="1"/>
  <c r="F186" i="71"/>
  <c r="I186" i="71" s="1"/>
  <c r="F185" i="71"/>
  <c r="I185" i="71" s="1"/>
  <c r="F184" i="71"/>
  <c r="I184" i="71" s="1"/>
  <c r="F183" i="71"/>
  <c r="I183" i="71" s="1"/>
  <c r="F182" i="71"/>
  <c r="I182" i="71" s="1"/>
  <c r="F181" i="71"/>
  <c r="I181" i="71" s="1"/>
  <c r="F180" i="71"/>
  <c r="I180" i="71" s="1"/>
  <c r="F179" i="71"/>
  <c r="I179" i="71" s="1"/>
  <c r="F178" i="71"/>
  <c r="I178" i="71" s="1"/>
  <c r="F177" i="71"/>
  <c r="I177" i="71" s="1"/>
  <c r="F176" i="71"/>
  <c r="I176" i="71" s="1"/>
  <c r="F175" i="71"/>
  <c r="I175" i="71" s="1"/>
  <c r="F174" i="71"/>
  <c r="I174" i="71" s="1"/>
  <c r="F173" i="71"/>
  <c r="I173" i="71" s="1"/>
  <c r="F172" i="71"/>
  <c r="I172" i="71" s="1"/>
  <c r="F171" i="71"/>
  <c r="I171" i="71" s="1"/>
  <c r="F170" i="71"/>
  <c r="I170" i="71" s="1"/>
  <c r="F169" i="71"/>
  <c r="I169" i="71" s="1"/>
  <c r="F201" i="165"/>
  <c r="I201" i="165" s="1"/>
  <c r="F200" i="165"/>
  <c r="I200" i="165" s="1"/>
  <c r="F199" i="165"/>
  <c r="I199" i="165" s="1"/>
  <c r="F198" i="165"/>
  <c r="I198" i="165" s="1"/>
  <c r="F197" i="165"/>
  <c r="I197" i="165" s="1"/>
  <c r="F196" i="165"/>
  <c r="I196" i="165" s="1"/>
  <c r="F195" i="165"/>
  <c r="I195" i="165" s="1"/>
  <c r="F194" i="165"/>
  <c r="I194" i="165" s="1"/>
  <c r="F193" i="165"/>
  <c r="I193" i="165" s="1"/>
  <c r="F192" i="165"/>
  <c r="I192" i="165" s="1"/>
  <c r="F191" i="165"/>
  <c r="I191" i="165" s="1"/>
  <c r="F190" i="165"/>
  <c r="I190" i="165" s="1"/>
  <c r="F189" i="165"/>
  <c r="I189" i="165" s="1"/>
  <c r="F188" i="165"/>
  <c r="I188" i="165" s="1"/>
  <c r="F187" i="165"/>
  <c r="I187" i="165" s="1"/>
  <c r="F186" i="165"/>
  <c r="I186" i="165" s="1"/>
  <c r="F185" i="165"/>
  <c r="I185" i="165" s="1"/>
  <c r="F184" i="165"/>
  <c r="I184" i="165" s="1"/>
  <c r="F183" i="165"/>
  <c r="I183" i="165" s="1"/>
  <c r="F182" i="165"/>
  <c r="I182" i="165" s="1"/>
  <c r="F181" i="165"/>
  <c r="I181" i="165" s="1"/>
  <c r="F180" i="165"/>
  <c r="I180" i="165" s="1"/>
  <c r="F179" i="165"/>
  <c r="I179" i="165" s="1"/>
  <c r="F178" i="165"/>
  <c r="I178" i="165" s="1"/>
  <c r="F177" i="165"/>
  <c r="I177" i="165" s="1"/>
  <c r="F176" i="165"/>
  <c r="I176" i="165" s="1"/>
  <c r="F175" i="165"/>
  <c r="I175" i="165" s="1"/>
  <c r="F174" i="165"/>
  <c r="I174" i="165" s="1"/>
  <c r="F173" i="165"/>
  <c r="I173" i="165" s="1"/>
  <c r="F172" i="165"/>
  <c r="I172" i="165" s="1"/>
  <c r="F171" i="165"/>
  <c r="I171" i="165" s="1"/>
  <c r="F170" i="165"/>
  <c r="I170" i="165" s="1"/>
  <c r="F169" i="165"/>
  <c r="I169" i="165" s="1"/>
  <c r="F201" i="55"/>
  <c r="I201" i="55" s="1"/>
  <c r="F200" i="55"/>
  <c r="I200" i="55" s="1"/>
  <c r="F199" i="55"/>
  <c r="I199" i="55" s="1"/>
  <c r="F198" i="55"/>
  <c r="I198" i="55" s="1"/>
  <c r="F197" i="55"/>
  <c r="I197" i="55" s="1"/>
  <c r="F196" i="55"/>
  <c r="I196" i="55" s="1"/>
  <c r="F195" i="55"/>
  <c r="I195" i="55" s="1"/>
  <c r="F194" i="55"/>
  <c r="I194" i="55" s="1"/>
  <c r="F193" i="55"/>
  <c r="I193" i="55" s="1"/>
  <c r="F192" i="55"/>
  <c r="I192" i="55" s="1"/>
  <c r="F191" i="55"/>
  <c r="I191" i="55" s="1"/>
  <c r="F190" i="55"/>
  <c r="I190" i="55" s="1"/>
  <c r="F189" i="55"/>
  <c r="I189" i="55" s="1"/>
  <c r="F188" i="55"/>
  <c r="I188" i="55" s="1"/>
  <c r="F187" i="55"/>
  <c r="I187" i="55" s="1"/>
  <c r="F186" i="55"/>
  <c r="I186" i="55" s="1"/>
  <c r="F185" i="55"/>
  <c r="I185" i="55" s="1"/>
  <c r="F184" i="55"/>
  <c r="I184" i="55" s="1"/>
  <c r="F183" i="55"/>
  <c r="I183" i="55" s="1"/>
  <c r="F182" i="55"/>
  <c r="I182" i="55" s="1"/>
  <c r="F181" i="55"/>
  <c r="I181" i="55" s="1"/>
  <c r="F180" i="55"/>
  <c r="I180" i="55" s="1"/>
  <c r="F179" i="55"/>
  <c r="I179" i="55" s="1"/>
  <c r="F178" i="55"/>
  <c r="I178" i="55" s="1"/>
  <c r="F177" i="55"/>
  <c r="I177" i="55" s="1"/>
  <c r="F176" i="55"/>
  <c r="I176" i="55" s="1"/>
  <c r="F175" i="55"/>
  <c r="I175" i="55" s="1"/>
  <c r="F174" i="55"/>
  <c r="I174" i="55" s="1"/>
  <c r="F173" i="55"/>
  <c r="I173" i="55" s="1"/>
  <c r="F172" i="55"/>
  <c r="I172" i="55" s="1"/>
  <c r="F171" i="55"/>
  <c r="I171" i="55" s="1"/>
  <c r="F170" i="55"/>
  <c r="I170" i="55" s="1"/>
  <c r="F169" i="55"/>
  <c r="I169" i="55" s="1"/>
  <c r="F201" i="21"/>
  <c r="I201" i="21" s="1"/>
  <c r="F200" i="21"/>
  <c r="I200" i="21" s="1"/>
  <c r="F199" i="21"/>
  <c r="I199" i="21" s="1"/>
  <c r="F198" i="21"/>
  <c r="I198" i="21" s="1"/>
  <c r="F197" i="21"/>
  <c r="I197" i="21" s="1"/>
  <c r="F196" i="21"/>
  <c r="I196" i="21" s="1"/>
  <c r="F195" i="21"/>
  <c r="I195" i="21" s="1"/>
  <c r="F194" i="21"/>
  <c r="I194" i="21" s="1"/>
  <c r="F193" i="21"/>
  <c r="I193" i="21" s="1"/>
  <c r="F192" i="21"/>
  <c r="I192" i="21" s="1"/>
  <c r="F191" i="21"/>
  <c r="I191" i="21" s="1"/>
  <c r="F190" i="21"/>
  <c r="I190" i="21" s="1"/>
  <c r="F189" i="21"/>
  <c r="I189" i="21" s="1"/>
  <c r="F188" i="21"/>
  <c r="I188" i="21" s="1"/>
  <c r="F187" i="21"/>
  <c r="I187" i="21" s="1"/>
  <c r="F186" i="21"/>
  <c r="I186" i="21" s="1"/>
  <c r="F185" i="21"/>
  <c r="I185" i="21" s="1"/>
  <c r="F184" i="21"/>
  <c r="I184" i="21" s="1"/>
  <c r="F183" i="21"/>
  <c r="I183" i="21" s="1"/>
  <c r="F182" i="21"/>
  <c r="I182" i="21" s="1"/>
  <c r="F181" i="21"/>
  <c r="I181" i="21" s="1"/>
  <c r="F180" i="21"/>
  <c r="I180" i="21" s="1"/>
  <c r="F179" i="21"/>
  <c r="I179" i="21" s="1"/>
  <c r="F178" i="21"/>
  <c r="I178" i="21" s="1"/>
  <c r="F177" i="21"/>
  <c r="I177" i="21" s="1"/>
  <c r="F176" i="21"/>
  <c r="I176" i="21" s="1"/>
  <c r="F175" i="21"/>
  <c r="I175" i="21" s="1"/>
  <c r="F174" i="21"/>
  <c r="I174" i="21" s="1"/>
  <c r="F173" i="21"/>
  <c r="I173" i="21" s="1"/>
  <c r="F172" i="21"/>
  <c r="I172" i="21" s="1"/>
  <c r="F171" i="21"/>
  <c r="I171" i="21" s="1"/>
  <c r="F170" i="21"/>
  <c r="I170" i="21" s="1"/>
  <c r="F169" i="21"/>
  <c r="I169" i="21" s="1"/>
  <c r="F201" i="14"/>
  <c r="I201" i="14" s="1"/>
  <c r="F200" i="14"/>
  <c r="I200" i="14" s="1"/>
  <c r="F199" i="14"/>
  <c r="I199" i="14" s="1"/>
  <c r="F198" i="14"/>
  <c r="I198" i="14" s="1"/>
  <c r="F197" i="14"/>
  <c r="I197" i="14" s="1"/>
  <c r="F196" i="14"/>
  <c r="I196" i="14" s="1"/>
  <c r="F195" i="14"/>
  <c r="I195" i="14" s="1"/>
  <c r="F194" i="14"/>
  <c r="I194" i="14" s="1"/>
  <c r="F193" i="14"/>
  <c r="I193" i="14" s="1"/>
  <c r="F192" i="14"/>
  <c r="I192" i="14" s="1"/>
  <c r="F191" i="14"/>
  <c r="I191" i="14" s="1"/>
  <c r="F190" i="14"/>
  <c r="I190" i="14" s="1"/>
  <c r="F189" i="14"/>
  <c r="I189" i="14" s="1"/>
  <c r="F188" i="14"/>
  <c r="I188" i="14" s="1"/>
  <c r="F187" i="14"/>
  <c r="I187" i="14" s="1"/>
  <c r="F186" i="14"/>
  <c r="I186" i="14" s="1"/>
  <c r="F185" i="14"/>
  <c r="I185" i="14" s="1"/>
  <c r="F184" i="14"/>
  <c r="I184" i="14" s="1"/>
  <c r="F183" i="14"/>
  <c r="I183" i="14" s="1"/>
  <c r="F182" i="14"/>
  <c r="I182" i="14" s="1"/>
  <c r="F181" i="14"/>
  <c r="I181" i="14" s="1"/>
  <c r="F180" i="14"/>
  <c r="I180" i="14" s="1"/>
  <c r="F179" i="14"/>
  <c r="I179" i="14" s="1"/>
  <c r="F178" i="14"/>
  <c r="I178" i="14" s="1"/>
  <c r="F177" i="14"/>
  <c r="I177" i="14" s="1"/>
  <c r="F176" i="14"/>
  <c r="I176" i="14" s="1"/>
  <c r="F175" i="14"/>
  <c r="I175" i="14" s="1"/>
  <c r="F174" i="14"/>
  <c r="I174" i="14" s="1"/>
  <c r="F173" i="14"/>
  <c r="I173" i="14" s="1"/>
  <c r="F172" i="14"/>
  <c r="I172" i="14" s="1"/>
  <c r="F171" i="14"/>
  <c r="I171" i="14" s="1"/>
  <c r="F170" i="14"/>
  <c r="I170" i="14" s="1"/>
  <c r="F169" i="14"/>
  <c r="I169" i="14" s="1"/>
  <c r="F201" i="85"/>
  <c r="I201" i="85" s="1"/>
  <c r="F200" i="85"/>
  <c r="I200" i="85" s="1"/>
  <c r="F199" i="85"/>
  <c r="I199" i="85" s="1"/>
  <c r="F198" i="85"/>
  <c r="I198" i="85" s="1"/>
  <c r="F197" i="85"/>
  <c r="I197" i="85" s="1"/>
  <c r="F196" i="85"/>
  <c r="I196" i="85" s="1"/>
  <c r="F195" i="85"/>
  <c r="I195" i="85" s="1"/>
  <c r="F194" i="85"/>
  <c r="I194" i="85" s="1"/>
  <c r="F193" i="85"/>
  <c r="I193" i="85" s="1"/>
  <c r="F192" i="85"/>
  <c r="I192" i="85" s="1"/>
  <c r="F191" i="85"/>
  <c r="I191" i="85" s="1"/>
  <c r="F190" i="85"/>
  <c r="I190" i="85" s="1"/>
  <c r="F189" i="85"/>
  <c r="I189" i="85" s="1"/>
  <c r="F188" i="85"/>
  <c r="I188" i="85" s="1"/>
  <c r="F187" i="85"/>
  <c r="I187" i="85" s="1"/>
  <c r="F186" i="85"/>
  <c r="I186" i="85" s="1"/>
  <c r="F185" i="85"/>
  <c r="I185" i="85" s="1"/>
  <c r="F184" i="85"/>
  <c r="I184" i="85" s="1"/>
  <c r="F183" i="85"/>
  <c r="I183" i="85" s="1"/>
  <c r="F182" i="85"/>
  <c r="I182" i="85" s="1"/>
  <c r="F181" i="85"/>
  <c r="I181" i="85" s="1"/>
  <c r="F180" i="85"/>
  <c r="I180" i="85" s="1"/>
  <c r="F179" i="85"/>
  <c r="I179" i="85" s="1"/>
  <c r="F178" i="85"/>
  <c r="I178" i="85" s="1"/>
  <c r="F177" i="85"/>
  <c r="I177" i="85" s="1"/>
  <c r="F176" i="85"/>
  <c r="I176" i="85" s="1"/>
  <c r="F175" i="85"/>
  <c r="I175" i="85" s="1"/>
  <c r="F174" i="85"/>
  <c r="I174" i="85" s="1"/>
  <c r="F173" i="85"/>
  <c r="I173" i="85" s="1"/>
  <c r="F172" i="85"/>
  <c r="I172" i="85" s="1"/>
  <c r="F171" i="85"/>
  <c r="I171" i="85" s="1"/>
  <c r="F170" i="85"/>
  <c r="I170" i="85" s="1"/>
  <c r="F169" i="85"/>
  <c r="I169" i="85" s="1"/>
  <c r="F201" i="87"/>
  <c r="I201" i="87" s="1"/>
  <c r="F200" i="87"/>
  <c r="I200" i="87" s="1"/>
  <c r="F199" i="87"/>
  <c r="I199" i="87" s="1"/>
  <c r="F198" i="87"/>
  <c r="I198" i="87" s="1"/>
  <c r="F197" i="87"/>
  <c r="I197" i="87" s="1"/>
  <c r="F196" i="87"/>
  <c r="I196" i="87" s="1"/>
  <c r="F195" i="87"/>
  <c r="I195" i="87" s="1"/>
  <c r="F194" i="87"/>
  <c r="I194" i="87" s="1"/>
  <c r="F193" i="87"/>
  <c r="I193" i="87" s="1"/>
  <c r="F192" i="87"/>
  <c r="I192" i="87" s="1"/>
  <c r="F191" i="87"/>
  <c r="I191" i="87" s="1"/>
  <c r="F190" i="87"/>
  <c r="I190" i="87" s="1"/>
  <c r="F189" i="87"/>
  <c r="I189" i="87" s="1"/>
  <c r="F188" i="87"/>
  <c r="I188" i="87" s="1"/>
  <c r="F187" i="87"/>
  <c r="I187" i="87" s="1"/>
  <c r="F186" i="87"/>
  <c r="I186" i="87" s="1"/>
  <c r="F185" i="87"/>
  <c r="I185" i="87" s="1"/>
  <c r="F184" i="87"/>
  <c r="I184" i="87" s="1"/>
  <c r="F183" i="87"/>
  <c r="I183" i="87" s="1"/>
  <c r="F182" i="87"/>
  <c r="I182" i="87" s="1"/>
  <c r="F181" i="87"/>
  <c r="I181" i="87" s="1"/>
  <c r="F180" i="87"/>
  <c r="I180" i="87" s="1"/>
  <c r="F179" i="87"/>
  <c r="I179" i="87" s="1"/>
  <c r="F178" i="87"/>
  <c r="I178" i="87" s="1"/>
  <c r="F177" i="87"/>
  <c r="I177" i="87" s="1"/>
  <c r="F176" i="87"/>
  <c r="I176" i="87" s="1"/>
  <c r="F175" i="87"/>
  <c r="I175" i="87" s="1"/>
  <c r="F174" i="87"/>
  <c r="I174" i="87" s="1"/>
  <c r="F173" i="87"/>
  <c r="I173" i="87" s="1"/>
  <c r="F172" i="87"/>
  <c r="I172" i="87" s="1"/>
  <c r="F171" i="87"/>
  <c r="I171" i="87" s="1"/>
  <c r="F170" i="87"/>
  <c r="I170" i="87" s="1"/>
  <c r="F169" i="87"/>
  <c r="I169" i="87" s="1"/>
  <c r="F201" i="86"/>
  <c r="I201" i="86" s="1"/>
  <c r="F200" i="86"/>
  <c r="I200" i="86" s="1"/>
  <c r="F199" i="86"/>
  <c r="I199" i="86" s="1"/>
  <c r="F198" i="86"/>
  <c r="I198" i="86" s="1"/>
  <c r="F197" i="86"/>
  <c r="I197" i="86" s="1"/>
  <c r="F196" i="86"/>
  <c r="I196" i="86" s="1"/>
  <c r="F195" i="86"/>
  <c r="I195" i="86" s="1"/>
  <c r="F194" i="86"/>
  <c r="I194" i="86" s="1"/>
  <c r="F193" i="86"/>
  <c r="I193" i="86" s="1"/>
  <c r="F192" i="86"/>
  <c r="I192" i="86" s="1"/>
  <c r="F191" i="86"/>
  <c r="I191" i="86" s="1"/>
  <c r="F190" i="86"/>
  <c r="I190" i="86" s="1"/>
  <c r="F189" i="86"/>
  <c r="I189" i="86" s="1"/>
  <c r="F188" i="86"/>
  <c r="I188" i="86" s="1"/>
  <c r="F187" i="86"/>
  <c r="I187" i="86" s="1"/>
  <c r="F186" i="86"/>
  <c r="I186" i="86" s="1"/>
  <c r="F185" i="86"/>
  <c r="I185" i="86" s="1"/>
  <c r="F184" i="86"/>
  <c r="I184" i="86" s="1"/>
  <c r="F183" i="86"/>
  <c r="I183" i="86" s="1"/>
  <c r="F182" i="86"/>
  <c r="I182" i="86" s="1"/>
  <c r="F181" i="86"/>
  <c r="I181" i="86" s="1"/>
  <c r="F180" i="86"/>
  <c r="I180" i="86" s="1"/>
  <c r="F179" i="86"/>
  <c r="I179" i="86" s="1"/>
  <c r="F178" i="86"/>
  <c r="I178" i="86" s="1"/>
  <c r="F177" i="86"/>
  <c r="I177" i="86" s="1"/>
  <c r="F176" i="86"/>
  <c r="I176" i="86" s="1"/>
  <c r="F175" i="86"/>
  <c r="I175" i="86" s="1"/>
  <c r="F174" i="86"/>
  <c r="I174" i="86" s="1"/>
  <c r="F173" i="86"/>
  <c r="I173" i="86" s="1"/>
  <c r="F172" i="86"/>
  <c r="I172" i="86" s="1"/>
  <c r="F171" i="86"/>
  <c r="I171" i="86" s="1"/>
  <c r="F170" i="86"/>
  <c r="I170" i="86" s="1"/>
  <c r="F169" i="86"/>
  <c r="I169" i="86" s="1"/>
  <c r="F201" i="89"/>
  <c r="I201" i="89" s="1"/>
  <c r="F200" i="89"/>
  <c r="I200" i="89" s="1"/>
  <c r="F199" i="89"/>
  <c r="I199" i="89" s="1"/>
  <c r="F198" i="89"/>
  <c r="I198" i="89" s="1"/>
  <c r="F197" i="89"/>
  <c r="I197" i="89" s="1"/>
  <c r="F196" i="89"/>
  <c r="I196" i="89" s="1"/>
  <c r="F195" i="89"/>
  <c r="I195" i="89" s="1"/>
  <c r="F194" i="89"/>
  <c r="I194" i="89" s="1"/>
  <c r="F193" i="89"/>
  <c r="I193" i="89" s="1"/>
  <c r="F192" i="89"/>
  <c r="I192" i="89" s="1"/>
  <c r="F191" i="89"/>
  <c r="I191" i="89" s="1"/>
  <c r="F190" i="89"/>
  <c r="I190" i="89" s="1"/>
  <c r="F189" i="89"/>
  <c r="I189" i="89" s="1"/>
  <c r="F188" i="89"/>
  <c r="I188" i="89" s="1"/>
  <c r="F187" i="89"/>
  <c r="I187" i="89" s="1"/>
  <c r="F186" i="89"/>
  <c r="I186" i="89" s="1"/>
  <c r="F185" i="89"/>
  <c r="I185" i="89" s="1"/>
  <c r="F184" i="89"/>
  <c r="I184" i="89" s="1"/>
  <c r="F183" i="89"/>
  <c r="I183" i="89" s="1"/>
  <c r="F182" i="89"/>
  <c r="I182" i="89" s="1"/>
  <c r="F181" i="89"/>
  <c r="I181" i="89" s="1"/>
  <c r="F180" i="89"/>
  <c r="I180" i="89" s="1"/>
  <c r="F179" i="89"/>
  <c r="I179" i="89" s="1"/>
  <c r="F178" i="89"/>
  <c r="I178" i="89" s="1"/>
  <c r="F177" i="89"/>
  <c r="I177" i="89" s="1"/>
  <c r="F176" i="89"/>
  <c r="I176" i="89" s="1"/>
  <c r="F175" i="89"/>
  <c r="I175" i="89" s="1"/>
  <c r="F174" i="89"/>
  <c r="I174" i="89" s="1"/>
  <c r="F173" i="89"/>
  <c r="I173" i="89" s="1"/>
  <c r="F172" i="89"/>
  <c r="I172" i="89" s="1"/>
  <c r="F171" i="89"/>
  <c r="I171" i="89" s="1"/>
  <c r="F170" i="89"/>
  <c r="I170" i="89" s="1"/>
  <c r="F169" i="89"/>
  <c r="I169" i="89" s="1"/>
  <c r="F201" i="142"/>
  <c r="I201" i="142" s="1"/>
  <c r="F200" i="142"/>
  <c r="I200" i="142" s="1"/>
  <c r="F199" i="142"/>
  <c r="I199" i="142" s="1"/>
  <c r="F198" i="142"/>
  <c r="I198" i="142" s="1"/>
  <c r="F197" i="142"/>
  <c r="I197" i="142" s="1"/>
  <c r="F196" i="142"/>
  <c r="I196" i="142" s="1"/>
  <c r="F195" i="142"/>
  <c r="I195" i="142" s="1"/>
  <c r="F194" i="142"/>
  <c r="I194" i="142" s="1"/>
  <c r="F193" i="142"/>
  <c r="I193" i="142" s="1"/>
  <c r="F192" i="142"/>
  <c r="I192" i="142" s="1"/>
  <c r="F191" i="142"/>
  <c r="I191" i="142" s="1"/>
  <c r="F190" i="142"/>
  <c r="I190" i="142" s="1"/>
  <c r="F189" i="142"/>
  <c r="I189" i="142" s="1"/>
  <c r="F188" i="142"/>
  <c r="I188" i="142" s="1"/>
  <c r="F187" i="142"/>
  <c r="I187" i="142" s="1"/>
  <c r="F186" i="142"/>
  <c r="I186" i="142" s="1"/>
  <c r="F185" i="142"/>
  <c r="I185" i="142" s="1"/>
  <c r="F184" i="142"/>
  <c r="I184" i="142" s="1"/>
  <c r="F183" i="142"/>
  <c r="I183" i="142" s="1"/>
  <c r="F182" i="142"/>
  <c r="I182" i="142" s="1"/>
  <c r="F181" i="142"/>
  <c r="I181" i="142" s="1"/>
  <c r="F180" i="142"/>
  <c r="I180" i="142" s="1"/>
  <c r="F179" i="142"/>
  <c r="I179" i="142" s="1"/>
  <c r="F178" i="142"/>
  <c r="I178" i="142" s="1"/>
  <c r="F177" i="142"/>
  <c r="I177" i="142" s="1"/>
  <c r="F176" i="142"/>
  <c r="I176" i="142" s="1"/>
  <c r="F175" i="142"/>
  <c r="I175" i="142" s="1"/>
  <c r="F174" i="142"/>
  <c r="I174" i="142" s="1"/>
  <c r="F173" i="142"/>
  <c r="I173" i="142" s="1"/>
  <c r="F172" i="142"/>
  <c r="I172" i="142" s="1"/>
  <c r="F171" i="142"/>
  <c r="I171" i="142" s="1"/>
  <c r="F170" i="142"/>
  <c r="I170" i="142" s="1"/>
  <c r="F169" i="142"/>
  <c r="I169" i="142" s="1"/>
  <c r="F201" i="92"/>
  <c r="I201" i="92" s="1"/>
  <c r="F200" i="92"/>
  <c r="I200" i="92" s="1"/>
  <c r="F199" i="92"/>
  <c r="I199" i="92" s="1"/>
  <c r="F198" i="92"/>
  <c r="I198" i="92" s="1"/>
  <c r="F197" i="92"/>
  <c r="I197" i="92" s="1"/>
  <c r="F196" i="92"/>
  <c r="I196" i="92" s="1"/>
  <c r="F195" i="92"/>
  <c r="I195" i="92" s="1"/>
  <c r="F194" i="92"/>
  <c r="I194" i="92" s="1"/>
  <c r="F193" i="92"/>
  <c r="I193" i="92" s="1"/>
  <c r="F192" i="92"/>
  <c r="I192" i="92" s="1"/>
  <c r="F191" i="92"/>
  <c r="I191" i="92" s="1"/>
  <c r="F190" i="92"/>
  <c r="I190" i="92" s="1"/>
  <c r="F189" i="92"/>
  <c r="I189" i="92" s="1"/>
  <c r="F188" i="92"/>
  <c r="I188" i="92" s="1"/>
  <c r="F187" i="92"/>
  <c r="I187" i="92" s="1"/>
  <c r="F186" i="92"/>
  <c r="I186" i="92" s="1"/>
  <c r="F185" i="92"/>
  <c r="I185" i="92" s="1"/>
  <c r="F184" i="92"/>
  <c r="I184" i="92" s="1"/>
  <c r="F183" i="92"/>
  <c r="I183" i="92" s="1"/>
  <c r="F182" i="92"/>
  <c r="I182" i="92" s="1"/>
  <c r="F181" i="92"/>
  <c r="I181" i="92" s="1"/>
  <c r="F180" i="92"/>
  <c r="I180" i="92" s="1"/>
  <c r="F179" i="92"/>
  <c r="I179" i="92" s="1"/>
  <c r="F178" i="92"/>
  <c r="I178" i="92" s="1"/>
  <c r="F177" i="92"/>
  <c r="I177" i="92" s="1"/>
  <c r="F176" i="92"/>
  <c r="I176" i="92" s="1"/>
  <c r="F175" i="92"/>
  <c r="I175" i="92" s="1"/>
  <c r="F174" i="92"/>
  <c r="I174" i="92" s="1"/>
  <c r="F173" i="92"/>
  <c r="I173" i="92" s="1"/>
  <c r="F172" i="92"/>
  <c r="I172" i="92" s="1"/>
  <c r="F171" i="92"/>
  <c r="I171" i="92" s="1"/>
  <c r="F170" i="92"/>
  <c r="I170" i="92" s="1"/>
  <c r="F169" i="92"/>
  <c r="I169" i="92" s="1"/>
  <c r="F201" i="1"/>
  <c r="I201" i="1" s="1"/>
  <c r="F200" i="1"/>
  <c r="I200" i="1" s="1"/>
  <c r="F199" i="1"/>
  <c r="I199" i="1" s="1"/>
  <c r="F198" i="1"/>
  <c r="I198" i="1" s="1"/>
  <c r="F197" i="1"/>
  <c r="I197" i="1" s="1"/>
  <c r="F196" i="1"/>
  <c r="I196" i="1" s="1"/>
  <c r="F195" i="1"/>
  <c r="I195" i="1" s="1"/>
  <c r="F194" i="1"/>
  <c r="I194" i="1" s="1"/>
  <c r="F193" i="1"/>
  <c r="I193" i="1" s="1"/>
  <c r="F192" i="1"/>
  <c r="I192" i="1" s="1"/>
  <c r="F191" i="1"/>
  <c r="I191" i="1" s="1"/>
  <c r="F190" i="1"/>
  <c r="I190" i="1" s="1"/>
  <c r="F189" i="1"/>
  <c r="I189" i="1" s="1"/>
  <c r="F188" i="1"/>
  <c r="I188" i="1" s="1"/>
  <c r="F187" i="1"/>
  <c r="I187" i="1" s="1"/>
  <c r="F186" i="1"/>
  <c r="I186" i="1" s="1"/>
  <c r="F185" i="1"/>
  <c r="I185" i="1" s="1"/>
  <c r="F184" i="1"/>
  <c r="I184" i="1" s="1"/>
  <c r="F183" i="1"/>
  <c r="I183" i="1" s="1"/>
  <c r="F182" i="1"/>
  <c r="I182" i="1" s="1"/>
  <c r="F181" i="1"/>
  <c r="I181" i="1" s="1"/>
  <c r="F180" i="1"/>
  <c r="I180" i="1" s="1"/>
  <c r="F179" i="1"/>
  <c r="I179" i="1" s="1"/>
  <c r="F178" i="1"/>
  <c r="I178" i="1" s="1"/>
  <c r="F177" i="1"/>
  <c r="I177" i="1" s="1"/>
  <c r="F176" i="1"/>
  <c r="I176" i="1" s="1"/>
  <c r="F175" i="1"/>
  <c r="I175" i="1" s="1"/>
  <c r="F174" i="1"/>
  <c r="I174" i="1" s="1"/>
  <c r="F173" i="1"/>
  <c r="I173" i="1" s="1"/>
  <c r="F172" i="1"/>
  <c r="I172" i="1" s="1"/>
  <c r="F171" i="1"/>
  <c r="I171" i="1" s="1"/>
  <c r="F170" i="1"/>
  <c r="I170" i="1" s="1"/>
  <c r="F169" i="1"/>
  <c r="I169" i="1" s="1"/>
  <c r="F201" i="50"/>
  <c r="I201" i="50" s="1"/>
  <c r="F200" i="50"/>
  <c r="I200" i="50" s="1"/>
  <c r="F199" i="50"/>
  <c r="I199" i="50" s="1"/>
  <c r="F198" i="50"/>
  <c r="I198" i="50" s="1"/>
  <c r="F197" i="50"/>
  <c r="I197" i="50" s="1"/>
  <c r="F196" i="50"/>
  <c r="I196" i="50" s="1"/>
  <c r="F195" i="50"/>
  <c r="I195" i="50" s="1"/>
  <c r="F194" i="50"/>
  <c r="I194" i="50" s="1"/>
  <c r="F193" i="50"/>
  <c r="I193" i="50" s="1"/>
  <c r="F192" i="50"/>
  <c r="I192" i="50" s="1"/>
  <c r="F191" i="50"/>
  <c r="I191" i="50" s="1"/>
  <c r="F190" i="50"/>
  <c r="I190" i="50" s="1"/>
  <c r="F189" i="50"/>
  <c r="I189" i="50" s="1"/>
  <c r="F188" i="50"/>
  <c r="I188" i="50" s="1"/>
  <c r="F187" i="50"/>
  <c r="I187" i="50" s="1"/>
  <c r="F186" i="50"/>
  <c r="I186" i="50" s="1"/>
  <c r="F185" i="50"/>
  <c r="I185" i="50" s="1"/>
  <c r="F184" i="50"/>
  <c r="I184" i="50" s="1"/>
  <c r="F183" i="50"/>
  <c r="I183" i="50" s="1"/>
  <c r="F182" i="50"/>
  <c r="I182" i="50" s="1"/>
  <c r="F181" i="50"/>
  <c r="I181" i="50" s="1"/>
  <c r="F180" i="50"/>
  <c r="I180" i="50" s="1"/>
  <c r="F179" i="50"/>
  <c r="I179" i="50" s="1"/>
  <c r="F178" i="50"/>
  <c r="I178" i="50" s="1"/>
  <c r="F177" i="50"/>
  <c r="I177" i="50" s="1"/>
  <c r="F176" i="50"/>
  <c r="I176" i="50" s="1"/>
  <c r="F175" i="50"/>
  <c r="I175" i="50" s="1"/>
  <c r="F174" i="50"/>
  <c r="I174" i="50" s="1"/>
  <c r="F173" i="50"/>
  <c r="I173" i="50" s="1"/>
  <c r="F172" i="50"/>
  <c r="I172" i="50" s="1"/>
  <c r="F171" i="50"/>
  <c r="I171" i="50" s="1"/>
  <c r="F170" i="50"/>
  <c r="I170" i="50" s="1"/>
  <c r="F169" i="50"/>
  <c r="I169" i="50" s="1"/>
  <c r="F201" i="95"/>
  <c r="I201" i="95" s="1"/>
  <c r="F200" i="95"/>
  <c r="I200" i="95" s="1"/>
  <c r="F199" i="95"/>
  <c r="I199" i="95" s="1"/>
  <c r="F198" i="95"/>
  <c r="I198" i="95" s="1"/>
  <c r="F197" i="95"/>
  <c r="I197" i="95" s="1"/>
  <c r="F196" i="95"/>
  <c r="I196" i="95" s="1"/>
  <c r="F195" i="95"/>
  <c r="I195" i="95" s="1"/>
  <c r="F194" i="95"/>
  <c r="I194" i="95" s="1"/>
  <c r="F193" i="95"/>
  <c r="I193" i="95" s="1"/>
  <c r="F192" i="95"/>
  <c r="I192" i="95" s="1"/>
  <c r="F191" i="95"/>
  <c r="I191" i="95" s="1"/>
  <c r="F190" i="95"/>
  <c r="I190" i="95" s="1"/>
  <c r="F189" i="95"/>
  <c r="I189" i="95" s="1"/>
  <c r="F188" i="95"/>
  <c r="I188" i="95" s="1"/>
  <c r="F187" i="95"/>
  <c r="I187" i="95" s="1"/>
  <c r="F186" i="95"/>
  <c r="I186" i="95" s="1"/>
  <c r="F185" i="95"/>
  <c r="I185" i="95" s="1"/>
  <c r="F184" i="95"/>
  <c r="I184" i="95" s="1"/>
  <c r="F183" i="95"/>
  <c r="I183" i="95" s="1"/>
  <c r="F182" i="95"/>
  <c r="I182" i="95" s="1"/>
  <c r="F181" i="95"/>
  <c r="I181" i="95" s="1"/>
  <c r="F180" i="95"/>
  <c r="I180" i="95" s="1"/>
  <c r="F179" i="95"/>
  <c r="I179" i="95" s="1"/>
  <c r="F178" i="95"/>
  <c r="I178" i="95" s="1"/>
  <c r="F177" i="95"/>
  <c r="I177" i="95" s="1"/>
  <c r="F176" i="95"/>
  <c r="I176" i="95" s="1"/>
  <c r="F175" i="95"/>
  <c r="I175" i="95" s="1"/>
  <c r="F174" i="95"/>
  <c r="I174" i="95" s="1"/>
  <c r="F173" i="95"/>
  <c r="I173" i="95" s="1"/>
  <c r="F172" i="95"/>
  <c r="I172" i="95" s="1"/>
  <c r="F171" i="95"/>
  <c r="I171" i="95" s="1"/>
  <c r="F170" i="95"/>
  <c r="I170" i="95" s="1"/>
  <c r="F169" i="95"/>
  <c r="I169" i="95" s="1"/>
  <c r="F201" i="180"/>
  <c r="I201" i="180" s="1"/>
  <c r="F200" i="180"/>
  <c r="I200" i="180" s="1"/>
  <c r="F199" i="180"/>
  <c r="I199" i="180" s="1"/>
  <c r="F198" i="180"/>
  <c r="I198" i="180" s="1"/>
  <c r="F197" i="180"/>
  <c r="I197" i="180" s="1"/>
  <c r="F196" i="180"/>
  <c r="I196" i="180" s="1"/>
  <c r="F195" i="180"/>
  <c r="I195" i="180" s="1"/>
  <c r="F194" i="180"/>
  <c r="I194" i="180" s="1"/>
  <c r="F193" i="180"/>
  <c r="I193" i="180" s="1"/>
  <c r="F192" i="180"/>
  <c r="I192" i="180" s="1"/>
  <c r="F191" i="180"/>
  <c r="I191" i="180" s="1"/>
  <c r="F190" i="180"/>
  <c r="I190" i="180" s="1"/>
  <c r="F189" i="180"/>
  <c r="I189" i="180" s="1"/>
  <c r="F188" i="180"/>
  <c r="I188" i="180" s="1"/>
  <c r="F187" i="180"/>
  <c r="I187" i="180" s="1"/>
  <c r="F186" i="180"/>
  <c r="I186" i="180" s="1"/>
  <c r="F185" i="180"/>
  <c r="I185" i="180" s="1"/>
  <c r="F184" i="180"/>
  <c r="I184" i="180" s="1"/>
  <c r="F183" i="180"/>
  <c r="I183" i="180" s="1"/>
  <c r="F182" i="180"/>
  <c r="I182" i="180" s="1"/>
  <c r="F181" i="180"/>
  <c r="I181" i="180" s="1"/>
  <c r="F180" i="180"/>
  <c r="I180" i="180" s="1"/>
  <c r="F179" i="180"/>
  <c r="I179" i="180" s="1"/>
  <c r="F178" i="180"/>
  <c r="I178" i="180" s="1"/>
  <c r="F177" i="180"/>
  <c r="I177" i="180" s="1"/>
  <c r="F176" i="180"/>
  <c r="I176" i="180" s="1"/>
  <c r="F175" i="180"/>
  <c r="I175" i="180" s="1"/>
  <c r="F174" i="180"/>
  <c r="I174" i="180" s="1"/>
  <c r="F173" i="180"/>
  <c r="I173" i="180" s="1"/>
  <c r="F172" i="180"/>
  <c r="I172" i="180" s="1"/>
  <c r="F171" i="180"/>
  <c r="I171" i="180" s="1"/>
  <c r="F170" i="180"/>
  <c r="I170" i="180" s="1"/>
  <c r="F169" i="180"/>
  <c r="I169" i="180" s="1"/>
  <c r="F165" i="118"/>
  <c r="I165" i="118" s="1"/>
  <c r="F164" i="118"/>
  <c r="I164" i="118" s="1"/>
  <c r="F163" i="118"/>
  <c r="I163" i="118" s="1"/>
  <c r="F162" i="118"/>
  <c r="I162" i="118" s="1"/>
  <c r="F161" i="118"/>
  <c r="I161" i="118" s="1"/>
  <c r="F160" i="118"/>
  <c r="I160" i="118" s="1"/>
  <c r="F165" i="60"/>
  <c r="I165" i="60" s="1"/>
  <c r="F164" i="60"/>
  <c r="I164" i="60" s="1"/>
  <c r="F163" i="60"/>
  <c r="I163" i="60" s="1"/>
  <c r="F162" i="60"/>
  <c r="I162" i="60" s="1"/>
  <c r="F161" i="60"/>
  <c r="I161" i="60" s="1"/>
  <c r="F160" i="60"/>
  <c r="I160" i="60" s="1"/>
  <c r="F165" i="106"/>
  <c r="I165" i="106" s="1"/>
  <c r="F164" i="106"/>
  <c r="I164" i="106" s="1"/>
  <c r="F163" i="106"/>
  <c r="I163" i="106" s="1"/>
  <c r="F162" i="106"/>
  <c r="I162" i="106" s="1"/>
  <c r="F161" i="106"/>
  <c r="I161" i="106" s="1"/>
  <c r="F160" i="106"/>
  <c r="I160" i="106" s="1"/>
  <c r="F165" i="104"/>
  <c r="I165" i="104" s="1"/>
  <c r="F164" i="104"/>
  <c r="I164" i="104" s="1"/>
  <c r="F163" i="104"/>
  <c r="I163" i="104" s="1"/>
  <c r="F162" i="104"/>
  <c r="I162" i="104" s="1"/>
  <c r="F161" i="104"/>
  <c r="I161" i="104" s="1"/>
  <c r="F160" i="104"/>
  <c r="I160" i="104" s="1"/>
  <c r="F165" i="54"/>
  <c r="I165" i="54" s="1"/>
  <c r="F164" i="54"/>
  <c r="I164" i="54" s="1"/>
  <c r="F163" i="54"/>
  <c r="I163" i="54" s="1"/>
  <c r="F162" i="54"/>
  <c r="I162" i="54" s="1"/>
  <c r="F161" i="54"/>
  <c r="I161" i="54" s="1"/>
  <c r="F160" i="54"/>
  <c r="I160" i="54" s="1"/>
  <c r="F165" i="181"/>
  <c r="I165" i="181" s="1"/>
  <c r="F164" i="181"/>
  <c r="I164" i="181" s="1"/>
  <c r="F163" i="181"/>
  <c r="I163" i="181" s="1"/>
  <c r="F162" i="181"/>
  <c r="I162" i="181" s="1"/>
  <c r="F161" i="181"/>
  <c r="I161" i="181" s="1"/>
  <c r="F160" i="181"/>
  <c r="I160" i="181" s="1"/>
  <c r="F165" i="94"/>
  <c r="I165" i="94" s="1"/>
  <c r="F164" i="94"/>
  <c r="I164" i="94" s="1"/>
  <c r="F163" i="94"/>
  <c r="I163" i="94" s="1"/>
  <c r="F162" i="94"/>
  <c r="I162" i="94" s="1"/>
  <c r="F161" i="94"/>
  <c r="I161" i="94" s="1"/>
  <c r="F160" i="94"/>
  <c r="I160" i="94" s="1"/>
  <c r="F165" i="145"/>
  <c r="I165" i="145" s="1"/>
  <c r="F164" i="145"/>
  <c r="I164" i="145" s="1"/>
  <c r="F163" i="145"/>
  <c r="I163" i="145" s="1"/>
  <c r="F162" i="145"/>
  <c r="I162" i="145" s="1"/>
  <c r="F161" i="145"/>
  <c r="I161" i="145" s="1"/>
  <c r="F160" i="145"/>
  <c r="I160" i="145" s="1"/>
  <c r="F165" i="33"/>
  <c r="I165" i="33" s="1"/>
  <c r="F164" i="33"/>
  <c r="I164" i="33" s="1"/>
  <c r="F163" i="33"/>
  <c r="I163" i="33" s="1"/>
  <c r="F162" i="33"/>
  <c r="I162" i="33" s="1"/>
  <c r="F161" i="33"/>
  <c r="I161" i="33" s="1"/>
  <c r="F160" i="33"/>
  <c r="I160" i="33" s="1"/>
  <c r="F165" i="177"/>
  <c r="I165" i="177" s="1"/>
  <c r="F164" i="177"/>
  <c r="I164" i="177" s="1"/>
  <c r="F163" i="177"/>
  <c r="I163" i="177" s="1"/>
  <c r="F162" i="177"/>
  <c r="I162" i="177" s="1"/>
  <c r="F161" i="177"/>
  <c r="I161" i="177" s="1"/>
  <c r="F160" i="177"/>
  <c r="I160" i="177" s="1"/>
  <c r="F165" i="164"/>
  <c r="I165" i="164" s="1"/>
  <c r="F164" i="164"/>
  <c r="I164" i="164" s="1"/>
  <c r="F163" i="164"/>
  <c r="I163" i="164" s="1"/>
  <c r="F162" i="164"/>
  <c r="I162" i="164" s="1"/>
  <c r="F161" i="164"/>
  <c r="I161" i="164" s="1"/>
  <c r="F160" i="164"/>
  <c r="I160" i="164" s="1"/>
  <c r="F165" i="19"/>
  <c r="I165" i="19" s="1"/>
  <c r="F164" i="19"/>
  <c r="I164" i="19" s="1"/>
  <c r="F163" i="19"/>
  <c r="I163" i="19" s="1"/>
  <c r="F162" i="19"/>
  <c r="I162" i="19" s="1"/>
  <c r="F161" i="19"/>
  <c r="I161" i="19" s="1"/>
  <c r="F160" i="19"/>
  <c r="I160" i="19" s="1"/>
  <c r="F165" i="15"/>
  <c r="I165" i="15" s="1"/>
  <c r="F164" i="15"/>
  <c r="I164" i="15" s="1"/>
  <c r="F163" i="15"/>
  <c r="I163" i="15" s="1"/>
  <c r="F162" i="15"/>
  <c r="I162" i="15" s="1"/>
  <c r="F161" i="15"/>
  <c r="I161" i="15" s="1"/>
  <c r="F160" i="15"/>
  <c r="I160" i="15" s="1"/>
  <c r="F165" i="178"/>
  <c r="I165" i="178" s="1"/>
  <c r="F164" i="178"/>
  <c r="I164" i="178" s="1"/>
  <c r="F163" i="178"/>
  <c r="I163" i="178" s="1"/>
  <c r="F162" i="178"/>
  <c r="I162" i="178" s="1"/>
  <c r="F161" i="178"/>
  <c r="I161" i="178" s="1"/>
  <c r="F160" i="178"/>
  <c r="I160" i="178" s="1"/>
  <c r="F165" i="150"/>
  <c r="I165" i="150" s="1"/>
  <c r="F164" i="150"/>
  <c r="I164" i="150" s="1"/>
  <c r="F163" i="150"/>
  <c r="I163" i="150" s="1"/>
  <c r="F162" i="150"/>
  <c r="I162" i="150" s="1"/>
  <c r="F161" i="150"/>
  <c r="I161" i="150" s="1"/>
  <c r="F160" i="150"/>
  <c r="I160" i="150" s="1"/>
  <c r="F165" i="68"/>
  <c r="I165" i="68" s="1"/>
  <c r="F164" i="68"/>
  <c r="I164" i="68" s="1"/>
  <c r="F163" i="68"/>
  <c r="I163" i="68" s="1"/>
  <c r="F162" i="68"/>
  <c r="I162" i="68" s="1"/>
  <c r="F161" i="68"/>
  <c r="I161" i="68" s="1"/>
  <c r="F160" i="68"/>
  <c r="I160" i="68" s="1"/>
  <c r="F165" i="66"/>
  <c r="I165" i="66" s="1"/>
  <c r="F164" i="66"/>
  <c r="I164" i="66" s="1"/>
  <c r="F163" i="66"/>
  <c r="I163" i="66" s="1"/>
  <c r="F162" i="66"/>
  <c r="I162" i="66" s="1"/>
  <c r="F161" i="66"/>
  <c r="I161" i="66" s="1"/>
  <c r="F160" i="66"/>
  <c r="I160" i="66" s="1"/>
  <c r="F165" i="63"/>
  <c r="I165" i="63" s="1"/>
  <c r="F164" i="63"/>
  <c r="I164" i="63" s="1"/>
  <c r="F163" i="63"/>
  <c r="I163" i="63" s="1"/>
  <c r="F162" i="63"/>
  <c r="I162" i="63" s="1"/>
  <c r="F161" i="63"/>
  <c r="I161" i="63" s="1"/>
  <c r="F160" i="63"/>
  <c r="I160" i="63" s="1"/>
  <c r="F165" i="62"/>
  <c r="I165" i="62" s="1"/>
  <c r="F164" i="62"/>
  <c r="I164" i="62" s="1"/>
  <c r="F163" i="62"/>
  <c r="I163" i="62" s="1"/>
  <c r="F162" i="62"/>
  <c r="I162" i="62" s="1"/>
  <c r="F161" i="62"/>
  <c r="I161" i="62" s="1"/>
  <c r="F160" i="62"/>
  <c r="I160" i="62" s="1"/>
  <c r="F165" i="58"/>
  <c r="I165" i="58" s="1"/>
  <c r="F164" i="58"/>
  <c r="I164" i="58" s="1"/>
  <c r="F163" i="58"/>
  <c r="I163" i="58" s="1"/>
  <c r="F162" i="58"/>
  <c r="I162" i="58" s="1"/>
  <c r="F161" i="58"/>
  <c r="I161" i="58" s="1"/>
  <c r="F160" i="58"/>
  <c r="I160" i="58" s="1"/>
  <c r="F165" i="136"/>
  <c r="I165" i="136" s="1"/>
  <c r="F164" i="136"/>
  <c r="I164" i="136" s="1"/>
  <c r="F163" i="136"/>
  <c r="I163" i="136" s="1"/>
  <c r="F162" i="136"/>
  <c r="I162" i="136" s="1"/>
  <c r="F161" i="136"/>
  <c r="I161" i="136" s="1"/>
  <c r="F160" i="136"/>
  <c r="I160" i="136" s="1"/>
  <c r="F165" i="141"/>
  <c r="I165" i="141" s="1"/>
  <c r="F164" i="141"/>
  <c r="I164" i="141" s="1"/>
  <c r="F163" i="141"/>
  <c r="I163" i="141" s="1"/>
  <c r="F162" i="141"/>
  <c r="I162" i="141" s="1"/>
  <c r="F161" i="141"/>
  <c r="I161" i="141" s="1"/>
  <c r="F160" i="141"/>
  <c r="I160" i="141" s="1"/>
  <c r="F165" i="174"/>
  <c r="I165" i="174" s="1"/>
  <c r="F164" i="174"/>
  <c r="I164" i="174" s="1"/>
  <c r="F163" i="174"/>
  <c r="I163" i="174" s="1"/>
  <c r="F162" i="174"/>
  <c r="I162" i="174" s="1"/>
  <c r="F161" i="174"/>
  <c r="I161" i="174" s="1"/>
  <c r="F160" i="174"/>
  <c r="I160" i="174" s="1"/>
  <c r="F165" i="53"/>
  <c r="I165" i="53" s="1"/>
  <c r="F164" i="53"/>
  <c r="I164" i="53" s="1"/>
  <c r="F163" i="53"/>
  <c r="I163" i="53" s="1"/>
  <c r="F162" i="53"/>
  <c r="I162" i="53" s="1"/>
  <c r="F161" i="53"/>
  <c r="I161" i="53" s="1"/>
  <c r="F160" i="53"/>
  <c r="I160" i="53" s="1"/>
  <c r="F165" i="98"/>
  <c r="I165" i="98" s="1"/>
  <c r="F164" i="98"/>
  <c r="I164" i="98" s="1"/>
  <c r="F163" i="98"/>
  <c r="I163" i="98" s="1"/>
  <c r="F162" i="98"/>
  <c r="I162" i="98" s="1"/>
  <c r="F161" i="98"/>
  <c r="I161" i="98" s="1"/>
  <c r="F160" i="98"/>
  <c r="I160" i="98" s="1"/>
  <c r="F165" i="49"/>
  <c r="I165" i="49" s="1"/>
  <c r="F164" i="49"/>
  <c r="I164" i="49" s="1"/>
  <c r="F163" i="49"/>
  <c r="I163" i="49" s="1"/>
  <c r="F162" i="49"/>
  <c r="I162" i="49" s="1"/>
  <c r="F161" i="49"/>
  <c r="I161" i="49" s="1"/>
  <c r="F160" i="49"/>
  <c r="I160" i="49" s="1"/>
  <c r="F165" i="83"/>
  <c r="F164" i="83"/>
  <c r="F163" i="83"/>
  <c r="F162" i="83"/>
  <c r="F161" i="83"/>
  <c r="F160" i="83"/>
  <c r="F165" i="46"/>
  <c r="I165" i="46" s="1"/>
  <c r="F164" i="46"/>
  <c r="I164" i="46" s="1"/>
  <c r="F163" i="46"/>
  <c r="I163" i="46" s="1"/>
  <c r="F162" i="46"/>
  <c r="I162" i="46" s="1"/>
  <c r="F161" i="46"/>
  <c r="I161" i="46" s="1"/>
  <c r="F160" i="46"/>
  <c r="I160" i="46" s="1"/>
  <c r="F165" i="102"/>
  <c r="I165" i="102" s="1"/>
  <c r="F164" i="102"/>
  <c r="I164" i="102" s="1"/>
  <c r="F163" i="102"/>
  <c r="I163" i="102" s="1"/>
  <c r="F162" i="102"/>
  <c r="I162" i="102" s="1"/>
  <c r="F161" i="102"/>
  <c r="I161" i="102" s="1"/>
  <c r="F160" i="102"/>
  <c r="I160" i="102" s="1"/>
  <c r="F165" i="43"/>
  <c r="I165" i="43" s="1"/>
  <c r="F164" i="43"/>
  <c r="I164" i="43" s="1"/>
  <c r="F163" i="43"/>
  <c r="I163" i="43" s="1"/>
  <c r="F162" i="43"/>
  <c r="I162" i="43" s="1"/>
  <c r="F161" i="43"/>
  <c r="I161" i="43" s="1"/>
  <c r="F160" i="43"/>
  <c r="I160" i="43" s="1"/>
  <c r="F165" i="175"/>
  <c r="I165" i="175" s="1"/>
  <c r="F164" i="175"/>
  <c r="I164" i="175" s="1"/>
  <c r="F163" i="175"/>
  <c r="I163" i="175" s="1"/>
  <c r="F162" i="175"/>
  <c r="I162" i="175" s="1"/>
  <c r="F161" i="175"/>
  <c r="I161" i="175" s="1"/>
  <c r="F160" i="175"/>
  <c r="I160" i="175" s="1"/>
  <c r="F165" i="57"/>
  <c r="I165" i="57" s="1"/>
  <c r="F164" i="57"/>
  <c r="I164" i="57" s="1"/>
  <c r="F163" i="57"/>
  <c r="I163" i="57" s="1"/>
  <c r="F162" i="57"/>
  <c r="I162" i="57" s="1"/>
  <c r="F161" i="57"/>
  <c r="I161" i="57" s="1"/>
  <c r="F160" i="57"/>
  <c r="I160" i="57" s="1"/>
  <c r="F165" i="84"/>
  <c r="I165" i="84" s="1"/>
  <c r="F164" i="84"/>
  <c r="I164" i="84" s="1"/>
  <c r="F163" i="84"/>
  <c r="I163" i="84" s="1"/>
  <c r="F162" i="84"/>
  <c r="I162" i="84" s="1"/>
  <c r="F161" i="84"/>
  <c r="I161" i="84" s="1"/>
  <c r="F160" i="84"/>
  <c r="I160" i="84" s="1"/>
  <c r="F165" i="167"/>
  <c r="I165" i="167" s="1"/>
  <c r="F164" i="167"/>
  <c r="I164" i="167" s="1"/>
  <c r="F163" i="167"/>
  <c r="I163" i="167" s="1"/>
  <c r="F162" i="167"/>
  <c r="I162" i="167" s="1"/>
  <c r="F161" i="167"/>
  <c r="I161" i="167" s="1"/>
  <c r="F160" i="167"/>
  <c r="I160" i="167" s="1"/>
  <c r="F165" i="39"/>
  <c r="I165" i="39" s="1"/>
  <c r="F164" i="39"/>
  <c r="I164" i="39" s="1"/>
  <c r="F163" i="39"/>
  <c r="I163" i="39" s="1"/>
  <c r="F162" i="39"/>
  <c r="I162" i="39" s="1"/>
  <c r="F161" i="39"/>
  <c r="I161" i="39" s="1"/>
  <c r="F160" i="39"/>
  <c r="I160" i="39" s="1"/>
  <c r="F165" i="135"/>
  <c r="I165" i="135" s="1"/>
  <c r="F164" i="135"/>
  <c r="I164" i="135" s="1"/>
  <c r="F163" i="135"/>
  <c r="I163" i="135" s="1"/>
  <c r="F162" i="135"/>
  <c r="I162" i="135" s="1"/>
  <c r="F161" i="135"/>
  <c r="I161" i="135" s="1"/>
  <c r="F160" i="135"/>
  <c r="I160" i="135" s="1"/>
  <c r="F165" i="38"/>
  <c r="I165" i="38" s="1"/>
  <c r="F164" i="38"/>
  <c r="I164" i="38" s="1"/>
  <c r="F163" i="38"/>
  <c r="I163" i="38" s="1"/>
  <c r="F162" i="38"/>
  <c r="I162" i="38" s="1"/>
  <c r="F161" i="38"/>
  <c r="I161" i="38" s="1"/>
  <c r="F160" i="38"/>
  <c r="I160" i="38" s="1"/>
  <c r="F165" i="103"/>
  <c r="I165" i="103" s="1"/>
  <c r="F164" i="103"/>
  <c r="I164" i="103" s="1"/>
  <c r="F163" i="103"/>
  <c r="I163" i="103" s="1"/>
  <c r="F162" i="103"/>
  <c r="I162" i="103" s="1"/>
  <c r="F161" i="103"/>
  <c r="I161" i="103" s="1"/>
  <c r="F160" i="103"/>
  <c r="I160" i="103" s="1"/>
  <c r="F165" i="133"/>
  <c r="I165" i="133" s="1"/>
  <c r="F164" i="133"/>
  <c r="I164" i="133" s="1"/>
  <c r="F163" i="133"/>
  <c r="I163" i="133" s="1"/>
  <c r="F162" i="133"/>
  <c r="I162" i="133" s="1"/>
  <c r="F161" i="133"/>
  <c r="I161" i="133" s="1"/>
  <c r="F160" i="133"/>
  <c r="I160" i="133" s="1"/>
  <c r="F165" i="152"/>
  <c r="I165" i="152" s="1"/>
  <c r="F164" i="152"/>
  <c r="I164" i="152" s="1"/>
  <c r="F163" i="152"/>
  <c r="I163" i="152" s="1"/>
  <c r="F162" i="152"/>
  <c r="I162" i="152" s="1"/>
  <c r="F161" i="152"/>
  <c r="I161" i="152" s="1"/>
  <c r="F160" i="152"/>
  <c r="I160" i="152" s="1"/>
  <c r="F165" i="47"/>
  <c r="I165" i="47" s="1"/>
  <c r="F164" i="47"/>
  <c r="I164" i="47" s="1"/>
  <c r="F163" i="47"/>
  <c r="I163" i="47" s="1"/>
  <c r="F162" i="47"/>
  <c r="I162" i="47" s="1"/>
  <c r="F161" i="47"/>
  <c r="I161" i="47" s="1"/>
  <c r="F160" i="47"/>
  <c r="I160" i="47" s="1"/>
  <c r="F165" i="120"/>
  <c r="I165" i="120" s="1"/>
  <c r="F164" i="120"/>
  <c r="I164" i="120" s="1"/>
  <c r="F163" i="120"/>
  <c r="I163" i="120" s="1"/>
  <c r="F162" i="120"/>
  <c r="I162" i="120" s="1"/>
  <c r="F161" i="120"/>
  <c r="I161" i="120" s="1"/>
  <c r="F160" i="120"/>
  <c r="I160" i="120" s="1"/>
  <c r="F165" i="37"/>
  <c r="I165" i="37" s="1"/>
  <c r="F164" i="37"/>
  <c r="I164" i="37" s="1"/>
  <c r="F163" i="37"/>
  <c r="I163" i="37" s="1"/>
  <c r="F162" i="37"/>
  <c r="I162" i="37" s="1"/>
  <c r="F161" i="37"/>
  <c r="I161" i="37" s="1"/>
  <c r="F160" i="37"/>
  <c r="I160" i="37" s="1"/>
  <c r="F165" i="90"/>
  <c r="I165" i="90" s="1"/>
  <c r="F164" i="90"/>
  <c r="I164" i="90" s="1"/>
  <c r="F163" i="90"/>
  <c r="I163" i="90" s="1"/>
  <c r="F162" i="90"/>
  <c r="I162" i="90" s="1"/>
  <c r="F161" i="90"/>
  <c r="I161" i="90" s="1"/>
  <c r="F160" i="90"/>
  <c r="I160" i="90" s="1"/>
  <c r="F165" i="24"/>
  <c r="I165" i="24" s="1"/>
  <c r="F164" i="24"/>
  <c r="I164" i="24" s="1"/>
  <c r="F163" i="24"/>
  <c r="I163" i="24" s="1"/>
  <c r="F162" i="24"/>
  <c r="I162" i="24" s="1"/>
  <c r="F161" i="24"/>
  <c r="I161" i="24" s="1"/>
  <c r="F160" i="24"/>
  <c r="I160" i="24" s="1"/>
  <c r="F165" i="32"/>
  <c r="I165" i="32" s="1"/>
  <c r="F164" i="32"/>
  <c r="I164" i="32" s="1"/>
  <c r="F163" i="32"/>
  <c r="I163" i="32" s="1"/>
  <c r="F162" i="32"/>
  <c r="I162" i="32" s="1"/>
  <c r="F161" i="32"/>
  <c r="I161" i="32" s="1"/>
  <c r="F160" i="32"/>
  <c r="I160" i="32" s="1"/>
  <c r="F165" i="79"/>
  <c r="I165" i="79" s="1"/>
  <c r="F164" i="79"/>
  <c r="I164" i="79" s="1"/>
  <c r="F163" i="79"/>
  <c r="I163" i="79" s="1"/>
  <c r="F162" i="79"/>
  <c r="I162" i="79" s="1"/>
  <c r="F161" i="79"/>
  <c r="I161" i="79" s="1"/>
  <c r="F160" i="79"/>
  <c r="I160" i="79" s="1"/>
  <c r="F165" i="31"/>
  <c r="I165" i="31" s="1"/>
  <c r="F164" i="31"/>
  <c r="I164" i="31" s="1"/>
  <c r="F163" i="31"/>
  <c r="I163" i="31" s="1"/>
  <c r="F162" i="31"/>
  <c r="I162" i="31" s="1"/>
  <c r="F161" i="31"/>
  <c r="I161" i="31" s="1"/>
  <c r="F160" i="31"/>
  <c r="I160" i="31" s="1"/>
  <c r="F165" i="64"/>
  <c r="I165" i="64" s="1"/>
  <c r="F164" i="64"/>
  <c r="I164" i="64" s="1"/>
  <c r="F163" i="64"/>
  <c r="I163" i="64" s="1"/>
  <c r="F162" i="64"/>
  <c r="I162" i="64" s="1"/>
  <c r="F161" i="64"/>
  <c r="I161" i="64" s="1"/>
  <c r="F160" i="64"/>
  <c r="I160" i="64" s="1"/>
  <c r="F165" i="113"/>
  <c r="I165" i="113" s="1"/>
  <c r="F164" i="113"/>
  <c r="I164" i="113" s="1"/>
  <c r="F163" i="113"/>
  <c r="I163" i="113" s="1"/>
  <c r="F162" i="113"/>
  <c r="I162" i="113" s="1"/>
  <c r="F161" i="113"/>
  <c r="I161" i="113" s="1"/>
  <c r="F160" i="113"/>
  <c r="I160" i="113" s="1"/>
  <c r="F165" i="72"/>
  <c r="I165" i="72" s="1"/>
  <c r="F164" i="72"/>
  <c r="I164" i="72" s="1"/>
  <c r="F163" i="72"/>
  <c r="I163" i="72" s="1"/>
  <c r="F162" i="72"/>
  <c r="I162" i="72" s="1"/>
  <c r="F161" i="72"/>
  <c r="I161" i="72" s="1"/>
  <c r="F160" i="72"/>
  <c r="I160" i="72" s="1"/>
  <c r="F165" i="28"/>
  <c r="I165" i="28" s="1"/>
  <c r="F164" i="28"/>
  <c r="I164" i="28" s="1"/>
  <c r="F163" i="28"/>
  <c r="I163" i="28" s="1"/>
  <c r="F162" i="28"/>
  <c r="I162" i="28" s="1"/>
  <c r="F161" i="28"/>
  <c r="I161" i="28" s="1"/>
  <c r="F160" i="28"/>
  <c r="I160" i="28" s="1"/>
  <c r="F165" i="65"/>
  <c r="I165" i="65" s="1"/>
  <c r="F164" i="65"/>
  <c r="I164" i="65" s="1"/>
  <c r="F163" i="65"/>
  <c r="I163" i="65" s="1"/>
  <c r="F162" i="65"/>
  <c r="I162" i="65" s="1"/>
  <c r="F161" i="65"/>
  <c r="I161" i="65" s="1"/>
  <c r="F160" i="65"/>
  <c r="I160" i="65" s="1"/>
  <c r="F165" i="119"/>
  <c r="I165" i="119" s="1"/>
  <c r="F164" i="119"/>
  <c r="I164" i="119" s="1"/>
  <c r="F163" i="119"/>
  <c r="I163" i="119" s="1"/>
  <c r="F162" i="119"/>
  <c r="I162" i="119" s="1"/>
  <c r="F161" i="119"/>
  <c r="I161" i="119" s="1"/>
  <c r="F160" i="119"/>
  <c r="I160" i="119" s="1"/>
  <c r="F165" i="25"/>
  <c r="I165" i="25" s="1"/>
  <c r="F164" i="25"/>
  <c r="I164" i="25" s="1"/>
  <c r="F163" i="25"/>
  <c r="I163" i="25" s="1"/>
  <c r="F162" i="25"/>
  <c r="I162" i="25" s="1"/>
  <c r="F161" i="25"/>
  <c r="I161" i="25" s="1"/>
  <c r="F160" i="25"/>
  <c r="I160" i="25" s="1"/>
  <c r="F165" i="155"/>
  <c r="I165" i="155" s="1"/>
  <c r="F164" i="155"/>
  <c r="I164" i="155" s="1"/>
  <c r="F163" i="155"/>
  <c r="I163" i="155" s="1"/>
  <c r="F162" i="155"/>
  <c r="I162" i="155" s="1"/>
  <c r="F161" i="155"/>
  <c r="I161" i="155" s="1"/>
  <c r="F160" i="155"/>
  <c r="I160" i="155" s="1"/>
  <c r="F165" i="156"/>
  <c r="I165" i="156" s="1"/>
  <c r="F164" i="156"/>
  <c r="I164" i="156" s="1"/>
  <c r="F163" i="156"/>
  <c r="I163" i="156" s="1"/>
  <c r="F162" i="156"/>
  <c r="I162" i="156" s="1"/>
  <c r="F161" i="156"/>
  <c r="I161" i="156" s="1"/>
  <c r="F160" i="156"/>
  <c r="I160" i="156" s="1"/>
  <c r="F165" i="20"/>
  <c r="I165" i="20" s="1"/>
  <c r="F164" i="20"/>
  <c r="I164" i="20" s="1"/>
  <c r="F163" i="20"/>
  <c r="I163" i="20" s="1"/>
  <c r="F162" i="20"/>
  <c r="I162" i="20" s="1"/>
  <c r="F161" i="20"/>
  <c r="I161" i="20" s="1"/>
  <c r="F160" i="20"/>
  <c r="I160" i="20" s="1"/>
  <c r="F165" i="42"/>
  <c r="I165" i="42" s="1"/>
  <c r="F164" i="42"/>
  <c r="I164" i="42" s="1"/>
  <c r="F163" i="42"/>
  <c r="I163" i="42" s="1"/>
  <c r="F162" i="42"/>
  <c r="I162" i="42" s="1"/>
  <c r="F161" i="42"/>
  <c r="I161" i="42" s="1"/>
  <c r="F160" i="42"/>
  <c r="I160" i="42" s="1"/>
  <c r="F165" i="157"/>
  <c r="I165" i="157" s="1"/>
  <c r="F164" i="157"/>
  <c r="I164" i="157" s="1"/>
  <c r="F163" i="157"/>
  <c r="I163" i="157" s="1"/>
  <c r="F162" i="157"/>
  <c r="I162" i="157" s="1"/>
  <c r="F161" i="157"/>
  <c r="I161" i="157" s="1"/>
  <c r="F160" i="157"/>
  <c r="I160" i="157" s="1"/>
  <c r="F165" i="159"/>
  <c r="I165" i="159" s="1"/>
  <c r="F164" i="159"/>
  <c r="I164" i="159" s="1"/>
  <c r="F163" i="159"/>
  <c r="I163" i="159" s="1"/>
  <c r="F162" i="159"/>
  <c r="I162" i="159" s="1"/>
  <c r="F161" i="159"/>
  <c r="I161" i="159" s="1"/>
  <c r="F160" i="159"/>
  <c r="I160" i="159" s="1"/>
  <c r="F165" i="158"/>
  <c r="I165" i="158" s="1"/>
  <c r="F164" i="158"/>
  <c r="I164" i="158" s="1"/>
  <c r="F163" i="158"/>
  <c r="I163" i="158" s="1"/>
  <c r="F162" i="158"/>
  <c r="I162" i="158" s="1"/>
  <c r="F161" i="158"/>
  <c r="I161" i="158" s="1"/>
  <c r="F160" i="158"/>
  <c r="I160" i="158" s="1"/>
  <c r="F165" i="16"/>
  <c r="I165" i="16" s="1"/>
  <c r="F164" i="16"/>
  <c r="I164" i="16" s="1"/>
  <c r="F163" i="16"/>
  <c r="I163" i="16" s="1"/>
  <c r="F162" i="16"/>
  <c r="I162" i="16" s="1"/>
  <c r="F161" i="16"/>
  <c r="I161" i="16" s="1"/>
  <c r="F160" i="16"/>
  <c r="I160" i="16" s="1"/>
  <c r="F165" i="27"/>
  <c r="I165" i="27" s="1"/>
  <c r="F164" i="27"/>
  <c r="I164" i="27" s="1"/>
  <c r="F163" i="27"/>
  <c r="I163" i="27" s="1"/>
  <c r="F162" i="27"/>
  <c r="I162" i="27" s="1"/>
  <c r="F161" i="27"/>
  <c r="I161" i="27" s="1"/>
  <c r="F160" i="27"/>
  <c r="I160" i="27" s="1"/>
  <c r="F165" i="111"/>
  <c r="I165" i="111" s="1"/>
  <c r="F164" i="111"/>
  <c r="I164" i="111" s="1"/>
  <c r="F163" i="111"/>
  <c r="I163" i="111" s="1"/>
  <c r="F162" i="111"/>
  <c r="I162" i="111" s="1"/>
  <c r="F161" i="111"/>
  <c r="I161" i="111" s="1"/>
  <c r="F160" i="111"/>
  <c r="I160" i="111" s="1"/>
  <c r="F165" i="71"/>
  <c r="I165" i="71" s="1"/>
  <c r="F164" i="71"/>
  <c r="I164" i="71" s="1"/>
  <c r="F163" i="71"/>
  <c r="I163" i="71" s="1"/>
  <c r="F162" i="71"/>
  <c r="I162" i="71" s="1"/>
  <c r="F161" i="71"/>
  <c r="I161" i="71" s="1"/>
  <c r="F160" i="71"/>
  <c r="I160" i="71" s="1"/>
  <c r="F165" i="165"/>
  <c r="I165" i="165" s="1"/>
  <c r="F164" i="165"/>
  <c r="I164" i="165" s="1"/>
  <c r="F163" i="165"/>
  <c r="I163" i="165" s="1"/>
  <c r="F162" i="165"/>
  <c r="I162" i="165" s="1"/>
  <c r="F161" i="165"/>
  <c r="I161" i="165" s="1"/>
  <c r="F160" i="165"/>
  <c r="I160" i="165" s="1"/>
  <c r="F165" i="55"/>
  <c r="I165" i="55" s="1"/>
  <c r="F164" i="55"/>
  <c r="I164" i="55" s="1"/>
  <c r="F163" i="55"/>
  <c r="I163" i="55" s="1"/>
  <c r="F162" i="55"/>
  <c r="I162" i="55" s="1"/>
  <c r="F161" i="55"/>
  <c r="I161" i="55" s="1"/>
  <c r="F160" i="55"/>
  <c r="I160" i="55" s="1"/>
  <c r="F165" i="21"/>
  <c r="I165" i="21" s="1"/>
  <c r="F164" i="21"/>
  <c r="I164" i="21" s="1"/>
  <c r="F163" i="21"/>
  <c r="I163" i="21" s="1"/>
  <c r="F162" i="21"/>
  <c r="I162" i="21" s="1"/>
  <c r="F161" i="21"/>
  <c r="I161" i="21" s="1"/>
  <c r="F160" i="21"/>
  <c r="I160" i="21" s="1"/>
  <c r="F165" i="14"/>
  <c r="I165" i="14" s="1"/>
  <c r="F164" i="14"/>
  <c r="I164" i="14" s="1"/>
  <c r="F163" i="14"/>
  <c r="I163" i="14" s="1"/>
  <c r="F162" i="14"/>
  <c r="I162" i="14" s="1"/>
  <c r="F161" i="14"/>
  <c r="I161" i="14" s="1"/>
  <c r="F160" i="14"/>
  <c r="I160" i="14" s="1"/>
  <c r="F165" i="85"/>
  <c r="I165" i="85" s="1"/>
  <c r="F164" i="85"/>
  <c r="I164" i="85" s="1"/>
  <c r="F163" i="85"/>
  <c r="I163" i="85" s="1"/>
  <c r="F162" i="85"/>
  <c r="I162" i="85" s="1"/>
  <c r="F161" i="85"/>
  <c r="I161" i="85" s="1"/>
  <c r="F160" i="85"/>
  <c r="I160" i="85" s="1"/>
  <c r="F165" i="87"/>
  <c r="I165" i="87" s="1"/>
  <c r="F164" i="87"/>
  <c r="I164" i="87" s="1"/>
  <c r="F163" i="87"/>
  <c r="I163" i="87" s="1"/>
  <c r="F162" i="87"/>
  <c r="I162" i="87" s="1"/>
  <c r="F161" i="87"/>
  <c r="I161" i="87" s="1"/>
  <c r="F160" i="87"/>
  <c r="I160" i="87" s="1"/>
  <c r="F165" i="86"/>
  <c r="I165" i="86" s="1"/>
  <c r="F164" i="86"/>
  <c r="I164" i="86" s="1"/>
  <c r="F163" i="86"/>
  <c r="I163" i="86" s="1"/>
  <c r="F162" i="86"/>
  <c r="I162" i="86" s="1"/>
  <c r="F161" i="86"/>
  <c r="I161" i="86" s="1"/>
  <c r="F160" i="86"/>
  <c r="I160" i="86" s="1"/>
  <c r="F165" i="89"/>
  <c r="I165" i="89" s="1"/>
  <c r="F164" i="89"/>
  <c r="I164" i="89" s="1"/>
  <c r="F163" i="89"/>
  <c r="I163" i="89" s="1"/>
  <c r="F162" i="89"/>
  <c r="I162" i="89" s="1"/>
  <c r="F161" i="89"/>
  <c r="I161" i="89" s="1"/>
  <c r="F160" i="89"/>
  <c r="I160" i="89" s="1"/>
  <c r="F165" i="142"/>
  <c r="I165" i="142" s="1"/>
  <c r="F164" i="142"/>
  <c r="I164" i="142" s="1"/>
  <c r="F163" i="142"/>
  <c r="I163" i="142" s="1"/>
  <c r="F162" i="142"/>
  <c r="I162" i="142" s="1"/>
  <c r="F161" i="142"/>
  <c r="I161" i="142" s="1"/>
  <c r="F160" i="142"/>
  <c r="I160" i="142" s="1"/>
  <c r="F165" i="92"/>
  <c r="I165" i="92" s="1"/>
  <c r="F164" i="92"/>
  <c r="I164" i="92" s="1"/>
  <c r="F163" i="92"/>
  <c r="I163" i="92" s="1"/>
  <c r="F162" i="92"/>
  <c r="I162" i="92" s="1"/>
  <c r="F161" i="92"/>
  <c r="I161" i="92" s="1"/>
  <c r="F160" i="92"/>
  <c r="I160" i="92" s="1"/>
  <c r="F165" i="1"/>
  <c r="I165" i="1" s="1"/>
  <c r="F164" i="1"/>
  <c r="I164" i="1" s="1"/>
  <c r="F163" i="1"/>
  <c r="I163" i="1" s="1"/>
  <c r="F162" i="1"/>
  <c r="I162" i="1" s="1"/>
  <c r="F161" i="1"/>
  <c r="I161" i="1" s="1"/>
  <c r="F160" i="1"/>
  <c r="I160" i="1" s="1"/>
  <c r="F165" i="50"/>
  <c r="I165" i="50" s="1"/>
  <c r="F164" i="50"/>
  <c r="I164" i="50" s="1"/>
  <c r="F163" i="50"/>
  <c r="I163" i="50" s="1"/>
  <c r="F162" i="50"/>
  <c r="I162" i="50" s="1"/>
  <c r="F161" i="50"/>
  <c r="I161" i="50" s="1"/>
  <c r="F160" i="50"/>
  <c r="I160" i="50" s="1"/>
  <c r="F165" i="95"/>
  <c r="I165" i="95" s="1"/>
  <c r="F164" i="95"/>
  <c r="I164" i="95" s="1"/>
  <c r="F163" i="95"/>
  <c r="I163" i="95" s="1"/>
  <c r="F162" i="95"/>
  <c r="I162" i="95" s="1"/>
  <c r="F161" i="95"/>
  <c r="I161" i="95" s="1"/>
  <c r="F160" i="95"/>
  <c r="I160" i="95" s="1"/>
  <c r="F165" i="180"/>
  <c r="I165" i="180" s="1"/>
  <c r="F164" i="180"/>
  <c r="I164" i="180" s="1"/>
  <c r="F163" i="180"/>
  <c r="I163" i="180" s="1"/>
  <c r="F162" i="180"/>
  <c r="I162" i="180" s="1"/>
  <c r="F161" i="180"/>
  <c r="I161" i="180" s="1"/>
  <c r="F160" i="180"/>
  <c r="I160" i="180" s="1"/>
  <c r="F158" i="118"/>
  <c r="I158" i="118" s="1"/>
  <c r="F157" i="118"/>
  <c r="I157" i="118" s="1"/>
  <c r="F156" i="118"/>
  <c r="I156" i="118" s="1"/>
  <c r="F155" i="118"/>
  <c r="I155" i="118" s="1"/>
  <c r="F154" i="118"/>
  <c r="I154" i="118" s="1"/>
  <c r="F153" i="118"/>
  <c r="I153" i="118" s="1"/>
  <c r="F152" i="118"/>
  <c r="I152" i="118" s="1"/>
  <c r="F151" i="118"/>
  <c r="I151" i="118" s="1"/>
  <c r="F150" i="118"/>
  <c r="I150" i="118" s="1"/>
  <c r="F158" i="60"/>
  <c r="I158" i="60" s="1"/>
  <c r="F157" i="60"/>
  <c r="I157" i="60" s="1"/>
  <c r="F156" i="60"/>
  <c r="I156" i="60" s="1"/>
  <c r="F155" i="60"/>
  <c r="I155" i="60" s="1"/>
  <c r="F154" i="60"/>
  <c r="I154" i="60" s="1"/>
  <c r="F153" i="60"/>
  <c r="I153" i="60" s="1"/>
  <c r="F152" i="60"/>
  <c r="I152" i="60" s="1"/>
  <c r="F151" i="60"/>
  <c r="I151" i="60" s="1"/>
  <c r="F150" i="60"/>
  <c r="I150" i="60" s="1"/>
  <c r="F158" i="106"/>
  <c r="I158" i="106" s="1"/>
  <c r="F157" i="106"/>
  <c r="I157" i="106" s="1"/>
  <c r="F156" i="106"/>
  <c r="I156" i="106" s="1"/>
  <c r="F155" i="106"/>
  <c r="I155" i="106" s="1"/>
  <c r="F154" i="106"/>
  <c r="I154" i="106" s="1"/>
  <c r="F153" i="106"/>
  <c r="I153" i="106" s="1"/>
  <c r="F152" i="106"/>
  <c r="I152" i="106" s="1"/>
  <c r="F151" i="106"/>
  <c r="I151" i="106" s="1"/>
  <c r="F150" i="106"/>
  <c r="I150" i="106" s="1"/>
  <c r="F158" i="104"/>
  <c r="I158" i="104" s="1"/>
  <c r="F157" i="104"/>
  <c r="I157" i="104" s="1"/>
  <c r="F156" i="104"/>
  <c r="I156" i="104" s="1"/>
  <c r="F155" i="104"/>
  <c r="I155" i="104" s="1"/>
  <c r="F154" i="104"/>
  <c r="I154" i="104" s="1"/>
  <c r="F153" i="104"/>
  <c r="I153" i="104" s="1"/>
  <c r="F152" i="104"/>
  <c r="I152" i="104" s="1"/>
  <c r="F151" i="104"/>
  <c r="I151" i="104" s="1"/>
  <c r="F150" i="104"/>
  <c r="I150" i="104" s="1"/>
  <c r="F158" i="54"/>
  <c r="I158" i="54" s="1"/>
  <c r="F157" i="54"/>
  <c r="I157" i="54" s="1"/>
  <c r="F156" i="54"/>
  <c r="I156" i="54" s="1"/>
  <c r="F155" i="54"/>
  <c r="I155" i="54" s="1"/>
  <c r="F154" i="54"/>
  <c r="I154" i="54" s="1"/>
  <c r="F153" i="54"/>
  <c r="I153" i="54" s="1"/>
  <c r="F152" i="54"/>
  <c r="I152" i="54" s="1"/>
  <c r="F151" i="54"/>
  <c r="I151" i="54" s="1"/>
  <c r="F150" i="54"/>
  <c r="I150" i="54" s="1"/>
  <c r="F158" i="181"/>
  <c r="I158" i="181" s="1"/>
  <c r="F157" i="181"/>
  <c r="I157" i="181" s="1"/>
  <c r="F156" i="181"/>
  <c r="I156" i="181" s="1"/>
  <c r="F155" i="181"/>
  <c r="I155" i="181" s="1"/>
  <c r="F154" i="181"/>
  <c r="I154" i="181" s="1"/>
  <c r="F153" i="181"/>
  <c r="I153" i="181" s="1"/>
  <c r="F152" i="181"/>
  <c r="I152" i="181" s="1"/>
  <c r="F151" i="181"/>
  <c r="I151" i="181" s="1"/>
  <c r="F150" i="181"/>
  <c r="I150" i="181" s="1"/>
  <c r="F158" i="94"/>
  <c r="I158" i="94" s="1"/>
  <c r="F157" i="94"/>
  <c r="I157" i="94" s="1"/>
  <c r="F156" i="94"/>
  <c r="I156" i="94" s="1"/>
  <c r="F155" i="94"/>
  <c r="I155" i="94" s="1"/>
  <c r="F154" i="94"/>
  <c r="I154" i="94" s="1"/>
  <c r="F153" i="94"/>
  <c r="I153" i="94" s="1"/>
  <c r="F152" i="94"/>
  <c r="I152" i="94" s="1"/>
  <c r="F151" i="94"/>
  <c r="I151" i="94" s="1"/>
  <c r="F150" i="94"/>
  <c r="I150" i="94" s="1"/>
  <c r="F158" i="145"/>
  <c r="I158" i="145" s="1"/>
  <c r="F157" i="145"/>
  <c r="I157" i="145" s="1"/>
  <c r="F156" i="145"/>
  <c r="I156" i="145" s="1"/>
  <c r="F155" i="145"/>
  <c r="I155" i="145" s="1"/>
  <c r="F154" i="145"/>
  <c r="I154" i="145" s="1"/>
  <c r="F153" i="145"/>
  <c r="I153" i="145" s="1"/>
  <c r="F152" i="145"/>
  <c r="I152" i="145" s="1"/>
  <c r="F151" i="145"/>
  <c r="I151" i="145" s="1"/>
  <c r="F150" i="145"/>
  <c r="I150" i="145" s="1"/>
  <c r="F158" i="33"/>
  <c r="I158" i="33" s="1"/>
  <c r="F157" i="33"/>
  <c r="I157" i="33" s="1"/>
  <c r="F156" i="33"/>
  <c r="I156" i="33" s="1"/>
  <c r="F155" i="33"/>
  <c r="I155" i="33" s="1"/>
  <c r="F154" i="33"/>
  <c r="I154" i="33" s="1"/>
  <c r="F153" i="33"/>
  <c r="I153" i="33" s="1"/>
  <c r="F152" i="33"/>
  <c r="I152" i="33" s="1"/>
  <c r="F151" i="33"/>
  <c r="I151" i="33" s="1"/>
  <c r="F150" i="33"/>
  <c r="I150" i="33" s="1"/>
  <c r="F158" i="177"/>
  <c r="I158" i="177" s="1"/>
  <c r="F157" i="177"/>
  <c r="I157" i="177" s="1"/>
  <c r="F156" i="177"/>
  <c r="I156" i="177" s="1"/>
  <c r="F155" i="177"/>
  <c r="I155" i="177" s="1"/>
  <c r="F154" i="177"/>
  <c r="I154" i="177" s="1"/>
  <c r="F153" i="177"/>
  <c r="I153" i="177" s="1"/>
  <c r="F152" i="177"/>
  <c r="I152" i="177" s="1"/>
  <c r="F151" i="177"/>
  <c r="I151" i="177" s="1"/>
  <c r="F150" i="177"/>
  <c r="I150" i="177" s="1"/>
  <c r="F158" i="164"/>
  <c r="I158" i="164" s="1"/>
  <c r="F157" i="164"/>
  <c r="I157" i="164" s="1"/>
  <c r="F156" i="164"/>
  <c r="I156" i="164" s="1"/>
  <c r="F155" i="164"/>
  <c r="I155" i="164" s="1"/>
  <c r="F154" i="164"/>
  <c r="I154" i="164" s="1"/>
  <c r="F153" i="164"/>
  <c r="I153" i="164" s="1"/>
  <c r="F152" i="164"/>
  <c r="I152" i="164" s="1"/>
  <c r="F151" i="164"/>
  <c r="I151" i="164" s="1"/>
  <c r="F150" i="164"/>
  <c r="I150" i="164" s="1"/>
  <c r="F158" i="19"/>
  <c r="I158" i="19" s="1"/>
  <c r="F157" i="19"/>
  <c r="I157" i="19" s="1"/>
  <c r="F156" i="19"/>
  <c r="I156" i="19" s="1"/>
  <c r="F155" i="19"/>
  <c r="I155" i="19" s="1"/>
  <c r="F154" i="19"/>
  <c r="I154" i="19" s="1"/>
  <c r="F153" i="19"/>
  <c r="I153" i="19" s="1"/>
  <c r="F152" i="19"/>
  <c r="I152" i="19" s="1"/>
  <c r="F151" i="19"/>
  <c r="I151" i="19" s="1"/>
  <c r="F150" i="19"/>
  <c r="I150" i="19" s="1"/>
  <c r="F158" i="15"/>
  <c r="I158" i="15" s="1"/>
  <c r="F157" i="15"/>
  <c r="I157" i="15" s="1"/>
  <c r="F156" i="15"/>
  <c r="I156" i="15" s="1"/>
  <c r="F155" i="15"/>
  <c r="I155" i="15" s="1"/>
  <c r="F154" i="15"/>
  <c r="I154" i="15" s="1"/>
  <c r="F153" i="15"/>
  <c r="I153" i="15" s="1"/>
  <c r="F152" i="15"/>
  <c r="I152" i="15" s="1"/>
  <c r="F151" i="15"/>
  <c r="I151" i="15" s="1"/>
  <c r="F150" i="15"/>
  <c r="I150" i="15" s="1"/>
  <c r="F158" i="178"/>
  <c r="I158" i="178" s="1"/>
  <c r="F157" i="178"/>
  <c r="I157" i="178" s="1"/>
  <c r="F156" i="178"/>
  <c r="I156" i="178" s="1"/>
  <c r="F155" i="178"/>
  <c r="I155" i="178" s="1"/>
  <c r="F154" i="178"/>
  <c r="I154" i="178" s="1"/>
  <c r="F153" i="178"/>
  <c r="I153" i="178" s="1"/>
  <c r="F152" i="178"/>
  <c r="I152" i="178" s="1"/>
  <c r="F151" i="178"/>
  <c r="I151" i="178" s="1"/>
  <c r="F150" i="178"/>
  <c r="I150" i="178" s="1"/>
  <c r="F158" i="150"/>
  <c r="I158" i="150" s="1"/>
  <c r="F157" i="150"/>
  <c r="I157" i="150" s="1"/>
  <c r="F156" i="150"/>
  <c r="I156" i="150" s="1"/>
  <c r="F155" i="150"/>
  <c r="I155" i="150" s="1"/>
  <c r="F154" i="150"/>
  <c r="I154" i="150" s="1"/>
  <c r="F153" i="150"/>
  <c r="I153" i="150" s="1"/>
  <c r="F152" i="150"/>
  <c r="I152" i="150" s="1"/>
  <c r="F151" i="150"/>
  <c r="I151" i="150" s="1"/>
  <c r="F150" i="150"/>
  <c r="I150" i="150" s="1"/>
  <c r="F158" i="68"/>
  <c r="I158" i="68" s="1"/>
  <c r="F157" i="68"/>
  <c r="I157" i="68" s="1"/>
  <c r="F156" i="68"/>
  <c r="I156" i="68" s="1"/>
  <c r="F155" i="68"/>
  <c r="I155" i="68" s="1"/>
  <c r="F154" i="68"/>
  <c r="I154" i="68" s="1"/>
  <c r="F153" i="68"/>
  <c r="I153" i="68" s="1"/>
  <c r="F152" i="68"/>
  <c r="I152" i="68" s="1"/>
  <c r="F151" i="68"/>
  <c r="I151" i="68" s="1"/>
  <c r="F150" i="68"/>
  <c r="I150" i="68" s="1"/>
  <c r="F158" i="66"/>
  <c r="I158" i="66" s="1"/>
  <c r="F157" i="66"/>
  <c r="I157" i="66" s="1"/>
  <c r="F156" i="66"/>
  <c r="I156" i="66" s="1"/>
  <c r="F155" i="66"/>
  <c r="I155" i="66" s="1"/>
  <c r="F154" i="66"/>
  <c r="I154" i="66" s="1"/>
  <c r="F153" i="66"/>
  <c r="I153" i="66" s="1"/>
  <c r="F152" i="66"/>
  <c r="I152" i="66" s="1"/>
  <c r="F151" i="66"/>
  <c r="I151" i="66" s="1"/>
  <c r="F150" i="66"/>
  <c r="I150" i="66" s="1"/>
  <c r="F158" i="63"/>
  <c r="I158" i="63" s="1"/>
  <c r="F157" i="63"/>
  <c r="I157" i="63" s="1"/>
  <c r="F156" i="63"/>
  <c r="I156" i="63" s="1"/>
  <c r="F155" i="63"/>
  <c r="I155" i="63" s="1"/>
  <c r="F154" i="63"/>
  <c r="I154" i="63" s="1"/>
  <c r="F153" i="63"/>
  <c r="I153" i="63" s="1"/>
  <c r="F152" i="63"/>
  <c r="I152" i="63" s="1"/>
  <c r="F151" i="63"/>
  <c r="I151" i="63" s="1"/>
  <c r="F150" i="63"/>
  <c r="I150" i="63" s="1"/>
  <c r="F158" i="62"/>
  <c r="I158" i="62" s="1"/>
  <c r="F157" i="62"/>
  <c r="I157" i="62" s="1"/>
  <c r="F156" i="62"/>
  <c r="I156" i="62" s="1"/>
  <c r="F155" i="62"/>
  <c r="I155" i="62" s="1"/>
  <c r="F154" i="62"/>
  <c r="I154" i="62" s="1"/>
  <c r="F153" i="62"/>
  <c r="I153" i="62" s="1"/>
  <c r="F152" i="62"/>
  <c r="I152" i="62" s="1"/>
  <c r="F151" i="62"/>
  <c r="I151" i="62" s="1"/>
  <c r="F150" i="62"/>
  <c r="I150" i="62" s="1"/>
  <c r="F158" i="58"/>
  <c r="I158" i="58" s="1"/>
  <c r="F157" i="58"/>
  <c r="I157" i="58" s="1"/>
  <c r="F156" i="58"/>
  <c r="I156" i="58" s="1"/>
  <c r="F155" i="58"/>
  <c r="I155" i="58" s="1"/>
  <c r="F154" i="58"/>
  <c r="I154" i="58" s="1"/>
  <c r="F153" i="58"/>
  <c r="I153" i="58" s="1"/>
  <c r="F152" i="58"/>
  <c r="I152" i="58" s="1"/>
  <c r="F151" i="58"/>
  <c r="I151" i="58" s="1"/>
  <c r="F150" i="58"/>
  <c r="I150" i="58" s="1"/>
  <c r="F158" i="136"/>
  <c r="I158" i="136" s="1"/>
  <c r="F157" i="136"/>
  <c r="I157" i="136" s="1"/>
  <c r="F156" i="136"/>
  <c r="I156" i="136" s="1"/>
  <c r="F155" i="136"/>
  <c r="I155" i="136" s="1"/>
  <c r="F154" i="136"/>
  <c r="I154" i="136" s="1"/>
  <c r="F153" i="136"/>
  <c r="I153" i="136" s="1"/>
  <c r="F152" i="136"/>
  <c r="I152" i="136" s="1"/>
  <c r="F151" i="136"/>
  <c r="I151" i="136" s="1"/>
  <c r="F150" i="136"/>
  <c r="I150" i="136" s="1"/>
  <c r="F158" i="141"/>
  <c r="I158" i="141" s="1"/>
  <c r="F157" i="141"/>
  <c r="I157" i="141" s="1"/>
  <c r="F156" i="141"/>
  <c r="I156" i="141" s="1"/>
  <c r="F155" i="141"/>
  <c r="I155" i="141" s="1"/>
  <c r="F154" i="141"/>
  <c r="I154" i="141" s="1"/>
  <c r="F153" i="141"/>
  <c r="I153" i="141" s="1"/>
  <c r="F152" i="141"/>
  <c r="I152" i="141" s="1"/>
  <c r="F151" i="141"/>
  <c r="I151" i="141" s="1"/>
  <c r="F150" i="141"/>
  <c r="I150" i="141" s="1"/>
  <c r="F158" i="174"/>
  <c r="I158" i="174" s="1"/>
  <c r="F157" i="174"/>
  <c r="I157" i="174" s="1"/>
  <c r="F156" i="174"/>
  <c r="I156" i="174" s="1"/>
  <c r="F155" i="174"/>
  <c r="I155" i="174" s="1"/>
  <c r="F154" i="174"/>
  <c r="I154" i="174" s="1"/>
  <c r="F153" i="174"/>
  <c r="I153" i="174" s="1"/>
  <c r="F152" i="174"/>
  <c r="I152" i="174" s="1"/>
  <c r="F151" i="174"/>
  <c r="I151" i="174" s="1"/>
  <c r="F150" i="174"/>
  <c r="I150" i="174" s="1"/>
  <c r="F158" i="53"/>
  <c r="I158" i="53" s="1"/>
  <c r="F157" i="53"/>
  <c r="I157" i="53" s="1"/>
  <c r="F156" i="53"/>
  <c r="I156" i="53" s="1"/>
  <c r="F155" i="53"/>
  <c r="I155" i="53" s="1"/>
  <c r="F154" i="53"/>
  <c r="I154" i="53" s="1"/>
  <c r="F153" i="53"/>
  <c r="I153" i="53" s="1"/>
  <c r="F152" i="53"/>
  <c r="I152" i="53" s="1"/>
  <c r="F151" i="53"/>
  <c r="I151" i="53" s="1"/>
  <c r="F150" i="53"/>
  <c r="I150" i="53" s="1"/>
  <c r="F158" i="98"/>
  <c r="I158" i="98" s="1"/>
  <c r="F157" i="98"/>
  <c r="I157" i="98" s="1"/>
  <c r="F156" i="98"/>
  <c r="I156" i="98" s="1"/>
  <c r="F155" i="98"/>
  <c r="I155" i="98" s="1"/>
  <c r="F154" i="98"/>
  <c r="I154" i="98" s="1"/>
  <c r="F153" i="98"/>
  <c r="I153" i="98" s="1"/>
  <c r="F152" i="98"/>
  <c r="I152" i="98" s="1"/>
  <c r="F151" i="98"/>
  <c r="I151" i="98" s="1"/>
  <c r="F150" i="98"/>
  <c r="I150" i="98" s="1"/>
  <c r="F158" i="49"/>
  <c r="I158" i="49" s="1"/>
  <c r="F157" i="49"/>
  <c r="I157" i="49" s="1"/>
  <c r="F156" i="49"/>
  <c r="I156" i="49" s="1"/>
  <c r="F155" i="49"/>
  <c r="I155" i="49" s="1"/>
  <c r="F154" i="49"/>
  <c r="I154" i="49" s="1"/>
  <c r="F153" i="49"/>
  <c r="I153" i="49" s="1"/>
  <c r="F152" i="49"/>
  <c r="I152" i="49" s="1"/>
  <c r="F151" i="49"/>
  <c r="I151" i="49" s="1"/>
  <c r="F150" i="49"/>
  <c r="I150" i="49" s="1"/>
  <c r="F158" i="83"/>
  <c r="F157" i="83"/>
  <c r="F156" i="83"/>
  <c r="F155" i="83"/>
  <c r="F154" i="83"/>
  <c r="F153" i="83"/>
  <c r="F152" i="83"/>
  <c r="F151" i="83"/>
  <c r="F150" i="83"/>
  <c r="F158" i="46"/>
  <c r="I158" i="46" s="1"/>
  <c r="F157" i="46"/>
  <c r="I157" i="46" s="1"/>
  <c r="F156" i="46"/>
  <c r="I156" i="46" s="1"/>
  <c r="F155" i="46"/>
  <c r="I155" i="46" s="1"/>
  <c r="F154" i="46"/>
  <c r="I154" i="46" s="1"/>
  <c r="F153" i="46"/>
  <c r="I153" i="46" s="1"/>
  <c r="F152" i="46"/>
  <c r="I152" i="46" s="1"/>
  <c r="F151" i="46"/>
  <c r="I151" i="46" s="1"/>
  <c r="F150" i="46"/>
  <c r="I150" i="46" s="1"/>
  <c r="F158" i="102"/>
  <c r="I158" i="102" s="1"/>
  <c r="F157" i="102"/>
  <c r="I157" i="102" s="1"/>
  <c r="F156" i="102"/>
  <c r="I156" i="102" s="1"/>
  <c r="F155" i="102"/>
  <c r="I155" i="102" s="1"/>
  <c r="F154" i="102"/>
  <c r="I154" i="102" s="1"/>
  <c r="F153" i="102"/>
  <c r="I153" i="102" s="1"/>
  <c r="F152" i="102"/>
  <c r="I152" i="102" s="1"/>
  <c r="F151" i="102"/>
  <c r="I151" i="102" s="1"/>
  <c r="F150" i="102"/>
  <c r="I150" i="102" s="1"/>
  <c r="F158" i="43"/>
  <c r="I158" i="43" s="1"/>
  <c r="F157" i="43"/>
  <c r="I157" i="43" s="1"/>
  <c r="F156" i="43"/>
  <c r="I156" i="43" s="1"/>
  <c r="F155" i="43"/>
  <c r="I155" i="43" s="1"/>
  <c r="F154" i="43"/>
  <c r="I154" i="43" s="1"/>
  <c r="F153" i="43"/>
  <c r="I153" i="43" s="1"/>
  <c r="F152" i="43"/>
  <c r="I152" i="43" s="1"/>
  <c r="F151" i="43"/>
  <c r="I151" i="43" s="1"/>
  <c r="F150" i="43"/>
  <c r="I150" i="43" s="1"/>
  <c r="F158" i="175"/>
  <c r="I158" i="175" s="1"/>
  <c r="F157" i="175"/>
  <c r="I157" i="175" s="1"/>
  <c r="F156" i="175"/>
  <c r="I156" i="175" s="1"/>
  <c r="F155" i="175"/>
  <c r="I155" i="175" s="1"/>
  <c r="F154" i="175"/>
  <c r="I154" i="175" s="1"/>
  <c r="F153" i="175"/>
  <c r="I153" i="175" s="1"/>
  <c r="F152" i="175"/>
  <c r="I152" i="175" s="1"/>
  <c r="F151" i="175"/>
  <c r="I151" i="175" s="1"/>
  <c r="F150" i="175"/>
  <c r="I150" i="175" s="1"/>
  <c r="F158" i="57"/>
  <c r="I158" i="57" s="1"/>
  <c r="F157" i="57"/>
  <c r="I157" i="57" s="1"/>
  <c r="F156" i="57"/>
  <c r="I156" i="57" s="1"/>
  <c r="F155" i="57"/>
  <c r="I155" i="57" s="1"/>
  <c r="F154" i="57"/>
  <c r="I154" i="57" s="1"/>
  <c r="F153" i="57"/>
  <c r="I153" i="57" s="1"/>
  <c r="F152" i="57"/>
  <c r="I152" i="57" s="1"/>
  <c r="F151" i="57"/>
  <c r="I151" i="57" s="1"/>
  <c r="F150" i="57"/>
  <c r="I150" i="57" s="1"/>
  <c r="F158" i="84"/>
  <c r="I158" i="84" s="1"/>
  <c r="F157" i="84"/>
  <c r="I157" i="84" s="1"/>
  <c r="F156" i="84"/>
  <c r="I156" i="84" s="1"/>
  <c r="F155" i="84"/>
  <c r="I155" i="84" s="1"/>
  <c r="F154" i="84"/>
  <c r="I154" i="84" s="1"/>
  <c r="F153" i="84"/>
  <c r="I153" i="84" s="1"/>
  <c r="F152" i="84"/>
  <c r="I152" i="84" s="1"/>
  <c r="F151" i="84"/>
  <c r="I151" i="84" s="1"/>
  <c r="F150" i="84"/>
  <c r="I150" i="84" s="1"/>
  <c r="F158" i="167"/>
  <c r="I158" i="167" s="1"/>
  <c r="F157" i="167"/>
  <c r="I157" i="167" s="1"/>
  <c r="F156" i="167"/>
  <c r="I156" i="167" s="1"/>
  <c r="F155" i="167"/>
  <c r="I155" i="167" s="1"/>
  <c r="F154" i="167"/>
  <c r="I154" i="167" s="1"/>
  <c r="F153" i="167"/>
  <c r="I153" i="167" s="1"/>
  <c r="F152" i="167"/>
  <c r="I152" i="167" s="1"/>
  <c r="F151" i="167"/>
  <c r="I151" i="167" s="1"/>
  <c r="F150" i="167"/>
  <c r="I150" i="167" s="1"/>
  <c r="F158" i="39"/>
  <c r="I158" i="39" s="1"/>
  <c r="F157" i="39"/>
  <c r="I157" i="39" s="1"/>
  <c r="F156" i="39"/>
  <c r="I156" i="39" s="1"/>
  <c r="F155" i="39"/>
  <c r="I155" i="39" s="1"/>
  <c r="F154" i="39"/>
  <c r="I154" i="39" s="1"/>
  <c r="F153" i="39"/>
  <c r="I153" i="39" s="1"/>
  <c r="F152" i="39"/>
  <c r="I152" i="39" s="1"/>
  <c r="F151" i="39"/>
  <c r="I151" i="39" s="1"/>
  <c r="F150" i="39"/>
  <c r="I150" i="39" s="1"/>
  <c r="F158" i="135"/>
  <c r="I158" i="135" s="1"/>
  <c r="F157" i="135"/>
  <c r="I157" i="135" s="1"/>
  <c r="F156" i="135"/>
  <c r="I156" i="135" s="1"/>
  <c r="F155" i="135"/>
  <c r="I155" i="135" s="1"/>
  <c r="F154" i="135"/>
  <c r="I154" i="135" s="1"/>
  <c r="F153" i="135"/>
  <c r="I153" i="135" s="1"/>
  <c r="F152" i="135"/>
  <c r="I152" i="135" s="1"/>
  <c r="F151" i="135"/>
  <c r="I151" i="135" s="1"/>
  <c r="F150" i="135"/>
  <c r="I150" i="135" s="1"/>
  <c r="F158" i="38"/>
  <c r="I158" i="38" s="1"/>
  <c r="F157" i="38"/>
  <c r="I157" i="38" s="1"/>
  <c r="F156" i="38"/>
  <c r="I156" i="38" s="1"/>
  <c r="F155" i="38"/>
  <c r="I155" i="38" s="1"/>
  <c r="F154" i="38"/>
  <c r="I154" i="38" s="1"/>
  <c r="F153" i="38"/>
  <c r="I153" i="38" s="1"/>
  <c r="F152" i="38"/>
  <c r="I152" i="38" s="1"/>
  <c r="F151" i="38"/>
  <c r="I151" i="38" s="1"/>
  <c r="F150" i="38"/>
  <c r="I150" i="38" s="1"/>
  <c r="F158" i="103"/>
  <c r="I158" i="103" s="1"/>
  <c r="F157" i="103"/>
  <c r="I157" i="103" s="1"/>
  <c r="F156" i="103"/>
  <c r="I156" i="103" s="1"/>
  <c r="F155" i="103"/>
  <c r="I155" i="103" s="1"/>
  <c r="F154" i="103"/>
  <c r="I154" i="103" s="1"/>
  <c r="F153" i="103"/>
  <c r="I153" i="103" s="1"/>
  <c r="F152" i="103"/>
  <c r="I152" i="103" s="1"/>
  <c r="F151" i="103"/>
  <c r="I151" i="103" s="1"/>
  <c r="F150" i="103"/>
  <c r="I150" i="103" s="1"/>
  <c r="F158" i="133"/>
  <c r="I158" i="133" s="1"/>
  <c r="F157" i="133"/>
  <c r="I157" i="133" s="1"/>
  <c r="F156" i="133"/>
  <c r="I156" i="133" s="1"/>
  <c r="F155" i="133"/>
  <c r="I155" i="133" s="1"/>
  <c r="F154" i="133"/>
  <c r="I154" i="133" s="1"/>
  <c r="F153" i="133"/>
  <c r="I153" i="133" s="1"/>
  <c r="F152" i="133"/>
  <c r="I152" i="133" s="1"/>
  <c r="F151" i="133"/>
  <c r="I151" i="133" s="1"/>
  <c r="F150" i="133"/>
  <c r="I150" i="133" s="1"/>
  <c r="F158" i="152"/>
  <c r="I158" i="152" s="1"/>
  <c r="F157" i="152"/>
  <c r="I157" i="152" s="1"/>
  <c r="F156" i="152"/>
  <c r="I156" i="152" s="1"/>
  <c r="F155" i="152"/>
  <c r="I155" i="152" s="1"/>
  <c r="F154" i="152"/>
  <c r="I154" i="152" s="1"/>
  <c r="F153" i="152"/>
  <c r="I153" i="152" s="1"/>
  <c r="F152" i="152"/>
  <c r="I152" i="152" s="1"/>
  <c r="F151" i="152"/>
  <c r="I151" i="152" s="1"/>
  <c r="F150" i="152"/>
  <c r="I150" i="152" s="1"/>
  <c r="F158" i="47"/>
  <c r="I158" i="47" s="1"/>
  <c r="F157" i="47"/>
  <c r="I157" i="47" s="1"/>
  <c r="F156" i="47"/>
  <c r="I156" i="47" s="1"/>
  <c r="F155" i="47"/>
  <c r="I155" i="47" s="1"/>
  <c r="F154" i="47"/>
  <c r="I154" i="47" s="1"/>
  <c r="F153" i="47"/>
  <c r="I153" i="47" s="1"/>
  <c r="F152" i="47"/>
  <c r="I152" i="47" s="1"/>
  <c r="F151" i="47"/>
  <c r="I151" i="47" s="1"/>
  <c r="F150" i="47"/>
  <c r="I150" i="47" s="1"/>
  <c r="F158" i="120"/>
  <c r="I158" i="120" s="1"/>
  <c r="F157" i="120"/>
  <c r="I157" i="120" s="1"/>
  <c r="F156" i="120"/>
  <c r="I156" i="120" s="1"/>
  <c r="F155" i="120"/>
  <c r="I155" i="120" s="1"/>
  <c r="F154" i="120"/>
  <c r="I154" i="120" s="1"/>
  <c r="F153" i="120"/>
  <c r="I153" i="120" s="1"/>
  <c r="F152" i="120"/>
  <c r="I152" i="120" s="1"/>
  <c r="F151" i="120"/>
  <c r="I151" i="120" s="1"/>
  <c r="F150" i="120"/>
  <c r="I150" i="120" s="1"/>
  <c r="F158" i="37"/>
  <c r="I158" i="37" s="1"/>
  <c r="F157" i="37"/>
  <c r="I157" i="37" s="1"/>
  <c r="F156" i="37"/>
  <c r="I156" i="37" s="1"/>
  <c r="F155" i="37"/>
  <c r="I155" i="37" s="1"/>
  <c r="F154" i="37"/>
  <c r="I154" i="37" s="1"/>
  <c r="F153" i="37"/>
  <c r="I153" i="37" s="1"/>
  <c r="F152" i="37"/>
  <c r="I152" i="37" s="1"/>
  <c r="F151" i="37"/>
  <c r="I151" i="37" s="1"/>
  <c r="F150" i="37"/>
  <c r="I150" i="37" s="1"/>
  <c r="F158" i="90"/>
  <c r="I158" i="90" s="1"/>
  <c r="F157" i="90"/>
  <c r="I157" i="90" s="1"/>
  <c r="F156" i="90"/>
  <c r="I156" i="90" s="1"/>
  <c r="F155" i="90"/>
  <c r="I155" i="90" s="1"/>
  <c r="F154" i="90"/>
  <c r="I154" i="90" s="1"/>
  <c r="F153" i="90"/>
  <c r="I153" i="90" s="1"/>
  <c r="F152" i="90"/>
  <c r="I152" i="90" s="1"/>
  <c r="F151" i="90"/>
  <c r="I151" i="90" s="1"/>
  <c r="F150" i="90"/>
  <c r="I150" i="90" s="1"/>
  <c r="F158" i="24"/>
  <c r="I158" i="24" s="1"/>
  <c r="F157" i="24"/>
  <c r="I157" i="24" s="1"/>
  <c r="F156" i="24"/>
  <c r="I156" i="24" s="1"/>
  <c r="F155" i="24"/>
  <c r="I155" i="24" s="1"/>
  <c r="F154" i="24"/>
  <c r="I154" i="24" s="1"/>
  <c r="F153" i="24"/>
  <c r="I153" i="24" s="1"/>
  <c r="F152" i="24"/>
  <c r="I152" i="24" s="1"/>
  <c r="F151" i="24"/>
  <c r="I151" i="24" s="1"/>
  <c r="F150" i="24"/>
  <c r="I150" i="24" s="1"/>
  <c r="F158" i="32"/>
  <c r="I158" i="32" s="1"/>
  <c r="F157" i="32"/>
  <c r="I157" i="32" s="1"/>
  <c r="F156" i="32"/>
  <c r="I156" i="32" s="1"/>
  <c r="F155" i="32"/>
  <c r="I155" i="32" s="1"/>
  <c r="F154" i="32"/>
  <c r="I154" i="32" s="1"/>
  <c r="F153" i="32"/>
  <c r="I153" i="32" s="1"/>
  <c r="F152" i="32"/>
  <c r="I152" i="32" s="1"/>
  <c r="F151" i="32"/>
  <c r="I151" i="32" s="1"/>
  <c r="F150" i="32"/>
  <c r="I150" i="32" s="1"/>
  <c r="F158" i="79"/>
  <c r="I158" i="79" s="1"/>
  <c r="F157" i="79"/>
  <c r="I157" i="79" s="1"/>
  <c r="F156" i="79"/>
  <c r="I156" i="79" s="1"/>
  <c r="F155" i="79"/>
  <c r="I155" i="79" s="1"/>
  <c r="F154" i="79"/>
  <c r="I154" i="79" s="1"/>
  <c r="F153" i="79"/>
  <c r="I153" i="79" s="1"/>
  <c r="F152" i="79"/>
  <c r="I152" i="79" s="1"/>
  <c r="F151" i="79"/>
  <c r="I151" i="79" s="1"/>
  <c r="F150" i="79"/>
  <c r="I150" i="79" s="1"/>
  <c r="F158" i="31"/>
  <c r="I158" i="31" s="1"/>
  <c r="F157" i="31"/>
  <c r="I157" i="31" s="1"/>
  <c r="F156" i="31"/>
  <c r="I156" i="31" s="1"/>
  <c r="F155" i="31"/>
  <c r="I155" i="31" s="1"/>
  <c r="F154" i="31"/>
  <c r="I154" i="31" s="1"/>
  <c r="F153" i="31"/>
  <c r="I153" i="31" s="1"/>
  <c r="F152" i="31"/>
  <c r="I152" i="31" s="1"/>
  <c r="F151" i="31"/>
  <c r="I151" i="31" s="1"/>
  <c r="F150" i="31"/>
  <c r="I150" i="31" s="1"/>
  <c r="F158" i="64"/>
  <c r="I158" i="64" s="1"/>
  <c r="F157" i="64"/>
  <c r="I157" i="64" s="1"/>
  <c r="F156" i="64"/>
  <c r="I156" i="64" s="1"/>
  <c r="F155" i="64"/>
  <c r="I155" i="64" s="1"/>
  <c r="F154" i="64"/>
  <c r="I154" i="64" s="1"/>
  <c r="F153" i="64"/>
  <c r="I153" i="64" s="1"/>
  <c r="F152" i="64"/>
  <c r="I152" i="64" s="1"/>
  <c r="F151" i="64"/>
  <c r="I151" i="64" s="1"/>
  <c r="F150" i="64"/>
  <c r="I150" i="64" s="1"/>
  <c r="F158" i="113"/>
  <c r="I158" i="113" s="1"/>
  <c r="F157" i="113"/>
  <c r="I157" i="113" s="1"/>
  <c r="F156" i="113"/>
  <c r="I156" i="113" s="1"/>
  <c r="F155" i="113"/>
  <c r="I155" i="113" s="1"/>
  <c r="F154" i="113"/>
  <c r="I154" i="113" s="1"/>
  <c r="F153" i="113"/>
  <c r="I153" i="113" s="1"/>
  <c r="F152" i="113"/>
  <c r="I152" i="113" s="1"/>
  <c r="F151" i="113"/>
  <c r="I151" i="113" s="1"/>
  <c r="F150" i="113"/>
  <c r="I150" i="113" s="1"/>
  <c r="F158" i="72"/>
  <c r="I158" i="72" s="1"/>
  <c r="F157" i="72"/>
  <c r="I157" i="72" s="1"/>
  <c r="F156" i="72"/>
  <c r="I156" i="72" s="1"/>
  <c r="F155" i="72"/>
  <c r="I155" i="72" s="1"/>
  <c r="F154" i="72"/>
  <c r="I154" i="72" s="1"/>
  <c r="F153" i="72"/>
  <c r="I153" i="72" s="1"/>
  <c r="F152" i="72"/>
  <c r="I152" i="72" s="1"/>
  <c r="F151" i="72"/>
  <c r="I151" i="72" s="1"/>
  <c r="F150" i="72"/>
  <c r="I150" i="72" s="1"/>
  <c r="F158" i="28"/>
  <c r="I158" i="28" s="1"/>
  <c r="F157" i="28"/>
  <c r="I157" i="28" s="1"/>
  <c r="F156" i="28"/>
  <c r="I156" i="28" s="1"/>
  <c r="F155" i="28"/>
  <c r="I155" i="28" s="1"/>
  <c r="F154" i="28"/>
  <c r="I154" i="28" s="1"/>
  <c r="F153" i="28"/>
  <c r="I153" i="28" s="1"/>
  <c r="F152" i="28"/>
  <c r="I152" i="28" s="1"/>
  <c r="F151" i="28"/>
  <c r="I151" i="28" s="1"/>
  <c r="F150" i="28"/>
  <c r="I150" i="28" s="1"/>
  <c r="F158" i="65"/>
  <c r="I158" i="65" s="1"/>
  <c r="F157" i="65"/>
  <c r="I157" i="65" s="1"/>
  <c r="F156" i="65"/>
  <c r="I156" i="65" s="1"/>
  <c r="F155" i="65"/>
  <c r="I155" i="65" s="1"/>
  <c r="F154" i="65"/>
  <c r="I154" i="65" s="1"/>
  <c r="F153" i="65"/>
  <c r="I153" i="65" s="1"/>
  <c r="F152" i="65"/>
  <c r="I152" i="65" s="1"/>
  <c r="F151" i="65"/>
  <c r="I151" i="65" s="1"/>
  <c r="F150" i="65"/>
  <c r="I150" i="65" s="1"/>
  <c r="F158" i="119"/>
  <c r="I158" i="119" s="1"/>
  <c r="F157" i="119"/>
  <c r="I157" i="119" s="1"/>
  <c r="F156" i="119"/>
  <c r="I156" i="119" s="1"/>
  <c r="F155" i="119"/>
  <c r="I155" i="119" s="1"/>
  <c r="F154" i="119"/>
  <c r="I154" i="119" s="1"/>
  <c r="F153" i="119"/>
  <c r="I153" i="119" s="1"/>
  <c r="F152" i="119"/>
  <c r="I152" i="119" s="1"/>
  <c r="F151" i="119"/>
  <c r="I151" i="119" s="1"/>
  <c r="F150" i="119"/>
  <c r="I150" i="119" s="1"/>
  <c r="F158" i="25"/>
  <c r="I158" i="25" s="1"/>
  <c r="F157" i="25"/>
  <c r="I157" i="25" s="1"/>
  <c r="F156" i="25"/>
  <c r="I156" i="25" s="1"/>
  <c r="F155" i="25"/>
  <c r="I155" i="25" s="1"/>
  <c r="F154" i="25"/>
  <c r="I154" i="25" s="1"/>
  <c r="F153" i="25"/>
  <c r="I153" i="25" s="1"/>
  <c r="F152" i="25"/>
  <c r="I152" i="25" s="1"/>
  <c r="F151" i="25"/>
  <c r="I151" i="25" s="1"/>
  <c r="F150" i="25"/>
  <c r="I150" i="25" s="1"/>
  <c r="F158" i="155"/>
  <c r="I158" i="155" s="1"/>
  <c r="F157" i="155"/>
  <c r="I157" i="155" s="1"/>
  <c r="F156" i="155"/>
  <c r="I156" i="155" s="1"/>
  <c r="F155" i="155"/>
  <c r="I155" i="155" s="1"/>
  <c r="F154" i="155"/>
  <c r="I154" i="155" s="1"/>
  <c r="F153" i="155"/>
  <c r="I153" i="155" s="1"/>
  <c r="F152" i="155"/>
  <c r="I152" i="155" s="1"/>
  <c r="F151" i="155"/>
  <c r="I151" i="155" s="1"/>
  <c r="F150" i="155"/>
  <c r="I150" i="155" s="1"/>
  <c r="F158" i="156"/>
  <c r="I158" i="156" s="1"/>
  <c r="F157" i="156"/>
  <c r="I157" i="156" s="1"/>
  <c r="F156" i="156"/>
  <c r="I156" i="156" s="1"/>
  <c r="F155" i="156"/>
  <c r="I155" i="156" s="1"/>
  <c r="F154" i="156"/>
  <c r="I154" i="156" s="1"/>
  <c r="F153" i="156"/>
  <c r="I153" i="156" s="1"/>
  <c r="F152" i="156"/>
  <c r="I152" i="156" s="1"/>
  <c r="F151" i="156"/>
  <c r="I151" i="156" s="1"/>
  <c r="F150" i="156"/>
  <c r="I150" i="156" s="1"/>
  <c r="F158" i="20"/>
  <c r="I158" i="20" s="1"/>
  <c r="F157" i="20"/>
  <c r="I157" i="20" s="1"/>
  <c r="F156" i="20"/>
  <c r="I156" i="20" s="1"/>
  <c r="F155" i="20"/>
  <c r="I155" i="20" s="1"/>
  <c r="F154" i="20"/>
  <c r="I154" i="20" s="1"/>
  <c r="F153" i="20"/>
  <c r="I153" i="20" s="1"/>
  <c r="F152" i="20"/>
  <c r="I152" i="20" s="1"/>
  <c r="F151" i="20"/>
  <c r="I151" i="20" s="1"/>
  <c r="F150" i="20"/>
  <c r="I150" i="20" s="1"/>
  <c r="F158" i="42"/>
  <c r="I158" i="42" s="1"/>
  <c r="F157" i="42"/>
  <c r="I157" i="42" s="1"/>
  <c r="F156" i="42"/>
  <c r="I156" i="42" s="1"/>
  <c r="F155" i="42"/>
  <c r="I155" i="42" s="1"/>
  <c r="F154" i="42"/>
  <c r="I154" i="42" s="1"/>
  <c r="F153" i="42"/>
  <c r="I153" i="42" s="1"/>
  <c r="F152" i="42"/>
  <c r="I152" i="42" s="1"/>
  <c r="F151" i="42"/>
  <c r="I151" i="42" s="1"/>
  <c r="F150" i="42"/>
  <c r="I150" i="42" s="1"/>
  <c r="F158" i="157"/>
  <c r="I158" i="157" s="1"/>
  <c r="F157" i="157"/>
  <c r="I157" i="157" s="1"/>
  <c r="F156" i="157"/>
  <c r="I156" i="157" s="1"/>
  <c r="F155" i="157"/>
  <c r="I155" i="157" s="1"/>
  <c r="F154" i="157"/>
  <c r="I154" i="157" s="1"/>
  <c r="F153" i="157"/>
  <c r="I153" i="157" s="1"/>
  <c r="F152" i="157"/>
  <c r="I152" i="157" s="1"/>
  <c r="F151" i="157"/>
  <c r="I151" i="157" s="1"/>
  <c r="F150" i="157"/>
  <c r="I150" i="157" s="1"/>
  <c r="F158" i="159"/>
  <c r="I158" i="159" s="1"/>
  <c r="F157" i="159"/>
  <c r="I157" i="159" s="1"/>
  <c r="F156" i="159"/>
  <c r="I156" i="159" s="1"/>
  <c r="F155" i="159"/>
  <c r="I155" i="159" s="1"/>
  <c r="F154" i="159"/>
  <c r="I154" i="159" s="1"/>
  <c r="F153" i="159"/>
  <c r="I153" i="159" s="1"/>
  <c r="F152" i="159"/>
  <c r="I152" i="159" s="1"/>
  <c r="F151" i="159"/>
  <c r="I151" i="159" s="1"/>
  <c r="F150" i="159"/>
  <c r="I150" i="159" s="1"/>
  <c r="F158" i="158"/>
  <c r="I158" i="158" s="1"/>
  <c r="F157" i="158"/>
  <c r="I157" i="158" s="1"/>
  <c r="F156" i="158"/>
  <c r="I156" i="158" s="1"/>
  <c r="F155" i="158"/>
  <c r="I155" i="158" s="1"/>
  <c r="F154" i="158"/>
  <c r="I154" i="158" s="1"/>
  <c r="F153" i="158"/>
  <c r="I153" i="158" s="1"/>
  <c r="F152" i="158"/>
  <c r="I152" i="158" s="1"/>
  <c r="F151" i="158"/>
  <c r="I151" i="158" s="1"/>
  <c r="F150" i="158"/>
  <c r="I150" i="158" s="1"/>
  <c r="F158" i="16"/>
  <c r="I158" i="16" s="1"/>
  <c r="F157" i="16"/>
  <c r="I157" i="16" s="1"/>
  <c r="F156" i="16"/>
  <c r="I156" i="16" s="1"/>
  <c r="F155" i="16"/>
  <c r="I155" i="16" s="1"/>
  <c r="F154" i="16"/>
  <c r="I154" i="16" s="1"/>
  <c r="F153" i="16"/>
  <c r="I153" i="16" s="1"/>
  <c r="F152" i="16"/>
  <c r="I152" i="16" s="1"/>
  <c r="F151" i="16"/>
  <c r="I151" i="16" s="1"/>
  <c r="F150" i="16"/>
  <c r="I150" i="16" s="1"/>
  <c r="F158" i="27"/>
  <c r="I158" i="27" s="1"/>
  <c r="F157" i="27"/>
  <c r="I157" i="27" s="1"/>
  <c r="F156" i="27"/>
  <c r="I156" i="27" s="1"/>
  <c r="F155" i="27"/>
  <c r="I155" i="27" s="1"/>
  <c r="F154" i="27"/>
  <c r="I154" i="27" s="1"/>
  <c r="F153" i="27"/>
  <c r="I153" i="27" s="1"/>
  <c r="F152" i="27"/>
  <c r="I152" i="27" s="1"/>
  <c r="F151" i="27"/>
  <c r="I151" i="27" s="1"/>
  <c r="F150" i="27"/>
  <c r="I150" i="27" s="1"/>
  <c r="F158" i="111"/>
  <c r="I158" i="111" s="1"/>
  <c r="F157" i="111"/>
  <c r="I157" i="111" s="1"/>
  <c r="F156" i="111"/>
  <c r="I156" i="111" s="1"/>
  <c r="F155" i="111"/>
  <c r="I155" i="111" s="1"/>
  <c r="F154" i="111"/>
  <c r="I154" i="111" s="1"/>
  <c r="F153" i="111"/>
  <c r="I153" i="111" s="1"/>
  <c r="F152" i="111"/>
  <c r="I152" i="111" s="1"/>
  <c r="F151" i="111"/>
  <c r="I151" i="111" s="1"/>
  <c r="F150" i="111"/>
  <c r="I150" i="111" s="1"/>
  <c r="F158" i="71"/>
  <c r="I158" i="71" s="1"/>
  <c r="F157" i="71"/>
  <c r="I157" i="71" s="1"/>
  <c r="F156" i="71"/>
  <c r="I156" i="71" s="1"/>
  <c r="F155" i="71"/>
  <c r="I155" i="71" s="1"/>
  <c r="F154" i="71"/>
  <c r="I154" i="71" s="1"/>
  <c r="F153" i="71"/>
  <c r="I153" i="71" s="1"/>
  <c r="F152" i="71"/>
  <c r="I152" i="71" s="1"/>
  <c r="F151" i="71"/>
  <c r="I151" i="71" s="1"/>
  <c r="F150" i="71"/>
  <c r="I150" i="71" s="1"/>
  <c r="F158" i="165"/>
  <c r="I158" i="165" s="1"/>
  <c r="F157" i="165"/>
  <c r="I157" i="165" s="1"/>
  <c r="F156" i="165"/>
  <c r="I156" i="165" s="1"/>
  <c r="F155" i="165"/>
  <c r="I155" i="165" s="1"/>
  <c r="F154" i="165"/>
  <c r="I154" i="165" s="1"/>
  <c r="F153" i="165"/>
  <c r="I153" i="165" s="1"/>
  <c r="F152" i="165"/>
  <c r="I152" i="165" s="1"/>
  <c r="F151" i="165"/>
  <c r="I151" i="165" s="1"/>
  <c r="F150" i="165"/>
  <c r="I150" i="165" s="1"/>
  <c r="F158" i="55"/>
  <c r="I158" i="55" s="1"/>
  <c r="F157" i="55"/>
  <c r="I157" i="55" s="1"/>
  <c r="F156" i="55"/>
  <c r="I156" i="55" s="1"/>
  <c r="F155" i="55"/>
  <c r="I155" i="55" s="1"/>
  <c r="F154" i="55"/>
  <c r="I154" i="55" s="1"/>
  <c r="F153" i="55"/>
  <c r="I153" i="55" s="1"/>
  <c r="F152" i="55"/>
  <c r="I152" i="55" s="1"/>
  <c r="F151" i="55"/>
  <c r="I151" i="55" s="1"/>
  <c r="F150" i="55"/>
  <c r="I150" i="55" s="1"/>
  <c r="F158" i="21"/>
  <c r="I158" i="21" s="1"/>
  <c r="F157" i="21"/>
  <c r="I157" i="21" s="1"/>
  <c r="F156" i="21"/>
  <c r="I156" i="21" s="1"/>
  <c r="F155" i="21"/>
  <c r="I155" i="21" s="1"/>
  <c r="F154" i="21"/>
  <c r="I154" i="21" s="1"/>
  <c r="F153" i="21"/>
  <c r="I153" i="21" s="1"/>
  <c r="F152" i="21"/>
  <c r="I152" i="21" s="1"/>
  <c r="F151" i="21"/>
  <c r="I151" i="21" s="1"/>
  <c r="F150" i="21"/>
  <c r="I150" i="21" s="1"/>
  <c r="F158" i="14"/>
  <c r="I158" i="14" s="1"/>
  <c r="F157" i="14"/>
  <c r="I157" i="14" s="1"/>
  <c r="F156" i="14"/>
  <c r="I156" i="14" s="1"/>
  <c r="F155" i="14"/>
  <c r="I155" i="14" s="1"/>
  <c r="F154" i="14"/>
  <c r="I154" i="14" s="1"/>
  <c r="F153" i="14"/>
  <c r="I153" i="14" s="1"/>
  <c r="F152" i="14"/>
  <c r="I152" i="14" s="1"/>
  <c r="F151" i="14"/>
  <c r="I151" i="14" s="1"/>
  <c r="F150" i="14"/>
  <c r="I150" i="14" s="1"/>
  <c r="F158" i="85"/>
  <c r="I158" i="85" s="1"/>
  <c r="F157" i="85"/>
  <c r="I157" i="85" s="1"/>
  <c r="F156" i="85"/>
  <c r="I156" i="85" s="1"/>
  <c r="F155" i="85"/>
  <c r="I155" i="85" s="1"/>
  <c r="F154" i="85"/>
  <c r="I154" i="85" s="1"/>
  <c r="F153" i="85"/>
  <c r="I153" i="85" s="1"/>
  <c r="F152" i="85"/>
  <c r="I152" i="85" s="1"/>
  <c r="F151" i="85"/>
  <c r="I151" i="85" s="1"/>
  <c r="F150" i="85"/>
  <c r="I150" i="85" s="1"/>
  <c r="F158" i="87"/>
  <c r="I158" i="87" s="1"/>
  <c r="F157" i="87"/>
  <c r="I157" i="87" s="1"/>
  <c r="F156" i="87"/>
  <c r="I156" i="87" s="1"/>
  <c r="F155" i="87"/>
  <c r="I155" i="87" s="1"/>
  <c r="F154" i="87"/>
  <c r="I154" i="87" s="1"/>
  <c r="F153" i="87"/>
  <c r="I153" i="87" s="1"/>
  <c r="F152" i="87"/>
  <c r="I152" i="87" s="1"/>
  <c r="F151" i="87"/>
  <c r="I151" i="87" s="1"/>
  <c r="F150" i="87"/>
  <c r="I150" i="87" s="1"/>
  <c r="F158" i="86"/>
  <c r="I158" i="86" s="1"/>
  <c r="F157" i="86"/>
  <c r="I157" i="86" s="1"/>
  <c r="F156" i="86"/>
  <c r="I156" i="86" s="1"/>
  <c r="F155" i="86"/>
  <c r="I155" i="86" s="1"/>
  <c r="F154" i="86"/>
  <c r="I154" i="86" s="1"/>
  <c r="F153" i="86"/>
  <c r="I153" i="86" s="1"/>
  <c r="F152" i="86"/>
  <c r="I152" i="86" s="1"/>
  <c r="F151" i="86"/>
  <c r="I151" i="86" s="1"/>
  <c r="F150" i="86"/>
  <c r="I150" i="86" s="1"/>
  <c r="F158" i="89"/>
  <c r="I158" i="89" s="1"/>
  <c r="F157" i="89"/>
  <c r="I157" i="89" s="1"/>
  <c r="F156" i="89"/>
  <c r="I156" i="89" s="1"/>
  <c r="F155" i="89"/>
  <c r="I155" i="89" s="1"/>
  <c r="F154" i="89"/>
  <c r="I154" i="89" s="1"/>
  <c r="F153" i="89"/>
  <c r="I153" i="89" s="1"/>
  <c r="F152" i="89"/>
  <c r="I152" i="89" s="1"/>
  <c r="F151" i="89"/>
  <c r="I151" i="89" s="1"/>
  <c r="F150" i="89"/>
  <c r="I150" i="89" s="1"/>
  <c r="F158" i="142"/>
  <c r="I158" i="142" s="1"/>
  <c r="F157" i="142"/>
  <c r="I157" i="142" s="1"/>
  <c r="F156" i="142"/>
  <c r="I156" i="142" s="1"/>
  <c r="F155" i="142"/>
  <c r="I155" i="142" s="1"/>
  <c r="F154" i="142"/>
  <c r="I154" i="142" s="1"/>
  <c r="F153" i="142"/>
  <c r="I153" i="142" s="1"/>
  <c r="F152" i="142"/>
  <c r="I152" i="142" s="1"/>
  <c r="F151" i="142"/>
  <c r="I151" i="142" s="1"/>
  <c r="F150" i="142"/>
  <c r="I150" i="142" s="1"/>
  <c r="F158" i="92"/>
  <c r="I158" i="92" s="1"/>
  <c r="F157" i="92"/>
  <c r="I157" i="92" s="1"/>
  <c r="F156" i="92"/>
  <c r="I156" i="92" s="1"/>
  <c r="F155" i="92"/>
  <c r="I155" i="92" s="1"/>
  <c r="F154" i="92"/>
  <c r="I154" i="92" s="1"/>
  <c r="F153" i="92"/>
  <c r="I153" i="92" s="1"/>
  <c r="F152" i="92"/>
  <c r="I152" i="92" s="1"/>
  <c r="F151" i="92"/>
  <c r="I151" i="92" s="1"/>
  <c r="F150" i="92"/>
  <c r="I150" i="92" s="1"/>
  <c r="F158" i="1"/>
  <c r="I158" i="1" s="1"/>
  <c r="F157" i="1"/>
  <c r="I157" i="1" s="1"/>
  <c r="F156" i="1"/>
  <c r="I156" i="1" s="1"/>
  <c r="F155" i="1"/>
  <c r="I155" i="1" s="1"/>
  <c r="F154" i="1"/>
  <c r="I154" i="1" s="1"/>
  <c r="F153" i="1"/>
  <c r="I153" i="1" s="1"/>
  <c r="F152" i="1"/>
  <c r="I152" i="1" s="1"/>
  <c r="F151" i="1"/>
  <c r="I151" i="1" s="1"/>
  <c r="F150" i="1"/>
  <c r="I150" i="1" s="1"/>
  <c r="F158" i="50"/>
  <c r="I158" i="50" s="1"/>
  <c r="F157" i="50"/>
  <c r="I157" i="50" s="1"/>
  <c r="F156" i="50"/>
  <c r="I156" i="50" s="1"/>
  <c r="F155" i="50"/>
  <c r="I155" i="50" s="1"/>
  <c r="F154" i="50"/>
  <c r="I154" i="50" s="1"/>
  <c r="F153" i="50"/>
  <c r="I153" i="50" s="1"/>
  <c r="F152" i="50"/>
  <c r="I152" i="50" s="1"/>
  <c r="F151" i="50"/>
  <c r="I151" i="50" s="1"/>
  <c r="F150" i="50"/>
  <c r="I150" i="50" s="1"/>
  <c r="F158" i="95"/>
  <c r="I158" i="95" s="1"/>
  <c r="F157" i="95"/>
  <c r="I157" i="95" s="1"/>
  <c r="F156" i="95"/>
  <c r="I156" i="95" s="1"/>
  <c r="F155" i="95"/>
  <c r="I155" i="95" s="1"/>
  <c r="F154" i="95"/>
  <c r="I154" i="95" s="1"/>
  <c r="F153" i="95"/>
  <c r="I153" i="95" s="1"/>
  <c r="F152" i="95"/>
  <c r="I152" i="95" s="1"/>
  <c r="F151" i="95"/>
  <c r="I151" i="95" s="1"/>
  <c r="F150" i="95"/>
  <c r="I150" i="95" s="1"/>
  <c r="F158" i="180"/>
  <c r="I158" i="180" s="1"/>
  <c r="F157" i="180"/>
  <c r="I157" i="180" s="1"/>
  <c r="F156" i="180"/>
  <c r="I156" i="180" s="1"/>
  <c r="F155" i="180"/>
  <c r="I155" i="180" s="1"/>
  <c r="F154" i="180"/>
  <c r="I154" i="180" s="1"/>
  <c r="F153" i="180"/>
  <c r="I153" i="180" s="1"/>
  <c r="F152" i="180"/>
  <c r="I152" i="180" s="1"/>
  <c r="F151" i="180"/>
  <c r="I151" i="180" s="1"/>
  <c r="F150" i="180"/>
  <c r="I150" i="180" s="1"/>
  <c r="F148" i="118"/>
  <c r="I148" i="118" s="1"/>
  <c r="F147" i="118"/>
  <c r="I147" i="118" s="1"/>
  <c r="F146" i="118"/>
  <c r="I146" i="118" s="1"/>
  <c r="F145" i="118"/>
  <c r="I145" i="118" s="1"/>
  <c r="F148" i="60"/>
  <c r="I148" i="60" s="1"/>
  <c r="F147" i="60"/>
  <c r="I147" i="60" s="1"/>
  <c r="F146" i="60"/>
  <c r="I146" i="60" s="1"/>
  <c r="F145" i="60"/>
  <c r="I145" i="60" s="1"/>
  <c r="F148" i="106"/>
  <c r="I148" i="106" s="1"/>
  <c r="F147" i="106"/>
  <c r="I147" i="106" s="1"/>
  <c r="F146" i="106"/>
  <c r="I146" i="106" s="1"/>
  <c r="F145" i="106"/>
  <c r="I145" i="106" s="1"/>
  <c r="F148" i="104"/>
  <c r="I148" i="104" s="1"/>
  <c r="F147" i="104"/>
  <c r="I147" i="104" s="1"/>
  <c r="F146" i="104"/>
  <c r="I146" i="104" s="1"/>
  <c r="F145" i="104"/>
  <c r="I145" i="104" s="1"/>
  <c r="F148" i="54"/>
  <c r="I148" i="54" s="1"/>
  <c r="F147" i="54"/>
  <c r="I147" i="54" s="1"/>
  <c r="F146" i="54"/>
  <c r="I146" i="54" s="1"/>
  <c r="F145" i="54"/>
  <c r="I145" i="54" s="1"/>
  <c r="F148" i="181"/>
  <c r="I148" i="181" s="1"/>
  <c r="F147" i="181"/>
  <c r="I147" i="181" s="1"/>
  <c r="F146" i="181"/>
  <c r="I146" i="181" s="1"/>
  <c r="F145" i="181"/>
  <c r="I145" i="181" s="1"/>
  <c r="F148" i="94"/>
  <c r="I148" i="94" s="1"/>
  <c r="F147" i="94"/>
  <c r="I147" i="94" s="1"/>
  <c r="F146" i="94"/>
  <c r="I146" i="94" s="1"/>
  <c r="F145" i="94"/>
  <c r="I145" i="94" s="1"/>
  <c r="F148" i="145"/>
  <c r="I148" i="145" s="1"/>
  <c r="F147" i="145"/>
  <c r="I147" i="145" s="1"/>
  <c r="F146" i="145"/>
  <c r="I146" i="145" s="1"/>
  <c r="F145" i="145"/>
  <c r="I145" i="145" s="1"/>
  <c r="F148" i="33"/>
  <c r="I148" i="33" s="1"/>
  <c r="F147" i="33"/>
  <c r="I147" i="33" s="1"/>
  <c r="F146" i="33"/>
  <c r="I146" i="33" s="1"/>
  <c r="F145" i="33"/>
  <c r="I145" i="33" s="1"/>
  <c r="F148" i="177"/>
  <c r="I148" i="177" s="1"/>
  <c r="F147" i="177"/>
  <c r="I147" i="177" s="1"/>
  <c r="F146" i="177"/>
  <c r="I146" i="177" s="1"/>
  <c r="F145" i="177"/>
  <c r="I145" i="177" s="1"/>
  <c r="F148" i="164"/>
  <c r="I148" i="164" s="1"/>
  <c r="F147" i="164"/>
  <c r="I147" i="164" s="1"/>
  <c r="F146" i="164"/>
  <c r="I146" i="164" s="1"/>
  <c r="F145" i="164"/>
  <c r="I145" i="164" s="1"/>
  <c r="F148" i="19"/>
  <c r="I148" i="19" s="1"/>
  <c r="F147" i="19"/>
  <c r="I147" i="19" s="1"/>
  <c r="F146" i="19"/>
  <c r="I146" i="19" s="1"/>
  <c r="F145" i="19"/>
  <c r="I145" i="19" s="1"/>
  <c r="F148" i="15"/>
  <c r="I148" i="15" s="1"/>
  <c r="F147" i="15"/>
  <c r="I147" i="15" s="1"/>
  <c r="F146" i="15"/>
  <c r="I146" i="15" s="1"/>
  <c r="F145" i="15"/>
  <c r="I145" i="15" s="1"/>
  <c r="F148" i="178"/>
  <c r="I148" i="178" s="1"/>
  <c r="F147" i="178"/>
  <c r="I147" i="178" s="1"/>
  <c r="F146" i="178"/>
  <c r="I146" i="178" s="1"/>
  <c r="F145" i="178"/>
  <c r="I145" i="178" s="1"/>
  <c r="F148" i="150"/>
  <c r="I148" i="150" s="1"/>
  <c r="F147" i="150"/>
  <c r="I147" i="150" s="1"/>
  <c r="F146" i="150"/>
  <c r="I146" i="150" s="1"/>
  <c r="F145" i="150"/>
  <c r="I145" i="150" s="1"/>
  <c r="F148" i="68"/>
  <c r="I148" i="68" s="1"/>
  <c r="F147" i="68"/>
  <c r="I147" i="68" s="1"/>
  <c r="F146" i="68"/>
  <c r="I146" i="68" s="1"/>
  <c r="F145" i="68"/>
  <c r="I145" i="68" s="1"/>
  <c r="F148" i="66"/>
  <c r="I148" i="66" s="1"/>
  <c r="F147" i="66"/>
  <c r="I147" i="66" s="1"/>
  <c r="F146" i="66"/>
  <c r="I146" i="66" s="1"/>
  <c r="F145" i="66"/>
  <c r="I145" i="66" s="1"/>
  <c r="F148" i="63"/>
  <c r="I148" i="63" s="1"/>
  <c r="F147" i="63"/>
  <c r="I147" i="63" s="1"/>
  <c r="F146" i="63"/>
  <c r="I146" i="63" s="1"/>
  <c r="F145" i="63"/>
  <c r="I145" i="63" s="1"/>
  <c r="F148" i="62"/>
  <c r="I148" i="62" s="1"/>
  <c r="F147" i="62"/>
  <c r="I147" i="62" s="1"/>
  <c r="F146" i="62"/>
  <c r="I146" i="62" s="1"/>
  <c r="F145" i="62"/>
  <c r="I145" i="62" s="1"/>
  <c r="F148" i="58"/>
  <c r="I148" i="58" s="1"/>
  <c r="F147" i="58"/>
  <c r="I147" i="58" s="1"/>
  <c r="F146" i="58"/>
  <c r="I146" i="58" s="1"/>
  <c r="F145" i="58"/>
  <c r="I145" i="58" s="1"/>
  <c r="F148" i="136"/>
  <c r="I148" i="136" s="1"/>
  <c r="F147" i="136"/>
  <c r="I147" i="136" s="1"/>
  <c r="F146" i="136"/>
  <c r="I146" i="136" s="1"/>
  <c r="F145" i="136"/>
  <c r="I145" i="136" s="1"/>
  <c r="F148" i="141"/>
  <c r="I148" i="141" s="1"/>
  <c r="F147" i="141"/>
  <c r="I147" i="141" s="1"/>
  <c r="F146" i="141"/>
  <c r="I146" i="141" s="1"/>
  <c r="F145" i="141"/>
  <c r="I145" i="141" s="1"/>
  <c r="F148" i="174"/>
  <c r="I148" i="174" s="1"/>
  <c r="F147" i="174"/>
  <c r="I147" i="174" s="1"/>
  <c r="F146" i="174"/>
  <c r="I146" i="174" s="1"/>
  <c r="F145" i="174"/>
  <c r="I145" i="174" s="1"/>
  <c r="F148" i="53"/>
  <c r="I148" i="53" s="1"/>
  <c r="F147" i="53"/>
  <c r="I147" i="53" s="1"/>
  <c r="F146" i="53"/>
  <c r="I146" i="53" s="1"/>
  <c r="F145" i="53"/>
  <c r="I145" i="53" s="1"/>
  <c r="F148" i="98"/>
  <c r="I148" i="98" s="1"/>
  <c r="F147" i="98"/>
  <c r="I147" i="98" s="1"/>
  <c r="F146" i="98"/>
  <c r="I146" i="98" s="1"/>
  <c r="F145" i="98"/>
  <c r="I145" i="98" s="1"/>
  <c r="F148" i="49"/>
  <c r="I148" i="49" s="1"/>
  <c r="F147" i="49"/>
  <c r="I147" i="49" s="1"/>
  <c r="F146" i="49"/>
  <c r="I146" i="49" s="1"/>
  <c r="F145" i="49"/>
  <c r="I145" i="49" s="1"/>
  <c r="F148" i="83"/>
  <c r="F147" i="83"/>
  <c r="F146" i="83"/>
  <c r="F145" i="83"/>
  <c r="F148" i="46"/>
  <c r="I148" i="46" s="1"/>
  <c r="F147" i="46"/>
  <c r="I147" i="46" s="1"/>
  <c r="F146" i="46"/>
  <c r="I146" i="46" s="1"/>
  <c r="F145" i="46"/>
  <c r="I145" i="46" s="1"/>
  <c r="F148" i="102"/>
  <c r="I148" i="102" s="1"/>
  <c r="F147" i="102"/>
  <c r="I147" i="102" s="1"/>
  <c r="F146" i="102"/>
  <c r="I146" i="102" s="1"/>
  <c r="F145" i="102"/>
  <c r="I145" i="102" s="1"/>
  <c r="F148" i="43"/>
  <c r="I148" i="43" s="1"/>
  <c r="F147" i="43"/>
  <c r="I147" i="43" s="1"/>
  <c r="F146" i="43"/>
  <c r="I146" i="43" s="1"/>
  <c r="F145" i="43"/>
  <c r="I145" i="43" s="1"/>
  <c r="F148" i="175"/>
  <c r="I148" i="175" s="1"/>
  <c r="F147" i="175"/>
  <c r="I147" i="175" s="1"/>
  <c r="F146" i="175"/>
  <c r="I146" i="175" s="1"/>
  <c r="F145" i="175"/>
  <c r="I145" i="175" s="1"/>
  <c r="F148" i="57"/>
  <c r="I148" i="57" s="1"/>
  <c r="F147" i="57"/>
  <c r="I147" i="57" s="1"/>
  <c r="F146" i="57"/>
  <c r="I146" i="57" s="1"/>
  <c r="F145" i="57"/>
  <c r="I145" i="57" s="1"/>
  <c r="F148" i="84"/>
  <c r="I148" i="84" s="1"/>
  <c r="F147" i="84"/>
  <c r="I147" i="84" s="1"/>
  <c r="F146" i="84"/>
  <c r="I146" i="84" s="1"/>
  <c r="F145" i="84"/>
  <c r="I145" i="84" s="1"/>
  <c r="F148" i="167"/>
  <c r="I148" i="167" s="1"/>
  <c r="F147" i="167"/>
  <c r="I147" i="167" s="1"/>
  <c r="F146" i="167"/>
  <c r="I146" i="167" s="1"/>
  <c r="F145" i="167"/>
  <c r="I145" i="167" s="1"/>
  <c r="F148" i="39"/>
  <c r="I148" i="39" s="1"/>
  <c r="F147" i="39"/>
  <c r="I147" i="39" s="1"/>
  <c r="F146" i="39"/>
  <c r="I146" i="39" s="1"/>
  <c r="F145" i="39"/>
  <c r="I145" i="39" s="1"/>
  <c r="F148" i="135"/>
  <c r="I148" i="135" s="1"/>
  <c r="F147" i="135"/>
  <c r="I147" i="135" s="1"/>
  <c r="F146" i="135"/>
  <c r="I146" i="135" s="1"/>
  <c r="F145" i="135"/>
  <c r="I145" i="135" s="1"/>
  <c r="F148" i="38"/>
  <c r="I148" i="38" s="1"/>
  <c r="F147" i="38"/>
  <c r="I147" i="38" s="1"/>
  <c r="F146" i="38"/>
  <c r="I146" i="38" s="1"/>
  <c r="F145" i="38"/>
  <c r="I145" i="38" s="1"/>
  <c r="F148" i="103"/>
  <c r="I148" i="103" s="1"/>
  <c r="F147" i="103"/>
  <c r="I147" i="103" s="1"/>
  <c r="F146" i="103"/>
  <c r="I146" i="103" s="1"/>
  <c r="F145" i="103"/>
  <c r="I145" i="103" s="1"/>
  <c r="F148" i="133"/>
  <c r="I148" i="133" s="1"/>
  <c r="F147" i="133"/>
  <c r="I147" i="133" s="1"/>
  <c r="F146" i="133"/>
  <c r="I146" i="133" s="1"/>
  <c r="F145" i="133"/>
  <c r="I145" i="133" s="1"/>
  <c r="F148" i="152"/>
  <c r="I148" i="152" s="1"/>
  <c r="F147" i="152"/>
  <c r="I147" i="152" s="1"/>
  <c r="F146" i="152"/>
  <c r="I146" i="152" s="1"/>
  <c r="F145" i="152"/>
  <c r="I145" i="152" s="1"/>
  <c r="F148" i="47"/>
  <c r="I148" i="47" s="1"/>
  <c r="F147" i="47"/>
  <c r="I147" i="47" s="1"/>
  <c r="F146" i="47"/>
  <c r="I146" i="47" s="1"/>
  <c r="F145" i="47"/>
  <c r="I145" i="47" s="1"/>
  <c r="F148" i="120"/>
  <c r="I148" i="120" s="1"/>
  <c r="F147" i="120"/>
  <c r="I147" i="120" s="1"/>
  <c r="F146" i="120"/>
  <c r="I146" i="120" s="1"/>
  <c r="F145" i="120"/>
  <c r="I145" i="120" s="1"/>
  <c r="F148" i="37"/>
  <c r="I148" i="37" s="1"/>
  <c r="F147" i="37"/>
  <c r="I147" i="37" s="1"/>
  <c r="F146" i="37"/>
  <c r="I146" i="37" s="1"/>
  <c r="F145" i="37"/>
  <c r="I145" i="37" s="1"/>
  <c r="F148" i="90"/>
  <c r="I148" i="90" s="1"/>
  <c r="F147" i="90"/>
  <c r="I147" i="90" s="1"/>
  <c r="F146" i="90"/>
  <c r="I146" i="90" s="1"/>
  <c r="F145" i="90"/>
  <c r="I145" i="90" s="1"/>
  <c r="F148" i="24"/>
  <c r="I148" i="24" s="1"/>
  <c r="F147" i="24"/>
  <c r="I147" i="24" s="1"/>
  <c r="F146" i="24"/>
  <c r="I146" i="24" s="1"/>
  <c r="F145" i="24"/>
  <c r="I145" i="24" s="1"/>
  <c r="F148" i="32"/>
  <c r="I148" i="32" s="1"/>
  <c r="F147" i="32"/>
  <c r="I147" i="32" s="1"/>
  <c r="F146" i="32"/>
  <c r="I146" i="32" s="1"/>
  <c r="F145" i="32"/>
  <c r="I145" i="32" s="1"/>
  <c r="F148" i="79"/>
  <c r="I148" i="79" s="1"/>
  <c r="F147" i="79"/>
  <c r="I147" i="79" s="1"/>
  <c r="F146" i="79"/>
  <c r="I146" i="79" s="1"/>
  <c r="F145" i="79"/>
  <c r="I145" i="79" s="1"/>
  <c r="F148" i="31"/>
  <c r="I148" i="31" s="1"/>
  <c r="F147" i="31"/>
  <c r="I147" i="31" s="1"/>
  <c r="F146" i="31"/>
  <c r="I146" i="31" s="1"/>
  <c r="F145" i="31"/>
  <c r="I145" i="31" s="1"/>
  <c r="F148" i="64"/>
  <c r="I148" i="64" s="1"/>
  <c r="F147" i="64"/>
  <c r="I147" i="64" s="1"/>
  <c r="F146" i="64"/>
  <c r="I146" i="64" s="1"/>
  <c r="F145" i="64"/>
  <c r="I145" i="64" s="1"/>
  <c r="F148" i="113"/>
  <c r="I148" i="113" s="1"/>
  <c r="F147" i="113"/>
  <c r="I147" i="113" s="1"/>
  <c r="F146" i="113"/>
  <c r="I146" i="113" s="1"/>
  <c r="F145" i="113"/>
  <c r="I145" i="113" s="1"/>
  <c r="F148" i="72"/>
  <c r="I148" i="72" s="1"/>
  <c r="F147" i="72"/>
  <c r="I147" i="72" s="1"/>
  <c r="F146" i="72"/>
  <c r="I146" i="72" s="1"/>
  <c r="F145" i="72"/>
  <c r="I145" i="72" s="1"/>
  <c r="F148" i="28"/>
  <c r="I148" i="28" s="1"/>
  <c r="F147" i="28"/>
  <c r="I147" i="28" s="1"/>
  <c r="F146" i="28"/>
  <c r="I146" i="28" s="1"/>
  <c r="F145" i="28"/>
  <c r="I145" i="28" s="1"/>
  <c r="F148" i="65"/>
  <c r="I148" i="65" s="1"/>
  <c r="F147" i="65"/>
  <c r="I147" i="65" s="1"/>
  <c r="F146" i="65"/>
  <c r="I146" i="65" s="1"/>
  <c r="F145" i="65"/>
  <c r="I145" i="65" s="1"/>
  <c r="F148" i="119"/>
  <c r="I148" i="119" s="1"/>
  <c r="F147" i="119"/>
  <c r="I147" i="119" s="1"/>
  <c r="F146" i="119"/>
  <c r="I146" i="119" s="1"/>
  <c r="F145" i="119"/>
  <c r="I145" i="119" s="1"/>
  <c r="F148" i="25"/>
  <c r="I148" i="25" s="1"/>
  <c r="F147" i="25"/>
  <c r="I147" i="25" s="1"/>
  <c r="F146" i="25"/>
  <c r="I146" i="25" s="1"/>
  <c r="F145" i="25"/>
  <c r="I145" i="25" s="1"/>
  <c r="F148" i="155"/>
  <c r="I148" i="155" s="1"/>
  <c r="F147" i="155"/>
  <c r="I147" i="155" s="1"/>
  <c r="F146" i="155"/>
  <c r="I146" i="155" s="1"/>
  <c r="F145" i="155"/>
  <c r="I145" i="155" s="1"/>
  <c r="F148" i="156"/>
  <c r="I148" i="156" s="1"/>
  <c r="F147" i="156"/>
  <c r="I147" i="156" s="1"/>
  <c r="F146" i="156"/>
  <c r="I146" i="156" s="1"/>
  <c r="F145" i="156"/>
  <c r="I145" i="156" s="1"/>
  <c r="F148" i="20"/>
  <c r="I148" i="20" s="1"/>
  <c r="F147" i="20"/>
  <c r="I147" i="20" s="1"/>
  <c r="F146" i="20"/>
  <c r="I146" i="20" s="1"/>
  <c r="F145" i="20"/>
  <c r="I145" i="20" s="1"/>
  <c r="F148" i="42"/>
  <c r="I148" i="42" s="1"/>
  <c r="F147" i="42"/>
  <c r="I147" i="42" s="1"/>
  <c r="F146" i="42"/>
  <c r="I146" i="42" s="1"/>
  <c r="F145" i="42"/>
  <c r="I145" i="42" s="1"/>
  <c r="F148" i="157"/>
  <c r="I148" i="157" s="1"/>
  <c r="F147" i="157"/>
  <c r="I147" i="157" s="1"/>
  <c r="F146" i="157"/>
  <c r="I146" i="157" s="1"/>
  <c r="F145" i="157"/>
  <c r="I145" i="157" s="1"/>
  <c r="F148" i="159"/>
  <c r="I148" i="159" s="1"/>
  <c r="F147" i="159"/>
  <c r="I147" i="159" s="1"/>
  <c r="F146" i="159"/>
  <c r="I146" i="159" s="1"/>
  <c r="F145" i="159"/>
  <c r="I145" i="159" s="1"/>
  <c r="F148" i="158"/>
  <c r="I148" i="158" s="1"/>
  <c r="F147" i="158"/>
  <c r="I147" i="158" s="1"/>
  <c r="F146" i="158"/>
  <c r="I146" i="158" s="1"/>
  <c r="F145" i="158"/>
  <c r="I145" i="158" s="1"/>
  <c r="F148" i="16"/>
  <c r="I148" i="16" s="1"/>
  <c r="F147" i="16"/>
  <c r="I147" i="16" s="1"/>
  <c r="F146" i="16"/>
  <c r="I146" i="16" s="1"/>
  <c r="F145" i="16"/>
  <c r="I145" i="16" s="1"/>
  <c r="F148" i="27"/>
  <c r="I148" i="27" s="1"/>
  <c r="F147" i="27"/>
  <c r="I147" i="27" s="1"/>
  <c r="F146" i="27"/>
  <c r="I146" i="27" s="1"/>
  <c r="F145" i="27"/>
  <c r="I145" i="27" s="1"/>
  <c r="F148" i="111"/>
  <c r="I148" i="111" s="1"/>
  <c r="F147" i="111"/>
  <c r="I147" i="111" s="1"/>
  <c r="F146" i="111"/>
  <c r="I146" i="111" s="1"/>
  <c r="F145" i="111"/>
  <c r="I145" i="111" s="1"/>
  <c r="F148" i="71"/>
  <c r="I148" i="71" s="1"/>
  <c r="F147" i="71"/>
  <c r="I147" i="71" s="1"/>
  <c r="F146" i="71"/>
  <c r="I146" i="71" s="1"/>
  <c r="F145" i="71"/>
  <c r="I145" i="71" s="1"/>
  <c r="F148" i="165"/>
  <c r="I148" i="165" s="1"/>
  <c r="F147" i="165"/>
  <c r="I147" i="165" s="1"/>
  <c r="F146" i="165"/>
  <c r="I146" i="165" s="1"/>
  <c r="F145" i="165"/>
  <c r="I145" i="165" s="1"/>
  <c r="F148" i="55"/>
  <c r="I148" i="55" s="1"/>
  <c r="F147" i="55"/>
  <c r="I147" i="55" s="1"/>
  <c r="F146" i="55"/>
  <c r="I146" i="55" s="1"/>
  <c r="F145" i="55"/>
  <c r="I145" i="55" s="1"/>
  <c r="F148" i="21"/>
  <c r="I148" i="21" s="1"/>
  <c r="F147" i="21"/>
  <c r="I147" i="21" s="1"/>
  <c r="F146" i="21"/>
  <c r="I146" i="21" s="1"/>
  <c r="F145" i="21"/>
  <c r="I145" i="21" s="1"/>
  <c r="F148" i="14"/>
  <c r="I148" i="14" s="1"/>
  <c r="F147" i="14"/>
  <c r="I147" i="14" s="1"/>
  <c r="F146" i="14"/>
  <c r="I146" i="14" s="1"/>
  <c r="F145" i="14"/>
  <c r="I145" i="14" s="1"/>
  <c r="F148" i="85"/>
  <c r="I148" i="85" s="1"/>
  <c r="F147" i="85"/>
  <c r="I147" i="85" s="1"/>
  <c r="F146" i="85"/>
  <c r="I146" i="85" s="1"/>
  <c r="F145" i="85"/>
  <c r="I145" i="85" s="1"/>
  <c r="F148" i="87"/>
  <c r="I148" i="87" s="1"/>
  <c r="F147" i="87"/>
  <c r="I147" i="87" s="1"/>
  <c r="F146" i="87"/>
  <c r="I146" i="87" s="1"/>
  <c r="F145" i="87"/>
  <c r="I145" i="87" s="1"/>
  <c r="F148" i="86"/>
  <c r="I148" i="86" s="1"/>
  <c r="F147" i="86"/>
  <c r="I147" i="86" s="1"/>
  <c r="F146" i="86"/>
  <c r="I146" i="86" s="1"/>
  <c r="F145" i="86"/>
  <c r="I145" i="86" s="1"/>
  <c r="F148" i="89"/>
  <c r="I148" i="89" s="1"/>
  <c r="F147" i="89"/>
  <c r="I147" i="89" s="1"/>
  <c r="F146" i="89"/>
  <c r="I146" i="89" s="1"/>
  <c r="F145" i="89"/>
  <c r="I145" i="89" s="1"/>
  <c r="F148" i="142"/>
  <c r="I148" i="142" s="1"/>
  <c r="F147" i="142"/>
  <c r="I147" i="142" s="1"/>
  <c r="F146" i="142"/>
  <c r="I146" i="142" s="1"/>
  <c r="F145" i="142"/>
  <c r="I145" i="142" s="1"/>
  <c r="F148" i="92"/>
  <c r="I148" i="92" s="1"/>
  <c r="F147" i="92"/>
  <c r="I147" i="92" s="1"/>
  <c r="F146" i="92"/>
  <c r="I146" i="92" s="1"/>
  <c r="F145" i="92"/>
  <c r="I145" i="92" s="1"/>
  <c r="F148" i="1"/>
  <c r="I148" i="1" s="1"/>
  <c r="F147" i="1"/>
  <c r="I147" i="1" s="1"/>
  <c r="F146" i="1"/>
  <c r="I146" i="1" s="1"/>
  <c r="F145" i="1"/>
  <c r="I145" i="1" s="1"/>
  <c r="F148" i="50"/>
  <c r="I148" i="50" s="1"/>
  <c r="F147" i="50"/>
  <c r="I147" i="50" s="1"/>
  <c r="F146" i="50"/>
  <c r="I146" i="50" s="1"/>
  <c r="F145" i="50"/>
  <c r="I145" i="50" s="1"/>
  <c r="F148" i="95"/>
  <c r="I148" i="95" s="1"/>
  <c r="F147" i="95"/>
  <c r="I147" i="95" s="1"/>
  <c r="F146" i="95"/>
  <c r="I146" i="95" s="1"/>
  <c r="F145" i="95"/>
  <c r="I145" i="95" s="1"/>
  <c r="F148" i="180"/>
  <c r="I148" i="180" s="1"/>
  <c r="F147" i="180"/>
  <c r="I147" i="180" s="1"/>
  <c r="F146" i="180"/>
  <c r="I146" i="180" s="1"/>
  <c r="F145" i="180"/>
  <c r="I145" i="180" s="1"/>
  <c r="F143" i="118"/>
  <c r="I143" i="118" s="1"/>
  <c r="F142" i="118"/>
  <c r="I142" i="118" s="1"/>
  <c r="F141" i="118"/>
  <c r="I141" i="118" s="1"/>
  <c r="F140" i="118"/>
  <c r="I140" i="118" s="1"/>
  <c r="F143" i="60"/>
  <c r="I143" i="60" s="1"/>
  <c r="F142" i="60"/>
  <c r="I142" i="60" s="1"/>
  <c r="F141" i="60"/>
  <c r="I141" i="60" s="1"/>
  <c r="F140" i="60"/>
  <c r="I140" i="60" s="1"/>
  <c r="F143" i="106"/>
  <c r="I143" i="106" s="1"/>
  <c r="F142" i="106"/>
  <c r="I142" i="106" s="1"/>
  <c r="F141" i="106"/>
  <c r="I141" i="106" s="1"/>
  <c r="F140" i="106"/>
  <c r="I140" i="106" s="1"/>
  <c r="F143" i="104"/>
  <c r="I143" i="104" s="1"/>
  <c r="F142" i="104"/>
  <c r="I142" i="104" s="1"/>
  <c r="F141" i="104"/>
  <c r="I141" i="104" s="1"/>
  <c r="F140" i="104"/>
  <c r="I140" i="104" s="1"/>
  <c r="F143" i="54"/>
  <c r="I143" i="54" s="1"/>
  <c r="F142" i="54"/>
  <c r="I142" i="54" s="1"/>
  <c r="F141" i="54"/>
  <c r="I141" i="54" s="1"/>
  <c r="F140" i="54"/>
  <c r="I140" i="54" s="1"/>
  <c r="F143" i="181"/>
  <c r="I143" i="181" s="1"/>
  <c r="F142" i="181"/>
  <c r="I142" i="181" s="1"/>
  <c r="F141" i="181"/>
  <c r="I141" i="181" s="1"/>
  <c r="F140" i="181"/>
  <c r="I140" i="181" s="1"/>
  <c r="F143" i="94"/>
  <c r="I143" i="94" s="1"/>
  <c r="F142" i="94"/>
  <c r="I142" i="94" s="1"/>
  <c r="F141" i="94"/>
  <c r="I141" i="94" s="1"/>
  <c r="F140" i="94"/>
  <c r="I140" i="94" s="1"/>
  <c r="F143" i="145"/>
  <c r="I143" i="145" s="1"/>
  <c r="F142" i="145"/>
  <c r="I142" i="145" s="1"/>
  <c r="F141" i="145"/>
  <c r="I141" i="145" s="1"/>
  <c r="F140" i="145"/>
  <c r="I140" i="145" s="1"/>
  <c r="F143" i="33"/>
  <c r="I143" i="33" s="1"/>
  <c r="F142" i="33"/>
  <c r="I142" i="33" s="1"/>
  <c r="F141" i="33"/>
  <c r="I141" i="33" s="1"/>
  <c r="F140" i="33"/>
  <c r="I140" i="33" s="1"/>
  <c r="F143" i="177"/>
  <c r="I143" i="177" s="1"/>
  <c r="F142" i="177"/>
  <c r="I142" i="177" s="1"/>
  <c r="F141" i="177"/>
  <c r="I141" i="177" s="1"/>
  <c r="F140" i="177"/>
  <c r="I140" i="177" s="1"/>
  <c r="F143" i="164"/>
  <c r="I143" i="164" s="1"/>
  <c r="F142" i="164"/>
  <c r="I142" i="164" s="1"/>
  <c r="F141" i="164"/>
  <c r="I141" i="164" s="1"/>
  <c r="F140" i="164"/>
  <c r="I140" i="164" s="1"/>
  <c r="F143" i="19"/>
  <c r="I143" i="19" s="1"/>
  <c r="F142" i="19"/>
  <c r="I142" i="19" s="1"/>
  <c r="F141" i="19"/>
  <c r="I141" i="19" s="1"/>
  <c r="F140" i="19"/>
  <c r="I140" i="19" s="1"/>
  <c r="F143" i="15"/>
  <c r="I143" i="15" s="1"/>
  <c r="F142" i="15"/>
  <c r="I142" i="15" s="1"/>
  <c r="F141" i="15"/>
  <c r="I141" i="15" s="1"/>
  <c r="F140" i="15"/>
  <c r="I140" i="15" s="1"/>
  <c r="F143" i="178"/>
  <c r="I143" i="178" s="1"/>
  <c r="F142" i="178"/>
  <c r="I142" i="178" s="1"/>
  <c r="F141" i="178"/>
  <c r="I141" i="178" s="1"/>
  <c r="F140" i="178"/>
  <c r="I140" i="178" s="1"/>
  <c r="F143" i="150"/>
  <c r="I143" i="150" s="1"/>
  <c r="F142" i="150"/>
  <c r="I142" i="150" s="1"/>
  <c r="F141" i="150"/>
  <c r="I141" i="150" s="1"/>
  <c r="F140" i="150"/>
  <c r="I140" i="150" s="1"/>
  <c r="F143" i="68"/>
  <c r="I143" i="68" s="1"/>
  <c r="F142" i="68"/>
  <c r="I142" i="68" s="1"/>
  <c r="F141" i="68"/>
  <c r="I141" i="68" s="1"/>
  <c r="F140" i="68"/>
  <c r="I140" i="68" s="1"/>
  <c r="F143" i="66"/>
  <c r="I143" i="66" s="1"/>
  <c r="F142" i="66"/>
  <c r="I142" i="66" s="1"/>
  <c r="F141" i="66"/>
  <c r="I141" i="66" s="1"/>
  <c r="F140" i="66"/>
  <c r="I140" i="66" s="1"/>
  <c r="F143" i="63"/>
  <c r="I143" i="63" s="1"/>
  <c r="F142" i="63"/>
  <c r="I142" i="63" s="1"/>
  <c r="F141" i="63"/>
  <c r="I141" i="63" s="1"/>
  <c r="F140" i="63"/>
  <c r="I140" i="63" s="1"/>
  <c r="F143" i="62"/>
  <c r="I143" i="62" s="1"/>
  <c r="F142" i="62"/>
  <c r="I142" i="62" s="1"/>
  <c r="F141" i="62"/>
  <c r="I141" i="62" s="1"/>
  <c r="F140" i="62"/>
  <c r="I140" i="62" s="1"/>
  <c r="F143" i="58"/>
  <c r="I143" i="58" s="1"/>
  <c r="F142" i="58"/>
  <c r="I142" i="58" s="1"/>
  <c r="F141" i="58"/>
  <c r="I141" i="58" s="1"/>
  <c r="F140" i="58"/>
  <c r="I140" i="58" s="1"/>
  <c r="F143" i="136"/>
  <c r="I143" i="136" s="1"/>
  <c r="F142" i="136"/>
  <c r="I142" i="136" s="1"/>
  <c r="F141" i="136"/>
  <c r="I141" i="136" s="1"/>
  <c r="F140" i="136"/>
  <c r="I140" i="136" s="1"/>
  <c r="F143" i="141"/>
  <c r="I143" i="141" s="1"/>
  <c r="F142" i="141"/>
  <c r="I142" i="141" s="1"/>
  <c r="F141" i="141"/>
  <c r="I141" i="141" s="1"/>
  <c r="F140" i="141"/>
  <c r="I140" i="141" s="1"/>
  <c r="F143" i="174"/>
  <c r="I143" i="174" s="1"/>
  <c r="F142" i="174"/>
  <c r="I142" i="174" s="1"/>
  <c r="F141" i="174"/>
  <c r="I141" i="174" s="1"/>
  <c r="F140" i="174"/>
  <c r="I140" i="174" s="1"/>
  <c r="F143" i="53"/>
  <c r="I143" i="53" s="1"/>
  <c r="F142" i="53"/>
  <c r="I142" i="53" s="1"/>
  <c r="F141" i="53"/>
  <c r="I141" i="53" s="1"/>
  <c r="F140" i="53"/>
  <c r="I140" i="53" s="1"/>
  <c r="F143" i="98"/>
  <c r="I143" i="98" s="1"/>
  <c r="F142" i="98"/>
  <c r="I142" i="98" s="1"/>
  <c r="F141" i="98"/>
  <c r="I141" i="98" s="1"/>
  <c r="F140" i="98"/>
  <c r="I140" i="98" s="1"/>
  <c r="F143" i="49"/>
  <c r="I143" i="49" s="1"/>
  <c r="F142" i="49"/>
  <c r="I142" i="49" s="1"/>
  <c r="F141" i="49"/>
  <c r="I141" i="49" s="1"/>
  <c r="F140" i="49"/>
  <c r="I140" i="49" s="1"/>
  <c r="F143" i="83"/>
  <c r="F142" i="83"/>
  <c r="F141" i="83"/>
  <c r="F140" i="83"/>
  <c r="F143" i="46"/>
  <c r="I143" i="46" s="1"/>
  <c r="F142" i="46"/>
  <c r="I142" i="46" s="1"/>
  <c r="F141" i="46"/>
  <c r="I141" i="46" s="1"/>
  <c r="F140" i="46"/>
  <c r="I140" i="46" s="1"/>
  <c r="F143" i="102"/>
  <c r="I143" i="102" s="1"/>
  <c r="F142" i="102"/>
  <c r="I142" i="102" s="1"/>
  <c r="F141" i="102"/>
  <c r="I141" i="102" s="1"/>
  <c r="F140" i="102"/>
  <c r="I140" i="102" s="1"/>
  <c r="F143" i="43"/>
  <c r="I143" i="43" s="1"/>
  <c r="F142" i="43"/>
  <c r="I142" i="43" s="1"/>
  <c r="F141" i="43"/>
  <c r="I141" i="43" s="1"/>
  <c r="F140" i="43"/>
  <c r="I140" i="43" s="1"/>
  <c r="F143" i="175"/>
  <c r="I143" i="175" s="1"/>
  <c r="F142" i="175"/>
  <c r="I142" i="175" s="1"/>
  <c r="F141" i="175"/>
  <c r="I141" i="175" s="1"/>
  <c r="F140" i="175"/>
  <c r="I140" i="175" s="1"/>
  <c r="F143" i="57"/>
  <c r="I143" i="57" s="1"/>
  <c r="F142" i="57"/>
  <c r="I142" i="57" s="1"/>
  <c r="F141" i="57"/>
  <c r="I141" i="57" s="1"/>
  <c r="F140" i="57"/>
  <c r="I140" i="57" s="1"/>
  <c r="F143" i="84"/>
  <c r="I143" i="84" s="1"/>
  <c r="F142" i="84"/>
  <c r="I142" i="84" s="1"/>
  <c r="F141" i="84"/>
  <c r="I141" i="84" s="1"/>
  <c r="F140" i="84"/>
  <c r="I140" i="84" s="1"/>
  <c r="F143" i="167"/>
  <c r="I143" i="167" s="1"/>
  <c r="F142" i="167"/>
  <c r="I142" i="167" s="1"/>
  <c r="F141" i="167"/>
  <c r="I141" i="167" s="1"/>
  <c r="F140" i="167"/>
  <c r="I140" i="167" s="1"/>
  <c r="F143" i="39"/>
  <c r="I143" i="39" s="1"/>
  <c r="F142" i="39"/>
  <c r="I142" i="39" s="1"/>
  <c r="F141" i="39"/>
  <c r="I141" i="39" s="1"/>
  <c r="F140" i="39"/>
  <c r="I140" i="39" s="1"/>
  <c r="F143" i="135"/>
  <c r="I143" i="135" s="1"/>
  <c r="F142" i="135"/>
  <c r="I142" i="135" s="1"/>
  <c r="F141" i="135"/>
  <c r="I141" i="135" s="1"/>
  <c r="F140" i="135"/>
  <c r="I140" i="135" s="1"/>
  <c r="F143" i="38"/>
  <c r="I143" i="38" s="1"/>
  <c r="F142" i="38"/>
  <c r="I142" i="38" s="1"/>
  <c r="F141" i="38"/>
  <c r="I141" i="38" s="1"/>
  <c r="F140" i="38"/>
  <c r="I140" i="38" s="1"/>
  <c r="F143" i="103"/>
  <c r="I143" i="103" s="1"/>
  <c r="F142" i="103"/>
  <c r="I142" i="103" s="1"/>
  <c r="F141" i="103"/>
  <c r="I141" i="103" s="1"/>
  <c r="F140" i="103"/>
  <c r="I140" i="103" s="1"/>
  <c r="F143" i="133"/>
  <c r="I143" i="133" s="1"/>
  <c r="F142" i="133"/>
  <c r="I142" i="133" s="1"/>
  <c r="F141" i="133"/>
  <c r="I141" i="133" s="1"/>
  <c r="F140" i="133"/>
  <c r="I140" i="133" s="1"/>
  <c r="F143" i="152"/>
  <c r="I143" i="152" s="1"/>
  <c r="F142" i="152"/>
  <c r="I142" i="152" s="1"/>
  <c r="F141" i="152"/>
  <c r="I141" i="152" s="1"/>
  <c r="F140" i="152"/>
  <c r="I140" i="152" s="1"/>
  <c r="F143" i="47"/>
  <c r="I143" i="47" s="1"/>
  <c r="F142" i="47"/>
  <c r="I142" i="47" s="1"/>
  <c r="F141" i="47"/>
  <c r="I141" i="47" s="1"/>
  <c r="F140" i="47"/>
  <c r="I140" i="47" s="1"/>
  <c r="F143" i="120"/>
  <c r="I143" i="120" s="1"/>
  <c r="F142" i="120"/>
  <c r="I142" i="120" s="1"/>
  <c r="F141" i="120"/>
  <c r="I141" i="120" s="1"/>
  <c r="F140" i="120"/>
  <c r="I140" i="120" s="1"/>
  <c r="F143" i="37"/>
  <c r="I143" i="37" s="1"/>
  <c r="F142" i="37"/>
  <c r="I142" i="37" s="1"/>
  <c r="F141" i="37"/>
  <c r="I141" i="37" s="1"/>
  <c r="F140" i="37"/>
  <c r="I140" i="37" s="1"/>
  <c r="F143" i="90"/>
  <c r="I143" i="90" s="1"/>
  <c r="F142" i="90"/>
  <c r="I142" i="90" s="1"/>
  <c r="F141" i="90"/>
  <c r="I141" i="90" s="1"/>
  <c r="F140" i="90"/>
  <c r="I140" i="90" s="1"/>
  <c r="F143" i="24"/>
  <c r="I143" i="24" s="1"/>
  <c r="F142" i="24"/>
  <c r="I142" i="24" s="1"/>
  <c r="F141" i="24"/>
  <c r="I141" i="24" s="1"/>
  <c r="F140" i="24"/>
  <c r="I140" i="24" s="1"/>
  <c r="F143" i="32"/>
  <c r="I143" i="32" s="1"/>
  <c r="F142" i="32"/>
  <c r="I142" i="32" s="1"/>
  <c r="F141" i="32"/>
  <c r="I141" i="32" s="1"/>
  <c r="F140" i="32"/>
  <c r="I140" i="32" s="1"/>
  <c r="F143" i="79"/>
  <c r="I143" i="79" s="1"/>
  <c r="F142" i="79"/>
  <c r="I142" i="79" s="1"/>
  <c r="F141" i="79"/>
  <c r="I141" i="79" s="1"/>
  <c r="F140" i="79"/>
  <c r="I140" i="79" s="1"/>
  <c r="F143" i="31"/>
  <c r="I143" i="31" s="1"/>
  <c r="F142" i="31"/>
  <c r="I142" i="31" s="1"/>
  <c r="F141" i="31"/>
  <c r="I141" i="31" s="1"/>
  <c r="F140" i="31"/>
  <c r="I140" i="31" s="1"/>
  <c r="F143" i="64"/>
  <c r="I143" i="64" s="1"/>
  <c r="F142" i="64"/>
  <c r="I142" i="64" s="1"/>
  <c r="F141" i="64"/>
  <c r="I141" i="64" s="1"/>
  <c r="F140" i="64"/>
  <c r="I140" i="64" s="1"/>
  <c r="F143" i="113"/>
  <c r="I143" i="113" s="1"/>
  <c r="F142" i="113"/>
  <c r="I142" i="113" s="1"/>
  <c r="F141" i="113"/>
  <c r="I141" i="113" s="1"/>
  <c r="F140" i="113"/>
  <c r="I140" i="113" s="1"/>
  <c r="F143" i="72"/>
  <c r="I143" i="72" s="1"/>
  <c r="F142" i="72"/>
  <c r="I142" i="72" s="1"/>
  <c r="F141" i="72"/>
  <c r="I141" i="72" s="1"/>
  <c r="F140" i="72"/>
  <c r="I140" i="72" s="1"/>
  <c r="F143" i="28"/>
  <c r="I143" i="28" s="1"/>
  <c r="F142" i="28"/>
  <c r="I142" i="28" s="1"/>
  <c r="F141" i="28"/>
  <c r="I141" i="28" s="1"/>
  <c r="F140" i="28"/>
  <c r="I140" i="28" s="1"/>
  <c r="F143" i="65"/>
  <c r="I143" i="65" s="1"/>
  <c r="F142" i="65"/>
  <c r="I142" i="65" s="1"/>
  <c r="F141" i="65"/>
  <c r="I141" i="65" s="1"/>
  <c r="F140" i="65"/>
  <c r="I140" i="65" s="1"/>
  <c r="F143" i="119"/>
  <c r="I143" i="119" s="1"/>
  <c r="F142" i="119"/>
  <c r="I142" i="119" s="1"/>
  <c r="F141" i="119"/>
  <c r="I141" i="119" s="1"/>
  <c r="F140" i="119"/>
  <c r="I140" i="119" s="1"/>
  <c r="F143" i="25"/>
  <c r="I143" i="25" s="1"/>
  <c r="F142" i="25"/>
  <c r="I142" i="25" s="1"/>
  <c r="F141" i="25"/>
  <c r="I141" i="25" s="1"/>
  <c r="F140" i="25"/>
  <c r="I140" i="25" s="1"/>
  <c r="F143" i="155"/>
  <c r="I143" i="155" s="1"/>
  <c r="F142" i="155"/>
  <c r="I142" i="155" s="1"/>
  <c r="F141" i="155"/>
  <c r="I141" i="155" s="1"/>
  <c r="F140" i="155"/>
  <c r="I140" i="155" s="1"/>
  <c r="F143" i="156"/>
  <c r="I143" i="156" s="1"/>
  <c r="F142" i="156"/>
  <c r="I142" i="156" s="1"/>
  <c r="F141" i="156"/>
  <c r="I141" i="156" s="1"/>
  <c r="F140" i="156"/>
  <c r="I140" i="156" s="1"/>
  <c r="F143" i="20"/>
  <c r="I143" i="20" s="1"/>
  <c r="F142" i="20"/>
  <c r="I142" i="20" s="1"/>
  <c r="F141" i="20"/>
  <c r="I141" i="20" s="1"/>
  <c r="F140" i="20"/>
  <c r="I140" i="20" s="1"/>
  <c r="F143" i="42"/>
  <c r="I143" i="42" s="1"/>
  <c r="F142" i="42"/>
  <c r="I142" i="42" s="1"/>
  <c r="F141" i="42"/>
  <c r="I141" i="42" s="1"/>
  <c r="F140" i="42"/>
  <c r="I140" i="42" s="1"/>
  <c r="F143" i="157"/>
  <c r="I143" i="157" s="1"/>
  <c r="F142" i="157"/>
  <c r="I142" i="157" s="1"/>
  <c r="F141" i="157"/>
  <c r="I141" i="157" s="1"/>
  <c r="F140" i="157"/>
  <c r="I140" i="157" s="1"/>
  <c r="F143" i="159"/>
  <c r="I143" i="159" s="1"/>
  <c r="F142" i="159"/>
  <c r="I142" i="159" s="1"/>
  <c r="F141" i="159"/>
  <c r="I141" i="159" s="1"/>
  <c r="F140" i="159"/>
  <c r="I140" i="159" s="1"/>
  <c r="F143" i="158"/>
  <c r="I143" i="158" s="1"/>
  <c r="F142" i="158"/>
  <c r="I142" i="158" s="1"/>
  <c r="F141" i="158"/>
  <c r="I141" i="158" s="1"/>
  <c r="F140" i="158"/>
  <c r="I140" i="158" s="1"/>
  <c r="F143" i="16"/>
  <c r="I143" i="16" s="1"/>
  <c r="F142" i="16"/>
  <c r="I142" i="16" s="1"/>
  <c r="F141" i="16"/>
  <c r="I141" i="16" s="1"/>
  <c r="F140" i="16"/>
  <c r="I140" i="16" s="1"/>
  <c r="F143" i="27"/>
  <c r="I143" i="27" s="1"/>
  <c r="F142" i="27"/>
  <c r="I142" i="27" s="1"/>
  <c r="F141" i="27"/>
  <c r="I141" i="27" s="1"/>
  <c r="F140" i="27"/>
  <c r="I140" i="27" s="1"/>
  <c r="F143" i="111"/>
  <c r="I143" i="111" s="1"/>
  <c r="F142" i="111"/>
  <c r="I142" i="111" s="1"/>
  <c r="F141" i="111"/>
  <c r="I141" i="111" s="1"/>
  <c r="F140" i="111"/>
  <c r="I140" i="111" s="1"/>
  <c r="F143" i="71"/>
  <c r="I143" i="71" s="1"/>
  <c r="F142" i="71"/>
  <c r="I142" i="71" s="1"/>
  <c r="F141" i="71"/>
  <c r="I141" i="71" s="1"/>
  <c r="F140" i="71"/>
  <c r="I140" i="71" s="1"/>
  <c r="F143" i="165"/>
  <c r="I143" i="165" s="1"/>
  <c r="F142" i="165"/>
  <c r="I142" i="165" s="1"/>
  <c r="F141" i="165"/>
  <c r="I141" i="165" s="1"/>
  <c r="F140" i="165"/>
  <c r="I140" i="165" s="1"/>
  <c r="F143" i="55"/>
  <c r="I143" i="55" s="1"/>
  <c r="F142" i="55"/>
  <c r="I142" i="55" s="1"/>
  <c r="F141" i="55"/>
  <c r="I141" i="55" s="1"/>
  <c r="F140" i="55"/>
  <c r="I140" i="55" s="1"/>
  <c r="F143" i="21"/>
  <c r="I143" i="21" s="1"/>
  <c r="F142" i="21"/>
  <c r="I142" i="21" s="1"/>
  <c r="F141" i="21"/>
  <c r="I141" i="21" s="1"/>
  <c r="F140" i="21"/>
  <c r="I140" i="21" s="1"/>
  <c r="F143" i="14"/>
  <c r="I143" i="14" s="1"/>
  <c r="F142" i="14"/>
  <c r="I142" i="14" s="1"/>
  <c r="F141" i="14"/>
  <c r="I141" i="14" s="1"/>
  <c r="F140" i="14"/>
  <c r="I140" i="14" s="1"/>
  <c r="F143" i="85"/>
  <c r="I143" i="85" s="1"/>
  <c r="F142" i="85"/>
  <c r="I142" i="85" s="1"/>
  <c r="F141" i="85"/>
  <c r="I141" i="85" s="1"/>
  <c r="F140" i="85"/>
  <c r="I140" i="85" s="1"/>
  <c r="F143" i="87"/>
  <c r="I143" i="87" s="1"/>
  <c r="F142" i="87"/>
  <c r="I142" i="87" s="1"/>
  <c r="F141" i="87"/>
  <c r="I141" i="87" s="1"/>
  <c r="F140" i="87"/>
  <c r="I140" i="87" s="1"/>
  <c r="F143" i="86"/>
  <c r="I143" i="86" s="1"/>
  <c r="F142" i="86"/>
  <c r="I142" i="86" s="1"/>
  <c r="F141" i="86"/>
  <c r="I141" i="86" s="1"/>
  <c r="F140" i="86"/>
  <c r="I140" i="86" s="1"/>
  <c r="F143" i="89"/>
  <c r="I143" i="89" s="1"/>
  <c r="F142" i="89"/>
  <c r="I142" i="89" s="1"/>
  <c r="F141" i="89"/>
  <c r="I141" i="89" s="1"/>
  <c r="F140" i="89"/>
  <c r="I140" i="89" s="1"/>
  <c r="F143" i="142"/>
  <c r="I143" i="142" s="1"/>
  <c r="F142" i="142"/>
  <c r="I142" i="142" s="1"/>
  <c r="F141" i="142"/>
  <c r="I141" i="142" s="1"/>
  <c r="F140" i="142"/>
  <c r="I140" i="142" s="1"/>
  <c r="F143" i="92"/>
  <c r="I143" i="92" s="1"/>
  <c r="F142" i="92"/>
  <c r="I142" i="92" s="1"/>
  <c r="F141" i="92"/>
  <c r="I141" i="92" s="1"/>
  <c r="F140" i="92"/>
  <c r="I140" i="92" s="1"/>
  <c r="F143" i="1"/>
  <c r="I143" i="1" s="1"/>
  <c r="F142" i="1"/>
  <c r="I142" i="1" s="1"/>
  <c r="F141" i="1"/>
  <c r="I141" i="1" s="1"/>
  <c r="F140" i="1"/>
  <c r="I140" i="1" s="1"/>
  <c r="F143" i="50"/>
  <c r="I143" i="50" s="1"/>
  <c r="F142" i="50"/>
  <c r="I142" i="50" s="1"/>
  <c r="F141" i="50"/>
  <c r="I141" i="50" s="1"/>
  <c r="F140" i="50"/>
  <c r="I140" i="50" s="1"/>
  <c r="F143" i="95"/>
  <c r="I143" i="95" s="1"/>
  <c r="F142" i="95"/>
  <c r="I142" i="95" s="1"/>
  <c r="F141" i="95"/>
  <c r="I141" i="95" s="1"/>
  <c r="F140" i="95"/>
  <c r="I140" i="95" s="1"/>
  <c r="F143" i="180"/>
  <c r="I143" i="180" s="1"/>
  <c r="F142" i="180"/>
  <c r="I142" i="180" s="1"/>
  <c r="F141" i="180"/>
  <c r="I141" i="180" s="1"/>
  <c r="F140" i="180"/>
  <c r="I140" i="180" s="1"/>
  <c r="F138" i="118"/>
  <c r="I138" i="118" s="1"/>
  <c r="F137" i="118"/>
  <c r="I137" i="118" s="1"/>
  <c r="F136" i="118"/>
  <c r="I136" i="118" s="1"/>
  <c r="F135" i="118"/>
  <c r="I135" i="118" s="1"/>
  <c r="F134" i="118"/>
  <c r="I134" i="118" s="1"/>
  <c r="F138" i="60"/>
  <c r="I138" i="60" s="1"/>
  <c r="F137" i="60"/>
  <c r="I137" i="60" s="1"/>
  <c r="F136" i="60"/>
  <c r="I136" i="60" s="1"/>
  <c r="F135" i="60"/>
  <c r="I135" i="60" s="1"/>
  <c r="F134" i="60"/>
  <c r="I134" i="60" s="1"/>
  <c r="F138" i="106"/>
  <c r="I138" i="106" s="1"/>
  <c r="F137" i="106"/>
  <c r="I137" i="106" s="1"/>
  <c r="F136" i="106"/>
  <c r="I136" i="106" s="1"/>
  <c r="F135" i="106"/>
  <c r="I135" i="106" s="1"/>
  <c r="F134" i="106"/>
  <c r="I134" i="106" s="1"/>
  <c r="F138" i="104"/>
  <c r="I138" i="104" s="1"/>
  <c r="F137" i="104"/>
  <c r="I137" i="104" s="1"/>
  <c r="F136" i="104"/>
  <c r="I136" i="104" s="1"/>
  <c r="F135" i="104"/>
  <c r="I135" i="104" s="1"/>
  <c r="F134" i="104"/>
  <c r="I134" i="104" s="1"/>
  <c r="F138" i="54"/>
  <c r="I138" i="54" s="1"/>
  <c r="F137" i="54"/>
  <c r="I137" i="54" s="1"/>
  <c r="F136" i="54"/>
  <c r="I136" i="54" s="1"/>
  <c r="F135" i="54"/>
  <c r="I135" i="54" s="1"/>
  <c r="F134" i="54"/>
  <c r="I134" i="54" s="1"/>
  <c r="F138" i="181"/>
  <c r="I138" i="181" s="1"/>
  <c r="F137" i="181"/>
  <c r="I137" i="181" s="1"/>
  <c r="F136" i="181"/>
  <c r="I136" i="181" s="1"/>
  <c r="F135" i="181"/>
  <c r="I135" i="181" s="1"/>
  <c r="F134" i="181"/>
  <c r="I134" i="181" s="1"/>
  <c r="F138" i="94"/>
  <c r="I138" i="94" s="1"/>
  <c r="F137" i="94"/>
  <c r="I137" i="94" s="1"/>
  <c r="F136" i="94"/>
  <c r="I136" i="94" s="1"/>
  <c r="F135" i="94"/>
  <c r="I135" i="94" s="1"/>
  <c r="F134" i="94"/>
  <c r="I134" i="94" s="1"/>
  <c r="F138" i="145"/>
  <c r="I138" i="145" s="1"/>
  <c r="F137" i="145"/>
  <c r="I137" i="145" s="1"/>
  <c r="F136" i="145"/>
  <c r="I136" i="145" s="1"/>
  <c r="F135" i="145"/>
  <c r="I135" i="145" s="1"/>
  <c r="F134" i="145"/>
  <c r="I134" i="145" s="1"/>
  <c r="F138" i="33"/>
  <c r="I138" i="33" s="1"/>
  <c r="F137" i="33"/>
  <c r="I137" i="33" s="1"/>
  <c r="F136" i="33"/>
  <c r="I136" i="33" s="1"/>
  <c r="F135" i="33"/>
  <c r="I135" i="33" s="1"/>
  <c r="F134" i="33"/>
  <c r="I134" i="33" s="1"/>
  <c r="F138" i="177"/>
  <c r="I138" i="177" s="1"/>
  <c r="F137" i="177"/>
  <c r="I137" i="177" s="1"/>
  <c r="F136" i="177"/>
  <c r="I136" i="177" s="1"/>
  <c r="F135" i="177"/>
  <c r="I135" i="177" s="1"/>
  <c r="F134" i="177"/>
  <c r="I134" i="177" s="1"/>
  <c r="F138" i="164"/>
  <c r="I138" i="164" s="1"/>
  <c r="F137" i="164"/>
  <c r="I137" i="164" s="1"/>
  <c r="F136" i="164"/>
  <c r="I136" i="164" s="1"/>
  <c r="F135" i="164"/>
  <c r="I135" i="164" s="1"/>
  <c r="F134" i="164"/>
  <c r="I134" i="164" s="1"/>
  <c r="F138" i="19"/>
  <c r="I138" i="19" s="1"/>
  <c r="F137" i="19"/>
  <c r="I137" i="19" s="1"/>
  <c r="F136" i="19"/>
  <c r="I136" i="19" s="1"/>
  <c r="F135" i="19"/>
  <c r="I135" i="19" s="1"/>
  <c r="F134" i="19"/>
  <c r="I134" i="19" s="1"/>
  <c r="F138" i="15"/>
  <c r="I138" i="15" s="1"/>
  <c r="F137" i="15"/>
  <c r="I137" i="15" s="1"/>
  <c r="F136" i="15"/>
  <c r="I136" i="15" s="1"/>
  <c r="F135" i="15"/>
  <c r="I135" i="15" s="1"/>
  <c r="F134" i="15"/>
  <c r="I134" i="15" s="1"/>
  <c r="F138" i="178"/>
  <c r="I138" i="178" s="1"/>
  <c r="F137" i="178"/>
  <c r="I137" i="178" s="1"/>
  <c r="F136" i="178"/>
  <c r="I136" i="178" s="1"/>
  <c r="F135" i="178"/>
  <c r="I135" i="178" s="1"/>
  <c r="F134" i="178"/>
  <c r="I134" i="178" s="1"/>
  <c r="F138" i="150"/>
  <c r="I138" i="150" s="1"/>
  <c r="F137" i="150"/>
  <c r="I137" i="150" s="1"/>
  <c r="F136" i="150"/>
  <c r="I136" i="150" s="1"/>
  <c r="F135" i="150"/>
  <c r="I135" i="150" s="1"/>
  <c r="F134" i="150"/>
  <c r="I134" i="150" s="1"/>
  <c r="F138" i="68"/>
  <c r="I138" i="68" s="1"/>
  <c r="F137" i="68"/>
  <c r="I137" i="68" s="1"/>
  <c r="F136" i="68"/>
  <c r="I136" i="68" s="1"/>
  <c r="F135" i="68"/>
  <c r="I135" i="68" s="1"/>
  <c r="F134" i="68"/>
  <c r="I134" i="68" s="1"/>
  <c r="F138" i="66"/>
  <c r="I138" i="66" s="1"/>
  <c r="F137" i="66"/>
  <c r="I137" i="66" s="1"/>
  <c r="F136" i="66"/>
  <c r="I136" i="66" s="1"/>
  <c r="F135" i="66"/>
  <c r="I135" i="66" s="1"/>
  <c r="F134" i="66"/>
  <c r="I134" i="66" s="1"/>
  <c r="F138" i="63"/>
  <c r="I138" i="63" s="1"/>
  <c r="F137" i="63"/>
  <c r="I137" i="63" s="1"/>
  <c r="F136" i="63"/>
  <c r="I136" i="63" s="1"/>
  <c r="F135" i="63"/>
  <c r="I135" i="63" s="1"/>
  <c r="F134" i="63"/>
  <c r="I134" i="63" s="1"/>
  <c r="F138" i="62"/>
  <c r="I138" i="62" s="1"/>
  <c r="F137" i="62"/>
  <c r="I137" i="62" s="1"/>
  <c r="F136" i="62"/>
  <c r="I136" i="62" s="1"/>
  <c r="F135" i="62"/>
  <c r="I135" i="62" s="1"/>
  <c r="F134" i="62"/>
  <c r="I134" i="62" s="1"/>
  <c r="F138" i="58"/>
  <c r="I138" i="58" s="1"/>
  <c r="F137" i="58"/>
  <c r="I137" i="58" s="1"/>
  <c r="F136" i="58"/>
  <c r="I136" i="58" s="1"/>
  <c r="F135" i="58"/>
  <c r="I135" i="58" s="1"/>
  <c r="F134" i="58"/>
  <c r="I134" i="58" s="1"/>
  <c r="F138" i="136"/>
  <c r="I138" i="136" s="1"/>
  <c r="F137" i="136"/>
  <c r="I137" i="136" s="1"/>
  <c r="F136" i="136"/>
  <c r="I136" i="136" s="1"/>
  <c r="F135" i="136"/>
  <c r="I135" i="136" s="1"/>
  <c r="F134" i="136"/>
  <c r="I134" i="136" s="1"/>
  <c r="F138" i="141"/>
  <c r="I138" i="141" s="1"/>
  <c r="F137" i="141"/>
  <c r="I137" i="141" s="1"/>
  <c r="F136" i="141"/>
  <c r="I136" i="141" s="1"/>
  <c r="F135" i="141"/>
  <c r="I135" i="141" s="1"/>
  <c r="F134" i="141"/>
  <c r="I134" i="141" s="1"/>
  <c r="F138" i="174"/>
  <c r="I138" i="174" s="1"/>
  <c r="F137" i="174"/>
  <c r="I137" i="174" s="1"/>
  <c r="F136" i="174"/>
  <c r="I136" i="174" s="1"/>
  <c r="F135" i="174"/>
  <c r="I135" i="174" s="1"/>
  <c r="F134" i="174"/>
  <c r="I134" i="174" s="1"/>
  <c r="F138" i="53"/>
  <c r="I138" i="53" s="1"/>
  <c r="F137" i="53"/>
  <c r="I137" i="53" s="1"/>
  <c r="F136" i="53"/>
  <c r="I136" i="53" s="1"/>
  <c r="F135" i="53"/>
  <c r="I135" i="53" s="1"/>
  <c r="F134" i="53"/>
  <c r="I134" i="53" s="1"/>
  <c r="F138" i="98"/>
  <c r="I138" i="98" s="1"/>
  <c r="F137" i="98"/>
  <c r="I137" i="98" s="1"/>
  <c r="F136" i="98"/>
  <c r="I136" i="98" s="1"/>
  <c r="F135" i="98"/>
  <c r="I135" i="98" s="1"/>
  <c r="F134" i="98"/>
  <c r="I134" i="98" s="1"/>
  <c r="F138" i="49"/>
  <c r="I138" i="49" s="1"/>
  <c r="F137" i="49"/>
  <c r="I137" i="49" s="1"/>
  <c r="F136" i="49"/>
  <c r="I136" i="49" s="1"/>
  <c r="F135" i="49"/>
  <c r="I135" i="49" s="1"/>
  <c r="F134" i="49"/>
  <c r="I134" i="49" s="1"/>
  <c r="F138" i="83"/>
  <c r="F137" i="83"/>
  <c r="F136" i="83"/>
  <c r="F135" i="83"/>
  <c r="F134" i="83"/>
  <c r="F138" i="46"/>
  <c r="I138" i="46" s="1"/>
  <c r="F137" i="46"/>
  <c r="I137" i="46" s="1"/>
  <c r="F136" i="46"/>
  <c r="I136" i="46" s="1"/>
  <c r="F135" i="46"/>
  <c r="I135" i="46" s="1"/>
  <c r="F134" i="46"/>
  <c r="I134" i="46" s="1"/>
  <c r="F138" i="102"/>
  <c r="I138" i="102" s="1"/>
  <c r="F137" i="102"/>
  <c r="I137" i="102" s="1"/>
  <c r="F136" i="102"/>
  <c r="I136" i="102" s="1"/>
  <c r="F135" i="102"/>
  <c r="I135" i="102" s="1"/>
  <c r="F134" i="102"/>
  <c r="I134" i="102" s="1"/>
  <c r="F138" i="43"/>
  <c r="I138" i="43" s="1"/>
  <c r="F137" i="43"/>
  <c r="I137" i="43" s="1"/>
  <c r="F136" i="43"/>
  <c r="I136" i="43" s="1"/>
  <c r="F135" i="43"/>
  <c r="I135" i="43" s="1"/>
  <c r="F134" i="43"/>
  <c r="I134" i="43" s="1"/>
  <c r="F138" i="175"/>
  <c r="I138" i="175" s="1"/>
  <c r="F137" i="175"/>
  <c r="I137" i="175" s="1"/>
  <c r="F136" i="175"/>
  <c r="I136" i="175" s="1"/>
  <c r="F135" i="175"/>
  <c r="I135" i="175" s="1"/>
  <c r="F134" i="175"/>
  <c r="I134" i="175" s="1"/>
  <c r="F138" i="57"/>
  <c r="I138" i="57" s="1"/>
  <c r="F137" i="57"/>
  <c r="I137" i="57" s="1"/>
  <c r="F136" i="57"/>
  <c r="I136" i="57" s="1"/>
  <c r="F135" i="57"/>
  <c r="I135" i="57" s="1"/>
  <c r="F134" i="57"/>
  <c r="I134" i="57" s="1"/>
  <c r="F138" i="84"/>
  <c r="I138" i="84" s="1"/>
  <c r="F137" i="84"/>
  <c r="I137" i="84" s="1"/>
  <c r="F136" i="84"/>
  <c r="I136" i="84" s="1"/>
  <c r="F135" i="84"/>
  <c r="I135" i="84" s="1"/>
  <c r="F134" i="84"/>
  <c r="I134" i="84" s="1"/>
  <c r="F138" i="167"/>
  <c r="I138" i="167" s="1"/>
  <c r="F137" i="167"/>
  <c r="I137" i="167" s="1"/>
  <c r="F136" i="167"/>
  <c r="I136" i="167" s="1"/>
  <c r="F135" i="167"/>
  <c r="I135" i="167" s="1"/>
  <c r="F134" i="167"/>
  <c r="I134" i="167" s="1"/>
  <c r="F138" i="39"/>
  <c r="I138" i="39" s="1"/>
  <c r="F137" i="39"/>
  <c r="I137" i="39" s="1"/>
  <c r="F136" i="39"/>
  <c r="I136" i="39" s="1"/>
  <c r="F135" i="39"/>
  <c r="I135" i="39" s="1"/>
  <c r="F134" i="39"/>
  <c r="I134" i="39" s="1"/>
  <c r="F138" i="135"/>
  <c r="I138" i="135" s="1"/>
  <c r="F137" i="135"/>
  <c r="I137" i="135" s="1"/>
  <c r="F136" i="135"/>
  <c r="I136" i="135" s="1"/>
  <c r="F135" i="135"/>
  <c r="I135" i="135" s="1"/>
  <c r="F134" i="135"/>
  <c r="I134" i="135" s="1"/>
  <c r="F138" i="38"/>
  <c r="I138" i="38" s="1"/>
  <c r="F137" i="38"/>
  <c r="I137" i="38" s="1"/>
  <c r="F136" i="38"/>
  <c r="I136" i="38" s="1"/>
  <c r="F135" i="38"/>
  <c r="I135" i="38" s="1"/>
  <c r="F134" i="38"/>
  <c r="I134" i="38" s="1"/>
  <c r="F138" i="103"/>
  <c r="I138" i="103" s="1"/>
  <c r="F137" i="103"/>
  <c r="I137" i="103" s="1"/>
  <c r="F136" i="103"/>
  <c r="I136" i="103" s="1"/>
  <c r="F135" i="103"/>
  <c r="I135" i="103" s="1"/>
  <c r="F134" i="103"/>
  <c r="I134" i="103" s="1"/>
  <c r="F138" i="133"/>
  <c r="I138" i="133" s="1"/>
  <c r="F137" i="133"/>
  <c r="I137" i="133" s="1"/>
  <c r="F136" i="133"/>
  <c r="I136" i="133" s="1"/>
  <c r="F135" i="133"/>
  <c r="I135" i="133" s="1"/>
  <c r="F134" i="133"/>
  <c r="I134" i="133" s="1"/>
  <c r="F138" i="152"/>
  <c r="I138" i="152" s="1"/>
  <c r="F137" i="152"/>
  <c r="I137" i="152" s="1"/>
  <c r="F136" i="152"/>
  <c r="I136" i="152" s="1"/>
  <c r="F135" i="152"/>
  <c r="I135" i="152" s="1"/>
  <c r="F134" i="152"/>
  <c r="I134" i="152" s="1"/>
  <c r="F138" i="47"/>
  <c r="I138" i="47" s="1"/>
  <c r="F137" i="47"/>
  <c r="I137" i="47" s="1"/>
  <c r="F136" i="47"/>
  <c r="I136" i="47" s="1"/>
  <c r="F135" i="47"/>
  <c r="I135" i="47" s="1"/>
  <c r="F134" i="47"/>
  <c r="I134" i="47" s="1"/>
  <c r="F138" i="120"/>
  <c r="I138" i="120" s="1"/>
  <c r="F137" i="120"/>
  <c r="I137" i="120" s="1"/>
  <c r="F136" i="120"/>
  <c r="I136" i="120" s="1"/>
  <c r="F135" i="120"/>
  <c r="I135" i="120" s="1"/>
  <c r="F134" i="120"/>
  <c r="I134" i="120" s="1"/>
  <c r="F138" i="37"/>
  <c r="I138" i="37" s="1"/>
  <c r="F137" i="37"/>
  <c r="I137" i="37" s="1"/>
  <c r="F136" i="37"/>
  <c r="I136" i="37" s="1"/>
  <c r="F135" i="37"/>
  <c r="I135" i="37" s="1"/>
  <c r="F134" i="37"/>
  <c r="I134" i="37" s="1"/>
  <c r="F138" i="90"/>
  <c r="I138" i="90" s="1"/>
  <c r="F137" i="90"/>
  <c r="I137" i="90" s="1"/>
  <c r="F136" i="90"/>
  <c r="I136" i="90" s="1"/>
  <c r="F135" i="90"/>
  <c r="I135" i="90" s="1"/>
  <c r="F134" i="90"/>
  <c r="I134" i="90" s="1"/>
  <c r="F138" i="24"/>
  <c r="I138" i="24" s="1"/>
  <c r="F137" i="24"/>
  <c r="I137" i="24" s="1"/>
  <c r="F136" i="24"/>
  <c r="I136" i="24" s="1"/>
  <c r="F135" i="24"/>
  <c r="I135" i="24" s="1"/>
  <c r="F134" i="24"/>
  <c r="I134" i="24" s="1"/>
  <c r="F138" i="32"/>
  <c r="I138" i="32" s="1"/>
  <c r="F137" i="32"/>
  <c r="I137" i="32" s="1"/>
  <c r="F136" i="32"/>
  <c r="I136" i="32" s="1"/>
  <c r="F135" i="32"/>
  <c r="I135" i="32" s="1"/>
  <c r="F134" i="32"/>
  <c r="I134" i="32" s="1"/>
  <c r="F138" i="79"/>
  <c r="I138" i="79" s="1"/>
  <c r="F137" i="79"/>
  <c r="I137" i="79" s="1"/>
  <c r="F136" i="79"/>
  <c r="I136" i="79" s="1"/>
  <c r="F135" i="79"/>
  <c r="I135" i="79" s="1"/>
  <c r="F134" i="79"/>
  <c r="I134" i="79" s="1"/>
  <c r="F138" i="31"/>
  <c r="I138" i="31" s="1"/>
  <c r="F137" i="31"/>
  <c r="I137" i="31" s="1"/>
  <c r="F136" i="31"/>
  <c r="I136" i="31" s="1"/>
  <c r="F135" i="31"/>
  <c r="I135" i="31" s="1"/>
  <c r="F134" i="31"/>
  <c r="I134" i="31" s="1"/>
  <c r="F138" i="64"/>
  <c r="I138" i="64" s="1"/>
  <c r="F137" i="64"/>
  <c r="I137" i="64" s="1"/>
  <c r="F136" i="64"/>
  <c r="I136" i="64" s="1"/>
  <c r="F135" i="64"/>
  <c r="I135" i="64" s="1"/>
  <c r="F134" i="64"/>
  <c r="I134" i="64" s="1"/>
  <c r="F138" i="113"/>
  <c r="I138" i="113" s="1"/>
  <c r="F137" i="113"/>
  <c r="I137" i="113" s="1"/>
  <c r="F136" i="113"/>
  <c r="I136" i="113" s="1"/>
  <c r="F135" i="113"/>
  <c r="I135" i="113" s="1"/>
  <c r="F134" i="113"/>
  <c r="I134" i="113" s="1"/>
  <c r="F138" i="72"/>
  <c r="I138" i="72" s="1"/>
  <c r="F137" i="72"/>
  <c r="I137" i="72" s="1"/>
  <c r="F136" i="72"/>
  <c r="I136" i="72" s="1"/>
  <c r="F135" i="72"/>
  <c r="I135" i="72" s="1"/>
  <c r="F134" i="72"/>
  <c r="I134" i="72" s="1"/>
  <c r="F138" i="28"/>
  <c r="I138" i="28" s="1"/>
  <c r="F137" i="28"/>
  <c r="I137" i="28" s="1"/>
  <c r="F136" i="28"/>
  <c r="I136" i="28" s="1"/>
  <c r="F135" i="28"/>
  <c r="I135" i="28" s="1"/>
  <c r="F134" i="28"/>
  <c r="I134" i="28" s="1"/>
  <c r="F138" i="65"/>
  <c r="I138" i="65" s="1"/>
  <c r="F137" i="65"/>
  <c r="I137" i="65" s="1"/>
  <c r="F136" i="65"/>
  <c r="I136" i="65" s="1"/>
  <c r="F135" i="65"/>
  <c r="I135" i="65" s="1"/>
  <c r="F134" i="65"/>
  <c r="I134" i="65" s="1"/>
  <c r="F138" i="119"/>
  <c r="I138" i="119" s="1"/>
  <c r="F137" i="119"/>
  <c r="I137" i="119" s="1"/>
  <c r="F136" i="119"/>
  <c r="I136" i="119" s="1"/>
  <c r="F135" i="119"/>
  <c r="I135" i="119" s="1"/>
  <c r="F134" i="119"/>
  <c r="I134" i="119" s="1"/>
  <c r="F138" i="25"/>
  <c r="I138" i="25" s="1"/>
  <c r="F137" i="25"/>
  <c r="I137" i="25" s="1"/>
  <c r="F136" i="25"/>
  <c r="I136" i="25" s="1"/>
  <c r="F135" i="25"/>
  <c r="I135" i="25" s="1"/>
  <c r="F134" i="25"/>
  <c r="I134" i="25" s="1"/>
  <c r="F138" i="155"/>
  <c r="I138" i="155" s="1"/>
  <c r="F137" i="155"/>
  <c r="I137" i="155" s="1"/>
  <c r="F136" i="155"/>
  <c r="I136" i="155" s="1"/>
  <c r="F135" i="155"/>
  <c r="I135" i="155" s="1"/>
  <c r="F134" i="155"/>
  <c r="I134" i="155" s="1"/>
  <c r="F138" i="156"/>
  <c r="I138" i="156" s="1"/>
  <c r="F137" i="156"/>
  <c r="I137" i="156" s="1"/>
  <c r="F136" i="156"/>
  <c r="I136" i="156" s="1"/>
  <c r="F135" i="156"/>
  <c r="I135" i="156" s="1"/>
  <c r="F134" i="156"/>
  <c r="I134" i="156" s="1"/>
  <c r="F138" i="20"/>
  <c r="I138" i="20" s="1"/>
  <c r="F137" i="20"/>
  <c r="I137" i="20" s="1"/>
  <c r="F136" i="20"/>
  <c r="I136" i="20" s="1"/>
  <c r="F135" i="20"/>
  <c r="I135" i="20" s="1"/>
  <c r="F134" i="20"/>
  <c r="I134" i="20" s="1"/>
  <c r="F138" i="42"/>
  <c r="I138" i="42" s="1"/>
  <c r="F137" i="42"/>
  <c r="I137" i="42" s="1"/>
  <c r="F136" i="42"/>
  <c r="I136" i="42" s="1"/>
  <c r="F135" i="42"/>
  <c r="I135" i="42" s="1"/>
  <c r="F134" i="42"/>
  <c r="I134" i="42" s="1"/>
  <c r="F138" i="157"/>
  <c r="I138" i="157" s="1"/>
  <c r="F137" i="157"/>
  <c r="I137" i="157" s="1"/>
  <c r="F136" i="157"/>
  <c r="I136" i="157" s="1"/>
  <c r="F135" i="157"/>
  <c r="I135" i="157" s="1"/>
  <c r="F134" i="157"/>
  <c r="I134" i="157" s="1"/>
  <c r="F138" i="159"/>
  <c r="I138" i="159" s="1"/>
  <c r="F137" i="159"/>
  <c r="I137" i="159" s="1"/>
  <c r="F136" i="159"/>
  <c r="I136" i="159" s="1"/>
  <c r="F135" i="159"/>
  <c r="I135" i="159" s="1"/>
  <c r="F134" i="159"/>
  <c r="I134" i="159" s="1"/>
  <c r="F138" i="158"/>
  <c r="I138" i="158" s="1"/>
  <c r="F137" i="158"/>
  <c r="I137" i="158" s="1"/>
  <c r="F136" i="158"/>
  <c r="I136" i="158" s="1"/>
  <c r="F135" i="158"/>
  <c r="I135" i="158" s="1"/>
  <c r="F134" i="158"/>
  <c r="I134" i="158" s="1"/>
  <c r="F138" i="16"/>
  <c r="I138" i="16" s="1"/>
  <c r="F137" i="16"/>
  <c r="I137" i="16" s="1"/>
  <c r="F136" i="16"/>
  <c r="I136" i="16" s="1"/>
  <c r="F135" i="16"/>
  <c r="I135" i="16" s="1"/>
  <c r="F134" i="16"/>
  <c r="I134" i="16" s="1"/>
  <c r="F138" i="27"/>
  <c r="I138" i="27" s="1"/>
  <c r="F137" i="27"/>
  <c r="I137" i="27" s="1"/>
  <c r="F136" i="27"/>
  <c r="I136" i="27" s="1"/>
  <c r="F135" i="27"/>
  <c r="I135" i="27" s="1"/>
  <c r="F134" i="27"/>
  <c r="I134" i="27" s="1"/>
  <c r="F138" i="111"/>
  <c r="I138" i="111" s="1"/>
  <c r="F137" i="111"/>
  <c r="I137" i="111" s="1"/>
  <c r="F136" i="111"/>
  <c r="I136" i="111" s="1"/>
  <c r="F135" i="111"/>
  <c r="I135" i="111" s="1"/>
  <c r="F134" i="111"/>
  <c r="I134" i="111" s="1"/>
  <c r="F138" i="71"/>
  <c r="I138" i="71" s="1"/>
  <c r="F137" i="71"/>
  <c r="I137" i="71" s="1"/>
  <c r="F136" i="71"/>
  <c r="I136" i="71" s="1"/>
  <c r="F135" i="71"/>
  <c r="I135" i="71" s="1"/>
  <c r="F134" i="71"/>
  <c r="I134" i="71" s="1"/>
  <c r="F138" i="165"/>
  <c r="I138" i="165" s="1"/>
  <c r="F137" i="165"/>
  <c r="I137" i="165" s="1"/>
  <c r="F136" i="165"/>
  <c r="I136" i="165" s="1"/>
  <c r="F135" i="165"/>
  <c r="I135" i="165" s="1"/>
  <c r="F134" i="165"/>
  <c r="I134" i="165" s="1"/>
  <c r="F138" i="55"/>
  <c r="I138" i="55" s="1"/>
  <c r="F137" i="55"/>
  <c r="I137" i="55" s="1"/>
  <c r="F136" i="55"/>
  <c r="I136" i="55" s="1"/>
  <c r="F135" i="55"/>
  <c r="I135" i="55" s="1"/>
  <c r="F134" i="55"/>
  <c r="I134" i="55" s="1"/>
  <c r="F138" i="21"/>
  <c r="I138" i="21" s="1"/>
  <c r="F137" i="21"/>
  <c r="I137" i="21" s="1"/>
  <c r="F136" i="21"/>
  <c r="I136" i="21" s="1"/>
  <c r="F135" i="21"/>
  <c r="I135" i="21" s="1"/>
  <c r="F134" i="21"/>
  <c r="I134" i="21" s="1"/>
  <c r="F138" i="14"/>
  <c r="I138" i="14" s="1"/>
  <c r="F137" i="14"/>
  <c r="I137" i="14" s="1"/>
  <c r="F136" i="14"/>
  <c r="I136" i="14" s="1"/>
  <c r="F135" i="14"/>
  <c r="I135" i="14" s="1"/>
  <c r="F134" i="14"/>
  <c r="I134" i="14" s="1"/>
  <c r="F138" i="85"/>
  <c r="I138" i="85" s="1"/>
  <c r="F137" i="85"/>
  <c r="I137" i="85" s="1"/>
  <c r="F136" i="85"/>
  <c r="I136" i="85" s="1"/>
  <c r="F135" i="85"/>
  <c r="I135" i="85" s="1"/>
  <c r="F134" i="85"/>
  <c r="I134" i="85" s="1"/>
  <c r="F138" i="87"/>
  <c r="I138" i="87" s="1"/>
  <c r="F137" i="87"/>
  <c r="I137" i="87" s="1"/>
  <c r="F136" i="87"/>
  <c r="I136" i="87" s="1"/>
  <c r="F135" i="87"/>
  <c r="I135" i="87" s="1"/>
  <c r="F134" i="87"/>
  <c r="I134" i="87" s="1"/>
  <c r="F138" i="86"/>
  <c r="I138" i="86" s="1"/>
  <c r="F137" i="86"/>
  <c r="I137" i="86" s="1"/>
  <c r="F136" i="86"/>
  <c r="I136" i="86" s="1"/>
  <c r="F135" i="86"/>
  <c r="I135" i="86" s="1"/>
  <c r="F134" i="86"/>
  <c r="I134" i="86" s="1"/>
  <c r="F138" i="89"/>
  <c r="I138" i="89" s="1"/>
  <c r="F137" i="89"/>
  <c r="I137" i="89" s="1"/>
  <c r="F136" i="89"/>
  <c r="I136" i="89" s="1"/>
  <c r="F135" i="89"/>
  <c r="I135" i="89" s="1"/>
  <c r="F134" i="89"/>
  <c r="I134" i="89" s="1"/>
  <c r="F138" i="142"/>
  <c r="I138" i="142" s="1"/>
  <c r="F137" i="142"/>
  <c r="I137" i="142" s="1"/>
  <c r="F136" i="142"/>
  <c r="I136" i="142" s="1"/>
  <c r="F135" i="142"/>
  <c r="I135" i="142" s="1"/>
  <c r="F134" i="142"/>
  <c r="I134" i="142" s="1"/>
  <c r="F138" i="92"/>
  <c r="I138" i="92" s="1"/>
  <c r="F137" i="92"/>
  <c r="I137" i="92" s="1"/>
  <c r="F136" i="92"/>
  <c r="I136" i="92" s="1"/>
  <c r="F135" i="92"/>
  <c r="I135" i="92" s="1"/>
  <c r="F134" i="92"/>
  <c r="I134" i="92" s="1"/>
  <c r="F138" i="1"/>
  <c r="I138" i="1" s="1"/>
  <c r="F137" i="1"/>
  <c r="I137" i="1" s="1"/>
  <c r="F136" i="1"/>
  <c r="I136" i="1" s="1"/>
  <c r="F135" i="1"/>
  <c r="I135" i="1" s="1"/>
  <c r="F134" i="1"/>
  <c r="I134" i="1" s="1"/>
  <c r="F138" i="50"/>
  <c r="I138" i="50" s="1"/>
  <c r="F137" i="50"/>
  <c r="I137" i="50" s="1"/>
  <c r="F136" i="50"/>
  <c r="I136" i="50" s="1"/>
  <c r="F135" i="50"/>
  <c r="I135" i="50" s="1"/>
  <c r="F134" i="50"/>
  <c r="I134" i="50" s="1"/>
  <c r="F138" i="95"/>
  <c r="I138" i="95" s="1"/>
  <c r="F137" i="95"/>
  <c r="I137" i="95" s="1"/>
  <c r="F136" i="95"/>
  <c r="I136" i="95" s="1"/>
  <c r="F135" i="95"/>
  <c r="I135" i="95" s="1"/>
  <c r="F134" i="95"/>
  <c r="I134" i="95" s="1"/>
  <c r="F138" i="180"/>
  <c r="I138" i="180" s="1"/>
  <c r="F137" i="180"/>
  <c r="I137" i="180" s="1"/>
  <c r="F136" i="180"/>
  <c r="I136" i="180" s="1"/>
  <c r="F135" i="180"/>
  <c r="I135" i="180" s="1"/>
  <c r="F134" i="180"/>
  <c r="I134" i="180" s="1"/>
  <c r="F132" i="118"/>
  <c r="I132" i="118" s="1"/>
  <c r="F131" i="118"/>
  <c r="I131" i="118" s="1"/>
  <c r="F130" i="118"/>
  <c r="I130" i="118" s="1"/>
  <c r="F129" i="118"/>
  <c r="I129" i="118" s="1"/>
  <c r="F128" i="118"/>
  <c r="I128" i="118" s="1"/>
  <c r="F132" i="60"/>
  <c r="I132" i="60" s="1"/>
  <c r="F131" i="60"/>
  <c r="I131" i="60" s="1"/>
  <c r="F130" i="60"/>
  <c r="I130" i="60" s="1"/>
  <c r="F129" i="60"/>
  <c r="I129" i="60" s="1"/>
  <c r="F128" i="60"/>
  <c r="I128" i="60" s="1"/>
  <c r="F132" i="106"/>
  <c r="I132" i="106" s="1"/>
  <c r="F131" i="106"/>
  <c r="I131" i="106" s="1"/>
  <c r="F130" i="106"/>
  <c r="I130" i="106" s="1"/>
  <c r="F129" i="106"/>
  <c r="I129" i="106" s="1"/>
  <c r="F128" i="106"/>
  <c r="F132" i="104"/>
  <c r="I132" i="104" s="1"/>
  <c r="F131" i="104"/>
  <c r="I131" i="104" s="1"/>
  <c r="F130" i="104"/>
  <c r="I130" i="104" s="1"/>
  <c r="F129" i="104"/>
  <c r="I129" i="104" s="1"/>
  <c r="F128" i="104"/>
  <c r="I128" i="104" s="1"/>
  <c r="F132" i="54"/>
  <c r="I132" i="54" s="1"/>
  <c r="F131" i="54"/>
  <c r="I131" i="54" s="1"/>
  <c r="F130" i="54"/>
  <c r="I130" i="54" s="1"/>
  <c r="F129" i="54"/>
  <c r="I129" i="54" s="1"/>
  <c r="F128" i="54"/>
  <c r="I128" i="54" s="1"/>
  <c r="F132" i="181"/>
  <c r="I132" i="181" s="1"/>
  <c r="F131" i="181"/>
  <c r="I131" i="181" s="1"/>
  <c r="F130" i="181"/>
  <c r="I130" i="181" s="1"/>
  <c r="F129" i="181"/>
  <c r="I129" i="181" s="1"/>
  <c r="F128" i="181"/>
  <c r="I128" i="181" s="1"/>
  <c r="F132" i="94"/>
  <c r="I132" i="94" s="1"/>
  <c r="F131" i="94"/>
  <c r="I131" i="94" s="1"/>
  <c r="F130" i="94"/>
  <c r="I130" i="94" s="1"/>
  <c r="F129" i="94"/>
  <c r="I129" i="94" s="1"/>
  <c r="F128" i="94"/>
  <c r="I128" i="94" s="1"/>
  <c r="F132" i="145"/>
  <c r="I132" i="145" s="1"/>
  <c r="F131" i="145"/>
  <c r="I131" i="145" s="1"/>
  <c r="F130" i="145"/>
  <c r="I130" i="145" s="1"/>
  <c r="F129" i="145"/>
  <c r="I129" i="145" s="1"/>
  <c r="F128" i="145"/>
  <c r="I128" i="145" s="1"/>
  <c r="F132" i="33"/>
  <c r="I132" i="33" s="1"/>
  <c r="F131" i="33"/>
  <c r="I131" i="33" s="1"/>
  <c r="F130" i="33"/>
  <c r="I130" i="33" s="1"/>
  <c r="F129" i="33"/>
  <c r="I129" i="33" s="1"/>
  <c r="F128" i="33"/>
  <c r="I128" i="33" s="1"/>
  <c r="F132" i="177"/>
  <c r="I132" i="177" s="1"/>
  <c r="F131" i="177"/>
  <c r="I131" i="177" s="1"/>
  <c r="F130" i="177"/>
  <c r="I130" i="177" s="1"/>
  <c r="F129" i="177"/>
  <c r="I129" i="177" s="1"/>
  <c r="F128" i="177"/>
  <c r="I128" i="177" s="1"/>
  <c r="F132" i="164"/>
  <c r="I132" i="164" s="1"/>
  <c r="F131" i="164"/>
  <c r="I131" i="164" s="1"/>
  <c r="F130" i="164"/>
  <c r="I130" i="164" s="1"/>
  <c r="F129" i="164"/>
  <c r="I129" i="164" s="1"/>
  <c r="F128" i="164"/>
  <c r="I128" i="164" s="1"/>
  <c r="F132" i="19"/>
  <c r="I132" i="19" s="1"/>
  <c r="F131" i="19"/>
  <c r="I131" i="19" s="1"/>
  <c r="F130" i="19"/>
  <c r="I130" i="19" s="1"/>
  <c r="F129" i="19"/>
  <c r="I129" i="19" s="1"/>
  <c r="F128" i="19"/>
  <c r="I128" i="19" s="1"/>
  <c r="F132" i="15"/>
  <c r="I132" i="15" s="1"/>
  <c r="F131" i="15"/>
  <c r="I131" i="15" s="1"/>
  <c r="F130" i="15"/>
  <c r="I130" i="15" s="1"/>
  <c r="F129" i="15"/>
  <c r="I129" i="15" s="1"/>
  <c r="F128" i="15"/>
  <c r="I128" i="15" s="1"/>
  <c r="F132" i="178"/>
  <c r="I132" i="178" s="1"/>
  <c r="F131" i="178"/>
  <c r="I131" i="178" s="1"/>
  <c r="F130" i="178"/>
  <c r="I130" i="178" s="1"/>
  <c r="F129" i="178"/>
  <c r="I129" i="178" s="1"/>
  <c r="F128" i="178"/>
  <c r="I128" i="178" s="1"/>
  <c r="F132" i="150"/>
  <c r="I132" i="150" s="1"/>
  <c r="F131" i="150"/>
  <c r="I131" i="150" s="1"/>
  <c r="F130" i="150"/>
  <c r="I130" i="150" s="1"/>
  <c r="F129" i="150"/>
  <c r="I129" i="150" s="1"/>
  <c r="F128" i="150"/>
  <c r="I128" i="150" s="1"/>
  <c r="F132" i="68"/>
  <c r="I132" i="68" s="1"/>
  <c r="F131" i="68"/>
  <c r="I131" i="68" s="1"/>
  <c r="F130" i="68"/>
  <c r="I130" i="68" s="1"/>
  <c r="F129" i="68"/>
  <c r="I129" i="68" s="1"/>
  <c r="F128" i="68"/>
  <c r="I128" i="68" s="1"/>
  <c r="F132" i="66"/>
  <c r="I132" i="66" s="1"/>
  <c r="F131" i="66"/>
  <c r="I131" i="66" s="1"/>
  <c r="F130" i="66"/>
  <c r="I130" i="66" s="1"/>
  <c r="F129" i="66"/>
  <c r="I129" i="66" s="1"/>
  <c r="F128" i="66"/>
  <c r="I128" i="66" s="1"/>
  <c r="F132" i="63"/>
  <c r="I132" i="63" s="1"/>
  <c r="F131" i="63"/>
  <c r="I131" i="63" s="1"/>
  <c r="F130" i="63"/>
  <c r="I130" i="63" s="1"/>
  <c r="F129" i="63"/>
  <c r="I129" i="63" s="1"/>
  <c r="F128" i="63"/>
  <c r="I128" i="63" s="1"/>
  <c r="F132" i="62"/>
  <c r="I132" i="62" s="1"/>
  <c r="F131" i="62"/>
  <c r="I131" i="62" s="1"/>
  <c r="F130" i="62"/>
  <c r="I130" i="62" s="1"/>
  <c r="F129" i="62"/>
  <c r="I129" i="62" s="1"/>
  <c r="F128" i="62"/>
  <c r="I128" i="62" s="1"/>
  <c r="F132" i="58"/>
  <c r="I132" i="58" s="1"/>
  <c r="F131" i="58"/>
  <c r="I131" i="58" s="1"/>
  <c r="F130" i="58"/>
  <c r="I130" i="58" s="1"/>
  <c r="F129" i="58"/>
  <c r="I129" i="58" s="1"/>
  <c r="F128" i="58"/>
  <c r="I128" i="58" s="1"/>
  <c r="F132" i="136"/>
  <c r="I132" i="136" s="1"/>
  <c r="F131" i="136"/>
  <c r="I131" i="136" s="1"/>
  <c r="F130" i="136"/>
  <c r="I130" i="136" s="1"/>
  <c r="F129" i="136"/>
  <c r="I129" i="136" s="1"/>
  <c r="F128" i="136"/>
  <c r="I128" i="136" s="1"/>
  <c r="F132" i="141"/>
  <c r="I132" i="141" s="1"/>
  <c r="F131" i="141"/>
  <c r="I131" i="141" s="1"/>
  <c r="F130" i="141"/>
  <c r="I130" i="141" s="1"/>
  <c r="F129" i="141"/>
  <c r="I129" i="141" s="1"/>
  <c r="F128" i="141"/>
  <c r="I128" i="141" s="1"/>
  <c r="F132" i="174"/>
  <c r="I132" i="174" s="1"/>
  <c r="F131" i="174"/>
  <c r="I131" i="174" s="1"/>
  <c r="F130" i="174"/>
  <c r="I130" i="174" s="1"/>
  <c r="F129" i="174"/>
  <c r="I129" i="174" s="1"/>
  <c r="F128" i="174"/>
  <c r="I128" i="174" s="1"/>
  <c r="F132" i="53"/>
  <c r="I132" i="53" s="1"/>
  <c r="F131" i="53"/>
  <c r="I131" i="53" s="1"/>
  <c r="F130" i="53"/>
  <c r="I130" i="53" s="1"/>
  <c r="F129" i="53"/>
  <c r="I129" i="53" s="1"/>
  <c r="F128" i="53"/>
  <c r="I128" i="53" s="1"/>
  <c r="F132" i="98"/>
  <c r="I132" i="98" s="1"/>
  <c r="F131" i="98"/>
  <c r="I131" i="98" s="1"/>
  <c r="F130" i="98"/>
  <c r="I130" i="98" s="1"/>
  <c r="F129" i="98"/>
  <c r="I129" i="98" s="1"/>
  <c r="F128" i="98"/>
  <c r="I128" i="98" s="1"/>
  <c r="F132" i="49"/>
  <c r="I132" i="49" s="1"/>
  <c r="F131" i="49"/>
  <c r="I131" i="49" s="1"/>
  <c r="F130" i="49"/>
  <c r="I130" i="49" s="1"/>
  <c r="F129" i="49"/>
  <c r="I129" i="49" s="1"/>
  <c r="F128" i="49"/>
  <c r="I128" i="49" s="1"/>
  <c r="F132" i="83"/>
  <c r="F131" i="83"/>
  <c r="F130" i="83"/>
  <c r="F129" i="83"/>
  <c r="F128" i="83"/>
  <c r="F132" i="46"/>
  <c r="I132" i="46" s="1"/>
  <c r="F131" i="46"/>
  <c r="I131" i="46" s="1"/>
  <c r="F130" i="46"/>
  <c r="I130" i="46" s="1"/>
  <c r="F129" i="46"/>
  <c r="I129" i="46" s="1"/>
  <c r="F128" i="46"/>
  <c r="I128" i="46" s="1"/>
  <c r="F132" i="102"/>
  <c r="I132" i="102" s="1"/>
  <c r="F131" i="102"/>
  <c r="I131" i="102" s="1"/>
  <c r="F130" i="102"/>
  <c r="I130" i="102" s="1"/>
  <c r="F129" i="102"/>
  <c r="I129" i="102" s="1"/>
  <c r="F128" i="102"/>
  <c r="I128" i="102" s="1"/>
  <c r="F132" i="43"/>
  <c r="I132" i="43" s="1"/>
  <c r="F131" i="43"/>
  <c r="I131" i="43" s="1"/>
  <c r="F130" i="43"/>
  <c r="I130" i="43" s="1"/>
  <c r="F129" i="43"/>
  <c r="I129" i="43" s="1"/>
  <c r="F128" i="43"/>
  <c r="I128" i="43" s="1"/>
  <c r="F132" i="175"/>
  <c r="I132" i="175" s="1"/>
  <c r="F131" i="175"/>
  <c r="I131" i="175" s="1"/>
  <c r="F130" i="175"/>
  <c r="I130" i="175" s="1"/>
  <c r="F129" i="175"/>
  <c r="I129" i="175" s="1"/>
  <c r="F128" i="175"/>
  <c r="I128" i="175" s="1"/>
  <c r="F132" i="57"/>
  <c r="I132" i="57" s="1"/>
  <c r="F131" i="57"/>
  <c r="I131" i="57" s="1"/>
  <c r="F130" i="57"/>
  <c r="I130" i="57" s="1"/>
  <c r="F129" i="57"/>
  <c r="I129" i="57" s="1"/>
  <c r="F128" i="57"/>
  <c r="I128" i="57" s="1"/>
  <c r="F132" i="84"/>
  <c r="I132" i="84" s="1"/>
  <c r="F131" i="84"/>
  <c r="I131" i="84" s="1"/>
  <c r="F130" i="84"/>
  <c r="I130" i="84" s="1"/>
  <c r="F129" i="84"/>
  <c r="I129" i="84" s="1"/>
  <c r="F128" i="84"/>
  <c r="I128" i="84" s="1"/>
  <c r="F132" i="167"/>
  <c r="I132" i="167" s="1"/>
  <c r="F131" i="167"/>
  <c r="I131" i="167" s="1"/>
  <c r="F130" i="167"/>
  <c r="I130" i="167" s="1"/>
  <c r="F129" i="167"/>
  <c r="I129" i="167" s="1"/>
  <c r="F128" i="167"/>
  <c r="I128" i="167" s="1"/>
  <c r="F132" i="39"/>
  <c r="I132" i="39" s="1"/>
  <c r="F131" i="39"/>
  <c r="I131" i="39" s="1"/>
  <c r="F130" i="39"/>
  <c r="I130" i="39" s="1"/>
  <c r="F129" i="39"/>
  <c r="I129" i="39" s="1"/>
  <c r="F128" i="39"/>
  <c r="I128" i="39" s="1"/>
  <c r="F132" i="135"/>
  <c r="I132" i="135" s="1"/>
  <c r="F131" i="135"/>
  <c r="I131" i="135" s="1"/>
  <c r="F130" i="135"/>
  <c r="I130" i="135" s="1"/>
  <c r="F129" i="135"/>
  <c r="I129" i="135" s="1"/>
  <c r="F128" i="135"/>
  <c r="I128" i="135" s="1"/>
  <c r="F132" i="38"/>
  <c r="I132" i="38" s="1"/>
  <c r="F131" i="38"/>
  <c r="I131" i="38" s="1"/>
  <c r="F130" i="38"/>
  <c r="I130" i="38" s="1"/>
  <c r="F129" i="38"/>
  <c r="I129" i="38" s="1"/>
  <c r="F128" i="38"/>
  <c r="I128" i="38" s="1"/>
  <c r="F132" i="103"/>
  <c r="I132" i="103" s="1"/>
  <c r="F131" i="103"/>
  <c r="I131" i="103" s="1"/>
  <c r="F130" i="103"/>
  <c r="I130" i="103" s="1"/>
  <c r="F129" i="103"/>
  <c r="I129" i="103" s="1"/>
  <c r="F128" i="103"/>
  <c r="I128" i="103" s="1"/>
  <c r="F132" i="133"/>
  <c r="I132" i="133" s="1"/>
  <c r="F131" i="133"/>
  <c r="I131" i="133" s="1"/>
  <c r="F130" i="133"/>
  <c r="I130" i="133" s="1"/>
  <c r="F129" i="133"/>
  <c r="I129" i="133" s="1"/>
  <c r="F128" i="133"/>
  <c r="I128" i="133" s="1"/>
  <c r="F132" i="152"/>
  <c r="I132" i="152" s="1"/>
  <c r="F131" i="152"/>
  <c r="I131" i="152" s="1"/>
  <c r="F130" i="152"/>
  <c r="I130" i="152" s="1"/>
  <c r="F129" i="152"/>
  <c r="I129" i="152" s="1"/>
  <c r="F128" i="152"/>
  <c r="I128" i="152" s="1"/>
  <c r="F132" i="47"/>
  <c r="I132" i="47" s="1"/>
  <c r="F131" i="47"/>
  <c r="I131" i="47" s="1"/>
  <c r="F130" i="47"/>
  <c r="I130" i="47" s="1"/>
  <c r="F129" i="47"/>
  <c r="I129" i="47" s="1"/>
  <c r="F128" i="47"/>
  <c r="I128" i="47" s="1"/>
  <c r="F132" i="120"/>
  <c r="I132" i="120" s="1"/>
  <c r="F131" i="120"/>
  <c r="I131" i="120" s="1"/>
  <c r="F130" i="120"/>
  <c r="I130" i="120" s="1"/>
  <c r="F129" i="120"/>
  <c r="I129" i="120" s="1"/>
  <c r="F128" i="120"/>
  <c r="I128" i="120" s="1"/>
  <c r="F132" i="37"/>
  <c r="I132" i="37" s="1"/>
  <c r="F131" i="37"/>
  <c r="I131" i="37" s="1"/>
  <c r="F130" i="37"/>
  <c r="I130" i="37" s="1"/>
  <c r="F129" i="37"/>
  <c r="I129" i="37" s="1"/>
  <c r="F128" i="37"/>
  <c r="I128" i="37" s="1"/>
  <c r="F132" i="90"/>
  <c r="I132" i="90" s="1"/>
  <c r="F131" i="90"/>
  <c r="I131" i="90" s="1"/>
  <c r="F130" i="90"/>
  <c r="I130" i="90" s="1"/>
  <c r="F129" i="90"/>
  <c r="I129" i="90" s="1"/>
  <c r="F128" i="90"/>
  <c r="I128" i="90" s="1"/>
  <c r="F132" i="24"/>
  <c r="I132" i="24" s="1"/>
  <c r="F131" i="24"/>
  <c r="I131" i="24" s="1"/>
  <c r="F130" i="24"/>
  <c r="I130" i="24" s="1"/>
  <c r="F129" i="24"/>
  <c r="I129" i="24" s="1"/>
  <c r="F128" i="24"/>
  <c r="I128" i="24" s="1"/>
  <c r="F132" i="32"/>
  <c r="I132" i="32" s="1"/>
  <c r="F131" i="32"/>
  <c r="I131" i="32" s="1"/>
  <c r="F130" i="32"/>
  <c r="I130" i="32" s="1"/>
  <c r="F129" i="32"/>
  <c r="I129" i="32" s="1"/>
  <c r="F128" i="32"/>
  <c r="I128" i="32" s="1"/>
  <c r="F132" i="79"/>
  <c r="I132" i="79" s="1"/>
  <c r="F131" i="79"/>
  <c r="I131" i="79" s="1"/>
  <c r="F130" i="79"/>
  <c r="I130" i="79" s="1"/>
  <c r="F129" i="79"/>
  <c r="I129" i="79" s="1"/>
  <c r="F128" i="79"/>
  <c r="I128" i="79" s="1"/>
  <c r="F132" i="31"/>
  <c r="I132" i="31" s="1"/>
  <c r="F131" i="31"/>
  <c r="I131" i="31" s="1"/>
  <c r="F130" i="31"/>
  <c r="I130" i="31" s="1"/>
  <c r="F129" i="31"/>
  <c r="I129" i="31" s="1"/>
  <c r="F128" i="31"/>
  <c r="I128" i="31" s="1"/>
  <c r="F132" i="64"/>
  <c r="I132" i="64" s="1"/>
  <c r="F131" i="64"/>
  <c r="I131" i="64" s="1"/>
  <c r="F130" i="64"/>
  <c r="I130" i="64" s="1"/>
  <c r="F129" i="64"/>
  <c r="I129" i="64" s="1"/>
  <c r="F128" i="64"/>
  <c r="I128" i="64" s="1"/>
  <c r="F132" i="113"/>
  <c r="I132" i="113" s="1"/>
  <c r="F131" i="113"/>
  <c r="I131" i="113" s="1"/>
  <c r="F130" i="113"/>
  <c r="I130" i="113" s="1"/>
  <c r="F129" i="113"/>
  <c r="I129" i="113" s="1"/>
  <c r="F128" i="113"/>
  <c r="I128" i="113" s="1"/>
  <c r="F132" i="72"/>
  <c r="I132" i="72" s="1"/>
  <c r="F131" i="72"/>
  <c r="I131" i="72" s="1"/>
  <c r="F130" i="72"/>
  <c r="I130" i="72" s="1"/>
  <c r="F129" i="72"/>
  <c r="I129" i="72" s="1"/>
  <c r="F128" i="72"/>
  <c r="I128" i="72" s="1"/>
  <c r="F132" i="28"/>
  <c r="I132" i="28" s="1"/>
  <c r="F131" i="28"/>
  <c r="I131" i="28" s="1"/>
  <c r="F130" i="28"/>
  <c r="I130" i="28" s="1"/>
  <c r="F129" i="28"/>
  <c r="I129" i="28" s="1"/>
  <c r="F128" i="28"/>
  <c r="I128" i="28" s="1"/>
  <c r="F132" i="65"/>
  <c r="I132" i="65" s="1"/>
  <c r="F131" i="65"/>
  <c r="I131" i="65" s="1"/>
  <c r="F130" i="65"/>
  <c r="I130" i="65" s="1"/>
  <c r="F129" i="65"/>
  <c r="I129" i="65" s="1"/>
  <c r="F128" i="65"/>
  <c r="I128" i="65" s="1"/>
  <c r="F132" i="119"/>
  <c r="I132" i="119" s="1"/>
  <c r="F131" i="119"/>
  <c r="I131" i="119" s="1"/>
  <c r="F130" i="119"/>
  <c r="I130" i="119" s="1"/>
  <c r="F129" i="119"/>
  <c r="I129" i="119" s="1"/>
  <c r="F128" i="119"/>
  <c r="I128" i="119" s="1"/>
  <c r="F132" i="25"/>
  <c r="I132" i="25" s="1"/>
  <c r="F131" i="25"/>
  <c r="I131" i="25" s="1"/>
  <c r="F130" i="25"/>
  <c r="I130" i="25" s="1"/>
  <c r="F129" i="25"/>
  <c r="I129" i="25" s="1"/>
  <c r="F128" i="25"/>
  <c r="I128" i="25" s="1"/>
  <c r="F132" i="155"/>
  <c r="I132" i="155" s="1"/>
  <c r="F131" i="155"/>
  <c r="I131" i="155" s="1"/>
  <c r="F130" i="155"/>
  <c r="I130" i="155" s="1"/>
  <c r="F129" i="155"/>
  <c r="I129" i="155" s="1"/>
  <c r="F128" i="155"/>
  <c r="I128" i="155" s="1"/>
  <c r="F132" i="156"/>
  <c r="I132" i="156" s="1"/>
  <c r="F131" i="156"/>
  <c r="I131" i="156" s="1"/>
  <c r="F130" i="156"/>
  <c r="I130" i="156" s="1"/>
  <c r="F129" i="156"/>
  <c r="I129" i="156" s="1"/>
  <c r="F128" i="156"/>
  <c r="I128" i="156" s="1"/>
  <c r="F132" i="20"/>
  <c r="I132" i="20" s="1"/>
  <c r="F131" i="20"/>
  <c r="I131" i="20" s="1"/>
  <c r="F130" i="20"/>
  <c r="I130" i="20" s="1"/>
  <c r="F129" i="20"/>
  <c r="I129" i="20" s="1"/>
  <c r="F128" i="20"/>
  <c r="I128" i="20" s="1"/>
  <c r="F132" i="42"/>
  <c r="I132" i="42" s="1"/>
  <c r="F131" i="42"/>
  <c r="I131" i="42" s="1"/>
  <c r="F130" i="42"/>
  <c r="I130" i="42" s="1"/>
  <c r="F129" i="42"/>
  <c r="I129" i="42" s="1"/>
  <c r="F128" i="42"/>
  <c r="I128" i="42" s="1"/>
  <c r="F132" i="157"/>
  <c r="I132" i="157" s="1"/>
  <c r="F131" i="157"/>
  <c r="I131" i="157" s="1"/>
  <c r="F130" i="157"/>
  <c r="I130" i="157" s="1"/>
  <c r="F129" i="157"/>
  <c r="I129" i="157" s="1"/>
  <c r="F128" i="157"/>
  <c r="I128" i="157" s="1"/>
  <c r="F132" i="159"/>
  <c r="I132" i="159" s="1"/>
  <c r="F131" i="159"/>
  <c r="I131" i="159" s="1"/>
  <c r="F130" i="159"/>
  <c r="I130" i="159" s="1"/>
  <c r="F129" i="159"/>
  <c r="I129" i="159" s="1"/>
  <c r="F128" i="159"/>
  <c r="I128" i="159" s="1"/>
  <c r="F132" i="158"/>
  <c r="I132" i="158" s="1"/>
  <c r="F131" i="158"/>
  <c r="I131" i="158" s="1"/>
  <c r="F130" i="158"/>
  <c r="I130" i="158" s="1"/>
  <c r="F129" i="158"/>
  <c r="I129" i="158" s="1"/>
  <c r="F128" i="158"/>
  <c r="I128" i="158" s="1"/>
  <c r="F132" i="16"/>
  <c r="I132" i="16" s="1"/>
  <c r="F131" i="16"/>
  <c r="I131" i="16" s="1"/>
  <c r="F130" i="16"/>
  <c r="I130" i="16" s="1"/>
  <c r="F129" i="16"/>
  <c r="I129" i="16" s="1"/>
  <c r="F128" i="16"/>
  <c r="I128" i="16" s="1"/>
  <c r="F132" i="27"/>
  <c r="I132" i="27" s="1"/>
  <c r="F131" i="27"/>
  <c r="I131" i="27" s="1"/>
  <c r="F130" i="27"/>
  <c r="I130" i="27" s="1"/>
  <c r="F129" i="27"/>
  <c r="I129" i="27" s="1"/>
  <c r="F128" i="27"/>
  <c r="I128" i="27" s="1"/>
  <c r="F132" i="111"/>
  <c r="I132" i="111" s="1"/>
  <c r="F131" i="111"/>
  <c r="I131" i="111" s="1"/>
  <c r="F130" i="111"/>
  <c r="I130" i="111" s="1"/>
  <c r="F129" i="111"/>
  <c r="I129" i="111" s="1"/>
  <c r="F128" i="111"/>
  <c r="I128" i="111" s="1"/>
  <c r="F132" i="71"/>
  <c r="I132" i="71" s="1"/>
  <c r="F131" i="71"/>
  <c r="I131" i="71" s="1"/>
  <c r="F130" i="71"/>
  <c r="I130" i="71" s="1"/>
  <c r="F129" i="71"/>
  <c r="I129" i="71" s="1"/>
  <c r="F128" i="71"/>
  <c r="I128" i="71" s="1"/>
  <c r="F132" i="165"/>
  <c r="I132" i="165" s="1"/>
  <c r="F131" i="165"/>
  <c r="I131" i="165" s="1"/>
  <c r="F130" i="165"/>
  <c r="I130" i="165" s="1"/>
  <c r="F129" i="165"/>
  <c r="I129" i="165" s="1"/>
  <c r="F128" i="165"/>
  <c r="I128" i="165" s="1"/>
  <c r="F132" i="55"/>
  <c r="I132" i="55" s="1"/>
  <c r="F131" i="55"/>
  <c r="I131" i="55" s="1"/>
  <c r="F130" i="55"/>
  <c r="I130" i="55" s="1"/>
  <c r="F129" i="55"/>
  <c r="I129" i="55" s="1"/>
  <c r="F128" i="55"/>
  <c r="I128" i="55" s="1"/>
  <c r="F132" i="21"/>
  <c r="I132" i="21" s="1"/>
  <c r="F131" i="21"/>
  <c r="I131" i="21" s="1"/>
  <c r="F130" i="21"/>
  <c r="I130" i="21" s="1"/>
  <c r="F129" i="21"/>
  <c r="I129" i="21" s="1"/>
  <c r="F128" i="21"/>
  <c r="I128" i="21" s="1"/>
  <c r="F132" i="14"/>
  <c r="I132" i="14" s="1"/>
  <c r="F131" i="14"/>
  <c r="I131" i="14" s="1"/>
  <c r="F130" i="14"/>
  <c r="I130" i="14" s="1"/>
  <c r="F129" i="14"/>
  <c r="I129" i="14" s="1"/>
  <c r="F128" i="14"/>
  <c r="I128" i="14" s="1"/>
  <c r="F132" i="85"/>
  <c r="I132" i="85" s="1"/>
  <c r="F131" i="85"/>
  <c r="I131" i="85" s="1"/>
  <c r="F130" i="85"/>
  <c r="I130" i="85" s="1"/>
  <c r="F129" i="85"/>
  <c r="I129" i="85" s="1"/>
  <c r="F128" i="85"/>
  <c r="I128" i="85" s="1"/>
  <c r="F132" i="87"/>
  <c r="I132" i="87" s="1"/>
  <c r="F131" i="87"/>
  <c r="I131" i="87" s="1"/>
  <c r="F130" i="87"/>
  <c r="I130" i="87" s="1"/>
  <c r="F129" i="87"/>
  <c r="I129" i="87" s="1"/>
  <c r="F128" i="87"/>
  <c r="I128" i="87" s="1"/>
  <c r="F132" i="86"/>
  <c r="I132" i="86" s="1"/>
  <c r="F131" i="86"/>
  <c r="I131" i="86" s="1"/>
  <c r="F130" i="86"/>
  <c r="I130" i="86" s="1"/>
  <c r="F129" i="86"/>
  <c r="I129" i="86" s="1"/>
  <c r="F128" i="86"/>
  <c r="I128" i="86" s="1"/>
  <c r="F132" i="89"/>
  <c r="I132" i="89" s="1"/>
  <c r="F131" i="89"/>
  <c r="I131" i="89" s="1"/>
  <c r="F130" i="89"/>
  <c r="I130" i="89" s="1"/>
  <c r="F129" i="89"/>
  <c r="I129" i="89" s="1"/>
  <c r="F128" i="89"/>
  <c r="I128" i="89" s="1"/>
  <c r="F132" i="142"/>
  <c r="I132" i="142" s="1"/>
  <c r="F131" i="142"/>
  <c r="I131" i="142" s="1"/>
  <c r="F130" i="142"/>
  <c r="I130" i="142" s="1"/>
  <c r="F129" i="142"/>
  <c r="I129" i="142" s="1"/>
  <c r="F128" i="142"/>
  <c r="I128" i="142" s="1"/>
  <c r="F132" i="92"/>
  <c r="I132" i="92" s="1"/>
  <c r="F131" i="92"/>
  <c r="I131" i="92" s="1"/>
  <c r="F130" i="92"/>
  <c r="I130" i="92" s="1"/>
  <c r="F129" i="92"/>
  <c r="I129" i="92" s="1"/>
  <c r="F128" i="92"/>
  <c r="I128" i="92" s="1"/>
  <c r="F132" i="1"/>
  <c r="I132" i="1" s="1"/>
  <c r="F131" i="1"/>
  <c r="I131" i="1" s="1"/>
  <c r="F130" i="1"/>
  <c r="I130" i="1" s="1"/>
  <c r="F129" i="1"/>
  <c r="I129" i="1" s="1"/>
  <c r="F128" i="1"/>
  <c r="I128" i="1" s="1"/>
  <c r="F132" i="50"/>
  <c r="I132" i="50" s="1"/>
  <c r="F131" i="50"/>
  <c r="I131" i="50" s="1"/>
  <c r="F130" i="50"/>
  <c r="I130" i="50" s="1"/>
  <c r="F129" i="50"/>
  <c r="I129" i="50" s="1"/>
  <c r="F128" i="50"/>
  <c r="I128" i="50" s="1"/>
  <c r="F132" i="95"/>
  <c r="I132" i="95" s="1"/>
  <c r="F131" i="95"/>
  <c r="I131" i="95" s="1"/>
  <c r="F130" i="95"/>
  <c r="I130" i="95" s="1"/>
  <c r="F129" i="95"/>
  <c r="I129" i="95" s="1"/>
  <c r="F128" i="95"/>
  <c r="I128" i="95" s="1"/>
  <c r="F132" i="180"/>
  <c r="I132" i="180" s="1"/>
  <c r="F131" i="180"/>
  <c r="I131" i="180" s="1"/>
  <c r="F130" i="180"/>
  <c r="I130" i="180" s="1"/>
  <c r="F129" i="180"/>
  <c r="I129" i="180" s="1"/>
  <c r="F128" i="180"/>
  <c r="I128" i="180" s="1"/>
  <c r="F123" i="118"/>
  <c r="I123" i="118" s="1"/>
  <c r="F122" i="118"/>
  <c r="I122" i="118" s="1"/>
  <c r="F121" i="118"/>
  <c r="I121" i="118" s="1"/>
  <c r="F120" i="118"/>
  <c r="I120" i="118" s="1"/>
  <c r="F119" i="118"/>
  <c r="I119" i="118" s="1"/>
  <c r="F123" i="60"/>
  <c r="I123" i="60" s="1"/>
  <c r="F122" i="60"/>
  <c r="I122" i="60" s="1"/>
  <c r="F121" i="60"/>
  <c r="I121" i="60" s="1"/>
  <c r="F120" i="60"/>
  <c r="I120" i="60" s="1"/>
  <c r="F119" i="60"/>
  <c r="I119" i="60" s="1"/>
  <c r="F123" i="106"/>
  <c r="I123" i="106" s="1"/>
  <c r="F122" i="106"/>
  <c r="I122" i="106" s="1"/>
  <c r="F121" i="106"/>
  <c r="I121" i="106" s="1"/>
  <c r="F120" i="106"/>
  <c r="I120" i="106" s="1"/>
  <c r="F119" i="106"/>
  <c r="I119" i="106" s="1"/>
  <c r="F123" i="104"/>
  <c r="I123" i="104" s="1"/>
  <c r="F122" i="104"/>
  <c r="I122" i="104" s="1"/>
  <c r="F121" i="104"/>
  <c r="I121" i="104" s="1"/>
  <c r="F120" i="104"/>
  <c r="I120" i="104" s="1"/>
  <c r="F119" i="104"/>
  <c r="I119" i="104" s="1"/>
  <c r="F123" i="54"/>
  <c r="I123" i="54" s="1"/>
  <c r="F122" i="54"/>
  <c r="I122" i="54" s="1"/>
  <c r="F121" i="54"/>
  <c r="I121" i="54" s="1"/>
  <c r="F120" i="54"/>
  <c r="I120" i="54" s="1"/>
  <c r="F119" i="54"/>
  <c r="I119" i="54" s="1"/>
  <c r="F123" i="181"/>
  <c r="I123" i="181" s="1"/>
  <c r="F122" i="181"/>
  <c r="I122" i="181" s="1"/>
  <c r="F121" i="181"/>
  <c r="I121" i="181" s="1"/>
  <c r="F120" i="181"/>
  <c r="I120" i="181" s="1"/>
  <c r="F119" i="181"/>
  <c r="I119" i="181" s="1"/>
  <c r="F123" i="94"/>
  <c r="I123" i="94" s="1"/>
  <c r="F122" i="94"/>
  <c r="I122" i="94" s="1"/>
  <c r="F121" i="94"/>
  <c r="I121" i="94" s="1"/>
  <c r="F120" i="94"/>
  <c r="I120" i="94" s="1"/>
  <c r="F119" i="94"/>
  <c r="I119" i="94" s="1"/>
  <c r="F123" i="145"/>
  <c r="I123" i="145" s="1"/>
  <c r="F122" i="145"/>
  <c r="I122" i="145" s="1"/>
  <c r="F121" i="145"/>
  <c r="I121" i="145" s="1"/>
  <c r="F120" i="145"/>
  <c r="I120" i="145" s="1"/>
  <c r="F119" i="145"/>
  <c r="I119" i="145" s="1"/>
  <c r="F123" i="33"/>
  <c r="I123" i="33" s="1"/>
  <c r="F122" i="33"/>
  <c r="I122" i="33" s="1"/>
  <c r="F121" i="33"/>
  <c r="I121" i="33" s="1"/>
  <c r="F120" i="33"/>
  <c r="I120" i="33" s="1"/>
  <c r="F119" i="33"/>
  <c r="I119" i="33" s="1"/>
  <c r="F123" i="177"/>
  <c r="I123" i="177" s="1"/>
  <c r="F122" i="177"/>
  <c r="I122" i="177" s="1"/>
  <c r="F121" i="177"/>
  <c r="I121" i="177" s="1"/>
  <c r="F120" i="177"/>
  <c r="I120" i="177" s="1"/>
  <c r="F119" i="177"/>
  <c r="I119" i="177" s="1"/>
  <c r="F123" i="164"/>
  <c r="I123" i="164" s="1"/>
  <c r="F122" i="164"/>
  <c r="I122" i="164" s="1"/>
  <c r="F121" i="164"/>
  <c r="I121" i="164" s="1"/>
  <c r="F120" i="164"/>
  <c r="I120" i="164" s="1"/>
  <c r="F119" i="164"/>
  <c r="I119" i="164" s="1"/>
  <c r="F123" i="19"/>
  <c r="I123" i="19" s="1"/>
  <c r="F122" i="19"/>
  <c r="I122" i="19" s="1"/>
  <c r="F121" i="19"/>
  <c r="I121" i="19" s="1"/>
  <c r="F120" i="19"/>
  <c r="I120" i="19" s="1"/>
  <c r="F119" i="19"/>
  <c r="I119" i="19" s="1"/>
  <c r="F123" i="15"/>
  <c r="I123" i="15" s="1"/>
  <c r="F122" i="15"/>
  <c r="I122" i="15" s="1"/>
  <c r="F121" i="15"/>
  <c r="I121" i="15" s="1"/>
  <c r="F120" i="15"/>
  <c r="I120" i="15" s="1"/>
  <c r="F119" i="15"/>
  <c r="I119" i="15" s="1"/>
  <c r="F123" i="178"/>
  <c r="I123" i="178" s="1"/>
  <c r="F122" i="178"/>
  <c r="I122" i="178" s="1"/>
  <c r="F121" i="178"/>
  <c r="I121" i="178" s="1"/>
  <c r="F120" i="178"/>
  <c r="I120" i="178" s="1"/>
  <c r="F119" i="178"/>
  <c r="I119" i="178" s="1"/>
  <c r="F123" i="150"/>
  <c r="I123" i="150" s="1"/>
  <c r="F122" i="150"/>
  <c r="I122" i="150" s="1"/>
  <c r="F121" i="150"/>
  <c r="I121" i="150" s="1"/>
  <c r="F120" i="150"/>
  <c r="I120" i="150" s="1"/>
  <c r="F119" i="150"/>
  <c r="I119" i="150" s="1"/>
  <c r="F123" i="68"/>
  <c r="I123" i="68" s="1"/>
  <c r="F122" i="68"/>
  <c r="I122" i="68" s="1"/>
  <c r="F121" i="68"/>
  <c r="I121" i="68" s="1"/>
  <c r="F120" i="68"/>
  <c r="I120" i="68" s="1"/>
  <c r="F119" i="68"/>
  <c r="I119" i="68" s="1"/>
  <c r="F123" i="66"/>
  <c r="I123" i="66" s="1"/>
  <c r="F122" i="66"/>
  <c r="I122" i="66" s="1"/>
  <c r="F121" i="66"/>
  <c r="I121" i="66" s="1"/>
  <c r="F120" i="66"/>
  <c r="I120" i="66" s="1"/>
  <c r="F119" i="66"/>
  <c r="I119" i="66" s="1"/>
  <c r="F123" i="63"/>
  <c r="I123" i="63" s="1"/>
  <c r="F122" i="63"/>
  <c r="I122" i="63" s="1"/>
  <c r="F121" i="63"/>
  <c r="I121" i="63" s="1"/>
  <c r="F120" i="63"/>
  <c r="I120" i="63" s="1"/>
  <c r="F119" i="63"/>
  <c r="I119" i="63" s="1"/>
  <c r="F123" i="62"/>
  <c r="I123" i="62" s="1"/>
  <c r="F122" i="62"/>
  <c r="I122" i="62" s="1"/>
  <c r="F121" i="62"/>
  <c r="I121" i="62" s="1"/>
  <c r="F120" i="62"/>
  <c r="I120" i="62" s="1"/>
  <c r="F119" i="62"/>
  <c r="I119" i="62" s="1"/>
  <c r="F123" i="58"/>
  <c r="I123" i="58" s="1"/>
  <c r="F122" i="58"/>
  <c r="I122" i="58" s="1"/>
  <c r="F121" i="58"/>
  <c r="I121" i="58" s="1"/>
  <c r="F120" i="58"/>
  <c r="I120" i="58" s="1"/>
  <c r="F119" i="58"/>
  <c r="I119" i="58" s="1"/>
  <c r="F123" i="136"/>
  <c r="I123" i="136" s="1"/>
  <c r="F122" i="136"/>
  <c r="I122" i="136" s="1"/>
  <c r="F121" i="136"/>
  <c r="I121" i="136" s="1"/>
  <c r="F120" i="136"/>
  <c r="I120" i="136" s="1"/>
  <c r="F119" i="136"/>
  <c r="I119" i="136" s="1"/>
  <c r="F123" i="141"/>
  <c r="I123" i="141" s="1"/>
  <c r="F122" i="141"/>
  <c r="I122" i="141" s="1"/>
  <c r="F121" i="141"/>
  <c r="I121" i="141" s="1"/>
  <c r="F120" i="141"/>
  <c r="I120" i="141" s="1"/>
  <c r="F119" i="141"/>
  <c r="I119" i="141" s="1"/>
  <c r="F123" i="174"/>
  <c r="I123" i="174" s="1"/>
  <c r="F122" i="174"/>
  <c r="I122" i="174" s="1"/>
  <c r="F121" i="174"/>
  <c r="I121" i="174" s="1"/>
  <c r="F120" i="174"/>
  <c r="I120" i="174" s="1"/>
  <c r="F119" i="174"/>
  <c r="I119" i="174" s="1"/>
  <c r="F123" i="53"/>
  <c r="I123" i="53" s="1"/>
  <c r="F122" i="53"/>
  <c r="I122" i="53" s="1"/>
  <c r="F121" i="53"/>
  <c r="I121" i="53" s="1"/>
  <c r="F120" i="53"/>
  <c r="I120" i="53" s="1"/>
  <c r="F119" i="53"/>
  <c r="I119" i="53" s="1"/>
  <c r="F123" i="98"/>
  <c r="I123" i="98" s="1"/>
  <c r="F122" i="98"/>
  <c r="I122" i="98" s="1"/>
  <c r="F121" i="98"/>
  <c r="I121" i="98" s="1"/>
  <c r="F120" i="98"/>
  <c r="I120" i="98" s="1"/>
  <c r="F119" i="98"/>
  <c r="I119" i="98" s="1"/>
  <c r="F123" i="49"/>
  <c r="I123" i="49" s="1"/>
  <c r="F122" i="49"/>
  <c r="I122" i="49" s="1"/>
  <c r="F121" i="49"/>
  <c r="I121" i="49" s="1"/>
  <c r="F120" i="49"/>
  <c r="I120" i="49" s="1"/>
  <c r="F119" i="49"/>
  <c r="I119" i="49" s="1"/>
  <c r="F123" i="83"/>
  <c r="F122" i="83"/>
  <c r="F121" i="83"/>
  <c r="F120" i="83"/>
  <c r="F119" i="83"/>
  <c r="F123" i="46"/>
  <c r="I123" i="46" s="1"/>
  <c r="F122" i="46"/>
  <c r="I122" i="46" s="1"/>
  <c r="F121" i="46"/>
  <c r="I121" i="46" s="1"/>
  <c r="F120" i="46"/>
  <c r="I120" i="46" s="1"/>
  <c r="F119" i="46"/>
  <c r="I119" i="46" s="1"/>
  <c r="F123" i="102"/>
  <c r="I123" i="102" s="1"/>
  <c r="F122" i="102"/>
  <c r="I122" i="102" s="1"/>
  <c r="F121" i="102"/>
  <c r="I121" i="102" s="1"/>
  <c r="F120" i="102"/>
  <c r="I120" i="102" s="1"/>
  <c r="F119" i="102"/>
  <c r="I119" i="102" s="1"/>
  <c r="F123" i="43"/>
  <c r="I123" i="43" s="1"/>
  <c r="F122" i="43"/>
  <c r="I122" i="43" s="1"/>
  <c r="F121" i="43"/>
  <c r="I121" i="43" s="1"/>
  <c r="F120" i="43"/>
  <c r="I120" i="43" s="1"/>
  <c r="F119" i="43"/>
  <c r="I119" i="43" s="1"/>
  <c r="F123" i="175"/>
  <c r="I123" i="175" s="1"/>
  <c r="F122" i="175"/>
  <c r="I122" i="175" s="1"/>
  <c r="F121" i="175"/>
  <c r="I121" i="175" s="1"/>
  <c r="F120" i="175"/>
  <c r="I120" i="175" s="1"/>
  <c r="F119" i="175"/>
  <c r="I119" i="175" s="1"/>
  <c r="F123" i="57"/>
  <c r="I123" i="57" s="1"/>
  <c r="F122" i="57"/>
  <c r="I122" i="57" s="1"/>
  <c r="F121" i="57"/>
  <c r="I121" i="57" s="1"/>
  <c r="F120" i="57"/>
  <c r="I120" i="57" s="1"/>
  <c r="F119" i="57"/>
  <c r="I119" i="57" s="1"/>
  <c r="F123" i="84"/>
  <c r="I123" i="84" s="1"/>
  <c r="F122" i="84"/>
  <c r="I122" i="84" s="1"/>
  <c r="F121" i="84"/>
  <c r="I121" i="84" s="1"/>
  <c r="F120" i="84"/>
  <c r="I120" i="84" s="1"/>
  <c r="F119" i="84"/>
  <c r="I119" i="84" s="1"/>
  <c r="F123" i="167"/>
  <c r="I123" i="167" s="1"/>
  <c r="F122" i="167"/>
  <c r="I122" i="167" s="1"/>
  <c r="F121" i="167"/>
  <c r="I121" i="167" s="1"/>
  <c r="F120" i="167"/>
  <c r="I120" i="167" s="1"/>
  <c r="F119" i="167"/>
  <c r="I119" i="167" s="1"/>
  <c r="F123" i="39"/>
  <c r="I123" i="39" s="1"/>
  <c r="F122" i="39"/>
  <c r="I122" i="39" s="1"/>
  <c r="F121" i="39"/>
  <c r="I121" i="39" s="1"/>
  <c r="F120" i="39"/>
  <c r="I120" i="39" s="1"/>
  <c r="F119" i="39"/>
  <c r="I119" i="39" s="1"/>
  <c r="F123" i="135"/>
  <c r="I123" i="135" s="1"/>
  <c r="F122" i="135"/>
  <c r="I122" i="135" s="1"/>
  <c r="F121" i="135"/>
  <c r="I121" i="135" s="1"/>
  <c r="F120" i="135"/>
  <c r="I120" i="135" s="1"/>
  <c r="F119" i="135"/>
  <c r="I119" i="135" s="1"/>
  <c r="F123" i="38"/>
  <c r="I123" i="38" s="1"/>
  <c r="F122" i="38"/>
  <c r="I122" i="38" s="1"/>
  <c r="F121" i="38"/>
  <c r="I121" i="38" s="1"/>
  <c r="F120" i="38"/>
  <c r="I120" i="38" s="1"/>
  <c r="F119" i="38"/>
  <c r="I119" i="38" s="1"/>
  <c r="F123" i="103"/>
  <c r="I123" i="103" s="1"/>
  <c r="F122" i="103"/>
  <c r="I122" i="103" s="1"/>
  <c r="F121" i="103"/>
  <c r="I121" i="103" s="1"/>
  <c r="F120" i="103"/>
  <c r="I120" i="103" s="1"/>
  <c r="F119" i="103"/>
  <c r="I119" i="103" s="1"/>
  <c r="F123" i="133"/>
  <c r="I123" i="133" s="1"/>
  <c r="F122" i="133"/>
  <c r="I122" i="133" s="1"/>
  <c r="F121" i="133"/>
  <c r="I121" i="133" s="1"/>
  <c r="F120" i="133"/>
  <c r="I120" i="133" s="1"/>
  <c r="F119" i="133"/>
  <c r="I119" i="133" s="1"/>
  <c r="F123" i="152"/>
  <c r="I123" i="152" s="1"/>
  <c r="F122" i="152"/>
  <c r="I122" i="152" s="1"/>
  <c r="F121" i="152"/>
  <c r="I121" i="152" s="1"/>
  <c r="F120" i="152"/>
  <c r="I120" i="152" s="1"/>
  <c r="F119" i="152"/>
  <c r="I119" i="152" s="1"/>
  <c r="F123" i="47"/>
  <c r="I123" i="47" s="1"/>
  <c r="F122" i="47"/>
  <c r="I122" i="47" s="1"/>
  <c r="F121" i="47"/>
  <c r="I121" i="47" s="1"/>
  <c r="F120" i="47"/>
  <c r="I120" i="47" s="1"/>
  <c r="F119" i="47"/>
  <c r="I119" i="47" s="1"/>
  <c r="F123" i="120"/>
  <c r="I123" i="120" s="1"/>
  <c r="F122" i="120"/>
  <c r="I122" i="120" s="1"/>
  <c r="F121" i="120"/>
  <c r="I121" i="120" s="1"/>
  <c r="F120" i="120"/>
  <c r="I120" i="120" s="1"/>
  <c r="F119" i="120"/>
  <c r="I119" i="120" s="1"/>
  <c r="F123" i="37"/>
  <c r="I123" i="37" s="1"/>
  <c r="F122" i="37"/>
  <c r="I122" i="37" s="1"/>
  <c r="F121" i="37"/>
  <c r="I121" i="37" s="1"/>
  <c r="F120" i="37"/>
  <c r="I120" i="37" s="1"/>
  <c r="F119" i="37"/>
  <c r="I119" i="37" s="1"/>
  <c r="F123" i="90"/>
  <c r="I123" i="90" s="1"/>
  <c r="F122" i="90"/>
  <c r="I122" i="90" s="1"/>
  <c r="F121" i="90"/>
  <c r="I121" i="90" s="1"/>
  <c r="F120" i="90"/>
  <c r="I120" i="90" s="1"/>
  <c r="F119" i="90"/>
  <c r="I119" i="90" s="1"/>
  <c r="F123" i="24"/>
  <c r="I123" i="24" s="1"/>
  <c r="F122" i="24"/>
  <c r="I122" i="24" s="1"/>
  <c r="F121" i="24"/>
  <c r="I121" i="24" s="1"/>
  <c r="F120" i="24"/>
  <c r="I120" i="24" s="1"/>
  <c r="F119" i="24"/>
  <c r="I119" i="24" s="1"/>
  <c r="F123" i="32"/>
  <c r="I123" i="32" s="1"/>
  <c r="F122" i="32"/>
  <c r="I122" i="32" s="1"/>
  <c r="F121" i="32"/>
  <c r="I121" i="32" s="1"/>
  <c r="F120" i="32"/>
  <c r="I120" i="32" s="1"/>
  <c r="F119" i="32"/>
  <c r="I119" i="32" s="1"/>
  <c r="F123" i="79"/>
  <c r="I123" i="79" s="1"/>
  <c r="F122" i="79"/>
  <c r="I122" i="79" s="1"/>
  <c r="F121" i="79"/>
  <c r="I121" i="79" s="1"/>
  <c r="F120" i="79"/>
  <c r="I120" i="79" s="1"/>
  <c r="F119" i="79"/>
  <c r="I119" i="79" s="1"/>
  <c r="F123" i="31"/>
  <c r="I123" i="31" s="1"/>
  <c r="F122" i="31"/>
  <c r="I122" i="31" s="1"/>
  <c r="F121" i="31"/>
  <c r="I121" i="31" s="1"/>
  <c r="F120" i="31"/>
  <c r="I120" i="31" s="1"/>
  <c r="F119" i="31"/>
  <c r="I119" i="31" s="1"/>
  <c r="F123" i="64"/>
  <c r="I123" i="64" s="1"/>
  <c r="F122" i="64"/>
  <c r="I122" i="64" s="1"/>
  <c r="F121" i="64"/>
  <c r="I121" i="64" s="1"/>
  <c r="F120" i="64"/>
  <c r="I120" i="64" s="1"/>
  <c r="F119" i="64"/>
  <c r="I119" i="64" s="1"/>
  <c r="F123" i="113"/>
  <c r="I123" i="113" s="1"/>
  <c r="F122" i="113"/>
  <c r="I122" i="113" s="1"/>
  <c r="F121" i="113"/>
  <c r="I121" i="113" s="1"/>
  <c r="F120" i="113"/>
  <c r="I120" i="113" s="1"/>
  <c r="F119" i="113"/>
  <c r="I119" i="113" s="1"/>
  <c r="F123" i="72"/>
  <c r="I123" i="72" s="1"/>
  <c r="F122" i="72"/>
  <c r="I122" i="72" s="1"/>
  <c r="F121" i="72"/>
  <c r="I121" i="72" s="1"/>
  <c r="F120" i="72"/>
  <c r="I120" i="72" s="1"/>
  <c r="F119" i="72"/>
  <c r="I119" i="72" s="1"/>
  <c r="F123" i="28"/>
  <c r="I123" i="28" s="1"/>
  <c r="F122" i="28"/>
  <c r="I122" i="28" s="1"/>
  <c r="F121" i="28"/>
  <c r="I121" i="28" s="1"/>
  <c r="F120" i="28"/>
  <c r="I120" i="28" s="1"/>
  <c r="F119" i="28"/>
  <c r="I119" i="28" s="1"/>
  <c r="F123" i="65"/>
  <c r="I123" i="65" s="1"/>
  <c r="F122" i="65"/>
  <c r="I122" i="65" s="1"/>
  <c r="F121" i="65"/>
  <c r="I121" i="65" s="1"/>
  <c r="F120" i="65"/>
  <c r="I120" i="65" s="1"/>
  <c r="F119" i="65"/>
  <c r="I119" i="65" s="1"/>
  <c r="F123" i="119"/>
  <c r="I123" i="119" s="1"/>
  <c r="F122" i="119"/>
  <c r="I122" i="119" s="1"/>
  <c r="F121" i="119"/>
  <c r="I121" i="119" s="1"/>
  <c r="F120" i="119"/>
  <c r="I120" i="119" s="1"/>
  <c r="F119" i="119"/>
  <c r="I119" i="119" s="1"/>
  <c r="F123" i="25"/>
  <c r="I123" i="25" s="1"/>
  <c r="F122" i="25"/>
  <c r="I122" i="25" s="1"/>
  <c r="F121" i="25"/>
  <c r="I121" i="25" s="1"/>
  <c r="F120" i="25"/>
  <c r="I120" i="25" s="1"/>
  <c r="F119" i="25"/>
  <c r="I119" i="25" s="1"/>
  <c r="F123" i="155"/>
  <c r="I123" i="155" s="1"/>
  <c r="F122" i="155"/>
  <c r="I122" i="155" s="1"/>
  <c r="F121" i="155"/>
  <c r="I121" i="155" s="1"/>
  <c r="F120" i="155"/>
  <c r="I120" i="155" s="1"/>
  <c r="F119" i="155"/>
  <c r="I119" i="155" s="1"/>
  <c r="F123" i="156"/>
  <c r="I123" i="156" s="1"/>
  <c r="F122" i="156"/>
  <c r="I122" i="156" s="1"/>
  <c r="F121" i="156"/>
  <c r="I121" i="156" s="1"/>
  <c r="F120" i="156"/>
  <c r="I120" i="156" s="1"/>
  <c r="F119" i="156"/>
  <c r="I119" i="156" s="1"/>
  <c r="F123" i="20"/>
  <c r="I123" i="20" s="1"/>
  <c r="F122" i="20"/>
  <c r="I122" i="20" s="1"/>
  <c r="F121" i="20"/>
  <c r="I121" i="20" s="1"/>
  <c r="F120" i="20"/>
  <c r="I120" i="20" s="1"/>
  <c r="F119" i="20"/>
  <c r="I119" i="20" s="1"/>
  <c r="F123" i="42"/>
  <c r="I123" i="42" s="1"/>
  <c r="F122" i="42"/>
  <c r="I122" i="42" s="1"/>
  <c r="F121" i="42"/>
  <c r="I121" i="42" s="1"/>
  <c r="F120" i="42"/>
  <c r="I120" i="42" s="1"/>
  <c r="F119" i="42"/>
  <c r="I119" i="42" s="1"/>
  <c r="F123" i="157"/>
  <c r="I123" i="157" s="1"/>
  <c r="F122" i="157"/>
  <c r="I122" i="157" s="1"/>
  <c r="F121" i="157"/>
  <c r="I121" i="157" s="1"/>
  <c r="F120" i="157"/>
  <c r="I120" i="157" s="1"/>
  <c r="F119" i="157"/>
  <c r="I119" i="157" s="1"/>
  <c r="F123" i="159"/>
  <c r="I123" i="159" s="1"/>
  <c r="F122" i="159"/>
  <c r="I122" i="159" s="1"/>
  <c r="F121" i="159"/>
  <c r="I121" i="159" s="1"/>
  <c r="F120" i="159"/>
  <c r="I120" i="159" s="1"/>
  <c r="F119" i="159"/>
  <c r="I119" i="159" s="1"/>
  <c r="F123" i="158"/>
  <c r="I123" i="158" s="1"/>
  <c r="F122" i="158"/>
  <c r="I122" i="158" s="1"/>
  <c r="F121" i="158"/>
  <c r="I121" i="158" s="1"/>
  <c r="F120" i="158"/>
  <c r="I120" i="158" s="1"/>
  <c r="F119" i="158"/>
  <c r="I119" i="158" s="1"/>
  <c r="F123" i="16"/>
  <c r="I123" i="16" s="1"/>
  <c r="F122" i="16"/>
  <c r="I122" i="16" s="1"/>
  <c r="F121" i="16"/>
  <c r="I121" i="16" s="1"/>
  <c r="F120" i="16"/>
  <c r="I120" i="16" s="1"/>
  <c r="F119" i="16"/>
  <c r="I119" i="16" s="1"/>
  <c r="F123" i="27"/>
  <c r="I123" i="27" s="1"/>
  <c r="F122" i="27"/>
  <c r="I122" i="27" s="1"/>
  <c r="F121" i="27"/>
  <c r="I121" i="27" s="1"/>
  <c r="F120" i="27"/>
  <c r="I120" i="27" s="1"/>
  <c r="F119" i="27"/>
  <c r="I119" i="27" s="1"/>
  <c r="F123" i="111"/>
  <c r="I123" i="111" s="1"/>
  <c r="F122" i="111"/>
  <c r="I122" i="111" s="1"/>
  <c r="F121" i="111"/>
  <c r="I121" i="111" s="1"/>
  <c r="F120" i="111"/>
  <c r="I120" i="111" s="1"/>
  <c r="F119" i="111"/>
  <c r="I119" i="111" s="1"/>
  <c r="F123" i="71"/>
  <c r="I123" i="71" s="1"/>
  <c r="F122" i="71"/>
  <c r="I122" i="71" s="1"/>
  <c r="F121" i="71"/>
  <c r="I121" i="71" s="1"/>
  <c r="F120" i="71"/>
  <c r="I120" i="71" s="1"/>
  <c r="F119" i="71"/>
  <c r="I119" i="71" s="1"/>
  <c r="F123" i="165"/>
  <c r="I123" i="165" s="1"/>
  <c r="F122" i="165"/>
  <c r="I122" i="165" s="1"/>
  <c r="F121" i="165"/>
  <c r="I121" i="165" s="1"/>
  <c r="F120" i="165"/>
  <c r="I120" i="165" s="1"/>
  <c r="F119" i="165"/>
  <c r="I119" i="165" s="1"/>
  <c r="F123" i="55"/>
  <c r="I123" i="55" s="1"/>
  <c r="F122" i="55"/>
  <c r="I122" i="55" s="1"/>
  <c r="F121" i="55"/>
  <c r="I121" i="55" s="1"/>
  <c r="F120" i="55"/>
  <c r="I120" i="55" s="1"/>
  <c r="F119" i="55"/>
  <c r="I119" i="55" s="1"/>
  <c r="F123" i="21"/>
  <c r="I123" i="21" s="1"/>
  <c r="F122" i="21"/>
  <c r="I122" i="21" s="1"/>
  <c r="F121" i="21"/>
  <c r="I121" i="21" s="1"/>
  <c r="F120" i="21"/>
  <c r="I120" i="21" s="1"/>
  <c r="F119" i="21"/>
  <c r="I119" i="21" s="1"/>
  <c r="F123" i="14"/>
  <c r="I123" i="14" s="1"/>
  <c r="F122" i="14"/>
  <c r="I122" i="14" s="1"/>
  <c r="F121" i="14"/>
  <c r="I121" i="14" s="1"/>
  <c r="F120" i="14"/>
  <c r="I120" i="14" s="1"/>
  <c r="F119" i="14"/>
  <c r="I119" i="14" s="1"/>
  <c r="F123" i="85"/>
  <c r="I123" i="85" s="1"/>
  <c r="F122" i="85"/>
  <c r="I122" i="85" s="1"/>
  <c r="F121" i="85"/>
  <c r="I121" i="85" s="1"/>
  <c r="F120" i="85"/>
  <c r="I120" i="85" s="1"/>
  <c r="F119" i="85"/>
  <c r="I119" i="85" s="1"/>
  <c r="F123" i="87"/>
  <c r="I123" i="87" s="1"/>
  <c r="F122" i="87"/>
  <c r="I122" i="87" s="1"/>
  <c r="F121" i="87"/>
  <c r="I121" i="87" s="1"/>
  <c r="F120" i="87"/>
  <c r="I120" i="87" s="1"/>
  <c r="F119" i="87"/>
  <c r="I119" i="87" s="1"/>
  <c r="F123" i="86"/>
  <c r="I123" i="86" s="1"/>
  <c r="F122" i="86"/>
  <c r="I122" i="86" s="1"/>
  <c r="F121" i="86"/>
  <c r="I121" i="86" s="1"/>
  <c r="F120" i="86"/>
  <c r="I120" i="86" s="1"/>
  <c r="F119" i="86"/>
  <c r="I119" i="86" s="1"/>
  <c r="F123" i="89"/>
  <c r="I123" i="89" s="1"/>
  <c r="F122" i="89"/>
  <c r="I122" i="89" s="1"/>
  <c r="F121" i="89"/>
  <c r="I121" i="89" s="1"/>
  <c r="F120" i="89"/>
  <c r="I120" i="89" s="1"/>
  <c r="F119" i="89"/>
  <c r="I119" i="89" s="1"/>
  <c r="F123" i="142"/>
  <c r="I123" i="142" s="1"/>
  <c r="F122" i="142"/>
  <c r="I122" i="142" s="1"/>
  <c r="F121" i="142"/>
  <c r="I121" i="142" s="1"/>
  <c r="F120" i="142"/>
  <c r="I120" i="142" s="1"/>
  <c r="F119" i="142"/>
  <c r="I119" i="142" s="1"/>
  <c r="F123" i="92"/>
  <c r="I123" i="92" s="1"/>
  <c r="F122" i="92"/>
  <c r="I122" i="92" s="1"/>
  <c r="F121" i="92"/>
  <c r="I121" i="92" s="1"/>
  <c r="F120" i="92"/>
  <c r="I120" i="92" s="1"/>
  <c r="F119" i="92"/>
  <c r="I119" i="92" s="1"/>
  <c r="F123" i="1"/>
  <c r="I123" i="1" s="1"/>
  <c r="F122" i="1"/>
  <c r="I122" i="1" s="1"/>
  <c r="F121" i="1"/>
  <c r="I121" i="1" s="1"/>
  <c r="F120" i="1"/>
  <c r="I120" i="1" s="1"/>
  <c r="F119" i="1"/>
  <c r="I119" i="1" s="1"/>
  <c r="F123" i="50"/>
  <c r="I123" i="50" s="1"/>
  <c r="F122" i="50"/>
  <c r="I122" i="50" s="1"/>
  <c r="F121" i="50"/>
  <c r="I121" i="50" s="1"/>
  <c r="F120" i="50"/>
  <c r="I120" i="50" s="1"/>
  <c r="F119" i="50"/>
  <c r="I119" i="50" s="1"/>
  <c r="F123" i="95"/>
  <c r="I123" i="95" s="1"/>
  <c r="F122" i="95"/>
  <c r="I122" i="95" s="1"/>
  <c r="F121" i="95"/>
  <c r="I121" i="95" s="1"/>
  <c r="F120" i="95"/>
  <c r="I120" i="95" s="1"/>
  <c r="F119" i="95"/>
  <c r="I119" i="95" s="1"/>
  <c r="F123" i="180"/>
  <c r="I123" i="180" s="1"/>
  <c r="F122" i="180"/>
  <c r="I122" i="180" s="1"/>
  <c r="F121" i="180"/>
  <c r="I121" i="180" s="1"/>
  <c r="F120" i="180"/>
  <c r="I120" i="180" s="1"/>
  <c r="F119" i="180"/>
  <c r="I119" i="180" s="1"/>
  <c r="F115" i="118"/>
  <c r="I115" i="118" s="1"/>
  <c r="F114" i="118"/>
  <c r="I114" i="118" s="1"/>
  <c r="F113" i="118"/>
  <c r="I113" i="118" s="1"/>
  <c r="F112" i="118"/>
  <c r="I112" i="118" s="1"/>
  <c r="F111" i="118"/>
  <c r="I111" i="118" s="1"/>
  <c r="F110" i="118"/>
  <c r="I110" i="118" s="1"/>
  <c r="F115" i="60"/>
  <c r="I115" i="60" s="1"/>
  <c r="F114" i="60"/>
  <c r="I114" i="60" s="1"/>
  <c r="F113" i="60"/>
  <c r="I113" i="60" s="1"/>
  <c r="F112" i="60"/>
  <c r="I112" i="60" s="1"/>
  <c r="F111" i="60"/>
  <c r="I111" i="60" s="1"/>
  <c r="F110" i="60"/>
  <c r="I110" i="60" s="1"/>
  <c r="F115" i="106"/>
  <c r="I115" i="106" s="1"/>
  <c r="F114" i="106"/>
  <c r="I114" i="106" s="1"/>
  <c r="F113" i="106"/>
  <c r="I113" i="106" s="1"/>
  <c r="F112" i="106"/>
  <c r="I112" i="106" s="1"/>
  <c r="F111" i="106"/>
  <c r="I111" i="106" s="1"/>
  <c r="F110" i="106"/>
  <c r="I110" i="106" s="1"/>
  <c r="F115" i="104"/>
  <c r="I115" i="104" s="1"/>
  <c r="F114" i="104"/>
  <c r="I114" i="104" s="1"/>
  <c r="F113" i="104"/>
  <c r="I113" i="104" s="1"/>
  <c r="F112" i="104"/>
  <c r="I112" i="104" s="1"/>
  <c r="F111" i="104"/>
  <c r="I111" i="104" s="1"/>
  <c r="F110" i="104"/>
  <c r="I110" i="104" s="1"/>
  <c r="F115" i="54"/>
  <c r="I115" i="54" s="1"/>
  <c r="F114" i="54"/>
  <c r="I114" i="54" s="1"/>
  <c r="F113" i="54"/>
  <c r="I113" i="54" s="1"/>
  <c r="F112" i="54"/>
  <c r="I112" i="54" s="1"/>
  <c r="F111" i="54"/>
  <c r="I111" i="54" s="1"/>
  <c r="F110" i="54"/>
  <c r="I110" i="54" s="1"/>
  <c r="F115" i="181"/>
  <c r="I115" i="181" s="1"/>
  <c r="F114" i="181"/>
  <c r="I114" i="181" s="1"/>
  <c r="F113" i="181"/>
  <c r="I113" i="181" s="1"/>
  <c r="F112" i="181"/>
  <c r="I112" i="181" s="1"/>
  <c r="F111" i="181"/>
  <c r="I111" i="181" s="1"/>
  <c r="F110" i="181"/>
  <c r="I110" i="181" s="1"/>
  <c r="F115" i="94"/>
  <c r="I115" i="94" s="1"/>
  <c r="F114" i="94"/>
  <c r="I114" i="94" s="1"/>
  <c r="F113" i="94"/>
  <c r="I113" i="94" s="1"/>
  <c r="F112" i="94"/>
  <c r="I112" i="94" s="1"/>
  <c r="F111" i="94"/>
  <c r="I111" i="94" s="1"/>
  <c r="F110" i="94"/>
  <c r="I110" i="94" s="1"/>
  <c r="F115" i="145"/>
  <c r="I115" i="145" s="1"/>
  <c r="F114" i="145"/>
  <c r="I114" i="145" s="1"/>
  <c r="F113" i="145"/>
  <c r="I113" i="145" s="1"/>
  <c r="F112" i="145"/>
  <c r="I112" i="145" s="1"/>
  <c r="F111" i="145"/>
  <c r="I111" i="145" s="1"/>
  <c r="F110" i="145"/>
  <c r="I110" i="145" s="1"/>
  <c r="F115" i="33"/>
  <c r="I115" i="33" s="1"/>
  <c r="F114" i="33"/>
  <c r="I114" i="33" s="1"/>
  <c r="F113" i="33"/>
  <c r="I113" i="33" s="1"/>
  <c r="F112" i="33"/>
  <c r="I112" i="33" s="1"/>
  <c r="F111" i="33"/>
  <c r="I111" i="33" s="1"/>
  <c r="F110" i="33"/>
  <c r="I110" i="33" s="1"/>
  <c r="F115" i="177"/>
  <c r="I115" i="177" s="1"/>
  <c r="F114" i="177"/>
  <c r="I114" i="177" s="1"/>
  <c r="F113" i="177"/>
  <c r="I113" i="177" s="1"/>
  <c r="F112" i="177"/>
  <c r="I112" i="177" s="1"/>
  <c r="F111" i="177"/>
  <c r="I111" i="177" s="1"/>
  <c r="F110" i="177"/>
  <c r="I110" i="177" s="1"/>
  <c r="F115" i="164"/>
  <c r="I115" i="164" s="1"/>
  <c r="F114" i="164"/>
  <c r="I114" i="164" s="1"/>
  <c r="F113" i="164"/>
  <c r="I113" i="164" s="1"/>
  <c r="F112" i="164"/>
  <c r="I112" i="164" s="1"/>
  <c r="F111" i="164"/>
  <c r="I111" i="164" s="1"/>
  <c r="F110" i="164"/>
  <c r="I110" i="164" s="1"/>
  <c r="F115" i="19"/>
  <c r="I115" i="19" s="1"/>
  <c r="F114" i="19"/>
  <c r="I114" i="19" s="1"/>
  <c r="F113" i="19"/>
  <c r="I113" i="19" s="1"/>
  <c r="F112" i="19"/>
  <c r="I112" i="19" s="1"/>
  <c r="F111" i="19"/>
  <c r="I111" i="19" s="1"/>
  <c r="F110" i="19"/>
  <c r="I110" i="19" s="1"/>
  <c r="F115" i="15"/>
  <c r="I115" i="15" s="1"/>
  <c r="F114" i="15"/>
  <c r="I114" i="15" s="1"/>
  <c r="F113" i="15"/>
  <c r="I113" i="15" s="1"/>
  <c r="F112" i="15"/>
  <c r="I112" i="15" s="1"/>
  <c r="F111" i="15"/>
  <c r="I111" i="15" s="1"/>
  <c r="F110" i="15"/>
  <c r="I110" i="15" s="1"/>
  <c r="F115" i="178"/>
  <c r="I115" i="178" s="1"/>
  <c r="F114" i="178"/>
  <c r="I114" i="178" s="1"/>
  <c r="F113" i="178"/>
  <c r="I113" i="178" s="1"/>
  <c r="F112" i="178"/>
  <c r="I112" i="178" s="1"/>
  <c r="F111" i="178"/>
  <c r="I111" i="178" s="1"/>
  <c r="F110" i="178"/>
  <c r="I110" i="178" s="1"/>
  <c r="F115" i="150"/>
  <c r="I115" i="150" s="1"/>
  <c r="F114" i="150"/>
  <c r="I114" i="150" s="1"/>
  <c r="F113" i="150"/>
  <c r="I113" i="150" s="1"/>
  <c r="F112" i="150"/>
  <c r="I112" i="150" s="1"/>
  <c r="F111" i="150"/>
  <c r="I111" i="150" s="1"/>
  <c r="F110" i="150"/>
  <c r="I110" i="150" s="1"/>
  <c r="F115" i="68"/>
  <c r="I115" i="68" s="1"/>
  <c r="F114" i="68"/>
  <c r="I114" i="68" s="1"/>
  <c r="F113" i="68"/>
  <c r="I113" i="68" s="1"/>
  <c r="F112" i="68"/>
  <c r="I112" i="68" s="1"/>
  <c r="F111" i="68"/>
  <c r="I111" i="68" s="1"/>
  <c r="F110" i="68"/>
  <c r="I110" i="68" s="1"/>
  <c r="F115" i="66"/>
  <c r="I115" i="66" s="1"/>
  <c r="F114" i="66"/>
  <c r="I114" i="66" s="1"/>
  <c r="F113" i="66"/>
  <c r="I113" i="66" s="1"/>
  <c r="F112" i="66"/>
  <c r="I112" i="66" s="1"/>
  <c r="F111" i="66"/>
  <c r="I111" i="66" s="1"/>
  <c r="F110" i="66"/>
  <c r="I110" i="66" s="1"/>
  <c r="F115" i="63"/>
  <c r="I115" i="63" s="1"/>
  <c r="F114" i="63"/>
  <c r="I114" i="63" s="1"/>
  <c r="F113" i="63"/>
  <c r="I113" i="63" s="1"/>
  <c r="F112" i="63"/>
  <c r="I112" i="63" s="1"/>
  <c r="F111" i="63"/>
  <c r="I111" i="63" s="1"/>
  <c r="F110" i="63"/>
  <c r="I110" i="63" s="1"/>
  <c r="F115" i="62"/>
  <c r="I115" i="62" s="1"/>
  <c r="F114" i="62"/>
  <c r="I114" i="62" s="1"/>
  <c r="F113" i="62"/>
  <c r="I113" i="62" s="1"/>
  <c r="F112" i="62"/>
  <c r="I112" i="62" s="1"/>
  <c r="F111" i="62"/>
  <c r="I111" i="62" s="1"/>
  <c r="F110" i="62"/>
  <c r="I110" i="62" s="1"/>
  <c r="F115" i="58"/>
  <c r="I115" i="58" s="1"/>
  <c r="F114" i="58"/>
  <c r="I114" i="58" s="1"/>
  <c r="F113" i="58"/>
  <c r="I113" i="58" s="1"/>
  <c r="F112" i="58"/>
  <c r="I112" i="58" s="1"/>
  <c r="F111" i="58"/>
  <c r="I111" i="58" s="1"/>
  <c r="F110" i="58"/>
  <c r="I110" i="58" s="1"/>
  <c r="F115" i="136"/>
  <c r="I115" i="136" s="1"/>
  <c r="F114" i="136"/>
  <c r="I114" i="136" s="1"/>
  <c r="F113" i="136"/>
  <c r="I113" i="136" s="1"/>
  <c r="F112" i="136"/>
  <c r="I112" i="136" s="1"/>
  <c r="F111" i="136"/>
  <c r="I111" i="136" s="1"/>
  <c r="F110" i="136"/>
  <c r="I110" i="136" s="1"/>
  <c r="F115" i="141"/>
  <c r="I115" i="141" s="1"/>
  <c r="F114" i="141"/>
  <c r="I114" i="141" s="1"/>
  <c r="F113" i="141"/>
  <c r="I113" i="141" s="1"/>
  <c r="F112" i="141"/>
  <c r="I112" i="141" s="1"/>
  <c r="F111" i="141"/>
  <c r="I111" i="141" s="1"/>
  <c r="F110" i="141"/>
  <c r="I110" i="141" s="1"/>
  <c r="F115" i="174"/>
  <c r="I115" i="174" s="1"/>
  <c r="F114" i="174"/>
  <c r="I114" i="174" s="1"/>
  <c r="F113" i="174"/>
  <c r="I113" i="174" s="1"/>
  <c r="F112" i="174"/>
  <c r="I112" i="174" s="1"/>
  <c r="F111" i="174"/>
  <c r="I111" i="174" s="1"/>
  <c r="F110" i="174"/>
  <c r="I110" i="174" s="1"/>
  <c r="F115" i="53"/>
  <c r="I115" i="53" s="1"/>
  <c r="F114" i="53"/>
  <c r="I114" i="53" s="1"/>
  <c r="F113" i="53"/>
  <c r="I113" i="53" s="1"/>
  <c r="F112" i="53"/>
  <c r="I112" i="53" s="1"/>
  <c r="F111" i="53"/>
  <c r="I111" i="53" s="1"/>
  <c r="F110" i="53"/>
  <c r="I110" i="53" s="1"/>
  <c r="F115" i="98"/>
  <c r="I115" i="98" s="1"/>
  <c r="F114" i="98"/>
  <c r="I114" i="98" s="1"/>
  <c r="F113" i="98"/>
  <c r="I113" i="98" s="1"/>
  <c r="F112" i="98"/>
  <c r="I112" i="98" s="1"/>
  <c r="F111" i="98"/>
  <c r="I111" i="98" s="1"/>
  <c r="F110" i="98"/>
  <c r="I110" i="98" s="1"/>
  <c r="F115" i="49"/>
  <c r="I115" i="49" s="1"/>
  <c r="F114" i="49"/>
  <c r="I114" i="49" s="1"/>
  <c r="F113" i="49"/>
  <c r="I113" i="49" s="1"/>
  <c r="F112" i="49"/>
  <c r="I112" i="49" s="1"/>
  <c r="F111" i="49"/>
  <c r="I111" i="49" s="1"/>
  <c r="F110" i="49"/>
  <c r="I110" i="49" s="1"/>
  <c r="F115" i="83"/>
  <c r="F114" i="83"/>
  <c r="F113" i="83"/>
  <c r="F112" i="83"/>
  <c r="F111" i="83"/>
  <c r="F110" i="83"/>
  <c r="F115" i="46"/>
  <c r="I115" i="46" s="1"/>
  <c r="F114" i="46"/>
  <c r="I114" i="46" s="1"/>
  <c r="F113" i="46"/>
  <c r="I113" i="46" s="1"/>
  <c r="F112" i="46"/>
  <c r="I112" i="46" s="1"/>
  <c r="F111" i="46"/>
  <c r="I111" i="46" s="1"/>
  <c r="F110" i="46"/>
  <c r="I110" i="46" s="1"/>
  <c r="F115" i="102"/>
  <c r="I115" i="102" s="1"/>
  <c r="F114" i="102"/>
  <c r="I114" i="102" s="1"/>
  <c r="F113" i="102"/>
  <c r="I113" i="102" s="1"/>
  <c r="F112" i="102"/>
  <c r="I112" i="102" s="1"/>
  <c r="F111" i="102"/>
  <c r="I111" i="102" s="1"/>
  <c r="F110" i="102"/>
  <c r="I110" i="102" s="1"/>
  <c r="F115" i="43"/>
  <c r="I115" i="43" s="1"/>
  <c r="F114" i="43"/>
  <c r="I114" i="43" s="1"/>
  <c r="F113" i="43"/>
  <c r="I113" i="43" s="1"/>
  <c r="F112" i="43"/>
  <c r="I112" i="43" s="1"/>
  <c r="F111" i="43"/>
  <c r="I111" i="43" s="1"/>
  <c r="F110" i="43"/>
  <c r="I110" i="43" s="1"/>
  <c r="F115" i="175"/>
  <c r="I115" i="175" s="1"/>
  <c r="F114" i="175"/>
  <c r="I114" i="175" s="1"/>
  <c r="F113" i="175"/>
  <c r="I113" i="175" s="1"/>
  <c r="F112" i="175"/>
  <c r="I112" i="175" s="1"/>
  <c r="F111" i="175"/>
  <c r="I111" i="175" s="1"/>
  <c r="F110" i="175"/>
  <c r="I110" i="175" s="1"/>
  <c r="F115" i="57"/>
  <c r="I115" i="57" s="1"/>
  <c r="F114" i="57"/>
  <c r="I114" i="57" s="1"/>
  <c r="F113" i="57"/>
  <c r="I113" i="57" s="1"/>
  <c r="F112" i="57"/>
  <c r="I112" i="57" s="1"/>
  <c r="F111" i="57"/>
  <c r="I111" i="57" s="1"/>
  <c r="F110" i="57"/>
  <c r="I110" i="57" s="1"/>
  <c r="F115" i="84"/>
  <c r="I115" i="84" s="1"/>
  <c r="F114" i="84"/>
  <c r="I114" i="84" s="1"/>
  <c r="F113" i="84"/>
  <c r="I113" i="84" s="1"/>
  <c r="F112" i="84"/>
  <c r="I112" i="84" s="1"/>
  <c r="F111" i="84"/>
  <c r="I111" i="84" s="1"/>
  <c r="F110" i="84"/>
  <c r="I110" i="84" s="1"/>
  <c r="F115" i="167"/>
  <c r="I115" i="167" s="1"/>
  <c r="F114" i="167"/>
  <c r="I114" i="167" s="1"/>
  <c r="F113" i="167"/>
  <c r="I113" i="167" s="1"/>
  <c r="F112" i="167"/>
  <c r="I112" i="167" s="1"/>
  <c r="F111" i="167"/>
  <c r="I111" i="167" s="1"/>
  <c r="F110" i="167"/>
  <c r="I110" i="167" s="1"/>
  <c r="F115" i="39"/>
  <c r="I115" i="39" s="1"/>
  <c r="F114" i="39"/>
  <c r="I114" i="39" s="1"/>
  <c r="F113" i="39"/>
  <c r="I113" i="39" s="1"/>
  <c r="F112" i="39"/>
  <c r="I112" i="39" s="1"/>
  <c r="F111" i="39"/>
  <c r="I111" i="39" s="1"/>
  <c r="F110" i="39"/>
  <c r="I110" i="39" s="1"/>
  <c r="F115" i="135"/>
  <c r="I115" i="135" s="1"/>
  <c r="F114" i="135"/>
  <c r="I114" i="135" s="1"/>
  <c r="F113" i="135"/>
  <c r="I113" i="135" s="1"/>
  <c r="F112" i="135"/>
  <c r="I112" i="135" s="1"/>
  <c r="F111" i="135"/>
  <c r="I111" i="135" s="1"/>
  <c r="F110" i="135"/>
  <c r="I110" i="135" s="1"/>
  <c r="F115" i="38"/>
  <c r="I115" i="38" s="1"/>
  <c r="F114" i="38"/>
  <c r="I114" i="38" s="1"/>
  <c r="F113" i="38"/>
  <c r="I113" i="38" s="1"/>
  <c r="F112" i="38"/>
  <c r="I112" i="38" s="1"/>
  <c r="F111" i="38"/>
  <c r="I111" i="38" s="1"/>
  <c r="F110" i="38"/>
  <c r="I110" i="38" s="1"/>
  <c r="F115" i="103"/>
  <c r="I115" i="103" s="1"/>
  <c r="F114" i="103"/>
  <c r="I114" i="103" s="1"/>
  <c r="F113" i="103"/>
  <c r="I113" i="103" s="1"/>
  <c r="F112" i="103"/>
  <c r="I112" i="103" s="1"/>
  <c r="F111" i="103"/>
  <c r="I111" i="103" s="1"/>
  <c r="F110" i="103"/>
  <c r="I110" i="103" s="1"/>
  <c r="F115" i="133"/>
  <c r="I115" i="133" s="1"/>
  <c r="F114" i="133"/>
  <c r="I114" i="133" s="1"/>
  <c r="F113" i="133"/>
  <c r="I113" i="133" s="1"/>
  <c r="F112" i="133"/>
  <c r="I112" i="133" s="1"/>
  <c r="F111" i="133"/>
  <c r="I111" i="133" s="1"/>
  <c r="F110" i="133"/>
  <c r="I110" i="133" s="1"/>
  <c r="F115" i="152"/>
  <c r="I115" i="152" s="1"/>
  <c r="F114" i="152"/>
  <c r="I114" i="152" s="1"/>
  <c r="F113" i="152"/>
  <c r="I113" i="152" s="1"/>
  <c r="F112" i="152"/>
  <c r="I112" i="152" s="1"/>
  <c r="F111" i="152"/>
  <c r="I111" i="152" s="1"/>
  <c r="F110" i="152"/>
  <c r="I110" i="152" s="1"/>
  <c r="F115" i="47"/>
  <c r="I115" i="47" s="1"/>
  <c r="F114" i="47"/>
  <c r="I114" i="47" s="1"/>
  <c r="F113" i="47"/>
  <c r="I113" i="47" s="1"/>
  <c r="F112" i="47"/>
  <c r="I112" i="47" s="1"/>
  <c r="F111" i="47"/>
  <c r="I111" i="47" s="1"/>
  <c r="F110" i="47"/>
  <c r="I110" i="47" s="1"/>
  <c r="F115" i="120"/>
  <c r="I115" i="120" s="1"/>
  <c r="F114" i="120"/>
  <c r="I114" i="120" s="1"/>
  <c r="F113" i="120"/>
  <c r="I113" i="120" s="1"/>
  <c r="F112" i="120"/>
  <c r="I112" i="120" s="1"/>
  <c r="F111" i="120"/>
  <c r="I111" i="120" s="1"/>
  <c r="F110" i="120"/>
  <c r="I110" i="120" s="1"/>
  <c r="F115" i="37"/>
  <c r="I115" i="37" s="1"/>
  <c r="F114" i="37"/>
  <c r="I114" i="37" s="1"/>
  <c r="F113" i="37"/>
  <c r="I113" i="37" s="1"/>
  <c r="F112" i="37"/>
  <c r="I112" i="37" s="1"/>
  <c r="F111" i="37"/>
  <c r="I111" i="37" s="1"/>
  <c r="F110" i="37"/>
  <c r="I110" i="37" s="1"/>
  <c r="F115" i="90"/>
  <c r="I115" i="90" s="1"/>
  <c r="F114" i="90"/>
  <c r="I114" i="90" s="1"/>
  <c r="F113" i="90"/>
  <c r="I113" i="90" s="1"/>
  <c r="F112" i="90"/>
  <c r="I112" i="90" s="1"/>
  <c r="F111" i="90"/>
  <c r="I111" i="90" s="1"/>
  <c r="F110" i="90"/>
  <c r="I110" i="90" s="1"/>
  <c r="F115" i="24"/>
  <c r="I115" i="24" s="1"/>
  <c r="F114" i="24"/>
  <c r="I114" i="24" s="1"/>
  <c r="F113" i="24"/>
  <c r="I113" i="24" s="1"/>
  <c r="F112" i="24"/>
  <c r="I112" i="24" s="1"/>
  <c r="F111" i="24"/>
  <c r="I111" i="24" s="1"/>
  <c r="F110" i="24"/>
  <c r="I110" i="24" s="1"/>
  <c r="F115" i="32"/>
  <c r="I115" i="32" s="1"/>
  <c r="F114" i="32"/>
  <c r="I114" i="32" s="1"/>
  <c r="F113" i="32"/>
  <c r="I113" i="32" s="1"/>
  <c r="F112" i="32"/>
  <c r="I112" i="32" s="1"/>
  <c r="F111" i="32"/>
  <c r="I111" i="32" s="1"/>
  <c r="F110" i="32"/>
  <c r="I110" i="32" s="1"/>
  <c r="F115" i="79"/>
  <c r="I115" i="79" s="1"/>
  <c r="F114" i="79"/>
  <c r="I114" i="79" s="1"/>
  <c r="F113" i="79"/>
  <c r="I113" i="79" s="1"/>
  <c r="F112" i="79"/>
  <c r="I112" i="79" s="1"/>
  <c r="F111" i="79"/>
  <c r="I111" i="79" s="1"/>
  <c r="F110" i="79"/>
  <c r="I110" i="79" s="1"/>
  <c r="F115" i="31"/>
  <c r="I115" i="31" s="1"/>
  <c r="F114" i="31"/>
  <c r="I114" i="31" s="1"/>
  <c r="F113" i="31"/>
  <c r="I113" i="31" s="1"/>
  <c r="F112" i="31"/>
  <c r="I112" i="31" s="1"/>
  <c r="F111" i="31"/>
  <c r="I111" i="31" s="1"/>
  <c r="F110" i="31"/>
  <c r="I110" i="31" s="1"/>
  <c r="F115" i="64"/>
  <c r="I115" i="64" s="1"/>
  <c r="F114" i="64"/>
  <c r="I114" i="64" s="1"/>
  <c r="F113" i="64"/>
  <c r="I113" i="64" s="1"/>
  <c r="F112" i="64"/>
  <c r="I112" i="64" s="1"/>
  <c r="F111" i="64"/>
  <c r="I111" i="64" s="1"/>
  <c r="F110" i="64"/>
  <c r="I110" i="64" s="1"/>
  <c r="F115" i="113"/>
  <c r="I115" i="113" s="1"/>
  <c r="F114" i="113"/>
  <c r="I114" i="113" s="1"/>
  <c r="F113" i="113"/>
  <c r="I113" i="113" s="1"/>
  <c r="F112" i="113"/>
  <c r="I112" i="113" s="1"/>
  <c r="F111" i="113"/>
  <c r="I111" i="113" s="1"/>
  <c r="F110" i="113"/>
  <c r="I110" i="113" s="1"/>
  <c r="F115" i="72"/>
  <c r="I115" i="72" s="1"/>
  <c r="F114" i="72"/>
  <c r="I114" i="72" s="1"/>
  <c r="F113" i="72"/>
  <c r="I113" i="72" s="1"/>
  <c r="F112" i="72"/>
  <c r="I112" i="72" s="1"/>
  <c r="F111" i="72"/>
  <c r="I111" i="72" s="1"/>
  <c r="F110" i="72"/>
  <c r="I110" i="72" s="1"/>
  <c r="F115" i="28"/>
  <c r="I115" i="28" s="1"/>
  <c r="F114" i="28"/>
  <c r="I114" i="28" s="1"/>
  <c r="F113" i="28"/>
  <c r="I113" i="28" s="1"/>
  <c r="F112" i="28"/>
  <c r="I112" i="28" s="1"/>
  <c r="F111" i="28"/>
  <c r="I111" i="28" s="1"/>
  <c r="F110" i="28"/>
  <c r="I110" i="28" s="1"/>
  <c r="F115" i="65"/>
  <c r="I115" i="65" s="1"/>
  <c r="F114" i="65"/>
  <c r="I114" i="65" s="1"/>
  <c r="F113" i="65"/>
  <c r="I113" i="65" s="1"/>
  <c r="F112" i="65"/>
  <c r="I112" i="65" s="1"/>
  <c r="F111" i="65"/>
  <c r="I111" i="65" s="1"/>
  <c r="F110" i="65"/>
  <c r="I110" i="65" s="1"/>
  <c r="F115" i="119"/>
  <c r="I115" i="119" s="1"/>
  <c r="F114" i="119"/>
  <c r="I114" i="119" s="1"/>
  <c r="F113" i="119"/>
  <c r="I113" i="119" s="1"/>
  <c r="F112" i="119"/>
  <c r="I112" i="119" s="1"/>
  <c r="F111" i="119"/>
  <c r="I111" i="119" s="1"/>
  <c r="F110" i="119"/>
  <c r="I110" i="119" s="1"/>
  <c r="F115" i="25"/>
  <c r="I115" i="25" s="1"/>
  <c r="F114" i="25"/>
  <c r="I114" i="25" s="1"/>
  <c r="F113" i="25"/>
  <c r="I113" i="25" s="1"/>
  <c r="F112" i="25"/>
  <c r="I112" i="25" s="1"/>
  <c r="F111" i="25"/>
  <c r="I111" i="25" s="1"/>
  <c r="F110" i="25"/>
  <c r="I110" i="25" s="1"/>
  <c r="F115" i="155"/>
  <c r="I115" i="155" s="1"/>
  <c r="F114" i="155"/>
  <c r="I114" i="155" s="1"/>
  <c r="F113" i="155"/>
  <c r="I113" i="155" s="1"/>
  <c r="F112" i="155"/>
  <c r="I112" i="155" s="1"/>
  <c r="F111" i="155"/>
  <c r="I111" i="155" s="1"/>
  <c r="F110" i="155"/>
  <c r="I110" i="155" s="1"/>
  <c r="F115" i="156"/>
  <c r="I115" i="156" s="1"/>
  <c r="F114" i="156"/>
  <c r="I114" i="156" s="1"/>
  <c r="F113" i="156"/>
  <c r="I113" i="156" s="1"/>
  <c r="F112" i="156"/>
  <c r="I112" i="156" s="1"/>
  <c r="F111" i="156"/>
  <c r="I111" i="156" s="1"/>
  <c r="F110" i="156"/>
  <c r="I110" i="156" s="1"/>
  <c r="F115" i="20"/>
  <c r="I115" i="20" s="1"/>
  <c r="F114" i="20"/>
  <c r="I114" i="20" s="1"/>
  <c r="F113" i="20"/>
  <c r="I113" i="20" s="1"/>
  <c r="F112" i="20"/>
  <c r="I112" i="20" s="1"/>
  <c r="F111" i="20"/>
  <c r="I111" i="20" s="1"/>
  <c r="F110" i="20"/>
  <c r="I110" i="20" s="1"/>
  <c r="F115" i="42"/>
  <c r="I115" i="42" s="1"/>
  <c r="F114" i="42"/>
  <c r="I114" i="42" s="1"/>
  <c r="F113" i="42"/>
  <c r="I113" i="42" s="1"/>
  <c r="F112" i="42"/>
  <c r="I112" i="42" s="1"/>
  <c r="F111" i="42"/>
  <c r="I111" i="42" s="1"/>
  <c r="F110" i="42"/>
  <c r="I110" i="42" s="1"/>
  <c r="F115" i="157"/>
  <c r="I115" i="157" s="1"/>
  <c r="F114" i="157"/>
  <c r="I114" i="157" s="1"/>
  <c r="F113" i="157"/>
  <c r="I113" i="157" s="1"/>
  <c r="F112" i="157"/>
  <c r="I112" i="157" s="1"/>
  <c r="F111" i="157"/>
  <c r="I111" i="157" s="1"/>
  <c r="F110" i="157"/>
  <c r="I110" i="157" s="1"/>
  <c r="F115" i="159"/>
  <c r="I115" i="159" s="1"/>
  <c r="F114" i="159"/>
  <c r="I114" i="159" s="1"/>
  <c r="F113" i="159"/>
  <c r="I113" i="159" s="1"/>
  <c r="F112" i="159"/>
  <c r="I112" i="159" s="1"/>
  <c r="F111" i="159"/>
  <c r="I111" i="159" s="1"/>
  <c r="F110" i="159"/>
  <c r="I110" i="159" s="1"/>
  <c r="F115" i="158"/>
  <c r="I115" i="158" s="1"/>
  <c r="F114" i="158"/>
  <c r="I114" i="158" s="1"/>
  <c r="F113" i="158"/>
  <c r="I113" i="158" s="1"/>
  <c r="F112" i="158"/>
  <c r="I112" i="158" s="1"/>
  <c r="F111" i="158"/>
  <c r="I111" i="158" s="1"/>
  <c r="F110" i="158"/>
  <c r="I110" i="158" s="1"/>
  <c r="F115" i="16"/>
  <c r="I115" i="16" s="1"/>
  <c r="F114" i="16"/>
  <c r="I114" i="16" s="1"/>
  <c r="F113" i="16"/>
  <c r="I113" i="16" s="1"/>
  <c r="F112" i="16"/>
  <c r="I112" i="16" s="1"/>
  <c r="F111" i="16"/>
  <c r="I111" i="16" s="1"/>
  <c r="F110" i="16"/>
  <c r="I110" i="16" s="1"/>
  <c r="F115" i="27"/>
  <c r="I115" i="27" s="1"/>
  <c r="F114" i="27"/>
  <c r="I114" i="27" s="1"/>
  <c r="F113" i="27"/>
  <c r="I113" i="27" s="1"/>
  <c r="F112" i="27"/>
  <c r="I112" i="27" s="1"/>
  <c r="F111" i="27"/>
  <c r="I111" i="27" s="1"/>
  <c r="F110" i="27"/>
  <c r="I110" i="27" s="1"/>
  <c r="F115" i="111"/>
  <c r="I115" i="111" s="1"/>
  <c r="F114" i="111"/>
  <c r="I114" i="111" s="1"/>
  <c r="F113" i="111"/>
  <c r="I113" i="111" s="1"/>
  <c r="F112" i="111"/>
  <c r="I112" i="111" s="1"/>
  <c r="F111" i="111"/>
  <c r="I111" i="111" s="1"/>
  <c r="F110" i="111"/>
  <c r="I110" i="111" s="1"/>
  <c r="F115" i="71"/>
  <c r="I115" i="71" s="1"/>
  <c r="F114" i="71"/>
  <c r="I114" i="71" s="1"/>
  <c r="F113" i="71"/>
  <c r="I113" i="71" s="1"/>
  <c r="F112" i="71"/>
  <c r="I112" i="71" s="1"/>
  <c r="F111" i="71"/>
  <c r="I111" i="71" s="1"/>
  <c r="F110" i="71"/>
  <c r="I110" i="71" s="1"/>
  <c r="F115" i="165"/>
  <c r="I115" i="165" s="1"/>
  <c r="F114" i="165"/>
  <c r="I114" i="165" s="1"/>
  <c r="F113" i="165"/>
  <c r="I113" i="165" s="1"/>
  <c r="F112" i="165"/>
  <c r="I112" i="165" s="1"/>
  <c r="F111" i="165"/>
  <c r="I111" i="165" s="1"/>
  <c r="F110" i="165"/>
  <c r="I110" i="165" s="1"/>
  <c r="F115" i="55"/>
  <c r="I115" i="55" s="1"/>
  <c r="F114" i="55"/>
  <c r="I114" i="55" s="1"/>
  <c r="F113" i="55"/>
  <c r="I113" i="55" s="1"/>
  <c r="F112" i="55"/>
  <c r="I112" i="55" s="1"/>
  <c r="F111" i="55"/>
  <c r="I111" i="55" s="1"/>
  <c r="F110" i="55"/>
  <c r="I110" i="55" s="1"/>
  <c r="F115" i="21"/>
  <c r="I115" i="21" s="1"/>
  <c r="F114" i="21"/>
  <c r="I114" i="21" s="1"/>
  <c r="F113" i="21"/>
  <c r="I113" i="21" s="1"/>
  <c r="F112" i="21"/>
  <c r="I112" i="21" s="1"/>
  <c r="F111" i="21"/>
  <c r="I111" i="21" s="1"/>
  <c r="F110" i="21"/>
  <c r="I110" i="21" s="1"/>
  <c r="F115" i="14"/>
  <c r="I115" i="14" s="1"/>
  <c r="F114" i="14"/>
  <c r="I114" i="14" s="1"/>
  <c r="F113" i="14"/>
  <c r="I113" i="14" s="1"/>
  <c r="F112" i="14"/>
  <c r="I112" i="14" s="1"/>
  <c r="F111" i="14"/>
  <c r="I111" i="14" s="1"/>
  <c r="F110" i="14"/>
  <c r="I110" i="14" s="1"/>
  <c r="F115" i="85"/>
  <c r="I115" i="85" s="1"/>
  <c r="F114" i="85"/>
  <c r="I114" i="85" s="1"/>
  <c r="F113" i="85"/>
  <c r="I113" i="85" s="1"/>
  <c r="F112" i="85"/>
  <c r="I112" i="85" s="1"/>
  <c r="F111" i="85"/>
  <c r="I111" i="85" s="1"/>
  <c r="F110" i="85"/>
  <c r="I110" i="85" s="1"/>
  <c r="F115" i="87"/>
  <c r="I115" i="87" s="1"/>
  <c r="F114" i="87"/>
  <c r="I114" i="87" s="1"/>
  <c r="F113" i="87"/>
  <c r="I113" i="87" s="1"/>
  <c r="F112" i="87"/>
  <c r="I112" i="87" s="1"/>
  <c r="F111" i="87"/>
  <c r="I111" i="87" s="1"/>
  <c r="F110" i="87"/>
  <c r="I110" i="87" s="1"/>
  <c r="F115" i="86"/>
  <c r="I115" i="86" s="1"/>
  <c r="F114" i="86"/>
  <c r="I114" i="86" s="1"/>
  <c r="F113" i="86"/>
  <c r="I113" i="86" s="1"/>
  <c r="F112" i="86"/>
  <c r="I112" i="86" s="1"/>
  <c r="F111" i="86"/>
  <c r="I111" i="86" s="1"/>
  <c r="F110" i="86"/>
  <c r="I110" i="86" s="1"/>
  <c r="F115" i="89"/>
  <c r="I115" i="89" s="1"/>
  <c r="F114" i="89"/>
  <c r="I114" i="89" s="1"/>
  <c r="F113" i="89"/>
  <c r="I113" i="89" s="1"/>
  <c r="F112" i="89"/>
  <c r="I112" i="89" s="1"/>
  <c r="F111" i="89"/>
  <c r="I111" i="89" s="1"/>
  <c r="F110" i="89"/>
  <c r="I110" i="89" s="1"/>
  <c r="F115" i="142"/>
  <c r="I115" i="142" s="1"/>
  <c r="F114" i="142"/>
  <c r="I114" i="142" s="1"/>
  <c r="F113" i="142"/>
  <c r="I113" i="142" s="1"/>
  <c r="F112" i="142"/>
  <c r="I112" i="142" s="1"/>
  <c r="F111" i="142"/>
  <c r="I111" i="142" s="1"/>
  <c r="F110" i="142"/>
  <c r="I110" i="142" s="1"/>
  <c r="F115" i="92"/>
  <c r="I115" i="92" s="1"/>
  <c r="F114" i="92"/>
  <c r="I114" i="92" s="1"/>
  <c r="F113" i="92"/>
  <c r="I113" i="92" s="1"/>
  <c r="F112" i="92"/>
  <c r="I112" i="92" s="1"/>
  <c r="F111" i="92"/>
  <c r="I111" i="92" s="1"/>
  <c r="F110" i="92"/>
  <c r="I110" i="92" s="1"/>
  <c r="F115" i="1"/>
  <c r="I115" i="1" s="1"/>
  <c r="F114" i="1"/>
  <c r="I114" i="1" s="1"/>
  <c r="F113" i="1"/>
  <c r="I113" i="1" s="1"/>
  <c r="F112" i="1"/>
  <c r="I112" i="1" s="1"/>
  <c r="F111" i="1"/>
  <c r="I111" i="1" s="1"/>
  <c r="F110" i="1"/>
  <c r="I110" i="1" s="1"/>
  <c r="F115" i="50"/>
  <c r="I115" i="50" s="1"/>
  <c r="F114" i="50"/>
  <c r="I114" i="50" s="1"/>
  <c r="F113" i="50"/>
  <c r="I113" i="50" s="1"/>
  <c r="F112" i="50"/>
  <c r="I112" i="50" s="1"/>
  <c r="F111" i="50"/>
  <c r="I111" i="50" s="1"/>
  <c r="F110" i="50"/>
  <c r="I110" i="50" s="1"/>
  <c r="F115" i="95"/>
  <c r="I115" i="95" s="1"/>
  <c r="F114" i="95"/>
  <c r="I114" i="95" s="1"/>
  <c r="F113" i="95"/>
  <c r="I113" i="95" s="1"/>
  <c r="F112" i="95"/>
  <c r="I112" i="95" s="1"/>
  <c r="F111" i="95"/>
  <c r="I111" i="95" s="1"/>
  <c r="F110" i="95"/>
  <c r="I110" i="95" s="1"/>
  <c r="F115" i="180"/>
  <c r="I115" i="180" s="1"/>
  <c r="F114" i="180"/>
  <c r="I114" i="180" s="1"/>
  <c r="F113" i="180"/>
  <c r="I113" i="180" s="1"/>
  <c r="F112" i="180"/>
  <c r="I112" i="180" s="1"/>
  <c r="F111" i="180"/>
  <c r="I111" i="180" s="1"/>
  <c r="F110" i="180"/>
  <c r="I110" i="180" s="1"/>
  <c r="F106" i="118"/>
  <c r="I106" i="118" s="1"/>
  <c r="F105" i="118"/>
  <c r="I105" i="118" s="1"/>
  <c r="F104" i="118"/>
  <c r="I104" i="118" s="1"/>
  <c r="F103" i="118"/>
  <c r="I103" i="118" s="1"/>
  <c r="F102" i="118"/>
  <c r="I102" i="118" s="1"/>
  <c r="F101" i="118"/>
  <c r="I101" i="118" s="1"/>
  <c r="F106" i="60"/>
  <c r="I106" i="60" s="1"/>
  <c r="F105" i="60"/>
  <c r="I105" i="60" s="1"/>
  <c r="F104" i="60"/>
  <c r="I104" i="60" s="1"/>
  <c r="F103" i="60"/>
  <c r="I103" i="60" s="1"/>
  <c r="F102" i="60"/>
  <c r="I102" i="60" s="1"/>
  <c r="F101" i="60"/>
  <c r="I101" i="60" s="1"/>
  <c r="F106" i="106"/>
  <c r="I106" i="106" s="1"/>
  <c r="F105" i="106"/>
  <c r="I105" i="106" s="1"/>
  <c r="F104" i="106"/>
  <c r="I104" i="106" s="1"/>
  <c r="F103" i="106"/>
  <c r="I103" i="106" s="1"/>
  <c r="F102" i="106"/>
  <c r="I102" i="106" s="1"/>
  <c r="F101" i="106"/>
  <c r="I101" i="106" s="1"/>
  <c r="F106" i="104"/>
  <c r="I106" i="104" s="1"/>
  <c r="F105" i="104"/>
  <c r="I105" i="104" s="1"/>
  <c r="F104" i="104"/>
  <c r="I104" i="104" s="1"/>
  <c r="F103" i="104"/>
  <c r="I103" i="104" s="1"/>
  <c r="F102" i="104"/>
  <c r="I102" i="104" s="1"/>
  <c r="F101" i="104"/>
  <c r="I101" i="104" s="1"/>
  <c r="F106" i="54"/>
  <c r="I106" i="54" s="1"/>
  <c r="F105" i="54"/>
  <c r="I105" i="54" s="1"/>
  <c r="F104" i="54"/>
  <c r="I104" i="54" s="1"/>
  <c r="F103" i="54"/>
  <c r="I103" i="54" s="1"/>
  <c r="F102" i="54"/>
  <c r="I102" i="54" s="1"/>
  <c r="F101" i="54"/>
  <c r="I101" i="54" s="1"/>
  <c r="F106" i="181"/>
  <c r="I106" i="181" s="1"/>
  <c r="F105" i="181"/>
  <c r="I105" i="181" s="1"/>
  <c r="F104" i="181"/>
  <c r="I104" i="181" s="1"/>
  <c r="F103" i="181"/>
  <c r="I103" i="181" s="1"/>
  <c r="F102" i="181"/>
  <c r="I102" i="181" s="1"/>
  <c r="F101" i="181"/>
  <c r="I101" i="181" s="1"/>
  <c r="F106" i="94"/>
  <c r="I106" i="94" s="1"/>
  <c r="F105" i="94"/>
  <c r="I105" i="94" s="1"/>
  <c r="F104" i="94"/>
  <c r="I104" i="94" s="1"/>
  <c r="F103" i="94"/>
  <c r="I103" i="94" s="1"/>
  <c r="F102" i="94"/>
  <c r="I102" i="94" s="1"/>
  <c r="F101" i="94"/>
  <c r="I101" i="94" s="1"/>
  <c r="F106" i="145"/>
  <c r="I106" i="145" s="1"/>
  <c r="F105" i="145"/>
  <c r="I105" i="145" s="1"/>
  <c r="F104" i="145"/>
  <c r="I104" i="145" s="1"/>
  <c r="F103" i="145"/>
  <c r="I103" i="145" s="1"/>
  <c r="F102" i="145"/>
  <c r="I102" i="145" s="1"/>
  <c r="F101" i="145"/>
  <c r="I101" i="145" s="1"/>
  <c r="F106" i="33"/>
  <c r="I106" i="33" s="1"/>
  <c r="F105" i="33"/>
  <c r="I105" i="33" s="1"/>
  <c r="F104" i="33"/>
  <c r="I104" i="33" s="1"/>
  <c r="F103" i="33"/>
  <c r="I103" i="33" s="1"/>
  <c r="F102" i="33"/>
  <c r="I102" i="33" s="1"/>
  <c r="F101" i="33"/>
  <c r="I101" i="33" s="1"/>
  <c r="F106" i="177"/>
  <c r="I106" i="177" s="1"/>
  <c r="F105" i="177"/>
  <c r="I105" i="177" s="1"/>
  <c r="F104" i="177"/>
  <c r="I104" i="177" s="1"/>
  <c r="F103" i="177"/>
  <c r="I103" i="177" s="1"/>
  <c r="F102" i="177"/>
  <c r="I102" i="177" s="1"/>
  <c r="F101" i="177"/>
  <c r="I101" i="177" s="1"/>
  <c r="F106" i="164"/>
  <c r="I106" i="164" s="1"/>
  <c r="F105" i="164"/>
  <c r="I105" i="164" s="1"/>
  <c r="F104" i="164"/>
  <c r="I104" i="164" s="1"/>
  <c r="F103" i="164"/>
  <c r="I103" i="164" s="1"/>
  <c r="F102" i="164"/>
  <c r="I102" i="164" s="1"/>
  <c r="F101" i="164"/>
  <c r="I101" i="164" s="1"/>
  <c r="F106" i="19"/>
  <c r="I106" i="19" s="1"/>
  <c r="F105" i="19"/>
  <c r="I105" i="19" s="1"/>
  <c r="F104" i="19"/>
  <c r="I104" i="19" s="1"/>
  <c r="F103" i="19"/>
  <c r="I103" i="19" s="1"/>
  <c r="F102" i="19"/>
  <c r="I102" i="19" s="1"/>
  <c r="F101" i="19"/>
  <c r="I101" i="19" s="1"/>
  <c r="F106" i="15"/>
  <c r="I106" i="15" s="1"/>
  <c r="F105" i="15"/>
  <c r="I105" i="15" s="1"/>
  <c r="F104" i="15"/>
  <c r="I104" i="15" s="1"/>
  <c r="F103" i="15"/>
  <c r="I103" i="15" s="1"/>
  <c r="F102" i="15"/>
  <c r="I102" i="15" s="1"/>
  <c r="F101" i="15"/>
  <c r="I101" i="15" s="1"/>
  <c r="F106" i="178"/>
  <c r="I106" i="178" s="1"/>
  <c r="F105" i="178"/>
  <c r="I105" i="178" s="1"/>
  <c r="F104" i="178"/>
  <c r="I104" i="178" s="1"/>
  <c r="F103" i="178"/>
  <c r="I103" i="178" s="1"/>
  <c r="F102" i="178"/>
  <c r="I102" i="178" s="1"/>
  <c r="F101" i="178"/>
  <c r="I101" i="178" s="1"/>
  <c r="F106" i="150"/>
  <c r="I106" i="150" s="1"/>
  <c r="F105" i="150"/>
  <c r="I105" i="150" s="1"/>
  <c r="F104" i="150"/>
  <c r="I104" i="150" s="1"/>
  <c r="F103" i="150"/>
  <c r="I103" i="150" s="1"/>
  <c r="F102" i="150"/>
  <c r="I102" i="150" s="1"/>
  <c r="F101" i="150"/>
  <c r="I101" i="150" s="1"/>
  <c r="F106" i="68"/>
  <c r="I106" i="68" s="1"/>
  <c r="F105" i="68"/>
  <c r="I105" i="68" s="1"/>
  <c r="F104" i="68"/>
  <c r="I104" i="68" s="1"/>
  <c r="F103" i="68"/>
  <c r="I103" i="68" s="1"/>
  <c r="F102" i="68"/>
  <c r="I102" i="68" s="1"/>
  <c r="F101" i="68"/>
  <c r="I101" i="68" s="1"/>
  <c r="F106" i="66"/>
  <c r="I106" i="66" s="1"/>
  <c r="F105" i="66"/>
  <c r="I105" i="66" s="1"/>
  <c r="F104" i="66"/>
  <c r="I104" i="66" s="1"/>
  <c r="F103" i="66"/>
  <c r="I103" i="66" s="1"/>
  <c r="F102" i="66"/>
  <c r="I102" i="66" s="1"/>
  <c r="F101" i="66"/>
  <c r="I101" i="66" s="1"/>
  <c r="F106" i="63"/>
  <c r="I106" i="63" s="1"/>
  <c r="F105" i="63"/>
  <c r="I105" i="63" s="1"/>
  <c r="F104" i="63"/>
  <c r="I104" i="63" s="1"/>
  <c r="F103" i="63"/>
  <c r="I103" i="63" s="1"/>
  <c r="F102" i="63"/>
  <c r="I102" i="63" s="1"/>
  <c r="F101" i="63"/>
  <c r="I101" i="63" s="1"/>
  <c r="F106" i="62"/>
  <c r="I106" i="62" s="1"/>
  <c r="F105" i="62"/>
  <c r="I105" i="62" s="1"/>
  <c r="F104" i="62"/>
  <c r="I104" i="62" s="1"/>
  <c r="F103" i="62"/>
  <c r="I103" i="62" s="1"/>
  <c r="F102" i="62"/>
  <c r="I102" i="62" s="1"/>
  <c r="F101" i="62"/>
  <c r="I101" i="62" s="1"/>
  <c r="F106" i="58"/>
  <c r="I106" i="58" s="1"/>
  <c r="F105" i="58"/>
  <c r="I105" i="58" s="1"/>
  <c r="F104" i="58"/>
  <c r="I104" i="58" s="1"/>
  <c r="F103" i="58"/>
  <c r="I103" i="58" s="1"/>
  <c r="F102" i="58"/>
  <c r="I102" i="58" s="1"/>
  <c r="F101" i="58"/>
  <c r="I101" i="58" s="1"/>
  <c r="F106" i="136"/>
  <c r="I106" i="136" s="1"/>
  <c r="F105" i="136"/>
  <c r="I105" i="136" s="1"/>
  <c r="F104" i="136"/>
  <c r="I104" i="136" s="1"/>
  <c r="F103" i="136"/>
  <c r="I103" i="136" s="1"/>
  <c r="F102" i="136"/>
  <c r="I102" i="136" s="1"/>
  <c r="F101" i="136"/>
  <c r="I101" i="136" s="1"/>
  <c r="F106" i="141"/>
  <c r="I106" i="141" s="1"/>
  <c r="F105" i="141"/>
  <c r="I105" i="141" s="1"/>
  <c r="F104" i="141"/>
  <c r="I104" i="141" s="1"/>
  <c r="F103" i="141"/>
  <c r="I103" i="141" s="1"/>
  <c r="F102" i="141"/>
  <c r="I102" i="141" s="1"/>
  <c r="F101" i="141"/>
  <c r="I101" i="141" s="1"/>
  <c r="F106" i="174"/>
  <c r="I106" i="174" s="1"/>
  <c r="F105" i="174"/>
  <c r="I105" i="174" s="1"/>
  <c r="F104" i="174"/>
  <c r="I104" i="174" s="1"/>
  <c r="F103" i="174"/>
  <c r="I103" i="174" s="1"/>
  <c r="F102" i="174"/>
  <c r="I102" i="174" s="1"/>
  <c r="F101" i="174"/>
  <c r="I101" i="174" s="1"/>
  <c r="F106" i="53"/>
  <c r="I106" i="53" s="1"/>
  <c r="F105" i="53"/>
  <c r="I105" i="53" s="1"/>
  <c r="F104" i="53"/>
  <c r="I104" i="53" s="1"/>
  <c r="F103" i="53"/>
  <c r="I103" i="53" s="1"/>
  <c r="F102" i="53"/>
  <c r="I102" i="53" s="1"/>
  <c r="F101" i="53"/>
  <c r="I101" i="53" s="1"/>
  <c r="F106" i="98"/>
  <c r="I106" i="98" s="1"/>
  <c r="F105" i="98"/>
  <c r="I105" i="98" s="1"/>
  <c r="F104" i="98"/>
  <c r="I104" i="98" s="1"/>
  <c r="F103" i="98"/>
  <c r="I103" i="98" s="1"/>
  <c r="F102" i="98"/>
  <c r="I102" i="98" s="1"/>
  <c r="F101" i="98"/>
  <c r="I101" i="98" s="1"/>
  <c r="F106" i="49"/>
  <c r="I106" i="49" s="1"/>
  <c r="F105" i="49"/>
  <c r="I105" i="49" s="1"/>
  <c r="F104" i="49"/>
  <c r="I104" i="49" s="1"/>
  <c r="F103" i="49"/>
  <c r="I103" i="49" s="1"/>
  <c r="F102" i="49"/>
  <c r="I102" i="49" s="1"/>
  <c r="F101" i="49"/>
  <c r="I101" i="49" s="1"/>
  <c r="F106" i="83"/>
  <c r="F105" i="83"/>
  <c r="F104" i="83"/>
  <c r="F103" i="83"/>
  <c r="F102" i="83"/>
  <c r="F101" i="83"/>
  <c r="F106" i="46"/>
  <c r="I106" i="46" s="1"/>
  <c r="F105" i="46"/>
  <c r="I105" i="46" s="1"/>
  <c r="F104" i="46"/>
  <c r="I104" i="46" s="1"/>
  <c r="F103" i="46"/>
  <c r="I103" i="46" s="1"/>
  <c r="F102" i="46"/>
  <c r="I102" i="46" s="1"/>
  <c r="F101" i="46"/>
  <c r="I101" i="46" s="1"/>
  <c r="F106" i="102"/>
  <c r="I106" i="102" s="1"/>
  <c r="F105" i="102"/>
  <c r="I105" i="102" s="1"/>
  <c r="F104" i="102"/>
  <c r="I104" i="102" s="1"/>
  <c r="F103" i="102"/>
  <c r="I103" i="102" s="1"/>
  <c r="F102" i="102"/>
  <c r="I102" i="102" s="1"/>
  <c r="F101" i="102"/>
  <c r="I101" i="102" s="1"/>
  <c r="F106" i="43"/>
  <c r="I106" i="43" s="1"/>
  <c r="F105" i="43"/>
  <c r="I105" i="43" s="1"/>
  <c r="F104" i="43"/>
  <c r="I104" i="43" s="1"/>
  <c r="F103" i="43"/>
  <c r="I103" i="43" s="1"/>
  <c r="F102" i="43"/>
  <c r="I102" i="43" s="1"/>
  <c r="F101" i="43"/>
  <c r="I101" i="43" s="1"/>
  <c r="F106" i="175"/>
  <c r="I106" i="175" s="1"/>
  <c r="F105" i="175"/>
  <c r="I105" i="175" s="1"/>
  <c r="F104" i="175"/>
  <c r="I104" i="175" s="1"/>
  <c r="F103" i="175"/>
  <c r="I103" i="175" s="1"/>
  <c r="F102" i="175"/>
  <c r="I102" i="175" s="1"/>
  <c r="F101" i="175"/>
  <c r="I101" i="175" s="1"/>
  <c r="F106" i="57"/>
  <c r="I106" i="57" s="1"/>
  <c r="F105" i="57"/>
  <c r="I105" i="57" s="1"/>
  <c r="F104" i="57"/>
  <c r="I104" i="57" s="1"/>
  <c r="F103" i="57"/>
  <c r="I103" i="57" s="1"/>
  <c r="F102" i="57"/>
  <c r="I102" i="57" s="1"/>
  <c r="F101" i="57"/>
  <c r="I101" i="57" s="1"/>
  <c r="F106" i="84"/>
  <c r="I106" i="84" s="1"/>
  <c r="F105" i="84"/>
  <c r="I105" i="84" s="1"/>
  <c r="F104" i="84"/>
  <c r="I104" i="84" s="1"/>
  <c r="F103" i="84"/>
  <c r="I103" i="84" s="1"/>
  <c r="F102" i="84"/>
  <c r="I102" i="84" s="1"/>
  <c r="F101" i="84"/>
  <c r="I101" i="84" s="1"/>
  <c r="F106" i="167"/>
  <c r="I106" i="167" s="1"/>
  <c r="F105" i="167"/>
  <c r="I105" i="167" s="1"/>
  <c r="F104" i="167"/>
  <c r="I104" i="167" s="1"/>
  <c r="F103" i="167"/>
  <c r="I103" i="167" s="1"/>
  <c r="F102" i="167"/>
  <c r="I102" i="167" s="1"/>
  <c r="F101" i="167"/>
  <c r="I101" i="167" s="1"/>
  <c r="F106" i="39"/>
  <c r="I106" i="39" s="1"/>
  <c r="F105" i="39"/>
  <c r="I105" i="39" s="1"/>
  <c r="F104" i="39"/>
  <c r="I104" i="39" s="1"/>
  <c r="F103" i="39"/>
  <c r="I103" i="39" s="1"/>
  <c r="F102" i="39"/>
  <c r="I102" i="39" s="1"/>
  <c r="F101" i="39"/>
  <c r="I101" i="39" s="1"/>
  <c r="F106" i="135"/>
  <c r="I106" i="135" s="1"/>
  <c r="F105" i="135"/>
  <c r="I105" i="135" s="1"/>
  <c r="F104" i="135"/>
  <c r="I104" i="135" s="1"/>
  <c r="F103" i="135"/>
  <c r="I103" i="135" s="1"/>
  <c r="F102" i="135"/>
  <c r="I102" i="135" s="1"/>
  <c r="F101" i="135"/>
  <c r="I101" i="135" s="1"/>
  <c r="F106" i="38"/>
  <c r="I106" i="38" s="1"/>
  <c r="F105" i="38"/>
  <c r="I105" i="38" s="1"/>
  <c r="F104" i="38"/>
  <c r="I104" i="38" s="1"/>
  <c r="F103" i="38"/>
  <c r="I103" i="38" s="1"/>
  <c r="F102" i="38"/>
  <c r="I102" i="38" s="1"/>
  <c r="F101" i="38"/>
  <c r="I101" i="38" s="1"/>
  <c r="F106" i="103"/>
  <c r="I106" i="103" s="1"/>
  <c r="F105" i="103"/>
  <c r="I105" i="103" s="1"/>
  <c r="F104" i="103"/>
  <c r="I104" i="103" s="1"/>
  <c r="F103" i="103"/>
  <c r="I103" i="103" s="1"/>
  <c r="F102" i="103"/>
  <c r="I102" i="103" s="1"/>
  <c r="F101" i="103"/>
  <c r="I101" i="103" s="1"/>
  <c r="F106" i="133"/>
  <c r="I106" i="133" s="1"/>
  <c r="F105" i="133"/>
  <c r="I105" i="133" s="1"/>
  <c r="F104" i="133"/>
  <c r="I104" i="133" s="1"/>
  <c r="F103" i="133"/>
  <c r="I103" i="133" s="1"/>
  <c r="F102" i="133"/>
  <c r="I102" i="133" s="1"/>
  <c r="F101" i="133"/>
  <c r="I101" i="133" s="1"/>
  <c r="F106" i="152"/>
  <c r="I106" i="152" s="1"/>
  <c r="F105" i="152"/>
  <c r="I105" i="152" s="1"/>
  <c r="F104" i="152"/>
  <c r="I104" i="152" s="1"/>
  <c r="F103" i="152"/>
  <c r="I103" i="152" s="1"/>
  <c r="F102" i="152"/>
  <c r="I102" i="152" s="1"/>
  <c r="F101" i="152"/>
  <c r="I101" i="152" s="1"/>
  <c r="F106" i="47"/>
  <c r="I106" i="47" s="1"/>
  <c r="F105" i="47"/>
  <c r="I105" i="47" s="1"/>
  <c r="F104" i="47"/>
  <c r="I104" i="47" s="1"/>
  <c r="F103" i="47"/>
  <c r="I103" i="47" s="1"/>
  <c r="F102" i="47"/>
  <c r="I102" i="47" s="1"/>
  <c r="F101" i="47"/>
  <c r="I101" i="47" s="1"/>
  <c r="F106" i="120"/>
  <c r="I106" i="120" s="1"/>
  <c r="F105" i="120"/>
  <c r="I105" i="120" s="1"/>
  <c r="F104" i="120"/>
  <c r="I104" i="120" s="1"/>
  <c r="F103" i="120"/>
  <c r="I103" i="120" s="1"/>
  <c r="F102" i="120"/>
  <c r="I102" i="120" s="1"/>
  <c r="F101" i="120"/>
  <c r="I101" i="120" s="1"/>
  <c r="F106" i="37"/>
  <c r="I106" i="37" s="1"/>
  <c r="F105" i="37"/>
  <c r="I105" i="37" s="1"/>
  <c r="F104" i="37"/>
  <c r="I104" i="37" s="1"/>
  <c r="F103" i="37"/>
  <c r="I103" i="37" s="1"/>
  <c r="F102" i="37"/>
  <c r="I102" i="37" s="1"/>
  <c r="F101" i="37"/>
  <c r="I101" i="37" s="1"/>
  <c r="F106" i="90"/>
  <c r="I106" i="90" s="1"/>
  <c r="F105" i="90"/>
  <c r="I105" i="90" s="1"/>
  <c r="F104" i="90"/>
  <c r="I104" i="90" s="1"/>
  <c r="F103" i="90"/>
  <c r="I103" i="90" s="1"/>
  <c r="F102" i="90"/>
  <c r="I102" i="90" s="1"/>
  <c r="F101" i="90"/>
  <c r="I101" i="90" s="1"/>
  <c r="F106" i="24"/>
  <c r="I106" i="24" s="1"/>
  <c r="F105" i="24"/>
  <c r="I105" i="24" s="1"/>
  <c r="F104" i="24"/>
  <c r="I104" i="24" s="1"/>
  <c r="F103" i="24"/>
  <c r="I103" i="24" s="1"/>
  <c r="F102" i="24"/>
  <c r="I102" i="24" s="1"/>
  <c r="F101" i="24"/>
  <c r="I101" i="24" s="1"/>
  <c r="F106" i="32"/>
  <c r="I106" i="32" s="1"/>
  <c r="F105" i="32"/>
  <c r="I105" i="32" s="1"/>
  <c r="F104" i="32"/>
  <c r="I104" i="32" s="1"/>
  <c r="F103" i="32"/>
  <c r="I103" i="32" s="1"/>
  <c r="F102" i="32"/>
  <c r="I102" i="32" s="1"/>
  <c r="F101" i="32"/>
  <c r="I101" i="32" s="1"/>
  <c r="F106" i="79"/>
  <c r="I106" i="79" s="1"/>
  <c r="F105" i="79"/>
  <c r="I105" i="79" s="1"/>
  <c r="F104" i="79"/>
  <c r="I104" i="79" s="1"/>
  <c r="F103" i="79"/>
  <c r="I103" i="79" s="1"/>
  <c r="F102" i="79"/>
  <c r="I102" i="79" s="1"/>
  <c r="F101" i="79"/>
  <c r="I101" i="79" s="1"/>
  <c r="F106" i="31"/>
  <c r="I106" i="31" s="1"/>
  <c r="F105" i="31"/>
  <c r="I105" i="31" s="1"/>
  <c r="F104" i="31"/>
  <c r="I104" i="31" s="1"/>
  <c r="F103" i="31"/>
  <c r="I103" i="31" s="1"/>
  <c r="F102" i="31"/>
  <c r="I102" i="31" s="1"/>
  <c r="F101" i="31"/>
  <c r="I101" i="31" s="1"/>
  <c r="F106" i="64"/>
  <c r="I106" i="64" s="1"/>
  <c r="F105" i="64"/>
  <c r="I105" i="64" s="1"/>
  <c r="F104" i="64"/>
  <c r="I104" i="64" s="1"/>
  <c r="F103" i="64"/>
  <c r="I103" i="64" s="1"/>
  <c r="F102" i="64"/>
  <c r="I102" i="64" s="1"/>
  <c r="F101" i="64"/>
  <c r="I101" i="64" s="1"/>
  <c r="F106" i="113"/>
  <c r="I106" i="113" s="1"/>
  <c r="F105" i="113"/>
  <c r="I105" i="113" s="1"/>
  <c r="F104" i="113"/>
  <c r="I104" i="113" s="1"/>
  <c r="F103" i="113"/>
  <c r="I103" i="113" s="1"/>
  <c r="F102" i="113"/>
  <c r="I102" i="113" s="1"/>
  <c r="F101" i="113"/>
  <c r="I101" i="113" s="1"/>
  <c r="F106" i="72"/>
  <c r="I106" i="72" s="1"/>
  <c r="F105" i="72"/>
  <c r="I105" i="72" s="1"/>
  <c r="F104" i="72"/>
  <c r="I104" i="72" s="1"/>
  <c r="F103" i="72"/>
  <c r="I103" i="72" s="1"/>
  <c r="F102" i="72"/>
  <c r="I102" i="72" s="1"/>
  <c r="F101" i="72"/>
  <c r="I101" i="72" s="1"/>
  <c r="F106" i="28"/>
  <c r="I106" i="28" s="1"/>
  <c r="F105" i="28"/>
  <c r="I105" i="28" s="1"/>
  <c r="F104" i="28"/>
  <c r="I104" i="28" s="1"/>
  <c r="F103" i="28"/>
  <c r="I103" i="28" s="1"/>
  <c r="F102" i="28"/>
  <c r="I102" i="28" s="1"/>
  <c r="F101" i="28"/>
  <c r="I101" i="28" s="1"/>
  <c r="F106" i="65"/>
  <c r="I106" i="65" s="1"/>
  <c r="F105" i="65"/>
  <c r="I105" i="65" s="1"/>
  <c r="F104" i="65"/>
  <c r="I104" i="65" s="1"/>
  <c r="F103" i="65"/>
  <c r="I103" i="65" s="1"/>
  <c r="F102" i="65"/>
  <c r="I102" i="65" s="1"/>
  <c r="F101" i="65"/>
  <c r="I101" i="65" s="1"/>
  <c r="F106" i="119"/>
  <c r="I106" i="119" s="1"/>
  <c r="F105" i="119"/>
  <c r="I105" i="119" s="1"/>
  <c r="F104" i="119"/>
  <c r="I104" i="119" s="1"/>
  <c r="F103" i="119"/>
  <c r="I103" i="119" s="1"/>
  <c r="F102" i="119"/>
  <c r="I102" i="119" s="1"/>
  <c r="F101" i="119"/>
  <c r="I101" i="119" s="1"/>
  <c r="F106" i="25"/>
  <c r="I106" i="25" s="1"/>
  <c r="F105" i="25"/>
  <c r="I105" i="25" s="1"/>
  <c r="F104" i="25"/>
  <c r="I104" i="25" s="1"/>
  <c r="F103" i="25"/>
  <c r="I103" i="25" s="1"/>
  <c r="F102" i="25"/>
  <c r="I102" i="25" s="1"/>
  <c r="F101" i="25"/>
  <c r="I101" i="25" s="1"/>
  <c r="F106" i="155"/>
  <c r="I106" i="155" s="1"/>
  <c r="F105" i="155"/>
  <c r="I105" i="155" s="1"/>
  <c r="F104" i="155"/>
  <c r="I104" i="155" s="1"/>
  <c r="F103" i="155"/>
  <c r="I103" i="155" s="1"/>
  <c r="F102" i="155"/>
  <c r="I102" i="155" s="1"/>
  <c r="F101" i="155"/>
  <c r="I101" i="155" s="1"/>
  <c r="F106" i="156"/>
  <c r="I106" i="156" s="1"/>
  <c r="F105" i="156"/>
  <c r="I105" i="156" s="1"/>
  <c r="F104" i="156"/>
  <c r="I104" i="156" s="1"/>
  <c r="F103" i="156"/>
  <c r="I103" i="156" s="1"/>
  <c r="F102" i="156"/>
  <c r="I102" i="156" s="1"/>
  <c r="F101" i="156"/>
  <c r="I101" i="156" s="1"/>
  <c r="F106" i="20"/>
  <c r="I106" i="20" s="1"/>
  <c r="F105" i="20"/>
  <c r="I105" i="20" s="1"/>
  <c r="F104" i="20"/>
  <c r="I104" i="20" s="1"/>
  <c r="F103" i="20"/>
  <c r="I103" i="20" s="1"/>
  <c r="F102" i="20"/>
  <c r="I102" i="20" s="1"/>
  <c r="F101" i="20"/>
  <c r="I101" i="20" s="1"/>
  <c r="F106" i="42"/>
  <c r="I106" i="42" s="1"/>
  <c r="F105" i="42"/>
  <c r="I105" i="42" s="1"/>
  <c r="F104" i="42"/>
  <c r="I104" i="42" s="1"/>
  <c r="F103" i="42"/>
  <c r="I103" i="42" s="1"/>
  <c r="F102" i="42"/>
  <c r="I102" i="42" s="1"/>
  <c r="F101" i="42"/>
  <c r="I101" i="42" s="1"/>
  <c r="F106" i="157"/>
  <c r="I106" i="157" s="1"/>
  <c r="F105" i="157"/>
  <c r="I105" i="157" s="1"/>
  <c r="F104" i="157"/>
  <c r="I104" i="157" s="1"/>
  <c r="F103" i="157"/>
  <c r="I103" i="157" s="1"/>
  <c r="F102" i="157"/>
  <c r="I102" i="157" s="1"/>
  <c r="F101" i="157"/>
  <c r="I101" i="157" s="1"/>
  <c r="F106" i="159"/>
  <c r="I106" i="159" s="1"/>
  <c r="F105" i="159"/>
  <c r="I105" i="159" s="1"/>
  <c r="F104" i="159"/>
  <c r="I104" i="159" s="1"/>
  <c r="F103" i="159"/>
  <c r="I103" i="159" s="1"/>
  <c r="F102" i="159"/>
  <c r="I102" i="159" s="1"/>
  <c r="F101" i="159"/>
  <c r="I101" i="159" s="1"/>
  <c r="F106" i="158"/>
  <c r="I106" i="158" s="1"/>
  <c r="F105" i="158"/>
  <c r="I105" i="158" s="1"/>
  <c r="F104" i="158"/>
  <c r="I104" i="158" s="1"/>
  <c r="F103" i="158"/>
  <c r="I103" i="158" s="1"/>
  <c r="F102" i="158"/>
  <c r="I102" i="158" s="1"/>
  <c r="F101" i="158"/>
  <c r="I101" i="158" s="1"/>
  <c r="F106" i="16"/>
  <c r="I106" i="16" s="1"/>
  <c r="F105" i="16"/>
  <c r="I105" i="16" s="1"/>
  <c r="F104" i="16"/>
  <c r="I104" i="16" s="1"/>
  <c r="F103" i="16"/>
  <c r="I103" i="16" s="1"/>
  <c r="F102" i="16"/>
  <c r="I102" i="16" s="1"/>
  <c r="F101" i="16"/>
  <c r="I101" i="16" s="1"/>
  <c r="F106" i="27"/>
  <c r="I106" i="27" s="1"/>
  <c r="F105" i="27"/>
  <c r="I105" i="27" s="1"/>
  <c r="F104" i="27"/>
  <c r="I104" i="27" s="1"/>
  <c r="F103" i="27"/>
  <c r="I103" i="27" s="1"/>
  <c r="F102" i="27"/>
  <c r="I102" i="27" s="1"/>
  <c r="F101" i="27"/>
  <c r="I101" i="27" s="1"/>
  <c r="F106" i="111"/>
  <c r="I106" i="111" s="1"/>
  <c r="F105" i="111"/>
  <c r="I105" i="111" s="1"/>
  <c r="F104" i="111"/>
  <c r="I104" i="111" s="1"/>
  <c r="F103" i="111"/>
  <c r="I103" i="111" s="1"/>
  <c r="F102" i="111"/>
  <c r="I102" i="111" s="1"/>
  <c r="F101" i="111"/>
  <c r="I101" i="111" s="1"/>
  <c r="F106" i="71"/>
  <c r="I106" i="71" s="1"/>
  <c r="F105" i="71"/>
  <c r="I105" i="71" s="1"/>
  <c r="F104" i="71"/>
  <c r="I104" i="71" s="1"/>
  <c r="F103" i="71"/>
  <c r="I103" i="71" s="1"/>
  <c r="F102" i="71"/>
  <c r="I102" i="71" s="1"/>
  <c r="F101" i="71"/>
  <c r="I101" i="71" s="1"/>
  <c r="F106" i="165"/>
  <c r="I106" i="165" s="1"/>
  <c r="F105" i="165"/>
  <c r="I105" i="165" s="1"/>
  <c r="F104" i="165"/>
  <c r="I104" i="165" s="1"/>
  <c r="F103" i="165"/>
  <c r="I103" i="165" s="1"/>
  <c r="F102" i="165"/>
  <c r="I102" i="165" s="1"/>
  <c r="F101" i="165"/>
  <c r="I101" i="165" s="1"/>
  <c r="F106" i="55"/>
  <c r="I106" i="55" s="1"/>
  <c r="F105" i="55"/>
  <c r="I105" i="55" s="1"/>
  <c r="F104" i="55"/>
  <c r="I104" i="55" s="1"/>
  <c r="F103" i="55"/>
  <c r="I103" i="55" s="1"/>
  <c r="F102" i="55"/>
  <c r="I102" i="55" s="1"/>
  <c r="F101" i="55"/>
  <c r="I101" i="55" s="1"/>
  <c r="F106" i="21"/>
  <c r="I106" i="21" s="1"/>
  <c r="F105" i="21"/>
  <c r="I105" i="21" s="1"/>
  <c r="F104" i="21"/>
  <c r="I104" i="21" s="1"/>
  <c r="F103" i="21"/>
  <c r="I103" i="21" s="1"/>
  <c r="F102" i="21"/>
  <c r="I102" i="21" s="1"/>
  <c r="F101" i="21"/>
  <c r="I101" i="21" s="1"/>
  <c r="F106" i="14"/>
  <c r="I106" i="14" s="1"/>
  <c r="F105" i="14"/>
  <c r="I105" i="14" s="1"/>
  <c r="F104" i="14"/>
  <c r="I104" i="14" s="1"/>
  <c r="F103" i="14"/>
  <c r="I103" i="14" s="1"/>
  <c r="F102" i="14"/>
  <c r="I102" i="14" s="1"/>
  <c r="F101" i="14"/>
  <c r="I101" i="14" s="1"/>
  <c r="F106" i="85"/>
  <c r="I106" i="85" s="1"/>
  <c r="F105" i="85"/>
  <c r="I105" i="85" s="1"/>
  <c r="F104" i="85"/>
  <c r="I104" i="85" s="1"/>
  <c r="F103" i="85"/>
  <c r="I103" i="85" s="1"/>
  <c r="F102" i="85"/>
  <c r="I102" i="85" s="1"/>
  <c r="F101" i="85"/>
  <c r="I101" i="85" s="1"/>
  <c r="F106" i="87"/>
  <c r="I106" i="87" s="1"/>
  <c r="F105" i="87"/>
  <c r="I105" i="87" s="1"/>
  <c r="F104" i="87"/>
  <c r="I104" i="87" s="1"/>
  <c r="F103" i="87"/>
  <c r="I103" i="87" s="1"/>
  <c r="F102" i="87"/>
  <c r="I102" i="87" s="1"/>
  <c r="F101" i="87"/>
  <c r="I101" i="87" s="1"/>
  <c r="F106" i="86"/>
  <c r="I106" i="86" s="1"/>
  <c r="F105" i="86"/>
  <c r="I105" i="86" s="1"/>
  <c r="F104" i="86"/>
  <c r="I104" i="86" s="1"/>
  <c r="F103" i="86"/>
  <c r="I103" i="86" s="1"/>
  <c r="F102" i="86"/>
  <c r="I102" i="86" s="1"/>
  <c r="F101" i="86"/>
  <c r="I101" i="86" s="1"/>
  <c r="F106" i="89"/>
  <c r="I106" i="89" s="1"/>
  <c r="F105" i="89"/>
  <c r="I105" i="89" s="1"/>
  <c r="F104" i="89"/>
  <c r="I104" i="89" s="1"/>
  <c r="F103" i="89"/>
  <c r="I103" i="89" s="1"/>
  <c r="F102" i="89"/>
  <c r="I102" i="89" s="1"/>
  <c r="F101" i="89"/>
  <c r="I101" i="89" s="1"/>
  <c r="F106" i="142"/>
  <c r="I106" i="142" s="1"/>
  <c r="F105" i="142"/>
  <c r="I105" i="142" s="1"/>
  <c r="F104" i="142"/>
  <c r="I104" i="142" s="1"/>
  <c r="F103" i="142"/>
  <c r="I103" i="142" s="1"/>
  <c r="F102" i="142"/>
  <c r="I102" i="142" s="1"/>
  <c r="F101" i="142"/>
  <c r="I101" i="142" s="1"/>
  <c r="F106" i="92"/>
  <c r="I106" i="92" s="1"/>
  <c r="F105" i="92"/>
  <c r="I105" i="92" s="1"/>
  <c r="F104" i="92"/>
  <c r="I104" i="92" s="1"/>
  <c r="F103" i="92"/>
  <c r="I103" i="92" s="1"/>
  <c r="F102" i="92"/>
  <c r="I102" i="92" s="1"/>
  <c r="F101" i="92"/>
  <c r="I101" i="92" s="1"/>
  <c r="F106" i="1"/>
  <c r="I106" i="1" s="1"/>
  <c r="F105" i="1"/>
  <c r="I105" i="1" s="1"/>
  <c r="F104" i="1"/>
  <c r="I104" i="1" s="1"/>
  <c r="F103" i="1"/>
  <c r="I103" i="1" s="1"/>
  <c r="F102" i="1"/>
  <c r="I102" i="1" s="1"/>
  <c r="F101" i="1"/>
  <c r="I101" i="1" s="1"/>
  <c r="F106" i="50"/>
  <c r="I106" i="50" s="1"/>
  <c r="F105" i="50"/>
  <c r="I105" i="50" s="1"/>
  <c r="F104" i="50"/>
  <c r="I104" i="50" s="1"/>
  <c r="F103" i="50"/>
  <c r="I103" i="50" s="1"/>
  <c r="F102" i="50"/>
  <c r="I102" i="50" s="1"/>
  <c r="F101" i="50"/>
  <c r="I101" i="50" s="1"/>
  <c r="F106" i="95"/>
  <c r="I106" i="95" s="1"/>
  <c r="F105" i="95"/>
  <c r="I105" i="95" s="1"/>
  <c r="F104" i="95"/>
  <c r="I104" i="95" s="1"/>
  <c r="F103" i="95"/>
  <c r="I103" i="95" s="1"/>
  <c r="F102" i="95"/>
  <c r="I102" i="95" s="1"/>
  <c r="F101" i="95"/>
  <c r="I101" i="95" s="1"/>
  <c r="F106" i="180"/>
  <c r="I106" i="180" s="1"/>
  <c r="F105" i="180"/>
  <c r="I105" i="180" s="1"/>
  <c r="F104" i="180"/>
  <c r="I104" i="180" s="1"/>
  <c r="F103" i="180"/>
  <c r="I103" i="180" s="1"/>
  <c r="F102" i="180"/>
  <c r="I102" i="180" s="1"/>
  <c r="F101" i="180"/>
  <c r="I101" i="180" s="1"/>
  <c r="F97" i="118"/>
  <c r="I97" i="118" s="1"/>
  <c r="F96" i="118"/>
  <c r="I96" i="118" s="1"/>
  <c r="F95" i="118"/>
  <c r="I95" i="118" s="1"/>
  <c r="F94" i="118"/>
  <c r="I94" i="118" s="1"/>
  <c r="F93" i="118"/>
  <c r="I93" i="118" s="1"/>
  <c r="F92" i="118"/>
  <c r="I92" i="118" s="1"/>
  <c r="F91" i="118"/>
  <c r="I91" i="118" s="1"/>
  <c r="F90" i="118"/>
  <c r="I90" i="118" s="1"/>
  <c r="F89" i="118"/>
  <c r="I89" i="118" s="1"/>
  <c r="F88" i="118"/>
  <c r="I88" i="118" s="1"/>
  <c r="F87" i="118"/>
  <c r="I87" i="118" s="1"/>
  <c r="F97" i="60"/>
  <c r="I97" i="60" s="1"/>
  <c r="F96" i="60"/>
  <c r="I96" i="60" s="1"/>
  <c r="F95" i="60"/>
  <c r="I95" i="60" s="1"/>
  <c r="F94" i="60"/>
  <c r="I94" i="60" s="1"/>
  <c r="F93" i="60"/>
  <c r="I93" i="60" s="1"/>
  <c r="F92" i="60"/>
  <c r="I92" i="60" s="1"/>
  <c r="F91" i="60"/>
  <c r="I91" i="60" s="1"/>
  <c r="F90" i="60"/>
  <c r="I90" i="60" s="1"/>
  <c r="F89" i="60"/>
  <c r="I89" i="60" s="1"/>
  <c r="F88" i="60"/>
  <c r="I88" i="60" s="1"/>
  <c r="F87" i="60"/>
  <c r="I87" i="60" s="1"/>
  <c r="F97" i="106"/>
  <c r="I97" i="106" s="1"/>
  <c r="F96" i="106"/>
  <c r="I96" i="106" s="1"/>
  <c r="F95" i="106"/>
  <c r="I95" i="106" s="1"/>
  <c r="F94" i="106"/>
  <c r="I94" i="106" s="1"/>
  <c r="F93" i="106"/>
  <c r="I93" i="106" s="1"/>
  <c r="F92" i="106"/>
  <c r="I92" i="106" s="1"/>
  <c r="F91" i="106"/>
  <c r="I91" i="106" s="1"/>
  <c r="F90" i="106"/>
  <c r="I90" i="106" s="1"/>
  <c r="F89" i="106"/>
  <c r="I89" i="106" s="1"/>
  <c r="F88" i="106"/>
  <c r="I88" i="106" s="1"/>
  <c r="F87" i="106"/>
  <c r="I87" i="106" s="1"/>
  <c r="F97" i="104"/>
  <c r="I97" i="104" s="1"/>
  <c r="F96" i="104"/>
  <c r="I96" i="104" s="1"/>
  <c r="F95" i="104"/>
  <c r="I95" i="104" s="1"/>
  <c r="F94" i="104"/>
  <c r="I94" i="104" s="1"/>
  <c r="F93" i="104"/>
  <c r="I93" i="104" s="1"/>
  <c r="F92" i="104"/>
  <c r="I92" i="104" s="1"/>
  <c r="F91" i="104"/>
  <c r="I91" i="104" s="1"/>
  <c r="F90" i="104"/>
  <c r="I90" i="104" s="1"/>
  <c r="F89" i="104"/>
  <c r="I89" i="104" s="1"/>
  <c r="F88" i="104"/>
  <c r="I88" i="104" s="1"/>
  <c r="F87" i="104"/>
  <c r="I87" i="104" s="1"/>
  <c r="F97" i="54"/>
  <c r="I97" i="54" s="1"/>
  <c r="F96" i="54"/>
  <c r="I96" i="54" s="1"/>
  <c r="F95" i="54"/>
  <c r="I95" i="54" s="1"/>
  <c r="F94" i="54"/>
  <c r="I94" i="54" s="1"/>
  <c r="F93" i="54"/>
  <c r="I93" i="54" s="1"/>
  <c r="F92" i="54"/>
  <c r="I92" i="54" s="1"/>
  <c r="F91" i="54"/>
  <c r="I91" i="54" s="1"/>
  <c r="F90" i="54"/>
  <c r="I90" i="54" s="1"/>
  <c r="F89" i="54"/>
  <c r="I89" i="54" s="1"/>
  <c r="F88" i="54"/>
  <c r="I88" i="54" s="1"/>
  <c r="F87" i="54"/>
  <c r="I87" i="54" s="1"/>
  <c r="F97" i="181"/>
  <c r="I97" i="181" s="1"/>
  <c r="F96" i="181"/>
  <c r="I96" i="181" s="1"/>
  <c r="F95" i="181"/>
  <c r="I95" i="181" s="1"/>
  <c r="F94" i="181"/>
  <c r="I94" i="181" s="1"/>
  <c r="F93" i="181"/>
  <c r="I93" i="181" s="1"/>
  <c r="F92" i="181"/>
  <c r="I92" i="181" s="1"/>
  <c r="F91" i="181"/>
  <c r="I91" i="181" s="1"/>
  <c r="F90" i="181"/>
  <c r="I90" i="181" s="1"/>
  <c r="F89" i="181"/>
  <c r="I89" i="181" s="1"/>
  <c r="F88" i="181"/>
  <c r="I88" i="181" s="1"/>
  <c r="F87" i="181"/>
  <c r="I87" i="181" s="1"/>
  <c r="F97" i="94"/>
  <c r="I97" i="94" s="1"/>
  <c r="F96" i="94"/>
  <c r="I96" i="94" s="1"/>
  <c r="F95" i="94"/>
  <c r="I95" i="94" s="1"/>
  <c r="F94" i="94"/>
  <c r="I94" i="94" s="1"/>
  <c r="F93" i="94"/>
  <c r="I93" i="94" s="1"/>
  <c r="F92" i="94"/>
  <c r="I92" i="94" s="1"/>
  <c r="F91" i="94"/>
  <c r="I91" i="94" s="1"/>
  <c r="F90" i="94"/>
  <c r="I90" i="94" s="1"/>
  <c r="F89" i="94"/>
  <c r="I89" i="94" s="1"/>
  <c r="F88" i="94"/>
  <c r="I88" i="94" s="1"/>
  <c r="F87" i="94"/>
  <c r="I87" i="94" s="1"/>
  <c r="F97" i="145"/>
  <c r="I97" i="145" s="1"/>
  <c r="F96" i="145"/>
  <c r="I96" i="145" s="1"/>
  <c r="F95" i="145"/>
  <c r="I95" i="145" s="1"/>
  <c r="F94" i="145"/>
  <c r="I94" i="145" s="1"/>
  <c r="F93" i="145"/>
  <c r="I93" i="145" s="1"/>
  <c r="F92" i="145"/>
  <c r="I92" i="145" s="1"/>
  <c r="F91" i="145"/>
  <c r="I91" i="145" s="1"/>
  <c r="F90" i="145"/>
  <c r="I90" i="145" s="1"/>
  <c r="F89" i="145"/>
  <c r="I89" i="145" s="1"/>
  <c r="F88" i="145"/>
  <c r="I88" i="145" s="1"/>
  <c r="F87" i="145"/>
  <c r="I87" i="145" s="1"/>
  <c r="F97" i="33"/>
  <c r="I97" i="33" s="1"/>
  <c r="F96" i="33"/>
  <c r="I96" i="33" s="1"/>
  <c r="F95" i="33"/>
  <c r="I95" i="33" s="1"/>
  <c r="F94" i="33"/>
  <c r="I94" i="33" s="1"/>
  <c r="F93" i="33"/>
  <c r="I93" i="33" s="1"/>
  <c r="F92" i="33"/>
  <c r="I92" i="33" s="1"/>
  <c r="F91" i="33"/>
  <c r="I91" i="33" s="1"/>
  <c r="F90" i="33"/>
  <c r="I90" i="33" s="1"/>
  <c r="F89" i="33"/>
  <c r="I89" i="33" s="1"/>
  <c r="F88" i="33"/>
  <c r="I88" i="33" s="1"/>
  <c r="F87" i="33"/>
  <c r="I87" i="33" s="1"/>
  <c r="F97" i="177"/>
  <c r="I97" i="177" s="1"/>
  <c r="F96" i="177"/>
  <c r="I96" i="177" s="1"/>
  <c r="F95" i="177"/>
  <c r="I95" i="177" s="1"/>
  <c r="F94" i="177"/>
  <c r="I94" i="177" s="1"/>
  <c r="F93" i="177"/>
  <c r="I93" i="177" s="1"/>
  <c r="F92" i="177"/>
  <c r="I92" i="177" s="1"/>
  <c r="F91" i="177"/>
  <c r="I91" i="177" s="1"/>
  <c r="F90" i="177"/>
  <c r="I90" i="177" s="1"/>
  <c r="F89" i="177"/>
  <c r="I89" i="177" s="1"/>
  <c r="F88" i="177"/>
  <c r="I88" i="177" s="1"/>
  <c r="F87" i="177"/>
  <c r="I87" i="177" s="1"/>
  <c r="F97" i="164"/>
  <c r="I97" i="164" s="1"/>
  <c r="F96" i="164"/>
  <c r="I96" i="164" s="1"/>
  <c r="F95" i="164"/>
  <c r="I95" i="164" s="1"/>
  <c r="F94" i="164"/>
  <c r="I94" i="164" s="1"/>
  <c r="F93" i="164"/>
  <c r="I93" i="164" s="1"/>
  <c r="F92" i="164"/>
  <c r="I92" i="164" s="1"/>
  <c r="F91" i="164"/>
  <c r="I91" i="164" s="1"/>
  <c r="F90" i="164"/>
  <c r="I90" i="164" s="1"/>
  <c r="F89" i="164"/>
  <c r="I89" i="164" s="1"/>
  <c r="F88" i="164"/>
  <c r="I88" i="164" s="1"/>
  <c r="F87" i="164"/>
  <c r="I87" i="164" s="1"/>
  <c r="F97" i="19"/>
  <c r="I97" i="19" s="1"/>
  <c r="F96" i="19"/>
  <c r="I96" i="19" s="1"/>
  <c r="F95" i="19"/>
  <c r="I95" i="19" s="1"/>
  <c r="F94" i="19"/>
  <c r="I94" i="19" s="1"/>
  <c r="F93" i="19"/>
  <c r="I93" i="19" s="1"/>
  <c r="F92" i="19"/>
  <c r="I92" i="19" s="1"/>
  <c r="F91" i="19"/>
  <c r="I91" i="19" s="1"/>
  <c r="F90" i="19"/>
  <c r="I90" i="19" s="1"/>
  <c r="F89" i="19"/>
  <c r="I89" i="19" s="1"/>
  <c r="F88" i="19"/>
  <c r="I88" i="19" s="1"/>
  <c r="F87" i="19"/>
  <c r="I87" i="19" s="1"/>
  <c r="F97" i="15"/>
  <c r="I97" i="15" s="1"/>
  <c r="F96" i="15"/>
  <c r="I96" i="15" s="1"/>
  <c r="F95" i="15"/>
  <c r="I95" i="15" s="1"/>
  <c r="F94" i="15"/>
  <c r="I94" i="15" s="1"/>
  <c r="F93" i="15"/>
  <c r="I93" i="15" s="1"/>
  <c r="F92" i="15"/>
  <c r="I92" i="15" s="1"/>
  <c r="F91" i="15"/>
  <c r="I91" i="15" s="1"/>
  <c r="F90" i="15"/>
  <c r="I90" i="15" s="1"/>
  <c r="F89" i="15"/>
  <c r="I89" i="15" s="1"/>
  <c r="F88" i="15"/>
  <c r="I88" i="15" s="1"/>
  <c r="F87" i="15"/>
  <c r="I87" i="15" s="1"/>
  <c r="F97" i="178"/>
  <c r="I97" i="178" s="1"/>
  <c r="F96" i="178"/>
  <c r="I96" i="178" s="1"/>
  <c r="F95" i="178"/>
  <c r="I95" i="178" s="1"/>
  <c r="F94" i="178"/>
  <c r="I94" i="178" s="1"/>
  <c r="F93" i="178"/>
  <c r="I93" i="178" s="1"/>
  <c r="F92" i="178"/>
  <c r="I92" i="178" s="1"/>
  <c r="F91" i="178"/>
  <c r="I91" i="178" s="1"/>
  <c r="F90" i="178"/>
  <c r="I90" i="178" s="1"/>
  <c r="F89" i="178"/>
  <c r="I89" i="178" s="1"/>
  <c r="F88" i="178"/>
  <c r="I88" i="178" s="1"/>
  <c r="F87" i="178"/>
  <c r="I87" i="178" s="1"/>
  <c r="F97" i="150"/>
  <c r="I97" i="150" s="1"/>
  <c r="F96" i="150"/>
  <c r="I96" i="150" s="1"/>
  <c r="F95" i="150"/>
  <c r="I95" i="150" s="1"/>
  <c r="F94" i="150"/>
  <c r="I94" i="150" s="1"/>
  <c r="F93" i="150"/>
  <c r="I93" i="150" s="1"/>
  <c r="F92" i="150"/>
  <c r="I92" i="150" s="1"/>
  <c r="F91" i="150"/>
  <c r="I91" i="150" s="1"/>
  <c r="F90" i="150"/>
  <c r="I90" i="150" s="1"/>
  <c r="F89" i="150"/>
  <c r="I89" i="150" s="1"/>
  <c r="F88" i="150"/>
  <c r="I88" i="150" s="1"/>
  <c r="F87" i="150"/>
  <c r="I87" i="150" s="1"/>
  <c r="F97" i="68"/>
  <c r="I97" i="68" s="1"/>
  <c r="F96" i="68"/>
  <c r="I96" i="68" s="1"/>
  <c r="F95" i="68"/>
  <c r="I95" i="68" s="1"/>
  <c r="F94" i="68"/>
  <c r="I94" i="68" s="1"/>
  <c r="F93" i="68"/>
  <c r="I93" i="68" s="1"/>
  <c r="F92" i="68"/>
  <c r="I92" i="68" s="1"/>
  <c r="F91" i="68"/>
  <c r="I91" i="68" s="1"/>
  <c r="F90" i="68"/>
  <c r="I90" i="68" s="1"/>
  <c r="F89" i="68"/>
  <c r="I89" i="68" s="1"/>
  <c r="F88" i="68"/>
  <c r="I88" i="68" s="1"/>
  <c r="F87" i="68"/>
  <c r="I87" i="68" s="1"/>
  <c r="F97" i="66"/>
  <c r="I97" i="66" s="1"/>
  <c r="F96" i="66"/>
  <c r="I96" i="66" s="1"/>
  <c r="F95" i="66"/>
  <c r="I95" i="66" s="1"/>
  <c r="F94" i="66"/>
  <c r="I94" i="66" s="1"/>
  <c r="F93" i="66"/>
  <c r="I93" i="66" s="1"/>
  <c r="F92" i="66"/>
  <c r="I92" i="66" s="1"/>
  <c r="F91" i="66"/>
  <c r="I91" i="66" s="1"/>
  <c r="F90" i="66"/>
  <c r="I90" i="66" s="1"/>
  <c r="F89" i="66"/>
  <c r="I89" i="66" s="1"/>
  <c r="F88" i="66"/>
  <c r="I88" i="66" s="1"/>
  <c r="F87" i="66"/>
  <c r="I87" i="66" s="1"/>
  <c r="F97" i="63"/>
  <c r="I97" i="63" s="1"/>
  <c r="F96" i="63"/>
  <c r="I96" i="63" s="1"/>
  <c r="F95" i="63"/>
  <c r="I95" i="63" s="1"/>
  <c r="F94" i="63"/>
  <c r="I94" i="63" s="1"/>
  <c r="F93" i="63"/>
  <c r="I93" i="63" s="1"/>
  <c r="F92" i="63"/>
  <c r="I92" i="63" s="1"/>
  <c r="F91" i="63"/>
  <c r="I91" i="63" s="1"/>
  <c r="F90" i="63"/>
  <c r="I90" i="63" s="1"/>
  <c r="F89" i="63"/>
  <c r="I89" i="63" s="1"/>
  <c r="F88" i="63"/>
  <c r="I88" i="63" s="1"/>
  <c r="F87" i="63"/>
  <c r="I87" i="63" s="1"/>
  <c r="F97" i="62"/>
  <c r="I97" i="62" s="1"/>
  <c r="F96" i="62"/>
  <c r="I96" i="62" s="1"/>
  <c r="F95" i="62"/>
  <c r="I95" i="62" s="1"/>
  <c r="F94" i="62"/>
  <c r="I94" i="62" s="1"/>
  <c r="F93" i="62"/>
  <c r="I93" i="62" s="1"/>
  <c r="F92" i="62"/>
  <c r="I92" i="62" s="1"/>
  <c r="F91" i="62"/>
  <c r="I91" i="62" s="1"/>
  <c r="F90" i="62"/>
  <c r="I90" i="62" s="1"/>
  <c r="F89" i="62"/>
  <c r="I89" i="62" s="1"/>
  <c r="F88" i="62"/>
  <c r="I88" i="62" s="1"/>
  <c r="F87" i="62"/>
  <c r="I87" i="62" s="1"/>
  <c r="F97" i="58"/>
  <c r="I97" i="58" s="1"/>
  <c r="F96" i="58"/>
  <c r="I96" i="58" s="1"/>
  <c r="F95" i="58"/>
  <c r="I95" i="58" s="1"/>
  <c r="F94" i="58"/>
  <c r="I94" i="58" s="1"/>
  <c r="F93" i="58"/>
  <c r="I93" i="58" s="1"/>
  <c r="F92" i="58"/>
  <c r="I92" i="58" s="1"/>
  <c r="F91" i="58"/>
  <c r="I91" i="58" s="1"/>
  <c r="F90" i="58"/>
  <c r="I90" i="58" s="1"/>
  <c r="F89" i="58"/>
  <c r="I89" i="58" s="1"/>
  <c r="F88" i="58"/>
  <c r="I88" i="58" s="1"/>
  <c r="F87" i="58"/>
  <c r="I87" i="58" s="1"/>
  <c r="F97" i="136"/>
  <c r="I97" i="136" s="1"/>
  <c r="F96" i="136"/>
  <c r="I96" i="136" s="1"/>
  <c r="F95" i="136"/>
  <c r="I95" i="136" s="1"/>
  <c r="F94" i="136"/>
  <c r="I94" i="136" s="1"/>
  <c r="F93" i="136"/>
  <c r="I93" i="136" s="1"/>
  <c r="F92" i="136"/>
  <c r="I92" i="136" s="1"/>
  <c r="F91" i="136"/>
  <c r="I91" i="136" s="1"/>
  <c r="F90" i="136"/>
  <c r="I90" i="136" s="1"/>
  <c r="F89" i="136"/>
  <c r="I89" i="136" s="1"/>
  <c r="F88" i="136"/>
  <c r="I88" i="136" s="1"/>
  <c r="F87" i="136"/>
  <c r="I87" i="136" s="1"/>
  <c r="F97" i="141"/>
  <c r="I97" i="141" s="1"/>
  <c r="F96" i="141"/>
  <c r="I96" i="141" s="1"/>
  <c r="F95" i="141"/>
  <c r="I95" i="141" s="1"/>
  <c r="F94" i="141"/>
  <c r="I94" i="141" s="1"/>
  <c r="F93" i="141"/>
  <c r="I93" i="141" s="1"/>
  <c r="F92" i="141"/>
  <c r="I92" i="141" s="1"/>
  <c r="F91" i="141"/>
  <c r="I91" i="141" s="1"/>
  <c r="F90" i="141"/>
  <c r="I90" i="141" s="1"/>
  <c r="F89" i="141"/>
  <c r="I89" i="141" s="1"/>
  <c r="F88" i="141"/>
  <c r="I88" i="141" s="1"/>
  <c r="F87" i="141"/>
  <c r="I87" i="141" s="1"/>
  <c r="F97" i="174"/>
  <c r="I97" i="174" s="1"/>
  <c r="F96" i="174"/>
  <c r="I96" i="174" s="1"/>
  <c r="F95" i="174"/>
  <c r="I95" i="174" s="1"/>
  <c r="F94" i="174"/>
  <c r="I94" i="174" s="1"/>
  <c r="F93" i="174"/>
  <c r="I93" i="174" s="1"/>
  <c r="F92" i="174"/>
  <c r="I92" i="174" s="1"/>
  <c r="F91" i="174"/>
  <c r="I91" i="174" s="1"/>
  <c r="F90" i="174"/>
  <c r="I90" i="174" s="1"/>
  <c r="F89" i="174"/>
  <c r="I89" i="174" s="1"/>
  <c r="F88" i="174"/>
  <c r="I88" i="174" s="1"/>
  <c r="F87" i="174"/>
  <c r="I87" i="174" s="1"/>
  <c r="F97" i="53"/>
  <c r="I97" i="53" s="1"/>
  <c r="F96" i="53"/>
  <c r="I96" i="53" s="1"/>
  <c r="F95" i="53"/>
  <c r="I95" i="53" s="1"/>
  <c r="F94" i="53"/>
  <c r="I94" i="53" s="1"/>
  <c r="F93" i="53"/>
  <c r="I93" i="53" s="1"/>
  <c r="F92" i="53"/>
  <c r="I92" i="53" s="1"/>
  <c r="F91" i="53"/>
  <c r="I91" i="53" s="1"/>
  <c r="F90" i="53"/>
  <c r="I90" i="53" s="1"/>
  <c r="F89" i="53"/>
  <c r="I89" i="53" s="1"/>
  <c r="F88" i="53"/>
  <c r="I88" i="53" s="1"/>
  <c r="F87" i="53"/>
  <c r="I87" i="53" s="1"/>
  <c r="F97" i="98"/>
  <c r="I97" i="98" s="1"/>
  <c r="F96" i="98"/>
  <c r="I96" i="98" s="1"/>
  <c r="F95" i="98"/>
  <c r="I95" i="98" s="1"/>
  <c r="F94" i="98"/>
  <c r="I94" i="98" s="1"/>
  <c r="F93" i="98"/>
  <c r="I93" i="98" s="1"/>
  <c r="F92" i="98"/>
  <c r="I92" i="98" s="1"/>
  <c r="F91" i="98"/>
  <c r="I91" i="98" s="1"/>
  <c r="F90" i="98"/>
  <c r="I90" i="98" s="1"/>
  <c r="F89" i="98"/>
  <c r="I89" i="98" s="1"/>
  <c r="F88" i="98"/>
  <c r="I88" i="98" s="1"/>
  <c r="F87" i="98"/>
  <c r="I87" i="98" s="1"/>
  <c r="F97" i="49"/>
  <c r="I97" i="49" s="1"/>
  <c r="F96" i="49"/>
  <c r="I96" i="49" s="1"/>
  <c r="F95" i="49"/>
  <c r="I95" i="49" s="1"/>
  <c r="F94" i="49"/>
  <c r="I94" i="49" s="1"/>
  <c r="F93" i="49"/>
  <c r="I93" i="49" s="1"/>
  <c r="F92" i="49"/>
  <c r="I92" i="49" s="1"/>
  <c r="F91" i="49"/>
  <c r="I91" i="49" s="1"/>
  <c r="F90" i="49"/>
  <c r="I90" i="49" s="1"/>
  <c r="F89" i="49"/>
  <c r="I89" i="49" s="1"/>
  <c r="F88" i="49"/>
  <c r="I88" i="49" s="1"/>
  <c r="F87" i="49"/>
  <c r="I87" i="49" s="1"/>
  <c r="F97" i="83"/>
  <c r="F96" i="83"/>
  <c r="F95" i="83"/>
  <c r="F94" i="83"/>
  <c r="F93" i="83"/>
  <c r="F92" i="83"/>
  <c r="F91" i="83"/>
  <c r="F90" i="83"/>
  <c r="F89" i="83"/>
  <c r="F88" i="83"/>
  <c r="F87" i="83"/>
  <c r="F97" i="46"/>
  <c r="I97" i="46" s="1"/>
  <c r="F96" i="46"/>
  <c r="I96" i="46" s="1"/>
  <c r="F95" i="46"/>
  <c r="I95" i="46" s="1"/>
  <c r="F94" i="46"/>
  <c r="I94" i="46" s="1"/>
  <c r="F93" i="46"/>
  <c r="I93" i="46" s="1"/>
  <c r="F92" i="46"/>
  <c r="I92" i="46" s="1"/>
  <c r="F91" i="46"/>
  <c r="I91" i="46" s="1"/>
  <c r="F90" i="46"/>
  <c r="I90" i="46" s="1"/>
  <c r="F89" i="46"/>
  <c r="I89" i="46" s="1"/>
  <c r="F88" i="46"/>
  <c r="I88" i="46" s="1"/>
  <c r="F87" i="46"/>
  <c r="I87" i="46" s="1"/>
  <c r="F97" i="102"/>
  <c r="I97" i="102" s="1"/>
  <c r="F96" i="102"/>
  <c r="I96" i="102" s="1"/>
  <c r="F95" i="102"/>
  <c r="I95" i="102" s="1"/>
  <c r="F94" i="102"/>
  <c r="I94" i="102" s="1"/>
  <c r="F93" i="102"/>
  <c r="I93" i="102" s="1"/>
  <c r="F92" i="102"/>
  <c r="I92" i="102" s="1"/>
  <c r="F91" i="102"/>
  <c r="I91" i="102" s="1"/>
  <c r="F90" i="102"/>
  <c r="I90" i="102" s="1"/>
  <c r="F89" i="102"/>
  <c r="I89" i="102" s="1"/>
  <c r="F88" i="102"/>
  <c r="I88" i="102" s="1"/>
  <c r="F87" i="102"/>
  <c r="I87" i="102" s="1"/>
  <c r="F97" i="43"/>
  <c r="I97" i="43" s="1"/>
  <c r="F96" i="43"/>
  <c r="I96" i="43" s="1"/>
  <c r="F95" i="43"/>
  <c r="I95" i="43" s="1"/>
  <c r="F94" i="43"/>
  <c r="I94" i="43" s="1"/>
  <c r="F93" i="43"/>
  <c r="I93" i="43" s="1"/>
  <c r="F92" i="43"/>
  <c r="I92" i="43" s="1"/>
  <c r="F91" i="43"/>
  <c r="I91" i="43" s="1"/>
  <c r="F90" i="43"/>
  <c r="I90" i="43" s="1"/>
  <c r="F89" i="43"/>
  <c r="I89" i="43" s="1"/>
  <c r="F88" i="43"/>
  <c r="I88" i="43" s="1"/>
  <c r="F87" i="43"/>
  <c r="I87" i="43" s="1"/>
  <c r="F97" i="175"/>
  <c r="I97" i="175" s="1"/>
  <c r="F96" i="175"/>
  <c r="I96" i="175" s="1"/>
  <c r="F95" i="175"/>
  <c r="I95" i="175" s="1"/>
  <c r="F94" i="175"/>
  <c r="I94" i="175" s="1"/>
  <c r="F93" i="175"/>
  <c r="I93" i="175" s="1"/>
  <c r="F92" i="175"/>
  <c r="I92" i="175" s="1"/>
  <c r="F91" i="175"/>
  <c r="I91" i="175" s="1"/>
  <c r="F90" i="175"/>
  <c r="I90" i="175" s="1"/>
  <c r="F89" i="175"/>
  <c r="I89" i="175" s="1"/>
  <c r="F88" i="175"/>
  <c r="I88" i="175" s="1"/>
  <c r="F87" i="175"/>
  <c r="I87" i="175" s="1"/>
  <c r="F97" i="57"/>
  <c r="I97" i="57" s="1"/>
  <c r="F96" i="57"/>
  <c r="I96" i="57" s="1"/>
  <c r="F95" i="57"/>
  <c r="I95" i="57" s="1"/>
  <c r="F94" i="57"/>
  <c r="I94" i="57" s="1"/>
  <c r="F93" i="57"/>
  <c r="I93" i="57" s="1"/>
  <c r="F92" i="57"/>
  <c r="I92" i="57" s="1"/>
  <c r="F91" i="57"/>
  <c r="I91" i="57" s="1"/>
  <c r="F90" i="57"/>
  <c r="I90" i="57" s="1"/>
  <c r="F89" i="57"/>
  <c r="I89" i="57" s="1"/>
  <c r="F88" i="57"/>
  <c r="I88" i="57" s="1"/>
  <c r="F87" i="57"/>
  <c r="I87" i="57" s="1"/>
  <c r="F97" i="84"/>
  <c r="I97" i="84" s="1"/>
  <c r="F96" i="84"/>
  <c r="I96" i="84" s="1"/>
  <c r="F95" i="84"/>
  <c r="I95" i="84" s="1"/>
  <c r="F94" i="84"/>
  <c r="I94" i="84" s="1"/>
  <c r="F93" i="84"/>
  <c r="I93" i="84" s="1"/>
  <c r="F92" i="84"/>
  <c r="I92" i="84" s="1"/>
  <c r="F91" i="84"/>
  <c r="I91" i="84" s="1"/>
  <c r="F90" i="84"/>
  <c r="I90" i="84" s="1"/>
  <c r="F89" i="84"/>
  <c r="I89" i="84" s="1"/>
  <c r="F88" i="84"/>
  <c r="I88" i="84" s="1"/>
  <c r="F87" i="84"/>
  <c r="I87" i="84" s="1"/>
  <c r="F97" i="167"/>
  <c r="I97" i="167" s="1"/>
  <c r="F96" i="167"/>
  <c r="I96" i="167" s="1"/>
  <c r="F95" i="167"/>
  <c r="I95" i="167" s="1"/>
  <c r="F94" i="167"/>
  <c r="I94" i="167" s="1"/>
  <c r="F93" i="167"/>
  <c r="I93" i="167" s="1"/>
  <c r="F92" i="167"/>
  <c r="I92" i="167" s="1"/>
  <c r="F91" i="167"/>
  <c r="I91" i="167" s="1"/>
  <c r="F90" i="167"/>
  <c r="I90" i="167" s="1"/>
  <c r="F89" i="167"/>
  <c r="I89" i="167" s="1"/>
  <c r="F88" i="167"/>
  <c r="I88" i="167" s="1"/>
  <c r="F87" i="167"/>
  <c r="I87" i="167" s="1"/>
  <c r="F97" i="39"/>
  <c r="I97" i="39" s="1"/>
  <c r="F96" i="39"/>
  <c r="I96" i="39" s="1"/>
  <c r="F95" i="39"/>
  <c r="I95" i="39" s="1"/>
  <c r="F94" i="39"/>
  <c r="I94" i="39" s="1"/>
  <c r="F93" i="39"/>
  <c r="I93" i="39" s="1"/>
  <c r="F92" i="39"/>
  <c r="I92" i="39" s="1"/>
  <c r="F91" i="39"/>
  <c r="I91" i="39" s="1"/>
  <c r="F90" i="39"/>
  <c r="I90" i="39" s="1"/>
  <c r="F89" i="39"/>
  <c r="I89" i="39" s="1"/>
  <c r="F88" i="39"/>
  <c r="I88" i="39" s="1"/>
  <c r="F87" i="39"/>
  <c r="I87" i="39" s="1"/>
  <c r="F97" i="135"/>
  <c r="I97" i="135" s="1"/>
  <c r="F96" i="135"/>
  <c r="I96" i="135" s="1"/>
  <c r="F95" i="135"/>
  <c r="I95" i="135" s="1"/>
  <c r="F94" i="135"/>
  <c r="I94" i="135" s="1"/>
  <c r="F93" i="135"/>
  <c r="I93" i="135" s="1"/>
  <c r="F92" i="135"/>
  <c r="I92" i="135" s="1"/>
  <c r="F91" i="135"/>
  <c r="I91" i="135" s="1"/>
  <c r="F90" i="135"/>
  <c r="I90" i="135" s="1"/>
  <c r="F89" i="135"/>
  <c r="I89" i="135" s="1"/>
  <c r="F88" i="135"/>
  <c r="I88" i="135" s="1"/>
  <c r="F87" i="135"/>
  <c r="I87" i="135" s="1"/>
  <c r="F97" i="38"/>
  <c r="I97" i="38" s="1"/>
  <c r="F96" i="38"/>
  <c r="I96" i="38" s="1"/>
  <c r="F95" i="38"/>
  <c r="I95" i="38" s="1"/>
  <c r="F94" i="38"/>
  <c r="I94" i="38" s="1"/>
  <c r="F93" i="38"/>
  <c r="I93" i="38" s="1"/>
  <c r="F92" i="38"/>
  <c r="I92" i="38" s="1"/>
  <c r="F91" i="38"/>
  <c r="I91" i="38" s="1"/>
  <c r="F90" i="38"/>
  <c r="I90" i="38" s="1"/>
  <c r="F89" i="38"/>
  <c r="I89" i="38" s="1"/>
  <c r="F88" i="38"/>
  <c r="I88" i="38" s="1"/>
  <c r="F87" i="38"/>
  <c r="I87" i="38" s="1"/>
  <c r="F97" i="103"/>
  <c r="I97" i="103" s="1"/>
  <c r="F96" i="103"/>
  <c r="I96" i="103" s="1"/>
  <c r="F95" i="103"/>
  <c r="I95" i="103" s="1"/>
  <c r="F94" i="103"/>
  <c r="I94" i="103" s="1"/>
  <c r="F93" i="103"/>
  <c r="I93" i="103" s="1"/>
  <c r="F92" i="103"/>
  <c r="I92" i="103" s="1"/>
  <c r="F91" i="103"/>
  <c r="I91" i="103" s="1"/>
  <c r="F90" i="103"/>
  <c r="I90" i="103" s="1"/>
  <c r="F89" i="103"/>
  <c r="I89" i="103" s="1"/>
  <c r="F88" i="103"/>
  <c r="I88" i="103" s="1"/>
  <c r="F87" i="103"/>
  <c r="I87" i="103" s="1"/>
  <c r="F97" i="133"/>
  <c r="I97" i="133" s="1"/>
  <c r="F96" i="133"/>
  <c r="I96" i="133" s="1"/>
  <c r="F95" i="133"/>
  <c r="I95" i="133" s="1"/>
  <c r="F94" i="133"/>
  <c r="I94" i="133" s="1"/>
  <c r="F93" i="133"/>
  <c r="I93" i="133" s="1"/>
  <c r="F92" i="133"/>
  <c r="I92" i="133" s="1"/>
  <c r="F91" i="133"/>
  <c r="I91" i="133" s="1"/>
  <c r="F90" i="133"/>
  <c r="I90" i="133" s="1"/>
  <c r="F89" i="133"/>
  <c r="I89" i="133" s="1"/>
  <c r="F88" i="133"/>
  <c r="I88" i="133" s="1"/>
  <c r="F87" i="133"/>
  <c r="I87" i="133" s="1"/>
  <c r="F97" i="152"/>
  <c r="I97" i="152" s="1"/>
  <c r="F96" i="152"/>
  <c r="I96" i="152" s="1"/>
  <c r="F95" i="152"/>
  <c r="I95" i="152" s="1"/>
  <c r="F94" i="152"/>
  <c r="I94" i="152" s="1"/>
  <c r="F93" i="152"/>
  <c r="I93" i="152" s="1"/>
  <c r="F92" i="152"/>
  <c r="I92" i="152" s="1"/>
  <c r="F91" i="152"/>
  <c r="I91" i="152" s="1"/>
  <c r="F90" i="152"/>
  <c r="I90" i="152" s="1"/>
  <c r="F89" i="152"/>
  <c r="I89" i="152" s="1"/>
  <c r="F88" i="152"/>
  <c r="I88" i="152" s="1"/>
  <c r="F87" i="152"/>
  <c r="I87" i="152" s="1"/>
  <c r="F97" i="47"/>
  <c r="I97" i="47" s="1"/>
  <c r="F96" i="47"/>
  <c r="I96" i="47" s="1"/>
  <c r="F95" i="47"/>
  <c r="I95" i="47" s="1"/>
  <c r="F94" i="47"/>
  <c r="I94" i="47" s="1"/>
  <c r="F93" i="47"/>
  <c r="I93" i="47" s="1"/>
  <c r="F92" i="47"/>
  <c r="I92" i="47" s="1"/>
  <c r="F91" i="47"/>
  <c r="I91" i="47" s="1"/>
  <c r="F90" i="47"/>
  <c r="I90" i="47" s="1"/>
  <c r="F89" i="47"/>
  <c r="I89" i="47" s="1"/>
  <c r="F88" i="47"/>
  <c r="I88" i="47" s="1"/>
  <c r="F87" i="47"/>
  <c r="I87" i="47" s="1"/>
  <c r="F97" i="120"/>
  <c r="I97" i="120" s="1"/>
  <c r="F96" i="120"/>
  <c r="I96" i="120" s="1"/>
  <c r="F95" i="120"/>
  <c r="I95" i="120" s="1"/>
  <c r="F94" i="120"/>
  <c r="I94" i="120" s="1"/>
  <c r="F93" i="120"/>
  <c r="I93" i="120" s="1"/>
  <c r="F92" i="120"/>
  <c r="I92" i="120" s="1"/>
  <c r="F91" i="120"/>
  <c r="I91" i="120" s="1"/>
  <c r="F90" i="120"/>
  <c r="I90" i="120" s="1"/>
  <c r="F89" i="120"/>
  <c r="I89" i="120" s="1"/>
  <c r="F88" i="120"/>
  <c r="I88" i="120" s="1"/>
  <c r="F87" i="120"/>
  <c r="I87" i="120" s="1"/>
  <c r="F97" i="37"/>
  <c r="I97" i="37" s="1"/>
  <c r="F96" i="37"/>
  <c r="I96" i="37" s="1"/>
  <c r="F95" i="37"/>
  <c r="I95" i="37" s="1"/>
  <c r="F94" i="37"/>
  <c r="I94" i="37" s="1"/>
  <c r="F93" i="37"/>
  <c r="I93" i="37" s="1"/>
  <c r="F92" i="37"/>
  <c r="I92" i="37" s="1"/>
  <c r="F91" i="37"/>
  <c r="I91" i="37" s="1"/>
  <c r="F90" i="37"/>
  <c r="I90" i="37" s="1"/>
  <c r="F89" i="37"/>
  <c r="I89" i="37" s="1"/>
  <c r="F88" i="37"/>
  <c r="I88" i="37" s="1"/>
  <c r="F87" i="37"/>
  <c r="I87" i="37" s="1"/>
  <c r="F97" i="90"/>
  <c r="I97" i="90" s="1"/>
  <c r="F96" i="90"/>
  <c r="I96" i="90" s="1"/>
  <c r="F95" i="90"/>
  <c r="I95" i="90" s="1"/>
  <c r="F94" i="90"/>
  <c r="I94" i="90" s="1"/>
  <c r="F93" i="90"/>
  <c r="I93" i="90" s="1"/>
  <c r="F92" i="90"/>
  <c r="I92" i="90" s="1"/>
  <c r="F91" i="90"/>
  <c r="I91" i="90" s="1"/>
  <c r="F90" i="90"/>
  <c r="I90" i="90" s="1"/>
  <c r="F89" i="90"/>
  <c r="I89" i="90" s="1"/>
  <c r="F88" i="90"/>
  <c r="I88" i="90" s="1"/>
  <c r="F87" i="90"/>
  <c r="I87" i="90" s="1"/>
  <c r="F97" i="24"/>
  <c r="I97" i="24" s="1"/>
  <c r="F96" i="24"/>
  <c r="I96" i="24" s="1"/>
  <c r="F95" i="24"/>
  <c r="I95" i="24" s="1"/>
  <c r="F94" i="24"/>
  <c r="I94" i="24" s="1"/>
  <c r="F93" i="24"/>
  <c r="I93" i="24" s="1"/>
  <c r="F92" i="24"/>
  <c r="I92" i="24" s="1"/>
  <c r="F91" i="24"/>
  <c r="I91" i="24" s="1"/>
  <c r="F90" i="24"/>
  <c r="I90" i="24" s="1"/>
  <c r="F89" i="24"/>
  <c r="I89" i="24" s="1"/>
  <c r="F88" i="24"/>
  <c r="I88" i="24" s="1"/>
  <c r="F87" i="24"/>
  <c r="I87" i="24" s="1"/>
  <c r="F97" i="32"/>
  <c r="I97" i="32" s="1"/>
  <c r="F96" i="32"/>
  <c r="I96" i="32" s="1"/>
  <c r="F95" i="32"/>
  <c r="I95" i="32" s="1"/>
  <c r="F94" i="32"/>
  <c r="I94" i="32" s="1"/>
  <c r="F93" i="32"/>
  <c r="I93" i="32" s="1"/>
  <c r="F92" i="32"/>
  <c r="I92" i="32" s="1"/>
  <c r="F91" i="32"/>
  <c r="I91" i="32" s="1"/>
  <c r="F90" i="32"/>
  <c r="I90" i="32" s="1"/>
  <c r="F89" i="32"/>
  <c r="I89" i="32" s="1"/>
  <c r="F88" i="32"/>
  <c r="I88" i="32" s="1"/>
  <c r="F87" i="32"/>
  <c r="I87" i="32" s="1"/>
  <c r="F97" i="79"/>
  <c r="I97" i="79" s="1"/>
  <c r="F96" i="79"/>
  <c r="I96" i="79" s="1"/>
  <c r="F95" i="79"/>
  <c r="I95" i="79" s="1"/>
  <c r="F94" i="79"/>
  <c r="I94" i="79" s="1"/>
  <c r="F93" i="79"/>
  <c r="I93" i="79" s="1"/>
  <c r="F92" i="79"/>
  <c r="I92" i="79" s="1"/>
  <c r="F91" i="79"/>
  <c r="I91" i="79" s="1"/>
  <c r="F90" i="79"/>
  <c r="I90" i="79" s="1"/>
  <c r="F89" i="79"/>
  <c r="I89" i="79" s="1"/>
  <c r="F88" i="79"/>
  <c r="I88" i="79" s="1"/>
  <c r="F87" i="79"/>
  <c r="I87" i="79" s="1"/>
  <c r="F97" i="31"/>
  <c r="I97" i="31" s="1"/>
  <c r="F96" i="31"/>
  <c r="I96" i="31" s="1"/>
  <c r="F95" i="31"/>
  <c r="I95" i="31" s="1"/>
  <c r="F94" i="31"/>
  <c r="I94" i="31" s="1"/>
  <c r="F93" i="31"/>
  <c r="I93" i="31" s="1"/>
  <c r="F92" i="31"/>
  <c r="I92" i="31" s="1"/>
  <c r="F91" i="31"/>
  <c r="I91" i="31" s="1"/>
  <c r="F90" i="31"/>
  <c r="I90" i="31" s="1"/>
  <c r="F89" i="31"/>
  <c r="I89" i="31" s="1"/>
  <c r="F88" i="31"/>
  <c r="I88" i="31" s="1"/>
  <c r="F87" i="31"/>
  <c r="I87" i="31" s="1"/>
  <c r="F97" i="64"/>
  <c r="I97" i="64" s="1"/>
  <c r="F96" i="64"/>
  <c r="I96" i="64" s="1"/>
  <c r="F95" i="64"/>
  <c r="I95" i="64" s="1"/>
  <c r="F94" i="64"/>
  <c r="I94" i="64" s="1"/>
  <c r="F93" i="64"/>
  <c r="I93" i="64" s="1"/>
  <c r="F92" i="64"/>
  <c r="I92" i="64" s="1"/>
  <c r="F91" i="64"/>
  <c r="I91" i="64" s="1"/>
  <c r="F90" i="64"/>
  <c r="I90" i="64" s="1"/>
  <c r="F89" i="64"/>
  <c r="I89" i="64" s="1"/>
  <c r="F88" i="64"/>
  <c r="I88" i="64" s="1"/>
  <c r="F87" i="64"/>
  <c r="I87" i="64" s="1"/>
  <c r="F97" i="113"/>
  <c r="I97" i="113" s="1"/>
  <c r="F96" i="113"/>
  <c r="I96" i="113" s="1"/>
  <c r="F95" i="113"/>
  <c r="I95" i="113" s="1"/>
  <c r="F94" i="113"/>
  <c r="I94" i="113" s="1"/>
  <c r="F93" i="113"/>
  <c r="I93" i="113" s="1"/>
  <c r="F92" i="113"/>
  <c r="I92" i="113" s="1"/>
  <c r="F91" i="113"/>
  <c r="I91" i="113" s="1"/>
  <c r="F90" i="113"/>
  <c r="I90" i="113" s="1"/>
  <c r="F89" i="113"/>
  <c r="I89" i="113" s="1"/>
  <c r="F88" i="113"/>
  <c r="I88" i="113" s="1"/>
  <c r="F87" i="113"/>
  <c r="I87" i="113" s="1"/>
  <c r="F97" i="72"/>
  <c r="I97" i="72" s="1"/>
  <c r="F96" i="72"/>
  <c r="I96" i="72" s="1"/>
  <c r="F95" i="72"/>
  <c r="I95" i="72" s="1"/>
  <c r="F94" i="72"/>
  <c r="I94" i="72" s="1"/>
  <c r="F93" i="72"/>
  <c r="I93" i="72" s="1"/>
  <c r="F92" i="72"/>
  <c r="I92" i="72" s="1"/>
  <c r="F91" i="72"/>
  <c r="I91" i="72" s="1"/>
  <c r="F90" i="72"/>
  <c r="I90" i="72" s="1"/>
  <c r="F89" i="72"/>
  <c r="I89" i="72" s="1"/>
  <c r="F88" i="72"/>
  <c r="I88" i="72" s="1"/>
  <c r="F87" i="72"/>
  <c r="I87" i="72" s="1"/>
  <c r="F97" i="28"/>
  <c r="I97" i="28" s="1"/>
  <c r="F96" i="28"/>
  <c r="I96" i="28" s="1"/>
  <c r="F95" i="28"/>
  <c r="I95" i="28" s="1"/>
  <c r="F94" i="28"/>
  <c r="I94" i="28" s="1"/>
  <c r="F93" i="28"/>
  <c r="I93" i="28" s="1"/>
  <c r="F92" i="28"/>
  <c r="I92" i="28" s="1"/>
  <c r="F91" i="28"/>
  <c r="I91" i="28" s="1"/>
  <c r="F90" i="28"/>
  <c r="I90" i="28" s="1"/>
  <c r="F89" i="28"/>
  <c r="I89" i="28" s="1"/>
  <c r="F88" i="28"/>
  <c r="I88" i="28" s="1"/>
  <c r="F87" i="28"/>
  <c r="I87" i="28" s="1"/>
  <c r="F97" i="65"/>
  <c r="I97" i="65" s="1"/>
  <c r="F96" i="65"/>
  <c r="I96" i="65" s="1"/>
  <c r="F95" i="65"/>
  <c r="I95" i="65" s="1"/>
  <c r="F94" i="65"/>
  <c r="I94" i="65" s="1"/>
  <c r="F93" i="65"/>
  <c r="I93" i="65" s="1"/>
  <c r="F92" i="65"/>
  <c r="I92" i="65" s="1"/>
  <c r="F91" i="65"/>
  <c r="I91" i="65" s="1"/>
  <c r="F90" i="65"/>
  <c r="I90" i="65" s="1"/>
  <c r="F89" i="65"/>
  <c r="I89" i="65" s="1"/>
  <c r="F88" i="65"/>
  <c r="I88" i="65" s="1"/>
  <c r="F87" i="65"/>
  <c r="I87" i="65" s="1"/>
  <c r="F97" i="119"/>
  <c r="I97" i="119" s="1"/>
  <c r="F96" i="119"/>
  <c r="I96" i="119" s="1"/>
  <c r="F95" i="119"/>
  <c r="I95" i="119" s="1"/>
  <c r="F94" i="119"/>
  <c r="I94" i="119" s="1"/>
  <c r="F93" i="119"/>
  <c r="I93" i="119" s="1"/>
  <c r="F92" i="119"/>
  <c r="I92" i="119" s="1"/>
  <c r="F91" i="119"/>
  <c r="I91" i="119" s="1"/>
  <c r="F90" i="119"/>
  <c r="I90" i="119" s="1"/>
  <c r="F89" i="119"/>
  <c r="I89" i="119" s="1"/>
  <c r="F88" i="119"/>
  <c r="I88" i="119" s="1"/>
  <c r="F87" i="119"/>
  <c r="I87" i="119" s="1"/>
  <c r="F97" i="25"/>
  <c r="I97" i="25" s="1"/>
  <c r="F96" i="25"/>
  <c r="I96" i="25" s="1"/>
  <c r="F95" i="25"/>
  <c r="I95" i="25" s="1"/>
  <c r="F94" i="25"/>
  <c r="I94" i="25" s="1"/>
  <c r="F93" i="25"/>
  <c r="I93" i="25" s="1"/>
  <c r="F92" i="25"/>
  <c r="I92" i="25" s="1"/>
  <c r="F91" i="25"/>
  <c r="I91" i="25" s="1"/>
  <c r="F90" i="25"/>
  <c r="I90" i="25" s="1"/>
  <c r="F89" i="25"/>
  <c r="I89" i="25" s="1"/>
  <c r="F88" i="25"/>
  <c r="I88" i="25" s="1"/>
  <c r="F87" i="25"/>
  <c r="I87" i="25" s="1"/>
  <c r="F97" i="155"/>
  <c r="I97" i="155" s="1"/>
  <c r="F96" i="155"/>
  <c r="I96" i="155" s="1"/>
  <c r="F95" i="155"/>
  <c r="I95" i="155" s="1"/>
  <c r="F94" i="155"/>
  <c r="I94" i="155" s="1"/>
  <c r="F93" i="155"/>
  <c r="I93" i="155" s="1"/>
  <c r="F92" i="155"/>
  <c r="I92" i="155" s="1"/>
  <c r="F91" i="155"/>
  <c r="I91" i="155" s="1"/>
  <c r="F90" i="155"/>
  <c r="I90" i="155" s="1"/>
  <c r="F89" i="155"/>
  <c r="I89" i="155" s="1"/>
  <c r="F88" i="155"/>
  <c r="I88" i="155" s="1"/>
  <c r="F87" i="155"/>
  <c r="I87" i="155" s="1"/>
  <c r="F97" i="156"/>
  <c r="I97" i="156" s="1"/>
  <c r="F96" i="156"/>
  <c r="I96" i="156" s="1"/>
  <c r="F95" i="156"/>
  <c r="I95" i="156" s="1"/>
  <c r="F94" i="156"/>
  <c r="I94" i="156" s="1"/>
  <c r="F93" i="156"/>
  <c r="I93" i="156" s="1"/>
  <c r="F92" i="156"/>
  <c r="I92" i="156" s="1"/>
  <c r="F91" i="156"/>
  <c r="I91" i="156" s="1"/>
  <c r="F90" i="156"/>
  <c r="I90" i="156" s="1"/>
  <c r="F89" i="156"/>
  <c r="I89" i="156" s="1"/>
  <c r="F88" i="156"/>
  <c r="I88" i="156" s="1"/>
  <c r="F87" i="156"/>
  <c r="I87" i="156" s="1"/>
  <c r="F97" i="20"/>
  <c r="I97" i="20" s="1"/>
  <c r="F96" i="20"/>
  <c r="I96" i="20" s="1"/>
  <c r="F95" i="20"/>
  <c r="I95" i="20" s="1"/>
  <c r="F94" i="20"/>
  <c r="I94" i="20" s="1"/>
  <c r="F93" i="20"/>
  <c r="I93" i="20" s="1"/>
  <c r="F92" i="20"/>
  <c r="I92" i="20" s="1"/>
  <c r="F91" i="20"/>
  <c r="I91" i="20" s="1"/>
  <c r="F90" i="20"/>
  <c r="I90" i="20" s="1"/>
  <c r="F89" i="20"/>
  <c r="I89" i="20" s="1"/>
  <c r="F88" i="20"/>
  <c r="I88" i="20" s="1"/>
  <c r="F87" i="20"/>
  <c r="I87" i="20" s="1"/>
  <c r="F97" i="42"/>
  <c r="I97" i="42" s="1"/>
  <c r="F96" i="42"/>
  <c r="I96" i="42" s="1"/>
  <c r="F95" i="42"/>
  <c r="I95" i="42" s="1"/>
  <c r="F94" i="42"/>
  <c r="I94" i="42" s="1"/>
  <c r="F93" i="42"/>
  <c r="I93" i="42" s="1"/>
  <c r="F92" i="42"/>
  <c r="I92" i="42" s="1"/>
  <c r="F91" i="42"/>
  <c r="I91" i="42" s="1"/>
  <c r="F90" i="42"/>
  <c r="I90" i="42" s="1"/>
  <c r="F89" i="42"/>
  <c r="I89" i="42" s="1"/>
  <c r="F88" i="42"/>
  <c r="I88" i="42" s="1"/>
  <c r="F87" i="42"/>
  <c r="I87" i="42" s="1"/>
  <c r="F97" i="157"/>
  <c r="I97" i="157" s="1"/>
  <c r="F96" i="157"/>
  <c r="I96" i="157" s="1"/>
  <c r="F95" i="157"/>
  <c r="I95" i="157" s="1"/>
  <c r="F94" i="157"/>
  <c r="I94" i="157" s="1"/>
  <c r="F93" i="157"/>
  <c r="I93" i="157" s="1"/>
  <c r="F92" i="157"/>
  <c r="I92" i="157" s="1"/>
  <c r="F91" i="157"/>
  <c r="I91" i="157" s="1"/>
  <c r="F90" i="157"/>
  <c r="I90" i="157" s="1"/>
  <c r="F89" i="157"/>
  <c r="I89" i="157" s="1"/>
  <c r="F88" i="157"/>
  <c r="I88" i="157" s="1"/>
  <c r="F87" i="157"/>
  <c r="I87" i="157" s="1"/>
  <c r="F97" i="159"/>
  <c r="I97" i="159" s="1"/>
  <c r="F96" i="159"/>
  <c r="I96" i="159" s="1"/>
  <c r="F95" i="159"/>
  <c r="I95" i="159" s="1"/>
  <c r="F94" i="159"/>
  <c r="I94" i="159" s="1"/>
  <c r="F93" i="159"/>
  <c r="I93" i="159" s="1"/>
  <c r="F92" i="159"/>
  <c r="I92" i="159" s="1"/>
  <c r="F91" i="159"/>
  <c r="I91" i="159" s="1"/>
  <c r="F90" i="159"/>
  <c r="I90" i="159" s="1"/>
  <c r="F89" i="159"/>
  <c r="I89" i="159" s="1"/>
  <c r="F88" i="159"/>
  <c r="I88" i="159" s="1"/>
  <c r="F87" i="159"/>
  <c r="I87" i="159" s="1"/>
  <c r="F97" i="158"/>
  <c r="I97" i="158" s="1"/>
  <c r="F96" i="158"/>
  <c r="I96" i="158" s="1"/>
  <c r="F95" i="158"/>
  <c r="I95" i="158" s="1"/>
  <c r="F94" i="158"/>
  <c r="I94" i="158" s="1"/>
  <c r="F93" i="158"/>
  <c r="I93" i="158" s="1"/>
  <c r="F92" i="158"/>
  <c r="I92" i="158" s="1"/>
  <c r="F91" i="158"/>
  <c r="I91" i="158" s="1"/>
  <c r="F90" i="158"/>
  <c r="I90" i="158" s="1"/>
  <c r="F89" i="158"/>
  <c r="I89" i="158" s="1"/>
  <c r="F88" i="158"/>
  <c r="I88" i="158" s="1"/>
  <c r="F87" i="158"/>
  <c r="I87" i="158" s="1"/>
  <c r="F97" i="16"/>
  <c r="I97" i="16" s="1"/>
  <c r="F96" i="16"/>
  <c r="I96" i="16" s="1"/>
  <c r="F95" i="16"/>
  <c r="I95" i="16" s="1"/>
  <c r="F94" i="16"/>
  <c r="I94" i="16" s="1"/>
  <c r="F93" i="16"/>
  <c r="I93" i="16" s="1"/>
  <c r="F92" i="16"/>
  <c r="I92" i="16" s="1"/>
  <c r="F91" i="16"/>
  <c r="I91" i="16" s="1"/>
  <c r="F90" i="16"/>
  <c r="I90" i="16" s="1"/>
  <c r="F89" i="16"/>
  <c r="I89" i="16" s="1"/>
  <c r="F88" i="16"/>
  <c r="I88" i="16" s="1"/>
  <c r="F87" i="16"/>
  <c r="I87" i="16" s="1"/>
  <c r="F97" i="27"/>
  <c r="I97" i="27" s="1"/>
  <c r="F96" i="27"/>
  <c r="I96" i="27" s="1"/>
  <c r="F95" i="27"/>
  <c r="I95" i="27" s="1"/>
  <c r="F94" i="27"/>
  <c r="I94" i="27" s="1"/>
  <c r="F93" i="27"/>
  <c r="I93" i="27" s="1"/>
  <c r="F92" i="27"/>
  <c r="I92" i="27" s="1"/>
  <c r="F91" i="27"/>
  <c r="I91" i="27" s="1"/>
  <c r="F90" i="27"/>
  <c r="I90" i="27" s="1"/>
  <c r="F89" i="27"/>
  <c r="I89" i="27" s="1"/>
  <c r="F88" i="27"/>
  <c r="I88" i="27" s="1"/>
  <c r="F87" i="27"/>
  <c r="I87" i="27" s="1"/>
  <c r="F97" i="111"/>
  <c r="I97" i="111" s="1"/>
  <c r="F96" i="111"/>
  <c r="I96" i="111" s="1"/>
  <c r="F95" i="111"/>
  <c r="I95" i="111" s="1"/>
  <c r="F94" i="111"/>
  <c r="I94" i="111" s="1"/>
  <c r="F93" i="111"/>
  <c r="I93" i="111" s="1"/>
  <c r="F92" i="111"/>
  <c r="I92" i="111" s="1"/>
  <c r="F91" i="111"/>
  <c r="I91" i="111" s="1"/>
  <c r="F90" i="111"/>
  <c r="I90" i="111" s="1"/>
  <c r="F89" i="111"/>
  <c r="I89" i="111" s="1"/>
  <c r="F88" i="111"/>
  <c r="I88" i="111" s="1"/>
  <c r="F87" i="111"/>
  <c r="I87" i="111" s="1"/>
  <c r="F97" i="71"/>
  <c r="I97" i="71" s="1"/>
  <c r="F96" i="71"/>
  <c r="I96" i="71" s="1"/>
  <c r="F95" i="71"/>
  <c r="I95" i="71" s="1"/>
  <c r="F94" i="71"/>
  <c r="I94" i="71" s="1"/>
  <c r="F93" i="71"/>
  <c r="I93" i="71" s="1"/>
  <c r="F92" i="71"/>
  <c r="I92" i="71" s="1"/>
  <c r="F91" i="71"/>
  <c r="I91" i="71" s="1"/>
  <c r="F90" i="71"/>
  <c r="I90" i="71" s="1"/>
  <c r="F89" i="71"/>
  <c r="I89" i="71" s="1"/>
  <c r="F88" i="71"/>
  <c r="I88" i="71" s="1"/>
  <c r="F87" i="71"/>
  <c r="I87" i="71" s="1"/>
  <c r="F97" i="165"/>
  <c r="I97" i="165" s="1"/>
  <c r="F96" i="165"/>
  <c r="I96" i="165" s="1"/>
  <c r="F95" i="165"/>
  <c r="I95" i="165" s="1"/>
  <c r="F94" i="165"/>
  <c r="I94" i="165" s="1"/>
  <c r="F93" i="165"/>
  <c r="I93" i="165" s="1"/>
  <c r="F92" i="165"/>
  <c r="I92" i="165" s="1"/>
  <c r="F91" i="165"/>
  <c r="I91" i="165" s="1"/>
  <c r="F90" i="165"/>
  <c r="I90" i="165" s="1"/>
  <c r="F89" i="165"/>
  <c r="I89" i="165" s="1"/>
  <c r="F88" i="165"/>
  <c r="I88" i="165" s="1"/>
  <c r="F87" i="165"/>
  <c r="I87" i="165" s="1"/>
  <c r="F97" i="55"/>
  <c r="I97" i="55" s="1"/>
  <c r="F96" i="55"/>
  <c r="I96" i="55" s="1"/>
  <c r="F95" i="55"/>
  <c r="I95" i="55" s="1"/>
  <c r="F94" i="55"/>
  <c r="I94" i="55" s="1"/>
  <c r="F93" i="55"/>
  <c r="I93" i="55" s="1"/>
  <c r="F92" i="55"/>
  <c r="I92" i="55" s="1"/>
  <c r="F91" i="55"/>
  <c r="I91" i="55" s="1"/>
  <c r="F90" i="55"/>
  <c r="I90" i="55" s="1"/>
  <c r="F89" i="55"/>
  <c r="I89" i="55" s="1"/>
  <c r="F88" i="55"/>
  <c r="I88" i="55" s="1"/>
  <c r="F87" i="55"/>
  <c r="I87" i="55" s="1"/>
  <c r="F97" i="21"/>
  <c r="I97" i="21" s="1"/>
  <c r="F96" i="21"/>
  <c r="I96" i="21" s="1"/>
  <c r="F95" i="21"/>
  <c r="I95" i="21" s="1"/>
  <c r="F94" i="21"/>
  <c r="I94" i="21" s="1"/>
  <c r="F93" i="21"/>
  <c r="I93" i="21" s="1"/>
  <c r="F92" i="21"/>
  <c r="I92" i="21" s="1"/>
  <c r="F91" i="21"/>
  <c r="I91" i="21" s="1"/>
  <c r="F90" i="21"/>
  <c r="I90" i="21" s="1"/>
  <c r="F89" i="21"/>
  <c r="I89" i="21" s="1"/>
  <c r="F88" i="21"/>
  <c r="I88" i="21" s="1"/>
  <c r="F87" i="21"/>
  <c r="I87" i="21" s="1"/>
  <c r="F97" i="14"/>
  <c r="I97" i="14" s="1"/>
  <c r="F96" i="14"/>
  <c r="I96" i="14" s="1"/>
  <c r="F95" i="14"/>
  <c r="I95" i="14" s="1"/>
  <c r="F94" i="14"/>
  <c r="I94" i="14" s="1"/>
  <c r="F93" i="14"/>
  <c r="I93" i="14" s="1"/>
  <c r="F92" i="14"/>
  <c r="I92" i="14" s="1"/>
  <c r="F91" i="14"/>
  <c r="I91" i="14" s="1"/>
  <c r="F90" i="14"/>
  <c r="I90" i="14" s="1"/>
  <c r="F89" i="14"/>
  <c r="I89" i="14" s="1"/>
  <c r="F88" i="14"/>
  <c r="I88" i="14" s="1"/>
  <c r="F87" i="14"/>
  <c r="I87" i="14" s="1"/>
  <c r="F97" i="85"/>
  <c r="I97" i="85" s="1"/>
  <c r="F96" i="85"/>
  <c r="I96" i="85" s="1"/>
  <c r="F95" i="85"/>
  <c r="I95" i="85" s="1"/>
  <c r="F94" i="85"/>
  <c r="I94" i="85" s="1"/>
  <c r="F93" i="85"/>
  <c r="I93" i="85" s="1"/>
  <c r="F92" i="85"/>
  <c r="I92" i="85" s="1"/>
  <c r="F91" i="85"/>
  <c r="I91" i="85" s="1"/>
  <c r="F90" i="85"/>
  <c r="I90" i="85" s="1"/>
  <c r="F89" i="85"/>
  <c r="I89" i="85" s="1"/>
  <c r="F88" i="85"/>
  <c r="I88" i="85" s="1"/>
  <c r="F87" i="85"/>
  <c r="I87" i="85" s="1"/>
  <c r="F97" i="87"/>
  <c r="I97" i="87" s="1"/>
  <c r="F96" i="87"/>
  <c r="I96" i="87" s="1"/>
  <c r="F95" i="87"/>
  <c r="I95" i="87" s="1"/>
  <c r="F94" i="87"/>
  <c r="I94" i="87" s="1"/>
  <c r="F93" i="87"/>
  <c r="I93" i="87" s="1"/>
  <c r="F92" i="87"/>
  <c r="I92" i="87" s="1"/>
  <c r="F91" i="87"/>
  <c r="I91" i="87" s="1"/>
  <c r="F90" i="87"/>
  <c r="I90" i="87" s="1"/>
  <c r="F89" i="87"/>
  <c r="I89" i="87" s="1"/>
  <c r="F88" i="87"/>
  <c r="I88" i="87" s="1"/>
  <c r="F87" i="87"/>
  <c r="I87" i="87" s="1"/>
  <c r="F97" i="86"/>
  <c r="I97" i="86" s="1"/>
  <c r="F96" i="86"/>
  <c r="I96" i="86" s="1"/>
  <c r="F95" i="86"/>
  <c r="I95" i="86" s="1"/>
  <c r="F94" i="86"/>
  <c r="I94" i="86" s="1"/>
  <c r="F93" i="86"/>
  <c r="I93" i="86" s="1"/>
  <c r="F92" i="86"/>
  <c r="I92" i="86" s="1"/>
  <c r="F91" i="86"/>
  <c r="I91" i="86" s="1"/>
  <c r="F90" i="86"/>
  <c r="I90" i="86" s="1"/>
  <c r="F89" i="86"/>
  <c r="I89" i="86" s="1"/>
  <c r="F88" i="86"/>
  <c r="I88" i="86" s="1"/>
  <c r="F87" i="86"/>
  <c r="I87" i="86" s="1"/>
  <c r="F97" i="89"/>
  <c r="I97" i="89" s="1"/>
  <c r="F96" i="89"/>
  <c r="I96" i="89" s="1"/>
  <c r="F95" i="89"/>
  <c r="I95" i="89" s="1"/>
  <c r="F94" i="89"/>
  <c r="I94" i="89" s="1"/>
  <c r="F93" i="89"/>
  <c r="I93" i="89" s="1"/>
  <c r="F92" i="89"/>
  <c r="I92" i="89" s="1"/>
  <c r="F91" i="89"/>
  <c r="I91" i="89" s="1"/>
  <c r="F90" i="89"/>
  <c r="I90" i="89" s="1"/>
  <c r="F89" i="89"/>
  <c r="I89" i="89" s="1"/>
  <c r="F88" i="89"/>
  <c r="I88" i="89" s="1"/>
  <c r="F87" i="89"/>
  <c r="I87" i="89" s="1"/>
  <c r="F97" i="142"/>
  <c r="I97" i="142" s="1"/>
  <c r="F96" i="142"/>
  <c r="I96" i="142" s="1"/>
  <c r="F95" i="142"/>
  <c r="I95" i="142" s="1"/>
  <c r="F94" i="142"/>
  <c r="I94" i="142" s="1"/>
  <c r="F93" i="142"/>
  <c r="I93" i="142" s="1"/>
  <c r="F92" i="142"/>
  <c r="I92" i="142" s="1"/>
  <c r="F91" i="142"/>
  <c r="I91" i="142" s="1"/>
  <c r="F90" i="142"/>
  <c r="I90" i="142" s="1"/>
  <c r="F89" i="142"/>
  <c r="I89" i="142" s="1"/>
  <c r="F88" i="142"/>
  <c r="I88" i="142" s="1"/>
  <c r="F87" i="142"/>
  <c r="I87" i="142" s="1"/>
  <c r="F97" i="92"/>
  <c r="I97" i="92" s="1"/>
  <c r="F96" i="92"/>
  <c r="I96" i="92" s="1"/>
  <c r="F95" i="92"/>
  <c r="I95" i="92" s="1"/>
  <c r="F94" i="92"/>
  <c r="I94" i="92" s="1"/>
  <c r="F93" i="92"/>
  <c r="I93" i="92" s="1"/>
  <c r="F92" i="92"/>
  <c r="I92" i="92" s="1"/>
  <c r="F91" i="92"/>
  <c r="I91" i="92" s="1"/>
  <c r="F90" i="92"/>
  <c r="I90" i="92" s="1"/>
  <c r="F89" i="92"/>
  <c r="I89" i="92" s="1"/>
  <c r="F88" i="92"/>
  <c r="I88" i="92" s="1"/>
  <c r="F87" i="92"/>
  <c r="I87" i="92" s="1"/>
  <c r="F97" i="1"/>
  <c r="I97" i="1" s="1"/>
  <c r="F96" i="1"/>
  <c r="I96" i="1" s="1"/>
  <c r="F95" i="1"/>
  <c r="I95" i="1" s="1"/>
  <c r="F94" i="1"/>
  <c r="I94" i="1" s="1"/>
  <c r="F93" i="1"/>
  <c r="I93" i="1" s="1"/>
  <c r="F92" i="1"/>
  <c r="I92" i="1" s="1"/>
  <c r="F91" i="1"/>
  <c r="I91" i="1" s="1"/>
  <c r="F90" i="1"/>
  <c r="I90" i="1" s="1"/>
  <c r="F89" i="1"/>
  <c r="I89" i="1" s="1"/>
  <c r="F88" i="1"/>
  <c r="I88" i="1" s="1"/>
  <c r="F87" i="1"/>
  <c r="I87" i="1" s="1"/>
  <c r="F97" i="50"/>
  <c r="I97" i="50" s="1"/>
  <c r="F96" i="50"/>
  <c r="I96" i="50" s="1"/>
  <c r="F95" i="50"/>
  <c r="I95" i="50" s="1"/>
  <c r="F94" i="50"/>
  <c r="I94" i="50" s="1"/>
  <c r="F93" i="50"/>
  <c r="I93" i="50" s="1"/>
  <c r="F92" i="50"/>
  <c r="I92" i="50" s="1"/>
  <c r="F91" i="50"/>
  <c r="I91" i="50" s="1"/>
  <c r="F90" i="50"/>
  <c r="I90" i="50" s="1"/>
  <c r="F89" i="50"/>
  <c r="I89" i="50" s="1"/>
  <c r="F88" i="50"/>
  <c r="I88" i="50" s="1"/>
  <c r="F87" i="50"/>
  <c r="I87" i="50" s="1"/>
  <c r="F97" i="95"/>
  <c r="I97" i="95" s="1"/>
  <c r="F96" i="95"/>
  <c r="I96" i="95" s="1"/>
  <c r="F95" i="95"/>
  <c r="I95" i="95" s="1"/>
  <c r="F94" i="95"/>
  <c r="I94" i="95" s="1"/>
  <c r="F93" i="95"/>
  <c r="I93" i="95" s="1"/>
  <c r="F92" i="95"/>
  <c r="I92" i="95" s="1"/>
  <c r="F91" i="95"/>
  <c r="I91" i="95" s="1"/>
  <c r="F90" i="95"/>
  <c r="I90" i="95" s="1"/>
  <c r="F89" i="95"/>
  <c r="I89" i="95" s="1"/>
  <c r="F88" i="95"/>
  <c r="I88" i="95" s="1"/>
  <c r="F87" i="95"/>
  <c r="I87" i="95" s="1"/>
  <c r="F97" i="180"/>
  <c r="I97" i="180" s="1"/>
  <c r="F96" i="180"/>
  <c r="I96" i="180" s="1"/>
  <c r="F95" i="180"/>
  <c r="I95" i="180" s="1"/>
  <c r="F94" i="180"/>
  <c r="I94" i="180" s="1"/>
  <c r="F93" i="180"/>
  <c r="I93" i="180" s="1"/>
  <c r="F92" i="180"/>
  <c r="I92" i="180" s="1"/>
  <c r="F91" i="180"/>
  <c r="I91" i="180" s="1"/>
  <c r="F90" i="180"/>
  <c r="I90" i="180" s="1"/>
  <c r="F89" i="180"/>
  <c r="I89" i="180" s="1"/>
  <c r="F88" i="180"/>
  <c r="I88" i="180" s="1"/>
  <c r="F87" i="180"/>
  <c r="I87" i="180" s="1"/>
  <c r="F83" i="118"/>
  <c r="I83" i="118" s="1"/>
  <c r="F82" i="118"/>
  <c r="I82" i="118" s="1"/>
  <c r="F81" i="118"/>
  <c r="I81" i="118" s="1"/>
  <c r="F80" i="118"/>
  <c r="I80" i="118" s="1"/>
  <c r="F79" i="118"/>
  <c r="I79" i="118" s="1"/>
  <c r="F78" i="118"/>
  <c r="I78" i="118" s="1"/>
  <c r="F77" i="118"/>
  <c r="I77" i="118" s="1"/>
  <c r="F76" i="118"/>
  <c r="I76" i="118" s="1"/>
  <c r="F75" i="118"/>
  <c r="I75" i="118" s="1"/>
  <c r="F74" i="118"/>
  <c r="I74" i="118" s="1"/>
  <c r="F73" i="118"/>
  <c r="I73" i="118" s="1"/>
  <c r="F72" i="118"/>
  <c r="I72" i="118" s="1"/>
  <c r="F71" i="118"/>
  <c r="I71" i="118" s="1"/>
  <c r="F70" i="118"/>
  <c r="I70" i="118" s="1"/>
  <c r="F83" i="60"/>
  <c r="I83" i="60" s="1"/>
  <c r="F82" i="60"/>
  <c r="I82" i="60" s="1"/>
  <c r="F81" i="60"/>
  <c r="I81" i="60" s="1"/>
  <c r="F80" i="60"/>
  <c r="I80" i="60" s="1"/>
  <c r="F79" i="60"/>
  <c r="I79" i="60" s="1"/>
  <c r="F78" i="60"/>
  <c r="I78" i="60" s="1"/>
  <c r="F77" i="60"/>
  <c r="I77" i="60" s="1"/>
  <c r="F76" i="60"/>
  <c r="I76" i="60" s="1"/>
  <c r="F75" i="60"/>
  <c r="I75" i="60" s="1"/>
  <c r="F74" i="60"/>
  <c r="I74" i="60" s="1"/>
  <c r="F73" i="60"/>
  <c r="I73" i="60" s="1"/>
  <c r="F72" i="60"/>
  <c r="I72" i="60" s="1"/>
  <c r="F71" i="60"/>
  <c r="I71" i="60" s="1"/>
  <c r="F70" i="60"/>
  <c r="I70" i="60" s="1"/>
  <c r="F83" i="106"/>
  <c r="I83" i="106" s="1"/>
  <c r="F82" i="106"/>
  <c r="I82" i="106" s="1"/>
  <c r="F81" i="106"/>
  <c r="I81" i="106" s="1"/>
  <c r="F80" i="106"/>
  <c r="I80" i="106" s="1"/>
  <c r="F79" i="106"/>
  <c r="I79" i="106" s="1"/>
  <c r="F78" i="106"/>
  <c r="I78" i="106" s="1"/>
  <c r="F77" i="106"/>
  <c r="I77" i="106" s="1"/>
  <c r="F76" i="106"/>
  <c r="I76" i="106" s="1"/>
  <c r="F75" i="106"/>
  <c r="I75" i="106" s="1"/>
  <c r="F74" i="106"/>
  <c r="I74" i="106" s="1"/>
  <c r="F73" i="106"/>
  <c r="I73" i="106" s="1"/>
  <c r="F72" i="106"/>
  <c r="I72" i="106" s="1"/>
  <c r="F71" i="106"/>
  <c r="I71" i="106" s="1"/>
  <c r="F70" i="106"/>
  <c r="I70" i="106" s="1"/>
  <c r="F83" i="104"/>
  <c r="I83" i="104" s="1"/>
  <c r="F82" i="104"/>
  <c r="I82" i="104" s="1"/>
  <c r="F81" i="104"/>
  <c r="I81" i="104" s="1"/>
  <c r="F80" i="104"/>
  <c r="I80" i="104" s="1"/>
  <c r="F79" i="104"/>
  <c r="I79" i="104" s="1"/>
  <c r="F78" i="104"/>
  <c r="I78" i="104" s="1"/>
  <c r="F77" i="104"/>
  <c r="I77" i="104" s="1"/>
  <c r="F76" i="104"/>
  <c r="I76" i="104" s="1"/>
  <c r="F75" i="104"/>
  <c r="I75" i="104" s="1"/>
  <c r="F74" i="104"/>
  <c r="I74" i="104" s="1"/>
  <c r="F73" i="104"/>
  <c r="I73" i="104" s="1"/>
  <c r="F72" i="104"/>
  <c r="I72" i="104" s="1"/>
  <c r="F71" i="104"/>
  <c r="I71" i="104" s="1"/>
  <c r="F70" i="104"/>
  <c r="I70" i="104" s="1"/>
  <c r="F83" i="54"/>
  <c r="I83" i="54" s="1"/>
  <c r="F82" i="54"/>
  <c r="I82" i="54" s="1"/>
  <c r="F81" i="54"/>
  <c r="I81" i="54" s="1"/>
  <c r="F80" i="54"/>
  <c r="I80" i="54" s="1"/>
  <c r="F79" i="54"/>
  <c r="I79" i="54" s="1"/>
  <c r="F78" i="54"/>
  <c r="I78" i="54" s="1"/>
  <c r="F77" i="54"/>
  <c r="I77" i="54" s="1"/>
  <c r="F76" i="54"/>
  <c r="I76" i="54" s="1"/>
  <c r="F75" i="54"/>
  <c r="I75" i="54" s="1"/>
  <c r="F74" i="54"/>
  <c r="I74" i="54" s="1"/>
  <c r="F73" i="54"/>
  <c r="I73" i="54" s="1"/>
  <c r="F72" i="54"/>
  <c r="I72" i="54" s="1"/>
  <c r="F71" i="54"/>
  <c r="I71" i="54" s="1"/>
  <c r="F70" i="54"/>
  <c r="I70" i="54" s="1"/>
  <c r="F83" i="181"/>
  <c r="I83" i="181" s="1"/>
  <c r="F82" i="181"/>
  <c r="I82" i="181" s="1"/>
  <c r="F81" i="181"/>
  <c r="I81" i="181" s="1"/>
  <c r="F80" i="181"/>
  <c r="I80" i="181" s="1"/>
  <c r="F79" i="181"/>
  <c r="I79" i="181" s="1"/>
  <c r="F78" i="181"/>
  <c r="I78" i="181" s="1"/>
  <c r="F77" i="181"/>
  <c r="I77" i="181" s="1"/>
  <c r="F76" i="181"/>
  <c r="I76" i="181" s="1"/>
  <c r="F75" i="181"/>
  <c r="I75" i="181" s="1"/>
  <c r="F74" i="181"/>
  <c r="I74" i="181" s="1"/>
  <c r="F73" i="181"/>
  <c r="I73" i="181" s="1"/>
  <c r="F72" i="181"/>
  <c r="I72" i="181" s="1"/>
  <c r="F71" i="181"/>
  <c r="I71" i="181" s="1"/>
  <c r="F70" i="181"/>
  <c r="I70" i="181" s="1"/>
  <c r="F83" i="94"/>
  <c r="I83" i="94" s="1"/>
  <c r="F82" i="94"/>
  <c r="I82" i="94" s="1"/>
  <c r="F81" i="94"/>
  <c r="I81" i="94" s="1"/>
  <c r="F80" i="94"/>
  <c r="I80" i="94" s="1"/>
  <c r="F79" i="94"/>
  <c r="I79" i="94" s="1"/>
  <c r="F78" i="94"/>
  <c r="I78" i="94" s="1"/>
  <c r="F77" i="94"/>
  <c r="I77" i="94" s="1"/>
  <c r="F76" i="94"/>
  <c r="I76" i="94" s="1"/>
  <c r="F75" i="94"/>
  <c r="I75" i="94" s="1"/>
  <c r="F74" i="94"/>
  <c r="I74" i="94" s="1"/>
  <c r="F73" i="94"/>
  <c r="I73" i="94" s="1"/>
  <c r="F72" i="94"/>
  <c r="I72" i="94" s="1"/>
  <c r="F71" i="94"/>
  <c r="I71" i="94" s="1"/>
  <c r="F70" i="94"/>
  <c r="I70" i="94" s="1"/>
  <c r="F83" i="145"/>
  <c r="I83" i="145" s="1"/>
  <c r="F82" i="145"/>
  <c r="I82" i="145" s="1"/>
  <c r="F81" i="145"/>
  <c r="I81" i="145" s="1"/>
  <c r="F80" i="145"/>
  <c r="I80" i="145" s="1"/>
  <c r="F79" i="145"/>
  <c r="I79" i="145" s="1"/>
  <c r="F78" i="145"/>
  <c r="I78" i="145" s="1"/>
  <c r="F77" i="145"/>
  <c r="I77" i="145" s="1"/>
  <c r="F76" i="145"/>
  <c r="I76" i="145" s="1"/>
  <c r="F75" i="145"/>
  <c r="I75" i="145" s="1"/>
  <c r="F74" i="145"/>
  <c r="I74" i="145" s="1"/>
  <c r="F73" i="145"/>
  <c r="I73" i="145" s="1"/>
  <c r="F72" i="145"/>
  <c r="I72" i="145" s="1"/>
  <c r="F71" i="145"/>
  <c r="I71" i="145" s="1"/>
  <c r="F70" i="145"/>
  <c r="I70" i="145" s="1"/>
  <c r="F83" i="33"/>
  <c r="I83" i="33" s="1"/>
  <c r="F82" i="33"/>
  <c r="I82" i="33" s="1"/>
  <c r="F81" i="33"/>
  <c r="I81" i="33" s="1"/>
  <c r="F80" i="33"/>
  <c r="I80" i="33" s="1"/>
  <c r="F79" i="33"/>
  <c r="I79" i="33" s="1"/>
  <c r="F78" i="33"/>
  <c r="I78" i="33" s="1"/>
  <c r="F77" i="33"/>
  <c r="I77" i="33" s="1"/>
  <c r="F76" i="33"/>
  <c r="I76" i="33" s="1"/>
  <c r="F75" i="33"/>
  <c r="I75" i="33" s="1"/>
  <c r="F74" i="33"/>
  <c r="I74" i="33" s="1"/>
  <c r="F73" i="33"/>
  <c r="I73" i="33" s="1"/>
  <c r="F72" i="33"/>
  <c r="I72" i="33" s="1"/>
  <c r="F71" i="33"/>
  <c r="I71" i="33" s="1"/>
  <c r="F70" i="33"/>
  <c r="I70" i="33" s="1"/>
  <c r="F83" i="177"/>
  <c r="I83" i="177" s="1"/>
  <c r="F82" i="177"/>
  <c r="I82" i="177" s="1"/>
  <c r="F81" i="177"/>
  <c r="I81" i="177" s="1"/>
  <c r="F80" i="177"/>
  <c r="I80" i="177" s="1"/>
  <c r="F79" i="177"/>
  <c r="I79" i="177" s="1"/>
  <c r="F78" i="177"/>
  <c r="I78" i="177" s="1"/>
  <c r="F77" i="177"/>
  <c r="I77" i="177" s="1"/>
  <c r="F76" i="177"/>
  <c r="I76" i="177" s="1"/>
  <c r="F75" i="177"/>
  <c r="I75" i="177" s="1"/>
  <c r="F74" i="177"/>
  <c r="I74" i="177" s="1"/>
  <c r="F73" i="177"/>
  <c r="I73" i="177" s="1"/>
  <c r="F72" i="177"/>
  <c r="I72" i="177" s="1"/>
  <c r="F71" i="177"/>
  <c r="I71" i="177" s="1"/>
  <c r="F70" i="177"/>
  <c r="I70" i="177" s="1"/>
  <c r="F83" i="164"/>
  <c r="I83" i="164" s="1"/>
  <c r="F82" i="164"/>
  <c r="I82" i="164" s="1"/>
  <c r="F81" i="164"/>
  <c r="I81" i="164" s="1"/>
  <c r="F80" i="164"/>
  <c r="I80" i="164" s="1"/>
  <c r="F79" i="164"/>
  <c r="I79" i="164" s="1"/>
  <c r="F78" i="164"/>
  <c r="I78" i="164" s="1"/>
  <c r="F77" i="164"/>
  <c r="I77" i="164" s="1"/>
  <c r="F76" i="164"/>
  <c r="I76" i="164" s="1"/>
  <c r="F75" i="164"/>
  <c r="I75" i="164" s="1"/>
  <c r="F74" i="164"/>
  <c r="I74" i="164" s="1"/>
  <c r="F73" i="164"/>
  <c r="I73" i="164" s="1"/>
  <c r="F72" i="164"/>
  <c r="I72" i="164" s="1"/>
  <c r="F71" i="164"/>
  <c r="I71" i="164" s="1"/>
  <c r="F70" i="164"/>
  <c r="I70" i="164" s="1"/>
  <c r="F83" i="19"/>
  <c r="I83" i="19" s="1"/>
  <c r="F82" i="19"/>
  <c r="I82" i="19" s="1"/>
  <c r="F81" i="19"/>
  <c r="I81" i="19" s="1"/>
  <c r="F80" i="19"/>
  <c r="I80" i="19" s="1"/>
  <c r="F79" i="19"/>
  <c r="I79" i="19" s="1"/>
  <c r="F78" i="19"/>
  <c r="I78" i="19" s="1"/>
  <c r="F77" i="19"/>
  <c r="I77" i="19" s="1"/>
  <c r="F76" i="19"/>
  <c r="I76" i="19" s="1"/>
  <c r="F75" i="19"/>
  <c r="I75" i="19" s="1"/>
  <c r="F74" i="19"/>
  <c r="I74" i="19" s="1"/>
  <c r="F73" i="19"/>
  <c r="I73" i="19" s="1"/>
  <c r="F72" i="19"/>
  <c r="I72" i="19" s="1"/>
  <c r="F71" i="19"/>
  <c r="I71" i="19" s="1"/>
  <c r="F70" i="19"/>
  <c r="I70" i="19" s="1"/>
  <c r="F83" i="15"/>
  <c r="I83" i="15" s="1"/>
  <c r="F82" i="15"/>
  <c r="I82" i="15" s="1"/>
  <c r="F81" i="15"/>
  <c r="I81" i="15" s="1"/>
  <c r="F80" i="15"/>
  <c r="I80" i="15" s="1"/>
  <c r="F79" i="15"/>
  <c r="I79" i="15" s="1"/>
  <c r="F78" i="15"/>
  <c r="I78" i="15" s="1"/>
  <c r="F77" i="15"/>
  <c r="I77" i="15" s="1"/>
  <c r="F76" i="15"/>
  <c r="I76" i="15" s="1"/>
  <c r="F75" i="15"/>
  <c r="I75" i="15" s="1"/>
  <c r="F74" i="15"/>
  <c r="I74" i="15" s="1"/>
  <c r="F73" i="15"/>
  <c r="I73" i="15" s="1"/>
  <c r="F72" i="15"/>
  <c r="I72" i="15" s="1"/>
  <c r="F71" i="15"/>
  <c r="I71" i="15" s="1"/>
  <c r="F70" i="15"/>
  <c r="I70" i="15" s="1"/>
  <c r="F83" i="178"/>
  <c r="I83" i="178" s="1"/>
  <c r="F82" i="178"/>
  <c r="I82" i="178" s="1"/>
  <c r="F81" i="178"/>
  <c r="I81" i="178" s="1"/>
  <c r="F80" i="178"/>
  <c r="I80" i="178" s="1"/>
  <c r="F79" i="178"/>
  <c r="I79" i="178" s="1"/>
  <c r="F78" i="178"/>
  <c r="I78" i="178" s="1"/>
  <c r="F77" i="178"/>
  <c r="I77" i="178" s="1"/>
  <c r="F76" i="178"/>
  <c r="I76" i="178" s="1"/>
  <c r="F75" i="178"/>
  <c r="I75" i="178" s="1"/>
  <c r="F74" i="178"/>
  <c r="I74" i="178" s="1"/>
  <c r="F73" i="178"/>
  <c r="I73" i="178" s="1"/>
  <c r="F72" i="178"/>
  <c r="I72" i="178" s="1"/>
  <c r="F71" i="178"/>
  <c r="I71" i="178" s="1"/>
  <c r="F70" i="178"/>
  <c r="I70" i="178" s="1"/>
  <c r="F83" i="150"/>
  <c r="I83" i="150" s="1"/>
  <c r="F82" i="150"/>
  <c r="I82" i="150" s="1"/>
  <c r="F81" i="150"/>
  <c r="I81" i="150" s="1"/>
  <c r="F80" i="150"/>
  <c r="I80" i="150" s="1"/>
  <c r="F79" i="150"/>
  <c r="I79" i="150" s="1"/>
  <c r="F78" i="150"/>
  <c r="I78" i="150" s="1"/>
  <c r="F77" i="150"/>
  <c r="I77" i="150" s="1"/>
  <c r="F76" i="150"/>
  <c r="I76" i="150" s="1"/>
  <c r="F75" i="150"/>
  <c r="I75" i="150" s="1"/>
  <c r="F74" i="150"/>
  <c r="I74" i="150" s="1"/>
  <c r="F73" i="150"/>
  <c r="I73" i="150" s="1"/>
  <c r="F72" i="150"/>
  <c r="I72" i="150" s="1"/>
  <c r="F71" i="150"/>
  <c r="I71" i="150" s="1"/>
  <c r="F70" i="150"/>
  <c r="I70" i="150" s="1"/>
  <c r="F83" i="68"/>
  <c r="I83" i="68" s="1"/>
  <c r="F82" i="68"/>
  <c r="I82" i="68" s="1"/>
  <c r="F81" i="68"/>
  <c r="I81" i="68" s="1"/>
  <c r="F80" i="68"/>
  <c r="I80" i="68" s="1"/>
  <c r="F79" i="68"/>
  <c r="I79" i="68" s="1"/>
  <c r="F78" i="68"/>
  <c r="I78" i="68" s="1"/>
  <c r="F77" i="68"/>
  <c r="I77" i="68" s="1"/>
  <c r="F76" i="68"/>
  <c r="I76" i="68" s="1"/>
  <c r="F75" i="68"/>
  <c r="I75" i="68" s="1"/>
  <c r="F74" i="68"/>
  <c r="I74" i="68" s="1"/>
  <c r="F73" i="68"/>
  <c r="I73" i="68" s="1"/>
  <c r="F72" i="68"/>
  <c r="I72" i="68" s="1"/>
  <c r="F71" i="68"/>
  <c r="I71" i="68" s="1"/>
  <c r="F70" i="68"/>
  <c r="I70" i="68" s="1"/>
  <c r="F83" i="66"/>
  <c r="I83" i="66" s="1"/>
  <c r="F82" i="66"/>
  <c r="I82" i="66" s="1"/>
  <c r="F81" i="66"/>
  <c r="I81" i="66" s="1"/>
  <c r="F80" i="66"/>
  <c r="I80" i="66" s="1"/>
  <c r="F79" i="66"/>
  <c r="I79" i="66" s="1"/>
  <c r="F78" i="66"/>
  <c r="I78" i="66" s="1"/>
  <c r="F77" i="66"/>
  <c r="I77" i="66" s="1"/>
  <c r="F76" i="66"/>
  <c r="I76" i="66" s="1"/>
  <c r="F75" i="66"/>
  <c r="I75" i="66" s="1"/>
  <c r="F74" i="66"/>
  <c r="I74" i="66" s="1"/>
  <c r="F73" i="66"/>
  <c r="I73" i="66" s="1"/>
  <c r="F72" i="66"/>
  <c r="I72" i="66" s="1"/>
  <c r="F71" i="66"/>
  <c r="I71" i="66" s="1"/>
  <c r="F70" i="66"/>
  <c r="I70" i="66" s="1"/>
  <c r="F83" i="63"/>
  <c r="I83" i="63" s="1"/>
  <c r="F82" i="63"/>
  <c r="I82" i="63" s="1"/>
  <c r="F81" i="63"/>
  <c r="I81" i="63" s="1"/>
  <c r="F80" i="63"/>
  <c r="I80" i="63" s="1"/>
  <c r="F79" i="63"/>
  <c r="I79" i="63" s="1"/>
  <c r="F78" i="63"/>
  <c r="I78" i="63" s="1"/>
  <c r="F77" i="63"/>
  <c r="I77" i="63" s="1"/>
  <c r="F76" i="63"/>
  <c r="I76" i="63" s="1"/>
  <c r="F75" i="63"/>
  <c r="I75" i="63" s="1"/>
  <c r="F74" i="63"/>
  <c r="I74" i="63" s="1"/>
  <c r="F73" i="63"/>
  <c r="I73" i="63" s="1"/>
  <c r="F72" i="63"/>
  <c r="I72" i="63" s="1"/>
  <c r="F71" i="63"/>
  <c r="I71" i="63" s="1"/>
  <c r="F70" i="63"/>
  <c r="I70" i="63" s="1"/>
  <c r="F83" i="62"/>
  <c r="I83" i="62" s="1"/>
  <c r="F82" i="62"/>
  <c r="I82" i="62" s="1"/>
  <c r="F81" i="62"/>
  <c r="I81" i="62" s="1"/>
  <c r="F80" i="62"/>
  <c r="I80" i="62" s="1"/>
  <c r="F79" i="62"/>
  <c r="I79" i="62" s="1"/>
  <c r="F78" i="62"/>
  <c r="I78" i="62" s="1"/>
  <c r="F77" i="62"/>
  <c r="I77" i="62" s="1"/>
  <c r="F76" i="62"/>
  <c r="I76" i="62" s="1"/>
  <c r="F75" i="62"/>
  <c r="I75" i="62" s="1"/>
  <c r="F74" i="62"/>
  <c r="I74" i="62" s="1"/>
  <c r="F73" i="62"/>
  <c r="I73" i="62" s="1"/>
  <c r="F72" i="62"/>
  <c r="I72" i="62" s="1"/>
  <c r="F71" i="62"/>
  <c r="I71" i="62" s="1"/>
  <c r="F70" i="62"/>
  <c r="I70" i="62" s="1"/>
  <c r="F83" i="58"/>
  <c r="I83" i="58" s="1"/>
  <c r="F82" i="58"/>
  <c r="I82" i="58" s="1"/>
  <c r="F81" i="58"/>
  <c r="I81" i="58" s="1"/>
  <c r="F80" i="58"/>
  <c r="I80" i="58" s="1"/>
  <c r="F79" i="58"/>
  <c r="I79" i="58" s="1"/>
  <c r="F78" i="58"/>
  <c r="I78" i="58" s="1"/>
  <c r="F77" i="58"/>
  <c r="I77" i="58" s="1"/>
  <c r="F76" i="58"/>
  <c r="I76" i="58" s="1"/>
  <c r="F75" i="58"/>
  <c r="I75" i="58" s="1"/>
  <c r="F74" i="58"/>
  <c r="I74" i="58" s="1"/>
  <c r="F73" i="58"/>
  <c r="I73" i="58" s="1"/>
  <c r="F72" i="58"/>
  <c r="I72" i="58" s="1"/>
  <c r="F71" i="58"/>
  <c r="I71" i="58" s="1"/>
  <c r="F70" i="58"/>
  <c r="I70" i="58" s="1"/>
  <c r="F83" i="136"/>
  <c r="I83" i="136" s="1"/>
  <c r="F82" i="136"/>
  <c r="I82" i="136" s="1"/>
  <c r="F81" i="136"/>
  <c r="I81" i="136" s="1"/>
  <c r="F80" i="136"/>
  <c r="I80" i="136" s="1"/>
  <c r="F79" i="136"/>
  <c r="I79" i="136" s="1"/>
  <c r="F78" i="136"/>
  <c r="I78" i="136" s="1"/>
  <c r="F77" i="136"/>
  <c r="I77" i="136" s="1"/>
  <c r="F76" i="136"/>
  <c r="I76" i="136" s="1"/>
  <c r="F75" i="136"/>
  <c r="I75" i="136" s="1"/>
  <c r="F74" i="136"/>
  <c r="I74" i="136" s="1"/>
  <c r="F73" i="136"/>
  <c r="I73" i="136" s="1"/>
  <c r="F72" i="136"/>
  <c r="I72" i="136" s="1"/>
  <c r="F71" i="136"/>
  <c r="I71" i="136" s="1"/>
  <c r="F70" i="136"/>
  <c r="I70" i="136" s="1"/>
  <c r="F83" i="141"/>
  <c r="I83" i="141" s="1"/>
  <c r="F82" i="141"/>
  <c r="I82" i="141" s="1"/>
  <c r="F81" i="141"/>
  <c r="I81" i="141" s="1"/>
  <c r="F80" i="141"/>
  <c r="I80" i="141" s="1"/>
  <c r="F79" i="141"/>
  <c r="I79" i="141" s="1"/>
  <c r="F78" i="141"/>
  <c r="I78" i="141" s="1"/>
  <c r="F77" i="141"/>
  <c r="I77" i="141" s="1"/>
  <c r="F76" i="141"/>
  <c r="I76" i="141" s="1"/>
  <c r="F75" i="141"/>
  <c r="I75" i="141" s="1"/>
  <c r="F74" i="141"/>
  <c r="I74" i="141" s="1"/>
  <c r="F73" i="141"/>
  <c r="I73" i="141" s="1"/>
  <c r="F72" i="141"/>
  <c r="I72" i="141" s="1"/>
  <c r="F71" i="141"/>
  <c r="I71" i="141" s="1"/>
  <c r="F70" i="141"/>
  <c r="I70" i="141" s="1"/>
  <c r="F83" i="174"/>
  <c r="I83" i="174" s="1"/>
  <c r="F82" i="174"/>
  <c r="I82" i="174" s="1"/>
  <c r="F81" i="174"/>
  <c r="I81" i="174" s="1"/>
  <c r="F80" i="174"/>
  <c r="I80" i="174" s="1"/>
  <c r="F79" i="174"/>
  <c r="I79" i="174" s="1"/>
  <c r="F78" i="174"/>
  <c r="I78" i="174" s="1"/>
  <c r="F77" i="174"/>
  <c r="I77" i="174" s="1"/>
  <c r="F76" i="174"/>
  <c r="I76" i="174" s="1"/>
  <c r="F75" i="174"/>
  <c r="I75" i="174" s="1"/>
  <c r="F74" i="174"/>
  <c r="I74" i="174" s="1"/>
  <c r="F73" i="174"/>
  <c r="I73" i="174" s="1"/>
  <c r="F72" i="174"/>
  <c r="I72" i="174" s="1"/>
  <c r="F71" i="174"/>
  <c r="I71" i="174" s="1"/>
  <c r="F70" i="174"/>
  <c r="I70" i="174" s="1"/>
  <c r="F83" i="53"/>
  <c r="I83" i="53" s="1"/>
  <c r="F82" i="53"/>
  <c r="I82" i="53" s="1"/>
  <c r="F81" i="53"/>
  <c r="I81" i="53" s="1"/>
  <c r="F80" i="53"/>
  <c r="I80" i="53" s="1"/>
  <c r="F79" i="53"/>
  <c r="I79" i="53" s="1"/>
  <c r="F78" i="53"/>
  <c r="I78" i="53" s="1"/>
  <c r="F77" i="53"/>
  <c r="I77" i="53" s="1"/>
  <c r="F76" i="53"/>
  <c r="I76" i="53" s="1"/>
  <c r="F75" i="53"/>
  <c r="I75" i="53" s="1"/>
  <c r="F74" i="53"/>
  <c r="I74" i="53" s="1"/>
  <c r="F73" i="53"/>
  <c r="I73" i="53" s="1"/>
  <c r="F72" i="53"/>
  <c r="I72" i="53" s="1"/>
  <c r="F71" i="53"/>
  <c r="I71" i="53" s="1"/>
  <c r="F70" i="53"/>
  <c r="I70" i="53" s="1"/>
  <c r="F83" i="98"/>
  <c r="I83" i="98" s="1"/>
  <c r="F82" i="98"/>
  <c r="I82" i="98" s="1"/>
  <c r="F81" i="98"/>
  <c r="I81" i="98" s="1"/>
  <c r="F80" i="98"/>
  <c r="I80" i="98" s="1"/>
  <c r="F79" i="98"/>
  <c r="I79" i="98" s="1"/>
  <c r="F78" i="98"/>
  <c r="I78" i="98" s="1"/>
  <c r="F77" i="98"/>
  <c r="I77" i="98" s="1"/>
  <c r="F76" i="98"/>
  <c r="I76" i="98" s="1"/>
  <c r="F75" i="98"/>
  <c r="I75" i="98" s="1"/>
  <c r="F74" i="98"/>
  <c r="I74" i="98" s="1"/>
  <c r="F73" i="98"/>
  <c r="I73" i="98" s="1"/>
  <c r="F72" i="98"/>
  <c r="I72" i="98" s="1"/>
  <c r="F71" i="98"/>
  <c r="I71" i="98" s="1"/>
  <c r="F70" i="98"/>
  <c r="I70" i="98" s="1"/>
  <c r="F83" i="49"/>
  <c r="I83" i="49" s="1"/>
  <c r="F82" i="49"/>
  <c r="I82" i="49" s="1"/>
  <c r="F81" i="49"/>
  <c r="I81" i="49" s="1"/>
  <c r="F80" i="49"/>
  <c r="I80" i="49" s="1"/>
  <c r="F79" i="49"/>
  <c r="I79" i="49" s="1"/>
  <c r="F78" i="49"/>
  <c r="I78" i="49" s="1"/>
  <c r="F77" i="49"/>
  <c r="I77" i="49" s="1"/>
  <c r="F76" i="49"/>
  <c r="I76" i="49" s="1"/>
  <c r="F75" i="49"/>
  <c r="I75" i="49" s="1"/>
  <c r="F74" i="49"/>
  <c r="I74" i="49" s="1"/>
  <c r="F73" i="49"/>
  <c r="I73" i="49" s="1"/>
  <c r="F72" i="49"/>
  <c r="I72" i="49" s="1"/>
  <c r="F71" i="49"/>
  <c r="I71" i="49" s="1"/>
  <c r="F70" i="49"/>
  <c r="I70" i="49" s="1"/>
  <c r="F83" i="83"/>
  <c r="F82" i="83"/>
  <c r="F81" i="83"/>
  <c r="F80" i="83"/>
  <c r="F79" i="83"/>
  <c r="F78" i="83"/>
  <c r="F77" i="83"/>
  <c r="F76" i="83"/>
  <c r="F75" i="83"/>
  <c r="F74" i="83"/>
  <c r="F73" i="83"/>
  <c r="F72" i="83"/>
  <c r="F71" i="83"/>
  <c r="F70" i="83"/>
  <c r="F83" i="46"/>
  <c r="I83" i="46" s="1"/>
  <c r="F82" i="46"/>
  <c r="I82" i="46" s="1"/>
  <c r="F81" i="46"/>
  <c r="I81" i="46" s="1"/>
  <c r="F80" i="46"/>
  <c r="I80" i="46" s="1"/>
  <c r="F79" i="46"/>
  <c r="I79" i="46" s="1"/>
  <c r="F78" i="46"/>
  <c r="I78" i="46" s="1"/>
  <c r="F77" i="46"/>
  <c r="I77" i="46" s="1"/>
  <c r="F76" i="46"/>
  <c r="I76" i="46" s="1"/>
  <c r="F75" i="46"/>
  <c r="I75" i="46" s="1"/>
  <c r="F74" i="46"/>
  <c r="I74" i="46" s="1"/>
  <c r="F73" i="46"/>
  <c r="I73" i="46" s="1"/>
  <c r="F72" i="46"/>
  <c r="I72" i="46" s="1"/>
  <c r="F71" i="46"/>
  <c r="I71" i="46" s="1"/>
  <c r="F70" i="46"/>
  <c r="I70" i="46" s="1"/>
  <c r="F83" i="102"/>
  <c r="I83" i="102" s="1"/>
  <c r="F82" i="102"/>
  <c r="I82" i="102" s="1"/>
  <c r="F81" i="102"/>
  <c r="I81" i="102" s="1"/>
  <c r="F80" i="102"/>
  <c r="I80" i="102" s="1"/>
  <c r="F79" i="102"/>
  <c r="I79" i="102" s="1"/>
  <c r="F78" i="102"/>
  <c r="I78" i="102" s="1"/>
  <c r="F77" i="102"/>
  <c r="I77" i="102" s="1"/>
  <c r="F76" i="102"/>
  <c r="I76" i="102" s="1"/>
  <c r="F75" i="102"/>
  <c r="I75" i="102" s="1"/>
  <c r="F74" i="102"/>
  <c r="I74" i="102" s="1"/>
  <c r="F73" i="102"/>
  <c r="I73" i="102" s="1"/>
  <c r="F72" i="102"/>
  <c r="I72" i="102" s="1"/>
  <c r="F71" i="102"/>
  <c r="I71" i="102" s="1"/>
  <c r="F70" i="102"/>
  <c r="I70" i="102" s="1"/>
  <c r="F83" i="43"/>
  <c r="I83" i="43" s="1"/>
  <c r="F82" i="43"/>
  <c r="I82" i="43" s="1"/>
  <c r="F81" i="43"/>
  <c r="I81" i="43" s="1"/>
  <c r="F80" i="43"/>
  <c r="I80" i="43" s="1"/>
  <c r="F79" i="43"/>
  <c r="I79" i="43" s="1"/>
  <c r="F78" i="43"/>
  <c r="I78" i="43" s="1"/>
  <c r="F77" i="43"/>
  <c r="I77" i="43" s="1"/>
  <c r="F76" i="43"/>
  <c r="I76" i="43" s="1"/>
  <c r="F75" i="43"/>
  <c r="I75" i="43" s="1"/>
  <c r="F74" i="43"/>
  <c r="I74" i="43" s="1"/>
  <c r="F73" i="43"/>
  <c r="I73" i="43" s="1"/>
  <c r="F72" i="43"/>
  <c r="I72" i="43" s="1"/>
  <c r="F71" i="43"/>
  <c r="I71" i="43" s="1"/>
  <c r="F70" i="43"/>
  <c r="I70" i="43" s="1"/>
  <c r="F83" i="175"/>
  <c r="I83" i="175" s="1"/>
  <c r="F82" i="175"/>
  <c r="I82" i="175" s="1"/>
  <c r="F81" i="175"/>
  <c r="I81" i="175" s="1"/>
  <c r="F80" i="175"/>
  <c r="I80" i="175" s="1"/>
  <c r="F79" i="175"/>
  <c r="I79" i="175" s="1"/>
  <c r="F78" i="175"/>
  <c r="I78" i="175" s="1"/>
  <c r="F77" i="175"/>
  <c r="I77" i="175" s="1"/>
  <c r="F76" i="175"/>
  <c r="I76" i="175" s="1"/>
  <c r="F75" i="175"/>
  <c r="I75" i="175" s="1"/>
  <c r="F74" i="175"/>
  <c r="I74" i="175" s="1"/>
  <c r="F73" i="175"/>
  <c r="I73" i="175" s="1"/>
  <c r="F72" i="175"/>
  <c r="I72" i="175" s="1"/>
  <c r="F71" i="175"/>
  <c r="I71" i="175" s="1"/>
  <c r="F70" i="175"/>
  <c r="I70" i="175" s="1"/>
  <c r="F83" i="57"/>
  <c r="I83" i="57" s="1"/>
  <c r="F82" i="57"/>
  <c r="I82" i="57" s="1"/>
  <c r="F81" i="57"/>
  <c r="I81" i="57" s="1"/>
  <c r="F80" i="57"/>
  <c r="I80" i="57" s="1"/>
  <c r="F79" i="57"/>
  <c r="I79" i="57" s="1"/>
  <c r="F78" i="57"/>
  <c r="I78" i="57" s="1"/>
  <c r="F77" i="57"/>
  <c r="I77" i="57" s="1"/>
  <c r="F76" i="57"/>
  <c r="I76" i="57" s="1"/>
  <c r="F75" i="57"/>
  <c r="I75" i="57" s="1"/>
  <c r="F74" i="57"/>
  <c r="I74" i="57" s="1"/>
  <c r="F73" i="57"/>
  <c r="I73" i="57" s="1"/>
  <c r="F72" i="57"/>
  <c r="I72" i="57" s="1"/>
  <c r="F71" i="57"/>
  <c r="I71" i="57" s="1"/>
  <c r="F70" i="57"/>
  <c r="I70" i="57" s="1"/>
  <c r="F83" i="84"/>
  <c r="I83" i="84" s="1"/>
  <c r="F82" i="84"/>
  <c r="I82" i="84" s="1"/>
  <c r="F81" i="84"/>
  <c r="I81" i="84" s="1"/>
  <c r="F80" i="84"/>
  <c r="I80" i="84" s="1"/>
  <c r="F79" i="84"/>
  <c r="I79" i="84" s="1"/>
  <c r="F78" i="84"/>
  <c r="I78" i="84" s="1"/>
  <c r="F77" i="84"/>
  <c r="I77" i="84" s="1"/>
  <c r="F76" i="84"/>
  <c r="I76" i="84" s="1"/>
  <c r="F75" i="84"/>
  <c r="I75" i="84" s="1"/>
  <c r="F74" i="84"/>
  <c r="I74" i="84" s="1"/>
  <c r="F73" i="84"/>
  <c r="I73" i="84" s="1"/>
  <c r="F72" i="84"/>
  <c r="I72" i="84" s="1"/>
  <c r="F71" i="84"/>
  <c r="I71" i="84" s="1"/>
  <c r="F70" i="84"/>
  <c r="I70" i="84" s="1"/>
  <c r="F83" i="167"/>
  <c r="I83" i="167" s="1"/>
  <c r="F82" i="167"/>
  <c r="I82" i="167" s="1"/>
  <c r="F81" i="167"/>
  <c r="I81" i="167" s="1"/>
  <c r="F80" i="167"/>
  <c r="I80" i="167" s="1"/>
  <c r="F79" i="167"/>
  <c r="I79" i="167" s="1"/>
  <c r="F78" i="167"/>
  <c r="I78" i="167" s="1"/>
  <c r="F77" i="167"/>
  <c r="I77" i="167" s="1"/>
  <c r="F76" i="167"/>
  <c r="I76" i="167" s="1"/>
  <c r="F75" i="167"/>
  <c r="I75" i="167" s="1"/>
  <c r="F74" i="167"/>
  <c r="I74" i="167" s="1"/>
  <c r="F73" i="167"/>
  <c r="I73" i="167" s="1"/>
  <c r="F72" i="167"/>
  <c r="I72" i="167" s="1"/>
  <c r="F71" i="167"/>
  <c r="I71" i="167" s="1"/>
  <c r="F70" i="167"/>
  <c r="I70" i="167" s="1"/>
  <c r="F83" i="39"/>
  <c r="I83" i="39" s="1"/>
  <c r="F82" i="39"/>
  <c r="I82" i="39" s="1"/>
  <c r="F81" i="39"/>
  <c r="I81" i="39" s="1"/>
  <c r="F80" i="39"/>
  <c r="I80" i="39" s="1"/>
  <c r="F79" i="39"/>
  <c r="I79" i="39" s="1"/>
  <c r="F78" i="39"/>
  <c r="I78" i="39" s="1"/>
  <c r="F77" i="39"/>
  <c r="I77" i="39" s="1"/>
  <c r="F76" i="39"/>
  <c r="I76" i="39" s="1"/>
  <c r="F75" i="39"/>
  <c r="I75" i="39" s="1"/>
  <c r="F74" i="39"/>
  <c r="I74" i="39" s="1"/>
  <c r="F73" i="39"/>
  <c r="I73" i="39" s="1"/>
  <c r="F72" i="39"/>
  <c r="I72" i="39" s="1"/>
  <c r="F71" i="39"/>
  <c r="I71" i="39" s="1"/>
  <c r="F70" i="39"/>
  <c r="I70" i="39" s="1"/>
  <c r="F83" i="135"/>
  <c r="I83" i="135" s="1"/>
  <c r="F82" i="135"/>
  <c r="I82" i="135" s="1"/>
  <c r="F81" i="135"/>
  <c r="I81" i="135" s="1"/>
  <c r="F80" i="135"/>
  <c r="I80" i="135" s="1"/>
  <c r="F79" i="135"/>
  <c r="I79" i="135" s="1"/>
  <c r="F78" i="135"/>
  <c r="I78" i="135" s="1"/>
  <c r="F77" i="135"/>
  <c r="I77" i="135" s="1"/>
  <c r="F76" i="135"/>
  <c r="I76" i="135" s="1"/>
  <c r="F75" i="135"/>
  <c r="I75" i="135" s="1"/>
  <c r="F74" i="135"/>
  <c r="I74" i="135" s="1"/>
  <c r="F73" i="135"/>
  <c r="I73" i="135" s="1"/>
  <c r="F72" i="135"/>
  <c r="I72" i="135" s="1"/>
  <c r="F71" i="135"/>
  <c r="I71" i="135" s="1"/>
  <c r="F70" i="135"/>
  <c r="I70" i="135" s="1"/>
  <c r="F83" i="38"/>
  <c r="I83" i="38" s="1"/>
  <c r="F82" i="38"/>
  <c r="I82" i="38" s="1"/>
  <c r="F81" i="38"/>
  <c r="I81" i="38" s="1"/>
  <c r="F80" i="38"/>
  <c r="I80" i="38" s="1"/>
  <c r="F79" i="38"/>
  <c r="I79" i="38" s="1"/>
  <c r="F78" i="38"/>
  <c r="I78" i="38" s="1"/>
  <c r="F77" i="38"/>
  <c r="I77" i="38" s="1"/>
  <c r="F76" i="38"/>
  <c r="I76" i="38" s="1"/>
  <c r="F75" i="38"/>
  <c r="I75" i="38" s="1"/>
  <c r="F74" i="38"/>
  <c r="I74" i="38" s="1"/>
  <c r="F73" i="38"/>
  <c r="I73" i="38" s="1"/>
  <c r="F72" i="38"/>
  <c r="I72" i="38" s="1"/>
  <c r="F71" i="38"/>
  <c r="I71" i="38" s="1"/>
  <c r="F70" i="38"/>
  <c r="I70" i="38" s="1"/>
  <c r="F83" i="103"/>
  <c r="I83" i="103" s="1"/>
  <c r="F82" i="103"/>
  <c r="I82" i="103" s="1"/>
  <c r="F81" i="103"/>
  <c r="I81" i="103" s="1"/>
  <c r="F80" i="103"/>
  <c r="I80" i="103" s="1"/>
  <c r="F79" i="103"/>
  <c r="I79" i="103" s="1"/>
  <c r="F78" i="103"/>
  <c r="I78" i="103" s="1"/>
  <c r="F77" i="103"/>
  <c r="I77" i="103" s="1"/>
  <c r="F76" i="103"/>
  <c r="I76" i="103" s="1"/>
  <c r="F75" i="103"/>
  <c r="I75" i="103" s="1"/>
  <c r="F74" i="103"/>
  <c r="I74" i="103" s="1"/>
  <c r="F73" i="103"/>
  <c r="I73" i="103" s="1"/>
  <c r="F72" i="103"/>
  <c r="I72" i="103" s="1"/>
  <c r="F71" i="103"/>
  <c r="I71" i="103" s="1"/>
  <c r="F70" i="103"/>
  <c r="I70" i="103" s="1"/>
  <c r="F83" i="133"/>
  <c r="I83" i="133" s="1"/>
  <c r="F82" i="133"/>
  <c r="I82" i="133" s="1"/>
  <c r="F81" i="133"/>
  <c r="I81" i="133" s="1"/>
  <c r="F80" i="133"/>
  <c r="I80" i="133" s="1"/>
  <c r="F79" i="133"/>
  <c r="I79" i="133" s="1"/>
  <c r="F78" i="133"/>
  <c r="I78" i="133" s="1"/>
  <c r="F77" i="133"/>
  <c r="I77" i="133" s="1"/>
  <c r="F76" i="133"/>
  <c r="I76" i="133" s="1"/>
  <c r="F75" i="133"/>
  <c r="I75" i="133" s="1"/>
  <c r="F74" i="133"/>
  <c r="I74" i="133" s="1"/>
  <c r="F73" i="133"/>
  <c r="I73" i="133" s="1"/>
  <c r="F72" i="133"/>
  <c r="I72" i="133" s="1"/>
  <c r="F71" i="133"/>
  <c r="I71" i="133" s="1"/>
  <c r="F70" i="133"/>
  <c r="I70" i="133" s="1"/>
  <c r="F83" i="152"/>
  <c r="I83" i="152" s="1"/>
  <c r="F82" i="152"/>
  <c r="I82" i="152" s="1"/>
  <c r="F81" i="152"/>
  <c r="I81" i="152" s="1"/>
  <c r="F80" i="152"/>
  <c r="I80" i="152" s="1"/>
  <c r="F79" i="152"/>
  <c r="I79" i="152" s="1"/>
  <c r="F78" i="152"/>
  <c r="I78" i="152" s="1"/>
  <c r="F77" i="152"/>
  <c r="I77" i="152" s="1"/>
  <c r="F76" i="152"/>
  <c r="I76" i="152" s="1"/>
  <c r="F75" i="152"/>
  <c r="I75" i="152" s="1"/>
  <c r="F74" i="152"/>
  <c r="I74" i="152" s="1"/>
  <c r="F73" i="152"/>
  <c r="I73" i="152" s="1"/>
  <c r="F72" i="152"/>
  <c r="I72" i="152" s="1"/>
  <c r="F71" i="152"/>
  <c r="I71" i="152" s="1"/>
  <c r="F70" i="152"/>
  <c r="I70" i="152" s="1"/>
  <c r="F83" i="47"/>
  <c r="I83" i="47" s="1"/>
  <c r="F82" i="47"/>
  <c r="I82" i="47" s="1"/>
  <c r="F81" i="47"/>
  <c r="I81" i="47" s="1"/>
  <c r="F80" i="47"/>
  <c r="I80" i="47" s="1"/>
  <c r="F79" i="47"/>
  <c r="I79" i="47" s="1"/>
  <c r="F78" i="47"/>
  <c r="I78" i="47" s="1"/>
  <c r="F77" i="47"/>
  <c r="I77" i="47" s="1"/>
  <c r="F76" i="47"/>
  <c r="I76" i="47" s="1"/>
  <c r="F75" i="47"/>
  <c r="I75" i="47" s="1"/>
  <c r="F74" i="47"/>
  <c r="I74" i="47" s="1"/>
  <c r="F73" i="47"/>
  <c r="I73" i="47" s="1"/>
  <c r="F72" i="47"/>
  <c r="I72" i="47" s="1"/>
  <c r="F71" i="47"/>
  <c r="I71" i="47" s="1"/>
  <c r="F70" i="47"/>
  <c r="I70" i="47" s="1"/>
  <c r="F83" i="120"/>
  <c r="I83" i="120" s="1"/>
  <c r="F82" i="120"/>
  <c r="I82" i="120" s="1"/>
  <c r="F81" i="120"/>
  <c r="I81" i="120" s="1"/>
  <c r="F80" i="120"/>
  <c r="I80" i="120" s="1"/>
  <c r="F79" i="120"/>
  <c r="I79" i="120" s="1"/>
  <c r="F78" i="120"/>
  <c r="I78" i="120" s="1"/>
  <c r="F77" i="120"/>
  <c r="I77" i="120" s="1"/>
  <c r="F76" i="120"/>
  <c r="I76" i="120" s="1"/>
  <c r="F75" i="120"/>
  <c r="I75" i="120" s="1"/>
  <c r="F74" i="120"/>
  <c r="I74" i="120" s="1"/>
  <c r="F73" i="120"/>
  <c r="I73" i="120" s="1"/>
  <c r="F72" i="120"/>
  <c r="I72" i="120" s="1"/>
  <c r="F71" i="120"/>
  <c r="I71" i="120" s="1"/>
  <c r="F70" i="120"/>
  <c r="I70" i="120" s="1"/>
  <c r="F83" i="37"/>
  <c r="I83" i="37" s="1"/>
  <c r="F82" i="37"/>
  <c r="I82" i="37" s="1"/>
  <c r="F81" i="37"/>
  <c r="I81" i="37" s="1"/>
  <c r="F80" i="37"/>
  <c r="I80" i="37" s="1"/>
  <c r="F79" i="37"/>
  <c r="I79" i="37" s="1"/>
  <c r="F78" i="37"/>
  <c r="I78" i="37" s="1"/>
  <c r="F77" i="37"/>
  <c r="I77" i="37" s="1"/>
  <c r="F76" i="37"/>
  <c r="I76" i="37" s="1"/>
  <c r="F75" i="37"/>
  <c r="I75" i="37" s="1"/>
  <c r="F74" i="37"/>
  <c r="I74" i="37" s="1"/>
  <c r="F73" i="37"/>
  <c r="I73" i="37" s="1"/>
  <c r="F72" i="37"/>
  <c r="I72" i="37" s="1"/>
  <c r="F71" i="37"/>
  <c r="I71" i="37" s="1"/>
  <c r="F70" i="37"/>
  <c r="I70" i="37" s="1"/>
  <c r="F83" i="90"/>
  <c r="I83" i="90" s="1"/>
  <c r="F82" i="90"/>
  <c r="I82" i="90" s="1"/>
  <c r="F81" i="90"/>
  <c r="I81" i="90" s="1"/>
  <c r="F80" i="90"/>
  <c r="I80" i="90" s="1"/>
  <c r="F79" i="90"/>
  <c r="I79" i="90" s="1"/>
  <c r="F78" i="90"/>
  <c r="I78" i="90" s="1"/>
  <c r="F77" i="90"/>
  <c r="I77" i="90" s="1"/>
  <c r="F76" i="90"/>
  <c r="I76" i="90" s="1"/>
  <c r="F75" i="90"/>
  <c r="I75" i="90" s="1"/>
  <c r="F74" i="90"/>
  <c r="I74" i="90" s="1"/>
  <c r="F73" i="90"/>
  <c r="I73" i="90" s="1"/>
  <c r="F72" i="90"/>
  <c r="I72" i="90" s="1"/>
  <c r="F71" i="90"/>
  <c r="I71" i="90" s="1"/>
  <c r="F70" i="90"/>
  <c r="I70" i="90" s="1"/>
  <c r="F83" i="24"/>
  <c r="I83" i="24" s="1"/>
  <c r="F82" i="24"/>
  <c r="I82" i="24" s="1"/>
  <c r="F81" i="24"/>
  <c r="I81" i="24" s="1"/>
  <c r="F80" i="24"/>
  <c r="I80" i="24" s="1"/>
  <c r="F79" i="24"/>
  <c r="I79" i="24" s="1"/>
  <c r="F78" i="24"/>
  <c r="I78" i="24" s="1"/>
  <c r="F77" i="24"/>
  <c r="I77" i="24" s="1"/>
  <c r="F76" i="24"/>
  <c r="I76" i="24" s="1"/>
  <c r="F75" i="24"/>
  <c r="I75" i="24" s="1"/>
  <c r="F74" i="24"/>
  <c r="I74" i="24" s="1"/>
  <c r="F73" i="24"/>
  <c r="I73" i="24" s="1"/>
  <c r="F72" i="24"/>
  <c r="I72" i="24" s="1"/>
  <c r="F71" i="24"/>
  <c r="I71" i="24" s="1"/>
  <c r="F70" i="24"/>
  <c r="I70" i="24" s="1"/>
  <c r="F83" i="32"/>
  <c r="I83" i="32" s="1"/>
  <c r="F82" i="32"/>
  <c r="I82" i="32" s="1"/>
  <c r="F81" i="32"/>
  <c r="I81" i="32" s="1"/>
  <c r="F80" i="32"/>
  <c r="I80" i="32" s="1"/>
  <c r="F79" i="32"/>
  <c r="I79" i="32" s="1"/>
  <c r="F78" i="32"/>
  <c r="I78" i="32" s="1"/>
  <c r="F77" i="32"/>
  <c r="I77" i="32" s="1"/>
  <c r="F76" i="32"/>
  <c r="I76" i="32" s="1"/>
  <c r="F75" i="32"/>
  <c r="I75" i="32" s="1"/>
  <c r="F74" i="32"/>
  <c r="I74" i="32" s="1"/>
  <c r="F73" i="32"/>
  <c r="I73" i="32" s="1"/>
  <c r="F72" i="32"/>
  <c r="I72" i="32" s="1"/>
  <c r="F71" i="32"/>
  <c r="I71" i="32" s="1"/>
  <c r="F70" i="32"/>
  <c r="I70" i="32" s="1"/>
  <c r="F83" i="79"/>
  <c r="I83" i="79" s="1"/>
  <c r="F82" i="79"/>
  <c r="I82" i="79" s="1"/>
  <c r="F81" i="79"/>
  <c r="I81" i="79" s="1"/>
  <c r="F80" i="79"/>
  <c r="I80" i="79" s="1"/>
  <c r="F79" i="79"/>
  <c r="I79" i="79" s="1"/>
  <c r="F78" i="79"/>
  <c r="I78" i="79" s="1"/>
  <c r="F77" i="79"/>
  <c r="I77" i="79" s="1"/>
  <c r="F76" i="79"/>
  <c r="I76" i="79" s="1"/>
  <c r="F75" i="79"/>
  <c r="I75" i="79" s="1"/>
  <c r="F74" i="79"/>
  <c r="I74" i="79" s="1"/>
  <c r="F73" i="79"/>
  <c r="I73" i="79" s="1"/>
  <c r="F72" i="79"/>
  <c r="I72" i="79" s="1"/>
  <c r="F71" i="79"/>
  <c r="I71" i="79" s="1"/>
  <c r="F70" i="79"/>
  <c r="I70" i="79" s="1"/>
  <c r="F83" i="31"/>
  <c r="I83" i="31" s="1"/>
  <c r="F82" i="31"/>
  <c r="I82" i="31" s="1"/>
  <c r="F81" i="31"/>
  <c r="I81" i="31" s="1"/>
  <c r="F80" i="31"/>
  <c r="I80" i="31" s="1"/>
  <c r="F79" i="31"/>
  <c r="I79" i="31" s="1"/>
  <c r="F78" i="31"/>
  <c r="I78" i="31" s="1"/>
  <c r="F77" i="31"/>
  <c r="I77" i="31" s="1"/>
  <c r="F76" i="31"/>
  <c r="I76" i="31" s="1"/>
  <c r="F75" i="31"/>
  <c r="I75" i="31" s="1"/>
  <c r="F74" i="31"/>
  <c r="I74" i="31" s="1"/>
  <c r="F73" i="31"/>
  <c r="I73" i="31" s="1"/>
  <c r="F72" i="31"/>
  <c r="I72" i="31" s="1"/>
  <c r="F71" i="31"/>
  <c r="I71" i="31" s="1"/>
  <c r="F70" i="31"/>
  <c r="I70" i="31" s="1"/>
  <c r="F83" i="64"/>
  <c r="I83" i="64" s="1"/>
  <c r="F82" i="64"/>
  <c r="I82" i="64" s="1"/>
  <c r="F81" i="64"/>
  <c r="I81" i="64" s="1"/>
  <c r="F80" i="64"/>
  <c r="I80" i="64" s="1"/>
  <c r="F79" i="64"/>
  <c r="I79" i="64" s="1"/>
  <c r="F78" i="64"/>
  <c r="I78" i="64" s="1"/>
  <c r="F77" i="64"/>
  <c r="I77" i="64" s="1"/>
  <c r="F76" i="64"/>
  <c r="I76" i="64" s="1"/>
  <c r="F75" i="64"/>
  <c r="I75" i="64" s="1"/>
  <c r="F74" i="64"/>
  <c r="I74" i="64" s="1"/>
  <c r="F73" i="64"/>
  <c r="I73" i="64" s="1"/>
  <c r="F72" i="64"/>
  <c r="I72" i="64" s="1"/>
  <c r="F71" i="64"/>
  <c r="I71" i="64" s="1"/>
  <c r="F70" i="64"/>
  <c r="I70" i="64" s="1"/>
  <c r="F83" i="113"/>
  <c r="I83" i="113" s="1"/>
  <c r="F82" i="113"/>
  <c r="I82" i="113" s="1"/>
  <c r="F81" i="113"/>
  <c r="I81" i="113" s="1"/>
  <c r="F80" i="113"/>
  <c r="I80" i="113" s="1"/>
  <c r="F79" i="113"/>
  <c r="I79" i="113" s="1"/>
  <c r="F78" i="113"/>
  <c r="I78" i="113" s="1"/>
  <c r="F77" i="113"/>
  <c r="I77" i="113" s="1"/>
  <c r="F76" i="113"/>
  <c r="I76" i="113" s="1"/>
  <c r="F75" i="113"/>
  <c r="I75" i="113" s="1"/>
  <c r="F74" i="113"/>
  <c r="I74" i="113" s="1"/>
  <c r="F73" i="113"/>
  <c r="I73" i="113" s="1"/>
  <c r="F72" i="113"/>
  <c r="I72" i="113" s="1"/>
  <c r="F71" i="113"/>
  <c r="I71" i="113" s="1"/>
  <c r="F70" i="113"/>
  <c r="I70" i="113" s="1"/>
  <c r="F83" i="72"/>
  <c r="I83" i="72" s="1"/>
  <c r="F82" i="72"/>
  <c r="I82" i="72" s="1"/>
  <c r="F81" i="72"/>
  <c r="I81" i="72" s="1"/>
  <c r="F80" i="72"/>
  <c r="I80" i="72" s="1"/>
  <c r="F79" i="72"/>
  <c r="I79" i="72" s="1"/>
  <c r="F78" i="72"/>
  <c r="I78" i="72" s="1"/>
  <c r="F77" i="72"/>
  <c r="I77" i="72" s="1"/>
  <c r="F76" i="72"/>
  <c r="I76" i="72" s="1"/>
  <c r="F75" i="72"/>
  <c r="I75" i="72" s="1"/>
  <c r="F74" i="72"/>
  <c r="I74" i="72" s="1"/>
  <c r="F73" i="72"/>
  <c r="I73" i="72" s="1"/>
  <c r="F72" i="72"/>
  <c r="I72" i="72" s="1"/>
  <c r="F71" i="72"/>
  <c r="I71" i="72" s="1"/>
  <c r="F70" i="72"/>
  <c r="I70" i="72" s="1"/>
  <c r="F83" i="28"/>
  <c r="I83" i="28" s="1"/>
  <c r="F82" i="28"/>
  <c r="I82" i="28" s="1"/>
  <c r="F81" i="28"/>
  <c r="I81" i="28" s="1"/>
  <c r="F80" i="28"/>
  <c r="I80" i="28" s="1"/>
  <c r="F79" i="28"/>
  <c r="I79" i="28" s="1"/>
  <c r="F78" i="28"/>
  <c r="I78" i="28" s="1"/>
  <c r="F77" i="28"/>
  <c r="I77" i="28" s="1"/>
  <c r="F76" i="28"/>
  <c r="I76" i="28" s="1"/>
  <c r="F75" i="28"/>
  <c r="I75" i="28" s="1"/>
  <c r="F74" i="28"/>
  <c r="I74" i="28" s="1"/>
  <c r="F73" i="28"/>
  <c r="I73" i="28" s="1"/>
  <c r="F72" i="28"/>
  <c r="I72" i="28" s="1"/>
  <c r="F71" i="28"/>
  <c r="I71" i="28" s="1"/>
  <c r="F70" i="28"/>
  <c r="I70" i="28" s="1"/>
  <c r="F83" i="65"/>
  <c r="I83" i="65" s="1"/>
  <c r="F82" i="65"/>
  <c r="I82" i="65" s="1"/>
  <c r="F81" i="65"/>
  <c r="I81" i="65" s="1"/>
  <c r="F80" i="65"/>
  <c r="I80" i="65" s="1"/>
  <c r="F79" i="65"/>
  <c r="I79" i="65" s="1"/>
  <c r="F78" i="65"/>
  <c r="I78" i="65" s="1"/>
  <c r="F77" i="65"/>
  <c r="I77" i="65" s="1"/>
  <c r="F76" i="65"/>
  <c r="I76" i="65" s="1"/>
  <c r="F75" i="65"/>
  <c r="I75" i="65" s="1"/>
  <c r="F74" i="65"/>
  <c r="I74" i="65" s="1"/>
  <c r="F73" i="65"/>
  <c r="I73" i="65" s="1"/>
  <c r="F72" i="65"/>
  <c r="I72" i="65" s="1"/>
  <c r="F71" i="65"/>
  <c r="I71" i="65" s="1"/>
  <c r="F70" i="65"/>
  <c r="I70" i="65" s="1"/>
  <c r="F83" i="119"/>
  <c r="I83" i="119" s="1"/>
  <c r="F82" i="119"/>
  <c r="I82" i="119" s="1"/>
  <c r="F81" i="119"/>
  <c r="I81" i="119" s="1"/>
  <c r="F80" i="119"/>
  <c r="I80" i="119" s="1"/>
  <c r="F79" i="119"/>
  <c r="I79" i="119" s="1"/>
  <c r="F78" i="119"/>
  <c r="I78" i="119" s="1"/>
  <c r="F77" i="119"/>
  <c r="I77" i="119" s="1"/>
  <c r="F76" i="119"/>
  <c r="I76" i="119" s="1"/>
  <c r="F75" i="119"/>
  <c r="I75" i="119" s="1"/>
  <c r="F74" i="119"/>
  <c r="I74" i="119" s="1"/>
  <c r="F73" i="119"/>
  <c r="I73" i="119" s="1"/>
  <c r="F72" i="119"/>
  <c r="I72" i="119" s="1"/>
  <c r="F71" i="119"/>
  <c r="I71" i="119" s="1"/>
  <c r="F70" i="119"/>
  <c r="I70" i="119" s="1"/>
  <c r="F83" i="25"/>
  <c r="I83" i="25" s="1"/>
  <c r="F82" i="25"/>
  <c r="I82" i="25" s="1"/>
  <c r="F81" i="25"/>
  <c r="I81" i="25" s="1"/>
  <c r="F80" i="25"/>
  <c r="I80" i="25" s="1"/>
  <c r="F79" i="25"/>
  <c r="I79" i="25" s="1"/>
  <c r="F78" i="25"/>
  <c r="I78" i="25" s="1"/>
  <c r="F77" i="25"/>
  <c r="I77" i="25" s="1"/>
  <c r="F76" i="25"/>
  <c r="I76" i="25" s="1"/>
  <c r="F75" i="25"/>
  <c r="I75" i="25" s="1"/>
  <c r="F74" i="25"/>
  <c r="I74" i="25" s="1"/>
  <c r="F73" i="25"/>
  <c r="I73" i="25" s="1"/>
  <c r="F72" i="25"/>
  <c r="I72" i="25" s="1"/>
  <c r="F71" i="25"/>
  <c r="I71" i="25" s="1"/>
  <c r="F70" i="25"/>
  <c r="I70" i="25" s="1"/>
  <c r="F83" i="155"/>
  <c r="I83" i="155" s="1"/>
  <c r="F82" i="155"/>
  <c r="I82" i="155" s="1"/>
  <c r="F81" i="155"/>
  <c r="I81" i="155" s="1"/>
  <c r="F80" i="155"/>
  <c r="I80" i="155" s="1"/>
  <c r="F79" i="155"/>
  <c r="I79" i="155" s="1"/>
  <c r="F78" i="155"/>
  <c r="I78" i="155" s="1"/>
  <c r="F77" i="155"/>
  <c r="I77" i="155" s="1"/>
  <c r="F76" i="155"/>
  <c r="I76" i="155" s="1"/>
  <c r="F75" i="155"/>
  <c r="I75" i="155" s="1"/>
  <c r="F74" i="155"/>
  <c r="I74" i="155" s="1"/>
  <c r="F73" i="155"/>
  <c r="I73" i="155" s="1"/>
  <c r="F72" i="155"/>
  <c r="I72" i="155" s="1"/>
  <c r="F71" i="155"/>
  <c r="I71" i="155" s="1"/>
  <c r="F70" i="155"/>
  <c r="I70" i="155" s="1"/>
  <c r="F83" i="156"/>
  <c r="I83" i="156" s="1"/>
  <c r="F82" i="156"/>
  <c r="I82" i="156" s="1"/>
  <c r="F81" i="156"/>
  <c r="I81" i="156" s="1"/>
  <c r="F80" i="156"/>
  <c r="I80" i="156" s="1"/>
  <c r="F79" i="156"/>
  <c r="I79" i="156" s="1"/>
  <c r="F78" i="156"/>
  <c r="I78" i="156" s="1"/>
  <c r="F77" i="156"/>
  <c r="I77" i="156" s="1"/>
  <c r="F76" i="156"/>
  <c r="I76" i="156" s="1"/>
  <c r="F75" i="156"/>
  <c r="I75" i="156" s="1"/>
  <c r="F74" i="156"/>
  <c r="I74" i="156" s="1"/>
  <c r="F73" i="156"/>
  <c r="I73" i="156" s="1"/>
  <c r="F72" i="156"/>
  <c r="I72" i="156" s="1"/>
  <c r="F71" i="156"/>
  <c r="I71" i="156" s="1"/>
  <c r="F70" i="156"/>
  <c r="I70" i="156" s="1"/>
  <c r="F83" i="20"/>
  <c r="I83" i="20" s="1"/>
  <c r="F82" i="20"/>
  <c r="I82" i="20" s="1"/>
  <c r="F81" i="20"/>
  <c r="I81" i="20" s="1"/>
  <c r="F80" i="20"/>
  <c r="I80" i="20" s="1"/>
  <c r="F79" i="20"/>
  <c r="I79" i="20" s="1"/>
  <c r="F78" i="20"/>
  <c r="I78" i="20" s="1"/>
  <c r="F77" i="20"/>
  <c r="I77" i="20" s="1"/>
  <c r="F76" i="20"/>
  <c r="I76" i="20" s="1"/>
  <c r="F75" i="20"/>
  <c r="I75" i="20" s="1"/>
  <c r="F74" i="20"/>
  <c r="I74" i="20" s="1"/>
  <c r="F73" i="20"/>
  <c r="I73" i="20" s="1"/>
  <c r="F72" i="20"/>
  <c r="I72" i="20" s="1"/>
  <c r="F71" i="20"/>
  <c r="I71" i="20" s="1"/>
  <c r="F70" i="20"/>
  <c r="I70" i="20" s="1"/>
  <c r="F83" i="42"/>
  <c r="I83" i="42" s="1"/>
  <c r="F82" i="42"/>
  <c r="I82" i="42" s="1"/>
  <c r="F81" i="42"/>
  <c r="I81" i="42" s="1"/>
  <c r="F80" i="42"/>
  <c r="I80" i="42" s="1"/>
  <c r="F79" i="42"/>
  <c r="I79" i="42" s="1"/>
  <c r="F78" i="42"/>
  <c r="I78" i="42" s="1"/>
  <c r="F77" i="42"/>
  <c r="I77" i="42" s="1"/>
  <c r="F76" i="42"/>
  <c r="I76" i="42" s="1"/>
  <c r="F75" i="42"/>
  <c r="I75" i="42" s="1"/>
  <c r="F74" i="42"/>
  <c r="I74" i="42" s="1"/>
  <c r="F73" i="42"/>
  <c r="I73" i="42" s="1"/>
  <c r="F72" i="42"/>
  <c r="I72" i="42" s="1"/>
  <c r="F71" i="42"/>
  <c r="I71" i="42" s="1"/>
  <c r="F70" i="42"/>
  <c r="I70" i="42" s="1"/>
  <c r="F83" i="157"/>
  <c r="I83" i="157" s="1"/>
  <c r="F82" i="157"/>
  <c r="I82" i="157" s="1"/>
  <c r="F81" i="157"/>
  <c r="I81" i="157" s="1"/>
  <c r="F80" i="157"/>
  <c r="I80" i="157" s="1"/>
  <c r="F79" i="157"/>
  <c r="I79" i="157" s="1"/>
  <c r="F78" i="157"/>
  <c r="I78" i="157" s="1"/>
  <c r="F77" i="157"/>
  <c r="I77" i="157" s="1"/>
  <c r="F76" i="157"/>
  <c r="I76" i="157" s="1"/>
  <c r="F75" i="157"/>
  <c r="I75" i="157" s="1"/>
  <c r="F74" i="157"/>
  <c r="I74" i="157" s="1"/>
  <c r="F73" i="157"/>
  <c r="I73" i="157" s="1"/>
  <c r="F72" i="157"/>
  <c r="I72" i="157" s="1"/>
  <c r="F71" i="157"/>
  <c r="I71" i="157" s="1"/>
  <c r="F70" i="157"/>
  <c r="I70" i="157" s="1"/>
  <c r="F83" i="159"/>
  <c r="I83" i="159" s="1"/>
  <c r="F82" i="159"/>
  <c r="I82" i="159" s="1"/>
  <c r="F81" i="159"/>
  <c r="I81" i="159" s="1"/>
  <c r="F80" i="159"/>
  <c r="I80" i="159" s="1"/>
  <c r="F79" i="159"/>
  <c r="I79" i="159" s="1"/>
  <c r="F78" i="159"/>
  <c r="I78" i="159" s="1"/>
  <c r="F77" i="159"/>
  <c r="I77" i="159" s="1"/>
  <c r="F76" i="159"/>
  <c r="I76" i="159" s="1"/>
  <c r="F75" i="159"/>
  <c r="I75" i="159" s="1"/>
  <c r="F74" i="159"/>
  <c r="I74" i="159" s="1"/>
  <c r="F73" i="159"/>
  <c r="I73" i="159" s="1"/>
  <c r="F72" i="159"/>
  <c r="I72" i="159" s="1"/>
  <c r="F71" i="159"/>
  <c r="I71" i="159" s="1"/>
  <c r="F70" i="159"/>
  <c r="I70" i="159" s="1"/>
  <c r="F83" i="158"/>
  <c r="I83" i="158" s="1"/>
  <c r="F82" i="158"/>
  <c r="I82" i="158" s="1"/>
  <c r="F81" i="158"/>
  <c r="I81" i="158" s="1"/>
  <c r="F80" i="158"/>
  <c r="I80" i="158" s="1"/>
  <c r="F79" i="158"/>
  <c r="I79" i="158" s="1"/>
  <c r="F78" i="158"/>
  <c r="I78" i="158" s="1"/>
  <c r="F77" i="158"/>
  <c r="I77" i="158" s="1"/>
  <c r="F76" i="158"/>
  <c r="I76" i="158" s="1"/>
  <c r="F75" i="158"/>
  <c r="I75" i="158" s="1"/>
  <c r="F74" i="158"/>
  <c r="I74" i="158" s="1"/>
  <c r="F73" i="158"/>
  <c r="I73" i="158" s="1"/>
  <c r="F72" i="158"/>
  <c r="I72" i="158" s="1"/>
  <c r="F71" i="158"/>
  <c r="I71" i="158" s="1"/>
  <c r="F70" i="158"/>
  <c r="I70" i="158" s="1"/>
  <c r="F83" i="16"/>
  <c r="I83" i="16" s="1"/>
  <c r="F82" i="16"/>
  <c r="I82" i="16" s="1"/>
  <c r="F81" i="16"/>
  <c r="I81" i="16" s="1"/>
  <c r="F80" i="16"/>
  <c r="I80" i="16" s="1"/>
  <c r="F79" i="16"/>
  <c r="I79" i="16" s="1"/>
  <c r="F78" i="16"/>
  <c r="I78" i="16" s="1"/>
  <c r="F77" i="16"/>
  <c r="I77" i="16" s="1"/>
  <c r="F76" i="16"/>
  <c r="I76" i="16" s="1"/>
  <c r="F75" i="16"/>
  <c r="I75" i="16" s="1"/>
  <c r="F74" i="16"/>
  <c r="I74" i="16" s="1"/>
  <c r="F73" i="16"/>
  <c r="I73" i="16" s="1"/>
  <c r="F72" i="16"/>
  <c r="I72" i="16" s="1"/>
  <c r="F71" i="16"/>
  <c r="I71" i="16" s="1"/>
  <c r="F70" i="16"/>
  <c r="I70" i="16" s="1"/>
  <c r="F83" i="27"/>
  <c r="I83" i="27" s="1"/>
  <c r="F82" i="27"/>
  <c r="I82" i="27" s="1"/>
  <c r="F81" i="27"/>
  <c r="I81" i="27" s="1"/>
  <c r="F80" i="27"/>
  <c r="I80" i="27" s="1"/>
  <c r="F79" i="27"/>
  <c r="I79" i="27" s="1"/>
  <c r="F78" i="27"/>
  <c r="I78" i="27" s="1"/>
  <c r="F77" i="27"/>
  <c r="I77" i="27" s="1"/>
  <c r="F76" i="27"/>
  <c r="I76" i="27" s="1"/>
  <c r="F75" i="27"/>
  <c r="I75" i="27" s="1"/>
  <c r="F74" i="27"/>
  <c r="I74" i="27" s="1"/>
  <c r="F73" i="27"/>
  <c r="I73" i="27" s="1"/>
  <c r="F72" i="27"/>
  <c r="I72" i="27" s="1"/>
  <c r="F71" i="27"/>
  <c r="I71" i="27" s="1"/>
  <c r="F70" i="27"/>
  <c r="I70" i="27" s="1"/>
  <c r="F83" i="111"/>
  <c r="I83" i="111" s="1"/>
  <c r="F82" i="111"/>
  <c r="I82" i="111" s="1"/>
  <c r="F81" i="111"/>
  <c r="I81" i="111" s="1"/>
  <c r="F80" i="111"/>
  <c r="I80" i="111" s="1"/>
  <c r="F79" i="111"/>
  <c r="I79" i="111" s="1"/>
  <c r="F78" i="111"/>
  <c r="I78" i="111" s="1"/>
  <c r="F77" i="111"/>
  <c r="I77" i="111" s="1"/>
  <c r="F76" i="111"/>
  <c r="I76" i="111" s="1"/>
  <c r="F75" i="111"/>
  <c r="I75" i="111" s="1"/>
  <c r="F74" i="111"/>
  <c r="I74" i="111" s="1"/>
  <c r="F73" i="111"/>
  <c r="I73" i="111" s="1"/>
  <c r="F72" i="111"/>
  <c r="I72" i="111" s="1"/>
  <c r="F71" i="111"/>
  <c r="I71" i="111" s="1"/>
  <c r="F70" i="111"/>
  <c r="I70" i="111" s="1"/>
  <c r="F83" i="71"/>
  <c r="I83" i="71" s="1"/>
  <c r="F82" i="71"/>
  <c r="I82" i="71" s="1"/>
  <c r="F81" i="71"/>
  <c r="I81" i="71" s="1"/>
  <c r="F80" i="71"/>
  <c r="I80" i="71" s="1"/>
  <c r="F79" i="71"/>
  <c r="I79" i="71" s="1"/>
  <c r="F78" i="71"/>
  <c r="I78" i="71" s="1"/>
  <c r="F77" i="71"/>
  <c r="I77" i="71" s="1"/>
  <c r="F76" i="71"/>
  <c r="I76" i="71" s="1"/>
  <c r="F75" i="71"/>
  <c r="I75" i="71" s="1"/>
  <c r="F74" i="71"/>
  <c r="I74" i="71" s="1"/>
  <c r="F73" i="71"/>
  <c r="I73" i="71" s="1"/>
  <c r="F72" i="71"/>
  <c r="I72" i="71" s="1"/>
  <c r="F71" i="71"/>
  <c r="I71" i="71" s="1"/>
  <c r="F70" i="71"/>
  <c r="I70" i="71" s="1"/>
  <c r="F83" i="165"/>
  <c r="I83" i="165" s="1"/>
  <c r="F82" i="165"/>
  <c r="I82" i="165" s="1"/>
  <c r="F81" i="165"/>
  <c r="I81" i="165" s="1"/>
  <c r="F80" i="165"/>
  <c r="I80" i="165" s="1"/>
  <c r="F79" i="165"/>
  <c r="I79" i="165" s="1"/>
  <c r="F78" i="165"/>
  <c r="I78" i="165" s="1"/>
  <c r="F77" i="165"/>
  <c r="I77" i="165" s="1"/>
  <c r="F76" i="165"/>
  <c r="I76" i="165" s="1"/>
  <c r="F75" i="165"/>
  <c r="I75" i="165" s="1"/>
  <c r="F74" i="165"/>
  <c r="I74" i="165" s="1"/>
  <c r="F73" i="165"/>
  <c r="I73" i="165" s="1"/>
  <c r="F72" i="165"/>
  <c r="I72" i="165" s="1"/>
  <c r="F71" i="165"/>
  <c r="I71" i="165" s="1"/>
  <c r="F70" i="165"/>
  <c r="I70" i="165" s="1"/>
  <c r="F83" i="55"/>
  <c r="I83" i="55" s="1"/>
  <c r="F82" i="55"/>
  <c r="I82" i="55" s="1"/>
  <c r="F81" i="55"/>
  <c r="I81" i="55" s="1"/>
  <c r="F80" i="55"/>
  <c r="I80" i="55" s="1"/>
  <c r="F79" i="55"/>
  <c r="I79" i="55" s="1"/>
  <c r="F78" i="55"/>
  <c r="I78" i="55" s="1"/>
  <c r="F77" i="55"/>
  <c r="I77" i="55" s="1"/>
  <c r="F76" i="55"/>
  <c r="I76" i="55" s="1"/>
  <c r="F75" i="55"/>
  <c r="I75" i="55" s="1"/>
  <c r="F74" i="55"/>
  <c r="I74" i="55" s="1"/>
  <c r="F73" i="55"/>
  <c r="I73" i="55" s="1"/>
  <c r="F72" i="55"/>
  <c r="I72" i="55" s="1"/>
  <c r="F71" i="55"/>
  <c r="I71" i="55" s="1"/>
  <c r="F70" i="55"/>
  <c r="I70" i="55" s="1"/>
  <c r="F83" i="21"/>
  <c r="I83" i="21" s="1"/>
  <c r="F82" i="21"/>
  <c r="I82" i="21" s="1"/>
  <c r="F81" i="21"/>
  <c r="I81" i="21" s="1"/>
  <c r="F80" i="21"/>
  <c r="I80" i="21" s="1"/>
  <c r="F79" i="21"/>
  <c r="I79" i="21" s="1"/>
  <c r="F78" i="21"/>
  <c r="I78" i="21" s="1"/>
  <c r="F77" i="21"/>
  <c r="I77" i="21" s="1"/>
  <c r="F76" i="21"/>
  <c r="I76" i="21" s="1"/>
  <c r="F75" i="21"/>
  <c r="I75" i="21" s="1"/>
  <c r="F74" i="21"/>
  <c r="I74" i="21" s="1"/>
  <c r="F73" i="21"/>
  <c r="I73" i="21" s="1"/>
  <c r="F72" i="21"/>
  <c r="I72" i="21" s="1"/>
  <c r="F71" i="21"/>
  <c r="I71" i="21" s="1"/>
  <c r="F70" i="21"/>
  <c r="I70" i="21" s="1"/>
  <c r="F83" i="14"/>
  <c r="I83" i="14" s="1"/>
  <c r="F82" i="14"/>
  <c r="I82" i="14" s="1"/>
  <c r="F81" i="14"/>
  <c r="I81" i="14" s="1"/>
  <c r="F80" i="14"/>
  <c r="I80" i="14" s="1"/>
  <c r="F79" i="14"/>
  <c r="I79" i="14" s="1"/>
  <c r="F78" i="14"/>
  <c r="I78" i="14" s="1"/>
  <c r="F77" i="14"/>
  <c r="I77" i="14" s="1"/>
  <c r="F76" i="14"/>
  <c r="I76" i="14" s="1"/>
  <c r="F75" i="14"/>
  <c r="I75" i="14" s="1"/>
  <c r="F74" i="14"/>
  <c r="I74" i="14" s="1"/>
  <c r="F73" i="14"/>
  <c r="I73" i="14" s="1"/>
  <c r="F72" i="14"/>
  <c r="I72" i="14" s="1"/>
  <c r="F71" i="14"/>
  <c r="I71" i="14" s="1"/>
  <c r="F70" i="14"/>
  <c r="I70" i="14" s="1"/>
  <c r="F83" i="85"/>
  <c r="I83" i="85" s="1"/>
  <c r="F82" i="85"/>
  <c r="I82" i="85" s="1"/>
  <c r="F81" i="85"/>
  <c r="I81" i="85" s="1"/>
  <c r="F80" i="85"/>
  <c r="I80" i="85" s="1"/>
  <c r="F79" i="85"/>
  <c r="I79" i="85" s="1"/>
  <c r="F78" i="85"/>
  <c r="I78" i="85" s="1"/>
  <c r="F77" i="85"/>
  <c r="I77" i="85" s="1"/>
  <c r="F76" i="85"/>
  <c r="I76" i="85" s="1"/>
  <c r="F75" i="85"/>
  <c r="I75" i="85" s="1"/>
  <c r="F74" i="85"/>
  <c r="I74" i="85" s="1"/>
  <c r="F73" i="85"/>
  <c r="I73" i="85" s="1"/>
  <c r="F72" i="85"/>
  <c r="I72" i="85" s="1"/>
  <c r="F71" i="85"/>
  <c r="I71" i="85" s="1"/>
  <c r="F70" i="85"/>
  <c r="I70" i="85" s="1"/>
  <c r="F83" i="87"/>
  <c r="I83" i="87" s="1"/>
  <c r="F82" i="87"/>
  <c r="I82" i="87" s="1"/>
  <c r="F81" i="87"/>
  <c r="I81" i="87" s="1"/>
  <c r="F80" i="87"/>
  <c r="I80" i="87" s="1"/>
  <c r="F79" i="87"/>
  <c r="I79" i="87" s="1"/>
  <c r="F78" i="87"/>
  <c r="I78" i="87" s="1"/>
  <c r="F77" i="87"/>
  <c r="I77" i="87" s="1"/>
  <c r="F76" i="87"/>
  <c r="I76" i="87" s="1"/>
  <c r="F75" i="87"/>
  <c r="I75" i="87" s="1"/>
  <c r="F74" i="87"/>
  <c r="I74" i="87" s="1"/>
  <c r="F73" i="87"/>
  <c r="I73" i="87" s="1"/>
  <c r="F72" i="87"/>
  <c r="I72" i="87" s="1"/>
  <c r="F71" i="87"/>
  <c r="I71" i="87" s="1"/>
  <c r="F70" i="87"/>
  <c r="I70" i="87" s="1"/>
  <c r="F83" i="86"/>
  <c r="I83" i="86" s="1"/>
  <c r="F82" i="86"/>
  <c r="I82" i="86" s="1"/>
  <c r="F81" i="86"/>
  <c r="I81" i="86" s="1"/>
  <c r="F80" i="86"/>
  <c r="I80" i="86" s="1"/>
  <c r="F79" i="86"/>
  <c r="I79" i="86" s="1"/>
  <c r="F78" i="86"/>
  <c r="I78" i="86" s="1"/>
  <c r="F77" i="86"/>
  <c r="I77" i="86" s="1"/>
  <c r="F76" i="86"/>
  <c r="I76" i="86" s="1"/>
  <c r="F75" i="86"/>
  <c r="I75" i="86" s="1"/>
  <c r="F74" i="86"/>
  <c r="I74" i="86" s="1"/>
  <c r="F73" i="86"/>
  <c r="I73" i="86" s="1"/>
  <c r="F72" i="86"/>
  <c r="I72" i="86" s="1"/>
  <c r="F71" i="86"/>
  <c r="I71" i="86" s="1"/>
  <c r="F70" i="86"/>
  <c r="I70" i="86" s="1"/>
  <c r="F83" i="89"/>
  <c r="I83" i="89" s="1"/>
  <c r="F82" i="89"/>
  <c r="I82" i="89" s="1"/>
  <c r="F81" i="89"/>
  <c r="I81" i="89" s="1"/>
  <c r="F80" i="89"/>
  <c r="I80" i="89" s="1"/>
  <c r="F79" i="89"/>
  <c r="I79" i="89" s="1"/>
  <c r="F78" i="89"/>
  <c r="I78" i="89" s="1"/>
  <c r="F77" i="89"/>
  <c r="I77" i="89" s="1"/>
  <c r="F76" i="89"/>
  <c r="I76" i="89" s="1"/>
  <c r="F75" i="89"/>
  <c r="I75" i="89" s="1"/>
  <c r="F74" i="89"/>
  <c r="I74" i="89" s="1"/>
  <c r="F73" i="89"/>
  <c r="I73" i="89" s="1"/>
  <c r="F72" i="89"/>
  <c r="I72" i="89" s="1"/>
  <c r="F71" i="89"/>
  <c r="I71" i="89" s="1"/>
  <c r="F70" i="89"/>
  <c r="I70" i="89" s="1"/>
  <c r="F83" i="142"/>
  <c r="I83" i="142" s="1"/>
  <c r="F82" i="142"/>
  <c r="I82" i="142" s="1"/>
  <c r="F81" i="142"/>
  <c r="I81" i="142" s="1"/>
  <c r="F80" i="142"/>
  <c r="I80" i="142" s="1"/>
  <c r="F79" i="142"/>
  <c r="I79" i="142" s="1"/>
  <c r="F78" i="142"/>
  <c r="I78" i="142" s="1"/>
  <c r="F77" i="142"/>
  <c r="I77" i="142" s="1"/>
  <c r="F76" i="142"/>
  <c r="I76" i="142" s="1"/>
  <c r="F75" i="142"/>
  <c r="I75" i="142" s="1"/>
  <c r="F74" i="142"/>
  <c r="I74" i="142" s="1"/>
  <c r="F73" i="142"/>
  <c r="I73" i="142" s="1"/>
  <c r="F72" i="142"/>
  <c r="I72" i="142" s="1"/>
  <c r="F71" i="142"/>
  <c r="I71" i="142" s="1"/>
  <c r="F70" i="142"/>
  <c r="I70" i="142" s="1"/>
  <c r="F83" i="92"/>
  <c r="I83" i="92" s="1"/>
  <c r="F82" i="92"/>
  <c r="I82" i="92" s="1"/>
  <c r="F81" i="92"/>
  <c r="I81" i="92" s="1"/>
  <c r="F80" i="92"/>
  <c r="I80" i="92" s="1"/>
  <c r="F79" i="92"/>
  <c r="I79" i="92" s="1"/>
  <c r="F78" i="92"/>
  <c r="I78" i="92" s="1"/>
  <c r="F77" i="92"/>
  <c r="I77" i="92" s="1"/>
  <c r="F76" i="92"/>
  <c r="I76" i="92" s="1"/>
  <c r="F75" i="92"/>
  <c r="I75" i="92" s="1"/>
  <c r="F74" i="92"/>
  <c r="I74" i="92" s="1"/>
  <c r="F73" i="92"/>
  <c r="I73" i="92" s="1"/>
  <c r="F72" i="92"/>
  <c r="I72" i="92" s="1"/>
  <c r="F71" i="92"/>
  <c r="I71" i="92" s="1"/>
  <c r="F70" i="92"/>
  <c r="I70" i="92" s="1"/>
  <c r="F83" i="1"/>
  <c r="I83" i="1" s="1"/>
  <c r="F82" i="1"/>
  <c r="I82" i="1" s="1"/>
  <c r="F81" i="1"/>
  <c r="I81" i="1" s="1"/>
  <c r="F80" i="1"/>
  <c r="I80" i="1" s="1"/>
  <c r="F79" i="1"/>
  <c r="I79" i="1" s="1"/>
  <c r="F78" i="1"/>
  <c r="I78" i="1" s="1"/>
  <c r="F77" i="1"/>
  <c r="I77" i="1" s="1"/>
  <c r="F76" i="1"/>
  <c r="I76" i="1" s="1"/>
  <c r="F75" i="1"/>
  <c r="I75" i="1" s="1"/>
  <c r="F74" i="1"/>
  <c r="I74" i="1" s="1"/>
  <c r="F73" i="1"/>
  <c r="I73" i="1" s="1"/>
  <c r="F72" i="1"/>
  <c r="I72" i="1" s="1"/>
  <c r="F71" i="1"/>
  <c r="I71" i="1" s="1"/>
  <c r="F70" i="1"/>
  <c r="I70" i="1" s="1"/>
  <c r="F83" i="50"/>
  <c r="I83" i="50" s="1"/>
  <c r="F82" i="50"/>
  <c r="I82" i="50" s="1"/>
  <c r="F81" i="50"/>
  <c r="I81" i="50" s="1"/>
  <c r="F80" i="50"/>
  <c r="I80" i="50" s="1"/>
  <c r="F79" i="50"/>
  <c r="I79" i="50" s="1"/>
  <c r="F78" i="50"/>
  <c r="I78" i="50" s="1"/>
  <c r="F77" i="50"/>
  <c r="I77" i="50" s="1"/>
  <c r="F76" i="50"/>
  <c r="I76" i="50" s="1"/>
  <c r="F75" i="50"/>
  <c r="I75" i="50" s="1"/>
  <c r="F74" i="50"/>
  <c r="I74" i="50" s="1"/>
  <c r="F73" i="50"/>
  <c r="I73" i="50" s="1"/>
  <c r="F72" i="50"/>
  <c r="I72" i="50" s="1"/>
  <c r="F71" i="50"/>
  <c r="I71" i="50" s="1"/>
  <c r="F70" i="50"/>
  <c r="I70" i="50" s="1"/>
  <c r="F83" i="95"/>
  <c r="I83" i="95" s="1"/>
  <c r="F82" i="95"/>
  <c r="I82" i="95" s="1"/>
  <c r="F81" i="95"/>
  <c r="I81" i="95" s="1"/>
  <c r="F80" i="95"/>
  <c r="I80" i="95" s="1"/>
  <c r="F79" i="95"/>
  <c r="I79" i="95" s="1"/>
  <c r="F78" i="95"/>
  <c r="I78" i="95" s="1"/>
  <c r="F77" i="95"/>
  <c r="I77" i="95" s="1"/>
  <c r="F76" i="95"/>
  <c r="I76" i="95" s="1"/>
  <c r="F75" i="95"/>
  <c r="I75" i="95" s="1"/>
  <c r="F74" i="95"/>
  <c r="I74" i="95" s="1"/>
  <c r="F73" i="95"/>
  <c r="I73" i="95" s="1"/>
  <c r="F72" i="95"/>
  <c r="I72" i="95" s="1"/>
  <c r="F71" i="95"/>
  <c r="I71" i="95" s="1"/>
  <c r="F70" i="95"/>
  <c r="I70" i="95" s="1"/>
  <c r="F83" i="180"/>
  <c r="I83" i="180" s="1"/>
  <c r="F82" i="180"/>
  <c r="I82" i="180" s="1"/>
  <c r="F81" i="180"/>
  <c r="I81" i="180" s="1"/>
  <c r="F80" i="180"/>
  <c r="I80" i="180" s="1"/>
  <c r="F79" i="180"/>
  <c r="I79" i="180" s="1"/>
  <c r="F78" i="180"/>
  <c r="I78" i="180" s="1"/>
  <c r="F77" i="180"/>
  <c r="I77" i="180" s="1"/>
  <c r="F76" i="180"/>
  <c r="I76" i="180" s="1"/>
  <c r="F75" i="180"/>
  <c r="I75" i="180" s="1"/>
  <c r="F74" i="180"/>
  <c r="I74" i="180" s="1"/>
  <c r="F73" i="180"/>
  <c r="I73" i="180" s="1"/>
  <c r="F72" i="180"/>
  <c r="I72" i="180" s="1"/>
  <c r="F71" i="180"/>
  <c r="I71" i="180" s="1"/>
  <c r="F70" i="180"/>
  <c r="I70" i="180" s="1"/>
  <c r="F69" i="118"/>
  <c r="I69" i="118" s="1"/>
  <c r="F69" i="60"/>
  <c r="I69" i="60" s="1"/>
  <c r="F69" i="106"/>
  <c r="I69" i="106" s="1"/>
  <c r="F69" i="104"/>
  <c r="I69" i="104" s="1"/>
  <c r="F69" i="54"/>
  <c r="I69" i="54" s="1"/>
  <c r="F69" i="181"/>
  <c r="I69" i="181" s="1"/>
  <c r="F69" i="94"/>
  <c r="I69" i="94" s="1"/>
  <c r="F69" i="145"/>
  <c r="I69" i="145" s="1"/>
  <c r="F69" i="33"/>
  <c r="I69" i="33" s="1"/>
  <c r="F69" i="177"/>
  <c r="I69" i="177" s="1"/>
  <c r="F69" i="164"/>
  <c r="I69" i="164" s="1"/>
  <c r="F69" i="19"/>
  <c r="I69" i="19" s="1"/>
  <c r="F69" i="15"/>
  <c r="I69" i="15" s="1"/>
  <c r="F69" i="178"/>
  <c r="I69" i="178" s="1"/>
  <c r="F69" i="150"/>
  <c r="I69" i="150" s="1"/>
  <c r="F69" i="68"/>
  <c r="I69" i="68" s="1"/>
  <c r="F69" i="66"/>
  <c r="I69" i="66" s="1"/>
  <c r="F69" i="63"/>
  <c r="I69" i="63" s="1"/>
  <c r="F69" i="62"/>
  <c r="I69" i="62" s="1"/>
  <c r="F69" i="58"/>
  <c r="I69" i="58" s="1"/>
  <c r="F69" i="136"/>
  <c r="I69" i="136" s="1"/>
  <c r="F69" i="141"/>
  <c r="I69" i="141" s="1"/>
  <c r="F69" i="174"/>
  <c r="I69" i="174" s="1"/>
  <c r="F69" i="53"/>
  <c r="I69" i="53" s="1"/>
  <c r="F69" i="98"/>
  <c r="I69" i="98" s="1"/>
  <c r="F69" i="49"/>
  <c r="I69" i="49" s="1"/>
  <c r="F69" i="83"/>
  <c r="F69" i="46"/>
  <c r="I69" i="46" s="1"/>
  <c r="F69" i="102"/>
  <c r="I69" i="102" s="1"/>
  <c r="F69" i="43"/>
  <c r="I69" i="43" s="1"/>
  <c r="F69" i="175"/>
  <c r="I69" i="175" s="1"/>
  <c r="F69" i="57"/>
  <c r="I69" i="57" s="1"/>
  <c r="F69" i="84"/>
  <c r="I69" i="84" s="1"/>
  <c r="F69" i="167"/>
  <c r="I69" i="167" s="1"/>
  <c r="F69" i="39"/>
  <c r="I69" i="39" s="1"/>
  <c r="F69" i="135"/>
  <c r="I69" i="135" s="1"/>
  <c r="F69" i="38"/>
  <c r="I69" i="38" s="1"/>
  <c r="F69" i="103"/>
  <c r="I69" i="103" s="1"/>
  <c r="F69" i="133"/>
  <c r="I69" i="133" s="1"/>
  <c r="F69" i="152"/>
  <c r="I69" i="152" s="1"/>
  <c r="F69" i="47"/>
  <c r="I69" i="47" s="1"/>
  <c r="F69" i="120"/>
  <c r="I69" i="120" s="1"/>
  <c r="F69" i="37"/>
  <c r="I69" i="37" s="1"/>
  <c r="F69" i="90"/>
  <c r="I69" i="90" s="1"/>
  <c r="F69" i="24"/>
  <c r="I69" i="24" s="1"/>
  <c r="F69" i="32"/>
  <c r="I69" i="32" s="1"/>
  <c r="F69" i="79"/>
  <c r="I69" i="79" s="1"/>
  <c r="F69" i="31"/>
  <c r="I69" i="31" s="1"/>
  <c r="F69" i="64"/>
  <c r="I69" i="64" s="1"/>
  <c r="F69" i="113"/>
  <c r="I69" i="113" s="1"/>
  <c r="F69" i="72"/>
  <c r="I69" i="72" s="1"/>
  <c r="F69" i="28"/>
  <c r="I69" i="28" s="1"/>
  <c r="F69" i="65"/>
  <c r="I69" i="65" s="1"/>
  <c r="F69" i="119"/>
  <c r="I69" i="119" s="1"/>
  <c r="F69" i="25"/>
  <c r="I69" i="25" s="1"/>
  <c r="F69" i="155"/>
  <c r="I69" i="155" s="1"/>
  <c r="F69" i="156"/>
  <c r="I69" i="156" s="1"/>
  <c r="F69" i="20"/>
  <c r="I69" i="20" s="1"/>
  <c r="F69" i="42"/>
  <c r="I69" i="42" s="1"/>
  <c r="F69" i="157"/>
  <c r="I69" i="157" s="1"/>
  <c r="F69" i="159"/>
  <c r="I69" i="159" s="1"/>
  <c r="F69" i="158"/>
  <c r="I69" i="158" s="1"/>
  <c r="F69" i="16"/>
  <c r="I69" i="16" s="1"/>
  <c r="F69" i="27"/>
  <c r="I69" i="27" s="1"/>
  <c r="F69" i="111"/>
  <c r="I69" i="111" s="1"/>
  <c r="F69" i="71"/>
  <c r="I69" i="71" s="1"/>
  <c r="F69" i="165"/>
  <c r="I69" i="165" s="1"/>
  <c r="F69" i="55"/>
  <c r="I69" i="55" s="1"/>
  <c r="F69" i="21"/>
  <c r="I69" i="21" s="1"/>
  <c r="F69" i="14"/>
  <c r="I69" i="14" s="1"/>
  <c r="F69" i="85"/>
  <c r="I69" i="85" s="1"/>
  <c r="F69" i="87"/>
  <c r="I69" i="87" s="1"/>
  <c r="F69" i="86"/>
  <c r="I69" i="86" s="1"/>
  <c r="F69" i="89"/>
  <c r="I69" i="89" s="1"/>
  <c r="F69" i="142"/>
  <c r="I69" i="142" s="1"/>
  <c r="F69" i="92"/>
  <c r="I69" i="92" s="1"/>
  <c r="F69" i="1"/>
  <c r="I69" i="1" s="1"/>
  <c r="F69" i="50"/>
  <c r="I69" i="50" s="1"/>
  <c r="F69" i="95"/>
  <c r="I69" i="95" s="1"/>
  <c r="F69" i="180"/>
  <c r="I69" i="180" s="1"/>
  <c r="I65" i="118"/>
  <c r="F64" i="118"/>
  <c r="I64" i="118" s="1"/>
  <c r="F63" i="118"/>
  <c r="I63" i="118" s="1"/>
  <c r="F62" i="118"/>
  <c r="I62" i="118" s="1"/>
  <c r="F61" i="118"/>
  <c r="I61" i="118" s="1"/>
  <c r="F60" i="118"/>
  <c r="I60" i="118" s="1"/>
  <c r="F59" i="118"/>
  <c r="I59" i="118" s="1"/>
  <c r="F58" i="118"/>
  <c r="I58" i="118" s="1"/>
  <c r="F57" i="118"/>
  <c r="I57" i="118" s="1"/>
  <c r="F56" i="118"/>
  <c r="I56" i="118" s="1"/>
  <c r="F55" i="118"/>
  <c r="I55" i="118" s="1"/>
  <c r="F54" i="118"/>
  <c r="I54" i="118" s="1"/>
  <c r="F53" i="118"/>
  <c r="I53" i="118" s="1"/>
  <c r="F52" i="118"/>
  <c r="I52" i="118" s="1"/>
  <c r="F51" i="118"/>
  <c r="I51" i="118" s="1"/>
  <c r="F50" i="118"/>
  <c r="I50" i="118" s="1"/>
  <c r="F49" i="118"/>
  <c r="I49" i="118" s="1"/>
  <c r="F48" i="118"/>
  <c r="I48" i="118" s="1"/>
  <c r="F47" i="118"/>
  <c r="I47" i="118" s="1"/>
  <c r="F46" i="118"/>
  <c r="I46" i="118" s="1"/>
  <c r="F45" i="118"/>
  <c r="I45" i="118" s="1"/>
  <c r="F44" i="118"/>
  <c r="I44" i="118" s="1"/>
  <c r="F43" i="118"/>
  <c r="I43" i="118" s="1"/>
  <c r="F42" i="118"/>
  <c r="I42" i="118" s="1"/>
  <c r="F41" i="118"/>
  <c r="I41" i="118" s="1"/>
  <c r="F40" i="118"/>
  <c r="I40" i="118" s="1"/>
  <c r="F39" i="118"/>
  <c r="I39" i="118" s="1"/>
  <c r="F38" i="118"/>
  <c r="I38" i="118" s="1"/>
  <c r="F37" i="118"/>
  <c r="I37" i="118" s="1"/>
  <c r="F36" i="118"/>
  <c r="I36" i="118" s="1"/>
  <c r="F35" i="118"/>
  <c r="I35" i="118" s="1"/>
  <c r="F34" i="118"/>
  <c r="I34" i="118" s="1"/>
  <c r="F33" i="118"/>
  <c r="I33" i="118" s="1"/>
  <c r="F32" i="118"/>
  <c r="I32" i="118" s="1"/>
  <c r="F31" i="118"/>
  <c r="I31" i="118" s="1"/>
  <c r="F30" i="118"/>
  <c r="I30" i="118" s="1"/>
  <c r="F65" i="60"/>
  <c r="I65" i="60" s="1"/>
  <c r="F64" i="60"/>
  <c r="I64" i="60" s="1"/>
  <c r="F63" i="60"/>
  <c r="I63" i="60" s="1"/>
  <c r="F62" i="60"/>
  <c r="I62" i="60" s="1"/>
  <c r="F61" i="60"/>
  <c r="I61" i="60" s="1"/>
  <c r="F60" i="60"/>
  <c r="I60" i="60" s="1"/>
  <c r="F59" i="60"/>
  <c r="I59" i="60" s="1"/>
  <c r="F58" i="60"/>
  <c r="I58" i="60" s="1"/>
  <c r="F57" i="60"/>
  <c r="I57" i="60" s="1"/>
  <c r="F56" i="60"/>
  <c r="I56" i="60" s="1"/>
  <c r="F55" i="60"/>
  <c r="I55" i="60" s="1"/>
  <c r="F54" i="60"/>
  <c r="I54" i="60" s="1"/>
  <c r="F53" i="60"/>
  <c r="I53" i="60" s="1"/>
  <c r="F52" i="60"/>
  <c r="I52" i="60" s="1"/>
  <c r="F51" i="60"/>
  <c r="I51" i="60" s="1"/>
  <c r="F50" i="60"/>
  <c r="I50" i="60" s="1"/>
  <c r="F49" i="60"/>
  <c r="I49" i="60" s="1"/>
  <c r="F48" i="60"/>
  <c r="I48" i="60" s="1"/>
  <c r="F47" i="60"/>
  <c r="I47" i="60" s="1"/>
  <c r="F46" i="60"/>
  <c r="I46" i="60" s="1"/>
  <c r="F45" i="60"/>
  <c r="I45" i="60" s="1"/>
  <c r="F44" i="60"/>
  <c r="I44" i="60" s="1"/>
  <c r="F43" i="60"/>
  <c r="I43" i="60" s="1"/>
  <c r="F42" i="60"/>
  <c r="I42" i="60" s="1"/>
  <c r="F41" i="60"/>
  <c r="I41" i="60" s="1"/>
  <c r="F40" i="60"/>
  <c r="I40" i="60" s="1"/>
  <c r="F39" i="60"/>
  <c r="I39" i="60" s="1"/>
  <c r="F38" i="60"/>
  <c r="I38" i="60" s="1"/>
  <c r="F37" i="60"/>
  <c r="I37" i="60" s="1"/>
  <c r="F36" i="60"/>
  <c r="I36" i="60" s="1"/>
  <c r="F35" i="60"/>
  <c r="I35" i="60" s="1"/>
  <c r="F34" i="60"/>
  <c r="I34" i="60" s="1"/>
  <c r="F33" i="60"/>
  <c r="I33" i="60" s="1"/>
  <c r="F32" i="60"/>
  <c r="I32" i="60" s="1"/>
  <c r="F31" i="60"/>
  <c r="I31" i="60" s="1"/>
  <c r="F30" i="60"/>
  <c r="I30" i="60" s="1"/>
  <c r="F65" i="106"/>
  <c r="I65" i="106" s="1"/>
  <c r="F64" i="106"/>
  <c r="I64" i="106" s="1"/>
  <c r="F63" i="106"/>
  <c r="I63" i="106" s="1"/>
  <c r="F62" i="106"/>
  <c r="I62" i="106" s="1"/>
  <c r="F61" i="106"/>
  <c r="I61" i="106" s="1"/>
  <c r="F60" i="106"/>
  <c r="I60" i="106" s="1"/>
  <c r="F59" i="106"/>
  <c r="I59" i="106" s="1"/>
  <c r="F58" i="106"/>
  <c r="I58" i="106" s="1"/>
  <c r="F57" i="106"/>
  <c r="I57" i="106" s="1"/>
  <c r="F56" i="106"/>
  <c r="I56" i="106" s="1"/>
  <c r="F55" i="106"/>
  <c r="I55" i="106" s="1"/>
  <c r="F54" i="106"/>
  <c r="I54" i="106" s="1"/>
  <c r="F53" i="106"/>
  <c r="I53" i="106" s="1"/>
  <c r="F52" i="106"/>
  <c r="I52" i="106" s="1"/>
  <c r="F51" i="106"/>
  <c r="I51" i="106" s="1"/>
  <c r="F50" i="106"/>
  <c r="I50" i="106" s="1"/>
  <c r="F49" i="106"/>
  <c r="I49" i="106" s="1"/>
  <c r="F48" i="106"/>
  <c r="I48" i="106" s="1"/>
  <c r="F47" i="106"/>
  <c r="I47" i="106" s="1"/>
  <c r="F46" i="106"/>
  <c r="I46" i="106" s="1"/>
  <c r="F45" i="106"/>
  <c r="I45" i="106" s="1"/>
  <c r="F44" i="106"/>
  <c r="I44" i="106" s="1"/>
  <c r="F43" i="106"/>
  <c r="I43" i="106" s="1"/>
  <c r="F42" i="106"/>
  <c r="I42" i="106" s="1"/>
  <c r="F41" i="106"/>
  <c r="I41" i="106" s="1"/>
  <c r="F40" i="106"/>
  <c r="I40" i="106" s="1"/>
  <c r="F39" i="106"/>
  <c r="I39" i="106" s="1"/>
  <c r="F38" i="106"/>
  <c r="I38" i="106" s="1"/>
  <c r="F37" i="106"/>
  <c r="I37" i="106" s="1"/>
  <c r="F36" i="106"/>
  <c r="I36" i="106" s="1"/>
  <c r="F35" i="106"/>
  <c r="I35" i="106" s="1"/>
  <c r="F34" i="106"/>
  <c r="I34" i="106" s="1"/>
  <c r="F33" i="106"/>
  <c r="I33" i="106" s="1"/>
  <c r="F32" i="106"/>
  <c r="I32" i="106" s="1"/>
  <c r="F31" i="106"/>
  <c r="I31" i="106" s="1"/>
  <c r="F30" i="106"/>
  <c r="I30" i="106" s="1"/>
  <c r="F65" i="104"/>
  <c r="I65" i="104" s="1"/>
  <c r="F64" i="104"/>
  <c r="I64" i="104" s="1"/>
  <c r="F63" i="104"/>
  <c r="I63" i="104" s="1"/>
  <c r="F62" i="104"/>
  <c r="I62" i="104" s="1"/>
  <c r="F61" i="104"/>
  <c r="I61" i="104" s="1"/>
  <c r="F60" i="104"/>
  <c r="I60" i="104" s="1"/>
  <c r="F59" i="104"/>
  <c r="I59" i="104" s="1"/>
  <c r="F58" i="104"/>
  <c r="I58" i="104" s="1"/>
  <c r="F57" i="104"/>
  <c r="I57" i="104" s="1"/>
  <c r="F56" i="104"/>
  <c r="I56" i="104" s="1"/>
  <c r="F55" i="104"/>
  <c r="I55" i="104" s="1"/>
  <c r="F54" i="104"/>
  <c r="I54" i="104" s="1"/>
  <c r="F53" i="104"/>
  <c r="I53" i="104" s="1"/>
  <c r="F52" i="104"/>
  <c r="I52" i="104" s="1"/>
  <c r="F51" i="104"/>
  <c r="I51" i="104" s="1"/>
  <c r="F50" i="104"/>
  <c r="I50" i="104" s="1"/>
  <c r="F49" i="104"/>
  <c r="I49" i="104" s="1"/>
  <c r="F48" i="104"/>
  <c r="I48" i="104" s="1"/>
  <c r="F47" i="104"/>
  <c r="I47" i="104" s="1"/>
  <c r="F46" i="104"/>
  <c r="I46" i="104" s="1"/>
  <c r="F45" i="104"/>
  <c r="I45" i="104" s="1"/>
  <c r="F44" i="104"/>
  <c r="I44" i="104" s="1"/>
  <c r="F43" i="104"/>
  <c r="I43" i="104" s="1"/>
  <c r="F42" i="104"/>
  <c r="I42" i="104" s="1"/>
  <c r="F41" i="104"/>
  <c r="I41" i="104" s="1"/>
  <c r="F40" i="104"/>
  <c r="I40" i="104" s="1"/>
  <c r="F39" i="104"/>
  <c r="I39" i="104" s="1"/>
  <c r="F38" i="104"/>
  <c r="I38" i="104" s="1"/>
  <c r="F37" i="104"/>
  <c r="I37" i="104" s="1"/>
  <c r="F36" i="104"/>
  <c r="I36" i="104" s="1"/>
  <c r="F35" i="104"/>
  <c r="I35" i="104" s="1"/>
  <c r="F34" i="104"/>
  <c r="I34" i="104" s="1"/>
  <c r="F33" i="104"/>
  <c r="I33" i="104" s="1"/>
  <c r="F32" i="104"/>
  <c r="I32" i="104" s="1"/>
  <c r="F31" i="104"/>
  <c r="I31" i="104" s="1"/>
  <c r="F30" i="104"/>
  <c r="I30" i="104" s="1"/>
  <c r="F65" i="54"/>
  <c r="I65" i="54" s="1"/>
  <c r="F64" i="54"/>
  <c r="I64" i="54" s="1"/>
  <c r="F63" i="54"/>
  <c r="I63" i="54" s="1"/>
  <c r="F62" i="54"/>
  <c r="I62" i="54" s="1"/>
  <c r="F61" i="54"/>
  <c r="I61" i="54" s="1"/>
  <c r="F60" i="54"/>
  <c r="I60" i="54" s="1"/>
  <c r="F59" i="54"/>
  <c r="I59" i="54" s="1"/>
  <c r="F58" i="54"/>
  <c r="I58" i="54" s="1"/>
  <c r="F57" i="54"/>
  <c r="I57" i="54" s="1"/>
  <c r="F56" i="54"/>
  <c r="I56" i="54" s="1"/>
  <c r="F55" i="54"/>
  <c r="I55" i="54" s="1"/>
  <c r="F54" i="54"/>
  <c r="I54" i="54" s="1"/>
  <c r="F53" i="54"/>
  <c r="I53" i="54" s="1"/>
  <c r="F52" i="54"/>
  <c r="I52" i="54" s="1"/>
  <c r="F51" i="54"/>
  <c r="I51" i="54" s="1"/>
  <c r="F50" i="54"/>
  <c r="I50" i="54" s="1"/>
  <c r="F49" i="54"/>
  <c r="I49" i="54" s="1"/>
  <c r="F48" i="54"/>
  <c r="I48" i="54" s="1"/>
  <c r="F47" i="54"/>
  <c r="I47" i="54" s="1"/>
  <c r="F46" i="54"/>
  <c r="I46" i="54" s="1"/>
  <c r="F45" i="54"/>
  <c r="I45" i="54" s="1"/>
  <c r="F44" i="54"/>
  <c r="I44" i="54" s="1"/>
  <c r="F43" i="54"/>
  <c r="I43" i="54" s="1"/>
  <c r="F42" i="54"/>
  <c r="I42" i="54" s="1"/>
  <c r="F41" i="54"/>
  <c r="I41" i="54" s="1"/>
  <c r="F40" i="54"/>
  <c r="I40" i="54" s="1"/>
  <c r="F39" i="54"/>
  <c r="I39" i="54" s="1"/>
  <c r="F38" i="54"/>
  <c r="I38" i="54" s="1"/>
  <c r="F37" i="54"/>
  <c r="I37" i="54" s="1"/>
  <c r="F36" i="54"/>
  <c r="I36" i="54" s="1"/>
  <c r="F35" i="54"/>
  <c r="I35" i="54" s="1"/>
  <c r="F34" i="54"/>
  <c r="I34" i="54" s="1"/>
  <c r="F33" i="54"/>
  <c r="I33" i="54" s="1"/>
  <c r="F32" i="54"/>
  <c r="I32" i="54" s="1"/>
  <c r="F31" i="54"/>
  <c r="I31" i="54" s="1"/>
  <c r="F30" i="54"/>
  <c r="I30" i="54" s="1"/>
  <c r="F65" i="181"/>
  <c r="I65" i="181" s="1"/>
  <c r="F64" i="181"/>
  <c r="I64" i="181" s="1"/>
  <c r="F63" i="181"/>
  <c r="I63" i="181" s="1"/>
  <c r="F62" i="181"/>
  <c r="I62" i="181" s="1"/>
  <c r="F61" i="181"/>
  <c r="I61" i="181" s="1"/>
  <c r="F60" i="181"/>
  <c r="I60" i="181" s="1"/>
  <c r="F59" i="181"/>
  <c r="I59" i="181" s="1"/>
  <c r="F58" i="181"/>
  <c r="I58" i="181" s="1"/>
  <c r="F57" i="181"/>
  <c r="I57" i="181" s="1"/>
  <c r="F56" i="181"/>
  <c r="I56" i="181" s="1"/>
  <c r="F55" i="181"/>
  <c r="I55" i="181" s="1"/>
  <c r="F54" i="181"/>
  <c r="I54" i="181" s="1"/>
  <c r="F53" i="181"/>
  <c r="I53" i="181" s="1"/>
  <c r="F52" i="181"/>
  <c r="I52" i="181" s="1"/>
  <c r="F51" i="181"/>
  <c r="I51" i="181" s="1"/>
  <c r="F50" i="181"/>
  <c r="I50" i="181" s="1"/>
  <c r="F49" i="181"/>
  <c r="I49" i="181" s="1"/>
  <c r="F48" i="181"/>
  <c r="I48" i="181" s="1"/>
  <c r="F47" i="181"/>
  <c r="I47" i="181" s="1"/>
  <c r="F46" i="181"/>
  <c r="I46" i="181" s="1"/>
  <c r="F45" i="181"/>
  <c r="I45" i="181" s="1"/>
  <c r="F44" i="181"/>
  <c r="I44" i="181" s="1"/>
  <c r="F43" i="181"/>
  <c r="I43" i="181" s="1"/>
  <c r="F42" i="181"/>
  <c r="I42" i="181" s="1"/>
  <c r="F41" i="181"/>
  <c r="I41" i="181" s="1"/>
  <c r="F40" i="181"/>
  <c r="I40" i="181" s="1"/>
  <c r="F39" i="181"/>
  <c r="I39" i="181" s="1"/>
  <c r="F38" i="181"/>
  <c r="I38" i="181" s="1"/>
  <c r="F37" i="181"/>
  <c r="I37" i="181" s="1"/>
  <c r="F36" i="181"/>
  <c r="I36" i="181" s="1"/>
  <c r="F35" i="181"/>
  <c r="I35" i="181" s="1"/>
  <c r="F34" i="181"/>
  <c r="I34" i="181" s="1"/>
  <c r="F33" i="181"/>
  <c r="I33" i="181" s="1"/>
  <c r="F32" i="181"/>
  <c r="I32" i="181" s="1"/>
  <c r="F31" i="181"/>
  <c r="I31" i="181" s="1"/>
  <c r="F30" i="181"/>
  <c r="I30" i="181" s="1"/>
  <c r="F65" i="94"/>
  <c r="I65" i="94" s="1"/>
  <c r="F64" i="94"/>
  <c r="I64" i="94" s="1"/>
  <c r="F63" i="94"/>
  <c r="I63" i="94" s="1"/>
  <c r="F62" i="94"/>
  <c r="I62" i="94" s="1"/>
  <c r="F61" i="94"/>
  <c r="I61" i="94" s="1"/>
  <c r="F60" i="94"/>
  <c r="I60" i="94" s="1"/>
  <c r="F59" i="94"/>
  <c r="I59" i="94" s="1"/>
  <c r="F58" i="94"/>
  <c r="I58" i="94" s="1"/>
  <c r="F57" i="94"/>
  <c r="I57" i="94" s="1"/>
  <c r="F56" i="94"/>
  <c r="I56" i="94" s="1"/>
  <c r="F55" i="94"/>
  <c r="I55" i="94" s="1"/>
  <c r="F54" i="94"/>
  <c r="I54" i="94" s="1"/>
  <c r="F53" i="94"/>
  <c r="I53" i="94" s="1"/>
  <c r="F52" i="94"/>
  <c r="I52" i="94" s="1"/>
  <c r="F51" i="94"/>
  <c r="I51" i="94" s="1"/>
  <c r="F50" i="94"/>
  <c r="I50" i="94" s="1"/>
  <c r="F49" i="94"/>
  <c r="I49" i="94" s="1"/>
  <c r="F48" i="94"/>
  <c r="I48" i="94" s="1"/>
  <c r="F47" i="94"/>
  <c r="I47" i="94" s="1"/>
  <c r="F46" i="94"/>
  <c r="I46" i="94" s="1"/>
  <c r="F45" i="94"/>
  <c r="I45" i="94" s="1"/>
  <c r="F44" i="94"/>
  <c r="I44" i="94" s="1"/>
  <c r="F43" i="94"/>
  <c r="I43" i="94" s="1"/>
  <c r="F42" i="94"/>
  <c r="I42" i="94" s="1"/>
  <c r="F41" i="94"/>
  <c r="I41" i="94" s="1"/>
  <c r="F40" i="94"/>
  <c r="I40" i="94" s="1"/>
  <c r="F39" i="94"/>
  <c r="I39" i="94" s="1"/>
  <c r="F38" i="94"/>
  <c r="I38" i="94" s="1"/>
  <c r="F37" i="94"/>
  <c r="I37" i="94" s="1"/>
  <c r="F36" i="94"/>
  <c r="I36" i="94" s="1"/>
  <c r="F35" i="94"/>
  <c r="I35" i="94" s="1"/>
  <c r="F34" i="94"/>
  <c r="I34" i="94" s="1"/>
  <c r="F33" i="94"/>
  <c r="I33" i="94" s="1"/>
  <c r="F32" i="94"/>
  <c r="I32" i="94" s="1"/>
  <c r="F31" i="94"/>
  <c r="I31" i="94" s="1"/>
  <c r="F30" i="94"/>
  <c r="I30" i="94" s="1"/>
  <c r="F65" i="145"/>
  <c r="I65" i="145" s="1"/>
  <c r="F64" i="145"/>
  <c r="I64" i="145" s="1"/>
  <c r="F63" i="145"/>
  <c r="I63" i="145" s="1"/>
  <c r="F62" i="145"/>
  <c r="I62" i="145" s="1"/>
  <c r="F61" i="145"/>
  <c r="I61" i="145" s="1"/>
  <c r="F60" i="145"/>
  <c r="I60" i="145" s="1"/>
  <c r="F59" i="145"/>
  <c r="I59" i="145" s="1"/>
  <c r="F58" i="145"/>
  <c r="I58" i="145" s="1"/>
  <c r="F57" i="145"/>
  <c r="I57" i="145" s="1"/>
  <c r="F56" i="145"/>
  <c r="I56" i="145" s="1"/>
  <c r="F55" i="145"/>
  <c r="I55" i="145" s="1"/>
  <c r="F54" i="145"/>
  <c r="I54" i="145" s="1"/>
  <c r="F53" i="145"/>
  <c r="I53" i="145" s="1"/>
  <c r="F52" i="145"/>
  <c r="I52" i="145" s="1"/>
  <c r="F51" i="145"/>
  <c r="I51" i="145" s="1"/>
  <c r="F50" i="145"/>
  <c r="I50" i="145" s="1"/>
  <c r="F49" i="145"/>
  <c r="I49" i="145" s="1"/>
  <c r="F48" i="145"/>
  <c r="I48" i="145" s="1"/>
  <c r="F47" i="145"/>
  <c r="I47" i="145" s="1"/>
  <c r="F46" i="145"/>
  <c r="I46" i="145" s="1"/>
  <c r="F45" i="145"/>
  <c r="I45" i="145" s="1"/>
  <c r="F44" i="145"/>
  <c r="I44" i="145" s="1"/>
  <c r="F43" i="145"/>
  <c r="I43" i="145" s="1"/>
  <c r="F42" i="145"/>
  <c r="I42" i="145" s="1"/>
  <c r="F41" i="145"/>
  <c r="I41" i="145" s="1"/>
  <c r="F40" i="145"/>
  <c r="I40" i="145" s="1"/>
  <c r="F39" i="145"/>
  <c r="I39" i="145" s="1"/>
  <c r="F38" i="145"/>
  <c r="I38" i="145" s="1"/>
  <c r="F37" i="145"/>
  <c r="I37" i="145" s="1"/>
  <c r="F36" i="145"/>
  <c r="I36" i="145" s="1"/>
  <c r="F35" i="145"/>
  <c r="I35" i="145" s="1"/>
  <c r="F34" i="145"/>
  <c r="I34" i="145" s="1"/>
  <c r="F33" i="145"/>
  <c r="I33" i="145" s="1"/>
  <c r="F32" i="145"/>
  <c r="I32" i="145" s="1"/>
  <c r="F31" i="145"/>
  <c r="I31" i="145" s="1"/>
  <c r="F30" i="145"/>
  <c r="I30" i="145" s="1"/>
  <c r="F65" i="33"/>
  <c r="I65" i="33" s="1"/>
  <c r="F64" i="33"/>
  <c r="I64" i="33" s="1"/>
  <c r="F63" i="33"/>
  <c r="I63" i="33" s="1"/>
  <c r="F62" i="33"/>
  <c r="I62" i="33" s="1"/>
  <c r="F61" i="33"/>
  <c r="I61" i="33" s="1"/>
  <c r="F60" i="33"/>
  <c r="I60" i="33" s="1"/>
  <c r="F59" i="33"/>
  <c r="I59" i="33" s="1"/>
  <c r="F58" i="33"/>
  <c r="I58" i="33" s="1"/>
  <c r="F57" i="33"/>
  <c r="I57" i="33" s="1"/>
  <c r="F56" i="33"/>
  <c r="I56" i="33" s="1"/>
  <c r="F55" i="33"/>
  <c r="I55" i="33" s="1"/>
  <c r="F54" i="33"/>
  <c r="I54" i="33" s="1"/>
  <c r="F53" i="33"/>
  <c r="I53" i="33" s="1"/>
  <c r="F52" i="33"/>
  <c r="I52" i="33" s="1"/>
  <c r="F51" i="33"/>
  <c r="I51" i="33" s="1"/>
  <c r="F50" i="33"/>
  <c r="I50" i="33" s="1"/>
  <c r="F49" i="33"/>
  <c r="I49" i="33" s="1"/>
  <c r="F48" i="33"/>
  <c r="I48" i="33" s="1"/>
  <c r="F47" i="33"/>
  <c r="I47" i="33" s="1"/>
  <c r="F46" i="33"/>
  <c r="I46" i="33" s="1"/>
  <c r="F45" i="33"/>
  <c r="I45" i="33" s="1"/>
  <c r="F44" i="33"/>
  <c r="I44" i="33" s="1"/>
  <c r="F43" i="33"/>
  <c r="I43" i="33" s="1"/>
  <c r="F42" i="33"/>
  <c r="I42" i="33" s="1"/>
  <c r="F41" i="33"/>
  <c r="I41" i="33" s="1"/>
  <c r="F40" i="33"/>
  <c r="I40" i="33" s="1"/>
  <c r="F39" i="33"/>
  <c r="I39" i="33" s="1"/>
  <c r="F38" i="33"/>
  <c r="I38" i="33" s="1"/>
  <c r="F37" i="33"/>
  <c r="I37" i="33" s="1"/>
  <c r="F36" i="33"/>
  <c r="I36" i="33" s="1"/>
  <c r="F35" i="33"/>
  <c r="I35" i="33" s="1"/>
  <c r="F34" i="33"/>
  <c r="I34" i="33" s="1"/>
  <c r="F33" i="33"/>
  <c r="I33" i="33" s="1"/>
  <c r="F32" i="33"/>
  <c r="I32" i="33" s="1"/>
  <c r="F31" i="33"/>
  <c r="I31" i="33" s="1"/>
  <c r="F30" i="33"/>
  <c r="I30" i="33" s="1"/>
  <c r="F65" i="177"/>
  <c r="I65" i="177" s="1"/>
  <c r="F64" i="177"/>
  <c r="I64" i="177" s="1"/>
  <c r="F63" i="177"/>
  <c r="I63" i="177" s="1"/>
  <c r="F62" i="177"/>
  <c r="I62" i="177" s="1"/>
  <c r="F61" i="177"/>
  <c r="I61" i="177" s="1"/>
  <c r="F60" i="177"/>
  <c r="I60" i="177" s="1"/>
  <c r="F59" i="177"/>
  <c r="I59" i="177" s="1"/>
  <c r="F58" i="177"/>
  <c r="I58" i="177" s="1"/>
  <c r="F57" i="177"/>
  <c r="I57" i="177" s="1"/>
  <c r="F56" i="177"/>
  <c r="I56" i="177" s="1"/>
  <c r="F55" i="177"/>
  <c r="I55" i="177" s="1"/>
  <c r="F54" i="177"/>
  <c r="I54" i="177" s="1"/>
  <c r="F53" i="177"/>
  <c r="I53" i="177" s="1"/>
  <c r="F52" i="177"/>
  <c r="I52" i="177" s="1"/>
  <c r="F51" i="177"/>
  <c r="I51" i="177" s="1"/>
  <c r="F50" i="177"/>
  <c r="I50" i="177" s="1"/>
  <c r="F49" i="177"/>
  <c r="I49" i="177" s="1"/>
  <c r="F48" i="177"/>
  <c r="I48" i="177" s="1"/>
  <c r="F47" i="177"/>
  <c r="I47" i="177" s="1"/>
  <c r="F46" i="177"/>
  <c r="I46" i="177" s="1"/>
  <c r="F45" i="177"/>
  <c r="I45" i="177" s="1"/>
  <c r="F44" i="177"/>
  <c r="I44" i="177" s="1"/>
  <c r="F43" i="177"/>
  <c r="I43" i="177" s="1"/>
  <c r="F42" i="177"/>
  <c r="I42" i="177" s="1"/>
  <c r="F41" i="177"/>
  <c r="I41" i="177" s="1"/>
  <c r="F40" i="177"/>
  <c r="I40" i="177" s="1"/>
  <c r="F39" i="177"/>
  <c r="I39" i="177" s="1"/>
  <c r="F38" i="177"/>
  <c r="I38" i="177" s="1"/>
  <c r="F37" i="177"/>
  <c r="I37" i="177" s="1"/>
  <c r="F36" i="177"/>
  <c r="I36" i="177" s="1"/>
  <c r="F35" i="177"/>
  <c r="I35" i="177" s="1"/>
  <c r="F34" i="177"/>
  <c r="I34" i="177" s="1"/>
  <c r="F33" i="177"/>
  <c r="I33" i="177" s="1"/>
  <c r="F32" i="177"/>
  <c r="I32" i="177" s="1"/>
  <c r="F31" i="177"/>
  <c r="I31" i="177" s="1"/>
  <c r="F30" i="177"/>
  <c r="I30" i="177" s="1"/>
  <c r="F65" i="164"/>
  <c r="I65" i="164" s="1"/>
  <c r="F64" i="164"/>
  <c r="I64" i="164" s="1"/>
  <c r="F63" i="164"/>
  <c r="I63" i="164" s="1"/>
  <c r="F62" i="164"/>
  <c r="I62" i="164" s="1"/>
  <c r="F61" i="164"/>
  <c r="I61" i="164" s="1"/>
  <c r="F60" i="164"/>
  <c r="I60" i="164" s="1"/>
  <c r="F59" i="164"/>
  <c r="I59" i="164" s="1"/>
  <c r="F58" i="164"/>
  <c r="I58" i="164" s="1"/>
  <c r="F57" i="164"/>
  <c r="I57" i="164" s="1"/>
  <c r="F56" i="164"/>
  <c r="I56" i="164" s="1"/>
  <c r="F55" i="164"/>
  <c r="I55" i="164" s="1"/>
  <c r="F54" i="164"/>
  <c r="I54" i="164" s="1"/>
  <c r="F53" i="164"/>
  <c r="I53" i="164" s="1"/>
  <c r="F52" i="164"/>
  <c r="I52" i="164" s="1"/>
  <c r="F51" i="164"/>
  <c r="I51" i="164" s="1"/>
  <c r="F50" i="164"/>
  <c r="I50" i="164" s="1"/>
  <c r="F49" i="164"/>
  <c r="I49" i="164" s="1"/>
  <c r="F48" i="164"/>
  <c r="I48" i="164" s="1"/>
  <c r="F47" i="164"/>
  <c r="I47" i="164" s="1"/>
  <c r="F46" i="164"/>
  <c r="I46" i="164" s="1"/>
  <c r="F45" i="164"/>
  <c r="I45" i="164" s="1"/>
  <c r="F44" i="164"/>
  <c r="I44" i="164" s="1"/>
  <c r="F43" i="164"/>
  <c r="I43" i="164" s="1"/>
  <c r="F42" i="164"/>
  <c r="I42" i="164" s="1"/>
  <c r="F41" i="164"/>
  <c r="I41" i="164" s="1"/>
  <c r="F40" i="164"/>
  <c r="I40" i="164" s="1"/>
  <c r="F39" i="164"/>
  <c r="I39" i="164" s="1"/>
  <c r="F38" i="164"/>
  <c r="I38" i="164" s="1"/>
  <c r="F37" i="164"/>
  <c r="I37" i="164" s="1"/>
  <c r="F36" i="164"/>
  <c r="I36" i="164" s="1"/>
  <c r="F35" i="164"/>
  <c r="I35" i="164" s="1"/>
  <c r="F34" i="164"/>
  <c r="I34" i="164" s="1"/>
  <c r="F33" i="164"/>
  <c r="I33" i="164" s="1"/>
  <c r="F32" i="164"/>
  <c r="I32" i="164" s="1"/>
  <c r="F31" i="164"/>
  <c r="I31" i="164" s="1"/>
  <c r="F30" i="164"/>
  <c r="I30" i="164" s="1"/>
  <c r="F65" i="19"/>
  <c r="I65" i="19" s="1"/>
  <c r="F64" i="19"/>
  <c r="I64" i="19" s="1"/>
  <c r="F63" i="19"/>
  <c r="I63" i="19" s="1"/>
  <c r="F62" i="19"/>
  <c r="I62" i="19" s="1"/>
  <c r="F61" i="19"/>
  <c r="I61" i="19" s="1"/>
  <c r="F60" i="19"/>
  <c r="I60" i="19" s="1"/>
  <c r="F59" i="19"/>
  <c r="I59" i="19" s="1"/>
  <c r="F58" i="19"/>
  <c r="I58" i="19" s="1"/>
  <c r="F57" i="19"/>
  <c r="I57" i="19" s="1"/>
  <c r="F56" i="19"/>
  <c r="I56" i="19" s="1"/>
  <c r="F55" i="19"/>
  <c r="I55" i="19" s="1"/>
  <c r="F54" i="19"/>
  <c r="I54" i="19" s="1"/>
  <c r="F53" i="19"/>
  <c r="I53" i="19" s="1"/>
  <c r="F52" i="19"/>
  <c r="I52" i="19" s="1"/>
  <c r="F51" i="19"/>
  <c r="I51" i="19" s="1"/>
  <c r="F50" i="19"/>
  <c r="I50" i="19" s="1"/>
  <c r="F49" i="19"/>
  <c r="I49" i="19" s="1"/>
  <c r="F48" i="19"/>
  <c r="I48" i="19" s="1"/>
  <c r="F47" i="19"/>
  <c r="I47" i="19" s="1"/>
  <c r="F46" i="19"/>
  <c r="I46" i="19" s="1"/>
  <c r="F45" i="19"/>
  <c r="I45" i="19" s="1"/>
  <c r="F44" i="19"/>
  <c r="I44" i="19" s="1"/>
  <c r="F43" i="19"/>
  <c r="I43" i="19" s="1"/>
  <c r="F42" i="19"/>
  <c r="I42" i="19" s="1"/>
  <c r="F41" i="19"/>
  <c r="I41" i="19" s="1"/>
  <c r="F40" i="19"/>
  <c r="I40" i="19" s="1"/>
  <c r="F39" i="19"/>
  <c r="I39" i="19" s="1"/>
  <c r="F38" i="19"/>
  <c r="I38" i="19" s="1"/>
  <c r="F37" i="19"/>
  <c r="I37" i="19" s="1"/>
  <c r="F36" i="19"/>
  <c r="I36" i="19" s="1"/>
  <c r="F35" i="19"/>
  <c r="I35" i="19" s="1"/>
  <c r="F34" i="19"/>
  <c r="I34" i="19" s="1"/>
  <c r="F33" i="19"/>
  <c r="I33" i="19" s="1"/>
  <c r="F32" i="19"/>
  <c r="I32" i="19" s="1"/>
  <c r="F31" i="19"/>
  <c r="I31" i="19" s="1"/>
  <c r="F30" i="19"/>
  <c r="I30" i="19" s="1"/>
  <c r="F65" i="15"/>
  <c r="I65" i="15" s="1"/>
  <c r="F64" i="15"/>
  <c r="I64" i="15" s="1"/>
  <c r="F63" i="15"/>
  <c r="I63" i="15" s="1"/>
  <c r="F62" i="15"/>
  <c r="I62" i="15" s="1"/>
  <c r="F61" i="15"/>
  <c r="I61" i="15" s="1"/>
  <c r="F60" i="15"/>
  <c r="I60" i="15" s="1"/>
  <c r="F59" i="15"/>
  <c r="I59" i="15" s="1"/>
  <c r="F58" i="15"/>
  <c r="I58" i="15" s="1"/>
  <c r="F57" i="15"/>
  <c r="I57" i="15" s="1"/>
  <c r="F56" i="15"/>
  <c r="I56" i="15" s="1"/>
  <c r="F55" i="15"/>
  <c r="I55" i="15" s="1"/>
  <c r="F54" i="15"/>
  <c r="I54" i="15" s="1"/>
  <c r="F53" i="15"/>
  <c r="I53" i="15" s="1"/>
  <c r="F52" i="15"/>
  <c r="I52" i="15" s="1"/>
  <c r="F51" i="15"/>
  <c r="I51" i="15" s="1"/>
  <c r="F50" i="15"/>
  <c r="I50" i="15" s="1"/>
  <c r="F49" i="15"/>
  <c r="I49" i="15" s="1"/>
  <c r="F48" i="15"/>
  <c r="I48" i="15" s="1"/>
  <c r="F47" i="15"/>
  <c r="I47" i="15" s="1"/>
  <c r="F46" i="15"/>
  <c r="I46" i="15" s="1"/>
  <c r="F45" i="15"/>
  <c r="I45" i="15" s="1"/>
  <c r="F44" i="15"/>
  <c r="I44" i="15" s="1"/>
  <c r="F43" i="15"/>
  <c r="I43" i="15" s="1"/>
  <c r="F42" i="15"/>
  <c r="I42" i="15" s="1"/>
  <c r="F41" i="15"/>
  <c r="I41" i="15" s="1"/>
  <c r="F40" i="15"/>
  <c r="I40" i="15" s="1"/>
  <c r="F39" i="15"/>
  <c r="I39" i="15" s="1"/>
  <c r="F38" i="15"/>
  <c r="I38" i="15" s="1"/>
  <c r="F37" i="15"/>
  <c r="I37" i="15" s="1"/>
  <c r="F36" i="15"/>
  <c r="I36" i="15" s="1"/>
  <c r="F35" i="15"/>
  <c r="I35" i="15" s="1"/>
  <c r="F34" i="15"/>
  <c r="I34" i="15" s="1"/>
  <c r="F33" i="15"/>
  <c r="I33" i="15" s="1"/>
  <c r="F32" i="15"/>
  <c r="I32" i="15" s="1"/>
  <c r="F31" i="15"/>
  <c r="I31" i="15" s="1"/>
  <c r="F30" i="15"/>
  <c r="I30" i="15" s="1"/>
  <c r="F65" i="178"/>
  <c r="I65" i="178" s="1"/>
  <c r="F64" i="178"/>
  <c r="I64" i="178" s="1"/>
  <c r="F63" i="178"/>
  <c r="I63" i="178" s="1"/>
  <c r="F62" i="178"/>
  <c r="I62" i="178" s="1"/>
  <c r="F61" i="178"/>
  <c r="I61" i="178" s="1"/>
  <c r="F60" i="178"/>
  <c r="I60" i="178" s="1"/>
  <c r="F59" i="178"/>
  <c r="I59" i="178" s="1"/>
  <c r="F58" i="178"/>
  <c r="I58" i="178" s="1"/>
  <c r="F57" i="178"/>
  <c r="I57" i="178" s="1"/>
  <c r="F56" i="178"/>
  <c r="I56" i="178" s="1"/>
  <c r="F55" i="178"/>
  <c r="I55" i="178" s="1"/>
  <c r="F54" i="178"/>
  <c r="I54" i="178" s="1"/>
  <c r="F53" i="178"/>
  <c r="I53" i="178" s="1"/>
  <c r="F52" i="178"/>
  <c r="I52" i="178" s="1"/>
  <c r="F51" i="178"/>
  <c r="I51" i="178" s="1"/>
  <c r="F50" i="178"/>
  <c r="I50" i="178" s="1"/>
  <c r="F49" i="178"/>
  <c r="I49" i="178" s="1"/>
  <c r="F48" i="178"/>
  <c r="I48" i="178" s="1"/>
  <c r="F47" i="178"/>
  <c r="I47" i="178" s="1"/>
  <c r="F46" i="178"/>
  <c r="I46" i="178" s="1"/>
  <c r="F45" i="178"/>
  <c r="I45" i="178" s="1"/>
  <c r="F44" i="178"/>
  <c r="I44" i="178" s="1"/>
  <c r="F43" i="178"/>
  <c r="I43" i="178" s="1"/>
  <c r="F42" i="178"/>
  <c r="I42" i="178" s="1"/>
  <c r="F41" i="178"/>
  <c r="I41" i="178" s="1"/>
  <c r="F40" i="178"/>
  <c r="I40" i="178" s="1"/>
  <c r="F39" i="178"/>
  <c r="I39" i="178" s="1"/>
  <c r="F38" i="178"/>
  <c r="I38" i="178" s="1"/>
  <c r="F37" i="178"/>
  <c r="I37" i="178" s="1"/>
  <c r="F36" i="178"/>
  <c r="I36" i="178" s="1"/>
  <c r="F35" i="178"/>
  <c r="I35" i="178" s="1"/>
  <c r="F34" i="178"/>
  <c r="I34" i="178" s="1"/>
  <c r="F33" i="178"/>
  <c r="I33" i="178" s="1"/>
  <c r="F32" i="178"/>
  <c r="I32" i="178" s="1"/>
  <c r="F31" i="178"/>
  <c r="I31" i="178" s="1"/>
  <c r="F30" i="178"/>
  <c r="I30" i="178" s="1"/>
  <c r="F65" i="150"/>
  <c r="I65" i="150" s="1"/>
  <c r="F64" i="150"/>
  <c r="I64" i="150" s="1"/>
  <c r="F63" i="150"/>
  <c r="I63" i="150" s="1"/>
  <c r="F62" i="150"/>
  <c r="I62" i="150" s="1"/>
  <c r="F61" i="150"/>
  <c r="I61" i="150" s="1"/>
  <c r="F60" i="150"/>
  <c r="I60" i="150" s="1"/>
  <c r="F59" i="150"/>
  <c r="I59" i="150" s="1"/>
  <c r="F58" i="150"/>
  <c r="I58" i="150" s="1"/>
  <c r="F57" i="150"/>
  <c r="I57" i="150" s="1"/>
  <c r="F56" i="150"/>
  <c r="I56" i="150" s="1"/>
  <c r="F55" i="150"/>
  <c r="I55" i="150" s="1"/>
  <c r="F54" i="150"/>
  <c r="I54" i="150" s="1"/>
  <c r="F53" i="150"/>
  <c r="I53" i="150" s="1"/>
  <c r="F52" i="150"/>
  <c r="I52" i="150" s="1"/>
  <c r="F51" i="150"/>
  <c r="I51" i="150" s="1"/>
  <c r="F50" i="150"/>
  <c r="I50" i="150" s="1"/>
  <c r="F49" i="150"/>
  <c r="I49" i="150" s="1"/>
  <c r="F48" i="150"/>
  <c r="I48" i="150" s="1"/>
  <c r="F47" i="150"/>
  <c r="I47" i="150" s="1"/>
  <c r="F46" i="150"/>
  <c r="I46" i="150" s="1"/>
  <c r="F45" i="150"/>
  <c r="I45" i="150" s="1"/>
  <c r="F44" i="150"/>
  <c r="I44" i="150" s="1"/>
  <c r="F43" i="150"/>
  <c r="I43" i="150" s="1"/>
  <c r="F42" i="150"/>
  <c r="I42" i="150" s="1"/>
  <c r="F41" i="150"/>
  <c r="I41" i="150" s="1"/>
  <c r="F40" i="150"/>
  <c r="I40" i="150" s="1"/>
  <c r="F39" i="150"/>
  <c r="I39" i="150" s="1"/>
  <c r="F38" i="150"/>
  <c r="I38" i="150" s="1"/>
  <c r="F37" i="150"/>
  <c r="I37" i="150" s="1"/>
  <c r="F36" i="150"/>
  <c r="I36" i="150" s="1"/>
  <c r="F35" i="150"/>
  <c r="I35" i="150" s="1"/>
  <c r="F34" i="150"/>
  <c r="I34" i="150" s="1"/>
  <c r="F33" i="150"/>
  <c r="I33" i="150" s="1"/>
  <c r="F32" i="150"/>
  <c r="I32" i="150" s="1"/>
  <c r="F31" i="150"/>
  <c r="I31" i="150" s="1"/>
  <c r="F30" i="150"/>
  <c r="I30" i="150" s="1"/>
  <c r="F65" i="68"/>
  <c r="I65" i="68" s="1"/>
  <c r="F64" i="68"/>
  <c r="I64" i="68" s="1"/>
  <c r="F63" i="68"/>
  <c r="I63" i="68" s="1"/>
  <c r="F62" i="68"/>
  <c r="I62" i="68" s="1"/>
  <c r="F61" i="68"/>
  <c r="I61" i="68" s="1"/>
  <c r="F60" i="68"/>
  <c r="I60" i="68" s="1"/>
  <c r="F59" i="68"/>
  <c r="I59" i="68" s="1"/>
  <c r="F58" i="68"/>
  <c r="I58" i="68" s="1"/>
  <c r="F57" i="68"/>
  <c r="I57" i="68" s="1"/>
  <c r="F56" i="68"/>
  <c r="I56" i="68" s="1"/>
  <c r="F55" i="68"/>
  <c r="I55" i="68" s="1"/>
  <c r="F54" i="68"/>
  <c r="I54" i="68" s="1"/>
  <c r="F53" i="68"/>
  <c r="I53" i="68" s="1"/>
  <c r="F52" i="68"/>
  <c r="I52" i="68" s="1"/>
  <c r="F51" i="68"/>
  <c r="I51" i="68" s="1"/>
  <c r="F50" i="68"/>
  <c r="I50" i="68" s="1"/>
  <c r="F49" i="68"/>
  <c r="I49" i="68" s="1"/>
  <c r="F48" i="68"/>
  <c r="I48" i="68" s="1"/>
  <c r="F47" i="68"/>
  <c r="I47" i="68" s="1"/>
  <c r="F46" i="68"/>
  <c r="I46" i="68" s="1"/>
  <c r="F45" i="68"/>
  <c r="I45" i="68" s="1"/>
  <c r="F44" i="68"/>
  <c r="I44" i="68" s="1"/>
  <c r="F43" i="68"/>
  <c r="I43" i="68" s="1"/>
  <c r="F42" i="68"/>
  <c r="I42" i="68" s="1"/>
  <c r="F41" i="68"/>
  <c r="I41" i="68" s="1"/>
  <c r="F40" i="68"/>
  <c r="I40" i="68" s="1"/>
  <c r="F39" i="68"/>
  <c r="I39" i="68" s="1"/>
  <c r="F38" i="68"/>
  <c r="I38" i="68" s="1"/>
  <c r="F37" i="68"/>
  <c r="I37" i="68" s="1"/>
  <c r="F36" i="68"/>
  <c r="I36" i="68" s="1"/>
  <c r="F35" i="68"/>
  <c r="I35" i="68" s="1"/>
  <c r="F34" i="68"/>
  <c r="I34" i="68" s="1"/>
  <c r="F33" i="68"/>
  <c r="I33" i="68" s="1"/>
  <c r="F32" i="68"/>
  <c r="I32" i="68" s="1"/>
  <c r="F31" i="68"/>
  <c r="I31" i="68" s="1"/>
  <c r="F30" i="68"/>
  <c r="I30" i="68" s="1"/>
  <c r="F65" i="66"/>
  <c r="I65" i="66" s="1"/>
  <c r="F64" i="66"/>
  <c r="I64" i="66" s="1"/>
  <c r="F63" i="66"/>
  <c r="I63" i="66" s="1"/>
  <c r="F62" i="66"/>
  <c r="I62" i="66" s="1"/>
  <c r="F61" i="66"/>
  <c r="I61" i="66" s="1"/>
  <c r="F60" i="66"/>
  <c r="I60" i="66" s="1"/>
  <c r="F59" i="66"/>
  <c r="I59" i="66" s="1"/>
  <c r="F58" i="66"/>
  <c r="I58" i="66" s="1"/>
  <c r="F57" i="66"/>
  <c r="I57" i="66" s="1"/>
  <c r="F56" i="66"/>
  <c r="I56" i="66" s="1"/>
  <c r="F55" i="66"/>
  <c r="I55" i="66" s="1"/>
  <c r="F54" i="66"/>
  <c r="I54" i="66" s="1"/>
  <c r="F53" i="66"/>
  <c r="I53" i="66" s="1"/>
  <c r="F52" i="66"/>
  <c r="I52" i="66" s="1"/>
  <c r="F51" i="66"/>
  <c r="I51" i="66" s="1"/>
  <c r="F50" i="66"/>
  <c r="I50" i="66" s="1"/>
  <c r="F49" i="66"/>
  <c r="I49" i="66" s="1"/>
  <c r="F48" i="66"/>
  <c r="I48" i="66" s="1"/>
  <c r="F47" i="66"/>
  <c r="I47" i="66" s="1"/>
  <c r="F46" i="66"/>
  <c r="I46" i="66" s="1"/>
  <c r="F45" i="66"/>
  <c r="I45" i="66" s="1"/>
  <c r="F44" i="66"/>
  <c r="I44" i="66" s="1"/>
  <c r="F43" i="66"/>
  <c r="I43" i="66" s="1"/>
  <c r="F42" i="66"/>
  <c r="I42" i="66" s="1"/>
  <c r="F41" i="66"/>
  <c r="I41" i="66" s="1"/>
  <c r="F40" i="66"/>
  <c r="I40" i="66" s="1"/>
  <c r="F39" i="66"/>
  <c r="I39" i="66" s="1"/>
  <c r="F38" i="66"/>
  <c r="I38" i="66" s="1"/>
  <c r="F37" i="66"/>
  <c r="I37" i="66" s="1"/>
  <c r="F36" i="66"/>
  <c r="I36" i="66" s="1"/>
  <c r="F35" i="66"/>
  <c r="I35" i="66" s="1"/>
  <c r="F34" i="66"/>
  <c r="I34" i="66" s="1"/>
  <c r="F33" i="66"/>
  <c r="I33" i="66" s="1"/>
  <c r="F32" i="66"/>
  <c r="I32" i="66" s="1"/>
  <c r="F31" i="66"/>
  <c r="I31" i="66" s="1"/>
  <c r="F30" i="66"/>
  <c r="I30" i="66" s="1"/>
  <c r="F65" i="63"/>
  <c r="I65" i="63" s="1"/>
  <c r="F64" i="63"/>
  <c r="I64" i="63" s="1"/>
  <c r="F63" i="63"/>
  <c r="I63" i="63" s="1"/>
  <c r="F62" i="63"/>
  <c r="I62" i="63" s="1"/>
  <c r="F61" i="63"/>
  <c r="I61" i="63" s="1"/>
  <c r="F60" i="63"/>
  <c r="I60" i="63" s="1"/>
  <c r="F59" i="63"/>
  <c r="I59" i="63" s="1"/>
  <c r="F58" i="63"/>
  <c r="I58" i="63" s="1"/>
  <c r="F57" i="63"/>
  <c r="I57" i="63" s="1"/>
  <c r="F56" i="63"/>
  <c r="I56" i="63" s="1"/>
  <c r="F55" i="63"/>
  <c r="I55" i="63" s="1"/>
  <c r="F54" i="63"/>
  <c r="I54" i="63" s="1"/>
  <c r="F53" i="63"/>
  <c r="I53" i="63" s="1"/>
  <c r="F52" i="63"/>
  <c r="I52" i="63" s="1"/>
  <c r="F51" i="63"/>
  <c r="I51" i="63" s="1"/>
  <c r="F50" i="63"/>
  <c r="I50" i="63" s="1"/>
  <c r="F49" i="63"/>
  <c r="I49" i="63" s="1"/>
  <c r="F48" i="63"/>
  <c r="I48" i="63" s="1"/>
  <c r="F47" i="63"/>
  <c r="I47" i="63" s="1"/>
  <c r="F46" i="63"/>
  <c r="I46" i="63" s="1"/>
  <c r="F45" i="63"/>
  <c r="I45" i="63" s="1"/>
  <c r="F44" i="63"/>
  <c r="I44" i="63" s="1"/>
  <c r="F43" i="63"/>
  <c r="I43" i="63" s="1"/>
  <c r="F42" i="63"/>
  <c r="I42" i="63" s="1"/>
  <c r="F41" i="63"/>
  <c r="I41" i="63" s="1"/>
  <c r="F40" i="63"/>
  <c r="I40" i="63" s="1"/>
  <c r="F39" i="63"/>
  <c r="I39" i="63" s="1"/>
  <c r="F38" i="63"/>
  <c r="I38" i="63" s="1"/>
  <c r="F37" i="63"/>
  <c r="I37" i="63" s="1"/>
  <c r="F36" i="63"/>
  <c r="I36" i="63" s="1"/>
  <c r="F35" i="63"/>
  <c r="I35" i="63" s="1"/>
  <c r="F34" i="63"/>
  <c r="I34" i="63" s="1"/>
  <c r="F33" i="63"/>
  <c r="I33" i="63" s="1"/>
  <c r="F32" i="63"/>
  <c r="I32" i="63" s="1"/>
  <c r="F31" i="63"/>
  <c r="I31" i="63" s="1"/>
  <c r="F30" i="63"/>
  <c r="I30" i="63" s="1"/>
  <c r="F65" i="62"/>
  <c r="I65" i="62" s="1"/>
  <c r="F64" i="62"/>
  <c r="I64" i="62" s="1"/>
  <c r="F63" i="62"/>
  <c r="I63" i="62" s="1"/>
  <c r="F62" i="62"/>
  <c r="I62" i="62" s="1"/>
  <c r="F61" i="62"/>
  <c r="I61" i="62" s="1"/>
  <c r="F60" i="62"/>
  <c r="I60" i="62" s="1"/>
  <c r="F59" i="62"/>
  <c r="I59" i="62" s="1"/>
  <c r="F58" i="62"/>
  <c r="I58" i="62" s="1"/>
  <c r="F57" i="62"/>
  <c r="I57" i="62" s="1"/>
  <c r="F56" i="62"/>
  <c r="I56" i="62" s="1"/>
  <c r="F55" i="62"/>
  <c r="I55" i="62" s="1"/>
  <c r="F54" i="62"/>
  <c r="I54" i="62" s="1"/>
  <c r="F53" i="62"/>
  <c r="I53" i="62" s="1"/>
  <c r="F52" i="62"/>
  <c r="I52" i="62" s="1"/>
  <c r="F51" i="62"/>
  <c r="I51" i="62" s="1"/>
  <c r="F50" i="62"/>
  <c r="I50" i="62" s="1"/>
  <c r="F49" i="62"/>
  <c r="I49" i="62" s="1"/>
  <c r="F48" i="62"/>
  <c r="I48" i="62" s="1"/>
  <c r="F47" i="62"/>
  <c r="I47" i="62" s="1"/>
  <c r="F46" i="62"/>
  <c r="I46" i="62" s="1"/>
  <c r="F45" i="62"/>
  <c r="I45" i="62" s="1"/>
  <c r="F44" i="62"/>
  <c r="I44" i="62" s="1"/>
  <c r="F43" i="62"/>
  <c r="I43" i="62" s="1"/>
  <c r="F42" i="62"/>
  <c r="I42" i="62" s="1"/>
  <c r="F41" i="62"/>
  <c r="I41" i="62" s="1"/>
  <c r="F40" i="62"/>
  <c r="I40" i="62" s="1"/>
  <c r="F39" i="62"/>
  <c r="I39" i="62" s="1"/>
  <c r="F38" i="62"/>
  <c r="I38" i="62" s="1"/>
  <c r="F37" i="62"/>
  <c r="I37" i="62" s="1"/>
  <c r="F36" i="62"/>
  <c r="I36" i="62" s="1"/>
  <c r="F35" i="62"/>
  <c r="I35" i="62" s="1"/>
  <c r="F34" i="62"/>
  <c r="I34" i="62" s="1"/>
  <c r="F33" i="62"/>
  <c r="I33" i="62" s="1"/>
  <c r="F32" i="62"/>
  <c r="I32" i="62" s="1"/>
  <c r="F31" i="62"/>
  <c r="I31" i="62" s="1"/>
  <c r="F30" i="62"/>
  <c r="I30" i="62" s="1"/>
  <c r="F65" i="58"/>
  <c r="I65" i="58" s="1"/>
  <c r="F64" i="58"/>
  <c r="I64" i="58" s="1"/>
  <c r="F63" i="58"/>
  <c r="I63" i="58" s="1"/>
  <c r="F62" i="58"/>
  <c r="I62" i="58" s="1"/>
  <c r="F61" i="58"/>
  <c r="I61" i="58" s="1"/>
  <c r="F60" i="58"/>
  <c r="I60" i="58" s="1"/>
  <c r="F59" i="58"/>
  <c r="I59" i="58" s="1"/>
  <c r="F58" i="58"/>
  <c r="I58" i="58" s="1"/>
  <c r="F57" i="58"/>
  <c r="I57" i="58" s="1"/>
  <c r="F56" i="58"/>
  <c r="I56" i="58" s="1"/>
  <c r="F55" i="58"/>
  <c r="I55" i="58" s="1"/>
  <c r="F54" i="58"/>
  <c r="I54" i="58" s="1"/>
  <c r="F53" i="58"/>
  <c r="I53" i="58" s="1"/>
  <c r="F52" i="58"/>
  <c r="I52" i="58" s="1"/>
  <c r="F51" i="58"/>
  <c r="I51" i="58" s="1"/>
  <c r="F50" i="58"/>
  <c r="I50" i="58" s="1"/>
  <c r="F49" i="58"/>
  <c r="I49" i="58" s="1"/>
  <c r="F48" i="58"/>
  <c r="I48" i="58" s="1"/>
  <c r="F47" i="58"/>
  <c r="I47" i="58" s="1"/>
  <c r="F46" i="58"/>
  <c r="I46" i="58" s="1"/>
  <c r="F45" i="58"/>
  <c r="I45" i="58" s="1"/>
  <c r="F44" i="58"/>
  <c r="I44" i="58" s="1"/>
  <c r="F43" i="58"/>
  <c r="I43" i="58" s="1"/>
  <c r="F42" i="58"/>
  <c r="I42" i="58" s="1"/>
  <c r="F41" i="58"/>
  <c r="I41" i="58" s="1"/>
  <c r="F40" i="58"/>
  <c r="I40" i="58" s="1"/>
  <c r="F39" i="58"/>
  <c r="I39" i="58" s="1"/>
  <c r="F38" i="58"/>
  <c r="I38" i="58" s="1"/>
  <c r="F37" i="58"/>
  <c r="I37" i="58" s="1"/>
  <c r="F36" i="58"/>
  <c r="I36" i="58" s="1"/>
  <c r="F35" i="58"/>
  <c r="I35" i="58" s="1"/>
  <c r="F34" i="58"/>
  <c r="I34" i="58" s="1"/>
  <c r="F33" i="58"/>
  <c r="I33" i="58" s="1"/>
  <c r="F32" i="58"/>
  <c r="I32" i="58" s="1"/>
  <c r="F31" i="58"/>
  <c r="I31" i="58" s="1"/>
  <c r="F30" i="58"/>
  <c r="I30" i="58" s="1"/>
  <c r="F65" i="136"/>
  <c r="I65" i="136" s="1"/>
  <c r="F64" i="136"/>
  <c r="I64" i="136" s="1"/>
  <c r="F63" i="136"/>
  <c r="I63" i="136" s="1"/>
  <c r="F62" i="136"/>
  <c r="I62" i="136" s="1"/>
  <c r="F61" i="136"/>
  <c r="I61" i="136" s="1"/>
  <c r="F60" i="136"/>
  <c r="I60" i="136" s="1"/>
  <c r="F59" i="136"/>
  <c r="I59" i="136" s="1"/>
  <c r="F58" i="136"/>
  <c r="I58" i="136" s="1"/>
  <c r="F57" i="136"/>
  <c r="I57" i="136" s="1"/>
  <c r="F56" i="136"/>
  <c r="I56" i="136" s="1"/>
  <c r="F55" i="136"/>
  <c r="I55" i="136" s="1"/>
  <c r="F54" i="136"/>
  <c r="I54" i="136" s="1"/>
  <c r="F53" i="136"/>
  <c r="I53" i="136" s="1"/>
  <c r="F52" i="136"/>
  <c r="I52" i="136" s="1"/>
  <c r="F51" i="136"/>
  <c r="I51" i="136" s="1"/>
  <c r="F50" i="136"/>
  <c r="I50" i="136" s="1"/>
  <c r="F49" i="136"/>
  <c r="I49" i="136" s="1"/>
  <c r="F48" i="136"/>
  <c r="I48" i="136" s="1"/>
  <c r="F47" i="136"/>
  <c r="I47" i="136" s="1"/>
  <c r="F46" i="136"/>
  <c r="I46" i="136" s="1"/>
  <c r="F45" i="136"/>
  <c r="I45" i="136" s="1"/>
  <c r="F44" i="136"/>
  <c r="I44" i="136" s="1"/>
  <c r="F43" i="136"/>
  <c r="I43" i="136" s="1"/>
  <c r="F42" i="136"/>
  <c r="I42" i="136" s="1"/>
  <c r="F41" i="136"/>
  <c r="I41" i="136" s="1"/>
  <c r="F40" i="136"/>
  <c r="I40" i="136" s="1"/>
  <c r="F39" i="136"/>
  <c r="I39" i="136" s="1"/>
  <c r="F38" i="136"/>
  <c r="I38" i="136" s="1"/>
  <c r="F37" i="136"/>
  <c r="I37" i="136" s="1"/>
  <c r="F36" i="136"/>
  <c r="I36" i="136" s="1"/>
  <c r="F35" i="136"/>
  <c r="I35" i="136" s="1"/>
  <c r="F34" i="136"/>
  <c r="I34" i="136" s="1"/>
  <c r="F33" i="136"/>
  <c r="I33" i="136" s="1"/>
  <c r="F32" i="136"/>
  <c r="I32" i="136" s="1"/>
  <c r="F31" i="136"/>
  <c r="I31" i="136" s="1"/>
  <c r="F30" i="136"/>
  <c r="I30" i="136" s="1"/>
  <c r="F65" i="141"/>
  <c r="I65" i="141" s="1"/>
  <c r="F64" i="141"/>
  <c r="I64" i="141" s="1"/>
  <c r="F63" i="141"/>
  <c r="I63" i="141" s="1"/>
  <c r="F62" i="141"/>
  <c r="I62" i="141" s="1"/>
  <c r="F61" i="141"/>
  <c r="I61" i="141" s="1"/>
  <c r="F60" i="141"/>
  <c r="I60" i="141" s="1"/>
  <c r="F59" i="141"/>
  <c r="I59" i="141" s="1"/>
  <c r="F58" i="141"/>
  <c r="I58" i="141" s="1"/>
  <c r="F57" i="141"/>
  <c r="I57" i="141" s="1"/>
  <c r="F56" i="141"/>
  <c r="I56" i="141" s="1"/>
  <c r="F55" i="141"/>
  <c r="I55" i="141" s="1"/>
  <c r="F54" i="141"/>
  <c r="I54" i="141" s="1"/>
  <c r="F53" i="141"/>
  <c r="I53" i="141" s="1"/>
  <c r="F52" i="141"/>
  <c r="I52" i="141" s="1"/>
  <c r="F51" i="141"/>
  <c r="I51" i="141" s="1"/>
  <c r="F50" i="141"/>
  <c r="I50" i="141" s="1"/>
  <c r="F49" i="141"/>
  <c r="I49" i="141" s="1"/>
  <c r="F48" i="141"/>
  <c r="I48" i="141" s="1"/>
  <c r="F47" i="141"/>
  <c r="I47" i="141" s="1"/>
  <c r="F46" i="141"/>
  <c r="I46" i="141" s="1"/>
  <c r="F45" i="141"/>
  <c r="I45" i="141" s="1"/>
  <c r="F44" i="141"/>
  <c r="I44" i="141" s="1"/>
  <c r="F43" i="141"/>
  <c r="I43" i="141" s="1"/>
  <c r="F42" i="141"/>
  <c r="I42" i="141" s="1"/>
  <c r="F41" i="141"/>
  <c r="I41" i="141" s="1"/>
  <c r="F40" i="141"/>
  <c r="I40" i="141" s="1"/>
  <c r="F39" i="141"/>
  <c r="I39" i="141" s="1"/>
  <c r="F38" i="141"/>
  <c r="I38" i="141" s="1"/>
  <c r="F37" i="141"/>
  <c r="I37" i="141" s="1"/>
  <c r="F36" i="141"/>
  <c r="I36" i="141" s="1"/>
  <c r="F35" i="141"/>
  <c r="I35" i="141" s="1"/>
  <c r="F34" i="141"/>
  <c r="I34" i="141" s="1"/>
  <c r="F33" i="141"/>
  <c r="I33" i="141" s="1"/>
  <c r="F32" i="141"/>
  <c r="I32" i="141" s="1"/>
  <c r="F31" i="141"/>
  <c r="I31" i="141" s="1"/>
  <c r="F30" i="141"/>
  <c r="I30" i="141" s="1"/>
  <c r="F65" i="174"/>
  <c r="I65" i="174" s="1"/>
  <c r="F64" i="174"/>
  <c r="I64" i="174" s="1"/>
  <c r="F63" i="174"/>
  <c r="I63" i="174" s="1"/>
  <c r="F62" i="174"/>
  <c r="I62" i="174" s="1"/>
  <c r="F61" i="174"/>
  <c r="I61" i="174" s="1"/>
  <c r="F60" i="174"/>
  <c r="I60" i="174" s="1"/>
  <c r="F59" i="174"/>
  <c r="I59" i="174" s="1"/>
  <c r="F58" i="174"/>
  <c r="I58" i="174" s="1"/>
  <c r="F57" i="174"/>
  <c r="I57" i="174" s="1"/>
  <c r="F56" i="174"/>
  <c r="I56" i="174" s="1"/>
  <c r="F55" i="174"/>
  <c r="I55" i="174" s="1"/>
  <c r="F54" i="174"/>
  <c r="I54" i="174" s="1"/>
  <c r="F53" i="174"/>
  <c r="I53" i="174" s="1"/>
  <c r="F52" i="174"/>
  <c r="I52" i="174" s="1"/>
  <c r="F51" i="174"/>
  <c r="I51" i="174" s="1"/>
  <c r="F50" i="174"/>
  <c r="I50" i="174" s="1"/>
  <c r="F49" i="174"/>
  <c r="I49" i="174" s="1"/>
  <c r="F48" i="174"/>
  <c r="I48" i="174" s="1"/>
  <c r="F47" i="174"/>
  <c r="I47" i="174" s="1"/>
  <c r="F46" i="174"/>
  <c r="I46" i="174" s="1"/>
  <c r="F45" i="174"/>
  <c r="I45" i="174" s="1"/>
  <c r="F44" i="174"/>
  <c r="I44" i="174" s="1"/>
  <c r="F43" i="174"/>
  <c r="I43" i="174" s="1"/>
  <c r="F42" i="174"/>
  <c r="I42" i="174" s="1"/>
  <c r="F41" i="174"/>
  <c r="I41" i="174" s="1"/>
  <c r="F40" i="174"/>
  <c r="I40" i="174" s="1"/>
  <c r="F39" i="174"/>
  <c r="I39" i="174" s="1"/>
  <c r="F38" i="174"/>
  <c r="I38" i="174" s="1"/>
  <c r="F37" i="174"/>
  <c r="I37" i="174" s="1"/>
  <c r="F36" i="174"/>
  <c r="I36" i="174" s="1"/>
  <c r="F35" i="174"/>
  <c r="I35" i="174" s="1"/>
  <c r="F34" i="174"/>
  <c r="I34" i="174" s="1"/>
  <c r="F33" i="174"/>
  <c r="I33" i="174" s="1"/>
  <c r="F32" i="174"/>
  <c r="I32" i="174" s="1"/>
  <c r="F31" i="174"/>
  <c r="I31" i="174" s="1"/>
  <c r="F30" i="174"/>
  <c r="I30" i="174" s="1"/>
  <c r="F65" i="53"/>
  <c r="I65" i="53" s="1"/>
  <c r="F64" i="53"/>
  <c r="I64" i="53" s="1"/>
  <c r="F63" i="53"/>
  <c r="I63" i="53" s="1"/>
  <c r="F62" i="53"/>
  <c r="I62" i="53" s="1"/>
  <c r="F61" i="53"/>
  <c r="I61" i="53" s="1"/>
  <c r="F60" i="53"/>
  <c r="I60" i="53" s="1"/>
  <c r="F59" i="53"/>
  <c r="I59" i="53" s="1"/>
  <c r="F58" i="53"/>
  <c r="I58" i="53" s="1"/>
  <c r="F57" i="53"/>
  <c r="I57" i="53" s="1"/>
  <c r="F56" i="53"/>
  <c r="I56" i="53" s="1"/>
  <c r="F55" i="53"/>
  <c r="I55" i="53" s="1"/>
  <c r="F54" i="53"/>
  <c r="I54" i="53" s="1"/>
  <c r="F53" i="53"/>
  <c r="I53" i="53" s="1"/>
  <c r="F52" i="53"/>
  <c r="I52" i="53" s="1"/>
  <c r="F51" i="53"/>
  <c r="I51" i="53" s="1"/>
  <c r="F50" i="53"/>
  <c r="I50" i="53" s="1"/>
  <c r="F49" i="53"/>
  <c r="I49" i="53" s="1"/>
  <c r="F48" i="53"/>
  <c r="I48" i="53" s="1"/>
  <c r="F47" i="53"/>
  <c r="I47" i="53" s="1"/>
  <c r="F46" i="53"/>
  <c r="I46" i="53" s="1"/>
  <c r="F45" i="53"/>
  <c r="I45" i="53" s="1"/>
  <c r="F44" i="53"/>
  <c r="I44" i="53" s="1"/>
  <c r="F43" i="53"/>
  <c r="I43" i="53" s="1"/>
  <c r="F42" i="53"/>
  <c r="I42" i="53" s="1"/>
  <c r="F41" i="53"/>
  <c r="I41" i="53" s="1"/>
  <c r="F40" i="53"/>
  <c r="I40" i="53" s="1"/>
  <c r="F39" i="53"/>
  <c r="I39" i="53" s="1"/>
  <c r="F38" i="53"/>
  <c r="I38" i="53" s="1"/>
  <c r="F37" i="53"/>
  <c r="I37" i="53" s="1"/>
  <c r="F36" i="53"/>
  <c r="I36" i="53" s="1"/>
  <c r="F35" i="53"/>
  <c r="I35" i="53" s="1"/>
  <c r="F34" i="53"/>
  <c r="I34" i="53" s="1"/>
  <c r="F33" i="53"/>
  <c r="I33" i="53" s="1"/>
  <c r="F32" i="53"/>
  <c r="I32" i="53" s="1"/>
  <c r="F31" i="53"/>
  <c r="I31" i="53" s="1"/>
  <c r="F30" i="53"/>
  <c r="I30" i="53" s="1"/>
  <c r="F65" i="98"/>
  <c r="I65" i="98" s="1"/>
  <c r="F64" i="98"/>
  <c r="I64" i="98" s="1"/>
  <c r="F63" i="98"/>
  <c r="I63" i="98" s="1"/>
  <c r="F62" i="98"/>
  <c r="I62" i="98" s="1"/>
  <c r="F61" i="98"/>
  <c r="I61" i="98" s="1"/>
  <c r="F60" i="98"/>
  <c r="I60" i="98" s="1"/>
  <c r="F59" i="98"/>
  <c r="I59" i="98" s="1"/>
  <c r="F58" i="98"/>
  <c r="I58" i="98" s="1"/>
  <c r="F57" i="98"/>
  <c r="I57" i="98" s="1"/>
  <c r="F56" i="98"/>
  <c r="I56" i="98" s="1"/>
  <c r="F55" i="98"/>
  <c r="I55" i="98" s="1"/>
  <c r="F54" i="98"/>
  <c r="I54" i="98" s="1"/>
  <c r="F53" i="98"/>
  <c r="I53" i="98" s="1"/>
  <c r="F52" i="98"/>
  <c r="I52" i="98" s="1"/>
  <c r="F51" i="98"/>
  <c r="I51" i="98" s="1"/>
  <c r="F50" i="98"/>
  <c r="I50" i="98" s="1"/>
  <c r="F49" i="98"/>
  <c r="I49" i="98" s="1"/>
  <c r="F48" i="98"/>
  <c r="I48" i="98" s="1"/>
  <c r="F47" i="98"/>
  <c r="I47" i="98" s="1"/>
  <c r="F46" i="98"/>
  <c r="I46" i="98" s="1"/>
  <c r="F45" i="98"/>
  <c r="I45" i="98" s="1"/>
  <c r="F44" i="98"/>
  <c r="I44" i="98" s="1"/>
  <c r="F43" i="98"/>
  <c r="I43" i="98" s="1"/>
  <c r="F42" i="98"/>
  <c r="I42" i="98" s="1"/>
  <c r="F41" i="98"/>
  <c r="I41" i="98" s="1"/>
  <c r="F40" i="98"/>
  <c r="I40" i="98" s="1"/>
  <c r="F39" i="98"/>
  <c r="I39" i="98" s="1"/>
  <c r="F38" i="98"/>
  <c r="I38" i="98" s="1"/>
  <c r="F37" i="98"/>
  <c r="I37" i="98" s="1"/>
  <c r="F36" i="98"/>
  <c r="I36" i="98" s="1"/>
  <c r="F35" i="98"/>
  <c r="I35" i="98" s="1"/>
  <c r="F34" i="98"/>
  <c r="I34" i="98" s="1"/>
  <c r="F33" i="98"/>
  <c r="I33" i="98" s="1"/>
  <c r="F32" i="98"/>
  <c r="I32" i="98" s="1"/>
  <c r="F31" i="98"/>
  <c r="I31" i="98" s="1"/>
  <c r="F30" i="98"/>
  <c r="I30" i="98" s="1"/>
  <c r="F65" i="49"/>
  <c r="I65" i="49" s="1"/>
  <c r="F64" i="49"/>
  <c r="I64" i="49" s="1"/>
  <c r="F63" i="49"/>
  <c r="I63" i="49" s="1"/>
  <c r="F62" i="49"/>
  <c r="I62" i="49" s="1"/>
  <c r="F61" i="49"/>
  <c r="I61" i="49" s="1"/>
  <c r="F60" i="49"/>
  <c r="I60" i="49" s="1"/>
  <c r="F59" i="49"/>
  <c r="I59" i="49" s="1"/>
  <c r="F58" i="49"/>
  <c r="I58" i="49" s="1"/>
  <c r="F57" i="49"/>
  <c r="I57" i="49" s="1"/>
  <c r="F56" i="49"/>
  <c r="I56" i="49" s="1"/>
  <c r="F55" i="49"/>
  <c r="I55" i="49" s="1"/>
  <c r="F54" i="49"/>
  <c r="I54" i="49" s="1"/>
  <c r="F53" i="49"/>
  <c r="I53" i="49" s="1"/>
  <c r="F52" i="49"/>
  <c r="I52" i="49" s="1"/>
  <c r="F51" i="49"/>
  <c r="I51" i="49" s="1"/>
  <c r="F50" i="49"/>
  <c r="I50" i="49" s="1"/>
  <c r="F49" i="49"/>
  <c r="I49" i="49" s="1"/>
  <c r="F48" i="49"/>
  <c r="I48" i="49" s="1"/>
  <c r="F47" i="49"/>
  <c r="I47" i="49" s="1"/>
  <c r="F46" i="49"/>
  <c r="I46" i="49" s="1"/>
  <c r="F45" i="49"/>
  <c r="I45" i="49" s="1"/>
  <c r="F44" i="49"/>
  <c r="I44" i="49" s="1"/>
  <c r="F43" i="49"/>
  <c r="I43" i="49" s="1"/>
  <c r="F42" i="49"/>
  <c r="I42" i="49" s="1"/>
  <c r="F41" i="49"/>
  <c r="I41" i="49" s="1"/>
  <c r="F40" i="49"/>
  <c r="I40" i="49" s="1"/>
  <c r="F39" i="49"/>
  <c r="I39" i="49" s="1"/>
  <c r="F38" i="49"/>
  <c r="I38" i="49" s="1"/>
  <c r="F37" i="49"/>
  <c r="I37" i="49" s="1"/>
  <c r="F36" i="49"/>
  <c r="I36" i="49" s="1"/>
  <c r="F35" i="49"/>
  <c r="I35" i="49" s="1"/>
  <c r="F34" i="49"/>
  <c r="I34" i="49" s="1"/>
  <c r="F33" i="49"/>
  <c r="I33" i="49" s="1"/>
  <c r="F32" i="49"/>
  <c r="I32" i="49" s="1"/>
  <c r="F31" i="49"/>
  <c r="I31" i="49" s="1"/>
  <c r="F30" i="49"/>
  <c r="I30" i="49" s="1"/>
  <c r="F65" i="83"/>
  <c r="F64" i="83"/>
  <c r="F63" i="83"/>
  <c r="F62" i="83"/>
  <c r="F61" i="83"/>
  <c r="F60" i="83"/>
  <c r="F59" i="83"/>
  <c r="F58" i="83"/>
  <c r="F57" i="83"/>
  <c r="F56" i="83"/>
  <c r="F55" i="83"/>
  <c r="F54" i="83"/>
  <c r="F53" i="83"/>
  <c r="F52" i="83"/>
  <c r="F51" i="83"/>
  <c r="F50" i="83"/>
  <c r="F49" i="83"/>
  <c r="F48" i="83"/>
  <c r="F47" i="83"/>
  <c r="F46" i="83"/>
  <c r="F45" i="83"/>
  <c r="F44" i="83"/>
  <c r="F43" i="83"/>
  <c r="F42" i="83"/>
  <c r="F41" i="83"/>
  <c r="F40" i="83"/>
  <c r="F39" i="83"/>
  <c r="F38" i="83"/>
  <c r="F37" i="83"/>
  <c r="F36" i="83"/>
  <c r="F35" i="83"/>
  <c r="F34" i="83"/>
  <c r="F33" i="83"/>
  <c r="F32" i="83"/>
  <c r="F31" i="83"/>
  <c r="F30" i="83"/>
  <c r="F65" i="46"/>
  <c r="I65" i="46" s="1"/>
  <c r="F64" i="46"/>
  <c r="I64" i="46" s="1"/>
  <c r="F63" i="46"/>
  <c r="I63" i="46" s="1"/>
  <c r="F62" i="46"/>
  <c r="I62" i="46" s="1"/>
  <c r="F61" i="46"/>
  <c r="I61" i="46" s="1"/>
  <c r="F60" i="46"/>
  <c r="I60" i="46" s="1"/>
  <c r="F59" i="46"/>
  <c r="I59" i="46" s="1"/>
  <c r="F58" i="46"/>
  <c r="I58" i="46" s="1"/>
  <c r="F57" i="46"/>
  <c r="I57" i="46" s="1"/>
  <c r="F56" i="46"/>
  <c r="I56" i="46" s="1"/>
  <c r="F55" i="46"/>
  <c r="I55" i="46" s="1"/>
  <c r="F54" i="46"/>
  <c r="I54" i="46" s="1"/>
  <c r="F53" i="46"/>
  <c r="I53" i="46" s="1"/>
  <c r="F52" i="46"/>
  <c r="I52" i="46" s="1"/>
  <c r="F51" i="46"/>
  <c r="I51" i="46" s="1"/>
  <c r="F50" i="46"/>
  <c r="I50" i="46" s="1"/>
  <c r="F49" i="46"/>
  <c r="I49" i="46" s="1"/>
  <c r="F48" i="46"/>
  <c r="I48" i="46" s="1"/>
  <c r="F47" i="46"/>
  <c r="I47" i="46" s="1"/>
  <c r="F46" i="46"/>
  <c r="I46" i="46" s="1"/>
  <c r="F45" i="46"/>
  <c r="I45" i="46" s="1"/>
  <c r="F44" i="46"/>
  <c r="I44" i="46" s="1"/>
  <c r="F43" i="46"/>
  <c r="I43" i="46" s="1"/>
  <c r="F42" i="46"/>
  <c r="I42" i="46" s="1"/>
  <c r="F41" i="46"/>
  <c r="I41" i="46" s="1"/>
  <c r="F40" i="46"/>
  <c r="I40" i="46" s="1"/>
  <c r="F39" i="46"/>
  <c r="I39" i="46" s="1"/>
  <c r="F38" i="46"/>
  <c r="I38" i="46" s="1"/>
  <c r="F37" i="46"/>
  <c r="I37" i="46" s="1"/>
  <c r="F36" i="46"/>
  <c r="I36" i="46" s="1"/>
  <c r="F35" i="46"/>
  <c r="I35" i="46" s="1"/>
  <c r="F34" i="46"/>
  <c r="I34" i="46" s="1"/>
  <c r="F33" i="46"/>
  <c r="I33" i="46" s="1"/>
  <c r="F32" i="46"/>
  <c r="I32" i="46" s="1"/>
  <c r="F31" i="46"/>
  <c r="I31" i="46" s="1"/>
  <c r="F30" i="46"/>
  <c r="I30" i="46" s="1"/>
  <c r="F65" i="102"/>
  <c r="I65" i="102" s="1"/>
  <c r="F64" i="102"/>
  <c r="I64" i="102" s="1"/>
  <c r="F63" i="102"/>
  <c r="I63" i="102" s="1"/>
  <c r="F62" i="102"/>
  <c r="I62" i="102" s="1"/>
  <c r="F61" i="102"/>
  <c r="I61" i="102" s="1"/>
  <c r="F60" i="102"/>
  <c r="I60" i="102" s="1"/>
  <c r="F59" i="102"/>
  <c r="I59" i="102" s="1"/>
  <c r="F58" i="102"/>
  <c r="I58" i="102" s="1"/>
  <c r="F57" i="102"/>
  <c r="I57" i="102" s="1"/>
  <c r="F56" i="102"/>
  <c r="I56" i="102" s="1"/>
  <c r="F55" i="102"/>
  <c r="I55" i="102" s="1"/>
  <c r="F54" i="102"/>
  <c r="I54" i="102" s="1"/>
  <c r="F53" i="102"/>
  <c r="I53" i="102" s="1"/>
  <c r="F52" i="102"/>
  <c r="I52" i="102" s="1"/>
  <c r="F51" i="102"/>
  <c r="I51" i="102" s="1"/>
  <c r="F50" i="102"/>
  <c r="I50" i="102" s="1"/>
  <c r="F49" i="102"/>
  <c r="I49" i="102" s="1"/>
  <c r="F48" i="102"/>
  <c r="I48" i="102" s="1"/>
  <c r="F47" i="102"/>
  <c r="I47" i="102" s="1"/>
  <c r="F46" i="102"/>
  <c r="I46" i="102" s="1"/>
  <c r="F45" i="102"/>
  <c r="I45" i="102" s="1"/>
  <c r="F44" i="102"/>
  <c r="I44" i="102" s="1"/>
  <c r="F43" i="102"/>
  <c r="I43" i="102" s="1"/>
  <c r="F42" i="102"/>
  <c r="I42" i="102" s="1"/>
  <c r="F41" i="102"/>
  <c r="I41" i="102" s="1"/>
  <c r="F40" i="102"/>
  <c r="I40" i="102" s="1"/>
  <c r="F39" i="102"/>
  <c r="I39" i="102" s="1"/>
  <c r="F38" i="102"/>
  <c r="I38" i="102" s="1"/>
  <c r="F37" i="102"/>
  <c r="I37" i="102" s="1"/>
  <c r="F36" i="102"/>
  <c r="I36" i="102" s="1"/>
  <c r="F35" i="102"/>
  <c r="I35" i="102" s="1"/>
  <c r="F34" i="102"/>
  <c r="I34" i="102" s="1"/>
  <c r="F33" i="102"/>
  <c r="I33" i="102" s="1"/>
  <c r="F32" i="102"/>
  <c r="I32" i="102" s="1"/>
  <c r="F31" i="102"/>
  <c r="I31" i="102" s="1"/>
  <c r="F30" i="102"/>
  <c r="I30" i="102" s="1"/>
  <c r="F65" i="43"/>
  <c r="I65" i="43" s="1"/>
  <c r="F64" i="43"/>
  <c r="I64" i="43" s="1"/>
  <c r="F63" i="43"/>
  <c r="I63" i="43" s="1"/>
  <c r="F62" i="43"/>
  <c r="I62" i="43" s="1"/>
  <c r="F61" i="43"/>
  <c r="I61" i="43" s="1"/>
  <c r="F60" i="43"/>
  <c r="I60" i="43" s="1"/>
  <c r="F59" i="43"/>
  <c r="I59" i="43" s="1"/>
  <c r="F58" i="43"/>
  <c r="I58" i="43" s="1"/>
  <c r="F57" i="43"/>
  <c r="I57" i="43" s="1"/>
  <c r="F56" i="43"/>
  <c r="I56" i="43" s="1"/>
  <c r="F55" i="43"/>
  <c r="I55" i="43" s="1"/>
  <c r="F54" i="43"/>
  <c r="I54" i="43" s="1"/>
  <c r="F53" i="43"/>
  <c r="I53" i="43" s="1"/>
  <c r="F52" i="43"/>
  <c r="I52" i="43" s="1"/>
  <c r="F51" i="43"/>
  <c r="I51" i="43" s="1"/>
  <c r="F50" i="43"/>
  <c r="I50" i="43" s="1"/>
  <c r="F49" i="43"/>
  <c r="I49" i="43" s="1"/>
  <c r="F48" i="43"/>
  <c r="I48" i="43" s="1"/>
  <c r="F47" i="43"/>
  <c r="I47" i="43" s="1"/>
  <c r="F46" i="43"/>
  <c r="I46" i="43" s="1"/>
  <c r="F45" i="43"/>
  <c r="I45" i="43" s="1"/>
  <c r="F44" i="43"/>
  <c r="I44" i="43" s="1"/>
  <c r="F43" i="43"/>
  <c r="I43" i="43" s="1"/>
  <c r="F42" i="43"/>
  <c r="I42" i="43" s="1"/>
  <c r="F41" i="43"/>
  <c r="I41" i="43" s="1"/>
  <c r="F40" i="43"/>
  <c r="I40" i="43" s="1"/>
  <c r="F39" i="43"/>
  <c r="I39" i="43" s="1"/>
  <c r="F38" i="43"/>
  <c r="I38" i="43" s="1"/>
  <c r="F37" i="43"/>
  <c r="I37" i="43" s="1"/>
  <c r="F36" i="43"/>
  <c r="I36" i="43" s="1"/>
  <c r="F35" i="43"/>
  <c r="I35" i="43" s="1"/>
  <c r="F34" i="43"/>
  <c r="I34" i="43" s="1"/>
  <c r="F33" i="43"/>
  <c r="I33" i="43" s="1"/>
  <c r="F32" i="43"/>
  <c r="I32" i="43" s="1"/>
  <c r="F31" i="43"/>
  <c r="I31" i="43" s="1"/>
  <c r="F30" i="43"/>
  <c r="I30" i="43" s="1"/>
  <c r="F65" i="175"/>
  <c r="I65" i="175" s="1"/>
  <c r="F64" i="175"/>
  <c r="I64" i="175" s="1"/>
  <c r="F63" i="175"/>
  <c r="I63" i="175" s="1"/>
  <c r="F62" i="175"/>
  <c r="I62" i="175" s="1"/>
  <c r="F61" i="175"/>
  <c r="I61" i="175" s="1"/>
  <c r="F60" i="175"/>
  <c r="I60" i="175" s="1"/>
  <c r="F59" i="175"/>
  <c r="I59" i="175" s="1"/>
  <c r="F58" i="175"/>
  <c r="I58" i="175" s="1"/>
  <c r="F57" i="175"/>
  <c r="I57" i="175" s="1"/>
  <c r="F56" i="175"/>
  <c r="I56" i="175" s="1"/>
  <c r="F55" i="175"/>
  <c r="I55" i="175" s="1"/>
  <c r="F54" i="175"/>
  <c r="I54" i="175" s="1"/>
  <c r="F53" i="175"/>
  <c r="I53" i="175" s="1"/>
  <c r="F52" i="175"/>
  <c r="I52" i="175" s="1"/>
  <c r="F51" i="175"/>
  <c r="I51" i="175" s="1"/>
  <c r="F50" i="175"/>
  <c r="I50" i="175" s="1"/>
  <c r="F49" i="175"/>
  <c r="I49" i="175" s="1"/>
  <c r="F48" i="175"/>
  <c r="I48" i="175" s="1"/>
  <c r="F47" i="175"/>
  <c r="I47" i="175" s="1"/>
  <c r="F46" i="175"/>
  <c r="I46" i="175" s="1"/>
  <c r="F45" i="175"/>
  <c r="I45" i="175" s="1"/>
  <c r="F44" i="175"/>
  <c r="I44" i="175" s="1"/>
  <c r="F43" i="175"/>
  <c r="I43" i="175" s="1"/>
  <c r="F42" i="175"/>
  <c r="I42" i="175" s="1"/>
  <c r="F41" i="175"/>
  <c r="I41" i="175" s="1"/>
  <c r="F40" i="175"/>
  <c r="I40" i="175" s="1"/>
  <c r="F39" i="175"/>
  <c r="I39" i="175" s="1"/>
  <c r="F38" i="175"/>
  <c r="I38" i="175" s="1"/>
  <c r="F37" i="175"/>
  <c r="I37" i="175" s="1"/>
  <c r="F36" i="175"/>
  <c r="I36" i="175" s="1"/>
  <c r="F35" i="175"/>
  <c r="I35" i="175" s="1"/>
  <c r="F34" i="175"/>
  <c r="I34" i="175" s="1"/>
  <c r="F33" i="175"/>
  <c r="I33" i="175" s="1"/>
  <c r="F32" i="175"/>
  <c r="I32" i="175" s="1"/>
  <c r="F31" i="175"/>
  <c r="I31" i="175" s="1"/>
  <c r="F30" i="175"/>
  <c r="I30" i="175" s="1"/>
  <c r="F65" i="57"/>
  <c r="I65" i="57" s="1"/>
  <c r="F64" i="57"/>
  <c r="I64" i="57" s="1"/>
  <c r="F63" i="57"/>
  <c r="I63" i="57" s="1"/>
  <c r="F62" i="57"/>
  <c r="I62" i="57" s="1"/>
  <c r="F61" i="57"/>
  <c r="I61" i="57" s="1"/>
  <c r="F60" i="57"/>
  <c r="I60" i="57" s="1"/>
  <c r="F59" i="57"/>
  <c r="I59" i="57" s="1"/>
  <c r="F58" i="57"/>
  <c r="I58" i="57" s="1"/>
  <c r="F57" i="57"/>
  <c r="I57" i="57" s="1"/>
  <c r="F56" i="57"/>
  <c r="I56" i="57" s="1"/>
  <c r="F55" i="57"/>
  <c r="I55" i="57" s="1"/>
  <c r="F54" i="57"/>
  <c r="I54" i="57" s="1"/>
  <c r="F53" i="57"/>
  <c r="I53" i="57" s="1"/>
  <c r="F52" i="57"/>
  <c r="I52" i="57" s="1"/>
  <c r="F51" i="57"/>
  <c r="I51" i="57" s="1"/>
  <c r="F50" i="57"/>
  <c r="I50" i="57" s="1"/>
  <c r="F49" i="57"/>
  <c r="I49" i="57" s="1"/>
  <c r="F48" i="57"/>
  <c r="I48" i="57" s="1"/>
  <c r="F47" i="57"/>
  <c r="I47" i="57" s="1"/>
  <c r="F46" i="57"/>
  <c r="I46" i="57" s="1"/>
  <c r="F45" i="57"/>
  <c r="I45" i="57" s="1"/>
  <c r="F44" i="57"/>
  <c r="I44" i="57" s="1"/>
  <c r="F43" i="57"/>
  <c r="I43" i="57" s="1"/>
  <c r="F42" i="57"/>
  <c r="I42" i="57" s="1"/>
  <c r="F41" i="57"/>
  <c r="I41" i="57" s="1"/>
  <c r="F40" i="57"/>
  <c r="I40" i="57" s="1"/>
  <c r="F39" i="57"/>
  <c r="I39" i="57" s="1"/>
  <c r="F38" i="57"/>
  <c r="I38" i="57" s="1"/>
  <c r="F37" i="57"/>
  <c r="I37" i="57" s="1"/>
  <c r="F36" i="57"/>
  <c r="I36" i="57" s="1"/>
  <c r="F35" i="57"/>
  <c r="I35" i="57" s="1"/>
  <c r="F34" i="57"/>
  <c r="I34" i="57" s="1"/>
  <c r="F33" i="57"/>
  <c r="I33" i="57" s="1"/>
  <c r="F32" i="57"/>
  <c r="I32" i="57" s="1"/>
  <c r="F31" i="57"/>
  <c r="I31" i="57" s="1"/>
  <c r="F30" i="57"/>
  <c r="I30" i="57" s="1"/>
  <c r="F65" i="84"/>
  <c r="I65" i="84" s="1"/>
  <c r="F64" i="84"/>
  <c r="I64" i="84" s="1"/>
  <c r="F63" i="84"/>
  <c r="I63" i="84" s="1"/>
  <c r="F62" i="84"/>
  <c r="I62" i="84" s="1"/>
  <c r="F61" i="84"/>
  <c r="I61" i="84" s="1"/>
  <c r="F60" i="84"/>
  <c r="I60" i="84" s="1"/>
  <c r="F59" i="84"/>
  <c r="I59" i="84" s="1"/>
  <c r="F58" i="84"/>
  <c r="I58" i="84" s="1"/>
  <c r="F57" i="84"/>
  <c r="I57" i="84" s="1"/>
  <c r="F56" i="84"/>
  <c r="I56" i="84" s="1"/>
  <c r="F55" i="84"/>
  <c r="I55" i="84" s="1"/>
  <c r="F54" i="84"/>
  <c r="I54" i="84" s="1"/>
  <c r="F53" i="84"/>
  <c r="I53" i="84" s="1"/>
  <c r="F52" i="84"/>
  <c r="I52" i="84" s="1"/>
  <c r="F51" i="84"/>
  <c r="I51" i="84" s="1"/>
  <c r="F50" i="84"/>
  <c r="I50" i="84" s="1"/>
  <c r="F49" i="84"/>
  <c r="I49" i="84" s="1"/>
  <c r="F48" i="84"/>
  <c r="I48" i="84" s="1"/>
  <c r="F47" i="84"/>
  <c r="I47" i="84" s="1"/>
  <c r="F46" i="84"/>
  <c r="I46" i="84" s="1"/>
  <c r="F45" i="84"/>
  <c r="I45" i="84" s="1"/>
  <c r="F44" i="84"/>
  <c r="I44" i="84" s="1"/>
  <c r="F43" i="84"/>
  <c r="I43" i="84" s="1"/>
  <c r="F42" i="84"/>
  <c r="I42" i="84" s="1"/>
  <c r="F41" i="84"/>
  <c r="I41" i="84" s="1"/>
  <c r="F40" i="84"/>
  <c r="I40" i="84" s="1"/>
  <c r="F39" i="84"/>
  <c r="I39" i="84" s="1"/>
  <c r="F38" i="84"/>
  <c r="I38" i="84" s="1"/>
  <c r="F37" i="84"/>
  <c r="I37" i="84" s="1"/>
  <c r="F36" i="84"/>
  <c r="I36" i="84" s="1"/>
  <c r="F35" i="84"/>
  <c r="I35" i="84" s="1"/>
  <c r="F34" i="84"/>
  <c r="I34" i="84" s="1"/>
  <c r="F33" i="84"/>
  <c r="I33" i="84" s="1"/>
  <c r="F32" i="84"/>
  <c r="I32" i="84" s="1"/>
  <c r="F31" i="84"/>
  <c r="I31" i="84" s="1"/>
  <c r="F30" i="84"/>
  <c r="I30" i="84" s="1"/>
  <c r="F65" i="167"/>
  <c r="I65" i="167" s="1"/>
  <c r="F64" i="167"/>
  <c r="I64" i="167" s="1"/>
  <c r="F63" i="167"/>
  <c r="I63" i="167" s="1"/>
  <c r="F62" i="167"/>
  <c r="I62" i="167" s="1"/>
  <c r="F61" i="167"/>
  <c r="I61" i="167" s="1"/>
  <c r="F60" i="167"/>
  <c r="I60" i="167" s="1"/>
  <c r="F59" i="167"/>
  <c r="I59" i="167" s="1"/>
  <c r="F58" i="167"/>
  <c r="I58" i="167" s="1"/>
  <c r="F57" i="167"/>
  <c r="I57" i="167" s="1"/>
  <c r="F56" i="167"/>
  <c r="I56" i="167" s="1"/>
  <c r="F55" i="167"/>
  <c r="I55" i="167" s="1"/>
  <c r="F54" i="167"/>
  <c r="I54" i="167" s="1"/>
  <c r="F53" i="167"/>
  <c r="I53" i="167" s="1"/>
  <c r="F52" i="167"/>
  <c r="I52" i="167" s="1"/>
  <c r="F51" i="167"/>
  <c r="I51" i="167" s="1"/>
  <c r="F50" i="167"/>
  <c r="I50" i="167" s="1"/>
  <c r="F49" i="167"/>
  <c r="I49" i="167" s="1"/>
  <c r="F48" i="167"/>
  <c r="I48" i="167" s="1"/>
  <c r="F47" i="167"/>
  <c r="I47" i="167" s="1"/>
  <c r="F46" i="167"/>
  <c r="I46" i="167" s="1"/>
  <c r="F45" i="167"/>
  <c r="I45" i="167" s="1"/>
  <c r="F44" i="167"/>
  <c r="I44" i="167" s="1"/>
  <c r="F43" i="167"/>
  <c r="I43" i="167" s="1"/>
  <c r="F42" i="167"/>
  <c r="I42" i="167" s="1"/>
  <c r="F41" i="167"/>
  <c r="I41" i="167" s="1"/>
  <c r="F40" i="167"/>
  <c r="I40" i="167" s="1"/>
  <c r="F39" i="167"/>
  <c r="I39" i="167" s="1"/>
  <c r="F38" i="167"/>
  <c r="I38" i="167" s="1"/>
  <c r="F37" i="167"/>
  <c r="I37" i="167" s="1"/>
  <c r="F36" i="167"/>
  <c r="I36" i="167" s="1"/>
  <c r="F35" i="167"/>
  <c r="I35" i="167" s="1"/>
  <c r="F34" i="167"/>
  <c r="I34" i="167" s="1"/>
  <c r="F33" i="167"/>
  <c r="I33" i="167" s="1"/>
  <c r="F32" i="167"/>
  <c r="I32" i="167" s="1"/>
  <c r="F31" i="167"/>
  <c r="I31" i="167" s="1"/>
  <c r="F30" i="167"/>
  <c r="I30" i="167" s="1"/>
  <c r="F65" i="39"/>
  <c r="I65" i="39" s="1"/>
  <c r="F64" i="39"/>
  <c r="I64" i="39" s="1"/>
  <c r="F63" i="39"/>
  <c r="I63" i="39" s="1"/>
  <c r="F62" i="39"/>
  <c r="I62" i="39" s="1"/>
  <c r="F61" i="39"/>
  <c r="I61" i="39" s="1"/>
  <c r="F60" i="39"/>
  <c r="I60" i="39" s="1"/>
  <c r="F59" i="39"/>
  <c r="I59" i="39" s="1"/>
  <c r="F58" i="39"/>
  <c r="I58" i="39" s="1"/>
  <c r="F57" i="39"/>
  <c r="I57" i="39" s="1"/>
  <c r="F56" i="39"/>
  <c r="I56" i="39" s="1"/>
  <c r="F55" i="39"/>
  <c r="I55" i="39" s="1"/>
  <c r="F54" i="39"/>
  <c r="I54" i="39" s="1"/>
  <c r="F53" i="39"/>
  <c r="I53" i="39" s="1"/>
  <c r="F52" i="39"/>
  <c r="I52" i="39" s="1"/>
  <c r="F51" i="39"/>
  <c r="I51" i="39" s="1"/>
  <c r="F50" i="39"/>
  <c r="I50" i="39" s="1"/>
  <c r="F49" i="39"/>
  <c r="I49" i="39" s="1"/>
  <c r="F48" i="39"/>
  <c r="I48" i="39" s="1"/>
  <c r="F47" i="39"/>
  <c r="I47" i="39" s="1"/>
  <c r="F46" i="39"/>
  <c r="I46" i="39" s="1"/>
  <c r="F45" i="39"/>
  <c r="I45" i="39" s="1"/>
  <c r="F44" i="39"/>
  <c r="I44" i="39" s="1"/>
  <c r="F43" i="39"/>
  <c r="I43" i="39" s="1"/>
  <c r="F42" i="39"/>
  <c r="I42" i="39" s="1"/>
  <c r="F41" i="39"/>
  <c r="I41" i="39" s="1"/>
  <c r="F40" i="39"/>
  <c r="I40" i="39" s="1"/>
  <c r="F39" i="39"/>
  <c r="I39" i="39" s="1"/>
  <c r="F38" i="39"/>
  <c r="I38" i="39" s="1"/>
  <c r="F37" i="39"/>
  <c r="I37" i="39" s="1"/>
  <c r="F36" i="39"/>
  <c r="I36" i="39" s="1"/>
  <c r="F35" i="39"/>
  <c r="I35" i="39" s="1"/>
  <c r="F34" i="39"/>
  <c r="I34" i="39" s="1"/>
  <c r="F33" i="39"/>
  <c r="I33" i="39" s="1"/>
  <c r="F32" i="39"/>
  <c r="I32" i="39" s="1"/>
  <c r="F31" i="39"/>
  <c r="I31" i="39" s="1"/>
  <c r="F30" i="39"/>
  <c r="I30" i="39" s="1"/>
  <c r="F65" i="135"/>
  <c r="I65" i="135" s="1"/>
  <c r="F64" i="135"/>
  <c r="I64" i="135" s="1"/>
  <c r="F63" i="135"/>
  <c r="I63" i="135" s="1"/>
  <c r="F62" i="135"/>
  <c r="I62" i="135" s="1"/>
  <c r="F61" i="135"/>
  <c r="I61" i="135" s="1"/>
  <c r="F60" i="135"/>
  <c r="I60" i="135" s="1"/>
  <c r="F59" i="135"/>
  <c r="I59" i="135" s="1"/>
  <c r="F58" i="135"/>
  <c r="I58" i="135" s="1"/>
  <c r="F57" i="135"/>
  <c r="I57" i="135" s="1"/>
  <c r="F56" i="135"/>
  <c r="I56" i="135" s="1"/>
  <c r="F55" i="135"/>
  <c r="I55" i="135" s="1"/>
  <c r="F54" i="135"/>
  <c r="I54" i="135" s="1"/>
  <c r="F53" i="135"/>
  <c r="I53" i="135" s="1"/>
  <c r="F52" i="135"/>
  <c r="I52" i="135" s="1"/>
  <c r="F51" i="135"/>
  <c r="I51" i="135" s="1"/>
  <c r="F50" i="135"/>
  <c r="I50" i="135" s="1"/>
  <c r="F49" i="135"/>
  <c r="I49" i="135" s="1"/>
  <c r="F48" i="135"/>
  <c r="I48" i="135" s="1"/>
  <c r="F47" i="135"/>
  <c r="I47" i="135" s="1"/>
  <c r="F46" i="135"/>
  <c r="I46" i="135" s="1"/>
  <c r="F45" i="135"/>
  <c r="I45" i="135" s="1"/>
  <c r="F44" i="135"/>
  <c r="I44" i="135" s="1"/>
  <c r="F43" i="135"/>
  <c r="I43" i="135" s="1"/>
  <c r="F42" i="135"/>
  <c r="I42" i="135" s="1"/>
  <c r="F41" i="135"/>
  <c r="I41" i="135" s="1"/>
  <c r="F40" i="135"/>
  <c r="I40" i="135" s="1"/>
  <c r="F39" i="135"/>
  <c r="I39" i="135" s="1"/>
  <c r="F38" i="135"/>
  <c r="I38" i="135" s="1"/>
  <c r="F37" i="135"/>
  <c r="I37" i="135" s="1"/>
  <c r="F36" i="135"/>
  <c r="I36" i="135" s="1"/>
  <c r="F35" i="135"/>
  <c r="I35" i="135" s="1"/>
  <c r="F34" i="135"/>
  <c r="I34" i="135" s="1"/>
  <c r="F33" i="135"/>
  <c r="I33" i="135" s="1"/>
  <c r="F32" i="135"/>
  <c r="I32" i="135" s="1"/>
  <c r="F31" i="135"/>
  <c r="I31" i="135" s="1"/>
  <c r="F30" i="135"/>
  <c r="I30" i="135" s="1"/>
  <c r="F65" i="38"/>
  <c r="I65" i="38" s="1"/>
  <c r="F64" i="38"/>
  <c r="I64" i="38" s="1"/>
  <c r="F63" i="38"/>
  <c r="I63" i="38" s="1"/>
  <c r="F62" i="38"/>
  <c r="I62" i="38" s="1"/>
  <c r="F61" i="38"/>
  <c r="I61" i="38" s="1"/>
  <c r="F60" i="38"/>
  <c r="I60" i="38" s="1"/>
  <c r="F59" i="38"/>
  <c r="I59" i="38" s="1"/>
  <c r="F58" i="38"/>
  <c r="I58" i="38" s="1"/>
  <c r="F57" i="38"/>
  <c r="I57" i="38" s="1"/>
  <c r="F56" i="38"/>
  <c r="I56" i="38" s="1"/>
  <c r="F55" i="38"/>
  <c r="I55" i="38" s="1"/>
  <c r="F54" i="38"/>
  <c r="I54" i="38" s="1"/>
  <c r="F53" i="38"/>
  <c r="I53" i="38" s="1"/>
  <c r="F52" i="38"/>
  <c r="I52" i="38" s="1"/>
  <c r="F51" i="38"/>
  <c r="I51" i="38" s="1"/>
  <c r="F50" i="38"/>
  <c r="I50" i="38" s="1"/>
  <c r="F49" i="38"/>
  <c r="I49" i="38" s="1"/>
  <c r="F48" i="38"/>
  <c r="I48" i="38" s="1"/>
  <c r="F47" i="38"/>
  <c r="I47" i="38" s="1"/>
  <c r="F46" i="38"/>
  <c r="I46" i="38" s="1"/>
  <c r="F45" i="38"/>
  <c r="I45" i="38" s="1"/>
  <c r="F44" i="38"/>
  <c r="I44" i="38" s="1"/>
  <c r="F43" i="38"/>
  <c r="I43" i="38" s="1"/>
  <c r="F42" i="38"/>
  <c r="I42" i="38" s="1"/>
  <c r="F41" i="38"/>
  <c r="I41" i="38" s="1"/>
  <c r="F40" i="38"/>
  <c r="I40" i="38" s="1"/>
  <c r="F39" i="38"/>
  <c r="I39" i="38" s="1"/>
  <c r="F38" i="38"/>
  <c r="I38" i="38" s="1"/>
  <c r="F37" i="38"/>
  <c r="I37" i="38" s="1"/>
  <c r="F36" i="38"/>
  <c r="I36" i="38" s="1"/>
  <c r="F35" i="38"/>
  <c r="I35" i="38" s="1"/>
  <c r="F34" i="38"/>
  <c r="I34" i="38" s="1"/>
  <c r="F33" i="38"/>
  <c r="I33" i="38" s="1"/>
  <c r="F32" i="38"/>
  <c r="I32" i="38" s="1"/>
  <c r="F31" i="38"/>
  <c r="I31" i="38" s="1"/>
  <c r="F30" i="38"/>
  <c r="I30" i="38" s="1"/>
  <c r="F65" i="103"/>
  <c r="I65" i="103" s="1"/>
  <c r="F64" i="103"/>
  <c r="I64" i="103" s="1"/>
  <c r="F63" i="103"/>
  <c r="I63" i="103" s="1"/>
  <c r="F62" i="103"/>
  <c r="I62" i="103" s="1"/>
  <c r="F61" i="103"/>
  <c r="I61" i="103" s="1"/>
  <c r="F60" i="103"/>
  <c r="I60" i="103" s="1"/>
  <c r="F59" i="103"/>
  <c r="I59" i="103" s="1"/>
  <c r="F58" i="103"/>
  <c r="I58" i="103" s="1"/>
  <c r="F57" i="103"/>
  <c r="I57" i="103" s="1"/>
  <c r="F56" i="103"/>
  <c r="I56" i="103" s="1"/>
  <c r="F55" i="103"/>
  <c r="I55" i="103" s="1"/>
  <c r="F54" i="103"/>
  <c r="I54" i="103" s="1"/>
  <c r="F53" i="103"/>
  <c r="I53" i="103" s="1"/>
  <c r="F52" i="103"/>
  <c r="I52" i="103" s="1"/>
  <c r="F51" i="103"/>
  <c r="I51" i="103" s="1"/>
  <c r="F50" i="103"/>
  <c r="I50" i="103" s="1"/>
  <c r="F49" i="103"/>
  <c r="I49" i="103" s="1"/>
  <c r="F48" i="103"/>
  <c r="I48" i="103" s="1"/>
  <c r="F47" i="103"/>
  <c r="I47" i="103" s="1"/>
  <c r="F46" i="103"/>
  <c r="I46" i="103" s="1"/>
  <c r="F45" i="103"/>
  <c r="I45" i="103" s="1"/>
  <c r="F44" i="103"/>
  <c r="I44" i="103" s="1"/>
  <c r="F43" i="103"/>
  <c r="I43" i="103" s="1"/>
  <c r="F42" i="103"/>
  <c r="I42" i="103" s="1"/>
  <c r="F41" i="103"/>
  <c r="I41" i="103" s="1"/>
  <c r="F40" i="103"/>
  <c r="I40" i="103" s="1"/>
  <c r="F39" i="103"/>
  <c r="I39" i="103" s="1"/>
  <c r="F38" i="103"/>
  <c r="I38" i="103" s="1"/>
  <c r="F37" i="103"/>
  <c r="I37" i="103" s="1"/>
  <c r="F36" i="103"/>
  <c r="I36" i="103" s="1"/>
  <c r="F35" i="103"/>
  <c r="I35" i="103" s="1"/>
  <c r="F34" i="103"/>
  <c r="I34" i="103" s="1"/>
  <c r="F33" i="103"/>
  <c r="I33" i="103" s="1"/>
  <c r="F32" i="103"/>
  <c r="I32" i="103" s="1"/>
  <c r="F31" i="103"/>
  <c r="I31" i="103" s="1"/>
  <c r="F30" i="103"/>
  <c r="I30" i="103" s="1"/>
  <c r="F65" i="133"/>
  <c r="I65" i="133" s="1"/>
  <c r="F64" i="133"/>
  <c r="I64" i="133" s="1"/>
  <c r="F63" i="133"/>
  <c r="I63" i="133" s="1"/>
  <c r="F62" i="133"/>
  <c r="I62" i="133" s="1"/>
  <c r="F61" i="133"/>
  <c r="I61" i="133" s="1"/>
  <c r="F60" i="133"/>
  <c r="I60" i="133" s="1"/>
  <c r="F59" i="133"/>
  <c r="I59" i="133" s="1"/>
  <c r="F58" i="133"/>
  <c r="I58" i="133" s="1"/>
  <c r="F57" i="133"/>
  <c r="I57" i="133" s="1"/>
  <c r="F56" i="133"/>
  <c r="I56" i="133" s="1"/>
  <c r="F55" i="133"/>
  <c r="I55" i="133" s="1"/>
  <c r="F54" i="133"/>
  <c r="I54" i="133" s="1"/>
  <c r="F53" i="133"/>
  <c r="I53" i="133" s="1"/>
  <c r="F52" i="133"/>
  <c r="I52" i="133" s="1"/>
  <c r="F51" i="133"/>
  <c r="I51" i="133" s="1"/>
  <c r="F50" i="133"/>
  <c r="I50" i="133" s="1"/>
  <c r="F49" i="133"/>
  <c r="I49" i="133" s="1"/>
  <c r="F48" i="133"/>
  <c r="I48" i="133" s="1"/>
  <c r="F47" i="133"/>
  <c r="I47" i="133" s="1"/>
  <c r="F46" i="133"/>
  <c r="I46" i="133" s="1"/>
  <c r="F45" i="133"/>
  <c r="I45" i="133" s="1"/>
  <c r="F44" i="133"/>
  <c r="I44" i="133" s="1"/>
  <c r="F43" i="133"/>
  <c r="I43" i="133" s="1"/>
  <c r="F42" i="133"/>
  <c r="I42" i="133" s="1"/>
  <c r="F41" i="133"/>
  <c r="I41" i="133" s="1"/>
  <c r="F40" i="133"/>
  <c r="I40" i="133" s="1"/>
  <c r="F39" i="133"/>
  <c r="I39" i="133" s="1"/>
  <c r="F38" i="133"/>
  <c r="I38" i="133" s="1"/>
  <c r="F37" i="133"/>
  <c r="I37" i="133" s="1"/>
  <c r="F36" i="133"/>
  <c r="I36" i="133" s="1"/>
  <c r="F35" i="133"/>
  <c r="I35" i="133" s="1"/>
  <c r="F34" i="133"/>
  <c r="I34" i="133" s="1"/>
  <c r="F33" i="133"/>
  <c r="I33" i="133" s="1"/>
  <c r="F32" i="133"/>
  <c r="I32" i="133" s="1"/>
  <c r="F31" i="133"/>
  <c r="I31" i="133" s="1"/>
  <c r="F30" i="133"/>
  <c r="I30" i="133" s="1"/>
  <c r="F65" i="152"/>
  <c r="I65" i="152" s="1"/>
  <c r="F64" i="152"/>
  <c r="I64" i="152" s="1"/>
  <c r="F63" i="152"/>
  <c r="I63" i="152" s="1"/>
  <c r="F62" i="152"/>
  <c r="I62" i="152" s="1"/>
  <c r="F61" i="152"/>
  <c r="I61" i="152" s="1"/>
  <c r="F60" i="152"/>
  <c r="I60" i="152" s="1"/>
  <c r="F59" i="152"/>
  <c r="I59" i="152" s="1"/>
  <c r="F58" i="152"/>
  <c r="I58" i="152" s="1"/>
  <c r="F57" i="152"/>
  <c r="I57" i="152" s="1"/>
  <c r="F56" i="152"/>
  <c r="I56" i="152" s="1"/>
  <c r="F55" i="152"/>
  <c r="I55" i="152" s="1"/>
  <c r="F54" i="152"/>
  <c r="I54" i="152" s="1"/>
  <c r="F53" i="152"/>
  <c r="I53" i="152" s="1"/>
  <c r="F52" i="152"/>
  <c r="I52" i="152" s="1"/>
  <c r="F51" i="152"/>
  <c r="I51" i="152" s="1"/>
  <c r="F50" i="152"/>
  <c r="I50" i="152" s="1"/>
  <c r="F49" i="152"/>
  <c r="I49" i="152" s="1"/>
  <c r="F48" i="152"/>
  <c r="I48" i="152" s="1"/>
  <c r="F47" i="152"/>
  <c r="I47" i="152" s="1"/>
  <c r="F46" i="152"/>
  <c r="I46" i="152" s="1"/>
  <c r="F45" i="152"/>
  <c r="I45" i="152" s="1"/>
  <c r="F44" i="152"/>
  <c r="I44" i="152" s="1"/>
  <c r="F43" i="152"/>
  <c r="I43" i="152" s="1"/>
  <c r="F42" i="152"/>
  <c r="I42" i="152" s="1"/>
  <c r="F41" i="152"/>
  <c r="I41" i="152" s="1"/>
  <c r="F40" i="152"/>
  <c r="I40" i="152" s="1"/>
  <c r="F39" i="152"/>
  <c r="I39" i="152" s="1"/>
  <c r="F38" i="152"/>
  <c r="I38" i="152" s="1"/>
  <c r="F37" i="152"/>
  <c r="I37" i="152" s="1"/>
  <c r="F36" i="152"/>
  <c r="I36" i="152" s="1"/>
  <c r="F35" i="152"/>
  <c r="I35" i="152" s="1"/>
  <c r="F34" i="152"/>
  <c r="I34" i="152" s="1"/>
  <c r="F33" i="152"/>
  <c r="I33" i="152" s="1"/>
  <c r="F32" i="152"/>
  <c r="I32" i="152" s="1"/>
  <c r="F31" i="152"/>
  <c r="I31" i="152" s="1"/>
  <c r="F30" i="152"/>
  <c r="I30" i="152" s="1"/>
  <c r="F65" i="47"/>
  <c r="I65" i="47" s="1"/>
  <c r="F64" i="47"/>
  <c r="I64" i="47" s="1"/>
  <c r="F63" i="47"/>
  <c r="I63" i="47" s="1"/>
  <c r="F62" i="47"/>
  <c r="I62" i="47" s="1"/>
  <c r="F61" i="47"/>
  <c r="I61" i="47" s="1"/>
  <c r="F60" i="47"/>
  <c r="I60" i="47" s="1"/>
  <c r="F59" i="47"/>
  <c r="I59" i="47" s="1"/>
  <c r="F58" i="47"/>
  <c r="I58" i="47" s="1"/>
  <c r="F57" i="47"/>
  <c r="I57" i="47" s="1"/>
  <c r="F56" i="47"/>
  <c r="I56" i="47" s="1"/>
  <c r="F55" i="47"/>
  <c r="I55" i="47" s="1"/>
  <c r="F54" i="47"/>
  <c r="I54" i="47" s="1"/>
  <c r="F53" i="47"/>
  <c r="I53" i="47" s="1"/>
  <c r="F52" i="47"/>
  <c r="I52" i="47" s="1"/>
  <c r="F51" i="47"/>
  <c r="I51" i="47" s="1"/>
  <c r="F50" i="47"/>
  <c r="I50" i="47" s="1"/>
  <c r="F49" i="47"/>
  <c r="I49" i="47" s="1"/>
  <c r="F48" i="47"/>
  <c r="I48" i="47" s="1"/>
  <c r="F47" i="47"/>
  <c r="I47" i="47" s="1"/>
  <c r="F46" i="47"/>
  <c r="I46" i="47" s="1"/>
  <c r="F45" i="47"/>
  <c r="I45" i="47" s="1"/>
  <c r="F44" i="47"/>
  <c r="I44" i="47" s="1"/>
  <c r="F43" i="47"/>
  <c r="I43" i="47" s="1"/>
  <c r="F42" i="47"/>
  <c r="I42" i="47" s="1"/>
  <c r="F41" i="47"/>
  <c r="I41" i="47" s="1"/>
  <c r="F40" i="47"/>
  <c r="I40" i="47" s="1"/>
  <c r="F39" i="47"/>
  <c r="I39" i="47" s="1"/>
  <c r="F38" i="47"/>
  <c r="I38" i="47" s="1"/>
  <c r="F37" i="47"/>
  <c r="I37" i="47" s="1"/>
  <c r="F36" i="47"/>
  <c r="I36" i="47" s="1"/>
  <c r="F35" i="47"/>
  <c r="I35" i="47" s="1"/>
  <c r="F34" i="47"/>
  <c r="I34" i="47" s="1"/>
  <c r="F33" i="47"/>
  <c r="I33" i="47" s="1"/>
  <c r="F32" i="47"/>
  <c r="I32" i="47" s="1"/>
  <c r="F31" i="47"/>
  <c r="I31" i="47" s="1"/>
  <c r="F30" i="47"/>
  <c r="I30" i="47" s="1"/>
  <c r="F65" i="120"/>
  <c r="I65" i="120" s="1"/>
  <c r="F64" i="120"/>
  <c r="I64" i="120" s="1"/>
  <c r="F63" i="120"/>
  <c r="I63" i="120" s="1"/>
  <c r="F62" i="120"/>
  <c r="I62" i="120" s="1"/>
  <c r="F61" i="120"/>
  <c r="I61" i="120" s="1"/>
  <c r="F60" i="120"/>
  <c r="I60" i="120" s="1"/>
  <c r="F59" i="120"/>
  <c r="I59" i="120" s="1"/>
  <c r="F58" i="120"/>
  <c r="I58" i="120" s="1"/>
  <c r="F57" i="120"/>
  <c r="I57" i="120" s="1"/>
  <c r="F56" i="120"/>
  <c r="I56" i="120" s="1"/>
  <c r="F55" i="120"/>
  <c r="I55" i="120" s="1"/>
  <c r="F54" i="120"/>
  <c r="I54" i="120" s="1"/>
  <c r="F53" i="120"/>
  <c r="I53" i="120" s="1"/>
  <c r="F52" i="120"/>
  <c r="I52" i="120" s="1"/>
  <c r="F51" i="120"/>
  <c r="I51" i="120" s="1"/>
  <c r="F50" i="120"/>
  <c r="I50" i="120" s="1"/>
  <c r="F49" i="120"/>
  <c r="I49" i="120" s="1"/>
  <c r="F48" i="120"/>
  <c r="I48" i="120" s="1"/>
  <c r="F47" i="120"/>
  <c r="I47" i="120" s="1"/>
  <c r="F46" i="120"/>
  <c r="I46" i="120" s="1"/>
  <c r="F45" i="120"/>
  <c r="I45" i="120" s="1"/>
  <c r="F44" i="120"/>
  <c r="I44" i="120" s="1"/>
  <c r="F43" i="120"/>
  <c r="I43" i="120" s="1"/>
  <c r="F42" i="120"/>
  <c r="I42" i="120" s="1"/>
  <c r="F41" i="120"/>
  <c r="I41" i="120" s="1"/>
  <c r="F40" i="120"/>
  <c r="I40" i="120" s="1"/>
  <c r="F39" i="120"/>
  <c r="I39" i="120" s="1"/>
  <c r="F38" i="120"/>
  <c r="I38" i="120" s="1"/>
  <c r="F37" i="120"/>
  <c r="I37" i="120" s="1"/>
  <c r="F36" i="120"/>
  <c r="I36" i="120" s="1"/>
  <c r="F35" i="120"/>
  <c r="I35" i="120" s="1"/>
  <c r="F34" i="120"/>
  <c r="I34" i="120" s="1"/>
  <c r="F33" i="120"/>
  <c r="I33" i="120" s="1"/>
  <c r="F32" i="120"/>
  <c r="I32" i="120" s="1"/>
  <c r="F31" i="120"/>
  <c r="I31" i="120" s="1"/>
  <c r="F30" i="120"/>
  <c r="I30" i="120" s="1"/>
  <c r="F65" i="37"/>
  <c r="I65" i="37" s="1"/>
  <c r="F64" i="37"/>
  <c r="I64" i="37" s="1"/>
  <c r="F63" i="37"/>
  <c r="I63" i="37" s="1"/>
  <c r="F62" i="37"/>
  <c r="I62" i="37" s="1"/>
  <c r="F61" i="37"/>
  <c r="I61" i="37" s="1"/>
  <c r="F60" i="37"/>
  <c r="I60" i="37" s="1"/>
  <c r="F59" i="37"/>
  <c r="I59" i="37" s="1"/>
  <c r="F58" i="37"/>
  <c r="I58" i="37" s="1"/>
  <c r="F57" i="37"/>
  <c r="I57" i="37" s="1"/>
  <c r="F56" i="37"/>
  <c r="I56" i="37" s="1"/>
  <c r="F55" i="37"/>
  <c r="I55" i="37" s="1"/>
  <c r="F54" i="37"/>
  <c r="I54" i="37" s="1"/>
  <c r="F53" i="37"/>
  <c r="I53" i="37" s="1"/>
  <c r="F52" i="37"/>
  <c r="I52" i="37" s="1"/>
  <c r="F51" i="37"/>
  <c r="I51" i="37" s="1"/>
  <c r="F50" i="37"/>
  <c r="I50" i="37" s="1"/>
  <c r="F49" i="37"/>
  <c r="I49" i="37" s="1"/>
  <c r="F48" i="37"/>
  <c r="I48" i="37" s="1"/>
  <c r="F47" i="37"/>
  <c r="I47" i="37" s="1"/>
  <c r="F46" i="37"/>
  <c r="I46" i="37" s="1"/>
  <c r="F45" i="37"/>
  <c r="I45" i="37" s="1"/>
  <c r="F44" i="37"/>
  <c r="I44" i="37" s="1"/>
  <c r="F43" i="37"/>
  <c r="I43" i="37" s="1"/>
  <c r="F42" i="37"/>
  <c r="I42" i="37" s="1"/>
  <c r="F41" i="37"/>
  <c r="I41" i="37" s="1"/>
  <c r="F40" i="37"/>
  <c r="I40" i="37" s="1"/>
  <c r="F39" i="37"/>
  <c r="I39" i="37" s="1"/>
  <c r="F38" i="37"/>
  <c r="I38" i="37" s="1"/>
  <c r="F37" i="37"/>
  <c r="I37" i="37" s="1"/>
  <c r="F36" i="37"/>
  <c r="I36" i="37" s="1"/>
  <c r="F35" i="37"/>
  <c r="I35" i="37" s="1"/>
  <c r="F34" i="37"/>
  <c r="I34" i="37" s="1"/>
  <c r="F33" i="37"/>
  <c r="I33" i="37" s="1"/>
  <c r="F32" i="37"/>
  <c r="I32" i="37" s="1"/>
  <c r="F31" i="37"/>
  <c r="I31" i="37" s="1"/>
  <c r="F30" i="37"/>
  <c r="I30" i="37" s="1"/>
  <c r="F65" i="90"/>
  <c r="I65" i="90" s="1"/>
  <c r="F64" i="90"/>
  <c r="I64" i="90" s="1"/>
  <c r="F63" i="90"/>
  <c r="I63" i="90" s="1"/>
  <c r="F62" i="90"/>
  <c r="I62" i="90" s="1"/>
  <c r="F61" i="90"/>
  <c r="I61" i="90" s="1"/>
  <c r="F60" i="90"/>
  <c r="I60" i="90" s="1"/>
  <c r="F59" i="90"/>
  <c r="I59" i="90" s="1"/>
  <c r="F58" i="90"/>
  <c r="I58" i="90" s="1"/>
  <c r="F57" i="90"/>
  <c r="I57" i="90" s="1"/>
  <c r="F56" i="90"/>
  <c r="I56" i="90" s="1"/>
  <c r="F55" i="90"/>
  <c r="I55" i="90" s="1"/>
  <c r="F54" i="90"/>
  <c r="I54" i="90" s="1"/>
  <c r="F53" i="90"/>
  <c r="I53" i="90" s="1"/>
  <c r="F52" i="90"/>
  <c r="I52" i="90" s="1"/>
  <c r="F51" i="90"/>
  <c r="I51" i="90" s="1"/>
  <c r="F50" i="90"/>
  <c r="I50" i="90" s="1"/>
  <c r="F49" i="90"/>
  <c r="I49" i="90" s="1"/>
  <c r="F48" i="90"/>
  <c r="I48" i="90" s="1"/>
  <c r="F47" i="90"/>
  <c r="I47" i="90" s="1"/>
  <c r="F46" i="90"/>
  <c r="I46" i="90" s="1"/>
  <c r="F45" i="90"/>
  <c r="I45" i="90" s="1"/>
  <c r="F44" i="90"/>
  <c r="I44" i="90" s="1"/>
  <c r="F43" i="90"/>
  <c r="I43" i="90" s="1"/>
  <c r="F42" i="90"/>
  <c r="I42" i="90" s="1"/>
  <c r="F41" i="90"/>
  <c r="I41" i="90" s="1"/>
  <c r="F40" i="90"/>
  <c r="I40" i="90" s="1"/>
  <c r="F39" i="90"/>
  <c r="I39" i="90" s="1"/>
  <c r="F38" i="90"/>
  <c r="I38" i="90" s="1"/>
  <c r="F37" i="90"/>
  <c r="I37" i="90" s="1"/>
  <c r="F36" i="90"/>
  <c r="I36" i="90" s="1"/>
  <c r="F35" i="90"/>
  <c r="I35" i="90" s="1"/>
  <c r="F34" i="90"/>
  <c r="I34" i="90" s="1"/>
  <c r="F33" i="90"/>
  <c r="I33" i="90" s="1"/>
  <c r="F32" i="90"/>
  <c r="I32" i="90" s="1"/>
  <c r="F31" i="90"/>
  <c r="I31" i="90" s="1"/>
  <c r="F30" i="90"/>
  <c r="I30" i="90" s="1"/>
  <c r="F65" i="24"/>
  <c r="I65" i="24" s="1"/>
  <c r="F64" i="24"/>
  <c r="I64" i="24" s="1"/>
  <c r="F63" i="24"/>
  <c r="I63" i="24" s="1"/>
  <c r="F62" i="24"/>
  <c r="I62" i="24" s="1"/>
  <c r="F61" i="24"/>
  <c r="I61" i="24" s="1"/>
  <c r="F60" i="24"/>
  <c r="I60" i="24" s="1"/>
  <c r="F59" i="24"/>
  <c r="I59" i="24" s="1"/>
  <c r="F58" i="24"/>
  <c r="I58" i="24" s="1"/>
  <c r="F57" i="24"/>
  <c r="I57" i="24" s="1"/>
  <c r="F56" i="24"/>
  <c r="I56" i="24" s="1"/>
  <c r="F55" i="24"/>
  <c r="I55" i="24" s="1"/>
  <c r="F54" i="24"/>
  <c r="I54" i="24" s="1"/>
  <c r="F53" i="24"/>
  <c r="I53" i="24" s="1"/>
  <c r="F52" i="24"/>
  <c r="I52" i="24" s="1"/>
  <c r="F51" i="24"/>
  <c r="I51" i="24" s="1"/>
  <c r="F50" i="24"/>
  <c r="I50" i="24" s="1"/>
  <c r="F49" i="24"/>
  <c r="I49" i="24" s="1"/>
  <c r="F48" i="24"/>
  <c r="I48" i="24" s="1"/>
  <c r="F47" i="24"/>
  <c r="I47" i="24" s="1"/>
  <c r="F46" i="24"/>
  <c r="I46" i="24" s="1"/>
  <c r="F45" i="24"/>
  <c r="I45" i="24" s="1"/>
  <c r="F44" i="24"/>
  <c r="I44" i="24" s="1"/>
  <c r="F43" i="24"/>
  <c r="I43" i="24" s="1"/>
  <c r="F42" i="24"/>
  <c r="I42" i="24" s="1"/>
  <c r="F41" i="24"/>
  <c r="I41" i="24" s="1"/>
  <c r="F40" i="24"/>
  <c r="I40" i="24" s="1"/>
  <c r="F39" i="24"/>
  <c r="I39" i="24" s="1"/>
  <c r="F38" i="24"/>
  <c r="I38" i="24" s="1"/>
  <c r="F37" i="24"/>
  <c r="I37" i="24" s="1"/>
  <c r="F36" i="24"/>
  <c r="I36" i="24" s="1"/>
  <c r="F35" i="24"/>
  <c r="I35" i="24" s="1"/>
  <c r="F34" i="24"/>
  <c r="I34" i="24" s="1"/>
  <c r="F33" i="24"/>
  <c r="I33" i="24" s="1"/>
  <c r="F32" i="24"/>
  <c r="I32" i="24" s="1"/>
  <c r="F31" i="24"/>
  <c r="I31" i="24" s="1"/>
  <c r="F30" i="24"/>
  <c r="I30" i="24" s="1"/>
  <c r="F65" i="32"/>
  <c r="I65" i="32" s="1"/>
  <c r="F64" i="32"/>
  <c r="I64" i="32" s="1"/>
  <c r="F63" i="32"/>
  <c r="I63" i="32" s="1"/>
  <c r="F62" i="32"/>
  <c r="I62" i="32" s="1"/>
  <c r="F61" i="32"/>
  <c r="I61" i="32" s="1"/>
  <c r="F60" i="32"/>
  <c r="I60" i="32" s="1"/>
  <c r="F59" i="32"/>
  <c r="I59" i="32" s="1"/>
  <c r="F58" i="32"/>
  <c r="I58" i="32" s="1"/>
  <c r="F57" i="32"/>
  <c r="I57" i="32" s="1"/>
  <c r="F56" i="32"/>
  <c r="I56" i="32" s="1"/>
  <c r="F55" i="32"/>
  <c r="I55" i="32" s="1"/>
  <c r="F54" i="32"/>
  <c r="I54" i="32" s="1"/>
  <c r="F53" i="32"/>
  <c r="I53" i="32" s="1"/>
  <c r="F52" i="32"/>
  <c r="I52" i="32" s="1"/>
  <c r="F51" i="32"/>
  <c r="I51" i="32" s="1"/>
  <c r="F50" i="32"/>
  <c r="I50" i="32" s="1"/>
  <c r="F49" i="32"/>
  <c r="I49" i="32" s="1"/>
  <c r="F48" i="32"/>
  <c r="I48" i="32" s="1"/>
  <c r="F47" i="32"/>
  <c r="I47" i="32" s="1"/>
  <c r="F46" i="32"/>
  <c r="I46" i="32" s="1"/>
  <c r="F45" i="32"/>
  <c r="I45" i="32" s="1"/>
  <c r="F44" i="32"/>
  <c r="I44" i="32" s="1"/>
  <c r="F43" i="32"/>
  <c r="I43" i="32" s="1"/>
  <c r="F42" i="32"/>
  <c r="I42" i="32" s="1"/>
  <c r="F41" i="32"/>
  <c r="I41" i="32" s="1"/>
  <c r="F40" i="32"/>
  <c r="I40" i="32" s="1"/>
  <c r="F39" i="32"/>
  <c r="I39" i="32" s="1"/>
  <c r="F38" i="32"/>
  <c r="I38" i="32" s="1"/>
  <c r="F37" i="32"/>
  <c r="I37" i="32" s="1"/>
  <c r="F36" i="32"/>
  <c r="I36" i="32" s="1"/>
  <c r="F35" i="32"/>
  <c r="I35" i="32" s="1"/>
  <c r="F34" i="32"/>
  <c r="I34" i="32" s="1"/>
  <c r="F33" i="32"/>
  <c r="I33" i="32" s="1"/>
  <c r="F32" i="32"/>
  <c r="I32" i="32" s="1"/>
  <c r="F31" i="32"/>
  <c r="I31" i="32" s="1"/>
  <c r="F30" i="32"/>
  <c r="I30" i="32" s="1"/>
  <c r="F65" i="79"/>
  <c r="I65" i="79" s="1"/>
  <c r="F64" i="79"/>
  <c r="I64" i="79" s="1"/>
  <c r="F63" i="79"/>
  <c r="I63" i="79" s="1"/>
  <c r="F62" i="79"/>
  <c r="I62" i="79" s="1"/>
  <c r="F61" i="79"/>
  <c r="I61" i="79" s="1"/>
  <c r="F60" i="79"/>
  <c r="I60" i="79" s="1"/>
  <c r="F59" i="79"/>
  <c r="I59" i="79" s="1"/>
  <c r="F58" i="79"/>
  <c r="I58" i="79" s="1"/>
  <c r="F57" i="79"/>
  <c r="I57" i="79" s="1"/>
  <c r="F56" i="79"/>
  <c r="I56" i="79" s="1"/>
  <c r="F55" i="79"/>
  <c r="I55" i="79" s="1"/>
  <c r="F54" i="79"/>
  <c r="I54" i="79" s="1"/>
  <c r="F53" i="79"/>
  <c r="I53" i="79" s="1"/>
  <c r="F52" i="79"/>
  <c r="I52" i="79" s="1"/>
  <c r="F51" i="79"/>
  <c r="I51" i="79" s="1"/>
  <c r="F50" i="79"/>
  <c r="I50" i="79" s="1"/>
  <c r="F49" i="79"/>
  <c r="I49" i="79" s="1"/>
  <c r="F48" i="79"/>
  <c r="I48" i="79" s="1"/>
  <c r="F47" i="79"/>
  <c r="I47" i="79" s="1"/>
  <c r="F46" i="79"/>
  <c r="I46" i="79" s="1"/>
  <c r="F45" i="79"/>
  <c r="I45" i="79" s="1"/>
  <c r="F44" i="79"/>
  <c r="I44" i="79" s="1"/>
  <c r="F43" i="79"/>
  <c r="I43" i="79" s="1"/>
  <c r="F42" i="79"/>
  <c r="I42" i="79" s="1"/>
  <c r="F41" i="79"/>
  <c r="I41" i="79" s="1"/>
  <c r="F40" i="79"/>
  <c r="I40" i="79" s="1"/>
  <c r="F39" i="79"/>
  <c r="I39" i="79" s="1"/>
  <c r="F38" i="79"/>
  <c r="I38" i="79" s="1"/>
  <c r="F37" i="79"/>
  <c r="I37" i="79" s="1"/>
  <c r="F36" i="79"/>
  <c r="I36" i="79" s="1"/>
  <c r="F35" i="79"/>
  <c r="I35" i="79" s="1"/>
  <c r="F34" i="79"/>
  <c r="I34" i="79" s="1"/>
  <c r="F33" i="79"/>
  <c r="I33" i="79" s="1"/>
  <c r="F32" i="79"/>
  <c r="I32" i="79" s="1"/>
  <c r="F31" i="79"/>
  <c r="I31" i="79" s="1"/>
  <c r="F30" i="79"/>
  <c r="I30" i="79" s="1"/>
  <c r="F65" i="31"/>
  <c r="I65" i="31" s="1"/>
  <c r="F64" i="31"/>
  <c r="I64" i="31" s="1"/>
  <c r="F63" i="31"/>
  <c r="I63" i="31" s="1"/>
  <c r="F62" i="31"/>
  <c r="I62" i="31" s="1"/>
  <c r="F61" i="31"/>
  <c r="I61" i="31" s="1"/>
  <c r="F60" i="31"/>
  <c r="I60" i="31" s="1"/>
  <c r="F59" i="31"/>
  <c r="I59" i="31" s="1"/>
  <c r="F58" i="31"/>
  <c r="I58" i="31" s="1"/>
  <c r="F57" i="31"/>
  <c r="I57" i="31" s="1"/>
  <c r="F56" i="31"/>
  <c r="I56" i="31" s="1"/>
  <c r="F55" i="31"/>
  <c r="I55" i="31" s="1"/>
  <c r="F54" i="31"/>
  <c r="I54" i="31" s="1"/>
  <c r="F53" i="31"/>
  <c r="I53" i="31" s="1"/>
  <c r="F52" i="31"/>
  <c r="I52" i="31" s="1"/>
  <c r="F51" i="31"/>
  <c r="I51" i="31" s="1"/>
  <c r="F50" i="31"/>
  <c r="I50" i="31" s="1"/>
  <c r="F49" i="31"/>
  <c r="I49" i="31" s="1"/>
  <c r="F48" i="31"/>
  <c r="I48" i="31" s="1"/>
  <c r="F47" i="31"/>
  <c r="I47" i="31" s="1"/>
  <c r="F46" i="31"/>
  <c r="I46" i="31" s="1"/>
  <c r="F45" i="31"/>
  <c r="I45" i="31" s="1"/>
  <c r="F44" i="31"/>
  <c r="I44" i="31" s="1"/>
  <c r="F43" i="31"/>
  <c r="I43" i="31" s="1"/>
  <c r="F42" i="31"/>
  <c r="I42" i="31" s="1"/>
  <c r="F41" i="31"/>
  <c r="I41" i="31" s="1"/>
  <c r="F40" i="31"/>
  <c r="I40" i="31" s="1"/>
  <c r="F39" i="31"/>
  <c r="I39" i="31" s="1"/>
  <c r="F38" i="31"/>
  <c r="I38" i="31" s="1"/>
  <c r="F37" i="31"/>
  <c r="I37" i="31" s="1"/>
  <c r="F36" i="31"/>
  <c r="I36" i="31" s="1"/>
  <c r="F35" i="31"/>
  <c r="I35" i="31" s="1"/>
  <c r="F34" i="31"/>
  <c r="I34" i="31" s="1"/>
  <c r="F33" i="31"/>
  <c r="I33" i="31" s="1"/>
  <c r="F32" i="31"/>
  <c r="I32" i="31" s="1"/>
  <c r="F31" i="31"/>
  <c r="I31" i="31" s="1"/>
  <c r="F30" i="31"/>
  <c r="I30" i="31" s="1"/>
  <c r="F65" i="64"/>
  <c r="I65" i="64" s="1"/>
  <c r="F64" i="64"/>
  <c r="I64" i="64" s="1"/>
  <c r="F63" i="64"/>
  <c r="I63" i="64" s="1"/>
  <c r="F62" i="64"/>
  <c r="I62" i="64" s="1"/>
  <c r="F61" i="64"/>
  <c r="I61" i="64" s="1"/>
  <c r="F60" i="64"/>
  <c r="I60" i="64" s="1"/>
  <c r="F59" i="64"/>
  <c r="I59" i="64" s="1"/>
  <c r="F58" i="64"/>
  <c r="I58" i="64" s="1"/>
  <c r="F57" i="64"/>
  <c r="I57" i="64" s="1"/>
  <c r="F56" i="64"/>
  <c r="I56" i="64" s="1"/>
  <c r="F55" i="64"/>
  <c r="I55" i="64" s="1"/>
  <c r="F54" i="64"/>
  <c r="I54" i="64" s="1"/>
  <c r="F53" i="64"/>
  <c r="I53" i="64" s="1"/>
  <c r="F52" i="64"/>
  <c r="I52" i="64" s="1"/>
  <c r="F51" i="64"/>
  <c r="I51" i="64" s="1"/>
  <c r="F50" i="64"/>
  <c r="I50" i="64" s="1"/>
  <c r="F49" i="64"/>
  <c r="I49" i="64" s="1"/>
  <c r="F48" i="64"/>
  <c r="I48" i="64" s="1"/>
  <c r="F47" i="64"/>
  <c r="I47" i="64" s="1"/>
  <c r="F46" i="64"/>
  <c r="I46" i="64" s="1"/>
  <c r="F45" i="64"/>
  <c r="I45" i="64" s="1"/>
  <c r="F44" i="64"/>
  <c r="I44" i="64" s="1"/>
  <c r="F43" i="64"/>
  <c r="I43" i="64" s="1"/>
  <c r="F42" i="64"/>
  <c r="I42" i="64" s="1"/>
  <c r="F41" i="64"/>
  <c r="I41" i="64" s="1"/>
  <c r="F40" i="64"/>
  <c r="I40" i="64" s="1"/>
  <c r="F39" i="64"/>
  <c r="I39" i="64" s="1"/>
  <c r="F38" i="64"/>
  <c r="I38" i="64" s="1"/>
  <c r="F37" i="64"/>
  <c r="I37" i="64" s="1"/>
  <c r="F36" i="64"/>
  <c r="I36" i="64" s="1"/>
  <c r="F35" i="64"/>
  <c r="I35" i="64" s="1"/>
  <c r="F34" i="64"/>
  <c r="I34" i="64" s="1"/>
  <c r="F33" i="64"/>
  <c r="I33" i="64" s="1"/>
  <c r="F32" i="64"/>
  <c r="I32" i="64" s="1"/>
  <c r="F31" i="64"/>
  <c r="I31" i="64" s="1"/>
  <c r="F30" i="64"/>
  <c r="I30" i="64" s="1"/>
  <c r="F65" i="113"/>
  <c r="I65" i="113" s="1"/>
  <c r="F64" i="113"/>
  <c r="I64" i="113" s="1"/>
  <c r="F63" i="113"/>
  <c r="I63" i="113" s="1"/>
  <c r="F62" i="113"/>
  <c r="I62" i="113" s="1"/>
  <c r="F61" i="113"/>
  <c r="I61" i="113" s="1"/>
  <c r="F60" i="113"/>
  <c r="I60" i="113" s="1"/>
  <c r="F59" i="113"/>
  <c r="I59" i="113" s="1"/>
  <c r="F58" i="113"/>
  <c r="I58" i="113" s="1"/>
  <c r="F57" i="113"/>
  <c r="I57" i="113" s="1"/>
  <c r="F56" i="113"/>
  <c r="I56" i="113" s="1"/>
  <c r="F55" i="113"/>
  <c r="I55" i="113" s="1"/>
  <c r="F54" i="113"/>
  <c r="I54" i="113" s="1"/>
  <c r="F53" i="113"/>
  <c r="I53" i="113" s="1"/>
  <c r="F52" i="113"/>
  <c r="I52" i="113" s="1"/>
  <c r="F51" i="113"/>
  <c r="I51" i="113" s="1"/>
  <c r="F50" i="113"/>
  <c r="I50" i="113" s="1"/>
  <c r="F49" i="113"/>
  <c r="I49" i="113" s="1"/>
  <c r="F48" i="113"/>
  <c r="I48" i="113" s="1"/>
  <c r="F47" i="113"/>
  <c r="I47" i="113" s="1"/>
  <c r="F46" i="113"/>
  <c r="I46" i="113" s="1"/>
  <c r="F45" i="113"/>
  <c r="I45" i="113" s="1"/>
  <c r="F44" i="113"/>
  <c r="I44" i="113" s="1"/>
  <c r="F43" i="113"/>
  <c r="I43" i="113" s="1"/>
  <c r="F42" i="113"/>
  <c r="I42" i="113" s="1"/>
  <c r="F41" i="113"/>
  <c r="I41" i="113" s="1"/>
  <c r="F40" i="113"/>
  <c r="I40" i="113" s="1"/>
  <c r="F39" i="113"/>
  <c r="I39" i="113" s="1"/>
  <c r="F38" i="113"/>
  <c r="I38" i="113" s="1"/>
  <c r="F37" i="113"/>
  <c r="I37" i="113" s="1"/>
  <c r="F36" i="113"/>
  <c r="I36" i="113" s="1"/>
  <c r="F35" i="113"/>
  <c r="I35" i="113" s="1"/>
  <c r="F34" i="113"/>
  <c r="I34" i="113" s="1"/>
  <c r="F33" i="113"/>
  <c r="I33" i="113" s="1"/>
  <c r="F32" i="113"/>
  <c r="I32" i="113" s="1"/>
  <c r="F31" i="113"/>
  <c r="I31" i="113" s="1"/>
  <c r="F30" i="113"/>
  <c r="I30" i="113" s="1"/>
  <c r="F65" i="72"/>
  <c r="I65" i="72" s="1"/>
  <c r="F64" i="72"/>
  <c r="I64" i="72" s="1"/>
  <c r="F63" i="72"/>
  <c r="I63" i="72" s="1"/>
  <c r="F62" i="72"/>
  <c r="I62" i="72" s="1"/>
  <c r="F61" i="72"/>
  <c r="I61" i="72" s="1"/>
  <c r="F60" i="72"/>
  <c r="I60" i="72" s="1"/>
  <c r="F59" i="72"/>
  <c r="I59" i="72" s="1"/>
  <c r="F58" i="72"/>
  <c r="I58" i="72" s="1"/>
  <c r="F57" i="72"/>
  <c r="I57" i="72" s="1"/>
  <c r="F56" i="72"/>
  <c r="I56" i="72" s="1"/>
  <c r="F55" i="72"/>
  <c r="I55" i="72" s="1"/>
  <c r="F54" i="72"/>
  <c r="I54" i="72" s="1"/>
  <c r="F53" i="72"/>
  <c r="I53" i="72" s="1"/>
  <c r="F52" i="72"/>
  <c r="I52" i="72" s="1"/>
  <c r="F51" i="72"/>
  <c r="I51" i="72" s="1"/>
  <c r="F50" i="72"/>
  <c r="I50" i="72" s="1"/>
  <c r="F49" i="72"/>
  <c r="I49" i="72" s="1"/>
  <c r="F48" i="72"/>
  <c r="I48" i="72" s="1"/>
  <c r="F47" i="72"/>
  <c r="I47" i="72" s="1"/>
  <c r="F46" i="72"/>
  <c r="I46" i="72" s="1"/>
  <c r="F45" i="72"/>
  <c r="I45" i="72" s="1"/>
  <c r="F44" i="72"/>
  <c r="I44" i="72" s="1"/>
  <c r="F43" i="72"/>
  <c r="I43" i="72" s="1"/>
  <c r="F42" i="72"/>
  <c r="I42" i="72" s="1"/>
  <c r="F41" i="72"/>
  <c r="I41" i="72" s="1"/>
  <c r="F40" i="72"/>
  <c r="I40" i="72" s="1"/>
  <c r="F39" i="72"/>
  <c r="I39" i="72" s="1"/>
  <c r="F38" i="72"/>
  <c r="I38" i="72" s="1"/>
  <c r="F37" i="72"/>
  <c r="I37" i="72" s="1"/>
  <c r="F36" i="72"/>
  <c r="I36" i="72" s="1"/>
  <c r="F35" i="72"/>
  <c r="I35" i="72" s="1"/>
  <c r="F34" i="72"/>
  <c r="I34" i="72" s="1"/>
  <c r="F33" i="72"/>
  <c r="I33" i="72" s="1"/>
  <c r="F32" i="72"/>
  <c r="I32" i="72" s="1"/>
  <c r="F31" i="72"/>
  <c r="I31" i="72" s="1"/>
  <c r="F30" i="72"/>
  <c r="I30" i="72" s="1"/>
  <c r="F65" i="28"/>
  <c r="I65" i="28" s="1"/>
  <c r="F64" i="28"/>
  <c r="I64" i="28" s="1"/>
  <c r="F63" i="28"/>
  <c r="I63" i="28" s="1"/>
  <c r="F62" i="28"/>
  <c r="I62" i="28" s="1"/>
  <c r="F61" i="28"/>
  <c r="I61" i="28" s="1"/>
  <c r="F60" i="28"/>
  <c r="I60" i="28" s="1"/>
  <c r="F59" i="28"/>
  <c r="I59" i="28" s="1"/>
  <c r="F58" i="28"/>
  <c r="I58" i="28" s="1"/>
  <c r="F57" i="28"/>
  <c r="I57" i="28" s="1"/>
  <c r="F56" i="28"/>
  <c r="I56" i="28" s="1"/>
  <c r="F55" i="28"/>
  <c r="I55" i="28" s="1"/>
  <c r="F54" i="28"/>
  <c r="I54" i="28" s="1"/>
  <c r="F53" i="28"/>
  <c r="I53" i="28" s="1"/>
  <c r="F52" i="28"/>
  <c r="I52" i="28" s="1"/>
  <c r="F51" i="28"/>
  <c r="I51" i="28" s="1"/>
  <c r="F50" i="28"/>
  <c r="I50" i="28" s="1"/>
  <c r="F49" i="28"/>
  <c r="I49" i="28" s="1"/>
  <c r="F48" i="28"/>
  <c r="I48" i="28" s="1"/>
  <c r="F47" i="28"/>
  <c r="I47" i="28" s="1"/>
  <c r="F46" i="28"/>
  <c r="I46" i="28" s="1"/>
  <c r="F45" i="28"/>
  <c r="I45" i="28" s="1"/>
  <c r="F44" i="28"/>
  <c r="I44" i="28" s="1"/>
  <c r="F43" i="28"/>
  <c r="I43" i="28" s="1"/>
  <c r="F42" i="28"/>
  <c r="I42" i="28" s="1"/>
  <c r="F41" i="28"/>
  <c r="I41" i="28" s="1"/>
  <c r="F40" i="28"/>
  <c r="I40" i="28" s="1"/>
  <c r="F39" i="28"/>
  <c r="I39" i="28" s="1"/>
  <c r="F38" i="28"/>
  <c r="I38" i="28" s="1"/>
  <c r="F37" i="28"/>
  <c r="I37" i="28" s="1"/>
  <c r="F36" i="28"/>
  <c r="I36" i="28" s="1"/>
  <c r="F35" i="28"/>
  <c r="I35" i="28" s="1"/>
  <c r="F34" i="28"/>
  <c r="I34" i="28" s="1"/>
  <c r="F33" i="28"/>
  <c r="I33" i="28" s="1"/>
  <c r="F32" i="28"/>
  <c r="I32" i="28" s="1"/>
  <c r="F31" i="28"/>
  <c r="I31" i="28" s="1"/>
  <c r="F30" i="28"/>
  <c r="I30" i="28" s="1"/>
  <c r="F65" i="65"/>
  <c r="I65" i="65" s="1"/>
  <c r="F64" i="65"/>
  <c r="I64" i="65" s="1"/>
  <c r="F63" i="65"/>
  <c r="I63" i="65" s="1"/>
  <c r="F62" i="65"/>
  <c r="I62" i="65" s="1"/>
  <c r="F61" i="65"/>
  <c r="I61" i="65" s="1"/>
  <c r="F60" i="65"/>
  <c r="I60" i="65" s="1"/>
  <c r="F59" i="65"/>
  <c r="I59" i="65" s="1"/>
  <c r="F58" i="65"/>
  <c r="I58" i="65" s="1"/>
  <c r="F57" i="65"/>
  <c r="I57" i="65" s="1"/>
  <c r="F56" i="65"/>
  <c r="I56" i="65" s="1"/>
  <c r="F55" i="65"/>
  <c r="I55" i="65" s="1"/>
  <c r="F54" i="65"/>
  <c r="I54" i="65" s="1"/>
  <c r="F53" i="65"/>
  <c r="I53" i="65" s="1"/>
  <c r="F52" i="65"/>
  <c r="I52" i="65" s="1"/>
  <c r="F51" i="65"/>
  <c r="I51" i="65" s="1"/>
  <c r="F50" i="65"/>
  <c r="I50" i="65" s="1"/>
  <c r="F49" i="65"/>
  <c r="I49" i="65" s="1"/>
  <c r="F48" i="65"/>
  <c r="I48" i="65" s="1"/>
  <c r="F47" i="65"/>
  <c r="I47" i="65" s="1"/>
  <c r="F46" i="65"/>
  <c r="I46" i="65" s="1"/>
  <c r="F45" i="65"/>
  <c r="I45" i="65" s="1"/>
  <c r="F44" i="65"/>
  <c r="I44" i="65" s="1"/>
  <c r="F43" i="65"/>
  <c r="I43" i="65" s="1"/>
  <c r="F42" i="65"/>
  <c r="I42" i="65" s="1"/>
  <c r="F41" i="65"/>
  <c r="I41" i="65" s="1"/>
  <c r="F40" i="65"/>
  <c r="I40" i="65" s="1"/>
  <c r="F39" i="65"/>
  <c r="I39" i="65" s="1"/>
  <c r="F38" i="65"/>
  <c r="I38" i="65" s="1"/>
  <c r="F37" i="65"/>
  <c r="I37" i="65" s="1"/>
  <c r="F36" i="65"/>
  <c r="I36" i="65" s="1"/>
  <c r="F35" i="65"/>
  <c r="I35" i="65" s="1"/>
  <c r="F34" i="65"/>
  <c r="I34" i="65" s="1"/>
  <c r="F33" i="65"/>
  <c r="I33" i="65" s="1"/>
  <c r="F32" i="65"/>
  <c r="I32" i="65" s="1"/>
  <c r="F31" i="65"/>
  <c r="I31" i="65" s="1"/>
  <c r="F30" i="65"/>
  <c r="I30" i="65" s="1"/>
  <c r="F65" i="119"/>
  <c r="I65" i="119" s="1"/>
  <c r="F64" i="119"/>
  <c r="I64" i="119" s="1"/>
  <c r="F63" i="119"/>
  <c r="I63" i="119" s="1"/>
  <c r="F62" i="119"/>
  <c r="I62" i="119" s="1"/>
  <c r="F61" i="119"/>
  <c r="I61" i="119" s="1"/>
  <c r="F60" i="119"/>
  <c r="I60" i="119" s="1"/>
  <c r="F59" i="119"/>
  <c r="I59" i="119" s="1"/>
  <c r="F58" i="119"/>
  <c r="I58" i="119" s="1"/>
  <c r="F57" i="119"/>
  <c r="I57" i="119" s="1"/>
  <c r="F56" i="119"/>
  <c r="I56" i="119" s="1"/>
  <c r="F55" i="119"/>
  <c r="I55" i="119" s="1"/>
  <c r="F54" i="119"/>
  <c r="I54" i="119" s="1"/>
  <c r="F53" i="119"/>
  <c r="I53" i="119" s="1"/>
  <c r="F52" i="119"/>
  <c r="I52" i="119" s="1"/>
  <c r="F51" i="119"/>
  <c r="I51" i="119" s="1"/>
  <c r="F50" i="119"/>
  <c r="I50" i="119" s="1"/>
  <c r="F49" i="119"/>
  <c r="I49" i="119" s="1"/>
  <c r="F48" i="119"/>
  <c r="I48" i="119" s="1"/>
  <c r="F47" i="119"/>
  <c r="I47" i="119" s="1"/>
  <c r="F46" i="119"/>
  <c r="I46" i="119" s="1"/>
  <c r="F45" i="119"/>
  <c r="I45" i="119" s="1"/>
  <c r="F44" i="119"/>
  <c r="I44" i="119" s="1"/>
  <c r="F43" i="119"/>
  <c r="I43" i="119" s="1"/>
  <c r="F42" i="119"/>
  <c r="I42" i="119" s="1"/>
  <c r="F41" i="119"/>
  <c r="I41" i="119" s="1"/>
  <c r="F40" i="119"/>
  <c r="I40" i="119" s="1"/>
  <c r="F39" i="119"/>
  <c r="I39" i="119" s="1"/>
  <c r="F38" i="119"/>
  <c r="I38" i="119" s="1"/>
  <c r="F37" i="119"/>
  <c r="I37" i="119" s="1"/>
  <c r="F36" i="119"/>
  <c r="I36" i="119" s="1"/>
  <c r="F35" i="119"/>
  <c r="I35" i="119" s="1"/>
  <c r="F34" i="119"/>
  <c r="I34" i="119" s="1"/>
  <c r="F33" i="119"/>
  <c r="I33" i="119" s="1"/>
  <c r="F32" i="119"/>
  <c r="I32" i="119" s="1"/>
  <c r="F31" i="119"/>
  <c r="I31" i="119" s="1"/>
  <c r="F30" i="119"/>
  <c r="I30" i="119" s="1"/>
  <c r="F65" i="25"/>
  <c r="I65" i="25" s="1"/>
  <c r="F64" i="25"/>
  <c r="I64" i="25" s="1"/>
  <c r="F63" i="25"/>
  <c r="I63" i="25" s="1"/>
  <c r="F62" i="25"/>
  <c r="I62" i="25" s="1"/>
  <c r="F61" i="25"/>
  <c r="I61" i="25" s="1"/>
  <c r="F60" i="25"/>
  <c r="I60" i="25" s="1"/>
  <c r="F59" i="25"/>
  <c r="I59" i="25" s="1"/>
  <c r="F58" i="25"/>
  <c r="I58" i="25" s="1"/>
  <c r="F57" i="25"/>
  <c r="I57" i="25" s="1"/>
  <c r="F56" i="25"/>
  <c r="I56" i="25" s="1"/>
  <c r="F55" i="25"/>
  <c r="I55" i="25" s="1"/>
  <c r="F54" i="25"/>
  <c r="I54" i="25" s="1"/>
  <c r="F53" i="25"/>
  <c r="I53" i="25" s="1"/>
  <c r="F52" i="25"/>
  <c r="I52" i="25" s="1"/>
  <c r="F51" i="25"/>
  <c r="I51" i="25" s="1"/>
  <c r="F50" i="25"/>
  <c r="I50" i="25" s="1"/>
  <c r="F49" i="25"/>
  <c r="I49" i="25" s="1"/>
  <c r="F48" i="25"/>
  <c r="I48" i="25" s="1"/>
  <c r="F47" i="25"/>
  <c r="I47" i="25" s="1"/>
  <c r="F46" i="25"/>
  <c r="I46" i="25" s="1"/>
  <c r="F45" i="25"/>
  <c r="I45" i="25" s="1"/>
  <c r="F44" i="25"/>
  <c r="I44" i="25" s="1"/>
  <c r="F43" i="25"/>
  <c r="I43" i="25" s="1"/>
  <c r="F42" i="25"/>
  <c r="I42" i="25" s="1"/>
  <c r="F41" i="25"/>
  <c r="I41" i="25" s="1"/>
  <c r="F40" i="25"/>
  <c r="I40" i="25" s="1"/>
  <c r="F39" i="25"/>
  <c r="I39" i="25" s="1"/>
  <c r="F38" i="25"/>
  <c r="I38" i="25" s="1"/>
  <c r="F37" i="25"/>
  <c r="I37" i="25" s="1"/>
  <c r="F36" i="25"/>
  <c r="I36" i="25" s="1"/>
  <c r="F35" i="25"/>
  <c r="I35" i="25" s="1"/>
  <c r="F34" i="25"/>
  <c r="I34" i="25" s="1"/>
  <c r="F33" i="25"/>
  <c r="I33" i="25" s="1"/>
  <c r="F32" i="25"/>
  <c r="I32" i="25" s="1"/>
  <c r="F31" i="25"/>
  <c r="I31" i="25" s="1"/>
  <c r="F30" i="25"/>
  <c r="I30" i="25" s="1"/>
  <c r="F65" i="155"/>
  <c r="I65" i="155" s="1"/>
  <c r="F64" i="155"/>
  <c r="I64" i="155" s="1"/>
  <c r="F63" i="155"/>
  <c r="I63" i="155" s="1"/>
  <c r="F62" i="155"/>
  <c r="I62" i="155" s="1"/>
  <c r="F61" i="155"/>
  <c r="I61" i="155" s="1"/>
  <c r="F60" i="155"/>
  <c r="I60" i="155" s="1"/>
  <c r="F59" i="155"/>
  <c r="I59" i="155" s="1"/>
  <c r="F58" i="155"/>
  <c r="I58" i="155" s="1"/>
  <c r="F57" i="155"/>
  <c r="I57" i="155" s="1"/>
  <c r="F56" i="155"/>
  <c r="I56" i="155" s="1"/>
  <c r="F55" i="155"/>
  <c r="I55" i="155" s="1"/>
  <c r="F54" i="155"/>
  <c r="I54" i="155" s="1"/>
  <c r="F53" i="155"/>
  <c r="I53" i="155" s="1"/>
  <c r="F52" i="155"/>
  <c r="I52" i="155" s="1"/>
  <c r="F51" i="155"/>
  <c r="I51" i="155" s="1"/>
  <c r="F50" i="155"/>
  <c r="I50" i="155" s="1"/>
  <c r="F49" i="155"/>
  <c r="I49" i="155" s="1"/>
  <c r="F48" i="155"/>
  <c r="I48" i="155" s="1"/>
  <c r="F47" i="155"/>
  <c r="I47" i="155" s="1"/>
  <c r="F46" i="155"/>
  <c r="I46" i="155" s="1"/>
  <c r="F45" i="155"/>
  <c r="I45" i="155" s="1"/>
  <c r="F44" i="155"/>
  <c r="I44" i="155" s="1"/>
  <c r="F43" i="155"/>
  <c r="I43" i="155" s="1"/>
  <c r="F42" i="155"/>
  <c r="I42" i="155" s="1"/>
  <c r="F41" i="155"/>
  <c r="I41" i="155" s="1"/>
  <c r="F40" i="155"/>
  <c r="I40" i="155" s="1"/>
  <c r="F39" i="155"/>
  <c r="I39" i="155" s="1"/>
  <c r="F38" i="155"/>
  <c r="I38" i="155" s="1"/>
  <c r="F37" i="155"/>
  <c r="I37" i="155" s="1"/>
  <c r="F36" i="155"/>
  <c r="I36" i="155" s="1"/>
  <c r="F35" i="155"/>
  <c r="I35" i="155" s="1"/>
  <c r="F34" i="155"/>
  <c r="I34" i="155" s="1"/>
  <c r="F33" i="155"/>
  <c r="I33" i="155" s="1"/>
  <c r="F32" i="155"/>
  <c r="I32" i="155" s="1"/>
  <c r="F31" i="155"/>
  <c r="I31" i="155" s="1"/>
  <c r="F30" i="155"/>
  <c r="I30" i="155" s="1"/>
  <c r="F65" i="156"/>
  <c r="I65" i="156" s="1"/>
  <c r="F64" i="156"/>
  <c r="I64" i="156" s="1"/>
  <c r="F63" i="156"/>
  <c r="I63" i="156" s="1"/>
  <c r="F62" i="156"/>
  <c r="I62" i="156" s="1"/>
  <c r="F61" i="156"/>
  <c r="I61" i="156" s="1"/>
  <c r="F60" i="156"/>
  <c r="I60" i="156" s="1"/>
  <c r="F59" i="156"/>
  <c r="I59" i="156" s="1"/>
  <c r="F58" i="156"/>
  <c r="I58" i="156" s="1"/>
  <c r="F57" i="156"/>
  <c r="I57" i="156" s="1"/>
  <c r="F56" i="156"/>
  <c r="I56" i="156" s="1"/>
  <c r="F55" i="156"/>
  <c r="I55" i="156" s="1"/>
  <c r="F54" i="156"/>
  <c r="I54" i="156" s="1"/>
  <c r="F53" i="156"/>
  <c r="I53" i="156" s="1"/>
  <c r="F52" i="156"/>
  <c r="I52" i="156" s="1"/>
  <c r="I51" i="156"/>
  <c r="F50" i="156"/>
  <c r="I50" i="156" s="1"/>
  <c r="F49" i="156"/>
  <c r="I49" i="156" s="1"/>
  <c r="F48" i="156"/>
  <c r="I48" i="156" s="1"/>
  <c r="F47" i="156"/>
  <c r="I47" i="156" s="1"/>
  <c r="F46" i="156"/>
  <c r="I46" i="156" s="1"/>
  <c r="F45" i="156"/>
  <c r="I45" i="156" s="1"/>
  <c r="F44" i="156"/>
  <c r="I44" i="156" s="1"/>
  <c r="F43" i="156"/>
  <c r="I43" i="156" s="1"/>
  <c r="F42" i="156"/>
  <c r="I42" i="156" s="1"/>
  <c r="F41" i="156"/>
  <c r="I41" i="156" s="1"/>
  <c r="F40" i="156"/>
  <c r="I40" i="156" s="1"/>
  <c r="F39" i="156"/>
  <c r="I39" i="156" s="1"/>
  <c r="F38" i="156"/>
  <c r="I38" i="156" s="1"/>
  <c r="F37" i="156"/>
  <c r="I37" i="156" s="1"/>
  <c r="F36" i="156"/>
  <c r="I36" i="156" s="1"/>
  <c r="F35" i="156"/>
  <c r="I35" i="156" s="1"/>
  <c r="F34" i="156"/>
  <c r="I34" i="156" s="1"/>
  <c r="F33" i="156"/>
  <c r="I33" i="156" s="1"/>
  <c r="F32" i="156"/>
  <c r="I32" i="156" s="1"/>
  <c r="F31" i="156"/>
  <c r="I31" i="156" s="1"/>
  <c r="F30" i="156"/>
  <c r="I30" i="156" s="1"/>
  <c r="F65" i="20"/>
  <c r="I65" i="20" s="1"/>
  <c r="F64" i="20"/>
  <c r="I64" i="20" s="1"/>
  <c r="F63" i="20"/>
  <c r="I63" i="20" s="1"/>
  <c r="F62" i="20"/>
  <c r="I62" i="20" s="1"/>
  <c r="F61" i="20"/>
  <c r="I61" i="20" s="1"/>
  <c r="F60" i="20"/>
  <c r="I60" i="20" s="1"/>
  <c r="F59" i="20"/>
  <c r="I59" i="20" s="1"/>
  <c r="F58" i="20"/>
  <c r="I58" i="20" s="1"/>
  <c r="F57" i="20"/>
  <c r="I57" i="20" s="1"/>
  <c r="F56" i="20"/>
  <c r="I56" i="20" s="1"/>
  <c r="F55" i="20"/>
  <c r="I55" i="20" s="1"/>
  <c r="F54" i="20"/>
  <c r="I54" i="20" s="1"/>
  <c r="F53" i="20"/>
  <c r="I53" i="20" s="1"/>
  <c r="F52" i="20"/>
  <c r="I52" i="20" s="1"/>
  <c r="I51" i="20"/>
  <c r="F50" i="20"/>
  <c r="I50" i="20" s="1"/>
  <c r="F49" i="20"/>
  <c r="I49" i="20" s="1"/>
  <c r="F48" i="20"/>
  <c r="I48" i="20" s="1"/>
  <c r="F47" i="20"/>
  <c r="I47" i="20" s="1"/>
  <c r="F46" i="20"/>
  <c r="I46" i="20" s="1"/>
  <c r="F45" i="20"/>
  <c r="I45" i="20" s="1"/>
  <c r="F44" i="20"/>
  <c r="I44" i="20" s="1"/>
  <c r="F43" i="20"/>
  <c r="I43" i="20" s="1"/>
  <c r="F42" i="20"/>
  <c r="I42" i="20" s="1"/>
  <c r="F41" i="20"/>
  <c r="I41" i="20" s="1"/>
  <c r="F40" i="20"/>
  <c r="I40" i="20" s="1"/>
  <c r="F39" i="20"/>
  <c r="I39" i="20" s="1"/>
  <c r="F38" i="20"/>
  <c r="I38" i="20" s="1"/>
  <c r="F37" i="20"/>
  <c r="I37" i="20" s="1"/>
  <c r="F36" i="20"/>
  <c r="I36" i="20" s="1"/>
  <c r="F35" i="20"/>
  <c r="I35" i="20" s="1"/>
  <c r="F34" i="20"/>
  <c r="I34" i="20" s="1"/>
  <c r="F33" i="20"/>
  <c r="I33" i="20" s="1"/>
  <c r="F32" i="20"/>
  <c r="I32" i="20" s="1"/>
  <c r="F31" i="20"/>
  <c r="I31" i="20" s="1"/>
  <c r="F30" i="20"/>
  <c r="I30" i="20" s="1"/>
  <c r="F65" i="42"/>
  <c r="I65" i="42" s="1"/>
  <c r="F64" i="42"/>
  <c r="I64" i="42" s="1"/>
  <c r="F63" i="42"/>
  <c r="I63" i="42" s="1"/>
  <c r="F62" i="42"/>
  <c r="I62" i="42" s="1"/>
  <c r="F61" i="42"/>
  <c r="I61" i="42" s="1"/>
  <c r="F60" i="42"/>
  <c r="I60" i="42" s="1"/>
  <c r="F59" i="42"/>
  <c r="I59" i="42" s="1"/>
  <c r="F58" i="42"/>
  <c r="I58" i="42" s="1"/>
  <c r="F57" i="42"/>
  <c r="I57" i="42" s="1"/>
  <c r="F56" i="42"/>
  <c r="I56" i="42" s="1"/>
  <c r="F55" i="42"/>
  <c r="I55" i="42" s="1"/>
  <c r="F54" i="42"/>
  <c r="I54" i="42" s="1"/>
  <c r="F53" i="42"/>
  <c r="I53" i="42" s="1"/>
  <c r="F52" i="42"/>
  <c r="I52" i="42" s="1"/>
  <c r="I51" i="42"/>
  <c r="F50" i="42"/>
  <c r="I50" i="42" s="1"/>
  <c r="F49" i="42"/>
  <c r="I49" i="42" s="1"/>
  <c r="F48" i="42"/>
  <c r="I48" i="42" s="1"/>
  <c r="F47" i="42"/>
  <c r="I47" i="42" s="1"/>
  <c r="F46" i="42"/>
  <c r="I46" i="42" s="1"/>
  <c r="F45" i="42"/>
  <c r="I45" i="42" s="1"/>
  <c r="F44" i="42"/>
  <c r="I44" i="42" s="1"/>
  <c r="F43" i="42"/>
  <c r="I43" i="42" s="1"/>
  <c r="F42" i="42"/>
  <c r="I42" i="42" s="1"/>
  <c r="F41" i="42"/>
  <c r="I41" i="42" s="1"/>
  <c r="F40" i="42"/>
  <c r="I40" i="42" s="1"/>
  <c r="F39" i="42"/>
  <c r="I39" i="42" s="1"/>
  <c r="F38" i="42"/>
  <c r="I38" i="42" s="1"/>
  <c r="F37" i="42"/>
  <c r="I37" i="42" s="1"/>
  <c r="F36" i="42"/>
  <c r="I36" i="42" s="1"/>
  <c r="F35" i="42"/>
  <c r="I35" i="42" s="1"/>
  <c r="F34" i="42"/>
  <c r="I34" i="42" s="1"/>
  <c r="F33" i="42"/>
  <c r="I33" i="42" s="1"/>
  <c r="F32" i="42"/>
  <c r="I32" i="42" s="1"/>
  <c r="F31" i="42"/>
  <c r="I31" i="42" s="1"/>
  <c r="F30" i="42"/>
  <c r="I30" i="42" s="1"/>
  <c r="F65" i="157"/>
  <c r="I65" i="157" s="1"/>
  <c r="F64" i="157"/>
  <c r="I64" i="157" s="1"/>
  <c r="F63" i="157"/>
  <c r="I63" i="157" s="1"/>
  <c r="F62" i="157"/>
  <c r="I62" i="157" s="1"/>
  <c r="F61" i="157"/>
  <c r="I61" i="157" s="1"/>
  <c r="F60" i="157"/>
  <c r="I60" i="157" s="1"/>
  <c r="F59" i="157"/>
  <c r="I59" i="157" s="1"/>
  <c r="F58" i="157"/>
  <c r="I58" i="157" s="1"/>
  <c r="F57" i="157"/>
  <c r="I57" i="157" s="1"/>
  <c r="F56" i="157"/>
  <c r="I56" i="157" s="1"/>
  <c r="F55" i="157"/>
  <c r="I55" i="157" s="1"/>
  <c r="F54" i="157"/>
  <c r="I54" i="157" s="1"/>
  <c r="F53" i="157"/>
  <c r="I53" i="157" s="1"/>
  <c r="F52" i="157"/>
  <c r="I52" i="157" s="1"/>
  <c r="F51" i="157"/>
  <c r="I51" i="157" s="1"/>
  <c r="F50" i="157"/>
  <c r="I50" i="157" s="1"/>
  <c r="F49" i="157"/>
  <c r="I49" i="157" s="1"/>
  <c r="F48" i="157"/>
  <c r="I48" i="157" s="1"/>
  <c r="F47" i="157"/>
  <c r="I47" i="157" s="1"/>
  <c r="F46" i="157"/>
  <c r="I46" i="157" s="1"/>
  <c r="F45" i="157"/>
  <c r="I45" i="157" s="1"/>
  <c r="F44" i="157"/>
  <c r="I44" i="157" s="1"/>
  <c r="F43" i="157"/>
  <c r="I43" i="157" s="1"/>
  <c r="F42" i="157"/>
  <c r="I42" i="157" s="1"/>
  <c r="F41" i="157"/>
  <c r="I41" i="157" s="1"/>
  <c r="F40" i="157"/>
  <c r="I40" i="157" s="1"/>
  <c r="F39" i="157"/>
  <c r="I39" i="157" s="1"/>
  <c r="F38" i="157"/>
  <c r="I38" i="157" s="1"/>
  <c r="F37" i="157"/>
  <c r="I37" i="157" s="1"/>
  <c r="F36" i="157"/>
  <c r="I36" i="157" s="1"/>
  <c r="F35" i="157"/>
  <c r="I35" i="157" s="1"/>
  <c r="F34" i="157"/>
  <c r="I34" i="157" s="1"/>
  <c r="F33" i="157"/>
  <c r="I33" i="157" s="1"/>
  <c r="F32" i="157"/>
  <c r="I32" i="157" s="1"/>
  <c r="F31" i="157"/>
  <c r="I31" i="157" s="1"/>
  <c r="F30" i="157"/>
  <c r="I30" i="157" s="1"/>
  <c r="F65" i="159"/>
  <c r="I65" i="159" s="1"/>
  <c r="F64" i="159"/>
  <c r="I64" i="159" s="1"/>
  <c r="F63" i="159"/>
  <c r="I63" i="159" s="1"/>
  <c r="F62" i="159"/>
  <c r="I62" i="159" s="1"/>
  <c r="F61" i="159"/>
  <c r="I61" i="159" s="1"/>
  <c r="F60" i="159"/>
  <c r="I60" i="159" s="1"/>
  <c r="F59" i="159"/>
  <c r="I59" i="159" s="1"/>
  <c r="F58" i="159"/>
  <c r="I58" i="159" s="1"/>
  <c r="F57" i="159"/>
  <c r="I57" i="159" s="1"/>
  <c r="F56" i="159"/>
  <c r="I56" i="159" s="1"/>
  <c r="F55" i="159"/>
  <c r="I55" i="159" s="1"/>
  <c r="F54" i="159"/>
  <c r="I54" i="159" s="1"/>
  <c r="F53" i="159"/>
  <c r="I53" i="159" s="1"/>
  <c r="F52" i="159"/>
  <c r="I52" i="159" s="1"/>
  <c r="F51" i="159"/>
  <c r="I51" i="159" s="1"/>
  <c r="F50" i="159"/>
  <c r="I50" i="159" s="1"/>
  <c r="F49" i="159"/>
  <c r="I49" i="159" s="1"/>
  <c r="F48" i="159"/>
  <c r="I48" i="159" s="1"/>
  <c r="F47" i="159"/>
  <c r="I47" i="159" s="1"/>
  <c r="F46" i="159"/>
  <c r="I46" i="159" s="1"/>
  <c r="F45" i="159"/>
  <c r="I45" i="159" s="1"/>
  <c r="F44" i="159"/>
  <c r="I44" i="159" s="1"/>
  <c r="F43" i="159"/>
  <c r="I43" i="159" s="1"/>
  <c r="F42" i="159"/>
  <c r="I42" i="159" s="1"/>
  <c r="F41" i="159"/>
  <c r="I41" i="159" s="1"/>
  <c r="F40" i="159"/>
  <c r="I40" i="159" s="1"/>
  <c r="F39" i="159"/>
  <c r="I39" i="159" s="1"/>
  <c r="F38" i="159"/>
  <c r="I38" i="159" s="1"/>
  <c r="F37" i="159"/>
  <c r="I37" i="159" s="1"/>
  <c r="F36" i="159"/>
  <c r="I36" i="159" s="1"/>
  <c r="F35" i="159"/>
  <c r="I35" i="159" s="1"/>
  <c r="F34" i="159"/>
  <c r="I34" i="159" s="1"/>
  <c r="F33" i="159"/>
  <c r="I33" i="159" s="1"/>
  <c r="F32" i="159"/>
  <c r="I32" i="159" s="1"/>
  <c r="F31" i="159"/>
  <c r="I31" i="159" s="1"/>
  <c r="F30" i="159"/>
  <c r="I30" i="159" s="1"/>
  <c r="F65" i="158"/>
  <c r="I65" i="158" s="1"/>
  <c r="F64" i="158"/>
  <c r="I64" i="158" s="1"/>
  <c r="F63" i="158"/>
  <c r="I63" i="158" s="1"/>
  <c r="F62" i="158"/>
  <c r="I62" i="158" s="1"/>
  <c r="F61" i="158"/>
  <c r="I61" i="158" s="1"/>
  <c r="F60" i="158"/>
  <c r="I60" i="158" s="1"/>
  <c r="F59" i="158"/>
  <c r="I59" i="158" s="1"/>
  <c r="F58" i="158"/>
  <c r="I58" i="158" s="1"/>
  <c r="F57" i="158"/>
  <c r="I57" i="158" s="1"/>
  <c r="F56" i="158"/>
  <c r="I56" i="158" s="1"/>
  <c r="F55" i="158"/>
  <c r="I55" i="158" s="1"/>
  <c r="F54" i="158"/>
  <c r="I54" i="158" s="1"/>
  <c r="F53" i="158"/>
  <c r="I53" i="158" s="1"/>
  <c r="F52" i="158"/>
  <c r="I52" i="158" s="1"/>
  <c r="F51" i="158"/>
  <c r="I51" i="158" s="1"/>
  <c r="F50" i="158"/>
  <c r="I50" i="158" s="1"/>
  <c r="F49" i="158"/>
  <c r="I49" i="158" s="1"/>
  <c r="F48" i="158"/>
  <c r="I48" i="158" s="1"/>
  <c r="F47" i="158"/>
  <c r="I47" i="158" s="1"/>
  <c r="F46" i="158"/>
  <c r="I46" i="158" s="1"/>
  <c r="F45" i="158"/>
  <c r="I45" i="158" s="1"/>
  <c r="F44" i="158"/>
  <c r="I44" i="158" s="1"/>
  <c r="F43" i="158"/>
  <c r="I43" i="158" s="1"/>
  <c r="F42" i="158"/>
  <c r="I42" i="158" s="1"/>
  <c r="F41" i="158"/>
  <c r="I41" i="158" s="1"/>
  <c r="F40" i="158"/>
  <c r="I40" i="158" s="1"/>
  <c r="F39" i="158"/>
  <c r="I39" i="158" s="1"/>
  <c r="F38" i="158"/>
  <c r="I38" i="158" s="1"/>
  <c r="F37" i="158"/>
  <c r="I37" i="158" s="1"/>
  <c r="F36" i="158"/>
  <c r="I36" i="158" s="1"/>
  <c r="F35" i="158"/>
  <c r="I35" i="158" s="1"/>
  <c r="F34" i="158"/>
  <c r="I34" i="158" s="1"/>
  <c r="F33" i="158"/>
  <c r="I33" i="158" s="1"/>
  <c r="F32" i="158"/>
  <c r="I32" i="158" s="1"/>
  <c r="F31" i="158"/>
  <c r="I31" i="158" s="1"/>
  <c r="F30" i="158"/>
  <c r="I30" i="158" s="1"/>
  <c r="F65" i="16"/>
  <c r="I65" i="16" s="1"/>
  <c r="F64" i="16"/>
  <c r="I64" i="16" s="1"/>
  <c r="F63" i="16"/>
  <c r="I63" i="16" s="1"/>
  <c r="F62" i="16"/>
  <c r="I62" i="16" s="1"/>
  <c r="F61" i="16"/>
  <c r="I61" i="16" s="1"/>
  <c r="F60" i="16"/>
  <c r="I60" i="16" s="1"/>
  <c r="F59" i="16"/>
  <c r="I59" i="16" s="1"/>
  <c r="F58" i="16"/>
  <c r="I58" i="16" s="1"/>
  <c r="F57" i="16"/>
  <c r="I57" i="16" s="1"/>
  <c r="F56" i="16"/>
  <c r="I56" i="16" s="1"/>
  <c r="F55" i="16"/>
  <c r="I55" i="16" s="1"/>
  <c r="F54" i="16"/>
  <c r="I54" i="16" s="1"/>
  <c r="F53" i="16"/>
  <c r="I53" i="16" s="1"/>
  <c r="F52" i="16"/>
  <c r="I52" i="16" s="1"/>
  <c r="F51" i="16"/>
  <c r="I51" i="16" s="1"/>
  <c r="F50" i="16"/>
  <c r="I50" i="16" s="1"/>
  <c r="F49" i="16"/>
  <c r="I49" i="16" s="1"/>
  <c r="F48" i="16"/>
  <c r="I48" i="16" s="1"/>
  <c r="F47" i="16"/>
  <c r="I47" i="16" s="1"/>
  <c r="F46" i="16"/>
  <c r="I46" i="16" s="1"/>
  <c r="F45" i="16"/>
  <c r="I45" i="16" s="1"/>
  <c r="F44" i="16"/>
  <c r="I44" i="16" s="1"/>
  <c r="F43" i="16"/>
  <c r="I43" i="16" s="1"/>
  <c r="F42" i="16"/>
  <c r="I42" i="16" s="1"/>
  <c r="F41" i="16"/>
  <c r="I41" i="16" s="1"/>
  <c r="F40" i="16"/>
  <c r="I40" i="16" s="1"/>
  <c r="F39" i="16"/>
  <c r="I39" i="16" s="1"/>
  <c r="F38" i="16"/>
  <c r="I38" i="16" s="1"/>
  <c r="F37" i="16"/>
  <c r="I37" i="16" s="1"/>
  <c r="F36" i="16"/>
  <c r="I36" i="16" s="1"/>
  <c r="F35" i="16"/>
  <c r="I35" i="16" s="1"/>
  <c r="F34" i="16"/>
  <c r="I34" i="16" s="1"/>
  <c r="F33" i="16"/>
  <c r="I33" i="16" s="1"/>
  <c r="F32" i="16"/>
  <c r="I32" i="16" s="1"/>
  <c r="F31" i="16"/>
  <c r="I31" i="16" s="1"/>
  <c r="F30" i="16"/>
  <c r="I30" i="16" s="1"/>
  <c r="F65" i="27"/>
  <c r="I65" i="27" s="1"/>
  <c r="F64" i="27"/>
  <c r="I64" i="27" s="1"/>
  <c r="F63" i="27"/>
  <c r="I63" i="27" s="1"/>
  <c r="F62" i="27"/>
  <c r="I62" i="27" s="1"/>
  <c r="F61" i="27"/>
  <c r="I61" i="27" s="1"/>
  <c r="F60" i="27"/>
  <c r="I60" i="27" s="1"/>
  <c r="F59" i="27"/>
  <c r="I59" i="27" s="1"/>
  <c r="F58" i="27"/>
  <c r="I58" i="27" s="1"/>
  <c r="F57" i="27"/>
  <c r="I57" i="27" s="1"/>
  <c r="F56" i="27"/>
  <c r="I56" i="27" s="1"/>
  <c r="F55" i="27"/>
  <c r="I55" i="27" s="1"/>
  <c r="F54" i="27"/>
  <c r="I54" i="27" s="1"/>
  <c r="F53" i="27"/>
  <c r="I53" i="27" s="1"/>
  <c r="F52" i="27"/>
  <c r="I52" i="27" s="1"/>
  <c r="F51" i="27"/>
  <c r="I51" i="27" s="1"/>
  <c r="F50" i="27"/>
  <c r="I50" i="27" s="1"/>
  <c r="F49" i="27"/>
  <c r="I49" i="27" s="1"/>
  <c r="F48" i="27"/>
  <c r="I48" i="27" s="1"/>
  <c r="F47" i="27"/>
  <c r="I47" i="27" s="1"/>
  <c r="F46" i="27"/>
  <c r="I46" i="27" s="1"/>
  <c r="F45" i="27"/>
  <c r="I45" i="27" s="1"/>
  <c r="F44" i="27"/>
  <c r="I44" i="27" s="1"/>
  <c r="F43" i="27"/>
  <c r="I43" i="27" s="1"/>
  <c r="F42" i="27"/>
  <c r="I42" i="27" s="1"/>
  <c r="F41" i="27"/>
  <c r="I41" i="27" s="1"/>
  <c r="F40" i="27"/>
  <c r="I40" i="27" s="1"/>
  <c r="F39" i="27"/>
  <c r="I39" i="27" s="1"/>
  <c r="F38" i="27"/>
  <c r="I38" i="27" s="1"/>
  <c r="F37" i="27"/>
  <c r="I37" i="27" s="1"/>
  <c r="F36" i="27"/>
  <c r="I36" i="27" s="1"/>
  <c r="F35" i="27"/>
  <c r="I35" i="27" s="1"/>
  <c r="F34" i="27"/>
  <c r="I34" i="27" s="1"/>
  <c r="F33" i="27"/>
  <c r="I33" i="27" s="1"/>
  <c r="F32" i="27"/>
  <c r="I32" i="27" s="1"/>
  <c r="F31" i="27"/>
  <c r="I31" i="27" s="1"/>
  <c r="F30" i="27"/>
  <c r="I30" i="27" s="1"/>
  <c r="F65" i="111"/>
  <c r="I65" i="111" s="1"/>
  <c r="F64" i="111"/>
  <c r="I64" i="111" s="1"/>
  <c r="F63" i="111"/>
  <c r="I63" i="111" s="1"/>
  <c r="F62" i="111"/>
  <c r="I62" i="111" s="1"/>
  <c r="F61" i="111"/>
  <c r="I61" i="111" s="1"/>
  <c r="F60" i="111"/>
  <c r="I60" i="111" s="1"/>
  <c r="F59" i="111"/>
  <c r="I59" i="111" s="1"/>
  <c r="F58" i="111"/>
  <c r="I58" i="111" s="1"/>
  <c r="F57" i="111"/>
  <c r="I57" i="111" s="1"/>
  <c r="F56" i="111"/>
  <c r="I56" i="111" s="1"/>
  <c r="F55" i="111"/>
  <c r="I55" i="111" s="1"/>
  <c r="F54" i="111"/>
  <c r="I54" i="111" s="1"/>
  <c r="F53" i="111"/>
  <c r="I53" i="111" s="1"/>
  <c r="F52" i="111"/>
  <c r="I52" i="111" s="1"/>
  <c r="F51" i="111"/>
  <c r="I51" i="111" s="1"/>
  <c r="F50" i="111"/>
  <c r="I50" i="111" s="1"/>
  <c r="F49" i="111"/>
  <c r="I49" i="111" s="1"/>
  <c r="F48" i="111"/>
  <c r="I48" i="111" s="1"/>
  <c r="F47" i="111"/>
  <c r="I47" i="111" s="1"/>
  <c r="F46" i="111"/>
  <c r="I46" i="111" s="1"/>
  <c r="F45" i="111"/>
  <c r="I45" i="111" s="1"/>
  <c r="F44" i="111"/>
  <c r="I44" i="111" s="1"/>
  <c r="F43" i="111"/>
  <c r="I43" i="111" s="1"/>
  <c r="F42" i="111"/>
  <c r="I42" i="111" s="1"/>
  <c r="F41" i="111"/>
  <c r="I41" i="111" s="1"/>
  <c r="F40" i="111"/>
  <c r="I40" i="111" s="1"/>
  <c r="F39" i="111"/>
  <c r="I39" i="111" s="1"/>
  <c r="F38" i="111"/>
  <c r="I38" i="111" s="1"/>
  <c r="F37" i="111"/>
  <c r="I37" i="111" s="1"/>
  <c r="F36" i="111"/>
  <c r="I36" i="111" s="1"/>
  <c r="F35" i="111"/>
  <c r="I35" i="111" s="1"/>
  <c r="F34" i="111"/>
  <c r="I34" i="111" s="1"/>
  <c r="F33" i="111"/>
  <c r="I33" i="111" s="1"/>
  <c r="F32" i="111"/>
  <c r="I32" i="111" s="1"/>
  <c r="F31" i="111"/>
  <c r="I31" i="111" s="1"/>
  <c r="F30" i="111"/>
  <c r="I30" i="111" s="1"/>
  <c r="F65" i="71"/>
  <c r="I65" i="71" s="1"/>
  <c r="F64" i="71"/>
  <c r="I64" i="71" s="1"/>
  <c r="F63" i="71"/>
  <c r="I63" i="71" s="1"/>
  <c r="F62" i="71"/>
  <c r="I62" i="71" s="1"/>
  <c r="F61" i="71"/>
  <c r="I61" i="71" s="1"/>
  <c r="F60" i="71"/>
  <c r="I60" i="71" s="1"/>
  <c r="F59" i="71"/>
  <c r="I59" i="71" s="1"/>
  <c r="F58" i="71"/>
  <c r="I58" i="71" s="1"/>
  <c r="F57" i="71"/>
  <c r="I57" i="71" s="1"/>
  <c r="F56" i="71"/>
  <c r="I56" i="71" s="1"/>
  <c r="F55" i="71"/>
  <c r="I55" i="71" s="1"/>
  <c r="F54" i="71"/>
  <c r="I54" i="71" s="1"/>
  <c r="F53" i="71"/>
  <c r="I53" i="71" s="1"/>
  <c r="F52" i="71"/>
  <c r="I52" i="71" s="1"/>
  <c r="F51" i="71"/>
  <c r="I51" i="71" s="1"/>
  <c r="F50" i="71"/>
  <c r="I50" i="71" s="1"/>
  <c r="F49" i="71"/>
  <c r="I49" i="71" s="1"/>
  <c r="F48" i="71"/>
  <c r="I48" i="71" s="1"/>
  <c r="F47" i="71"/>
  <c r="I47" i="71" s="1"/>
  <c r="F46" i="71"/>
  <c r="I46" i="71" s="1"/>
  <c r="F45" i="71"/>
  <c r="I45" i="71" s="1"/>
  <c r="F44" i="71"/>
  <c r="I44" i="71" s="1"/>
  <c r="F43" i="71"/>
  <c r="I43" i="71" s="1"/>
  <c r="F42" i="71"/>
  <c r="I42" i="71" s="1"/>
  <c r="F41" i="71"/>
  <c r="I41" i="71" s="1"/>
  <c r="F40" i="71"/>
  <c r="I40" i="71" s="1"/>
  <c r="F39" i="71"/>
  <c r="I39" i="71" s="1"/>
  <c r="F38" i="71"/>
  <c r="I38" i="71" s="1"/>
  <c r="F37" i="71"/>
  <c r="I37" i="71" s="1"/>
  <c r="F36" i="71"/>
  <c r="I36" i="71" s="1"/>
  <c r="F35" i="71"/>
  <c r="I35" i="71" s="1"/>
  <c r="F34" i="71"/>
  <c r="I34" i="71" s="1"/>
  <c r="F33" i="71"/>
  <c r="I33" i="71" s="1"/>
  <c r="F32" i="71"/>
  <c r="I32" i="71" s="1"/>
  <c r="F31" i="71"/>
  <c r="I31" i="71" s="1"/>
  <c r="F30" i="71"/>
  <c r="I30" i="71" s="1"/>
  <c r="F65" i="165"/>
  <c r="I65" i="165" s="1"/>
  <c r="F64" i="165"/>
  <c r="I64" i="165" s="1"/>
  <c r="F63" i="165"/>
  <c r="I63" i="165" s="1"/>
  <c r="F62" i="165"/>
  <c r="I62" i="165" s="1"/>
  <c r="F61" i="165"/>
  <c r="I61" i="165" s="1"/>
  <c r="F60" i="165"/>
  <c r="I60" i="165" s="1"/>
  <c r="F59" i="165"/>
  <c r="I59" i="165" s="1"/>
  <c r="F58" i="165"/>
  <c r="I58" i="165" s="1"/>
  <c r="F57" i="165"/>
  <c r="I57" i="165" s="1"/>
  <c r="F56" i="165"/>
  <c r="I56" i="165" s="1"/>
  <c r="F55" i="165"/>
  <c r="I55" i="165" s="1"/>
  <c r="F54" i="165"/>
  <c r="I54" i="165" s="1"/>
  <c r="F53" i="165"/>
  <c r="I53" i="165" s="1"/>
  <c r="F52" i="165"/>
  <c r="I52" i="165" s="1"/>
  <c r="F51" i="165"/>
  <c r="I51" i="165" s="1"/>
  <c r="F50" i="165"/>
  <c r="I50" i="165" s="1"/>
  <c r="F49" i="165"/>
  <c r="I49" i="165" s="1"/>
  <c r="F48" i="165"/>
  <c r="I48" i="165" s="1"/>
  <c r="F47" i="165"/>
  <c r="I47" i="165" s="1"/>
  <c r="F46" i="165"/>
  <c r="I46" i="165" s="1"/>
  <c r="F45" i="165"/>
  <c r="I45" i="165" s="1"/>
  <c r="F44" i="165"/>
  <c r="I44" i="165" s="1"/>
  <c r="F43" i="165"/>
  <c r="I43" i="165" s="1"/>
  <c r="F42" i="165"/>
  <c r="I42" i="165" s="1"/>
  <c r="F41" i="165"/>
  <c r="I41" i="165" s="1"/>
  <c r="F40" i="165"/>
  <c r="I40" i="165" s="1"/>
  <c r="F39" i="165"/>
  <c r="I39" i="165" s="1"/>
  <c r="F38" i="165"/>
  <c r="I38" i="165" s="1"/>
  <c r="F37" i="165"/>
  <c r="I37" i="165" s="1"/>
  <c r="F36" i="165"/>
  <c r="I36" i="165" s="1"/>
  <c r="F35" i="165"/>
  <c r="I35" i="165" s="1"/>
  <c r="F34" i="165"/>
  <c r="I34" i="165" s="1"/>
  <c r="F33" i="165"/>
  <c r="I33" i="165" s="1"/>
  <c r="F32" i="165"/>
  <c r="I32" i="165" s="1"/>
  <c r="F31" i="165"/>
  <c r="I31" i="165" s="1"/>
  <c r="F30" i="165"/>
  <c r="I30" i="165" s="1"/>
  <c r="F65" i="55"/>
  <c r="I65" i="55" s="1"/>
  <c r="F64" i="55"/>
  <c r="I64" i="55" s="1"/>
  <c r="F63" i="55"/>
  <c r="I63" i="55" s="1"/>
  <c r="F62" i="55"/>
  <c r="I62" i="55" s="1"/>
  <c r="F61" i="55"/>
  <c r="I61" i="55" s="1"/>
  <c r="F60" i="55"/>
  <c r="I60" i="55" s="1"/>
  <c r="F59" i="55"/>
  <c r="I59" i="55" s="1"/>
  <c r="F58" i="55"/>
  <c r="I58" i="55" s="1"/>
  <c r="F57" i="55"/>
  <c r="I57" i="55" s="1"/>
  <c r="F56" i="55"/>
  <c r="I56" i="55" s="1"/>
  <c r="F55" i="55"/>
  <c r="I55" i="55" s="1"/>
  <c r="F54" i="55"/>
  <c r="I54" i="55" s="1"/>
  <c r="F53" i="55"/>
  <c r="I53" i="55" s="1"/>
  <c r="F52" i="55"/>
  <c r="I52" i="55" s="1"/>
  <c r="F51" i="55"/>
  <c r="I51" i="55" s="1"/>
  <c r="F50" i="55"/>
  <c r="I50" i="55" s="1"/>
  <c r="F49" i="55"/>
  <c r="I49" i="55" s="1"/>
  <c r="F48" i="55"/>
  <c r="I48" i="55" s="1"/>
  <c r="F47" i="55"/>
  <c r="I47" i="55" s="1"/>
  <c r="F46" i="55"/>
  <c r="I46" i="55" s="1"/>
  <c r="F45" i="55"/>
  <c r="I45" i="55" s="1"/>
  <c r="F44" i="55"/>
  <c r="I44" i="55" s="1"/>
  <c r="F43" i="55"/>
  <c r="I43" i="55" s="1"/>
  <c r="F42" i="55"/>
  <c r="I42" i="55" s="1"/>
  <c r="F41" i="55"/>
  <c r="I41" i="55" s="1"/>
  <c r="F40" i="55"/>
  <c r="I40" i="55" s="1"/>
  <c r="F39" i="55"/>
  <c r="I39" i="55" s="1"/>
  <c r="F38" i="55"/>
  <c r="I38" i="55" s="1"/>
  <c r="F37" i="55"/>
  <c r="I37" i="55" s="1"/>
  <c r="F36" i="55"/>
  <c r="I36" i="55" s="1"/>
  <c r="F35" i="55"/>
  <c r="I35" i="55" s="1"/>
  <c r="F34" i="55"/>
  <c r="I34" i="55" s="1"/>
  <c r="F33" i="55"/>
  <c r="I33" i="55" s="1"/>
  <c r="F32" i="55"/>
  <c r="I32" i="55" s="1"/>
  <c r="F31" i="55"/>
  <c r="I31" i="55" s="1"/>
  <c r="F30" i="55"/>
  <c r="I30" i="55" s="1"/>
  <c r="F65" i="21"/>
  <c r="I65" i="21" s="1"/>
  <c r="F64" i="21"/>
  <c r="I64" i="21" s="1"/>
  <c r="F63" i="21"/>
  <c r="I63" i="21" s="1"/>
  <c r="F62" i="21"/>
  <c r="I62" i="21" s="1"/>
  <c r="F61" i="21"/>
  <c r="I61" i="21" s="1"/>
  <c r="F60" i="21"/>
  <c r="I60" i="21" s="1"/>
  <c r="F59" i="21"/>
  <c r="I59" i="21" s="1"/>
  <c r="F58" i="21"/>
  <c r="I58" i="21" s="1"/>
  <c r="F57" i="21"/>
  <c r="I57" i="21" s="1"/>
  <c r="F56" i="21"/>
  <c r="I56" i="21" s="1"/>
  <c r="F55" i="21"/>
  <c r="I55" i="21" s="1"/>
  <c r="F54" i="21"/>
  <c r="I54" i="21" s="1"/>
  <c r="F53" i="21"/>
  <c r="I53" i="21" s="1"/>
  <c r="F52" i="21"/>
  <c r="I52" i="21" s="1"/>
  <c r="F51" i="21"/>
  <c r="I51" i="21" s="1"/>
  <c r="F50" i="21"/>
  <c r="I50" i="21" s="1"/>
  <c r="F49" i="21"/>
  <c r="I49" i="21" s="1"/>
  <c r="F48" i="21"/>
  <c r="I48" i="21" s="1"/>
  <c r="F47" i="21"/>
  <c r="I47" i="21" s="1"/>
  <c r="F46" i="21"/>
  <c r="I46" i="21" s="1"/>
  <c r="F45" i="21"/>
  <c r="I45" i="21" s="1"/>
  <c r="F44" i="21"/>
  <c r="I44" i="21" s="1"/>
  <c r="F43" i="21"/>
  <c r="I43" i="21" s="1"/>
  <c r="F42" i="21"/>
  <c r="I42" i="21" s="1"/>
  <c r="F41" i="21"/>
  <c r="I41" i="21" s="1"/>
  <c r="F40" i="21"/>
  <c r="I40" i="21" s="1"/>
  <c r="F39" i="21"/>
  <c r="I39" i="21" s="1"/>
  <c r="F38" i="21"/>
  <c r="I38" i="21" s="1"/>
  <c r="F37" i="21"/>
  <c r="I37" i="21" s="1"/>
  <c r="F36" i="21"/>
  <c r="I36" i="21" s="1"/>
  <c r="F35" i="21"/>
  <c r="I35" i="21" s="1"/>
  <c r="F34" i="21"/>
  <c r="I34" i="21" s="1"/>
  <c r="F33" i="21"/>
  <c r="I33" i="21" s="1"/>
  <c r="F32" i="21"/>
  <c r="I32" i="21" s="1"/>
  <c r="F31" i="21"/>
  <c r="I31" i="21" s="1"/>
  <c r="F30" i="21"/>
  <c r="I30" i="21" s="1"/>
  <c r="F65" i="14"/>
  <c r="I65" i="14" s="1"/>
  <c r="F64" i="14"/>
  <c r="I64" i="14" s="1"/>
  <c r="F63" i="14"/>
  <c r="I63" i="14" s="1"/>
  <c r="F62" i="14"/>
  <c r="I62" i="14" s="1"/>
  <c r="F61" i="14"/>
  <c r="I61" i="14" s="1"/>
  <c r="F60" i="14"/>
  <c r="I60" i="14" s="1"/>
  <c r="F59" i="14"/>
  <c r="I59" i="14" s="1"/>
  <c r="F58" i="14"/>
  <c r="I58" i="14" s="1"/>
  <c r="F57" i="14"/>
  <c r="I57" i="14" s="1"/>
  <c r="F56" i="14"/>
  <c r="I56" i="14" s="1"/>
  <c r="F55" i="14"/>
  <c r="I55" i="14" s="1"/>
  <c r="F54" i="14"/>
  <c r="I54" i="14" s="1"/>
  <c r="F53" i="14"/>
  <c r="I53" i="14" s="1"/>
  <c r="F52" i="14"/>
  <c r="I52" i="14" s="1"/>
  <c r="F51" i="14"/>
  <c r="I51" i="14" s="1"/>
  <c r="F50" i="14"/>
  <c r="I50" i="14" s="1"/>
  <c r="F49" i="14"/>
  <c r="I49" i="14" s="1"/>
  <c r="F48" i="14"/>
  <c r="I48" i="14" s="1"/>
  <c r="F47" i="14"/>
  <c r="I47" i="14" s="1"/>
  <c r="F46" i="14"/>
  <c r="I46" i="14" s="1"/>
  <c r="F45" i="14"/>
  <c r="I45" i="14" s="1"/>
  <c r="F44" i="14"/>
  <c r="I44" i="14" s="1"/>
  <c r="F43" i="14"/>
  <c r="I43" i="14" s="1"/>
  <c r="F42" i="14"/>
  <c r="I42" i="14" s="1"/>
  <c r="F41" i="14"/>
  <c r="I41" i="14" s="1"/>
  <c r="F40" i="14"/>
  <c r="I40" i="14" s="1"/>
  <c r="F39" i="14"/>
  <c r="I39" i="14" s="1"/>
  <c r="F38" i="14"/>
  <c r="I38" i="14" s="1"/>
  <c r="F37" i="14"/>
  <c r="I37" i="14" s="1"/>
  <c r="F36" i="14"/>
  <c r="I36" i="14" s="1"/>
  <c r="F35" i="14"/>
  <c r="I35" i="14" s="1"/>
  <c r="F34" i="14"/>
  <c r="I34" i="14" s="1"/>
  <c r="F33" i="14"/>
  <c r="I33" i="14" s="1"/>
  <c r="F32" i="14"/>
  <c r="I32" i="14" s="1"/>
  <c r="F31" i="14"/>
  <c r="I31" i="14" s="1"/>
  <c r="F30" i="14"/>
  <c r="I30" i="14" s="1"/>
  <c r="F65" i="85"/>
  <c r="I65" i="85" s="1"/>
  <c r="F64" i="85"/>
  <c r="I64" i="85" s="1"/>
  <c r="F63" i="85"/>
  <c r="I63" i="85" s="1"/>
  <c r="F62" i="85"/>
  <c r="I62" i="85" s="1"/>
  <c r="F61" i="85"/>
  <c r="I61" i="85" s="1"/>
  <c r="F60" i="85"/>
  <c r="I60" i="85" s="1"/>
  <c r="F59" i="85"/>
  <c r="I59" i="85" s="1"/>
  <c r="F58" i="85"/>
  <c r="I58" i="85" s="1"/>
  <c r="F57" i="85"/>
  <c r="I57" i="85" s="1"/>
  <c r="F56" i="85"/>
  <c r="I56" i="85" s="1"/>
  <c r="F55" i="85"/>
  <c r="I55" i="85" s="1"/>
  <c r="F54" i="85"/>
  <c r="I54" i="85" s="1"/>
  <c r="F53" i="85"/>
  <c r="I53" i="85" s="1"/>
  <c r="F52" i="85"/>
  <c r="I52" i="85" s="1"/>
  <c r="F51" i="85"/>
  <c r="I51" i="85" s="1"/>
  <c r="F50" i="85"/>
  <c r="I50" i="85" s="1"/>
  <c r="F49" i="85"/>
  <c r="I49" i="85" s="1"/>
  <c r="F48" i="85"/>
  <c r="I48" i="85" s="1"/>
  <c r="F47" i="85"/>
  <c r="I47" i="85" s="1"/>
  <c r="F46" i="85"/>
  <c r="I46" i="85" s="1"/>
  <c r="F45" i="85"/>
  <c r="I45" i="85" s="1"/>
  <c r="F44" i="85"/>
  <c r="I44" i="85" s="1"/>
  <c r="F43" i="85"/>
  <c r="I43" i="85" s="1"/>
  <c r="F42" i="85"/>
  <c r="I42" i="85" s="1"/>
  <c r="F41" i="85"/>
  <c r="I41" i="85" s="1"/>
  <c r="F40" i="85"/>
  <c r="I40" i="85" s="1"/>
  <c r="F39" i="85"/>
  <c r="I39" i="85" s="1"/>
  <c r="F38" i="85"/>
  <c r="I38" i="85" s="1"/>
  <c r="F37" i="85"/>
  <c r="I37" i="85" s="1"/>
  <c r="F36" i="85"/>
  <c r="I36" i="85" s="1"/>
  <c r="F35" i="85"/>
  <c r="I35" i="85" s="1"/>
  <c r="F34" i="85"/>
  <c r="I34" i="85" s="1"/>
  <c r="F33" i="85"/>
  <c r="I33" i="85" s="1"/>
  <c r="F32" i="85"/>
  <c r="I32" i="85" s="1"/>
  <c r="F31" i="85"/>
  <c r="I31" i="85" s="1"/>
  <c r="F30" i="85"/>
  <c r="I30" i="85" s="1"/>
  <c r="F65" i="87"/>
  <c r="I65" i="87" s="1"/>
  <c r="F64" i="87"/>
  <c r="I64" i="87" s="1"/>
  <c r="F63" i="87"/>
  <c r="I63" i="87" s="1"/>
  <c r="F62" i="87"/>
  <c r="I62" i="87" s="1"/>
  <c r="F61" i="87"/>
  <c r="I61" i="87" s="1"/>
  <c r="F60" i="87"/>
  <c r="I60" i="87" s="1"/>
  <c r="F59" i="87"/>
  <c r="I59" i="87" s="1"/>
  <c r="F58" i="87"/>
  <c r="I58" i="87" s="1"/>
  <c r="F57" i="87"/>
  <c r="I57" i="87" s="1"/>
  <c r="F56" i="87"/>
  <c r="I56" i="87" s="1"/>
  <c r="F55" i="87"/>
  <c r="I55" i="87" s="1"/>
  <c r="F54" i="87"/>
  <c r="I54" i="87" s="1"/>
  <c r="F53" i="87"/>
  <c r="I53" i="87" s="1"/>
  <c r="F52" i="87"/>
  <c r="I52" i="87" s="1"/>
  <c r="F51" i="87"/>
  <c r="I51" i="87" s="1"/>
  <c r="F50" i="87"/>
  <c r="I50" i="87" s="1"/>
  <c r="F49" i="87"/>
  <c r="I49" i="87" s="1"/>
  <c r="F48" i="87"/>
  <c r="I48" i="87" s="1"/>
  <c r="F47" i="87"/>
  <c r="I47" i="87" s="1"/>
  <c r="F46" i="87"/>
  <c r="I46" i="87" s="1"/>
  <c r="F45" i="87"/>
  <c r="I45" i="87" s="1"/>
  <c r="F44" i="87"/>
  <c r="I44" i="87" s="1"/>
  <c r="F43" i="87"/>
  <c r="I43" i="87" s="1"/>
  <c r="F42" i="87"/>
  <c r="I42" i="87" s="1"/>
  <c r="F41" i="87"/>
  <c r="I41" i="87" s="1"/>
  <c r="F40" i="87"/>
  <c r="I40" i="87" s="1"/>
  <c r="F39" i="87"/>
  <c r="I39" i="87" s="1"/>
  <c r="F38" i="87"/>
  <c r="I38" i="87" s="1"/>
  <c r="F37" i="87"/>
  <c r="I37" i="87" s="1"/>
  <c r="F36" i="87"/>
  <c r="I36" i="87" s="1"/>
  <c r="F35" i="87"/>
  <c r="I35" i="87" s="1"/>
  <c r="F34" i="87"/>
  <c r="I34" i="87" s="1"/>
  <c r="F33" i="87"/>
  <c r="I33" i="87" s="1"/>
  <c r="F32" i="87"/>
  <c r="I32" i="87" s="1"/>
  <c r="F31" i="87"/>
  <c r="I31" i="87" s="1"/>
  <c r="F30" i="87"/>
  <c r="I30" i="87" s="1"/>
  <c r="F65" i="86"/>
  <c r="I65" i="86" s="1"/>
  <c r="F64" i="86"/>
  <c r="I64" i="86" s="1"/>
  <c r="F63" i="86"/>
  <c r="I63" i="86" s="1"/>
  <c r="F62" i="86"/>
  <c r="I62" i="86" s="1"/>
  <c r="F61" i="86"/>
  <c r="I61" i="86" s="1"/>
  <c r="F60" i="86"/>
  <c r="I60" i="86" s="1"/>
  <c r="F59" i="86"/>
  <c r="I59" i="86" s="1"/>
  <c r="F58" i="86"/>
  <c r="I58" i="86" s="1"/>
  <c r="F57" i="86"/>
  <c r="I57" i="86" s="1"/>
  <c r="F56" i="86"/>
  <c r="I56" i="86" s="1"/>
  <c r="F55" i="86"/>
  <c r="I55" i="86" s="1"/>
  <c r="F54" i="86"/>
  <c r="I54" i="86" s="1"/>
  <c r="F53" i="86"/>
  <c r="I53" i="86" s="1"/>
  <c r="F52" i="86"/>
  <c r="I52" i="86" s="1"/>
  <c r="F51" i="86"/>
  <c r="I51" i="86" s="1"/>
  <c r="F50" i="86"/>
  <c r="I50" i="86" s="1"/>
  <c r="F49" i="86"/>
  <c r="I49" i="86" s="1"/>
  <c r="F48" i="86"/>
  <c r="I48" i="86" s="1"/>
  <c r="F47" i="86"/>
  <c r="I47" i="86" s="1"/>
  <c r="F46" i="86"/>
  <c r="I46" i="86" s="1"/>
  <c r="F45" i="86"/>
  <c r="I45" i="86" s="1"/>
  <c r="F44" i="86"/>
  <c r="I44" i="86" s="1"/>
  <c r="F43" i="86"/>
  <c r="I43" i="86" s="1"/>
  <c r="F42" i="86"/>
  <c r="I42" i="86" s="1"/>
  <c r="F41" i="86"/>
  <c r="I41" i="86" s="1"/>
  <c r="F40" i="86"/>
  <c r="I40" i="86" s="1"/>
  <c r="F39" i="86"/>
  <c r="I39" i="86" s="1"/>
  <c r="F38" i="86"/>
  <c r="I38" i="86" s="1"/>
  <c r="F37" i="86"/>
  <c r="I37" i="86" s="1"/>
  <c r="F36" i="86"/>
  <c r="I36" i="86" s="1"/>
  <c r="F35" i="86"/>
  <c r="I35" i="86" s="1"/>
  <c r="F34" i="86"/>
  <c r="I34" i="86" s="1"/>
  <c r="F33" i="86"/>
  <c r="I33" i="86" s="1"/>
  <c r="F32" i="86"/>
  <c r="I32" i="86" s="1"/>
  <c r="F31" i="86"/>
  <c r="I31" i="86" s="1"/>
  <c r="F30" i="86"/>
  <c r="I30" i="86" s="1"/>
  <c r="F65" i="89"/>
  <c r="I65" i="89" s="1"/>
  <c r="F64" i="89"/>
  <c r="I64" i="89" s="1"/>
  <c r="F63" i="89"/>
  <c r="I63" i="89" s="1"/>
  <c r="F62" i="89"/>
  <c r="I62" i="89" s="1"/>
  <c r="F61" i="89"/>
  <c r="I61" i="89" s="1"/>
  <c r="F60" i="89"/>
  <c r="I60" i="89" s="1"/>
  <c r="F59" i="89"/>
  <c r="I59" i="89" s="1"/>
  <c r="F58" i="89"/>
  <c r="I58" i="89" s="1"/>
  <c r="F57" i="89"/>
  <c r="I57" i="89" s="1"/>
  <c r="F56" i="89"/>
  <c r="I56" i="89" s="1"/>
  <c r="F55" i="89"/>
  <c r="I55" i="89" s="1"/>
  <c r="F54" i="89"/>
  <c r="I54" i="89" s="1"/>
  <c r="F53" i="89"/>
  <c r="I53" i="89" s="1"/>
  <c r="F52" i="89"/>
  <c r="I52" i="89" s="1"/>
  <c r="F51" i="89"/>
  <c r="I51" i="89" s="1"/>
  <c r="F50" i="89"/>
  <c r="I50" i="89" s="1"/>
  <c r="F49" i="89"/>
  <c r="I49" i="89" s="1"/>
  <c r="F48" i="89"/>
  <c r="I48" i="89" s="1"/>
  <c r="F47" i="89"/>
  <c r="I47" i="89" s="1"/>
  <c r="F46" i="89"/>
  <c r="I46" i="89" s="1"/>
  <c r="F45" i="89"/>
  <c r="I45" i="89" s="1"/>
  <c r="F44" i="89"/>
  <c r="I44" i="89" s="1"/>
  <c r="F43" i="89"/>
  <c r="I43" i="89" s="1"/>
  <c r="F42" i="89"/>
  <c r="I42" i="89" s="1"/>
  <c r="F41" i="89"/>
  <c r="I41" i="89" s="1"/>
  <c r="F40" i="89"/>
  <c r="I40" i="89" s="1"/>
  <c r="F39" i="89"/>
  <c r="I39" i="89" s="1"/>
  <c r="F38" i="89"/>
  <c r="I38" i="89" s="1"/>
  <c r="F37" i="89"/>
  <c r="I37" i="89" s="1"/>
  <c r="F36" i="89"/>
  <c r="I36" i="89" s="1"/>
  <c r="F35" i="89"/>
  <c r="I35" i="89" s="1"/>
  <c r="F34" i="89"/>
  <c r="I34" i="89" s="1"/>
  <c r="F33" i="89"/>
  <c r="I33" i="89" s="1"/>
  <c r="F32" i="89"/>
  <c r="I32" i="89" s="1"/>
  <c r="F31" i="89"/>
  <c r="I31" i="89" s="1"/>
  <c r="F30" i="89"/>
  <c r="I30" i="89" s="1"/>
  <c r="F65" i="142"/>
  <c r="I65" i="142" s="1"/>
  <c r="F64" i="142"/>
  <c r="I64" i="142" s="1"/>
  <c r="F63" i="142"/>
  <c r="I63" i="142" s="1"/>
  <c r="F62" i="142"/>
  <c r="I62" i="142" s="1"/>
  <c r="F61" i="142"/>
  <c r="I61" i="142" s="1"/>
  <c r="F60" i="142"/>
  <c r="I60" i="142" s="1"/>
  <c r="F59" i="142"/>
  <c r="I59" i="142" s="1"/>
  <c r="F58" i="142"/>
  <c r="I58" i="142" s="1"/>
  <c r="F57" i="142"/>
  <c r="I57" i="142" s="1"/>
  <c r="F56" i="142"/>
  <c r="I56" i="142" s="1"/>
  <c r="F55" i="142"/>
  <c r="I55" i="142" s="1"/>
  <c r="F54" i="142"/>
  <c r="I54" i="142" s="1"/>
  <c r="F53" i="142"/>
  <c r="I53" i="142" s="1"/>
  <c r="F52" i="142"/>
  <c r="I52" i="142" s="1"/>
  <c r="F51" i="142"/>
  <c r="I51" i="142" s="1"/>
  <c r="F50" i="142"/>
  <c r="I50" i="142" s="1"/>
  <c r="F49" i="142"/>
  <c r="I49" i="142" s="1"/>
  <c r="F48" i="142"/>
  <c r="I48" i="142" s="1"/>
  <c r="F47" i="142"/>
  <c r="I47" i="142" s="1"/>
  <c r="F46" i="142"/>
  <c r="I46" i="142" s="1"/>
  <c r="F45" i="142"/>
  <c r="I45" i="142" s="1"/>
  <c r="F44" i="142"/>
  <c r="I44" i="142" s="1"/>
  <c r="F43" i="142"/>
  <c r="I43" i="142" s="1"/>
  <c r="F42" i="142"/>
  <c r="I42" i="142" s="1"/>
  <c r="F41" i="142"/>
  <c r="I41" i="142" s="1"/>
  <c r="F40" i="142"/>
  <c r="I40" i="142" s="1"/>
  <c r="F39" i="142"/>
  <c r="I39" i="142" s="1"/>
  <c r="F38" i="142"/>
  <c r="I38" i="142" s="1"/>
  <c r="F37" i="142"/>
  <c r="I37" i="142" s="1"/>
  <c r="F36" i="142"/>
  <c r="I36" i="142" s="1"/>
  <c r="F35" i="142"/>
  <c r="I35" i="142" s="1"/>
  <c r="F34" i="142"/>
  <c r="I34" i="142" s="1"/>
  <c r="F33" i="142"/>
  <c r="I33" i="142" s="1"/>
  <c r="F32" i="142"/>
  <c r="I32" i="142" s="1"/>
  <c r="F31" i="142"/>
  <c r="I31" i="142" s="1"/>
  <c r="F30" i="142"/>
  <c r="I30" i="142" s="1"/>
  <c r="F65" i="92"/>
  <c r="I65" i="92" s="1"/>
  <c r="F64" i="92"/>
  <c r="I64" i="92" s="1"/>
  <c r="F63" i="92"/>
  <c r="I63" i="92" s="1"/>
  <c r="F62" i="92"/>
  <c r="I62" i="92" s="1"/>
  <c r="F61" i="92"/>
  <c r="I61" i="92" s="1"/>
  <c r="F60" i="92"/>
  <c r="I60" i="92" s="1"/>
  <c r="F59" i="92"/>
  <c r="I59" i="92" s="1"/>
  <c r="F58" i="92"/>
  <c r="I58" i="92" s="1"/>
  <c r="F57" i="92"/>
  <c r="I57" i="92" s="1"/>
  <c r="F56" i="92"/>
  <c r="I56" i="92" s="1"/>
  <c r="F55" i="92"/>
  <c r="I55" i="92" s="1"/>
  <c r="F54" i="92"/>
  <c r="I54" i="92" s="1"/>
  <c r="F53" i="92"/>
  <c r="I53" i="92" s="1"/>
  <c r="F52" i="92"/>
  <c r="I52" i="92" s="1"/>
  <c r="F51" i="92"/>
  <c r="I51" i="92" s="1"/>
  <c r="F50" i="92"/>
  <c r="I50" i="92" s="1"/>
  <c r="F49" i="92"/>
  <c r="I49" i="92" s="1"/>
  <c r="F48" i="92"/>
  <c r="I48" i="92" s="1"/>
  <c r="F47" i="92"/>
  <c r="I47" i="92" s="1"/>
  <c r="F46" i="92"/>
  <c r="I46" i="92" s="1"/>
  <c r="F45" i="92"/>
  <c r="I45" i="92" s="1"/>
  <c r="F44" i="92"/>
  <c r="I44" i="92" s="1"/>
  <c r="F43" i="92"/>
  <c r="I43" i="92" s="1"/>
  <c r="F42" i="92"/>
  <c r="I42" i="92" s="1"/>
  <c r="F41" i="92"/>
  <c r="I41" i="92" s="1"/>
  <c r="F40" i="92"/>
  <c r="I40" i="92" s="1"/>
  <c r="F39" i="92"/>
  <c r="I39" i="92" s="1"/>
  <c r="F38" i="92"/>
  <c r="I38" i="92" s="1"/>
  <c r="F37" i="92"/>
  <c r="I37" i="92" s="1"/>
  <c r="F36" i="92"/>
  <c r="I36" i="92" s="1"/>
  <c r="F35" i="92"/>
  <c r="I35" i="92" s="1"/>
  <c r="F34" i="92"/>
  <c r="I34" i="92" s="1"/>
  <c r="F33" i="92"/>
  <c r="I33" i="92" s="1"/>
  <c r="F32" i="92"/>
  <c r="I32" i="92" s="1"/>
  <c r="F31" i="92"/>
  <c r="I31" i="92" s="1"/>
  <c r="F30" i="92"/>
  <c r="I30" i="92" s="1"/>
  <c r="F65" i="1"/>
  <c r="I65" i="1" s="1"/>
  <c r="F64" i="1"/>
  <c r="I64" i="1" s="1"/>
  <c r="F63" i="1"/>
  <c r="I63" i="1" s="1"/>
  <c r="F62" i="1"/>
  <c r="I62" i="1" s="1"/>
  <c r="F61" i="1"/>
  <c r="I61" i="1" s="1"/>
  <c r="F60" i="1"/>
  <c r="I60" i="1" s="1"/>
  <c r="F59" i="1"/>
  <c r="I59" i="1" s="1"/>
  <c r="F58" i="1"/>
  <c r="I58" i="1" s="1"/>
  <c r="F57" i="1"/>
  <c r="I57" i="1" s="1"/>
  <c r="F56" i="1"/>
  <c r="I56" i="1" s="1"/>
  <c r="F55" i="1"/>
  <c r="I55" i="1" s="1"/>
  <c r="F54" i="1"/>
  <c r="I54" i="1" s="1"/>
  <c r="F53" i="1"/>
  <c r="I53" i="1" s="1"/>
  <c r="F52" i="1"/>
  <c r="I52" i="1" s="1"/>
  <c r="F51" i="1"/>
  <c r="I51" i="1" s="1"/>
  <c r="F50" i="1"/>
  <c r="I50" i="1" s="1"/>
  <c r="F49" i="1"/>
  <c r="I49" i="1" s="1"/>
  <c r="F48" i="1"/>
  <c r="I48" i="1" s="1"/>
  <c r="F47" i="1"/>
  <c r="I47" i="1" s="1"/>
  <c r="F46" i="1"/>
  <c r="I46" i="1" s="1"/>
  <c r="F45" i="1"/>
  <c r="I45" i="1" s="1"/>
  <c r="F44" i="1"/>
  <c r="I44" i="1" s="1"/>
  <c r="F43" i="1"/>
  <c r="I43" i="1" s="1"/>
  <c r="F42" i="1"/>
  <c r="I42" i="1" s="1"/>
  <c r="F41" i="1"/>
  <c r="I41" i="1" s="1"/>
  <c r="F40" i="1"/>
  <c r="I40" i="1" s="1"/>
  <c r="F39" i="1"/>
  <c r="I39" i="1" s="1"/>
  <c r="F38" i="1"/>
  <c r="I38" i="1" s="1"/>
  <c r="F37" i="1"/>
  <c r="I37" i="1" s="1"/>
  <c r="F36" i="1"/>
  <c r="I36" i="1" s="1"/>
  <c r="F35" i="1"/>
  <c r="I35" i="1" s="1"/>
  <c r="F34" i="1"/>
  <c r="I34" i="1" s="1"/>
  <c r="F33" i="1"/>
  <c r="I33" i="1" s="1"/>
  <c r="F32" i="1"/>
  <c r="I32" i="1" s="1"/>
  <c r="F31" i="1"/>
  <c r="I31" i="1" s="1"/>
  <c r="F30" i="1"/>
  <c r="I30" i="1" s="1"/>
  <c r="F65" i="50"/>
  <c r="I65" i="50" s="1"/>
  <c r="F64" i="50"/>
  <c r="I64" i="50" s="1"/>
  <c r="F63" i="50"/>
  <c r="I63" i="50" s="1"/>
  <c r="F62" i="50"/>
  <c r="I62" i="50" s="1"/>
  <c r="F61" i="50"/>
  <c r="I61" i="50" s="1"/>
  <c r="F60" i="50"/>
  <c r="I60" i="50" s="1"/>
  <c r="F59" i="50"/>
  <c r="I59" i="50" s="1"/>
  <c r="F58" i="50"/>
  <c r="I58" i="50" s="1"/>
  <c r="F57" i="50"/>
  <c r="I57" i="50" s="1"/>
  <c r="F56" i="50"/>
  <c r="I56" i="50" s="1"/>
  <c r="F55" i="50"/>
  <c r="I55" i="50" s="1"/>
  <c r="F54" i="50"/>
  <c r="I54" i="50" s="1"/>
  <c r="F53" i="50"/>
  <c r="I53" i="50" s="1"/>
  <c r="F52" i="50"/>
  <c r="I52" i="50" s="1"/>
  <c r="F51" i="50"/>
  <c r="I51" i="50" s="1"/>
  <c r="F50" i="50"/>
  <c r="I50" i="50" s="1"/>
  <c r="F49" i="50"/>
  <c r="I49" i="50" s="1"/>
  <c r="F48" i="50"/>
  <c r="I48" i="50" s="1"/>
  <c r="F47" i="50"/>
  <c r="I47" i="50" s="1"/>
  <c r="F46" i="50"/>
  <c r="I46" i="50" s="1"/>
  <c r="F45" i="50"/>
  <c r="I45" i="50" s="1"/>
  <c r="F44" i="50"/>
  <c r="I44" i="50" s="1"/>
  <c r="F43" i="50"/>
  <c r="I43" i="50" s="1"/>
  <c r="F42" i="50"/>
  <c r="I42" i="50" s="1"/>
  <c r="F41" i="50"/>
  <c r="I41" i="50" s="1"/>
  <c r="F40" i="50"/>
  <c r="I40" i="50" s="1"/>
  <c r="F39" i="50"/>
  <c r="I39" i="50" s="1"/>
  <c r="F38" i="50"/>
  <c r="I38" i="50" s="1"/>
  <c r="F37" i="50"/>
  <c r="I37" i="50" s="1"/>
  <c r="F36" i="50"/>
  <c r="I36" i="50" s="1"/>
  <c r="F35" i="50"/>
  <c r="I35" i="50" s="1"/>
  <c r="F34" i="50"/>
  <c r="I34" i="50" s="1"/>
  <c r="F33" i="50"/>
  <c r="I33" i="50" s="1"/>
  <c r="F32" i="50"/>
  <c r="I32" i="50" s="1"/>
  <c r="F31" i="50"/>
  <c r="I31" i="50" s="1"/>
  <c r="F30" i="50"/>
  <c r="I30" i="50" s="1"/>
  <c r="F65" i="95"/>
  <c r="I65" i="95" s="1"/>
  <c r="F64" i="95"/>
  <c r="I64" i="95" s="1"/>
  <c r="F63" i="95"/>
  <c r="I63" i="95" s="1"/>
  <c r="F62" i="95"/>
  <c r="I62" i="95" s="1"/>
  <c r="F61" i="95"/>
  <c r="I61" i="95" s="1"/>
  <c r="F60" i="95"/>
  <c r="I60" i="95" s="1"/>
  <c r="F59" i="95"/>
  <c r="I59" i="95" s="1"/>
  <c r="F58" i="95"/>
  <c r="I58" i="95" s="1"/>
  <c r="F57" i="95"/>
  <c r="I57" i="95" s="1"/>
  <c r="F56" i="95"/>
  <c r="I56" i="95" s="1"/>
  <c r="F55" i="95"/>
  <c r="I55" i="95" s="1"/>
  <c r="F54" i="95"/>
  <c r="I54" i="95" s="1"/>
  <c r="F53" i="95"/>
  <c r="I53" i="95" s="1"/>
  <c r="F52" i="95"/>
  <c r="I52" i="95" s="1"/>
  <c r="F51" i="95"/>
  <c r="I51" i="95" s="1"/>
  <c r="F50" i="95"/>
  <c r="I50" i="95" s="1"/>
  <c r="F49" i="95"/>
  <c r="I49" i="95" s="1"/>
  <c r="F48" i="95"/>
  <c r="I48" i="95" s="1"/>
  <c r="F47" i="95"/>
  <c r="I47" i="95" s="1"/>
  <c r="F46" i="95"/>
  <c r="I46" i="95" s="1"/>
  <c r="F45" i="95"/>
  <c r="I45" i="95" s="1"/>
  <c r="F44" i="95"/>
  <c r="I44" i="95" s="1"/>
  <c r="F43" i="95"/>
  <c r="I43" i="95" s="1"/>
  <c r="F42" i="95"/>
  <c r="I42" i="95" s="1"/>
  <c r="F41" i="95"/>
  <c r="I41" i="95" s="1"/>
  <c r="F40" i="95"/>
  <c r="I40" i="95" s="1"/>
  <c r="F39" i="95"/>
  <c r="I39" i="95" s="1"/>
  <c r="F38" i="95"/>
  <c r="I38" i="95" s="1"/>
  <c r="F37" i="95"/>
  <c r="I37" i="95" s="1"/>
  <c r="F36" i="95"/>
  <c r="I36" i="95" s="1"/>
  <c r="F35" i="95"/>
  <c r="I35" i="95" s="1"/>
  <c r="F34" i="95"/>
  <c r="I34" i="95" s="1"/>
  <c r="F33" i="95"/>
  <c r="I33" i="95" s="1"/>
  <c r="F32" i="95"/>
  <c r="I32" i="95" s="1"/>
  <c r="F31" i="95"/>
  <c r="I31" i="95" s="1"/>
  <c r="F30" i="95"/>
  <c r="I30" i="95" s="1"/>
  <c r="F65" i="180"/>
  <c r="I65" i="180" s="1"/>
  <c r="F64" i="180"/>
  <c r="I64" i="180" s="1"/>
  <c r="F63" i="180"/>
  <c r="I63" i="180" s="1"/>
  <c r="F62" i="180"/>
  <c r="I62" i="180" s="1"/>
  <c r="F61" i="180"/>
  <c r="I61" i="180" s="1"/>
  <c r="F60" i="180"/>
  <c r="I60" i="180" s="1"/>
  <c r="F59" i="180"/>
  <c r="I59" i="180" s="1"/>
  <c r="F58" i="180"/>
  <c r="I58" i="180" s="1"/>
  <c r="F57" i="180"/>
  <c r="I57" i="180" s="1"/>
  <c r="F56" i="180"/>
  <c r="I56" i="180" s="1"/>
  <c r="F55" i="180"/>
  <c r="I55" i="180" s="1"/>
  <c r="F54" i="180"/>
  <c r="I54" i="180" s="1"/>
  <c r="F53" i="180"/>
  <c r="I53" i="180" s="1"/>
  <c r="F52" i="180"/>
  <c r="I52" i="180" s="1"/>
  <c r="F51" i="180"/>
  <c r="I51" i="180" s="1"/>
  <c r="F50" i="180"/>
  <c r="I50" i="180" s="1"/>
  <c r="F49" i="180"/>
  <c r="I49" i="180" s="1"/>
  <c r="F48" i="180"/>
  <c r="I48" i="180" s="1"/>
  <c r="F47" i="180"/>
  <c r="I47" i="180" s="1"/>
  <c r="F46" i="180"/>
  <c r="I46" i="180" s="1"/>
  <c r="F45" i="180"/>
  <c r="I45" i="180" s="1"/>
  <c r="F44" i="180"/>
  <c r="I44" i="180" s="1"/>
  <c r="F43" i="180"/>
  <c r="I43" i="180" s="1"/>
  <c r="F42" i="180"/>
  <c r="I42" i="180" s="1"/>
  <c r="F41" i="180"/>
  <c r="I41" i="180" s="1"/>
  <c r="F40" i="180"/>
  <c r="I40" i="180" s="1"/>
  <c r="F39" i="180"/>
  <c r="I39" i="180" s="1"/>
  <c r="F38" i="180"/>
  <c r="I38" i="180" s="1"/>
  <c r="F37" i="180"/>
  <c r="I37" i="180" s="1"/>
  <c r="F36" i="180"/>
  <c r="I36" i="180" s="1"/>
  <c r="F35" i="180"/>
  <c r="I35" i="180" s="1"/>
  <c r="F34" i="180"/>
  <c r="I34" i="180" s="1"/>
  <c r="F33" i="180"/>
  <c r="I33" i="180" s="1"/>
  <c r="F32" i="180"/>
  <c r="I32" i="180" s="1"/>
  <c r="F31" i="180"/>
  <c r="I31" i="180" s="1"/>
  <c r="F30" i="180"/>
  <c r="I30" i="180" s="1"/>
  <c r="F25" i="118"/>
  <c r="I25" i="118" s="1"/>
  <c r="F24" i="118"/>
  <c r="I24" i="118" s="1"/>
  <c r="F23" i="118"/>
  <c r="I23" i="118" s="1"/>
  <c r="F22" i="118"/>
  <c r="I22" i="118" s="1"/>
  <c r="F21" i="118"/>
  <c r="I21" i="118" s="1"/>
  <c r="F20" i="118"/>
  <c r="I20" i="118" s="1"/>
  <c r="F19" i="118"/>
  <c r="I19" i="118" s="1"/>
  <c r="F18" i="118"/>
  <c r="I18" i="118" s="1"/>
  <c r="F17" i="118"/>
  <c r="I17" i="118" s="1"/>
  <c r="F16" i="118"/>
  <c r="F15" i="118"/>
  <c r="I15" i="118" s="1"/>
  <c r="F14" i="118"/>
  <c r="I14" i="118" s="1"/>
  <c r="F13" i="118"/>
  <c r="I13" i="118" s="1"/>
  <c r="F25" i="60"/>
  <c r="I25" i="60" s="1"/>
  <c r="F24" i="60"/>
  <c r="I24" i="60" s="1"/>
  <c r="F23" i="60"/>
  <c r="I23" i="60" s="1"/>
  <c r="F22" i="60"/>
  <c r="I22" i="60" s="1"/>
  <c r="F21" i="60"/>
  <c r="I21" i="60" s="1"/>
  <c r="F20" i="60"/>
  <c r="I20" i="60" s="1"/>
  <c r="F19" i="60"/>
  <c r="I19" i="60" s="1"/>
  <c r="F18" i="60"/>
  <c r="I18" i="60" s="1"/>
  <c r="F17" i="60"/>
  <c r="I17" i="60" s="1"/>
  <c r="F16" i="60"/>
  <c r="F15" i="60"/>
  <c r="I15" i="60" s="1"/>
  <c r="F14" i="60"/>
  <c r="I14" i="60" s="1"/>
  <c r="F13" i="60"/>
  <c r="I13" i="60" s="1"/>
  <c r="F25" i="106"/>
  <c r="I25" i="106" s="1"/>
  <c r="F24" i="106"/>
  <c r="I24" i="106" s="1"/>
  <c r="F23" i="106"/>
  <c r="I23" i="106" s="1"/>
  <c r="F22" i="106"/>
  <c r="I22" i="106" s="1"/>
  <c r="F21" i="106"/>
  <c r="I21" i="106" s="1"/>
  <c r="F20" i="106"/>
  <c r="I20" i="106" s="1"/>
  <c r="F19" i="106"/>
  <c r="I19" i="106" s="1"/>
  <c r="F18" i="106"/>
  <c r="I18" i="106" s="1"/>
  <c r="F17" i="106"/>
  <c r="I17" i="106" s="1"/>
  <c r="F16" i="106"/>
  <c r="F15" i="106"/>
  <c r="I15" i="106" s="1"/>
  <c r="F14" i="106"/>
  <c r="I14" i="106" s="1"/>
  <c r="F13" i="106"/>
  <c r="I13" i="106" s="1"/>
  <c r="F25" i="104"/>
  <c r="I25" i="104" s="1"/>
  <c r="F24" i="104"/>
  <c r="I24" i="104" s="1"/>
  <c r="F23" i="104"/>
  <c r="I23" i="104" s="1"/>
  <c r="F22" i="104"/>
  <c r="I22" i="104" s="1"/>
  <c r="F21" i="104"/>
  <c r="I21" i="104" s="1"/>
  <c r="F20" i="104"/>
  <c r="I20" i="104" s="1"/>
  <c r="F19" i="104"/>
  <c r="I19" i="104" s="1"/>
  <c r="F18" i="104"/>
  <c r="I18" i="104" s="1"/>
  <c r="F17" i="104"/>
  <c r="I17" i="104" s="1"/>
  <c r="F16" i="104"/>
  <c r="F15" i="104"/>
  <c r="I15" i="104" s="1"/>
  <c r="F14" i="104"/>
  <c r="I14" i="104" s="1"/>
  <c r="F13" i="104"/>
  <c r="I13" i="104" s="1"/>
  <c r="F25" i="54"/>
  <c r="I25" i="54" s="1"/>
  <c r="F24" i="54"/>
  <c r="I24" i="54" s="1"/>
  <c r="F23" i="54"/>
  <c r="I23" i="54" s="1"/>
  <c r="F22" i="54"/>
  <c r="I22" i="54" s="1"/>
  <c r="F21" i="54"/>
  <c r="I21" i="54" s="1"/>
  <c r="F20" i="54"/>
  <c r="I20" i="54" s="1"/>
  <c r="F19" i="54"/>
  <c r="I19" i="54" s="1"/>
  <c r="F18" i="54"/>
  <c r="I18" i="54" s="1"/>
  <c r="F17" i="54"/>
  <c r="I17" i="54" s="1"/>
  <c r="F16" i="54"/>
  <c r="F15" i="54"/>
  <c r="I15" i="54" s="1"/>
  <c r="F14" i="54"/>
  <c r="I14" i="54" s="1"/>
  <c r="F13" i="54"/>
  <c r="I13" i="54" s="1"/>
  <c r="F25" i="181"/>
  <c r="I25" i="181" s="1"/>
  <c r="F24" i="181"/>
  <c r="I24" i="181" s="1"/>
  <c r="F23" i="181"/>
  <c r="I23" i="181" s="1"/>
  <c r="F22" i="181"/>
  <c r="I22" i="181" s="1"/>
  <c r="F21" i="181"/>
  <c r="I21" i="181" s="1"/>
  <c r="F20" i="181"/>
  <c r="I20" i="181" s="1"/>
  <c r="F19" i="181"/>
  <c r="I19" i="181" s="1"/>
  <c r="F18" i="181"/>
  <c r="I18" i="181" s="1"/>
  <c r="F17" i="181"/>
  <c r="I17" i="181" s="1"/>
  <c r="F16" i="181"/>
  <c r="F15" i="181"/>
  <c r="I15" i="181" s="1"/>
  <c r="F14" i="181"/>
  <c r="I14" i="181" s="1"/>
  <c r="F13" i="181"/>
  <c r="I13" i="181" s="1"/>
  <c r="F25" i="94"/>
  <c r="I25" i="94" s="1"/>
  <c r="F24" i="94"/>
  <c r="I24" i="94" s="1"/>
  <c r="F23" i="94"/>
  <c r="I23" i="94" s="1"/>
  <c r="F22" i="94"/>
  <c r="I22" i="94" s="1"/>
  <c r="F21" i="94"/>
  <c r="I21" i="94" s="1"/>
  <c r="F20" i="94"/>
  <c r="I20" i="94" s="1"/>
  <c r="F19" i="94"/>
  <c r="I19" i="94" s="1"/>
  <c r="F18" i="94"/>
  <c r="I18" i="94" s="1"/>
  <c r="F17" i="94"/>
  <c r="I17" i="94" s="1"/>
  <c r="F16" i="94"/>
  <c r="F15" i="94"/>
  <c r="I15" i="94" s="1"/>
  <c r="F14" i="94"/>
  <c r="I14" i="94" s="1"/>
  <c r="F13" i="94"/>
  <c r="I13" i="94" s="1"/>
  <c r="F25" i="145"/>
  <c r="I25" i="145" s="1"/>
  <c r="F24" i="145"/>
  <c r="I24" i="145" s="1"/>
  <c r="F23" i="145"/>
  <c r="I23" i="145" s="1"/>
  <c r="F22" i="145"/>
  <c r="I22" i="145" s="1"/>
  <c r="F21" i="145"/>
  <c r="I21" i="145" s="1"/>
  <c r="F20" i="145"/>
  <c r="I20" i="145" s="1"/>
  <c r="F19" i="145"/>
  <c r="I19" i="145" s="1"/>
  <c r="F18" i="145"/>
  <c r="I18" i="145" s="1"/>
  <c r="F17" i="145"/>
  <c r="I17" i="145" s="1"/>
  <c r="F16" i="145"/>
  <c r="F15" i="145"/>
  <c r="I15" i="145" s="1"/>
  <c r="F14" i="145"/>
  <c r="I14" i="145" s="1"/>
  <c r="F13" i="145"/>
  <c r="I13" i="145" s="1"/>
  <c r="F25" i="33"/>
  <c r="I25" i="33" s="1"/>
  <c r="F24" i="33"/>
  <c r="I24" i="33" s="1"/>
  <c r="F23" i="33"/>
  <c r="I23" i="33" s="1"/>
  <c r="F22" i="33"/>
  <c r="I22" i="33" s="1"/>
  <c r="F21" i="33"/>
  <c r="I21" i="33" s="1"/>
  <c r="F20" i="33"/>
  <c r="I20" i="33" s="1"/>
  <c r="F19" i="33"/>
  <c r="I19" i="33" s="1"/>
  <c r="F18" i="33"/>
  <c r="I18" i="33" s="1"/>
  <c r="F17" i="33"/>
  <c r="I17" i="33" s="1"/>
  <c r="F16" i="33"/>
  <c r="F15" i="33"/>
  <c r="I15" i="33" s="1"/>
  <c r="F14" i="33"/>
  <c r="I14" i="33" s="1"/>
  <c r="F13" i="33"/>
  <c r="I13" i="33" s="1"/>
  <c r="F25" i="177"/>
  <c r="I25" i="177" s="1"/>
  <c r="F24" i="177"/>
  <c r="I24" i="177" s="1"/>
  <c r="F23" i="177"/>
  <c r="I23" i="177" s="1"/>
  <c r="F22" i="177"/>
  <c r="I22" i="177" s="1"/>
  <c r="F21" i="177"/>
  <c r="I21" i="177" s="1"/>
  <c r="F20" i="177"/>
  <c r="I20" i="177" s="1"/>
  <c r="F19" i="177"/>
  <c r="I19" i="177" s="1"/>
  <c r="F18" i="177"/>
  <c r="I18" i="177" s="1"/>
  <c r="F17" i="177"/>
  <c r="I17" i="177" s="1"/>
  <c r="F16" i="177"/>
  <c r="F15" i="177"/>
  <c r="I15" i="177" s="1"/>
  <c r="F14" i="177"/>
  <c r="I14" i="177" s="1"/>
  <c r="F13" i="177"/>
  <c r="I13" i="177" s="1"/>
  <c r="F25" i="164"/>
  <c r="I25" i="164" s="1"/>
  <c r="F24" i="164"/>
  <c r="I24" i="164" s="1"/>
  <c r="F23" i="164"/>
  <c r="I23" i="164" s="1"/>
  <c r="F22" i="164"/>
  <c r="I22" i="164" s="1"/>
  <c r="F21" i="164"/>
  <c r="I21" i="164" s="1"/>
  <c r="F20" i="164"/>
  <c r="I20" i="164" s="1"/>
  <c r="F19" i="164"/>
  <c r="I19" i="164" s="1"/>
  <c r="F18" i="164"/>
  <c r="I18" i="164" s="1"/>
  <c r="F17" i="164"/>
  <c r="I17" i="164" s="1"/>
  <c r="F16" i="164"/>
  <c r="F15" i="164"/>
  <c r="I15" i="164" s="1"/>
  <c r="F14" i="164"/>
  <c r="I14" i="164" s="1"/>
  <c r="F13" i="164"/>
  <c r="I13" i="164" s="1"/>
  <c r="F25" i="19"/>
  <c r="I25" i="19" s="1"/>
  <c r="F24" i="19"/>
  <c r="I24" i="19" s="1"/>
  <c r="F23" i="19"/>
  <c r="I23" i="19" s="1"/>
  <c r="F22" i="19"/>
  <c r="I22" i="19" s="1"/>
  <c r="F21" i="19"/>
  <c r="I21" i="19" s="1"/>
  <c r="F20" i="19"/>
  <c r="I20" i="19" s="1"/>
  <c r="F19" i="19"/>
  <c r="I19" i="19" s="1"/>
  <c r="F18" i="19"/>
  <c r="I18" i="19" s="1"/>
  <c r="F17" i="19"/>
  <c r="I17" i="19" s="1"/>
  <c r="F16" i="19"/>
  <c r="F15" i="19"/>
  <c r="I15" i="19" s="1"/>
  <c r="F14" i="19"/>
  <c r="I14" i="19" s="1"/>
  <c r="F13" i="19"/>
  <c r="I13" i="19" s="1"/>
  <c r="F25" i="15"/>
  <c r="I25" i="15" s="1"/>
  <c r="F24" i="15"/>
  <c r="I24" i="15" s="1"/>
  <c r="F23" i="15"/>
  <c r="I23" i="15" s="1"/>
  <c r="F22" i="15"/>
  <c r="I22" i="15" s="1"/>
  <c r="F21" i="15"/>
  <c r="I21" i="15" s="1"/>
  <c r="F20" i="15"/>
  <c r="I20" i="15" s="1"/>
  <c r="F19" i="15"/>
  <c r="I19" i="15" s="1"/>
  <c r="F18" i="15"/>
  <c r="I18" i="15" s="1"/>
  <c r="F17" i="15"/>
  <c r="I17" i="15" s="1"/>
  <c r="F16" i="15"/>
  <c r="F15" i="15"/>
  <c r="I15" i="15" s="1"/>
  <c r="F14" i="15"/>
  <c r="I14" i="15" s="1"/>
  <c r="F13" i="15"/>
  <c r="I13" i="15" s="1"/>
  <c r="F25" i="178"/>
  <c r="I25" i="178" s="1"/>
  <c r="F24" i="178"/>
  <c r="I24" i="178" s="1"/>
  <c r="F23" i="178"/>
  <c r="I23" i="178" s="1"/>
  <c r="F22" i="178"/>
  <c r="I22" i="178" s="1"/>
  <c r="F21" i="178"/>
  <c r="I21" i="178" s="1"/>
  <c r="F20" i="178"/>
  <c r="I20" i="178" s="1"/>
  <c r="F19" i="178"/>
  <c r="I19" i="178" s="1"/>
  <c r="F18" i="178"/>
  <c r="I18" i="178" s="1"/>
  <c r="F17" i="178"/>
  <c r="I17" i="178" s="1"/>
  <c r="F16" i="178"/>
  <c r="F15" i="178"/>
  <c r="I15" i="178" s="1"/>
  <c r="F14" i="178"/>
  <c r="I14" i="178" s="1"/>
  <c r="F13" i="178"/>
  <c r="I13" i="178" s="1"/>
  <c r="F25" i="150"/>
  <c r="I25" i="150" s="1"/>
  <c r="F24" i="150"/>
  <c r="I24" i="150" s="1"/>
  <c r="F23" i="150"/>
  <c r="I23" i="150" s="1"/>
  <c r="F22" i="150"/>
  <c r="I22" i="150" s="1"/>
  <c r="F21" i="150"/>
  <c r="I21" i="150" s="1"/>
  <c r="F20" i="150"/>
  <c r="I20" i="150" s="1"/>
  <c r="F19" i="150"/>
  <c r="I19" i="150" s="1"/>
  <c r="F18" i="150"/>
  <c r="I18" i="150" s="1"/>
  <c r="F17" i="150"/>
  <c r="I17" i="150" s="1"/>
  <c r="F16" i="150"/>
  <c r="F15" i="150"/>
  <c r="I15" i="150" s="1"/>
  <c r="F14" i="150"/>
  <c r="I14" i="150" s="1"/>
  <c r="F13" i="150"/>
  <c r="I13" i="150" s="1"/>
  <c r="F25" i="68"/>
  <c r="I25" i="68" s="1"/>
  <c r="F24" i="68"/>
  <c r="I24" i="68" s="1"/>
  <c r="F23" i="68"/>
  <c r="I23" i="68" s="1"/>
  <c r="F22" i="68"/>
  <c r="I22" i="68" s="1"/>
  <c r="F21" i="68"/>
  <c r="I21" i="68" s="1"/>
  <c r="F20" i="68"/>
  <c r="I20" i="68" s="1"/>
  <c r="F19" i="68"/>
  <c r="I19" i="68" s="1"/>
  <c r="F18" i="68"/>
  <c r="I18" i="68" s="1"/>
  <c r="F17" i="68"/>
  <c r="I17" i="68" s="1"/>
  <c r="F16" i="68"/>
  <c r="F15" i="68"/>
  <c r="I15" i="68" s="1"/>
  <c r="F14" i="68"/>
  <c r="I14" i="68" s="1"/>
  <c r="F13" i="68"/>
  <c r="I13" i="68" s="1"/>
  <c r="F25" i="66"/>
  <c r="I25" i="66" s="1"/>
  <c r="F24" i="66"/>
  <c r="I24" i="66" s="1"/>
  <c r="F23" i="66"/>
  <c r="I23" i="66" s="1"/>
  <c r="F22" i="66"/>
  <c r="I22" i="66" s="1"/>
  <c r="F21" i="66"/>
  <c r="I21" i="66" s="1"/>
  <c r="F20" i="66"/>
  <c r="I20" i="66" s="1"/>
  <c r="F19" i="66"/>
  <c r="I19" i="66" s="1"/>
  <c r="F18" i="66"/>
  <c r="I18" i="66" s="1"/>
  <c r="F17" i="66"/>
  <c r="I17" i="66" s="1"/>
  <c r="F16" i="66"/>
  <c r="F15" i="66"/>
  <c r="I15" i="66" s="1"/>
  <c r="F14" i="66"/>
  <c r="I14" i="66" s="1"/>
  <c r="F13" i="66"/>
  <c r="I13" i="66" s="1"/>
  <c r="F25" i="63"/>
  <c r="I25" i="63" s="1"/>
  <c r="F24" i="63"/>
  <c r="I24" i="63" s="1"/>
  <c r="F23" i="63"/>
  <c r="I23" i="63" s="1"/>
  <c r="F22" i="63"/>
  <c r="I22" i="63" s="1"/>
  <c r="F21" i="63"/>
  <c r="I21" i="63" s="1"/>
  <c r="F20" i="63"/>
  <c r="I20" i="63" s="1"/>
  <c r="F19" i="63"/>
  <c r="I19" i="63" s="1"/>
  <c r="F18" i="63"/>
  <c r="I18" i="63" s="1"/>
  <c r="F17" i="63"/>
  <c r="I17" i="63" s="1"/>
  <c r="F16" i="63"/>
  <c r="F15" i="63"/>
  <c r="I15" i="63" s="1"/>
  <c r="F14" i="63"/>
  <c r="I14" i="63" s="1"/>
  <c r="F13" i="63"/>
  <c r="I13" i="63" s="1"/>
  <c r="F25" i="62"/>
  <c r="I25" i="62" s="1"/>
  <c r="F24" i="62"/>
  <c r="I24" i="62" s="1"/>
  <c r="F23" i="62"/>
  <c r="I23" i="62" s="1"/>
  <c r="F22" i="62"/>
  <c r="I22" i="62" s="1"/>
  <c r="F21" i="62"/>
  <c r="I21" i="62" s="1"/>
  <c r="F20" i="62"/>
  <c r="I20" i="62" s="1"/>
  <c r="F19" i="62"/>
  <c r="I19" i="62" s="1"/>
  <c r="F18" i="62"/>
  <c r="I18" i="62" s="1"/>
  <c r="F17" i="62"/>
  <c r="I17" i="62" s="1"/>
  <c r="F16" i="62"/>
  <c r="F15" i="62"/>
  <c r="I15" i="62" s="1"/>
  <c r="F14" i="62"/>
  <c r="I14" i="62" s="1"/>
  <c r="F13" i="62"/>
  <c r="I13" i="62" s="1"/>
  <c r="F25" i="58"/>
  <c r="I25" i="58" s="1"/>
  <c r="F24" i="58"/>
  <c r="I24" i="58" s="1"/>
  <c r="F23" i="58"/>
  <c r="I23" i="58" s="1"/>
  <c r="F22" i="58"/>
  <c r="I22" i="58" s="1"/>
  <c r="F21" i="58"/>
  <c r="I21" i="58" s="1"/>
  <c r="F20" i="58"/>
  <c r="I20" i="58" s="1"/>
  <c r="F19" i="58"/>
  <c r="I19" i="58" s="1"/>
  <c r="F18" i="58"/>
  <c r="I18" i="58" s="1"/>
  <c r="F17" i="58"/>
  <c r="I17" i="58" s="1"/>
  <c r="F16" i="58"/>
  <c r="F15" i="58"/>
  <c r="I15" i="58" s="1"/>
  <c r="F14" i="58"/>
  <c r="I14" i="58" s="1"/>
  <c r="F13" i="58"/>
  <c r="I13" i="58" s="1"/>
  <c r="F25" i="136"/>
  <c r="I25" i="136" s="1"/>
  <c r="F24" i="136"/>
  <c r="I24" i="136" s="1"/>
  <c r="F23" i="136"/>
  <c r="I23" i="136" s="1"/>
  <c r="F22" i="136"/>
  <c r="I22" i="136" s="1"/>
  <c r="F21" i="136"/>
  <c r="I21" i="136" s="1"/>
  <c r="F20" i="136"/>
  <c r="I20" i="136" s="1"/>
  <c r="F19" i="136"/>
  <c r="I19" i="136" s="1"/>
  <c r="F18" i="136"/>
  <c r="I18" i="136" s="1"/>
  <c r="F17" i="136"/>
  <c r="I17" i="136" s="1"/>
  <c r="F16" i="136"/>
  <c r="F15" i="136"/>
  <c r="I15" i="136" s="1"/>
  <c r="F14" i="136"/>
  <c r="I14" i="136" s="1"/>
  <c r="F13" i="136"/>
  <c r="I13" i="136" s="1"/>
  <c r="F25" i="141"/>
  <c r="I25" i="141" s="1"/>
  <c r="F24" i="141"/>
  <c r="I24" i="141" s="1"/>
  <c r="F23" i="141"/>
  <c r="I23" i="141" s="1"/>
  <c r="F22" i="141"/>
  <c r="I22" i="141" s="1"/>
  <c r="F21" i="141"/>
  <c r="I21" i="141" s="1"/>
  <c r="F20" i="141"/>
  <c r="I20" i="141" s="1"/>
  <c r="F19" i="141"/>
  <c r="I19" i="141" s="1"/>
  <c r="F18" i="141"/>
  <c r="I18" i="141" s="1"/>
  <c r="F17" i="141"/>
  <c r="I17" i="141" s="1"/>
  <c r="F16" i="141"/>
  <c r="F15" i="141"/>
  <c r="I15" i="141" s="1"/>
  <c r="F14" i="141"/>
  <c r="I14" i="141" s="1"/>
  <c r="F13" i="141"/>
  <c r="I13" i="141" s="1"/>
  <c r="F25" i="174"/>
  <c r="I25" i="174" s="1"/>
  <c r="F24" i="174"/>
  <c r="I24" i="174" s="1"/>
  <c r="F23" i="174"/>
  <c r="I23" i="174" s="1"/>
  <c r="F22" i="174"/>
  <c r="I22" i="174" s="1"/>
  <c r="F21" i="174"/>
  <c r="I21" i="174" s="1"/>
  <c r="F20" i="174"/>
  <c r="I20" i="174" s="1"/>
  <c r="F19" i="174"/>
  <c r="I19" i="174" s="1"/>
  <c r="F18" i="174"/>
  <c r="I18" i="174" s="1"/>
  <c r="F17" i="174"/>
  <c r="I17" i="174" s="1"/>
  <c r="F16" i="174"/>
  <c r="F15" i="174"/>
  <c r="I15" i="174" s="1"/>
  <c r="F14" i="174"/>
  <c r="I14" i="174" s="1"/>
  <c r="F13" i="174"/>
  <c r="I13" i="174" s="1"/>
  <c r="F25" i="53"/>
  <c r="I25" i="53" s="1"/>
  <c r="F24" i="53"/>
  <c r="I24" i="53" s="1"/>
  <c r="F23" i="53"/>
  <c r="I23" i="53" s="1"/>
  <c r="F22" i="53"/>
  <c r="I22" i="53" s="1"/>
  <c r="F21" i="53"/>
  <c r="I21" i="53" s="1"/>
  <c r="F20" i="53"/>
  <c r="I20" i="53" s="1"/>
  <c r="F19" i="53"/>
  <c r="I19" i="53" s="1"/>
  <c r="F18" i="53"/>
  <c r="I18" i="53" s="1"/>
  <c r="F17" i="53"/>
  <c r="I17" i="53" s="1"/>
  <c r="F16" i="53"/>
  <c r="F15" i="53"/>
  <c r="I15" i="53" s="1"/>
  <c r="F14" i="53"/>
  <c r="I14" i="53" s="1"/>
  <c r="F13" i="53"/>
  <c r="I13" i="53" s="1"/>
  <c r="F25" i="98"/>
  <c r="I25" i="98" s="1"/>
  <c r="F24" i="98"/>
  <c r="I24" i="98" s="1"/>
  <c r="F23" i="98"/>
  <c r="I23" i="98" s="1"/>
  <c r="F22" i="98"/>
  <c r="I22" i="98" s="1"/>
  <c r="F21" i="98"/>
  <c r="I21" i="98" s="1"/>
  <c r="F20" i="98"/>
  <c r="I20" i="98" s="1"/>
  <c r="F19" i="98"/>
  <c r="I19" i="98" s="1"/>
  <c r="F18" i="98"/>
  <c r="I18" i="98" s="1"/>
  <c r="F17" i="98"/>
  <c r="I17" i="98" s="1"/>
  <c r="F16" i="98"/>
  <c r="F15" i="98"/>
  <c r="I15" i="98" s="1"/>
  <c r="F14" i="98"/>
  <c r="I14" i="98" s="1"/>
  <c r="F13" i="98"/>
  <c r="I13" i="98" s="1"/>
  <c r="F25" i="49"/>
  <c r="I25" i="49" s="1"/>
  <c r="F24" i="49"/>
  <c r="I24" i="49" s="1"/>
  <c r="F23" i="49"/>
  <c r="I23" i="49" s="1"/>
  <c r="F22" i="49"/>
  <c r="I22" i="49" s="1"/>
  <c r="F21" i="49"/>
  <c r="I21" i="49" s="1"/>
  <c r="F20" i="49"/>
  <c r="I20" i="49" s="1"/>
  <c r="F19" i="49"/>
  <c r="I19" i="49" s="1"/>
  <c r="F18" i="49"/>
  <c r="I18" i="49" s="1"/>
  <c r="F17" i="49"/>
  <c r="I17" i="49" s="1"/>
  <c r="F16" i="49"/>
  <c r="F15" i="49"/>
  <c r="I15" i="49" s="1"/>
  <c r="F14" i="49"/>
  <c r="I14" i="49" s="1"/>
  <c r="F13" i="49"/>
  <c r="I13" i="49" s="1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25" i="46"/>
  <c r="I25" i="46" s="1"/>
  <c r="F24" i="46"/>
  <c r="I24" i="46" s="1"/>
  <c r="F23" i="46"/>
  <c r="I23" i="46" s="1"/>
  <c r="F22" i="46"/>
  <c r="I22" i="46" s="1"/>
  <c r="F21" i="46"/>
  <c r="I21" i="46" s="1"/>
  <c r="F20" i="46"/>
  <c r="I20" i="46" s="1"/>
  <c r="F19" i="46"/>
  <c r="I19" i="46" s="1"/>
  <c r="F18" i="46"/>
  <c r="I18" i="46" s="1"/>
  <c r="F17" i="46"/>
  <c r="I17" i="46" s="1"/>
  <c r="F16" i="46"/>
  <c r="F15" i="46"/>
  <c r="I15" i="46" s="1"/>
  <c r="F14" i="46"/>
  <c r="I14" i="46" s="1"/>
  <c r="F13" i="46"/>
  <c r="I13" i="46" s="1"/>
  <c r="F25" i="102"/>
  <c r="I25" i="102" s="1"/>
  <c r="F24" i="102"/>
  <c r="I24" i="102" s="1"/>
  <c r="F23" i="102"/>
  <c r="I23" i="102" s="1"/>
  <c r="F22" i="102"/>
  <c r="I22" i="102" s="1"/>
  <c r="F21" i="102"/>
  <c r="I21" i="102" s="1"/>
  <c r="F20" i="102"/>
  <c r="I20" i="102" s="1"/>
  <c r="F19" i="102"/>
  <c r="I19" i="102" s="1"/>
  <c r="F18" i="102"/>
  <c r="I18" i="102" s="1"/>
  <c r="F17" i="102"/>
  <c r="I17" i="102" s="1"/>
  <c r="F16" i="102"/>
  <c r="F15" i="102"/>
  <c r="I15" i="102" s="1"/>
  <c r="F14" i="102"/>
  <c r="I14" i="102" s="1"/>
  <c r="F13" i="102"/>
  <c r="I13" i="102" s="1"/>
  <c r="F25" i="43"/>
  <c r="I25" i="43" s="1"/>
  <c r="F24" i="43"/>
  <c r="I24" i="43" s="1"/>
  <c r="F23" i="43"/>
  <c r="I23" i="43" s="1"/>
  <c r="F22" i="43"/>
  <c r="I22" i="43" s="1"/>
  <c r="F21" i="43"/>
  <c r="I21" i="43" s="1"/>
  <c r="F20" i="43"/>
  <c r="I20" i="43" s="1"/>
  <c r="F19" i="43"/>
  <c r="I19" i="43" s="1"/>
  <c r="F18" i="43"/>
  <c r="I18" i="43" s="1"/>
  <c r="F17" i="43"/>
  <c r="I17" i="43" s="1"/>
  <c r="F16" i="43"/>
  <c r="F15" i="43"/>
  <c r="I15" i="43" s="1"/>
  <c r="F14" i="43"/>
  <c r="I14" i="43" s="1"/>
  <c r="F13" i="43"/>
  <c r="I13" i="43" s="1"/>
  <c r="F25" i="175"/>
  <c r="I25" i="175" s="1"/>
  <c r="F24" i="175"/>
  <c r="I24" i="175" s="1"/>
  <c r="F23" i="175"/>
  <c r="I23" i="175" s="1"/>
  <c r="F22" i="175"/>
  <c r="I22" i="175" s="1"/>
  <c r="F21" i="175"/>
  <c r="I21" i="175" s="1"/>
  <c r="F20" i="175"/>
  <c r="I20" i="175" s="1"/>
  <c r="F19" i="175"/>
  <c r="I19" i="175" s="1"/>
  <c r="F18" i="175"/>
  <c r="I18" i="175" s="1"/>
  <c r="F17" i="175"/>
  <c r="I17" i="175" s="1"/>
  <c r="F16" i="175"/>
  <c r="F15" i="175"/>
  <c r="I15" i="175" s="1"/>
  <c r="F14" i="175"/>
  <c r="I14" i="175" s="1"/>
  <c r="F13" i="175"/>
  <c r="I13" i="175" s="1"/>
  <c r="F25" i="57"/>
  <c r="I25" i="57" s="1"/>
  <c r="F24" i="57"/>
  <c r="I24" i="57" s="1"/>
  <c r="F23" i="57"/>
  <c r="I23" i="57" s="1"/>
  <c r="F22" i="57"/>
  <c r="I22" i="57" s="1"/>
  <c r="F21" i="57"/>
  <c r="I21" i="57" s="1"/>
  <c r="F20" i="57"/>
  <c r="I20" i="57" s="1"/>
  <c r="F19" i="57"/>
  <c r="I19" i="57" s="1"/>
  <c r="F18" i="57"/>
  <c r="I18" i="57" s="1"/>
  <c r="F17" i="57"/>
  <c r="I17" i="57" s="1"/>
  <c r="F16" i="57"/>
  <c r="F15" i="57"/>
  <c r="I15" i="57" s="1"/>
  <c r="F14" i="57"/>
  <c r="I14" i="57" s="1"/>
  <c r="F13" i="57"/>
  <c r="I13" i="57" s="1"/>
  <c r="F25" i="84"/>
  <c r="I25" i="84" s="1"/>
  <c r="F24" i="84"/>
  <c r="I24" i="84" s="1"/>
  <c r="F23" i="84"/>
  <c r="I23" i="84" s="1"/>
  <c r="F22" i="84"/>
  <c r="I22" i="84" s="1"/>
  <c r="F21" i="84"/>
  <c r="I21" i="84" s="1"/>
  <c r="F20" i="84"/>
  <c r="I20" i="84" s="1"/>
  <c r="F19" i="84"/>
  <c r="I19" i="84" s="1"/>
  <c r="F18" i="84"/>
  <c r="I18" i="84" s="1"/>
  <c r="F17" i="84"/>
  <c r="I17" i="84" s="1"/>
  <c r="F16" i="84"/>
  <c r="F15" i="84"/>
  <c r="I15" i="84" s="1"/>
  <c r="F14" i="84"/>
  <c r="I14" i="84" s="1"/>
  <c r="F13" i="84"/>
  <c r="I13" i="84" s="1"/>
  <c r="F25" i="167"/>
  <c r="I25" i="167" s="1"/>
  <c r="F24" i="167"/>
  <c r="I24" i="167" s="1"/>
  <c r="F23" i="167"/>
  <c r="I23" i="167" s="1"/>
  <c r="F22" i="167"/>
  <c r="I22" i="167" s="1"/>
  <c r="F21" i="167"/>
  <c r="I21" i="167" s="1"/>
  <c r="F20" i="167"/>
  <c r="I20" i="167" s="1"/>
  <c r="F19" i="167"/>
  <c r="I19" i="167" s="1"/>
  <c r="F18" i="167"/>
  <c r="I18" i="167" s="1"/>
  <c r="F17" i="167"/>
  <c r="I17" i="167" s="1"/>
  <c r="F16" i="167"/>
  <c r="F15" i="167"/>
  <c r="I15" i="167" s="1"/>
  <c r="F14" i="167"/>
  <c r="I14" i="167" s="1"/>
  <c r="F13" i="167"/>
  <c r="I13" i="167" s="1"/>
  <c r="F25" i="39"/>
  <c r="I25" i="39" s="1"/>
  <c r="F24" i="39"/>
  <c r="I24" i="39" s="1"/>
  <c r="F23" i="39"/>
  <c r="I23" i="39" s="1"/>
  <c r="F22" i="39"/>
  <c r="I22" i="39" s="1"/>
  <c r="F21" i="39"/>
  <c r="I21" i="39" s="1"/>
  <c r="F20" i="39"/>
  <c r="I20" i="39" s="1"/>
  <c r="F19" i="39"/>
  <c r="I19" i="39" s="1"/>
  <c r="F18" i="39"/>
  <c r="I18" i="39" s="1"/>
  <c r="F17" i="39"/>
  <c r="I17" i="39" s="1"/>
  <c r="F16" i="39"/>
  <c r="F15" i="39"/>
  <c r="I15" i="39" s="1"/>
  <c r="F14" i="39"/>
  <c r="I14" i="39" s="1"/>
  <c r="F13" i="39"/>
  <c r="I13" i="39" s="1"/>
  <c r="F25" i="135"/>
  <c r="I25" i="135" s="1"/>
  <c r="F24" i="135"/>
  <c r="I24" i="135" s="1"/>
  <c r="F23" i="135"/>
  <c r="I23" i="135" s="1"/>
  <c r="F22" i="135"/>
  <c r="I22" i="135" s="1"/>
  <c r="F21" i="135"/>
  <c r="I21" i="135" s="1"/>
  <c r="F20" i="135"/>
  <c r="I20" i="135" s="1"/>
  <c r="F19" i="135"/>
  <c r="I19" i="135" s="1"/>
  <c r="F18" i="135"/>
  <c r="I18" i="135" s="1"/>
  <c r="F17" i="135"/>
  <c r="I17" i="135" s="1"/>
  <c r="F16" i="135"/>
  <c r="F15" i="135"/>
  <c r="I15" i="135" s="1"/>
  <c r="F14" i="135"/>
  <c r="I14" i="135" s="1"/>
  <c r="F13" i="135"/>
  <c r="I13" i="135" s="1"/>
  <c r="F25" i="38"/>
  <c r="I25" i="38" s="1"/>
  <c r="F24" i="38"/>
  <c r="I24" i="38" s="1"/>
  <c r="F23" i="38"/>
  <c r="I23" i="38" s="1"/>
  <c r="F22" i="38"/>
  <c r="I22" i="38" s="1"/>
  <c r="F21" i="38"/>
  <c r="I21" i="38" s="1"/>
  <c r="F20" i="38"/>
  <c r="I20" i="38" s="1"/>
  <c r="F19" i="38"/>
  <c r="I19" i="38" s="1"/>
  <c r="F18" i="38"/>
  <c r="I18" i="38" s="1"/>
  <c r="F17" i="38"/>
  <c r="I17" i="38" s="1"/>
  <c r="F16" i="38"/>
  <c r="F15" i="38"/>
  <c r="I15" i="38" s="1"/>
  <c r="F14" i="38"/>
  <c r="I14" i="38" s="1"/>
  <c r="F13" i="38"/>
  <c r="I13" i="38" s="1"/>
  <c r="F25" i="103"/>
  <c r="I25" i="103" s="1"/>
  <c r="F24" i="103"/>
  <c r="I24" i="103" s="1"/>
  <c r="F23" i="103"/>
  <c r="I23" i="103" s="1"/>
  <c r="F22" i="103"/>
  <c r="I22" i="103" s="1"/>
  <c r="F21" i="103"/>
  <c r="I21" i="103" s="1"/>
  <c r="F20" i="103"/>
  <c r="I20" i="103" s="1"/>
  <c r="F19" i="103"/>
  <c r="I19" i="103" s="1"/>
  <c r="F18" i="103"/>
  <c r="I18" i="103" s="1"/>
  <c r="F17" i="103"/>
  <c r="I17" i="103" s="1"/>
  <c r="F16" i="103"/>
  <c r="F15" i="103"/>
  <c r="I15" i="103" s="1"/>
  <c r="F14" i="103"/>
  <c r="I14" i="103" s="1"/>
  <c r="F13" i="103"/>
  <c r="I13" i="103" s="1"/>
  <c r="F25" i="133"/>
  <c r="I25" i="133" s="1"/>
  <c r="F24" i="133"/>
  <c r="I24" i="133" s="1"/>
  <c r="F23" i="133"/>
  <c r="I23" i="133" s="1"/>
  <c r="F22" i="133"/>
  <c r="I22" i="133" s="1"/>
  <c r="F21" i="133"/>
  <c r="I21" i="133" s="1"/>
  <c r="F20" i="133"/>
  <c r="I20" i="133" s="1"/>
  <c r="F19" i="133"/>
  <c r="I19" i="133" s="1"/>
  <c r="F18" i="133"/>
  <c r="I18" i="133" s="1"/>
  <c r="F17" i="133"/>
  <c r="I17" i="133" s="1"/>
  <c r="F16" i="133"/>
  <c r="F15" i="133"/>
  <c r="I15" i="133" s="1"/>
  <c r="F14" i="133"/>
  <c r="I14" i="133" s="1"/>
  <c r="F13" i="133"/>
  <c r="I13" i="133" s="1"/>
  <c r="F25" i="152"/>
  <c r="I25" i="152" s="1"/>
  <c r="F24" i="152"/>
  <c r="I24" i="152" s="1"/>
  <c r="F23" i="152"/>
  <c r="I23" i="152" s="1"/>
  <c r="F22" i="152"/>
  <c r="I22" i="152" s="1"/>
  <c r="F21" i="152"/>
  <c r="I21" i="152" s="1"/>
  <c r="F20" i="152"/>
  <c r="I20" i="152" s="1"/>
  <c r="F19" i="152"/>
  <c r="I19" i="152" s="1"/>
  <c r="F18" i="152"/>
  <c r="I18" i="152" s="1"/>
  <c r="F17" i="152"/>
  <c r="I17" i="152" s="1"/>
  <c r="F16" i="152"/>
  <c r="F15" i="152"/>
  <c r="I15" i="152" s="1"/>
  <c r="F14" i="152"/>
  <c r="I14" i="152" s="1"/>
  <c r="F13" i="152"/>
  <c r="I13" i="152" s="1"/>
  <c r="F25" i="47"/>
  <c r="I25" i="47" s="1"/>
  <c r="F24" i="47"/>
  <c r="I24" i="47" s="1"/>
  <c r="F23" i="47"/>
  <c r="I23" i="47" s="1"/>
  <c r="F22" i="47"/>
  <c r="I22" i="47" s="1"/>
  <c r="F21" i="47"/>
  <c r="I21" i="47" s="1"/>
  <c r="F20" i="47"/>
  <c r="I20" i="47" s="1"/>
  <c r="F19" i="47"/>
  <c r="I19" i="47" s="1"/>
  <c r="F18" i="47"/>
  <c r="I18" i="47" s="1"/>
  <c r="F17" i="47"/>
  <c r="I17" i="47" s="1"/>
  <c r="F16" i="47"/>
  <c r="F15" i="47"/>
  <c r="I15" i="47" s="1"/>
  <c r="F14" i="47"/>
  <c r="I14" i="47" s="1"/>
  <c r="F13" i="47"/>
  <c r="I13" i="47" s="1"/>
  <c r="F25" i="120"/>
  <c r="I25" i="120" s="1"/>
  <c r="F24" i="120"/>
  <c r="I24" i="120" s="1"/>
  <c r="F23" i="120"/>
  <c r="I23" i="120" s="1"/>
  <c r="F22" i="120"/>
  <c r="I22" i="120" s="1"/>
  <c r="F21" i="120"/>
  <c r="I21" i="120" s="1"/>
  <c r="F20" i="120"/>
  <c r="I20" i="120" s="1"/>
  <c r="F19" i="120"/>
  <c r="I19" i="120" s="1"/>
  <c r="F18" i="120"/>
  <c r="I18" i="120" s="1"/>
  <c r="F17" i="120"/>
  <c r="I17" i="120" s="1"/>
  <c r="F16" i="120"/>
  <c r="F15" i="120"/>
  <c r="I15" i="120" s="1"/>
  <c r="F14" i="120"/>
  <c r="I14" i="120" s="1"/>
  <c r="F13" i="120"/>
  <c r="I13" i="120" s="1"/>
  <c r="F25" i="37"/>
  <c r="I25" i="37" s="1"/>
  <c r="F24" i="37"/>
  <c r="I24" i="37" s="1"/>
  <c r="F23" i="37"/>
  <c r="I23" i="37" s="1"/>
  <c r="F22" i="37"/>
  <c r="I22" i="37" s="1"/>
  <c r="F21" i="37"/>
  <c r="I21" i="37" s="1"/>
  <c r="F20" i="37"/>
  <c r="I20" i="37" s="1"/>
  <c r="F19" i="37"/>
  <c r="I19" i="37" s="1"/>
  <c r="F18" i="37"/>
  <c r="I18" i="37" s="1"/>
  <c r="F17" i="37"/>
  <c r="I17" i="37" s="1"/>
  <c r="F16" i="37"/>
  <c r="F15" i="37"/>
  <c r="I15" i="37" s="1"/>
  <c r="F14" i="37"/>
  <c r="I14" i="37" s="1"/>
  <c r="F13" i="37"/>
  <c r="I13" i="37" s="1"/>
  <c r="F25" i="90"/>
  <c r="I25" i="90" s="1"/>
  <c r="F24" i="90"/>
  <c r="I24" i="90" s="1"/>
  <c r="F23" i="90"/>
  <c r="I23" i="90" s="1"/>
  <c r="F22" i="90"/>
  <c r="I22" i="90" s="1"/>
  <c r="F21" i="90"/>
  <c r="I21" i="90" s="1"/>
  <c r="F20" i="90"/>
  <c r="I20" i="90" s="1"/>
  <c r="F19" i="90"/>
  <c r="I19" i="90" s="1"/>
  <c r="F18" i="90"/>
  <c r="I18" i="90" s="1"/>
  <c r="F17" i="90"/>
  <c r="I17" i="90" s="1"/>
  <c r="F16" i="90"/>
  <c r="F15" i="90"/>
  <c r="I15" i="90" s="1"/>
  <c r="F14" i="90"/>
  <c r="I14" i="90" s="1"/>
  <c r="F13" i="90"/>
  <c r="I13" i="90" s="1"/>
  <c r="F25" i="24"/>
  <c r="I25" i="24" s="1"/>
  <c r="F24" i="24"/>
  <c r="I24" i="24" s="1"/>
  <c r="F23" i="24"/>
  <c r="I23" i="24" s="1"/>
  <c r="F22" i="24"/>
  <c r="I22" i="24" s="1"/>
  <c r="F21" i="24"/>
  <c r="I21" i="24" s="1"/>
  <c r="F20" i="24"/>
  <c r="I20" i="24" s="1"/>
  <c r="F19" i="24"/>
  <c r="I19" i="24" s="1"/>
  <c r="F18" i="24"/>
  <c r="I18" i="24" s="1"/>
  <c r="F17" i="24"/>
  <c r="I17" i="24" s="1"/>
  <c r="F16" i="24"/>
  <c r="F15" i="24"/>
  <c r="I15" i="24" s="1"/>
  <c r="F14" i="24"/>
  <c r="I14" i="24" s="1"/>
  <c r="F13" i="24"/>
  <c r="I13" i="24" s="1"/>
  <c r="F25" i="32"/>
  <c r="I25" i="32" s="1"/>
  <c r="F24" i="32"/>
  <c r="I24" i="32" s="1"/>
  <c r="F23" i="32"/>
  <c r="I23" i="32" s="1"/>
  <c r="F22" i="32"/>
  <c r="I22" i="32" s="1"/>
  <c r="F21" i="32"/>
  <c r="I21" i="32" s="1"/>
  <c r="F20" i="32"/>
  <c r="I20" i="32" s="1"/>
  <c r="F19" i="32"/>
  <c r="I19" i="32" s="1"/>
  <c r="F18" i="32"/>
  <c r="I18" i="32" s="1"/>
  <c r="F17" i="32"/>
  <c r="I17" i="32" s="1"/>
  <c r="F16" i="32"/>
  <c r="F15" i="32"/>
  <c r="I15" i="32" s="1"/>
  <c r="F14" i="32"/>
  <c r="I14" i="32" s="1"/>
  <c r="F13" i="32"/>
  <c r="I13" i="32" s="1"/>
  <c r="F25" i="79"/>
  <c r="I25" i="79" s="1"/>
  <c r="F24" i="79"/>
  <c r="I24" i="79" s="1"/>
  <c r="F23" i="79"/>
  <c r="I23" i="79" s="1"/>
  <c r="F22" i="79"/>
  <c r="I22" i="79" s="1"/>
  <c r="F21" i="79"/>
  <c r="I21" i="79" s="1"/>
  <c r="F20" i="79"/>
  <c r="I20" i="79" s="1"/>
  <c r="F19" i="79"/>
  <c r="I19" i="79" s="1"/>
  <c r="F18" i="79"/>
  <c r="I18" i="79" s="1"/>
  <c r="F17" i="79"/>
  <c r="I17" i="79" s="1"/>
  <c r="F16" i="79"/>
  <c r="F15" i="79"/>
  <c r="I15" i="79" s="1"/>
  <c r="F14" i="79"/>
  <c r="I14" i="79" s="1"/>
  <c r="F13" i="79"/>
  <c r="I13" i="79" s="1"/>
  <c r="F25" i="31"/>
  <c r="I25" i="31" s="1"/>
  <c r="F24" i="31"/>
  <c r="I24" i="31" s="1"/>
  <c r="F23" i="31"/>
  <c r="I23" i="31" s="1"/>
  <c r="F22" i="31"/>
  <c r="I22" i="31" s="1"/>
  <c r="F21" i="31"/>
  <c r="I21" i="31" s="1"/>
  <c r="F20" i="31"/>
  <c r="I20" i="31" s="1"/>
  <c r="F19" i="31"/>
  <c r="I19" i="31" s="1"/>
  <c r="F18" i="31"/>
  <c r="I18" i="31" s="1"/>
  <c r="F17" i="31"/>
  <c r="I17" i="31" s="1"/>
  <c r="F16" i="31"/>
  <c r="F15" i="31"/>
  <c r="I15" i="31" s="1"/>
  <c r="F14" i="31"/>
  <c r="I14" i="31" s="1"/>
  <c r="F13" i="31"/>
  <c r="I13" i="31" s="1"/>
  <c r="F25" i="64"/>
  <c r="I25" i="64" s="1"/>
  <c r="F24" i="64"/>
  <c r="I24" i="64" s="1"/>
  <c r="F23" i="64"/>
  <c r="I23" i="64" s="1"/>
  <c r="F22" i="64"/>
  <c r="I22" i="64" s="1"/>
  <c r="F21" i="64"/>
  <c r="I21" i="64" s="1"/>
  <c r="F20" i="64"/>
  <c r="I20" i="64" s="1"/>
  <c r="F19" i="64"/>
  <c r="I19" i="64" s="1"/>
  <c r="F18" i="64"/>
  <c r="I18" i="64" s="1"/>
  <c r="F17" i="64"/>
  <c r="I17" i="64" s="1"/>
  <c r="F16" i="64"/>
  <c r="F15" i="64"/>
  <c r="I15" i="64" s="1"/>
  <c r="F14" i="64"/>
  <c r="I14" i="64" s="1"/>
  <c r="F13" i="64"/>
  <c r="I13" i="64" s="1"/>
  <c r="F25" i="113"/>
  <c r="I25" i="113" s="1"/>
  <c r="F24" i="113"/>
  <c r="I24" i="113" s="1"/>
  <c r="F23" i="113"/>
  <c r="I23" i="113" s="1"/>
  <c r="F22" i="113"/>
  <c r="I22" i="113" s="1"/>
  <c r="F21" i="113"/>
  <c r="I21" i="113" s="1"/>
  <c r="F20" i="113"/>
  <c r="I20" i="113" s="1"/>
  <c r="F19" i="113"/>
  <c r="I19" i="113" s="1"/>
  <c r="F18" i="113"/>
  <c r="I18" i="113" s="1"/>
  <c r="F17" i="113"/>
  <c r="I17" i="113" s="1"/>
  <c r="F16" i="113"/>
  <c r="F15" i="113"/>
  <c r="I15" i="113" s="1"/>
  <c r="F14" i="113"/>
  <c r="I14" i="113" s="1"/>
  <c r="F13" i="113"/>
  <c r="I13" i="113" s="1"/>
  <c r="F25" i="72"/>
  <c r="I25" i="72" s="1"/>
  <c r="F24" i="72"/>
  <c r="I24" i="72" s="1"/>
  <c r="F23" i="72"/>
  <c r="I23" i="72" s="1"/>
  <c r="F22" i="72"/>
  <c r="I22" i="72" s="1"/>
  <c r="F21" i="72"/>
  <c r="I21" i="72" s="1"/>
  <c r="F20" i="72"/>
  <c r="I20" i="72" s="1"/>
  <c r="F19" i="72"/>
  <c r="I19" i="72" s="1"/>
  <c r="F18" i="72"/>
  <c r="I18" i="72" s="1"/>
  <c r="F17" i="72"/>
  <c r="I17" i="72" s="1"/>
  <c r="F16" i="72"/>
  <c r="F15" i="72"/>
  <c r="I15" i="72" s="1"/>
  <c r="F14" i="72"/>
  <c r="I14" i="72" s="1"/>
  <c r="F13" i="72"/>
  <c r="I13" i="72" s="1"/>
  <c r="F25" i="28"/>
  <c r="I25" i="28" s="1"/>
  <c r="F24" i="28"/>
  <c r="I24" i="28" s="1"/>
  <c r="F23" i="28"/>
  <c r="I23" i="28" s="1"/>
  <c r="F22" i="28"/>
  <c r="I22" i="28" s="1"/>
  <c r="F21" i="28"/>
  <c r="I21" i="28" s="1"/>
  <c r="F20" i="28"/>
  <c r="I20" i="28" s="1"/>
  <c r="F19" i="28"/>
  <c r="I19" i="28" s="1"/>
  <c r="F18" i="28"/>
  <c r="I18" i="28" s="1"/>
  <c r="F17" i="28"/>
  <c r="I17" i="28" s="1"/>
  <c r="F16" i="28"/>
  <c r="F15" i="28"/>
  <c r="I15" i="28" s="1"/>
  <c r="F14" i="28"/>
  <c r="I14" i="28" s="1"/>
  <c r="F13" i="28"/>
  <c r="I13" i="28" s="1"/>
  <c r="F25" i="65"/>
  <c r="I25" i="65" s="1"/>
  <c r="F24" i="65"/>
  <c r="I24" i="65" s="1"/>
  <c r="F23" i="65"/>
  <c r="I23" i="65" s="1"/>
  <c r="F22" i="65"/>
  <c r="I22" i="65" s="1"/>
  <c r="F21" i="65"/>
  <c r="I21" i="65" s="1"/>
  <c r="F20" i="65"/>
  <c r="I20" i="65" s="1"/>
  <c r="F19" i="65"/>
  <c r="I19" i="65" s="1"/>
  <c r="F18" i="65"/>
  <c r="I18" i="65" s="1"/>
  <c r="F17" i="65"/>
  <c r="I17" i="65" s="1"/>
  <c r="F16" i="65"/>
  <c r="F15" i="65"/>
  <c r="I15" i="65" s="1"/>
  <c r="F14" i="65"/>
  <c r="I14" i="65" s="1"/>
  <c r="F13" i="65"/>
  <c r="I13" i="65" s="1"/>
  <c r="F25" i="119"/>
  <c r="I25" i="119" s="1"/>
  <c r="F24" i="119"/>
  <c r="I24" i="119" s="1"/>
  <c r="F23" i="119"/>
  <c r="I23" i="119" s="1"/>
  <c r="F22" i="119"/>
  <c r="I22" i="119" s="1"/>
  <c r="F21" i="119"/>
  <c r="I21" i="119" s="1"/>
  <c r="F20" i="119"/>
  <c r="I20" i="119" s="1"/>
  <c r="F19" i="119"/>
  <c r="I19" i="119" s="1"/>
  <c r="F18" i="119"/>
  <c r="I18" i="119" s="1"/>
  <c r="F17" i="119"/>
  <c r="I17" i="119" s="1"/>
  <c r="F16" i="119"/>
  <c r="F15" i="119"/>
  <c r="I15" i="119" s="1"/>
  <c r="F14" i="119"/>
  <c r="I14" i="119" s="1"/>
  <c r="F13" i="119"/>
  <c r="I13" i="119" s="1"/>
  <c r="F25" i="25"/>
  <c r="I25" i="25" s="1"/>
  <c r="F24" i="25"/>
  <c r="I24" i="25" s="1"/>
  <c r="F23" i="25"/>
  <c r="I23" i="25" s="1"/>
  <c r="F22" i="25"/>
  <c r="I22" i="25" s="1"/>
  <c r="F21" i="25"/>
  <c r="I21" i="25" s="1"/>
  <c r="F20" i="25"/>
  <c r="I20" i="25" s="1"/>
  <c r="F19" i="25"/>
  <c r="I19" i="25" s="1"/>
  <c r="F18" i="25"/>
  <c r="I18" i="25" s="1"/>
  <c r="F17" i="25"/>
  <c r="I17" i="25" s="1"/>
  <c r="F16" i="25"/>
  <c r="F15" i="25"/>
  <c r="I15" i="25" s="1"/>
  <c r="F14" i="25"/>
  <c r="I14" i="25" s="1"/>
  <c r="F13" i="25"/>
  <c r="I13" i="25" s="1"/>
  <c r="F25" i="155"/>
  <c r="I25" i="155" s="1"/>
  <c r="F24" i="155"/>
  <c r="I24" i="155" s="1"/>
  <c r="F23" i="155"/>
  <c r="I23" i="155" s="1"/>
  <c r="F22" i="155"/>
  <c r="I22" i="155" s="1"/>
  <c r="F21" i="155"/>
  <c r="I21" i="155" s="1"/>
  <c r="F20" i="155"/>
  <c r="I20" i="155" s="1"/>
  <c r="F19" i="155"/>
  <c r="I19" i="155" s="1"/>
  <c r="F18" i="155"/>
  <c r="I18" i="155" s="1"/>
  <c r="F17" i="155"/>
  <c r="I17" i="155" s="1"/>
  <c r="F16" i="155"/>
  <c r="F15" i="155"/>
  <c r="I15" i="155" s="1"/>
  <c r="F14" i="155"/>
  <c r="I14" i="155" s="1"/>
  <c r="F13" i="155"/>
  <c r="I13" i="155" s="1"/>
  <c r="F25" i="156"/>
  <c r="I25" i="156" s="1"/>
  <c r="F24" i="156"/>
  <c r="I24" i="156" s="1"/>
  <c r="F23" i="156"/>
  <c r="I23" i="156" s="1"/>
  <c r="F22" i="156"/>
  <c r="I22" i="156" s="1"/>
  <c r="F21" i="156"/>
  <c r="I21" i="156" s="1"/>
  <c r="F20" i="156"/>
  <c r="I20" i="156" s="1"/>
  <c r="F19" i="156"/>
  <c r="I19" i="156" s="1"/>
  <c r="F18" i="156"/>
  <c r="I18" i="156" s="1"/>
  <c r="F17" i="156"/>
  <c r="I17" i="156" s="1"/>
  <c r="F16" i="156"/>
  <c r="F15" i="156"/>
  <c r="I15" i="156" s="1"/>
  <c r="F14" i="156"/>
  <c r="I14" i="156" s="1"/>
  <c r="F13" i="156"/>
  <c r="I13" i="156" s="1"/>
  <c r="F25" i="20"/>
  <c r="I25" i="20" s="1"/>
  <c r="F24" i="20"/>
  <c r="I24" i="20" s="1"/>
  <c r="F23" i="20"/>
  <c r="I23" i="20" s="1"/>
  <c r="F22" i="20"/>
  <c r="I22" i="20" s="1"/>
  <c r="F21" i="20"/>
  <c r="I21" i="20" s="1"/>
  <c r="F20" i="20"/>
  <c r="I20" i="20" s="1"/>
  <c r="F19" i="20"/>
  <c r="I19" i="20" s="1"/>
  <c r="F18" i="20"/>
  <c r="I18" i="20" s="1"/>
  <c r="F17" i="20"/>
  <c r="I17" i="20" s="1"/>
  <c r="F16" i="20"/>
  <c r="F15" i="20"/>
  <c r="I15" i="20" s="1"/>
  <c r="F14" i="20"/>
  <c r="I14" i="20" s="1"/>
  <c r="F13" i="20"/>
  <c r="I13" i="20" s="1"/>
  <c r="F25" i="42"/>
  <c r="I25" i="42" s="1"/>
  <c r="F24" i="42"/>
  <c r="I24" i="42" s="1"/>
  <c r="F23" i="42"/>
  <c r="I23" i="42" s="1"/>
  <c r="F22" i="42"/>
  <c r="I22" i="42" s="1"/>
  <c r="F21" i="42"/>
  <c r="I21" i="42" s="1"/>
  <c r="F20" i="42"/>
  <c r="I20" i="42" s="1"/>
  <c r="F19" i="42"/>
  <c r="I19" i="42" s="1"/>
  <c r="F18" i="42"/>
  <c r="I18" i="42" s="1"/>
  <c r="F17" i="42"/>
  <c r="I17" i="42" s="1"/>
  <c r="F16" i="42"/>
  <c r="F15" i="42"/>
  <c r="I15" i="42" s="1"/>
  <c r="F14" i="42"/>
  <c r="I14" i="42" s="1"/>
  <c r="F13" i="42"/>
  <c r="I13" i="42" s="1"/>
  <c r="F25" i="157"/>
  <c r="I25" i="157" s="1"/>
  <c r="F24" i="157"/>
  <c r="I24" i="157" s="1"/>
  <c r="F23" i="157"/>
  <c r="I23" i="157" s="1"/>
  <c r="F22" i="157"/>
  <c r="I22" i="157" s="1"/>
  <c r="F21" i="157"/>
  <c r="I21" i="157" s="1"/>
  <c r="F20" i="157"/>
  <c r="I20" i="157" s="1"/>
  <c r="F19" i="157"/>
  <c r="I19" i="157" s="1"/>
  <c r="F18" i="157"/>
  <c r="I18" i="157" s="1"/>
  <c r="F17" i="157"/>
  <c r="I17" i="157" s="1"/>
  <c r="F16" i="157"/>
  <c r="F15" i="157"/>
  <c r="I15" i="157" s="1"/>
  <c r="F14" i="157"/>
  <c r="I14" i="157" s="1"/>
  <c r="F13" i="157"/>
  <c r="I13" i="157" s="1"/>
  <c r="F25" i="159"/>
  <c r="I25" i="159" s="1"/>
  <c r="F24" i="159"/>
  <c r="I24" i="159" s="1"/>
  <c r="F23" i="159"/>
  <c r="I23" i="159" s="1"/>
  <c r="F22" i="159"/>
  <c r="I22" i="159" s="1"/>
  <c r="F21" i="159"/>
  <c r="I21" i="159" s="1"/>
  <c r="F20" i="159"/>
  <c r="I20" i="159" s="1"/>
  <c r="F19" i="159"/>
  <c r="I19" i="159" s="1"/>
  <c r="F18" i="159"/>
  <c r="I18" i="159" s="1"/>
  <c r="F17" i="159"/>
  <c r="I17" i="159" s="1"/>
  <c r="F16" i="159"/>
  <c r="F15" i="159"/>
  <c r="I15" i="159" s="1"/>
  <c r="F14" i="159"/>
  <c r="I14" i="159" s="1"/>
  <c r="F13" i="159"/>
  <c r="I13" i="159" s="1"/>
  <c r="F25" i="158"/>
  <c r="I25" i="158" s="1"/>
  <c r="F24" i="158"/>
  <c r="I24" i="158" s="1"/>
  <c r="F23" i="158"/>
  <c r="I23" i="158" s="1"/>
  <c r="F22" i="158"/>
  <c r="I22" i="158" s="1"/>
  <c r="F21" i="158"/>
  <c r="I21" i="158" s="1"/>
  <c r="F20" i="158"/>
  <c r="I20" i="158" s="1"/>
  <c r="F19" i="158"/>
  <c r="I19" i="158" s="1"/>
  <c r="F18" i="158"/>
  <c r="I18" i="158" s="1"/>
  <c r="F17" i="158"/>
  <c r="I17" i="158" s="1"/>
  <c r="F16" i="158"/>
  <c r="F15" i="158"/>
  <c r="I15" i="158" s="1"/>
  <c r="F14" i="158"/>
  <c r="I14" i="158" s="1"/>
  <c r="F13" i="158"/>
  <c r="I13" i="158" s="1"/>
  <c r="F25" i="16"/>
  <c r="I25" i="16" s="1"/>
  <c r="F24" i="16"/>
  <c r="I24" i="16" s="1"/>
  <c r="F23" i="16"/>
  <c r="I23" i="16" s="1"/>
  <c r="F22" i="16"/>
  <c r="I22" i="16" s="1"/>
  <c r="F21" i="16"/>
  <c r="I21" i="16" s="1"/>
  <c r="F20" i="16"/>
  <c r="I20" i="16" s="1"/>
  <c r="F19" i="16"/>
  <c r="I19" i="16" s="1"/>
  <c r="F18" i="16"/>
  <c r="I18" i="16" s="1"/>
  <c r="F17" i="16"/>
  <c r="I17" i="16" s="1"/>
  <c r="F16" i="16"/>
  <c r="F15" i="16"/>
  <c r="I15" i="16" s="1"/>
  <c r="F14" i="16"/>
  <c r="I14" i="16" s="1"/>
  <c r="F13" i="16"/>
  <c r="I13" i="16" s="1"/>
  <c r="F25" i="27"/>
  <c r="I25" i="27" s="1"/>
  <c r="F24" i="27"/>
  <c r="I24" i="27" s="1"/>
  <c r="F23" i="27"/>
  <c r="I23" i="27" s="1"/>
  <c r="F22" i="27"/>
  <c r="I22" i="27" s="1"/>
  <c r="F21" i="27"/>
  <c r="I21" i="27" s="1"/>
  <c r="F20" i="27"/>
  <c r="I20" i="27" s="1"/>
  <c r="F19" i="27"/>
  <c r="I19" i="27" s="1"/>
  <c r="F18" i="27"/>
  <c r="I18" i="27" s="1"/>
  <c r="F17" i="27"/>
  <c r="I17" i="27" s="1"/>
  <c r="F16" i="27"/>
  <c r="F15" i="27"/>
  <c r="I15" i="27" s="1"/>
  <c r="F14" i="27"/>
  <c r="I14" i="27" s="1"/>
  <c r="F13" i="27"/>
  <c r="I13" i="27" s="1"/>
  <c r="F25" i="111"/>
  <c r="I25" i="111" s="1"/>
  <c r="F24" i="111"/>
  <c r="I24" i="111" s="1"/>
  <c r="F23" i="111"/>
  <c r="I23" i="111" s="1"/>
  <c r="F22" i="111"/>
  <c r="I22" i="111" s="1"/>
  <c r="F21" i="111"/>
  <c r="I21" i="111" s="1"/>
  <c r="F20" i="111"/>
  <c r="I20" i="111" s="1"/>
  <c r="F19" i="111"/>
  <c r="I19" i="111" s="1"/>
  <c r="F18" i="111"/>
  <c r="I18" i="111" s="1"/>
  <c r="F17" i="111"/>
  <c r="I17" i="111" s="1"/>
  <c r="F16" i="111"/>
  <c r="F15" i="111"/>
  <c r="I15" i="111" s="1"/>
  <c r="F14" i="111"/>
  <c r="I14" i="111" s="1"/>
  <c r="F13" i="111"/>
  <c r="I13" i="111" s="1"/>
  <c r="F25" i="71"/>
  <c r="I25" i="71" s="1"/>
  <c r="F24" i="71"/>
  <c r="I24" i="71" s="1"/>
  <c r="F23" i="71"/>
  <c r="I23" i="71" s="1"/>
  <c r="F22" i="71"/>
  <c r="I22" i="71" s="1"/>
  <c r="F21" i="71"/>
  <c r="I21" i="71" s="1"/>
  <c r="F20" i="71"/>
  <c r="I20" i="71" s="1"/>
  <c r="F19" i="71"/>
  <c r="I19" i="71" s="1"/>
  <c r="F18" i="71"/>
  <c r="I18" i="71" s="1"/>
  <c r="F17" i="71"/>
  <c r="I17" i="71" s="1"/>
  <c r="F16" i="71"/>
  <c r="F15" i="71"/>
  <c r="I15" i="71" s="1"/>
  <c r="F14" i="71"/>
  <c r="I14" i="71" s="1"/>
  <c r="F13" i="71"/>
  <c r="I13" i="71" s="1"/>
  <c r="F25" i="165"/>
  <c r="I25" i="165" s="1"/>
  <c r="F24" i="165"/>
  <c r="I24" i="165" s="1"/>
  <c r="F23" i="165"/>
  <c r="I23" i="165" s="1"/>
  <c r="F22" i="165"/>
  <c r="I22" i="165" s="1"/>
  <c r="F21" i="165"/>
  <c r="I21" i="165" s="1"/>
  <c r="F20" i="165"/>
  <c r="I20" i="165" s="1"/>
  <c r="F19" i="165"/>
  <c r="I19" i="165" s="1"/>
  <c r="F18" i="165"/>
  <c r="I18" i="165" s="1"/>
  <c r="F17" i="165"/>
  <c r="I17" i="165" s="1"/>
  <c r="F16" i="165"/>
  <c r="F15" i="165"/>
  <c r="I15" i="165" s="1"/>
  <c r="F14" i="165"/>
  <c r="I14" i="165" s="1"/>
  <c r="F13" i="165"/>
  <c r="I13" i="165" s="1"/>
  <c r="F25" i="55"/>
  <c r="I25" i="55" s="1"/>
  <c r="F24" i="55"/>
  <c r="I24" i="55" s="1"/>
  <c r="F23" i="55"/>
  <c r="I23" i="55" s="1"/>
  <c r="F22" i="55"/>
  <c r="I22" i="55" s="1"/>
  <c r="F21" i="55"/>
  <c r="I21" i="55" s="1"/>
  <c r="F20" i="55"/>
  <c r="I20" i="55" s="1"/>
  <c r="F19" i="55"/>
  <c r="I19" i="55" s="1"/>
  <c r="F18" i="55"/>
  <c r="I18" i="55" s="1"/>
  <c r="F17" i="55"/>
  <c r="I17" i="55" s="1"/>
  <c r="F16" i="55"/>
  <c r="F15" i="55"/>
  <c r="I15" i="55" s="1"/>
  <c r="F14" i="55"/>
  <c r="I14" i="55" s="1"/>
  <c r="F13" i="55"/>
  <c r="I13" i="55" s="1"/>
  <c r="F25" i="21"/>
  <c r="I25" i="21" s="1"/>
  <c r="F24" i="21"/>
  <c r="I24" i="21" s="1"/>
  <c r="F23" i="21"/>
  <c r="I23" i="21" s="1"/>
  <c r="F22" i="21"/>
  <c r="I22" i="21" s="1"/>
  <c r="F21" i="21"/>
  <c r="I21" i="21" s="1"/>
  <c r="F20" i="21"/>
  <c r="I20" i="21" s="1"/>
  <c r="F19" i="21"/>
  <c r="I19" i="21" s="1"/>
  <c r="F18" i="21"/>
  <c r="I18" i="21" s="1"/>
  <c r="F17" i="21"/>
  <c r="I17" i="21" s="1"/>
  <c r="F16" i="21"/>
  <c r="F15" i="21"/>
  <c r="I15" i="21" s="1"/>
  <c r="F14" i="21"/>
  <c r="I14" i="21" s="1"/>
  <c r="F13" i="21"/>
  <c r="I13" i="21" s="1"/>
  <c r="F25" i="14"/>
  <c r="I25" i="14" s="1"/>
  <c r="F24" i="14"/>
  <c r="I24" i="14" s="1"/>
  <c r="F23" i="14"/>
  <c r="I23" i="14" s="1"/>
  <c r="F22" i="14"/>
  <c r="I22" i="14" s="1"/>
  <c r="F21" i="14"/>
  <c r="I21" i="14" s="1"/>
  <c r="F20" i="14"/>
  <c r="I20" i="14" s="1"/>
  <c r="F19" i="14"/>
  <c r="I19" i="14" s="1"/>
  <c r="F18" i="14"/>
  <c r="I18" i="14" s="1"/>
  <c r="F17" i="14"/>
  <c r="F15" i="14"/>
  <c r="I15" i="14" s="1"/>
  <c r="F14" i="14"/>
  <c r="I14" i="14" s="1"/>
  <c r="F13" i="14"/>
  <c r="I13" i="14" s="1"/>
  <c r="F25" i="85"/>
  <c r="I25" i="85" s="1"/>
  <c r="F24" i="85"/>
  <c r="I24" i="85" s="1"/>
  <c r="F23" i="85"/>
  <c r="I23" i="85" s="1"/>
  <c r="F22" i="85"/>
  <c r="I22" i="85" s="1"/>
  <c r="F21" i="85"/>
  <c r="I21" i="85" s="1"/>
  <c r="F20" i="85"/>
  <c r="I20" i="85" s="1"/>
  <c r="F19" i="85"/>
  <c r="I19" i="85" s="1"/>
  <c r="F18" i="85"/>
  <c r="I18" i="85" s="1"/>
  <c r="F17" i="85"/>
  <c r="I17" i="85" s="1"/>
  <c r="F16" i="85"/>
  <c r="F15" i="85"/>
  <c r="I15" i="85" s="1"/>
  <c r="F14" i="85"/>
  <c r="I14" i="85" s="1"/>
  <c r="F13" i="85"/>
  <c r="I13" i="85" s="1"/>
  <c r="F25" i="87"/>
  <c r="I25" i="87" s="1"/>
  <c r="F24" i="87"/>
  <c r="I24" i="87" s="1"/>
  <c r="F23" i="87"/>
  <c r="I23" i="87" s="1"/>
  <c r="F22" i="87"/>
  <c r="I22" i="87" s="1"/>
  <c r="F21" i="87"/>
  <c r="I21" i="87" s="1"/>
  <c r="F20" i="87"/>
  <c r="I20" i="87" s="1"/>
  <c r="F19" i="87"/>
  <c r="I19" i="87" s="1"/>
  <c r="F18" i="87"/>
  <c r="I18" i="87" s="1"/>
  <c r="F17" i="87"/>
  <c r="I17" i="87" s="1"/>
  <c r="F16" i="87"/>
  <c r="F15" i="87"/>
  <c r="I15" i="87" s="1"/>
  <c r="F14" i="87"/>
  <c r="I14" i="87" s="1"/>
  <c r="F13" i="87"/>
  <c r="I13" i="87" s="1"/>
  <c r="F25" i="86"/>
  <c r="I25" i="86" s="1"/>
  <c r="F24" i="86"/>
  <c r="I24" i="86" s="1"/>
  <c r="F23" i="86"/>
  <c r="I23" i="86" s="1"/>
  <c r="F22" i="86"/>
  <c r="I22" i="86" s="1"/>
  <c r="F21" i="86"/>
  <c r="I21" i="86" s="1"/>
  <c r="F20" i="86"/>
  <c r="I20" i="86" s="1"/>
  <c r="F19" i="86"/>
  <c r="I19" i="86" s="1"/>
  <c r="F18" i="86"/>
  <c r="I18" i="86" s="1"/>
  <c r="F17" i="86"/>
  <c r="I17" i="86" s="1"/>
  <c r="F16" i="86"/>
  <c r="F15" i="86"/>
  <c r="I15" i="86" s="1"/>
  <c r="F14" i="86"/>
  <c r="I14" i="86" s="1"/>
  <c r="F13" i="86"/>
  <c r="I13" i="86" s="1"/>
  <c r="F25" i="89"/>
  <c r="I25" i="89" s="1"/>
  <c r="F24" i="89"/>
  <c r="I24" i="89" s="1"/>
  <c r="F23" i="89"/>
  <c r="I23" i="89" s="1"/>
  <c r="F22" i="89"/>
  <c r="I22" i="89" s="1"/>
  <c r="F21" i="89"/>
  <c r="I21" i="89" s="1"/>
  <c r="F20" i="89"/>
  <c r="I20" i="89" s="1"/>
  <c r="F19" i="89"/>
  <c r="I19" i="89" s="1"/>
  <c r="F18" i="89"/>
  <c r="I18" i="89" s="1"/>
  <c r="F17" i="89"/>
  <c r="I17" i="89" s="1"/>
  <c r="F16" i="89"/>
  <c r="F15" i="89"/>
  <c r="I15" i="89" s="1"/>
  <c r="F14" i="89"/>
  <c r="I14" i="89" s="1"/>
  <c r="F13" i="89"/>
  <c r="I13" i="89" s="1"/>
  <c r="F25" i="142"/>
  <c r="I25" i="142" s="1"/>
  <c r="F24" i="142"/>
  <c r="I24" i="142" s="1"/>
  <c r="F23" i="142"/>
  <c r="I23" i="142" s="1"/>
  <c r="F22" i="142"/>
  <c r="I22" i="142" s="1"/>
  <c r="F21" i="142"/>
  <c r="I21" i="142" s="1"/>
  <c r="F20" i="142"/>
  <c r="I20" i="142" s="1"/>
  <c r="F19" i="142"/>
  <c r="I19" i="142" s="1"/>
  <c r="F18" i="142"/>
  <c r="I18" i="142" s="1"/>
  <c r="F17" i="142"/>
  <c r="I17" i="142" s="1"/>
  <c r="F16" i="142"/>
  <c r="F15" i="142"/>
  <c r="I15" i="142" s="1"/>
  <c r="F14" i="142"/>
  <c r="I14" i="142" s="1"/>
  <c r="F13" i="142"/>
  <c r="I13" i="142" s="1"/>
  <c r="F25" i="92"/>
  <c r="I25" i="92" s="1"/>
  <c r="F24" i="92"/>
  <c r="I24" i="92" s="1"/>
  <c r="F23" i="92"/>
  <c r="I23" i="92" s="1"/>
  <c r="F22" i="92"/>
  <c r="I22" i="92" s="1"/>
  <c r="F21" i="92"/>
  <c r="I21" i="92" s="1"/>
  <c r="F20" i="92"/>
  <c r="I20" i="92" s="1"/>
  <c r="F19" i="92"/>
  <c r="I19" i="92" s="1"/>
  <c r="F18" i="92"/>
  <c r="I18" i="92" s="1"/>
  <c r="F17" i="92"/>
  <c r="I17" i="92" s="1"/>
  <c r="F16" i="92"/>
  <c r="F15" i="92"/>
  <c r="I15" i="92" s="1"/>
  <c r="F14" i="92"/>
  <c r="I14" i="92" s="1"/>
  <c r="F13" i="92"/>
  <c r="I13" i="92" s="1"/>
  <c r="F25" i="1"/>
  <c r="I25" i="1" s="1"/>
  <c r="F24" i="1"/>
  <c r="I24" i="1" s="1"/>
  <c r="F23" i="1"/>
  <c r="I23" i="1" s="1"/>
  <c r="F22" i="1"/>
  <c r="I22" i="1" s="1"/>
  <c r="F21" i="1"/>
  <c r="I21" i="1" s="1"/>
  <c r="F20" i="1"/>
  <c r="I20" i="1" s="1"/>
  <c r="F19" i="1"/>
  <c r="I19" i="1" s="1"/>
  <c r="F18" i="1"/>
  <c r="I18" i="1" s="1"/>
  <c r="F17" i="1"/>
  <c r="I17" i="1" s="1"/>
  <c r="F16" i="1"/>
  <c r="F15" i="1"/>
  <c r="I15" i="1" s="1"/>
  <c r="F14" i="1"/>
  <c r="I14" i="1" s="1"/>
  <c r="F13" i="1"/>
  <c r="I13" i="1" s="1"/>
  <c r="F25" i="50"/>
  <c r="I25" i="50" s="1"/>
  <c r="F24" i="50"/>
  <c r="I24" i="50" s="1"/>
  <c r="F23" i="50"/>
  <c r="I23" i="50" s="1"/>
  <c r="F22" i="50"/>
  <c r="I22" i="50" s="1"/>
  <c r="F21" i="50"/>
  <c r="I21" i="50" s="1"/>
  <c r="F20" i="50"/>
  <c r="I20" i="50" s="1"/>
  <c r="F19" i="50"/>
  <c r="I19" i="50" s="1"/>
  <c r="F18" i="50"/>
  <c r="I18" i="50" s="1"/>
  <c r="F17" i="50"/>
  <c r="I17" i="50" s="1"/>
  <c r="F16" i="50"/>
  <c r="F15" i="50"/>
  <c r="I15" i="50" s="1"/>
  <c r="F14" i="50"/>
  <c r="I14" i="50" s="1"/>
  <c r="F13" i="50"/>
  <c r="I13" i="50" s="1"/>
  <c r="F25" i="95"/>
  <c r="I25" i="95" s="1"/>
  <c r="F24" i="95"/>
  <c r="I24" i="95" s="1"/>
  <c r="F23" i="95"/>
  <c r="I23" i="95" s="1"/>
  <c r="F22" i="95"/>
  <c r="I22" i="95" s="1"/>
  <c r="F21" i="95"/>
  <c r="I21" i="95" s="1"/>
  <c r="F20" i="95"/>
  <c r="I20" i="95" s="1"/>
  <c r="F19" i="95"/>
  <c r="I19" i="95" s="1"/>
  <c r="F18" i="95"/>
  <c r="I18" i="95" s="1"/>
  <c r="F17" i="95"/>
  <c r="I17" i="95" s="1"/>
  <c r="F16" i="95"/>
  <c r="F15" i="95"/>
  <c r="I15" i="95" s="1"/>
  <c r="F14" i="95"/>
  <c r="I14" i="95" s="1"/>
  <c r="F13" i="95"/>
  <c r="I13" i="95" s="1"/>
  <c r="F25" i="180"/>
  <c r="I25" i="180" s="1"/>
  <c r="F24" i="180"/>
  <c r="I24" i="180" s="1"/>
  <c r="F23" i="180"/>
  <c r="I23" i="180" s="1"/>
  <c r="F22" i="180"/>
  <c r="I22" i="180" s="1"/>
  <c r="F21" i="180"/>
  <c r="I21" i="180" s="1"/>
  <c r="F20" i="180"/>
  <c r="I20" i="180" s="1"/>
  <c r="F19" i="180"/>
  <c r="I19" i="180" s="1"/>
  <c r="F18" i="180"/>
  <c r="I18" i="180" s="1"/>
  <c r="F17" i="180"/>
  <c r="I17" i="180" s="1"/>
  <c r="F16" i="180"/>
  <c r="F15" i="180"/>
  <c r="I15" i="180" s="1"/>
  <c r="F14" i="180"/>
  <c r="I14" i="180" s="1"/>
  <c r="F13" i="180"/>
  <c r="I13" i="180" s="1"/>
  <c r="F237" i="180"/>
  <c r="I237" i="180" s="1"/>
  <c r="F236" i="180"/>
  <c r="I236" i="180" s="1"/>
  <c r="G233" i="118"/>
  <c r="G233" i="60"/>
  <c r="G233" i="106"/>
  <c r="G233" i="104"/>
  <c r="G233" i="54"/>
  <c r="G233" i="181"/>
  <c r="G233" i="94"/>
  <c r="G233" i="145"/>
  <c r="G233" i="33"/>
  <c r="G233" i="177"/>
  <c r="G233" i="164"/>
  <c r="G233" i="19"/>
  <c r="G233" i="15"/>
  <c r="G233" i="178"/>
  <c r="G233" i="150"/>
  <c r="G233" i="68"/>
  <c r="G233" i="66"/>
  <c r="G233" i="63"/>
  <c r="G233" i="62"/>
  <c r="G233" i="58"/>
  <c r="G233" i="136"/>
  <c r="G233" i="141"/>
  <c r="G233" i="174"/>
  <c r="G233" i="53"/>
  <c r="G233" i="98"/>
  <c r="G233" i="49"/>
  <c r="G233" i="83"/>
  <c r="G233" i="46"/>
  <c r="G233" i="102"/>
  <c r="G233" i="43"/>
  <c r="G233" i="175"/>
  <c r="G233" i="57"/>
  <c r="G233" i="84"/>
  <c r="G233" i="167"/>
  <c r="G233" i="39"/>
  <c r="G233" i="135"/>
  <c r="G233" i="38"/>
  <c r="G233" i="103"/>
  <c r="G233" i="133"/>
  <c r="G233" i="152"/>
  <c r="G233" i="47"/>
  <c r="G233" i="120"/>
  <c r="G233" i="37"/>
  <c r="G233" i="90"/>
  <c r="G233" i="24"/>
  <c r="G233" i="32"/>
  <c r="G233" i="79"/>
  <c r="G233" i="31"/>
  <c r="G233" i="64"/>
  <c r="G233" i="113"/>
  <c r="G233" i="72"/>
  <c r="G233" i="28"/>
  <c r="G233" i="65"/>
  <c r="G233" i="119"/>
  <c r="G233" i="25"/>
  <c r="G233" i="155"/>
  <c r="G233" i="156"/>
  <c r="G233" i="20"/>
  <c r="G233" i="42"/>
  <c r="G233" i="157"/>
  <c r="G233" i="159"/>
  <c r="G233" i="158"/>
  <c r="G233" i="16"/>
  <c r="G233" i="27"/>
  <c r="G233" i="111"/>
  <c r="G233" i="71"/>
  <c r="G233" i="165"/>
  <c r="G233" i="55"/>
  <c r="G233" i="21"/>
  <c r="G233" i="14"/>
  <c r="G233" i="85"/>
  <c r="G233" i="87"/>
  <c r="G233" i="86"/>
  <c r="G233" i="89"/>
  <c r="G233" i="142"/>
  <c r="G233" i="92"/>
  <c r="G233" i="1"/>
  <c r="G233" i="50"/>
  <c r="G233" i="95"/>
  <c r="G233" i="180"/>
  <c r="F232" i="118"/>
  <c r="I232" i="118" s="1"/>
  <c r="F231" i="118"/>
  <c r="I231" i="118" s="1"/>
  <c r="F230" i="118"/>
  <c r="I230" i="118" s="1"/>
  <c r="F229" i="118"/>
  <c r="I229" i="118" s="1"/>
  <c r="F228" i="118"/>
  <c r="I228" i="118" s="1"/>
  <c r="F227" i="118"/>
  <c r="I227" i="118" s="1"/>
  <c r="F226" i="118"/>
  <c r="I226" i="118" s="1"/>
  <c r="F225" i="118"/>
  <c r="I225" i="118" s="1"/>
  <c r="F232" i="60"/>
  <c r="I232" i="60" s="1"/>
  <c r="F231" i="60"/>
  <c r="I231" i="60" s="1"/>
  <c r="F230" i="60"/>
  <c r="I230" i="60" s="1"/>
  <c r="F229" i="60"/>
  <c r="I229" i="60" s="1"/>
  <c r="F228" i="60"/>
  <c r="I228" i="60" s="1"/>
  <c r="F227" i="60"/>
  <c r="I227" i="60" s="1"/>
  <c r="F226" i="60"/>
  <c r="I226" i="60" s="1"/>
  <c r="F225" i="60"/>
  <c r="I225" i="60" s="1"/>
  <c r="F232" i="106"/>
  <c r="I232" i="106" s="1"/>
  <c r="F231" i="106"/>
  <c r="I231" i="106" s="1"/>
  <c r="F230" i="106"/>
  <c r="I230" i="106" s="1"/>
  <c r="F229" i="106"/>
  <c r="I229" i="106" s="1"/>
  <c r="F228" i="106"/>
  <c r="I228" i="106" s="1"/>
  <c r="F227" i="106"/>
  <c r="I227" i="106" s="1"/>
  <c r="F226" i="106"/>
  <c r="I226" i="106" s="1"/>
  <c r="F225" i="106"/>
  <c r="I225" i="106" s="1"/>
  <c r="F232" i="104"/>
  <c r="I232" i="104" s="1"/>
  <c r="F231" i="104"/>
  <c r="I231" i="104" s="1"/>
  <c r="F230" i="104"/>
  <c r="I230" i="104" s="1"/>
  <c r="F229" i="104"/>
  <c r="I229" i="104" s="1"/>
  <c r="F228" i="104"/>
  <c r="I228" i="104" s="1"/>
  <c r="F227" i="104"/>
  <c r="I227" i="104" s="1"/>
  <c r="F226" i="104"/>
  <c r="I226" i="104" s="1"/>
  <c r="F225" i="104"/>
  <c r="I225" i="104" s="1"/>
  <c r="F232" i="54"/>
  <c r="I232" i="54" s="1"/>
  <c r="F231" i="54"/>
  <c r="I231" i="54" s="1"/>
  <c r="F230" i="54"/>
  <c r="I230" i="54" s="1"/>
  <c r="F229" i="54"/>
  <c r="I229" i="54" s="1"/>
  <c r="F228" i="54"/>
  <c r="I228" i="54" s="1"/>
  <c r="F227" i="54"/>
  <c r="I227" i="54" s="1"/>
  <c r="F226" i="54"/>
  <c r="I226" i="54" s="1"/>
  <c r="F225" i="54"/>
  <c r="I225" i="54" s="1"/>
  <c r="F232" i="181"/>
  <c r="I232" i="181" s="1"/>
  <c r="F231" i="181"/>
  <c r="I231" i="181" s="1"/>
  <c r="F230" i="181"/>
  <c r="I230" i="181" s="1"/>
  <c r="F229" i="181"/>
  <c r="I229" i="181" s="1"/>
  <c r="F228" i="181"/>
  <c r="I228" i="181" s="1"/>
  <c r="F227" i="181"/>
  <c r="I227" i="181" s="1"/>
  <c r="F226" i="181"/>
  <c r="I226" i="181" s="1"/>
  <c r="F225" i="181"/>
  <c r="I225" i="181" s="1"/>
  <c r="F232" i="94"/>
  <c r="I232" i="94" s="1"/>
  <c r="F231" i="94"/>
  <c r="I231" i="94" s="1"/>
  <c r="F230" i="94"/>
  <c r="I230" i="94" s="1"/>
  <c r="F229" i="94"/>
  <c r="I229" i="94" s="1"/>
  <c r="F228" i="94"/>
  <c r="I228" i="94" s="1"/>
  <c r="F227" i="94"/>
  <c r="I227" i="94" s="1"/>
  <c r="F226" i="94"/>
  <c r="I226" i="94" s="1"/>
  <c r="F225" i="94"/>
  <c r="I225" i="94" s="1"/>
  <c r="F232" i="145"/>
  <c r="I232" i="145" s="1"/>
  <c r="F231" i="145"/>
  <c r="I231" i="145" s="1"/>
  <c r="F230" i="145"/>
  <c r="I230" i="145" s="1"/>
  <c r="F229" i="145"/>
  <c r="I229" i="145" s="1"/>
  <c r="F228" i="145"/>
  <c r="I228" i="145" s="1"/>
  <c r="F227" i="145"/>
  <c r="I227" i="145" s="1"/>
  <c r="F226" i="145"/>
  <c r="I226" i="145" s="1"/>
  <c r="F225" i="145"/>
  <c r="I225" i="145" s="1"/>
  <c r="F232" i="33"/>
  <c r="I232" i="33" s="1"/>
  <c r="F231" i="33"/>
  <c r="I231" i="33" s="1"/>
  <c r="F230" i="33"/>
  <c r="I230" i="33" s="1"/>
  <c r="F229" i="33"/>
  <c r="I229" i="33" s="1"/>
  <c r="F228" i="33"/>
  <c r="I228" i="33" s="1"/>
  <c r="F227" i="33"/>
  <c r="I227" i="33" s="1"/>
  <c r="F226" i="33"/>
  <c r="I226" i="33" s="1"/>
  <c r="F225" i="33"/>
  <c r="I225" i="33" s="1"/>
  <c r="F232" i="177"/>
  <c r="I232" i="177" s="1"/>
  <c r="F231" i="177"/>
  <c r="I231" i="177" s="1"/>
  <c r="F230" i="177"/>
  <c r="I230" i="177" s="1"/>
  <c r="F229" i="177"/>
  <c r="I229" i="177" s="1"/>
  <c r="F228" i="177"/>
  <c r="I228" i="177" s="1"/>
  <c r="F227" i="177"/>
  <c r="I227" i="177" s="1"/>
  <c r="F226" i="177"/>
  <c r="I226" i="177" s="1"/>
  <c r="F225" i="177"/>
  <c r="I225" i="177" s="1"/>
  <c r="F232" i="164"/>
  <c r="I232" i="164" s="1"/>
  <c r="F231" i="164"/>
  <c r="I231" i="164" s="1"/>
  <c r="F230" i="164"/>
  <c r="I230" i="164" s="1"/>
  <c r="F229" i="164"/>
  <c r="I229" i="164" s="1"/>
  <c r="F228" i="164"/>
  <c r="I228" i="164" s="1"/>
  <c r="F227" i="164"/>
  <c r="I227" i="164" s="1"/>
  <c r="F226" i="164"/>
  <c r="I226" i="164" s="1"/>
  <c r="F225" i="164"/>
  <c r="I225" i="164" s="1"/>
  <c r="F232" i="19"/>
  <c r="I232" i="19" s="1"/>
  <c r="F231" i="19"/>
  <c r="I231" i="19" s="1"/>
  <c r="F230" i="19"/>
  <c r="I230" i="19" s="1"/>
  <c r="F229" i="19"/>
  <c r="I229" i="19" s="1"/>
  <c r="F228" i="19"/>
  <c r="I228" i="19" s="1"/>
  <c r="F227" i="19"/>
  <c r="I227" i="19" s="1"/>
  <c r="F226" i="19"/>
  <c r="I226" i="19" s="1"/>
  <c r="F225" i="19"/>
  <c r="I225" i="19" s="1"/>
  <c r="F232" i="15"/>
  <c r="I232" i="15" s="1"/>
  <c r="F231" i="15"/>
  <c r="I231" i="15" s="1"/>
  <c r="F230" i="15"/>
  <c r="I230" i="15" s="1"/>
  <c r="F229" i="15"/>
  <c r="I229" i="15" s="1"/>
  <c r="F228" i="15"/>
  <c r="I228" i="15" s="1"/>
  <c r="F227" i="15"/>
  <c r="I227" i="15" s="1"/>
  <c r="F226" i="15"/>
  <c r="I226" i="15" s="1"/>
  <c r="F225" i="15"/>
  <c r="I225" i="15" s="1"/>
  <c r="F232" i="178"/>
  <c r="I232" i="178" s="1"/>
  <c r="F231" i="178"/>
  <c r="I231" i="178" s="1"/>
  <c r="F230" i="178"/>
  <c r="I230" i="178" s="1"/>
  <c r="F229" i="178"/>
  <c r="I229" i="178" s="1"/>
  <c r="F228" i="178"/>
  <c r="I228" i="178" s="1"/>
  <c r="F227" i="178"/>
  <c r="I227" i="178" s="1"/>
  <c r="F226" i="178"/>
  <c r="I226" i="178" s="1"/>
  <c r="F225" i="178"/>
  <c r="I225" i="178" s="1"/>
  <c r="F232" i="150"/>
  <c r="I232" i="150" s="1"/>
  <c r="F231" i="150"/>
  <c r="I231" i="150" s="1"/>
  <c r="F230" i="150"/>
  <c r="I230" i="150" s="1"/>
  <c r="F229" i="150"/>
  <c r="I229" i="150" s="1"/>
  <c r="F228" i="150"/>
  <c r="I228" i="150" s="1"/>
  <c r="F227" i="150"/>
  <c r="I227" i="150" s="1"/>
  <c r="F226" i="150"/>
  <c r="I226" i="150" s="1"/>
  <c r="F225" i="150"/>
  <c r="I225" i="150" s="1"/>
  <c r="F232" i="68"/>
  <c r="I232" i="68" s="1"/>
  <c r="F231" i="68"/>
  <c r="I231" i="68" s="1"/>
  <c r="F230" i="68"/>
  <c r="I230" i="68" s="1"/>
  <c r="F229" i="68"/>
  <c r="I229" i="68" s="1"/>
  <c r="F228" i="68"/>
  <c r="I228" i="68" s="1"/>
  <c r="F227" i="68"/>
  <c r="I227" i="68" s="1"/>
  <c r="F226" i="68"/>
  <c r="I226" i="68" s="1"/>
  <c r="F225" i="68"/>
  <c r="I225" i="68" s="1"/>
  <c r="F232" i="66"/>
  <c r="I232" i="66" s="1"/>
  <c r="F231" i="66"/>
  <c r="I231" i="66" s="1"/>
  <c r="F230" i="66"/>
  <c r="I230" i="66" s="1"/>
  <c r="F229" i="66"/>
  <c r="I229" i="66" s="1"/>
  <c r="F228" i="66"/>
  <c r="I228" i="66" s="1"/>
  <c r="F227" i="66"/>
  <c r="I227" i="66" s="1"/>
  <c r="F226" i="66"/>
  <c r="I226" i="66" s="1"/>
  <c r="F225" i="66"/>
  <c r="I225" i="66" s="1"/>
  <c r="F232" i="63"/>
  <c r="I232" i="63" s="1"/>
  <c r="F231" i="63"/>
  <c r="I231" i="63" s="1"/>
  <c r="F230" i="63"/>
  <c r="I230" i="63" s="1"/>
  <c r="F229" i="63"/>
  <c r="I229" i="63" s="1"/>
  <c r="F228" i="63"/>
  <c r="I228" i="63" s="1"/>
  <c r="F227" i="63"/>
  <c r="I227" i="63" s="1"/>
  <c r="F226" i="63"/>
  <c r="I226" i="63" s="1"/>
  <c r="F225" i="63"/>
  <c r="I225" i="63" s="1"/>
  <c r="F232" i="62"/>
  <c r="I232" i="62" s="1"/>
  <c r="F231" i="62"/>
  <c r="I231" i="62" s="1"/>
  <c r="F230" i="62"/>
  <c r="I230" i="62" s="1"/>
  <c r="F229" i="62"/>
  <c r="I229" i="62" s="1"/>
  <c r="F228" i="62"/>
  <c r="I228" i="62" s="1"/>
  <c r="F227" i="62"/>
  <c r="I227" i="62" s="1"/>
  <c r="F226" i="62"/>
  <c r="I226" i="62" s="1"/>
  <c r="F225" i="62"/>
  <c r="I225" i="62" s="1"/>
  <c r="F232" i="58"/>
  <c r="I232" i="58" s="1"/>
  <c r="F231" i="58"/>
  <c r="I231" i="58" s="1"/>
  <c r="F230" i="58"/>
  <c r="I230" i="58" s="1"/>
  <c r="F229" i="58"/>
  <c r="I229" i="58" s="1"/>
  <c r="F228" i="58"/>
  <c r="I228" i="58" s="1"/>
  <c r="F227" i="58"/>
  <c r="I227" i="58" s="1"/>
  <c r="F226" i="58"/>
  <c r="I226" i="58" s="1"/>
  <c r="F225" i="58"/>
  <c r="I225" i="58" s="1"/>
  <c r="F232" i="136"/>
  <c r="I232" i="136" s="1"/>
  <c r="F231" i="136"/>
  <c r="I231" i="136" s="1"/>
  <c r="F230" i="136"/>
  <c r="I230" i="136" s="1"/>
  <c r="F229" i="136"/>
  <c r="I229" i="136" s="1"/>
  <c r="F228" i="136"/>
  <c r="I228" i="136" s="1"/>
  <c r="F227" i="136"/>
  <c r="I227" i="136" s="1"/>
  <c r="F226" i="136"/>
  <c r="I226" i="136" s="1"/>
  <c r="F225" i="136"/>
  <c r="I225" i="136" s="1"/>
  <c r="F232" i="141"/>
  <c r="I232" i="141" s="1"/>
  <c r="F231" i="141"/>
  <c r="I231" i="141" s="1"/>
  <c r="F230" i="141"/>
  <c r="I230" i="141" s="1"/>
  <c r="F229" i="141"/>
  <c r="I229" i="141" s="1"/>
  <c r="F228" i="141"/>
  <c r="I228" i="141" s="1"/>
  <c r="F227" i="141"/>
  <c r="I227" i="141" s="1"/>
  <c r="F226" i="141"/>
  <c r="I226" i="141" s="1"/>
  <c r="F225" i="141"/>
  <c r="I225" i="141" s="1"/>
  <c r="F232" i="174"/>
  <c r="I232" i="174" s="1"/>
  <c r="F231" i="174"/>
  <c r="I231" i="174" s="1"/>
  <c r="F230" i="174"/>
  <c r="I230" i="174" s="1"/>
  <c r="F229" i="174"/>
  <c r="I229" i="174" s="1"/>
  <c r="F228" i="174"/>
  <c r="I228" i="174" s="1"/>
  <c r="F227" i="174"/>
  <c r="I227" i="174" s="1"/>
  <c r="F226" i="174"/>
  <c r="I226" i="174" s="1"/>
  <c r="F225" i="174"/>
  <c r="I225" i="174" s="1"/>
  <c r="F232" i="53"/>
  <c r="I232" i="53" s="1"/>
  <c r="F231" i="53"/>
  <c r="I231" i="53" s="1"/>
  <c r="F230" i="53"/>
  <c r="I230" i="53" s="1"/>
  <c r="F229" i="53"/>
  <c r="I229" i="53" s="1"/>
  <c r="F228" i="53"/>
  <c r="I228" i="53" s="1"/>
  <c r="F227" i="53"/>
  <c r="I227" i="53" s="1"/>
  <c r="F226" i="53"/>
  <c r="I226" i="53" s="1"/>
  <c r="F225" i="53"/>
  <c r="I225" i="53" s="1"/>
  <c r="F232" i="98"/>
  <c r="I232" i="98" s="1"/>
  <c r="F231" i="98"/>
  <c r="I231" i="98" s="1"/>
  <c r="F230" i="98"/>
  <c r="I230" i="98" s="1"/>
  <c r="F229" i="98"/>
  <c r="I229" i="98" s="1"/>
  <c r="F228" i="98"/>
  <c r="I228" i="98" s="1"/>
  <c r="F227" i="98"/>
  <c r="I227" i="98" s="1"/>
  <c r="F226" i="98"/>
  <c r="I226" i="98" s="1"/>
  <c r="F225" i="98"/>
  <c r="I225" i="98" s="1"/>
  <c r="F232" i="49"/>
  <c r="I232" i="49" s="1"/>
  <c r="F231" i="49"/>
  <c r="I231" i="49" s="1"/>
  <c r="F230" i="49"/>
  <c r="I230" i="49" s="1"/>
  <c r="F229" i="49"/>
  <c r="I229" i="49" s="1"/>
  <c r="F228" i="49"/>
  <c r="I228" i="49" s="1"/>
  <c r="F227" i="49"/>
  <c r="I227" i="49" s="1"/>
  <c r="F226" i="49"/>
  <c r="I226" i="49" s="1"/>
  <c r="F225" i="49"/>
  <c r="I225" i="49" s="1"/>
  <c r="F232" i="83"/>
  <c r="F231" i="83"/>
  <c r="F230" i="83"/>
  <c r="F229" i="83"/>
  <c r="F228" i="83"/>
  <c r="F227" i="83"/>
  <c r="F226" i="83"/>
  <c r="F225" i="83"/>
  <c r="F232" i="46"/>
  <c r="I232" i="46" s="1"/>
  <c r="F231" i="46"/>
  <c r="I231" i="46" s="1"/>
  <c r="F230" i="46"/>
  <c r="I230" i="46" s="1"/>
  <c r="F229" i="46"/>
  <c r="I229" i="46" s="1"/>
  <c r="F228" i="46"/>
  <c r="I228" i="46" s="1"/>
  <c r="F227" i="46"/>
  <c r="I227" i="46" s="1"/>
  <c r="F226" i="46"/>
  <c r="I226" i="46" s="1"/>
  <c r="F225" i="46"/>
  <c r="I225" i="46" s="1"/>
  <c r="F232" i="102"/>
  <c r="I232" i="102" s="1"/>
  <c r="F231" i="102"/>
  <c r="I231" i="102" s="1"/>
  <c r="F230" i="102"/>
  <c r="I230" i="102" s="1"/>
  <c r="F229" i="102"/>
  <c r="I229" i="102" s="1"/>
  <c r="F228" i="102"/>
  <c r="I228" i="102" s="1"/>
  <c r="F227" i="102"/>
  <c r="I227" i="102" s="1"/>
  <c r="F226" i="102"/>
  <c r="I226" i="102" s="1"/>
  <c r="F225" i="102"/>
  <c r="I225" i="102" s="1"/>
  <c r="F232" i="43"/>
  <c r="I232" i="43" s="1"/>
  <c r="F231" i="43"/>
  <c r="I231" i="43" s="1"/>
  <c r="F230" i="43"/>
  <c r="I230" i="43" s="1"/>
  <c r="F229" i="43"/>
  <c r="I229" i="43" s="1"/>
  <c r="F228" i="43"/>
  <c r="I228" i="43" s="1"/>
  <c r="F227" i="43"/>
  <c r="I227" i="43" s="1"/>
  <c r="F226" i="43"/>
  <c r="I226" i="43" s="1"/>
  <c r="F225" i="43"/>
  <c r="I225" i="43" s="1"/>
  <c r="F232" i="175"/>
  <c r="I232" i="175" s="1"/>
  <c r="F231" i="175"/>
  <c r="I231" i="175" s="1"/>
  <c r="F230" i="175"/>
  <c r="I230" i="175" s="1"/>
  <c r="F229" i="175"/>
  <c r="I229" i="175" s="1"/>
  <c r="F228" i="175"/>
  <c r="I228" i="175" s="1"/>
  <c r="F227" i="175"/>
  <c r="I227" i="175" s="1"/>
  <c r="F226" i="175"/>
  <c r="I226" i="175" s="1"/>
  <c r="F225" i="175"/>
  <c r="I225" i="175" s="1"/>
  <c r="F232" i="57"/>
  <c r="I232" i="57" s="1"/>
  <c r="F231" i="57"/>
  <c r="I231" i="57" s="1"/>
  <c r="F230" i="57"/>
  <c r="I230" i="57" s="1"/>
  <c r="F229" i="57"/>
  <c r="I229" i="57" s="1"/>
  <c r="F228" i="57"/>
  <c r="I228" i="57" s="1"/>
  <c r="F227" i="57"/>
  <c r="I227" i="57" s="1"/>
  <c r="F226" i="57"/>
  <c r="I226" i="57" s="1"/>
  <c r="F225" i="57"/>
  <c r="I225" i="57" s="1"/>
  <c r="F232" i="84"/>
  <c r="I232" i="84" s="1"/>
  <c r="F231" i="84"/>
  <c r="I231" i="84" s="1"/>
  <c r="F230" i="84"/>
  <c r="I230" i="84" s="1"/>
  <c r="F229" i="84"/>
  <c r="I229" i="84" s="1"/>
  <c r="F228" i="84"/>
  <c r="I228" i="84" s="1"/>
  <c r="F227" i="84"/>
  <c r="I227" i="84" s="1"/>
  <c r="F226" i="84"/>
  <c r="I226" i="84" s="1"/>
  <c r="F225" i="84"/>
  <c r="I225" i="84" s="1"/>
  <c r="F232" i="167"/>
  <c r="I232" i="167" s="1"/>
  <c r="F231" i="167"/>
  <c r="I231" i="167" s="1"/>
  <c r="F230" i="167"/>
  <c r="I230" i="167" s="1"/>
  <c r="F229" i="167"/>
  <c r="I229" i="167" s="1"/>
  <c r="F228" i="167"/>
  <c r="I228" i="167" s="1"/>
  <c r="F227" i="167"/>
  <c r="I227" i="167" s="1"/>
  <c r="F226" i="167"/>
  <c r="I226" i="167" s="1"/>
  <c r="F225" i="167"/>
  <c r="I225" i="167" s="1"/>
  <c r="F232" i="39"/>
  <c r="I232" i="39" s="1"/>
  <c r="F231" i="39"/>
  <c r="I231" i="39" s="1"/>
  <c r="F230" i="39"/>
  <c r="I230" i="39" s="1"/>
  <c r="F229" i="39"/>
  <c r="I229" i="39" s="1"/>
  <c r="F228" i="39"/>
  <c r="I228" i="39" s="1"/>
  <c r="F227" i="39"/>
  <c r="I227" i="39" s="1"/>
  <c r="F226" i="39"/>
  <c r="I226" i="39" s="1"/>
  <c r="F225" i="39"/>
  <c r="I225" i="39" s="1"/>
  <c r="F232" i="135"/>
  <c r="I232" i="135" s="1"/>
  <c r="F231" i="135"/>
  <c r="I231" i="135" s="1"/>
  <c r="F230" i="135"/>
  <c r="I230" i="135" s="1"/>
  <c r="F229" i="135"/>
  <c r="I229" i="135" s="1"/>
  <c r="F228" i="135"/>
  <c r="I228" i="135" s="1"/>
  <c r="F227" i="135"/>
  <c r="I227" i="135" s="1"/>
  <c r="F226" i="135"/>
  <c r="I226" i="135" s="1"/>
  <c r="F225" i="135"/>
  <c r="I225" i="135" s="1"/>
  <c r="F232" i="38"/>
  <c r="I232" i="38" s="1"/>
  <c r="F231" i="38"/>
  <c r="I231" i="38" s="1"/>
  <c r="F230" i="38"/>
  <c r="I230" i="38" s="1"/>
  <c r="F229" i="38"/>
  <c r="I229" i="38" s="1"/>
  <c r="F228" i="38"/>
  <c r="I228" i="38" s="1"/>
  <c r="F227" i="38"/>
  <c r="I227" i="38" s="1"/>
  <c r="F226" i="38"/>
  <c r="I226" i="38" s="1"/>
  <c r="F225" i="38"/>
  <c r="I225" i="38" s="1"/>
  <c r="F232" i="103"/>
  <c r="I232" i="103" s="1"/>
  <c r="F231" i="103"/>
  <c r="I231" i="103" s="1"/>
  <c r="F230" i="103"/>
  <c r="I230" i="103" s="1"/>
  <c r="F229" i="103"/>
  <c r="I229" i="103" s="1"/>
  <c r="F228" i="103"/>
  <c r="I228" i="103" s="1"/>
  <c r="F227" i="103"/>
  <c r="I227" i="103" s="1"/>
  <c r="F226" i="103"/>
  <c r="I226" i="103" s="1"/>
  <c r="F225" i="103"/>
  <c r="I225" i="103" s="1"/>
  <c r="F232" i="133"/>
  <c r="I232" i="133" s="1"/>
  <c r="F231" i="133"/>
  <c r="I231" i="133" s="1"/>
  <c r="F230" i="133"/>
  <c r="I230" i="133" s="1"/>
  <c r="F229" i="133"/>
  <c r="I229" i="133" s="1"/>
  <c r="F228" i="133"/>
  <c r="I228" i="133" s="1"/>
  <c r="F227" i="133"/>
  <c r="I227" i="133" s="1"/>
  <c r="F226" i="133"/>
  <c r="I226" i="133" s="1"/>
  <c r="F225" i="133"/>
  <c r="I225" i="133" s="1"/>
  <c r="F232" i="152"/>
  <c r="I232" i="152" s="1"/>
  <c r="F231" i="152"/>
  <c r="I231" i="152" s="1"/>
  <c r="F230" i="152"/>
  <c r="I230" i="152" s="1"/>
  <c r="F229" i="152"/>
  <c r="I229" i="152" s="1"/>
  <c r="F228" i="152"/>
  <c r="I228" i="152" s="1"/>
  <c r="F227" i="152"/>
  <c r="I227" i="152" s="1"/>
  <c r="F226" i="152"/>
  <c r="I226" i="152" s="1"/>
  <c r="F225" i="152"/>
  <c r="I225" i="152" s="1"/>
  <c r="F232" i="47"/>
  <c r="I232" i="47" s="1"/>
  <c r="F231" i="47"/>
  <c r="I231" i="47" s="1"/>
  <c r="F230" i="47"/>
  <c r="I230" i="47" s="1"/>
  <c r="F229" i="47"/>
  <c r="I229" i="47" s="1"/>
  <c r="F228" i="47"/>
  <c r="I228" i="47" s="1"/>
  <c r="F227" i="47"/>
  <c r="I227" i="47" s="1"/>
  <c r="F226" i="47"/>
  <c r="I226" i="47" s="1"/>
  <c r="F225" i="47"/>
  <c r="I225" i="47" s="1"/>
  <c r="F232" i="120"/>
  <c r="I232" i="120" s="1"/>
  <c r="F231" i="120"/>
  <c r="I231" i="120" s="1"/>
  <c r="F230" i="120"/>
  <c r="I230" i="120" s="1"/>
  <c r="F229" i="120"/>
  <c r="I229" i="120" s="1"/>
  <c r="F228" i="120"/>
  <c r="I228" i="120" s="1"/>
  <c r="F227" i="120"/>
  <c r="I227" i="120" s="1"/>
  <c r="F226" i="120"/>
  <c r="I226" i="120" s="1"/>
  <c r="F225" i="120"/>
  <c r="I225" i="120" s="1"/>
  <c r="F232" i="37"/>
  <c r="I232" i="37" s="1"/>
  <c r="F231" i="37"/>
  <c r="I231" i="37" s="1"/>
  <c r="F230" i="37"/>
  <c r="I230" i="37" s="1"/>
  <c r="F229" i="37"/>
  <c r="I229" i="37" s="1"/>
  <c r="F228" i="37"/>
  <c r="I228" i="37" s="1"/>
  <c r="F227" i="37"/>
  <c r="I227" i="37" s="1"/>
  <c r="F226" i="37"/>
  <c r="I226" i="37" s="1"/>
  <c r="F225" i="37"/>
  <c r="I225" i="37" s="1"/>
  <c r="F232" i="90"/>
  <c r="I232" i="90" s="1"/>
  <c r="F231" i="90"/>
  <c r="I231" i="90" s="1"/>
  <c r="F230" i="90"/>
  <c r="I230" i="90" s="1"/>
  <c r="F229" i="90"/>
  <c r="I229" i="90" s="1"/>
  <c r="F228" i="90"/>
  <c r="I228" i="90" s="1"/>
  <c r="F227" i="90"/>
  <c r="I227" i="90" s="1"/>
  <c r="F226" i="90"/>
  <c r="I226" i="90" s="1"/>
  <c r="F225" i="90"/>
  <c r="I225" i="90" s="1"/>
  <c r="F232" i="24"/>
  <c r="I232" i="24" s="1"/>
  <c r="F231" i="24"/>
  <c r="I231" i="24" s="1"/>
  <c r="F230" i="24"/>
  <c r="I230" i="24" s="1"/>
  <c r="F229" i="24"/>
  <c r="I229" i="24" s="1"/>
  <c r="F228" i="24"/>
  <c r="I228" i="24" s="1"/>
  <c r="F227" i="24"/>
  <c r="I227" i="24" s="1"/>
  <c r="F226" i="24"/>
  <c r="I226" i="24" s="1"/>
  <c r="F225" i="24"/>
  <c r="I225" i="24" s="1"/>
  <c r="F232" i="32"/>
  <c r="I232" i="32" s="1"/>
  <c r="F231" i="32"/>
  <c r="I231" i="32" s="1"/>
  <c r="F230" i="32"/>
  <c r="I230" i="32" s="1"/>
  <c r="F229" i="32"/>
  <c r="I229" i="32" s="1"/>
  <c r="F228" i="32"/>
  <c r="I228" i="32" s="1"/>
  <c r="F227" i="32"/>
  <c r="I227" i="32" s="1"/>
  <c r="F226" i="32"/>
  <c r="I226" i="32" s="1"/>
  <c r="F225" i="32"/>
  <c r="I225" i="32" s="1"/>
  <c r="F232" i="79"/>
  <c r="I232" i="79" s="1"/>
  <c r="F231" i="79"/>
  <c r="I231" i="79" s="1"/>
  <c r="F230" i="79"/>
  <c r="I230" i="79" s="1"/>
  <c r="F229" i="79"/>
  <c r="I229" i="79" s="1"/>
  <c r="F228" i="79"/>
  <c r="I228" i="79" s="1"/>
  <c r="F227" i="79"/>
  <c r="I227" i="79" s="1"/>
  <c r="F226" i="79"/>
  <c r="I226" i="79" s="1"/>
  <c r="F225" i="79"/>
  <c r="I225" i="79" s="1"/>
  <c r="F232" i="31"/>
  <c r="I232" i="31" s="1"/>
  <c r="F231" i="31"/>
  <c r="I231" i="31" s="1"/>
  <c r="F230" i="31"/>
  <c r="I230" i="31" s="1"/>
  <c r="F229" i="31"/>
  <c r="I229" i="31" s="1"/>
  <c r="F228" i="31"/>
  <c r="I228" i="31" s="1"/>
  <c r="F227" i="31"/>
  <c r="I227" i="31" s="1"/>
  <c r="F226" i="31"/>
  <c r="I226" i="31" s="1"/>
  <c r="F225" i="31"/>
  <c r="I225" i="31" s="1"/>
  <c r="F232" i="64"/>
  <c r="I232" i="64" s="1"/>
  <c r="F231" i="64"/>
  <c r="I231" i="64" s="1"/>
  <c r="F230" i="64"/>
  <c r="I230" i="64" s="1"/>
  <c r="F229" i="64"/>
  <c r="I229" i="64" s="1"/>
  <c r="F228" i="64"/>
  <c r="I228" i="64" s="1"/>
  <c r="F227" i="64"/>
  <c r="I227" i="64" s="1"/>
  <c r="F226" i="64"/>
  <c r="I226" i="64" s="1"/>
  <c r="F225" i="64"/>
  <c r="I225" i="64" s="1"/>
  <c r="F232" i="113"/>
  <c r="I232" i="113" s="1"/>
  <c r="F231" i="113"/>
  <c r="I231" i="113" s="1"/>
  <c r="F230" i="113"/>
  <c r="I230" i="113" s="1"/>
  <c r="F229" i="113"/>
  <c r="I229" i="113" s="1"/>
  <c r="F228" i="113"/>
  <c r="I228" i="113" s="1"/>
  <c r="F227" i="113"/>
  <c r="I227" i="113" s="1"/>
  <c r="F226" i="113"/>
  <c r="I226" i="113" s="1"/>
  <c r="F225" i="113"/>
  <c r="I225" i="113" s="1"/>
  <c r="F232" i="72"/>
  <c r="I232" i="72" s="1"/>
  <c r="F231" i="72"/>
  <c r="I231" i="72" s="1"/>
  <c r="F230" i="72"/>
  <c r="I230" i="72" s="1"/>
  <c r="F229" i="72"/>
  <c r="I229" i="72" s="1"/>
  <c r="F228" i="72"/>
  <c r="I228" i="72" s="1"/>
  <c r="F227" i="72"/>
  <c r="I227" i="72" s="1"/>
  <c r="F226" i="72"/>
  <c r="I226" i="72" s="1"/>
  <c r="F225" i="72"/>
  <c r="I225" i="72" s="1"/>
  <c r="F232" i="28"/>
  <c r="I232" i="28" s="1"/>
  <c r="F231" i="28"/>
  <c r="I231" i="28" s="1"/>
  <c r="F230" i="28"/>
  <c r="I230" i="28" s="1"/>
  <c r="F229" i="28"/>
  <c r="I229" i="28" s="1"/>
  <c r="F228" i="28"/>
  <c r="I228" i="28" s="1"/>
  <c r="F227" i="28"/>
  <c r="I227" i="28" s="1"/>
  <c r="F226" i="28"/>
  <c r="I226" i="28" s="1"/>
  <c r="F225" i="28"/>
  <c r="I225" i="28" s="1"/>
  <c r="F232" i="65"/>
  <c r="I232" i="65" s="1"/>
  <c r="F231" i="65"/>
  <c r="I231" i="65" s="1"/>
  <c r="F230" i="65"/>
  <c r="I230" i="65" s="1"/>
  <c r="F229" i="65"/>
  <c r="I229" i="65" s="1"/>
  <c r="F228" i="65"/>
  <c r="I228" i="65" s="1"/>
  <c r="F227" i="65"/>
  <c r="I227" i="65" s="1"/>
  <c r="F226" i="65"/>
  <c r="I226" i="65" s="1"/>
  <c r="F225" i="65"/>
  <c r="I225" i="65" s="1"/>
  <c r="F232" i="119"/>
  <c r="I232" i="119" s="1"/>
  <c r="F231" i="119"/>
  <c r="I231" i="119" s="1"/>
  <c r="F230" i="119"/>
  <c r="I230" i="119" s="1"/>
  <c r="F229" i="119"/>
  <c r="I229" i="119" s="1"/>
  <c r="F228" i="119"/>
  <c r="I228" i="119" s="1"/>
  <c r="F227" i="119"/>
  <c r="I227" i="119" s="1"/>
  <c r="F226" i="119"/>
  <c r="I226" i="119" s="1"/>
  <c r="F225" i="119"/>
  <c r="I225" i="119" s="1"/>
  <c r="F232" i="25"/>
  <c r="I232" i="25" s="1"/>
  <c r="F231" i="25"/>
  <c r="I231" i="25" s="1"/>
  <c r="F230" i="25"/>
  <c r="I230" i="25" s="1"/>
  <c r="F229" i="25"/>
  <c r="I229" i="25" s="1"/>
  <c r="F228" i="25"/>
  <c r="I228" i="25" s="1"/>
  <c r="F227" i="25"/>
  <c r="I227" i="25" s="1"/>
  <c r="F226" i="25"/>
  <c r="I226" i="25" s="1"/>
  <c r="F225" i="25"/>
  <c r="I225" i="25" s="1"/>
  <c r="F232" i="155"/>
  <c r="I232" i="155" s="1"/>
  <c r="F231" i="155"/>
  <c r="I231" i="155" s="1"/>
  <c r="F230" i="155"/>
  <c r="I230" i="155" s="1"/>
  <c r="F229" i="155"/>
  <c r="I229" i="155" s="1"/>
  <c r="F228" i="155"/>
  <c r="I228" i="155" s="1"/>
  <c r="F227" i="155"/>
  <c r="I227" i="155" s="1"/>
  <c r="F226" i="155"/>
  <c r="I226" i="155" s="1"/>
  <c r="F225" i="155"/>
  <c r="I225" i="155" s="1"/>
  <c r="F232" i="156"/>
  <c r="I232" i="156" s="1"/>
  <c r="F231" i="156"/>
  <c r="I231" i="156" s="1"/>
  <c r="F230" i="156"/>
  <c r="I230" i="156" s="1"/>
  <c r="F229" i="156"/>
  <c r="I229" i="156" s="1"/>
  <c r="F228" i="156"/>
  <c r="I228" i="156" s="1"/>
  <c r="F227" i="156"/>
  <c r="I227" i="156" s="1"/>
  <c r="F226" i="156"/>
  <c r="I226" i="156" s="1"/>
  <c r="F225" i="156"/>
  <c r="I225" i="156" s="1"/>
  <c r="F232" i="20"/>
  <c r="I232" i="20" s="1"/>
  <c r="F231" i="20"/>
  <c r="I231" i="20" s="1"/>
  <c r="F230" i="20"/>
  <c r="I230" i="20" s="1"/>
  <c r="F229" i="20"/>
  <c r="I229" i="20" s="1"/>
  <c r="F228" i="20"/>
  <c r="I228" i="20" s="1"/>
  <c r="F227" i="20"/>
  <c r="I227" i="20" s="1"/>
  <c r="F226" i="20"/>
  <c r="I226" i="20" s="1"/>
  <c r="F225" i="20"/>
  <c r="I225" i="20" s="1"/>
  <c r="F232" i="42"/>
  <c r="I232" i="42" s="1"/>
  <c r="F231" i="42"/>
  <c r="I231" i="42" s="1"/>
  <c r="F230" i="42"/>
  <c r="I230" i="42" s="1"/>
  <c r="F229" i="42"/>
  <c r="I229" i="42" s="1"/>
  <c r="F228" i="42"/>
  <c r="I228" i="42" s="1"/>
  <c r="F227" i="42"/>
  <c r="I227" i="42" s="1"/>
  <c r="F226" i="42"/>
  <c r="I226" i="42" s="1"/>
  <c r="F225" i="42"/>
  <c r="I225" i="42" s="1"/>
  <c r="F232" i="157"/>
  <c r="I232" i="157" s="1"/>
  <c r="F231" i="157"/>
  <c r="I231" i="157" s="1"/>
  <c r="F230" i="157"/>
  <c r="I230" i="157" s="1"/>
  <c r="F229" i="157"/>
  <c r="I229" i="157" s="1"/>
  <c r="F228" i="157"/>
  <c r="I228" i="157" s="1"/>
  <c r="F227" i="157"/>
  <c r="I227" i="157" s="1"/>
  <c r="F226" i="157"/>
  <c r="I226" i="157" s="1"/>
  <c r="F225" i="157"/>
  <c r="I225" i="157" s="1"/>
  <c r="F232" i="159"/>
  <c r="I232" i="159" s="1"/>
  <c r="F231" i="159"/>
  <c r="I231" i="159" s="1"/>
  <c r="F230" i="159"/>
  <c r="I230" i="159" s="1"/>
  <c r="F229" i="159"/>
  <c r="I229" i="159" s="1"/>
  <c r="F228" i="159"/>
  <c r="I228" i="159" s="1"/>
  <c r="F227" i="159"/>
  <c r="I227" i="159" s="1"/>
  <c r="F226" i="159"/>
  <c r="I226" i="159" s="1"/>
  <c r="F225" i="159"/>
  <c r="I225" i="159" s="1"/>
  <c r="F232" i="158"/>
  <c r="I232" i="158" s="1"/>
  <c r="F231" i="158"/>
  <c r="I231" i="158" s="1"/>
  <c r="F230" i="158"/>
  <c r="I230" i="158" s="1"/>
  <c r="F229" i="158"/>
  <c r="I229" i="158" s="1"/>
  <c r="F228" i="158"/>
  <c r="I228" i="158" s="1"/>
  <c r="F227" i="158"/>
  <c r="I227" i="158" s="1"/>
  <c r="F226" i="158"/>
  <c r="I226" i="158" s="1"/>
  <c r="F225" i="158"/>
  <c r="I225" i="158" s="1"/>
  <c r="F232" i="16"/>
  <c r="I232" i="16" s="1"/>
  <c r="F231" i="16"/>
  <c r="I231" i="16" s="1"/>
  <c r="F230" i="16"/>
  <c r="I230" i="16" s="1"/>
  <c r="F229" i="16"/>
  <c r="I229" i="16" s="1"/>
  <c r="F228" i="16"/>
  <c r="I228" i="16" s="1"/>
  <c r="F227" i="16"/>
  <c r="I227" i="16" s="1"/>
  <c r="F226" i="16"/>
  <c r="I226" i="16" s="1"/>
  <c r="F225" i="16"/>
  <c r="I225" i="16" s="1"/>
  <c r="F232" i="27"/>
  <c r="I232" i="27" s="1"/>
  <c r="F231" i="27"/>
  <c r="I231" i="27" s="1"/>
  <c r="F230" i="27"/>
  <c r="I230" i="27" s="1"/>
  <c r="F229" i="27"/>
  <c r="I229" i="27" s="1"/>
  <c r="F228" i="27"/>
  <c r="I228" i="27" s="1"/>
  <c r="F227" i="27"/>
  <c r="I227" i="27" s="1"/>
  <c r="F226" i="27"/>
  <c r="I226" i="27" s="1"/>
  <c r="F225" i="27"/>
  <c r="I225" i="27" s="1"/>
  <c r="F232" i="111"/>
  <c r="I232" i="111" s="1"/>
  <c r="F231" i="111"/>
  <c r="I231" i="111" s="1"/>
  <c r="F230" i="111"/>
  <c r="I230" i="111" s="1"/>
  <c r="F229" i="111"/>
  <c r="I229" i="111" s="1"/>
  <c r="F228" i="111"/>
  <c r="I228" i="111" s="1"/>
  <c r="F227" i="111"/>
  <c r="I227" i="111" s="1"/>
  <c r="F226" i="111"/>
  <c r="I226" i="111" s="1"/>
  <c r="F225" i="111"/>
  <c r="I225" i="111" s="1"/>
  <c r="F232" i="71"/>
  <c r="I232" i="71" s="1"/>
  <c r="F231" i="71"/>
  <c r="I231" i="71" s="1"/>
  <c r="F230" i="71"/>
  <c r="I230" i="71" s="1"/>
  <c r="F229" i="71"/>
  <c r="I229" i="71" s="1"/>
  <c r="F228" i="71"/>
  <c r="I228" i="71" s="1"/>
  <c r="F227" i="71"/>
  <c r="I227" i="71" s="1"/>
  <c r="F226" i="71"/>
  <c r="I226" i="71" s="1"/>
  <c r="F225" i="71"/>
  <c r="I225" i="71" s="1"/>
  <c r="F232" i="165"/>
  <c r="I232" i="165" s="1"/>
  <c r="F231" i="165"/>
  <c r="I231" i="165" s="1"/>
  <c r="F230" i="165"/>
  <c r="I230" i="165" s="1"/>
  <c r="F229" i="165"/>
  <c r="I229" i="165" s="1"/>
  <c r="F228" i="165"/>
  <c r="I228" i="165" s="1"/>
  <c r="F227" i="165"/>
  <c r="I227" i="165" s="1"/>
  <c r="F226" i="165"/>
  <c r="I226" i="165" s="1"/>
  <c r="F225" i="165"/>
  <c r="I225" i="165" s="1"/>
  <c r="F232" i="55"/>
  <c r="I232" i="55" s="1"/>
  <c r="F231" i="55"/>
  <c r="I231" i="55" s="1"/>
  <c r="F230" i="55"/>
  <c r="I230" i="55" s="1"/>
  <c r="F229" i="55"/>
  <c r="I229" i="55" s="1"/>
  <c r="F228" i="55"/>
  <c r="I228" i="55" s="1"/>
  <c r="F227" i="55"/>
  <c r="I227" i="55" s="1"/>
  <c r="F226" i="55"/>
  <c r="I226" i="55" s="1"/>
  <c r="F225" i="55"/>
  <c r="I225" i="55" s="1"/>
  <c r="F232" i="21"/>
  <c r="I232" i="21" s="1"/>
  <c r="F231" i="21"/>
  <c r="I231" i="21" s="1"/>
  <c r="F230" i="21"/>
  <c r="I230" i="21" s="1"/>
  <c r="F229" i="21"/>
  <c r="I229" i="21" s="1"/>
  <c r="F228" i="21"/>
  <c r="I228" i="21" s="1"/>
  <c r="F227" i="21"/>
  <c r="I227" i="21" s="1"/>
  <c r="F226" i="21"/>
  <c r="I226" i="21" s="1"/>
  <c r="F225" i="21"/>
  <c r="I225" i="21" s="1"/>
  <c r="F232" i="14"/>
  <c r="I232" i="14" s="1"/>
  <c r="F231" i="14"/>
  <c r="I231" i="14" s="1"/>
  <c r="F230" i="14"/>
  <c r="I230" i="14" s="1"/>
  <c r="F229" i="14"/>
  <c r="I229" i="14" s="1"/>
  <c r="F228" i="14"/>
  <c r="I228" i="14" s="1"/>
  <c r="F227" i="14"/>
  <c r="I227" i="14" s="1"/>
  <c r="F226" i="14"/>
  <c r="I226" i="14" s="1"/>
  <c r="F225" i="14"/>
  <c r="I225" i="14" s="1"/>
  <c r="F232" i="85"/>
  <c r="I232" i="85" s="1"/>
  <c r="F231" i="85"/>
  <c r="I231" i="85" s="1"/>
  <c r="F230" i="85"/>
  <c r="I230" i="85" s="1"/>
  <c r="F229" i="85"/>
  <c r="I229" i="85" s="1"/>
  <c r="F228" i="85"/>
  <c r="I228" i="85" s="1"/>
  <c r="F227" i="85"/>
  <c r="I227" i="85" s="1"/>
  <c r="F226" i="85"/>
  <c r="I226" i="85" s="1"/>
  <c r="F225" i="85"/>
  <c r="I225" i="85" s="1"/>
  <c r="F232" i="87"/>
  <c r="I232" i="87" s="1"/>
  <c r="F231" i="87"/>
  <c r="I231" i="87" s="1"/>
  <c r="F230" i="87"/>
  <c r="I230" i="87" s="1"/>
  <c r="F229" i="87"/>
  <c r="I229" i="87" s="1"/>
  <c r="F228" i="87"/>
  <c r="I228" i="87" s="1"/>
  <c r="F227" i="87"/>
  <c r="I227" i="87" s="1"/>
  <c r="F226" i="87"/>
  <c r="I226" i="87" s="1"/>
  <c r="F225" i="87"/>
  <c r="I225" i="87" s="1"/>
  <c r="F232" i="86"/>
  <c r="I232" i="86" s="1"/>
  <c r="F231" i="86"/>
  <c r="I231" i="86" s="1"/>
  <c r="F230" i="86"/>
  <c r="I230" i="86" s="1"/>
  <c r="F229" i="86"/>
  <c r="I229" i="86" s="1"/>
  <c r="F228" i="86"/>
  <c r="I228" i="86" s="1"/>
  <c r="F227" i="86"/>
  <c r="I227" i="86" s="1"/>
  <c r="F226" i="86"/>
  <c r="I226" i="86" s="1"/>
  <c r="F225" i="86"/>
  <c r="I225" i="86" s="1"/>
  <c r="F232" i="89"/>
  <c r="I232" i="89" s="1"/>
  <c r="F231" i="89"/>
  <c r="I231" i="89" s="1"/>
  <c r="F230" i="89"/>
  <c r="I230" i="89" s="1"/>
  <c r="F229" i="89"/>
  <c r="I229" i="89" s="1"/>
  <c r="F228" i="89"/>
  <c r="I228" i="89" s="1"/>
  <c r="F227" i="89"/>
  <c r="I227" i="89" s="1"/>
  <c r="F226" i="89"/>
  <c r="I226" i="89" s="1"/>
  <c r="F225" i="89"/>
  <c r="I225" i="89" s="1"/>
  <c r="F232" i="142"/>
  <c r="I232" i="142" s="1"/>
  <c r="F231" i="142"/>
  <c r="I231" i="142" s="1"/>
  <c r="F230" i="142"/>
  <c r="I230" i="142" s="1"/>
  <c r="F229" i="142"/>
  <c r="I229" i="142" s="1"/>
  <c r="F228" i="142"/>
  <c r="I228" i="142" s="1"/>
  <c r="F227" i="142"/>
  <c r="I227" i="142" s="1"/>
  <c r="F226" i="142"/>
  <c r="I226" i="142" s="1"/>
  <c r="F225" i="142"/>
  <c r="I225" i="142" s="1"/>
  <c r="F232" i="92"/>
  <c r="I232" i="92" s="1"/>
  <c r="F231" i="92"/>
  <c r="I231" i="92" s="1"/>
  <c r="F230" i="92"/>
  <c r="I230" i="92" s="1"/>
  <c r="F229" i="92"/>
  <c r="I229" i="92" s="1"/>
  <c r="F228" i="92"/>
  <c r="I228" i="92" s="1"/>
  <c r="F227" i="92"/>
  <c r="I227" i="92" s="1"/>
  <c r="F226" i="92"/>
  <c r="I226" i="92" s="1"/>
  <c r="F225" i="92"/>
  <c r="I225" i="92" s="1"/>
  <c r="F232" i="1"/>
  <c r="I232" i="1" s="1"/>
  <c r="F231" i="1"/>
  <c r="I231" i="1" s="1"/>
  <c r="F230" i="1"/>
  <c r="I230" i="1" s="1"/>
  <c r="F229" i="1"/>
  <c r="I229" i="1" s="1"/>
  <c r="F228" i="1"/>
  <c r="I228" i="1" s="1"/>
  <c r="F227" i="1"/>
  <c r="I227" i="1" s="1"/>
  <c r="F226" i="1"/>
  <c r="I226" i="1" s="1"/>
  <c r="F225" i="1"/>
  <c r="I225" i="1" s="1"/>
  <c r="F232" i="50"/>
  <c r="I232" i="50" s="1"/>
  <c r="F231" i="50"/>
  <c r="I231" i="50" s="1"/>
  <c r="F230" i="50"/>
  <c r="I230" i="50" s="1"/>
  <c r="F229" i="50"/>
  <c r="I229" i="50" s="1"/>
  <c r="F228" i="50"/>
  <c r="I228" i="50" s="1"/>
  <c r="F227" i="50"/>
  <c r="I227" i="50" s="1"/>
  <c r="F226" i="50"/>
  <c r="I226" i="50" s="1"/>
  <c r="F225" i="50"/>
  <c r="I225" i="50" s="1"/>
  <c r="F232" i="95"/>
  <c r="I232" i="95" s="1"/>
  <c r="F231" i="95"/>
  <c r="I231" i="95" s="1"/>
  <c r="F230" i="95"/>
  <c r="I230" i="95" s="1"/>
  <c r="F229" i="95"/>
  <c r="I229" i="95" s="1"/>
  <c r="F228" i="95"/>
  <c r="I228" i="95" s="1"/>
  <c r="F227" i="95"/>
  <c r="I227" i="95" s="1"/>
  <c r="F226" i="95"/>
  <c r="I226" i="95" s="1"/>
  <c r="F225" i="95"/>
  <c r="I225" i="95" s="1"/>
  <c r="F232" i="180"/>
  <c r="I232" i="180" s="1"/>
  <c r="F231" i="180"/>
  <c r="I231" i="180" s="1"/>
  <c r="F230" i="180"/>
  <c r="I230" i="180" s="1"/>
  <c r="F229" i="180"/>
  <c r="I229" i="180" s="1"/>
  <c r="F228" i="180"/>
  <c r="I228" i="180" s="1"/>
  <c r="F227" i="180"/>
  <c r="I227" i="180" s="1"/>
  <c r="F226" i="180"/>
  <c r="I226" i="180" s="1"/>
  <c r="F225" i="180"/>
  <c r="I225" i="180" s="1"/>
  <c r="F224" i="118"/>
  <c r="I224" i="118" s="1"/>
  <c r="F224" i="60"/>
  <c r="I224" i="60" s="1"/>
  <c r="F224" i="106"/>
  <c r="I224" i="106" s="1"/>
  <c r="F224" i="104"/>
  <c r="I224" i="104" s="1"/>
  <c r="F224" i="54"/>
  <c r="I224" i="54" s="1"/>
  <c r="F224" i="181"/>
  <c r="I224" i="181" s="1"/>
  <c r="F224" i="94"/>
  <c r="I224" i="94" s="1"/>
  <c r="F224" i="145"/>
  <c r="I224" i="145" s="1"/>
  <c r="F224" i="33"/>
  <c r="I224" i="33" s="1"/>
  <c r="F224" i="177"/>
  <c r="I224" i="177" s="1"/>
  <c r="F224" i="164"/>
  <c r="I224" i="164" s="1"/>
  <c r="F224" i="19"/>
  <c r="I224" i="19" s="1"/>
  <c r="F224" i="15"/>
  <c r="I224" i="15" s="1"/>
  <c r="F224" i="178"/>
  <c r="I224" i="178" s="1"/>
  <c r="F224" i="150"/>
  <c r="I224" i="150" s="1"/>
  <c r="F224" i="68"/>
  <c r="I224" i="68" s="1"/>
  <c r="F224" i="66"/>
  <c r="I224" i="66" s="1"/>
  <c r="F224" i="63"/>
  <c r="I224" i="63" s="1"/>
  <c r="F224" i="62"/>
  <c r="I224" i="62" s="1"/>
  <c r="F224" i="58"/>
  <c r="I224" i="58" s="1"/>
  <c r="F224" i="136"/>
  <c r="I224" i="136" s="1"/>
  <c r="F224" i="141"/>
  <c r="I224" i="141" s="1"/>
  <c r="F224" i="174"/>
  <c r="I224" i="174" s="1"/>
  <c r="F224" i="53"/>
  <c r="I224" i="53" s="1"/>
  <c r="F224" i="98"/>
  <c r="I224" i="98" s="1"/>
  <c r="F224" i="49"/>
  <c r="I224" i="49" s="1"/>
  <c r="F224" i="83"/>
  <c r="F224" i="46"/>
  <c r="I224" i="46" s="1"/>
  <c r="F224" i="102"/>
  <c r="I224" i="102" s="1"/>
  <c r="F224" i="43"/>
  <c r="I224" i="43" s="1"/>
  <c r="F224" i="175"/>
  <c r="I224" i="175" s="1"/>
  <c r="F224" i="57"/>
  <c r="I224" i="57" s="1"/>
  <c r="F224" i="84"/>
  <c r="I224" i="84" s="1"/>
  <c r="F224" i="167"/>
  <c r="I224" i="167" s="1"/>
  <c r="F224" i="39"/>
  <c r="I224" i="39" s="1"/>
  <c r="F224" i="135"/>
  <c r="I224" i="135" s="1"/>
  <c r="F224" i="38"/>
  <c r="I224" i="38" s="1"/>
  <c r="F224" i="103"/>
  <c r="I224" i="103" s="1"/>
  <c r="F224" i="133"/>
  <c r="I224" i="133" s="1"/>
  <c r="F224" i="152"/>
  <c r="I224" i="152" s="1"/>
  <c r="F224" i="47"/>
  <c r="I224" i="47" s="1"/>
  <c r="F224" i="120"/>
  <c r="I224" i="120" s="1"/>
  <c r="F224" i="37"/>
  <c r="I224" i="37" s="1"/>
  <c r="F224" i="90"/>
  <c r="I224" i="90" s="1"/>
  <c r="F224" i="24"/>
  <c r="I224" i="24" s="1"/>
  <c r="F224" i="32"/>
  <c r="I224" i="32" s="1"/>
  <c r="F224" i="79"/>
  <c r="I224" i="79" s="1"/>
  <c r="F224" i="31"/>
  <c r="I224" i="31" s="1"/>
  <c r="F224" i="64"/>
  <c r="I224" i="64" s="1"/>
  <c r="F224" i="113"/>
  <c r="I224" i="113" s="1"/>
  <c r="F224" i="72"/>
  <c r="I224" i="72" s="1"/>
  <c r="F224" i="28"/>
  <c r="I224" i="28" s="1"/>
  <c r="F224" i="65"/>
  <c r="I224" i="65" s="1"/>
  <c r="F224" i="119"/>
  <c r="I224" i="119" s="1"/>
  <c r="F224" i="25"/>
  <c r="I224" i="25" s="1"/>
  <c r="F224" i="155"/>
  <c r="I224" i="155" s="1"/>
  <c r="F224" i="156"/>
  <c r="I224" i="156" s="1"/>
  <c r="F224" i="20"/>
  <c r="I224" i="20" s="1"/>
  <c r="F224" i="42"/>
  <c r="I224" i="42" s="1"/>
  <c r="F224" i="157"/>
  <c r="I224" i="157" s="1"/>
  <c r="F224" i="159"/>
  <c r="I224" i="159" s="1"/>
  <c r="F224" i="158"/>
  <c r="I224" i="158" s="1"/>
  <c r="F224" i="16"/>
  <c r="I224" i="16" s="1"/>
  <c r="F224" i="27"/>
  <c r="I224" i="27" s="1"/>
  <c r="F224" i="111"/>
  <c r="I224" i="111" s="1"/>
  <c r="F224" i="71"/>
  <c r="I224" i="71" s="1"/>
  <c r="F224" i="165"/>
  <c r="I224" i="165" s="1"/>
  <c r="F224" i="55"/>
  <c r="I224" i="55" s="1"/>
  <c r="F224" i="21"/>
  <c r="I224" i="21" s="1"/>
  <c r="F224" i="14"/>
  <c r="I224" i="14" s="1"/>
  <c r="F224" i="85"/>
  <c r="I224" i="85" s="1"/>
  <c r="F224" i="87"/>
  <c r="I224" i="87" s="1"/>
  <c r="F224" i="86"/>
  <c r="I224" i="86" s="1"/>
  <c r="F224" i="89"/>
  <c r="I224" i="89" s="1"/>
  <c r="F224" i="142"/>
  <c r="I224" i="142" s="1"/>
  <c r="F224" i="92"/>
  <c r="I224" i="92" s="1"/>
  <c r="F224" i="1"/>
  <c r="I224" i="1" s="1"/>
  <c r="F224" i="50"/>
  <c r="I224" i="50" s="1"/>
  <c r="F224" i="95"/>
  <c r="I224" i="95" s="1"/>
  <c r="F224" i="180"/>
  <c r="I224" i="180" s="1"/>
  <c r="G211" i="118"/>
  <c r="G211" i="60"/>
  <c r="G211" i="106"/>
  <c r="G211" i="104"/>
  <c r="G211" i="54"/>
  <c r="G211" i="181"/>
  <c r="G211" i="94"/>
  <c r="G211" i="145"/>
  <c r="G211" i="33"/>
  <c r="G211" i="177"/>
  <c r="G211" i="164"/>
  <c r="G211" i="19"/>
  <c r="G211" i="15"/>
  <c r="G211" i="178"/>
  <c r="G211" i="150"/>
  <c r="G211" i="68"/>
  <c r="G211" i="66"/>
  <c r="G211" i="63"/>
  <c r="G211" i="62"/>
  <c r="G211" i="58"/>
  <c r="G211" i="136"/>
  <c r="G211" i="141"/>
  <c r="G211" i="174"/>
  <c r="G211" i="53"/>
  <c r="G211" i="98"/>
  <c r="G211" i="49"/>
  <c r="G211" i="83"/>
  <c r="G211" i="46"/>
  <c r="G211" i="102"/>
  <c r="G211" i="43"/>
  <c r="G211" i="175"/>
  <c r="G211" i="57"/>
  <c r="G211" i="84"/>
  <c r="G211" i="167"/>
  <c r="G211" i="39"/>
  <c r="G211" i="135"/>
  <c r="G211" i="38"/>
  <c r="G211" i="103"/>
  <c r="G211" i="133"/>
  <c r="G211" i="152"/>
  <c r="G211" i="47"/>
  <c r="G211" i="120"/>
  <c r="G211" i="37"/>
  <c r="G211" i="90"/>
  <c r="G211" i="24"/>
  <c r="G211" i="32"/>
  <c r="G211" i="79"/>
  <c r="G211" i="31"/>
  <c r="G211" i="64"/>
  <c r="G211" i="113"/>
  <c r="G211" i="72"/>
  <c r="G211" i="28"/>
  <c r="G211" i="65"/>
  <c r="G211" i="119"/>
  <c r="G211" i="25"/>
  <c r="G211" i="155"/>
  <c r="G211" i="156"/>
  <c r="G211" i="20"/>
  <c r="G211" i="42"/>
  <c r="G211" i="157"/>
  <c r="G211" i="159"/>
  <c r="G211" i="158"/>
  <c r="G211" i="16"/>
  <c r="G211" i="27"/>
  <c r="G211" i="111"/>
  <c r="G211" i="71"/>
  <c r="G211" i="165"/>
  <c r="G211" i="55"/>
  <c r="G211" i="21"/>
  <c r="G211" i="14"/>
  <c r="G211" i="85"/>
  <c r="G211" i="87"/>
  <c r="G211" i="86"/>
  <c r="G211" i="89"/>
  <c r="G211" i="142"/>
  <c r="G211" i="92"/>
  <c r="G211" i="1"/>
  <c r="G211" i="50"/>
  <c r="G211" i="95"/>
  <c r="G211" i="180"/>
  <c r="G202" i="118"/>
  <c r="G202" i="60"/>
  <c r="G202" i="106"/>
  <c r="G202" i="104"/>
  <c r="G202" i="54"/>
  <c r="G202" i="181"/>
  <c r="G202" i="94"/>
  <c r="G202" i="145"/>
  <c r="G202" i="33"/>
  <c r="G202" i="177"/>
  <c r="G202" i="164"/>
  <c r="G202" i="19"/>
  <c r="G202" i="15"/>
  <c r="G202" i="178"/>
  <c r="G202" i="150"/>
  <c r="G202" i="68"/>
  <c r="G202" i="66"/>
  <c r="G202" i="63"/>
  <c r="G202" i="62"/>
  <c r="G202" i="58"/>
  <c r="G202" i="136"/>
  <c r="G202" i="141"/>
  <c r="G202" i="174"/>
  <c r="G202" i="53"/>
  <c r="G202" i="98"/>
  <c r="G202" i="49"/>
  <c r="G202" i="83"/>
  <c r="G202" i="46"/>
  <c r="G202" i="102"/>
  <c r="G202" i="43"/>
  <c r="G202" i="175"/>
  <c r="G202" i="57"/>
  <c r="G202" i="84"/>
  <c r="G202" i="167"/>
  <c r="G202" i="39"/>
  <c r="G202" i="135"/>
  <c r="G202" i="38"/>
  <c r="G202" i="103"/>
  <c r="G202" i="133"/>
  <c r="G202" i="152"/>
  <c r="G202" i="47"/>
  <c r="G202" i="120"/>
  <c r="G202" i="37"/>
  <c r="G202" i="90"/>
  <c r="G202" i="24"/>
  <c r="G202" i="32"/>
  <c r="G202" i="79"/>
  <c r="G202" i="31"/>
  <c r="G202" i="64"/>
  <c r="G202" i="113"/>
  <c r="G202" i="72"/>
  <c r="G202" i="28"/>
  <c r="G202" i="65"/>
  <c r="G202" i="119"/>
  <c r="G202" i="25"/>
  <c r="G202" i="155"/>
  <c r="G202" i="156"/>
  <c r="G202" i="20"/>
  <c r="G202" i="42"/>
  <c r="G202" i="157"/>
  <c r="G202" i="159"/>
  <c r="G202" i="158"/>
  <c r="G202" i="16"/>
  <c r="G202" i="27"/>
  <c r="G202" i="111"/>
  <c r="G202" i="71"/>
  <c r="G202" i="165"/>
  <c r="G202" i="55"/>
  <c r="G202" i="21"/>
  <c r="G202" i="14"/>
  <c r="G202" i="87"/>
  <c r="G202" i="86"/>
  <c r="G202" i="89"/>
  <c r="G202" i="142"/>
  <c r="G202" i="92"/>
  <c r="G202" i="1"/>
  <c r="G202" i="50"/>
  <c r="G202" i="95"/>
  <c r="G202" i="180"/>
  <c r="G166" i="118"/>
  <c r="G166" i="60"/>
  <c r="G166" i="104"/>
  <c r="G166" i="54"/>
  <c r="G166" i="181"/>
  <c r="G166" i="94"/>
  <c r="G166" i="145"/>
  <c r="G166" i="33"/>
  <c r="G166" i="177"/>
  <c r="G166" i="164"/>
  <c r="G166" i="19"/>
  <c r="G166" i="15"/>
  <c r="G166" i="178"/>
  <c r="G166" i="150"/>
  <c r="G166" i="68"/>
  <c r="G166" i="66"/>
  <c r="G166" i="63"/>
  <c r="G166" i="62"/>
  <c r="G166" i="58"/>
  <c r="G166" i="136"/>
  <c r="G166" i="141"/>
  <c r="G166" i="174"/>
  <c r="G166" i="53"/>
  <c r="G166" i="98"/>
  <c r="G166" i="49"/>
  <c r="G166" i="83"/>
  <c r="G166" i="46"/>
  <c r="G166" i="102"/>
  <c r="G166" i="43"/>
  <c r="G166" i="175"/>
  <c r="G166" i="57"/>
  <c r="G166" i="84"/>
  <c r="G166" i="167"/>
  <c r="G166" i="39"/>
  <c r="G166" i="135"/>
  <c r="G166" i="38"/>
  <c r="G166" i="103"/>
  <c r="G166" i="133"/>
  <c r="G166" i="152"/>
  <c r="G166" i="47"/>
  <c r="G166" i="120"/>
  <c r="G166" i="37"/>
  <c r="G166" i="90"/>
  <c r="G166" i="24"/>
  <c r="G166" i="32"/>
  <c r="G166" i="79"/>
  <c r="G166" i="31"/>
  <c r="G166" i="64"/>
  <c r="G166" i="113"/>
  <c r="G166" i="72"/>
  <c r="G166" i="28"/>
  <c r="G166" i="65"/>
  <c r="G166" i="119"/>
  <c r="G166" i="25"/>
  <c r="G166" i="155"/>
  <c r="G166" i="156"/>
  <c r="G166" i="20"/>
  <c r="G166" i="42"/>
  <c r="G166" i="157"/>
  <c r="G166" i="159"/>
  <c r="G166" i="158"/>
  <c r="G166" i="16"/>
  <c r="G166" i="27"/>
  <c r="G166" i="111"/>
  <c r="G166" i="71"/>
  <c r="G166" i="165"/>
  <c r="G166" i="55"/>
  <c r="G166" i="21"/>
  <c r="G166" i="14"/>
  <c r="G166" i="85"/>
  <c r="G166" i="87"/>
  <c r="G166" i="86"/>
  <c r="G166" i="89"/>
  <c r="G166" i="142"/>
  <c r="G166" i="92"/>
  <c r="G166" i="1"/>
  <c r="G166" i="50"/>
  <c r="G166" i="95"/>
  <c r="G166" i="180"/>
  <c r="G124" i="118"/>
  <c r="G124" i="60"/>
  <c r="G124" i="106"/>
  <c r="G124" i="104"/>
  <c r="G124" i="54"/>
  <c r="G124" i="181"/>
  <c r="G124" i="94"/>
  <c r="G124" i="145"/>
  <c r="G124" i="33"/>
  <c r="G124" i="177"/>
  <c r="G124" i="164"/>
  <c r="G124" i="19"/>
  <c r="G124" i="15"/>
  <c r="G124" i="178"/>
  <c r="G124" i="150"/>
  <c r="G124" i="68"/>
  <c r="G124" i="66"/>
  <c r="G124" i="63"/>
  <c r="G124" i="62"/>
  <c r="G124" i="58"/>
  <c r="G124" i="136"/>
  <c r="G124" i="141"/>
  <c r="G124" i="174"/>
  <c r="G124" i="53"/>
  <c r="G124" i="98"/>
  <c r="G124" i="49"/>
  <c r="G124" i="83"/>
  <c r="G124" i="46"/>
  <c r="G124" i="102"/>
  <c r="G124" i="43"/>
  <c r="G124" i="175"/>
  <c r="G124" i="57"/>
  <c r="G124" i="84"/>
  <c r="G124" i="167"/>
  <c r="G124" i="39"/>
  <c r="G124" i="135"/>
  <c r="G124" i="38"/>
  <c r="G124" i="103"/>
  <c r="G124" i="133"/>
  <c r="G124" i="152"/>
  <c r="G124" i="47"/>
  <c r="G124" i="120"/>
  <c r="G124" i="37"/>
  <c r="G124" i="90"/>
  <c r="G124" i="24"/>
  <c r="G124" i="32"/>
  <c r="G124" i="79"/>
  <c r="G124" i="31"/>
  <c r="G124" i="64"/>
  <c r="G124" i="113"/>
  <c r="G124" i="72"/>
  <c r="G124" i="28"/>
  <c r="G124" i="65"/>
  <c r="G124" i="119"/>
  <c r="G124" i="25"/>
  <c r="G124" i="155"/>
  <c r="G124" i="156"/>
  <c r="G124" i="20"/>
  <c r="G124" i="42"/>
  <c r="G124" i="157"/>
  <c r="G124" i="159"/>
  <c r="G124" i="158"/>
  <c r="G124" i="16"/>
  <c r="G124" i="27"/>
  <c r="G124" i="111"/>
  <c r="G124" i="71"/>
  <c r="G124" i="165"/>
  <c r="G124" i="55"/>
  <c r="G124" i="21"/>
  <c r="G124" i="14"/>
  <c r="G124" i="85"/>
  <c r="G124" i="87"/>
  <c r="G124" i="86"/>
  <c r="G124" i="89"/>
  <c r="G124" i="142"/>
  <c r="G124" i="92"/>
  <c r="G124" i="1"/>
  <c r="G124" i="50"/>
  <c r="G124" i="95"/>
  <c r="G124" i="180"/>
  <c r="G116" i="118"/>
  <c r="G116" i="60"/>
  <c r="G116" i="106"/>
  <c r="G116" i="104"/>
  <c r="G116" i="54"/>
  <c r="G116" i="181"/>
  <c r="G116" i="94"/>
  <c r="G116" i="145"/>
  <c r="G116" i="33"/>
  <c r="G116" i="177"/>
  <c r="G116" i="164"/>
  <c r="G116" i="19"/>
  <c r="G116" i="15"/>
  <c r="G116" i="178"/>
  <c r="G116" i="150"/>
  <c r="G116" i="68"/>
  <c r="G116" i="66"/>
  <c r="G116" i="63"/>
  <c r="G116" i="62"/>
  <c r="G116" i="58"/>
  <c r="G116" i="136"/>
  <c r="G116" i="141"/>
  <c r="G116" i="174"/>
  <c r="G116" i="53"/>
  <c r="G116" i="98"/>
  <c r="G116" i="49"/>
  <c r="G116" i="83"/>
  <c r="G116" i="46"/>
  <c r="G116" i="102"/>
  <c r="G116" i="43"/>
  <c r="G116" i="175"/>
  <c r="G116" i="57"/>
  <c r="G116" i="84"/>
  <c r="G116" i="167"/>
  <c r="G116" i="39"/>
  <c r="G116" i="135"/>
  <c r="G116" i="38"/>
  <c r="G116" i="103"/>
  <c r="G116" i="133"/>
  <c r="G116" i="152"/>
  <c r="G116" i="47"/>
  <c r="G116" i="120"/>
  <c r="G116" i="37"/>
  <c r="G116" i="90"/>
  <c r="G116" i="24"/>
  <c r="G116" i="32"/>
  <c r="G116" i="79"/>
  <c r="G116" i="31"/>
  <c r="G116" i="64"/>
  <c r="G116" i="113"/>
  <c r="G116" i="72"/>
  <c r="G116" i="28"/>
  <c r="G116" i="65"/>
  <c r="G116" i="119"/>
  <c r="G116" i="25"/>
  <c r="G116" i="155"/>
  <c r="G116" i="156"/>
  <c r="G116" i="20"/>
  <c r="G116" i="42"/>
  <c r="G116" i="157"/>
  <c r="G116" i="159"/>
  <c r="G116" i="158"/>
  <c r="G116" i="16"/>
  <c r="G116" i="27"/>
  <c r="G116" i="111"/>
  <c r="G116" i="71"/>
  <c r="G116" i="165"/>
  <c r="G116" i="55"/>
  <c r="G116" i="21"/>
  <c r="G116" i="14"/>
  <c r="G116" i="85"/>
  <c r="G116" i="87"/>
  <c r="G116" i="86"/>
  <c r="G116" i="89"/>
  <c r="G116" i="142"/>
  <c r="G116" i="92"/>
  <c r="G116" i="1"/>
  <c r="G116" i="50"/>
  <c r="G116" i="95"/>
  <c r="G116" i="180"/>
  <c r="G107" i="118"/>
  <c r="G107" i="60"/>
  <c r="G107" i="106"/>
  <c r="G107" i="104"/>
  <c r="G107" i="54"/>
  <c r="G107" i="181"/>
  <c r="G107" i="94"/>
  <c r="G107" i="145"/>
  <c r="G107" i="33"/>
  <c r="G107" i="177"/>
  <c r="G107" i="164"/>
  <c r="G107" i="19"/>
  <c r="G107" i="15"/>
  <c r="G107" i="178"/>
  <c r="G107" i="150"/>
  <c r="G107" i="68"/>
  <c r="G107" i="66"/>
  <c r="G107" i="63"/>
  <c r="G107" i="62"/>
  <c r="G107" i="58"/>
  <c r="G107" i="136"/>
  <c r="G107" i="141"/>
  <c r="G107" i="174"/>
  <c r="G107" i="53"/>
  <c r="G107" i="98"/>
  <c r="G107" i="49"/>
  <c r="G107" i="83"/>
  <c r="G107" i="46"/>
  <c r="G107" i="102"/>
  <c r="G107" i="43"/>
  <c r="G107" i="175"/>
  <c r="G107" i="57"/>
  <c r="G107" i="84"/>
  <c r="G107" i="167"/>
  <c r="G107" i="39"/>
  <c r="G107" i="135"/>
  <c r="G107" i="38"/>
  <c r="G107" i="103"/>
  <c r="G107" i="133"/>
  <c r="G107" i="152"/>
  <c r="G107" i="47"/>
  <c r="G107" i="120"/>
  <c r="G107" i="37"/>
  <c r="G107" i="90"/>
  <c r="G107" i="24"/>
  <c r="G107" i="32"/>
  <c r="G107" i="79"/>
  <c r="G107" i="31"/>
  <c r="G107" i="64"/>
  <c r="G107" i="113"/>
  <c r="G107" i="72"/>
  <c r="G107" i="28"/>
  <c r="G107" i="65"/>
  <c r="G107" i="119"/>
  <c r="G107" i="25"/>
  <c r="G107" i="155"/>
  <c r="G107" i="156"/>
  <c r="G107" i="20"/>
  <c r="G107" i="42"/>
  <c r="G107" i="157"/>
  <c r="G107" i="159"/>
  <c r="G107" i="158"/>
  <c r="G107" i="16"/>
  <c r="G107" i="27"/>
  <c r="G107" i="111"/>
  <c r="G107" i="71"/>
  <c r="G107" i="165"/>
  <c r="G107" i="55"/>
  <c r="G107" i="21"/>
  <c r="G107" i="14"/>
  <c r="G107" i="85"/>
  <c r="G107" i="87"/>
  <c r="G107" i="86"/>
  <c r="G107" i="89"/>
  <c r="G107" i="142"/>
  <c r="G107" i="92"/>
  <c r="G107" i="1"/>
  <c r="G107" i="50"/>
  <c r="G107" i="95"/>
  <c r="G107" i="180"/>
  <c r="G98" i="118"/>
  <c r="G98" i="60"/>
  <c r="G98" i="106"/>
  <c r="G98" i="104"/>
  <c r="G98" i="54"/>
  <c r="G98" i="181"/>
  <c r="G98" i="94"/>
  <c r="G98" i="145"/>
  <c r="G98" i="33"/>
  <c r="G98" i="177"/>
  <c r="G98" i="164"/>
  <c r="G98" i="19"/>
  <c r="G98" i="15"/>
  <c r="G98" i="178"/>
  <c r="G98" i="150"/>
  <c r="G98" i="68"/>
  <c r="G98" i="66"/>
  <c r="G98" i="63"/>
  <c r="G98" i="62"/>
  <c r="G98" i="58"/>
  <c r="G98" i="136"/>
  <c r="G98" i="141"/>
  <c r="G98" i="174"/>
  <c r="G98" i="53"/>
  <c r="G98" i="98"/>
  <c r="G98" i="49"/>
  <c r="G98" i="83"/>
  <c r="G98" i="46"/>
  <c r="G98" i="102"/>
  <c r="G98" i="43"/>
  <c r="G98" i="175"/>
  <c r="G98" i="57"/>
  <c r="G98" i="84"/>
  <c r="G98" i="167"/>
  <c r="G98" i="39"/>
  <c r="G98" i="135"/>
  <c r="G98" i="38"/>
  <c r="G98" i="103"/>
  <c r="G98" i="133"/>
  <c r="G98" i="152"/>
  <c r="G98" i="47"/>
  <c r="G98" i="120"/>
  <c r="G98" i="37"/>
  <c r="G98" i="90"/>
  <c r="G98" i="24"/>
  <c r="G98" i="32"/>
  <c r="G98" i="79"/>
  <c r="G98" i="31"/>
  <c r="G98" i="64"/>
  <c r="G98" i="113"/>
  <c r="G98" i="72"/>
  <c r="G98" i="28"/>
  <c r="G98" i="65"/>
  <c r="G98" i="119"/>
  <c r="G98" i="25"/>
  <c r="G98" i="155"/>
  <c r="G98" i="156"/>
  <c r="G98" i="20"/>
  <c r="G98" i="42"/>
  <c r="G98" i="157"/>
  <c r="G98" i="159"/>
  <c r="G98" i="158"/>
  <c r="G98" i="16"/>
  <c r="G98" i="27"/>
  <c r="G98" i="111"/>
  <c r="G98" i="71"/>
  <c r="G98" i="165"/>
  <c r="G98" i="55"/>
  <c r="G98" i="21"/>
  <c r="G98" i="14"/>
  <c r="G98" i="85"/>
  <c r="G98" i="87"/>
  <c r="G98" i="86"/>
  <c r="G98" i="89"/>
  <c r="G98" i="142"/>
  <c r="G98" i="92"/>
  <c r="G98" i="1"/>
  <c r="G98" i="50"/>
  <c r="G98" i="95"/>
  <c r="G98" i="180"/>
  <c r="G84" i="118"/>
  <c r="G84" i="60"/>
  <c r="G84" i="106"/>
  <c r="G84" i="104"/>
  <c r="G84" i="54"/>
  <c r="G84" i="181"/>
  <c r="G84" i="94"/>
  <c r="G84" i="145"/>
  <c r="G84" i="33"/>
  <c r="G84" i="177"/>
  <c r="G84" i="164"/>
  <c r="G84" i="19"/>
  <c r="G84" i="15"/>
  <c r="G84" i="178"/>
  <c r="G84" i="150"/>
  <c r="G84" i="68"/>
  <c r="G84" i="66"/>
  <c r="G84" i="63"/>
  <c r="G84" i="62"/>
  <c r="G84" i="58"/>
  <c r="G84" i="136"/>
  <c r="G84" i="141"/>
  <c r="G84" i="174"/>
  <c r="G84" i="53"/>
  <c r="G84" i="98"/>
  <c r="G84" i="49"/>
  <c r="G84" i="83"/>
  <c r="G84" i="46"/>
  <c r="G84" i="102"/>
  <c r="G84" i="43"/>
  <c r="G84" i="175"/>
  <c r="G84" i="57"/>
  <c r="G84" i="84"/>
  <c r="G84" i="167"/>
  <c r="G84" i="39"/>
  <c r="G84" i="135"/>
  <c r="G84" i="38"/>
  <c r="G84" i="103"/>
  <c r="G84" i="133"/>
  <c r="G84" i="152"/>
  <c r="G84" i="47"/>
  <c r="G84" i="120"/>
  <c r="G84" i="37"/>
  <c r="G84" i="90"/>
  <c r="G84" i="24"/>
  <c r="G84" i="32"/>
  <c r="G84" i="79"/>
  <c r="G84" i="31"/>
  <c r="G84" i="64"/>
  <c r="G84" i="113"/>
  <c r="G84" i="72"/>
  <c r="G84" i="28"/>
  <c r="G84" i="65"/>
  <c r="G84" i="119"/>
  <c r="G84" i="25"/>
  <c r="G84" i="155"/>
  <c r="G84" i="156"/>
  <c r="G84" i="20"/>
  <c r="G84" i="42"/>
  <c r="G84" i="157"/>
  <c r="G84" i="159"/>
  <c r="G84" i="158"/>
  <c r="G84" i="16"/>
  <c r="G84" i="27"/>
  <c r="G84" i="111"/>
  <c r="G84" i="71"/>
  <c r="G84" i="165"/>
  <c r="G84" i="55"/>
  <c r="G84" i="21"/>
  <c r="G84" i="14"/>
  <c r="G84" i="85"/>
  <c r="G84" i="87"/>
  <c r="G84" i="86"/>
  <c r="G84" i="89"/>
  <c r="G84" i="142"/>
  <c r="G84" i="92"/>
  <c r="G84" i="1"/>
  <c r="G84" i="50"/>
  <c r="G84" i="95"/>
  <c r="G84" i="180"/>
  <c r="G66" i="60"/>
  <c r="G66" i="106"/>
  <c r="G66" i="104"/>
  <c r="G66" i="54"/>
  <c r="G66" i="181"/>
  <c r="G66" i="94"/>
  <c r="G66" i="145"/>
  <c r="G66" i="33"/>
  <c r="G66" i="177"/>
  <c r="G66" i="164"/>
  <c r="G66" i="19"/>
  <c r="G66" i="15"/>
  <c r="G66" i="178"/>
  <c r="G66" i="150"/>
  <c r="G66" i="68"/>
  <c r="G66" i="66"/>
  <c r="G66" i="63"/>
  <c r="G66" i="62"/>
  <c r="G66" i="58"/>
  <c r="G66" i="136"/>
  <c r="G66" i="141"/>
  <c r="G66" i="174"/>
  <c r="G66" i="53"/>
  <c r="G66" i="98"/>
  <c r="G66" i="49"/>
  <c r="G66" i="83"/>
  <c r="G66" i="46"/>
  <c r="G66" i="102"/>
  <c r="G66" i="43"/>
  <c r="G66" i="175"/>
  <c r="G66" i="57"/>
  <c r="G66" i="84"/>
  <c r="G66" i="167"/>
  <c r="G66" i="39"/>
  <c r="G66" i="135"/>
  <c r="G66" i="38"/>
  <c r="G66" i="103"/>
  <c r="G66" i="133"/>
  <c r="G66" i="152"/>
  <c r="G66" i="47"/>
  <c r="G66" i="120"/>
  <c r="G66" i="37"/>
  <c r="G66" i="90"/>
  <c r="G66" i="24"/>
  <c r="G66" i="32"/>
  <c r="G66" i="79"/>
  <c r="G66" i="31"/>
  <c r="G66" i="64"/>
  <c r="G66" i="113"/>
  <c r="G66" i="72"/>
  <c r="G66" i="28"/>
  <c r="G66" i="65"/>
  <c r="G66" i="119"/>
  <c r="G66" i="25"/>
  <c r="G66" i="155"/>
  <c r="G66" i="156"/>
  <c r="G66" i="20"/>
  <c r="G66" i="42"/>
  <c r="G66" i="157"/>
  <c r="G66" i="159"/>
  <c r="G66" i="158"/>
  <c r="G66" i="16"/>
  <c r="G66" i="27"/>
  <c r="G66" i="111"/>
  <c r="G66" i="71"/>
  <c r="G66" i="165"/>
  <c r="G66" i="55"/>
  <c r="G66" i="21"/>
  <c r="G66" i="14"/>
  <c r="G66" i="85"/>
  <c r="G66" i="87"/>
  <c r="G66" i="86"/>
  <c r="G66" i="89"/>
  <c r="G66" i="142"/>
  <c r="G66" i="92"/>
  <c r="G66" i="1"/>
  <c r="G66" i="50"/>
  <c r="G66" i="95"/>
  <c r="G66" i="180"/>
  <c r="I16" i="92" l="1"/>
  <c r="I26" i="92" s="1"/>
  <c r="I16" i="55"/>
  <c r="I26" i="55" s="1"/>
  <c r="F26" i="42"/>
  <c r="I16" i="90"/>
  <c r="I26" i="90" s="1"/>
  <c r="F26" i="133"/>
  <c r="I16" i="57"/>
  <c r="I26" i="57" s="1"/>
  <c r="F26" i="83"/>
  <c r="F26" i="174"/>
  <c r="F26" i="62"/>
  <c r="I16" i="16"/>
  <c r="I16" i="42"/>
  <c r="I26" i="42" s="1"/>
  <c r="I16" i="72"/>
  <c r="I26" i="72" s="1"/>
  <c r="I16" i="79"/>
  <c r="I26" i="79" s="1"/>
  <c r="I16" i="37"/>
  <c r="I16" i="133"/>
  <c r="I16" i="39"/>
  <c r="I26" i="39" s="1"/>
  <c r="I16" i="175"/>
  <c r="I16" i="174"/>
  <c r="I26" i="174" s="1"/>
  <c r="I16" i="155"/>
  <c r="I26" i="155" s="1"/>
  <c r="I16" i="141"/>
  <c r="I26" i="141" s="1"/>
  <c r="I16" i="95"/>
  <c r="I26" i="95" s="1"/>
  <c r="F26" i="50"/>
  <c r="F26" i="89"/>
  <c r="F26" i="85"/>
  <c r="F26" i="71"/>
  <c r="I26" i="16"/>
  <c r="F26" i="158"/>
  <c r="F26" i="20"/>
  <c r="F26" i="119"/>
  <c r="F26" i="113"/>
  <c r="F26" i="32"/>
  <c r="I26" i="37"/>
  <c r="I26" i="133"/>
  <c r="F26" i="103"/>
  <c r="F26" i="167"/>
  <c r="I26" i="175"/>
  <c r="F26" i="43"/>
  <c r="F26" i="49"/>
  <c r="I16" i="62"/>
  <c r="I26" i="62" s="1"/>
  <c r="F26" i="63"/>
  <c r="I16" i="150"/>
  <c r="I26" i="150" s="1"/>
  <c r="F26" i="177"/>
  <c r="I16" i="94"/>
  <c r="I26" i="94" s="1"/>
  <c r="F26" i="181"/>
  <c r="I16" i="89"/>
  <c r="I16" i="85"/>
  <c r="I26" i="85" s="1"/>
  <c r="F26" i="21"/>
  <c r="F26" i="111"/>
  <c r="I16" i="158"/>
  <c r="I26" i="158" s="1"/>
  <c r="F26" i="159"/>
  <c r="I16" i="20"/>
  <c r="I26" i="20" s="1"/>
  <c r="F26" i="156"/>
  <c r="I16" i="119"/>
  <c r="I16" i="113"/>
  <c r="I26" i="113" s="1"/>
  <c r="I16" i="32"/>
  <c r="I26" i="32" s="1"/>
  <c r="F26" i="24"/>
  <c r="F26" i="47"/>
  <c r="I16" i="103"/>
  <c r="I26" i="103" s="1"/>
  <c r="F26" i="38"/>
  <c r="I16" i="167"/>
  <c r="I26" i="167" s="1"/>
  <c r="I16" i="43"/>
  <c r="I26" i="43" s="1"/>
  <c r="I16" i="49"/>
  <c r="I26" i="49" s="1"/>
  <c r="I16" i="63"/>
  <c r="I26" i="63" s="1"/>
  <c r="F26" i="66"/>
  <c r="I16" i="178"/>
  <c r="I26" i="178" s="1"/>
  <c r="I16" i="177"/>
  <c r="I26" i="177" s="1"/>
  <c r="I16" i="181"/>
  <c r="I26" i="181" s="1"/>
  <c r="I16" i="60"/>
  <c r="I26" i="60" s="1"/>
  <c r="F26" i="118"/>
  <c r="F26" i="92"/>
  <c r="I16" i="21"/>
  <c r="I26" i="21" s="1"/>
  <c r="F26" i="55"/>
  <c r="I16" i="111"/>
  <c r="I26" i="111" s="1"/>
  <c r="I16" i="159"/>
  <c r="I26" i="159" s="1"/>
  <c r="I16" i="156"/>
  <c r="I26" i="156" s="1"/>
  <c r="F26" i="155"/>
  <c r="F26" i="31"/>
  <c r="I16" i="24"/>
  <c r="I26" i="24" s="1"/>
  <c r="F26" i="90"/>
  <c r="I16" i="47"/>
  <c r="I26" i="47" s="1"/>
  <c r="I16" i="38"/>
  <c r="I26" i="38" s="1"/>
  <c r="I16" i="98"/>
  <c r="I26" i="98" s="1"/>
  <c r="F26" i="53"/>
  <c r="I16" i="66"/>
  <c r="I26" i="66" s="1"/>
  <c r="I16" i="31"/>
  <c r="I26" i="31" s="1"/>
  <c r="F26" i="180"/>
  <c r="I16" i="180"/>
  <c r="I26" i="180" s="1"/>
  <c r="F26" i="1"/>
  <c r="I16" i="1"/>
  <c r="I26" i="1" s="1"/>
  <c r="I16" i="142"/>
  <c r="I26" i="142" s="1"/>
  <c r="F26" i="87"/>
  <c r="I16" i="87"/>
  <c r="I26" i="87" s="1"/>
  <c r="I16" i="25"/>
  <c r="I26" i="25" s="1"/>
  <c r="F26" i="28"/>
  <c r="I16" i="28"/>
  <c r="I26" i="28" s="1"/>
  <c r="F26" i="57"/>
  <c r="F26" i="175"/>
  <c r="F26" i="98"/>
  <c r="F26" i="141"/>
  <c r="F26" i="150"/>
  <c r="F26" i="178"/>
  <c r="I16" i="71"/>
  <c r="I26" i="71" s="1"/>
  <c r="F26" i="16"/>
  <c r="F26" i="157"/>
  <c r="I16" i="157"/>
  <c r="I26" i="157" s="1"/>
  <c r="F26" i="25"/>
  <c r="I26" i="119"/>
  <c r="I16" i="65"/>
  <c r="I26" i="65" s="1"/>
  <c r="F26" i="79"/>
  <c r="F26" i="84"/>
  <c r="I16" i="84"/>
  <c r="I26" i="84" s="1"/>
  <c r="F26" i="46"/>
  <c r="I16" i="46"/>
  <c r="I26" i="46" s="1"/>
  <c r="F26" i="68"/>
  <c r="I16" i="68"/>
  <c r="I26" i="68" s="1"/>
  <c r="F26" i="95"/>
  <c r="F26" i="142"/>
  <c r="I26" i="89"/>
  <c r="I16" i="165"/>
  <c r="I26" i="165" s="1"/>
  <c r="F26" i="165"/>
  <c r="F26" i="27"/>
  <c r="I16" i="27"/>
  <c r="I26" i="27" s="1"/>
  <c r="F26" i="65"/>
  <c r="F26" i="72"/>
  <c r="F26" i="64"/>
  <c r="I16" i="64"/>
  <c r="I26" i="64" s="1"/>
  <c r="F26" i="37"/>
  <c r="F26" i="120"/>
  <c r="I16" i="120"/>
  <c r="I26" i="120" s="1"/>
  <c r="F26" i="152"/>
  <c r="I16" i="152"/>
  <c r="I26" i="152" s="1"/>
  <c r="F26" i="135"/>
  <c r="I16" i="135"/>
  <c r="I26" i="135" s="1"/>
  <c r="F26" i="39"/>
  <c r="F26" i="102"/>
  <c r="I16" i="102"/>
  <c r="I26" i="102" s="1"/>
  <c r="I16" i="53"/>
  <c r="I26" i="53" s="1"/>
  <c r="F26" i="136"/>
  <c r="I16" i="136"/>
  <c r="I26" i="136" s="1"/>
  <c r="F26" i="58"/>
  <c r="I16" i="58"/>
  <c r="I26" i="58" s="1"/>
  <c r="F26" i="15"/>
  <c r="I16" i="15"/>
  <c r="I26" i="15" s="1"/>
  <c r="F26" i="19"/>
  <c r="I16" i="19"/>
  <c r="I26" i="19" s="1"/>
  <c r="I16" i="164"/>
  <c r="I26" i="164" s="1"/>
  <c r="F26" i="164"/>
  <c r="F26" i="33"/>
  <c r="I16" i="33"/>
  <c r="I26" i="33" s="1"/>
  <c r="F26" i="145"/>
  <c r="I16" i="145"/>
  <c r="I26" i="145" s="1"/>
  <c r="F26" i="94"/>
  <c r="F26" i="104"/>
  <c r="I16" i="104"/>
  <c r="I26" i="104" s="1"/>
  <c r="I16" i="106"/>
  <c r="I26" i="106" s="1"/>
  <c r="F26" i="106"/>
  <c r="F26" i="60"/>
  <c r="G213" i="85"/>
  <c r="I16" i="54"/>
  <c r="I26" i="54" s="1"/>
  <c r="F26" i="54"/>
  <c r="I16" i="118"/>
  <c r="I26" i="118" s="1"/>
  <c r="I16" i="50"/>
  <c r="I26" i="50" s="1"/>
  <c r="F26" i="86"/>
  <c r="I16" i="86"/>
  <c r="I26" i="86" s="1"/>
  <c r="I17" i="14"/>
  <c r="F26" i="14"/>
  <c r="I16" i="14"/>
  <c r="I224" i="83"/>
  <c r="G226" i="97"/>
  <c r="I226" i="83"/>
  <c r="G228" i="97"/>
  <c r="I21" i="83"/>
  <c r="G23" i="97"/>
  <c r="I41" i="83"/>
  <c r="G43" i="97"/>
  <c r="I53" i="83"/>
  <c r="G55" i="97"/>
  <c r="I65" i="83"/>
  <c r="G67" i="97"/>
  <c r="I80" i="83"/>
  <c r="G82" i="97"/>
  <c r="I92" i="83"/>
  <c r="G94" i="97"/>
  <c r="I129" i="83"/>
  <c r="G131" i="97"/>
  <c r="I140" i="83"/>
  <c r="G142" i="97"/>
  <c r="I174" i="83"/>
  <c r="G176" i="97"/>
  <c r="I186" i="83"/>
  <c r="G188" i="97"/>
  <c r="I190" i="83"/>
  <c r="G192" i="97"/>
  <c r="I207" i="83"/>
  <c r="G209" i="97"/>
  <c r="I227" i="83"/>
  <c r="G229" i="97"/>
  <c r="I231" i="83"/>
  <c r="G233" i="97"/>
  <c r="I14" i="83"/>
  <c r="G16" i="97"/>
  <c r="I18" i="83"/>
  <c r="G20" i="97"/>
  <c r="I22" i="83"/>
  <c r="G24" i="97"/>
  <c r="I30" i="83"/>
  <c r="G32" i="97"/>
  <c r="I34" i="83"/>
  <c r="G36" i="97"/>
  <c r="I38" i="83"/>
  <c r="G40" i="97"/>
  <c r="I42" i="83"/>
  <c r="G44" i="97"/>
  <c r="I46" i="83"/>
  <c r="G48" i="97"/>
  <c r="I50" i="83"/>
  <c r="G52" i="97"/>
  <c r="I54" i="83"/>
  <c r="G56" i="97"/>
  <c r="I58" i="83"/>
  <c r="G60" i="97"/>
  <c r="I62" i="83"/>
  <c r="G64" i="97"/>
  <c r="I73" i="83"/>
  <c r="G75" i="97"/>
  <c r="I77" i="83"/>
  <c r="G79" i="97"/>
  <c r="I81" i="83"/>
  <c r="G83" i="97"/>
  <c r="I89" i="83"/>
  <c r="G91" i="97"/>
  <c r="I93" i="83"/>
  <c r="G95" i="97"/>
  <c r="I97" i="83"/>
  <c r="G99" i="97"/>
  <c r="I102" i="83"/>
  <c r="G104" i="97"/>
  <c r="I106" i="83"/>
  <c r="G108" i="97"/>
  <c r="I113" i="83"/>
  <c r="G115" i="97"/>
  <c r="I122" i="83"/>
  <c r="G124" i="97"/>
  <c r="I130" i="83"/>
  <c r="G132" i="97"/>
  <c r="I134" i="83"/>
  <c r="G136" i="97"/>
  <c r="I138" i="83"/>
  <c r="G140" i="97"/>
  <c r="I141" i="83"/>
  <c r="G143" i="97"/>
  <c r="I146" i="83"/>
  <c r="G148" i="97"/>
  <c r="I153" i="83"/>
  <c r="G155" i="97"/>
  <c r="I157" i="83"/>
  <c r="G159" i="97"/>
  <c r="I160" i="83"/>
  <c r="G162" i="97"/>
  <c r="I164" i="83"/>
  <c r="G166" i="97"/>
  <c r="I171" i="83"/>
  <c r="G173" i="97"/>
  <c r="I175" i="83"/>
  <c r="G177" i="97"/>
  <c r="I179" i="83"/>
  <c r="G181" i="97"/>
  <c r="I183" i="83"/>
  <c r="G185" i="97"/>
  <c r="I187" i="83"/>
  <c r="G189" i="97"/>
  <c r="I191" i="83"/>
  <c r="G193" i="97"/>
  <c r="I195" i="83"/>
  <c r="G197" i="97"/>
  <c r="I199" i="83"/>
  <c r="G201" i="97"/>
  <c r="I208" i="83"/>
  <c r="G210" i="97"/>
  <c r="I230" i="83"/>
  <c r="G232" i="97"/>
  <c r="I17" i="83"/>
  <c r="G19" i="97"/>
  <c r="I33" i="83"/>
  <c r="G35" i="97"/>
  <c r="I45" i="83"/>
  <c r="G47" i="97"/>
  <c r="I57" i="83"/>
  <c r="G59" i="97"/>
  <c r="I76" i="83"/>
  <c r="G78" i="97"/>
  <c r="I96" i="83"/>
  <c r="G98" i="97"/>
  <c r="I101" i="83"/>
  <c r="G103" i="97"/>
  <c r="I112" i="83"/>
  <c r="G114" i="97"/>
  <c r="I121" i="83"/>
  <c r="G123" i="97"/>
  <c r="I137" i="83"/>
  <c r="G139" i="97"/>
  <c r="I145" i="83"/>
  <c r="G147" i="97"/>
  <c r="I152" i="83"/>
  <c r="G154" i="97"/>
  <c r="I178" i="83"/>
  <c r="G180" i="97"/>
  <c r="I194" i="83"/>
  <c r="G196" i="97"/>
  <c r="I228" i="83"/>
  <c r="G230" i="97"/>
  <c r="I232" i="83"/>
  <c r="G234" i="97"/>
  <c r="I15" i="83"/>
  <c r="G17" i="97"/>
  <c r="I19" i="83"/>
  <c r="G21" i="97"/>
  <c r="I23" i="83"/>
  <c r="G25" i="97"/>
  <c r="I31" i="83"/>
  <c r="G33" i="97"/>
  <c r="I35" i="83"/>
  <c r="G37" i="97"/>
  <c r="I39" i="83"/>
  <c r="G41" i="97"/>
  <c r="I43" i="83"/>
  <c r="G45" i="97"/>
  <c r="I47" i="83"/>
  <c r="G49" i="97"/>
  <c r="I51" i="83"/>
  <c r="G53" i="97"/>
  <c r="I55" i="83"/>
  <c r="G57" i="97"/>
  <c r="I59" i="83"/>
  <c r="G61" i="97"/>
  <c r="I63" i="83"/>
  <c r="G65" i="97"/>
  <c r="I70" i="83"/>
  <c r="G72" i="97"/>
  <c r="I74" i="83"/>
  <c r="G76" i="97"/>
  <c r="I78" i="83"/>
  <c r="G80" i="97"/>
  <c r="I82" i="83"/>
  <c r="G84" i="97"/>
  <c r="I90" i="83"/>
  <c r="G92" i="97"/>
  <c r="I94" i="83"/>
  <c r="G96" i="97"/>
  <c r="I103" i="83"/>
  <c r="G105" i="97"/>
  <c r="I110" i="83"/>
  <c r="G112" i="97"/>
  <c r="I114" i="83"/>
  <c r="G116" i="97"/>
  <c r="I119" i="83"/>
  <c r="G121" i="97"/>
  <c r="I123" i="83"/>
  <c r="G125" i="97"/>
  <c r="I131" i="83"/>
  <c r="G133" i="97"/>
  <c r="I135" i="83"/>
  <c r="G137" i="97"/>
  <c r="I142" i="83"/>
  <c r="G144" i="97"/>
  <c r="I147" i="83"/>
  <c r="G149" i="97"/>
  <c r="I150" i="83"/>
  <c r="G152" i="97"/>
  <c r="I154" i="83"/>
  <c r="G156" i="97"/>
  <c r="I158" i="83"/>
  <c r="G160" i="97"/>
  <c r="I161" i="83"/>
  <c r="G163" i="97"/>
  <c r="I165" i="83"/>
  <c r="G167" i="97"/>
  <c r="I172" i="83"/>
  <c r="G174" i="97"/>
  <c r="I176" i="83"/>
  <c r="G178" i="97"/>
  <c r="I180" i="83"/>
  <c r="G182" i="97"/>
  <c r="I184" i="83"/>
  <c r="G186" i="97"/>
  <c r="I188" i="83"/>
  <c r="G190" i="97"/>
  <c r="I192" i="83"/>
  <c r="G194" i="97"/>
  <c r="I196" i="83"/>
  <c r="G198" i="97"/>
  <c r="I200" i="83"/>
  <c r="G202" i="97"/>
  <c r="I205" i="83"/>
  <c r="G207" i="97"/>
  <c r="I209" i="83"/>
  <c r="G211" i="97"/>
  <c r="I13" i="83"/>
  <c r="G15" i="97"/>
  <c r="I25" i="83"/>
  <c r="G27" i="97"/>
  <c r="I37" i="83"/>
  <c r="G39" i="97"/>
  <c r="I49" i="83"/>
  <c r="G51" i="97"/>
  <c r="I61" i="83"/>
  <c r="G63" i="97"/>
  <c r="I72" i="83"/>
  <c r="G74" i="97"/>
  <c r="I88" i="83"/>
  <c r="G90" i="97"/>
  <c r="I105" i="83"/>
  <c r="G107" i="97"/>
  <c r="I156" i="83"/>
  <c r="G158" i="97"/>
  <c r="I163" i="83"/>
  <c r="G165" i="97"/>
  <c r="I170" i="83"/>
  <c r="G172" i="97"/>
  <c r="I182" i="83"/>
  <c r="G184" i="97"/>
  <c r="I198" i="83"/>
  <c r="G200" i="97"/>
  <c r="I225" i="83"/>
  <c r="G227" i="97"/>
  <c r="I229" i="83"/>
  <c r="G231" i="97"/>
  <c r="G18" i="97"/>
  <c r="I20" i="83"/>
  <c r="G22" i="97"/>
  <c r="I24" i="83"/>
  <c r="G26" i="97"/>
  <c r="I32" i="83"/>
  <c r="G34" i="97"/>
  <c r="I36" i="83"/>
  <c r="G38" i="97"/>
  <c r="I40" i="83"/>
  <c r="G42" i="97"/>
  <c r="I44" i="83"/>
  <c r="G46" i="97"/>
  <c r="I48" i="83"/>
  <c r="G50" i="97"/>
  <c r="I52" i="83"/>
  <c r="G54" i="97"/>
  <c r="I56" i="83"/>
  <c r="G58" i="97"/>
  <c r="I60" i="83"/>
  <c r="G62" i="97"/>
  <c r="I64" i="83"/>
  <c r="G66" i="97"/>
  <c r="I69" i="83"/>
  <c r="G71" i="97"/>
  <c r="I71" i="83"/>
  <c r="G73" i="97"/>
  <c r="I75" i="83"/>
  <c r="G77" i="97"/>
  <c r="I79" i="83"/>
  <c r="G81" i="97"/>
  <c r="I83" i="83"/>
  <c r="G85" i="97"/>
  <c r="I87" i="83"/>
  <c r="G89" i="97"/>
  <c r="I91" i="83"/>
  <c r="G93" i="97"/>
  <c r="I95" i="83"/>
  <c r="G97" i="97"/>
  <c r="I104" i="83"/>
  <c r="G106" i="97"/>
  <c r="I111" i="83"/>
  <c r="G113" i="97"/>
  <c r="I115" i="83"/>
  <c r="G117" i="97"/>
  <c r="I120" i="83"/>
  <c r="G122" i="97"/>
  <c r="I128" i="83"/>
  <c r="G130" i="97"/>
  <c r="I132" i="83"/>
  <c r="G134" i="97"/>
  <c r="I136" i="83"/>
  <c r="G138" i="97"/>
  <c r="I143" i="83"/>
  <c r="G145" i="97"/>
  <c r="I148" i="83"/>
  <c r="G150" i="97"/>
  <c r="I151" i="83"/>
  <c r="G153" i="97"/>
  <c r="I155" i="83"/>
  <c r="G157" i="97"/>
  <c r="I162" i="83"/>
  <c r="G164" i="97"/>
  <c r="I169" i="83"/>
  <c r="G171" i="97"/>
  <c r="I173" i="83"/>
  <c r="G175" i="97"/>
  <c r="I177" i="83"/>
  <c r="G179" i="97"/>
  <c r="I181" i="83"/>
  <c r="G183" i="97"/>
  <c r="I185" i="83"/>
  <c r="G187" i="97"/>
  <c r="I189" i="83"/>
  <c r="G191" i="97"/>
  <c r="I193" i="83"/>
  <c r="G195" i="97"/>
  <c r="I197" i="83"/>
  <c r="G199" i="97"/>
  <c r="I201" i="83"/>
  <c r="G203" i="97"/>
  <c r="I206" i="83"/>
  <c r="G208" i="97"/>
  <c r="I210" i="83"/>
  <c r="G212" i="97"/>
  <c r="G213" i="106"/>
  <c r="G220" i="106" s="1"/>
  <c r="I128" i="106"/>
  <c r="F166" i="106"/>
  <c r="G213" i="95"/>
  <c r="G213" i="142"/>
  <c r="G220" i="142" s="1"/>
  <c r="G213" i="55"/>
  <c r="G220" i="55" s="1"/>
  <c r="G213" i="27"/>
  <c r="G220" i="27" s="1"/>
  <c r="G213" i="157"/>
  <c r="G220" i="157" s="1"/>
  <c r="G213" i="155"/>
  <c r="G220" i="155" s="1"/>
  <c r="G213" i="28"/>
  <c r="G213" i="31"/>
  <c r="G220" i="31" s="1"/>
  <c r="G213" i="90"/>
  <c r="G220" i="90" s="1"/>
  <c r="G213" i="152"/>
  <c r="G220" i="152" s="1"/>
  <c r="G213" i="135"/>
  <c r="G220" i="135" s="1"/>
  <c r="G213" i="57"/>
  <c r="G220" i="57" s="1"/>
  <c r="G213" i="46"/>
  <c r="G220" i="46" s="1"/>
  <c r="G213" i="53"/>
  <c r="G220" i="53" s="1"/>
  <c r="G213" i="58"/>
  <c r="G220" i="58" s="1"/>
  <c r="G213" i="68"/>
  <c r="G220" i="68" s="1"/>
  <c r="G213" i="19"/>
  <c r="G220" i="19" s="1"/>
  <c r="G213" i="145"/>
  <c r="G220" i="145" s="1"/>
  <c r="G213" i="104"/>
  <c r="G220" i="104" s="1"/>
  <c r="G213" i="50"/>
  <c r="G213" i="89"/>
  <c r="G220" i="89" s="1"/>
  <c r="G220" i="85"/>
  <c r="G213" i="165"/>
  <c r="G220" i="165" s="1"/>
  <c r="G213" i="16"/>
  <c r="G220" i="16" s="1"/>
  <c r="G213" i="42"/>
  <c r="G220" i="42" s="1"/>
  <c r="G213" i="25"/>
  <c r="G220" i="25" s="1"/>
  <c r="G213" i="72"/>
  <c r="G220" i="72" s="1"/>
  <c r="G213" i="79"/>
  <c r="G220" i="79" s="1"/>
  <c r="G213" i="37"/>
  <c r="G220" i="37" s="1"/>
  <c r="G213" i="133"/>
  <c r="G220" i="133" s="1"/>
  <c r="G213" i="39"/>
  <c r="G220" i="39" s="1"/>
  <c r="G213" i="175"/>
  <c r="G213" i="83"/>
  <c r="G220" i="83" s="1"/>
  <c r="G213" i="174"/>
  <c r="G220" i="174" s="1"/>
  <c r="G213" i="62"/>
  <c r="G220" i="62" s="1"/>
  <c r="G213" i="150"/>
  <c r="G220" i="150" s="1"/>
  <c r="G213" i="164"/>
  <c r="G220" i="164" s="1"/>
  <c r="G213" i="94"/>
  <c r="G220" i="94" s="1"/>
  <c r="G213" i="1"/>
  <c r="G213" i="86"/>
  <c r="G220" i="86" s="1"/>
  <c r="G213" i="14"/>
  <c r="G220" i="14" s="1"/>
  <c r="G213" i="71"/>
  <c r="G220" i="71" s="1"/>
  <c r="G213" i="158"/>
  <c r="G220" i="158" s="1"/>
  <c r="G213" i="20"/>
  <c r="G220" i="20" s="1"/>
  <c r="G213" i="119"/>
  <c r="G220" i="119" s="1"/>
  <c r="G213" i="113"/>
  <c r="G220" i="113" s="1"/>
  <c r="G213" i="32"/>
  <c r="G220" i="32" s="1"/>
  <c r="G213" i="120"/>
  <c r="G220" i="120" s="1"/>
  <c r="G213" i="103"/>
  <c r="G213" i="167"/>
  <c r="G220" i="167" s="1"/>
  <c r="G213" i="43"/>
  <c r="G213" i="49"/>
  <c r="G220" i="49" s="1"/>
  <c r="G213" i="141"/>
  <c r="G220" i="141" s="1"/>
  <c r="G213" i="63"/>
  <c r="G220" i="63" s="1"/>
  <c r="G213" i="178"/>
  <c r="G213" i="177"/>
  <c r="G220" i="177" s="1"/>
  <c r="G213" i="181"/>
  <c r="G220" i="181" s="1"/>
  <c r="G213" i="60"/>
  <c r="G220" i="60" s="1"/>
  <c r="G213" i="180"/>
  <c r="G220" i="180" s="1"/>
  <c r="G213" i="92"/>
  <c r="G220" i="92" s="1"/>
  <c r="G213" i="87"/>
  <c r="G220" i="87" s="1"/>
  <c r="G213" i="21"/>
  <c r="G220" i="21" s="1"/>
  <c r="G213" i="111"/>
  <c r="G220" i="111" s="1"/>
  <c r="G213" i="159"/>
  <c r="G220" i="159" s="1"/>
  <c r="G213" i="156"/>
  <c r="G220" i="156" s="1"/>
  <c r="G213" i="65"/>
  <c r="G220" i="65" s="1"/>
  <c r="G213" i="64"/>
  <c r="G220" i="64" s="1"/>
  <c r="G213" i="24"/>
  <c r="G220" i="24" s="1"/>
  <c r="G213" i="47"/>
  <c r="G220" i="47" s="1"/>
  <c r="G213" i="38"/>
  <c r="G220" i="38" s="1"/>
  <c r="G213" i="84"/>
  <c r="G220" i="84" s="1"/>
  <c r="G213" i="102"/>
  <c r="G220" i="102" s="1"/>
  <c r="G213" i="98"/>
  <c r="G220" i="98" s="1"/>
  <c r="G213" i="136"/>
  <c r="G220" i="136" s="1"/>
  <c r="G213" i="66"/>
  <c r="G220" i="66" s="1"/>
  <c r="G213" i="15"/>
  <c r="G220" i="15" s="1"/>
  <c r="G213" i="33"/>
  <c r="G220" i="33" s="1"/>
  <c r="G213" i="54"/>
  <c r="G220" i="54" s="1"/>
  <c r="G213" i="118"/>
  <c r="G220" i="118" s="1"/>
  <c r="G220" i="175"/>
  <c r="G220" i="43"/>
  <c r="G220" i="95"/>
  <c r="G220" i="28"/>
  <c r="G220" i="1" l="1"/>
  <c r="I16" i="83"/>
  <c r="I26" i="83" s="1"/>
  <c r="I26" i="14"/>
  <c r="G220" i="50"/>
  <c r="G220" i="103"/>
  <c r="A1" i="95" l="1"/>
  <c r="A1" i="50"/>
  <c r="A1" i="1"/>
  <c r="A1" i="92"/>
  <c r="A1" i="89"/>
  <c r="A1" i="86"/>
  <c r="A1" i="87"/>
  <c r="A1" i="85"/>
  <c r="A1" i="14"/>
  <c r="A1" i="21"/>
  <c r="A1" i="55"/>
  <c r="A1" i="165"/>
  <c r="A1" i="71"/>
  <c r="A1" i="111"/>
  <c r="A1" i="27"/>
  <c r="A1" i="16"/>
  <c r="A1" i="158"/>
  <c r="A1" i="159"/>
  <c r="A1" i="157"/>
  <c r="A1" i="42"/>
  <c r="A1" i="20"/>
  <c r="A1" i="156"/>
  <c r="A1" i="155"/>
  <c r="A1" i="25"/>
  <c r="A1" i="119"/>
  <c r="A1" i="65"/>
  <c r="A1" i="28"/>
  <c r="A1" i="72"/>
  <c r="A1" i="113"/>
  <c r="A1" i="64"/>
  <c r="A1" i="31"/>
  <c r="A1" i="79"/>
  <c r="A1" i="32"/>
  <c r="A1" i="24"/>
  <c r="A1" i="90"/>
  <c r="A1" i="37"/>
  <c r="A1" i="120"/>
  <c r="A1" i="152"/>
  <c r="A1" i="133"/>
  <c r="A1" i="38"/>
  <c r="A1" i="135"/>
  <c r="A1" i="39"/>
  <c r="A1" i="167"/>
  <c r="A1" i="84"/>
  <c r="A1" i="57"/>
  <c r="A1" i="175"/>
  <c r="A1" i="43"/>
  <c r="A1" i="102"/>
  <c r="A1" i="46"/>
  <c r="A1" i="47"/>
  <c r="A1" i="83"/>
  <c r="A1" i="49"/>
  <c r="A1" i="98"/>
  <c r="A1" i="53"/>
  <c r="A1" i="174"/>
  <c r="A1" i="136"/>
  <c r="A1" i="58"/>
  <c r="A1" i="62"/>
  <c r="A1" i="63"/>
  <c r="A1" i="66"/>
  <c r="A1" i="68"/>
  <c r="A1" i="150"/>
  <c r="A1" i="178"/>
  <c r="A1" i="15"/>
  <c r="A1" i="19"/>
  <c r="A1" i="164"/>
  <c r="A1" i="177"/>
  <c r="A1" i="33"/>
  <c r="A1" i="145"/>
  <c r="A1" i="94"/>
  <c r="A1" i="181"/>
  <c r="A1" i="54"/>
  <c r="A1" i="104"/>
  <c r="A1" i="106"/>
  <c r="A1" i="60"/>
  <c r="A1" i="118"/>
  <c r="L17" i="97" l="1"/>
  <c r="H17" i="97"/>
  <c r="C17" i="97"/>
  <c r="L16" i="97"/>
  <c r="H16" i="97"/>
  <c r="C16" i="97"/>
  <c r="L15" i="97"/>
  <c r="H15" i="97"/>
  <c r="C15" i="97"/>
  <c r="H14" i="97"/>
  <c r="C14" i="97"/>
  <c r="F17" i="97" l="1"/>
  <c r="F16" i="97"/>
  <c r="F15" i="97"/>
  <c r="F14" i="97"/>
  <c r="I16" i="97" l="1"/>
  <c r="I14" i="97"/>
  <c r="I17" i="97"/>
  <c r="I15" i="97"/>
  <c r="H211" i="66" l="1"/>
  <c r="F238" i="181" l="1"/>
  <c r="F237" i="181"/>
  <c r="F236" i="181"/>
  <c r="I236" i="181" s="1"/>
  <c r="H233" i="181"/>
  <c r="M213" i="181"/>
  <c r="L213" i="181"/>
  <c r="H211" i="181"/>
  <c r="H202" i="181"/>
  <c r="H166" i="181"/>
  <c r="H124" i="181"/>
  <c r="H116" i="181"/>
  <c r="H107" i="181"/>
  <c r="H98" i="181"/>
  <c r="H84" i="181"/>
  <c r="H66" i="181"/>
  <c r="I237" i="181" l="1"/>
  <c r="I238" i="181"/>
  <c r="H213" i="181"/>
  <c r="M22" i="181"/>
  <c r="M23" i="181"/>
  <c r="O18" i="181"/>
  <c r="O24" i="181"/>
  <c r="F211" i="181"/>
  <c r="F116" i="181"/>
  <c r="F240" i="181"/>
  <c r="F166" i="181"/>
  <c r="F84" i="181"/>
  <c r="F233" i="181"/>
  <c r="F66" i="181"/>
  <c r="F98" i="181"/>
  <c r="F202" i="181"/>
  <c r="F107" i="181"/>
  <c r="F124" i="181"/>
  <c r="H220" i="181" l="1"/>
  <c r="I107" i="181"/>
  <c r="O22" i="181"/>
  <c r="O21" i="181"/>
  <c r="I211" i="181"/>
  <c r="I116" i="181"/>
  <c r="O20" i="181"/>
  <c r="O19" i="181"/>
  <c r="O23" i="181"/>
  <c r="M19" i="181"/>
  <c r="I240" i="181"/>
  <c r="I242" i="181" s="1"/>
  <c r="F213" i="181"/>
  <c r="F242" i="181"/>
  <c r="I233" i="181"/>
  <c r="I124" i="181"/>
  <c r="O17" i="181"/>
  <c r="F241" i="181"/>
  <c r="I202" i="181"/>
  <c r="I84" i="181"/>
  <c r="I166" i="181"/>
  <c r="I98" i="181"/>
  <c r="I66" i="181"/>
  <c r="O16" i="181"/>
  <c r="O200" i="181" l="1"/>
  <c r="J231" i="181"/>
  <c r="J13" i="181"/>
  <c r="J14" i="181"/>
  <c r="J15" i="181"/>
  <c r="J12" i="181"/>
  <c r="O98" i="181"/>
  <c r="O207" i="181"/>
  <c r="O201" i="181"/>
  <c r="O114" i="181"/>
  <c r="O59" i="181"/>
  <c r="O70" i="181"/>
  <c r="O189" i="181"/>
  <c r="J227" i="181"/>
  <c r="I213" i="181"/>
  <c r="F243" i="181"/>
  <c r="O84" i="181"/>
  <c r="O97" i="181"/>
  <c r="O151" i="181"/>
  <c r="O88" i="181"/>
  <c r="O90" i="181"/>
  <c r="O110" i="181"/>
  <c r="O83" i="181"/>
  <c r="O103" i="181"/>
  <c r="O91" i="181"/>
  <c r="O38" i="181"/>
  <c r="O210" i="181"/>
  <c r="O197" i="181"/>
  <c r="O208" i="181"/>
  <c r="O112" i="181"/>
  <c r="O31" i="181"/>
  <c r="O120" i="181"/>
  <c r="O180" i="181"/>
  <c r="O193" i="181"/>
  <c r="O87" i="181"/>
  <c r="O154" i="181"/>
  <c r="O72" i="181"/>
  <c r="O101" i="181"/>
  <c r="O152" i="181"/>
  <c r="O95" i="181"/>
  <c r="O123" i="181"/>
  <c r="O194" i="181"/>
  <c r="O96" i="181"/>
  <c r="O196" i="181"/>
  <c r="O137" i="181"/>
  <c r="O33" i="181"/>
  <c r="O73" i="181"/>
  <c r="O104" i="181"/>
  <c r="O39" i="181"/>
  <c r="O135" i="181"/>
  <c r="O119" i="181"/>
  <c r="O195" i="181"/>
  <c r="O141" i="181"/>
  <c r="O111" i="181"/>
  <c r="O199" i="181"/>
  <c r="O156" i="181"/>
  <c r="O52" i="181"/>
  <c r="O45" i="181"/>
  <c r="O157" i="181"/>
  <c r="O128" i="181"/>
  <c r="O169" i="181"/>
  <c r="O173" i="181"/>
  <c r="O58" i="181"/>
  <c r="O62" i="181"/>
  <c r="O188" i="181"/>
  <c r="O49" i="181"/>
  <c r="O160" i="181"/>
  <c r="O181" i="181"/>
  <c r="O64" i="181"/>
  <c r="O148" i="181"/>
  <c r="O147" i="181"/>
  <c r="O185" i="181"/>
  <c r="O134" i="181"/>
  <c r="O153" i="181"/>
  <c r="O183" i="181"/>
  <c r="O162" i="181"/>
  <c r="O182" i="181"/>
  <c r="O198" i="181"/>
  <c r="O121" i="181"/>
  <c r="O132" i="181"/>
  <c r="O30" i="181"/>
  <c r="O190" i="181"/>
  <c r="O32" i="181"/>
  <c r="O78" i="181"/>
  <c r="O36" i="181"/>
  <c r="O155" i="181"/>
  <c r="O136" i="181"/>
  <c r="O94" i="181"/>
  <c r="J230" i="181"/>
  <c r="O69" i="181"/>
  <c r="O161" i="181"/>
  <c r="O77" i="181"/>
  <c r="O65" i="181"/>
  <c r="O57" i="181"/>
  <c r="O66" i="181"/>
  <c r="O150" i="181"/>
  <c r="O166" i="181"/>
  <c r="O41" i="181"/>
  <c r="O63" i="181"/>
  <c r="O53" i="181"/>
  <c r="O206" i="181"/>
  <c r="M18" i="181"/>
  <c r="O113" i="181"/>
  <c r="J233" i="181"/>
  <c r="O202" i="181"/>
  <c r="O76" i="181"/>
  <c r="O89" i="181"/>
  <c r="O40" i="181"/>
  <c r="O131" i="181"/>
  <c r="O82" i="181"/>
  <c r="O75" i="181"/>
  <c r="O129" i="181"/>
  <c r="O54" i="181"/>
  <c r="O35" i="181"/>
  <c r="O93" i="181"/>
  <c r="J229" i="181"/>
  <c r="O47" i="181"/>
  <c r="O122" i="181"/>
  <c r="J224" i="181"/>
  <c r="O170" i="181"/>
  <c r="O209" i="181"/>
  <c r="O124" i="181"/>
  <c r="O171" i="181"/>
  <c r="O48" i="181"/>
  <c r="O37" i="181"/>
  <c r="O115" i="181"/>
  <c r="O81" i="181"/>
  <c r="O143" i="181"/>
  <c r="O44" i="181"/>
  <c r="O102" i="181"/>
  <c r="O51" i="181"/>
  <c r="O79" i="181"/>
  <c r="O43" i="181"/>
  <c r="J232" i="181"/>
  <c r="O172" i="181"/>
  <c r="O177" i="181"/>
  <c r="M20" i="181"/>
  <c r="O46" i="181"/>
  <c r="O92" i="181"/>
  <c r="O107" i="181"/>
  <c r="O50" i="181"/>
  <c r="O191" i="181"/>
  <c r="O61" i="181"/>
  <c r="O55" i="181"/>
  <c r="O146" i="181"/>
  <c r="O145" i="181"/>
  <c r="O192" i="181"/>
  <c r="J228" i="181"/>
  <c r="O187" i="181"/>
  <c r="O130" i="181"/>
  <c r="O179" i="181"/>
  <c r="O56" i="181"/>
  <c r="O74" i="181"/>
  <c r="O205" i="181"/>
  <c r="O140" i="181"/>
  <c r="O42" i="181"/>
  <c r="J226" i="181"/>
  <c r="O60" i="181"/>
  <c r="O163" i="181"/>
  <c r="O164" i="181"/>
  <c r="I241" i="181"/>
  <c r="O158" i="181"/>
  <c r="O105" i="181"/>
  <c r="O34" i="181"/>
  <c r="O142" i="181"/>
  <c r="O186" i="181"/>
  <c r="O174" i="181"/>
  <c r="O80" i="181"/>
  <c r="O178" i="181"/>
  <c r="O106" i="181"/>
  <c r="O184" i="181"/>
  <c r="O71" i="181"/>
  <c r="O175" i="181"/>
  <c r="O176" i="181"/>
  <c r="J225" i="181"/>
  <c r="F220" i="181"/>
  <c r="O165" i="181"/>
  <c r="O116" i="181"/>
  <c r="O138" i="181"/>
  <c r="O211" i="181"/>
  <c r="J25" i="181"/>
  <c r="J18" i="181"/>
  <c r="O26" i="181"/>
  <c r="J22" i="181"/>
  <c r="J24" i="181"/>
  <c r="J26" i="181"/>
  <c r="J20" i="181"/>
  <c r="M16" i="181"/>
  <c r="J16" i="181"/>
  <c r="J19" i="181"/>
  <c r="J17" i="181"/>
  <c r="J21" i="181"/>
  <c r="J23" i="181"/>
  <c r="J158" i="181" l="1"/>
  <c r="J103" i="181"/>
  <c r="J174" i="181"/>
  <c r="J163" i="181"/>
  <c r="J43" i="181"/>
  <c r="J106" i="181"/>
  <c r="J122" i="181"/>
  <c r="J87" i="181"/>
  <c r="J36" i="181"/>
  <c r="J137" i="181"/>
  <c r="J96" i="181"/>
  <c r="J51" i="181"/>
  <c r="J44" i="181"/>
  <c r="J170" i="181"/>
  <c r="J35" i="181"/>
  <c r="J75" i="181"/>
  <c r="J181" i="181"/>
  <c r="J201" i="181"/>
  <c r="J186" i="181"/>
  <c r="J39" i="181"/>
  <c r="J183" i="181"/>
  <c r="J130" i="181"/>
  <c r="J77" i="181"/>
  <c r="J185" i="181"/>
  <c r="J60" i="181"/>
  <c r="O213" i="181"/>
  <c r="J38" i="181"/>
  <c r="J81" i="181"/>
  <c r="J74" i="181"/>
  <c r="J161" i="181"/>
  <c r="J180" i="181"/>
  <c r="J190" i="181"/>
  <c r="J115" i="181"/>
  <c r="J119" i="181"/>
  <c r="J166" i="181"/>
  <c r="J80" i="181"/>
  <c r="J47" i="181"/>
  <c r="J97" i="181"/>
  <c r="J104" i="181"/>
  <c r="J93" i="181"/>
  <c r="J59" i="181"/>
  <c r="J187" i="181"/>
  <c r="J71" i="181"/>
  <c r="J171" i="181"/>
  <c r="J58" i="181"/>
  <c r="J65" i="181"/>
  <c r="J33" i="181"/>
  <c r="J179" i="181"/>
  <c r="J173" i="181"/>
  <c r="J189" i="181"/>
  <c r="J90" i="181"/>
  <c r="J31" i="181"/>
  <c r="J123" i="181"/>
  <c r="J192" i="181"/>
  <c r="J92" i="181"/>
  <c r="J182" i="181"/>
  <c r="J88" i="181"/>
  <c r="J178" i="181"/>
  <c r="J82" i="181"/>
  <c r="J175" i="181"/>
  <c r="J56" i="181"/>
  <c r="J128" i="181"/>
  <c r="J50" i="181"/>
  <c r="J102" i="181"/>
  <c r="J120" i="181"/>
  <c r="J105" i="181"/>
  <c r="J151" i="181"/>
  <c r="J196" i="181"/>
  <c r="J76" i="181"/>
  <c r="J188" i="181"/>
  <c r="J146" i="181"/>
  <c r="J112" i="181"/>
  <c r="J200" i="181"/>
  <c r="J111" i="181"/>
  <c r="J142" i="181"/>
  <c r="J141" i="181"/>
  <c r="J34" i="181"/>
  <c r="J156" i="181"/>
  <c r="J134" i="181"/>
  <c r="J129" i="181"/>
  <c r="J121" i="181"/>
  <c r="I220" i="181"/>
  <c r="J132" i="181"/>
  <c r="J136" i="181"/>
  <c r="J32" i="181"/>
  <c r="J160" i="181"/>
  <c r="J208" i="181"/>
  <c r="J197" i="181"/>
  <c r="J79" i="181"/>
  <c r="J53" i="181"/>
  <c r="J213" i="181"/>
  <c r="J135" i="181"/>
  <c r="J140" i="181"/>
  <c r="J131" i="181"/>
  <c r="J165" i="181"/>
  <c r="J172" i="181"/>
  <c r="J124" i="181"/>
  <c r="J40" i="181"/>
  <c r="J116" i="181"/>
  <c r="M17" i="181"/>
  <c r="J91" i="181"/>
  <c r="J107" i="181"/>
  <c r="J169" i="181"/>
  <c r="J61" i="181"/>
  <c r="J153" i="181"/>
  <c r="J66" i="181"/>
  <c r="J148" i="181"/>
  <c r="J54" i="181"/>
  <c r="J145" i="181"/>
  <c r="J211" i="181"/>
  <c r="I243" i="181"/>
  <c r="J95" i="181"/>
  <c r="J78" i="181"/>
  <c r="J57" i="181"/>
  <c r="J70" i="181"/>
  <c r="J207" i="181"/>
  <c r="J198" i="181"/>
  <c r="J194" i="181"/>
  <c r="J191" i="181"/>
  <c r="J49" i="181"/>
  <c r="J94" i="181"/>
  <c r="J206" i="181"/>
  <c r="J98" i="181"/>
  <c r="J84" i="181"/>
  <c r="J64" i="181"/>
  <c r="J195" i="181"/>
  <c r="J72" i="181"/>
  <c r="J45" i="181"/>
  <c r="J209" i="181"/>
  <c r="J205" i="181"/>
  <c r="J199" i="181"/>
  <c r="J202" i="181"/>
  <c r="J114" i="181"/>
  <c r="J150" i="181"/>
  <c r="J110" i="181"/>
  <c r="J83" i="181"/>
  <c r="J89" i="181"/>
  <c r="J164" i="181"/>
  <c r="J143" i="181"/>
  <c r="J138" i="181"/>
  <c r="J46" i="181"/>
  <c r="J210" i="181"/>
  <c r="J37" i="181"/>
  <c r="J184" i="181"/>
  <c r="J41" i="181"/>
  <c r="J42" i="181"/>
  <c r="J63" i="181"/>
  <c r="J55" i="181"/>
  <c r="J155" i="181"/>
  <c r="J48" i="181"/>
  <c r="J177" i="181"/>
  <c r="J193" i="181"/>
  <c r="J147" i="181"/>
  <c r="J52" i="181"/>
  <c r="J152" i="181"/>
  <c r="J30" i="181"/>
  <c r="J101" i="181"/>
  <c r="J113" i="181"/>
  <c r="J176" i="181"/>
  <c r="J73" i="181"/>
  <c r="J162" i="181"/>
  <c r="J69" i="181"/>
  <c r="J157" i="181"/>
  <c r="J62" i="181"/>
  <c r="J154" i="181"/>
  <c r="A1" i="97"/>
  <c r="O207" i="97"/>
  <c r="N207" i="97"/>
  <c r="O181" i="97"/>
  <c r="N181" i="97"/>
  <c r="O179" i="97"/>
  <c r="N179" i="97"/>
  <c r="O177" i="97"/>
  <c r="N177" i="97"/>
  <c r="O175" i="97"/>
  <c r="N175" i="97"/>
  <c r="O173" i="97"/>
  <c r="N173" i="97"/>
  <c r="O171" i="97"/>
  <c r="N171" i="97"/>
  <c r="O156" i="97"/>
  <c r="N156" i="97"/>
  <c r="O155" i="97"/>
  <c r="N155" i="97"/>
  <c r="O154" i="97"/>
  <c r="N154" i="97"/>
  <c r="O153" i="97"/>
  <c r="N153" i="97"/>
  <c r="O152" i="97"/>
  <c r="N152" i="97"/>
  <c r="O145" i="97"/>
  <c r="N145" i="97"/>
  <c r="O144" i="97"/>
  <c r="N144" i="97"/>
  <c r="O143" i="97"/>
  <c r="N143" i="97"/>
  <c r="O142" i="97"/>
  <c r="N142" i="97"/>
  <c r="O134" i="97"/>
  <c r="N134" i="97"/>
  <c r="O133" i="97"/>
  <c r="N133" i="97"/>
  <c r="O132" i="97"/>
  <c r="N132" i="97"/>
  <c r="O131" i="97"/>
  <c r="N131" i="97"/>
  <c r="O130" i="97"/>
  <c r="N130" i="97"/>
  <c r="O121" i="97"/>
  <c r="N121" i="97"/>
  <c r="O112" i="97"/>
  <c r="N112" i="97"/>
  <c r="O103" i="97"/>
  <c r="N103" i="97"/>
  <c r="O89" i="97"/>
  <c r="N89" i="97"/>
  <c r="O58" i="97"/>
  <c r="N58" i="97"/>
  <c r="O34" i="97"/>
  <c r="N34" i="97"/>
  <c r="O33" i="97"/>
  <c r="N33" i="97"/>
  <c r="O32" i="97"/>
  <c r="N32" i="97"/>
  <c r="H239" i="97"/>
  <c r="H238" i="97"/>
  <c r="H234" i="97"/>
  <c r="H233" i="97"/>
  <c r="H232" i="97"/>
  <c r="H231" i="97"/>
  <c r="H230" i="97"/>
  <c r="H229" i="97"/>
  <c r="H228" i="97"/>
  <c r="H227" i="97"/>
  <c r="H226" i="97"/>
  <c r="H203" i="97"/>
  <c r="H202" i="97"/>
  <c r="H201" i="97"/>
  <c r="H200" i="97"/>
  <c r="H199" i="97"/>
  <c r="H198" i="97"/>
  <c r="H197" i="97"/>
  <c r="H196" i="97"/>
  <c r="H195" i="97"/>
  <c r="H194" i="97"/>
  <c r="H193" i="97"/>
  <c r="H192" i="97"/>
  <c r="H191" i="97"/>
  <c r="H190" i="97"/>
  <c r="H189" i="97"/>
  <c r="H188" i="97"/>
  <c r="H187" i="97"/>
  <c r="H186" i="97"/>
  <c r="H185" i="97"/>
  <c r="H184" i="97"/>
  <c r="H183" i="97"/>
  <c r="H182" i="97"/>
  <c r="H181" i="97"/>
  <c r="H180" i="97"/>
  <c r="H179" i="97"/>
  <c r="H178" i="97"/>
  <c r="H177" i="97"/>
  <c r="H176" i="97"/>
  <c r="H175" i="97"/>
  <c r="H174" i="97"/>
  <c r="H173" i="97"/>
  <c r="H172" i="97"/>
  <c r="H171" i="97"/>
  <c r="H167" i="97"/>
  <c r="H166" i="97"/>
  <c r="H165" i="97"/>
  <c r="H164" i="97"/>
  <c r="H163" i="97"/>
  <c r="H162" i="97"/>
  <c r="H160" i="97"/>
  <c r="H159" i="97"/>
  <c r="H158" i="97"/>
  <c r="H157" i="97"/>
  <c r="H156" i="97"/>
  <c r="H155" i="97"/>
  <c r="H154" i="97"/>
  <c r="H153" i="97"/>
  <c r="H152" i="97"/>
  <c r="H150" i="97"/>
  <c r="H149" i="97"/>
  <c r="H148" i="97"/>
  <c r="H147" i="97"/>
  <c r="H145" i="97"/>
  <c r="H144" i="97"/>
  <c r="H143" i="97"/>
  <c r="H142" i="97"/>
  <c r="H140" i="97"/>
  <c r="H139" i="97"/>
  <c r="H138" i="97"/>
  <c r="H137" i="97"/>
  <c r="H136" i="97"/>
  <c r="H134" i="97"/>
  <c r="H133" i="97"/>
  <c r="H132" i="97"/>
  <c r="H131" i="97"/>
  <c r="H130" i="97"/>
  <c r="H125" i="97"/>
  <c r="H124" i="97"/>
  <c r="H123" i="97"/>
  <c r="H122" i="97"/>
  <c r="H121" i="97"/>
  <c r="H117" i="97"/>
  <c r="H116" i="97"/>
  <c r="H115" i="97"/>
  <c r="H114" i="97"/>
  <c r="H113" i="97"/>
  <c r="H112" i="97"/>
  <c r="H108" i="97"/>
  <c r="H107" i="97"/>
  <c r="H106" i="97"/>
  <c r="H105" i="97"/>
  <c r="H104" i="97"/>
  <c r="H103" i="97"/>
  <c r="H99" i="97"/>
  <c r="H98" i="97"/>
  <c r="H97" i="97"/>
  <c r="H96" i="97"/>
  <c r="H95" i="97"/>
  <c r="H94" i="97"/>
  <c r="H93" i="97"/>
  <c r="H92" i="97"/>
  <c r="H91" i="97"/>
  <c r="H90" i="97"/>
  <c r="H89" i="97"/>
  <c r="H85" i="97"/>
  <c r="H84" i="97"/>
  <c r="H83" i="97"/>
  <c r="H82" i="97"/>
  <c r="H81" i="97"/>
  <c r="H80" i="97"/>
  <c r="H79" i="97"/>
  <c r="H78" i="97"/>
  <c r="H77" i="97"/>
  <c r="H76" i="97"/>
  <c r="H75" i="97"/>
  <c r="H74" i="97"/>
  <c r="H73" i="97"/>
  <c r="H72" i="97"/>
  <c r="H71" i="97"/>
  <c r="H66" i="97"/>
  <c r="H65" i="97"/>
  <c r="H64" i="97"/>
  <c r="H63" i="97"/>
  <c r="H62" i="97"/>
  <c r="H61" i="97"/>
  <c r="H60" i="97"/>
  <c r="H59" i="97"/>
  <c r="H58" i="97"/>
  <c r="H57" i="97"/>
  <c r="H56" i="97"/>
  <c r="H55" i="97"/>
  <c r="H54" i="97"/>
  <c r="H53" i="97"/>
  <c r="H52" i="97"/>
  <c r="H51" i="97"/>
  <c r="H50" i="97"/>
  <c r="H49" i="97"/>
  <c r="H48" i="97"/>
  <c r="H47" i="97"/>
  <c r="H46" i="97"/>
  <c r="H45" i="97"/>
  <c r="H44" i="97"/>
  <c r="H43" i="97"/>
  <c r="H42" i="97"/>
  <c r="H41" i="97"/>
  <c r="H40" i="97"/>
  <c r="H39" i="97"/>
  <c r="H38" i="97"/>
  <c r="H37" i="97"/>
  <c r="H36" i="97"/>
  <c r="H35" i="97"/>
  <c r="H34" i="97"/>
  <c r="H33" i="97"/>
  <c r="H32" i="97"/>
  <c r="H27" i="97"/>
  <c r="H26" i="97"/>
  <c r="H25" i="97"/>
  <c r="H24" i="97"/>
  <c r="H23" i="97"/>
  <c r="H22" i="97"/>
  <c r="H21" i="97"/>
  <c r="H20" i="97"/>
  <c r="H19" i="97"/>
  <c r="H18" i="97"/>
  <c r="F238" i="180" l="1"/>
  <c r="H233" i="180"/>
  <c r="M213" i="180"/>
  <c r="L213" i="180"/>
  <c r="H211" i="180"/>
  <c r="H202" i="180"/>
  <c r="H166" i="180"/>
  <c r="H124" i="180"/>
  <c r="H116" i="180"/>
  <c r="H107" i="180"/>
  <c r="H98" i="180"/>
  <c r="H84" i="180"/>
  <c r="H66" i="180"/>
  <c r="F240" i="180" l="1"/>
  <c r="I238" i="180"/>
  <c r="M22" i="180"/>
  <c r="M23" i="180"/>
  <c r="H213" i="180"/>
  <c r="H220" i="180" s="1"/>
  <c r="F84" i="180" l="1"/>
  <c r="F202" i="180"/>
  <c r="F107" i="180"/>
  <c r="F66" i="180"/>
  <c r="F124" i="180"/>
  <c r="F116" i="180"/>
  <c r="F211" i="180"/>
  <c r="F166" i="180"/>
  <c r="F233" i="180"/>
  <c r="F98" i="180"/>
  <c r="O21" i="180" l="1"/>
  <c r="O20" i="180"/>
  <c r="F242" i="180"/>
  <c r="M19" i="180"/>
  <c r="O23" i="180"/>
  <c r="I202" i="180"/>
  <c r="F241" i="180"/>
  <c r="I240" i="180"/>
  <c r="O17" i="180"/>
  <c r="O24" i="180"/>
  <c r="I84" i="180"/>
  <c r="F213" i="180"/>
  <c r="O22" i="180"/>
  <c r="O18" i="180"/>
  <c r="O19" i="180"/>
  <c r="I233" i="180"/>
  <c r="I211" i="180"/>
  <c r="I116" i="180"/>
  <c r="I124" i="180"/>
  <c r="O16" i="180"/>
  <c r="I66" i="180"/>
  <c r="I107" i="180"/>
  <c r="I98" i="180"/>
  <c r="I166" i="180"/>
  <c r="O87" i="180" l="1"/>
  <c r="J233" i="180"/>
  <c r="J224" i="180"/>
  <c r="J231" i="180"/>
  <c r="J14" i="180"/>
  <c r="J15" i="180"/>
  <c r="J12" i="180"/>
  <c r="J13" i="180"/>
  <c r="O124" i="180"/>
  <c r="O166" i="180"/>
  <c r="O84" i="180"/>
  <c r="O211" i="180"/>
  <c r="O98" i="180"/>
  <c r="O202" i="180"/>
  <c r="O107" i="180"/>
  <c r="O119" i="180"/>
  <c r="O66" i="180"/>
  <c r="O30" i="180"/>
  <c r="O106" i="180"/>
  <c r="O205" i="180"/>
  <c r="F220" i="180"/>
  <c r="O116" i="180"/>
  <c r="M20" i="180"/>
  <c r="O110" i="180"/>
  <c r="F243" i="180"/>
  <c r="O128" i="180"/>
  <c r="I242" i="180"/>
  <c r="I213" i="180"/>
  <c r="J211" i="180" s="1"/>
  <c r="J24" i="180"/>
  <c r="J23" i="180"/>
  <c r="J22" i="180"/>
  <c r="J25" i="180"/>
  <c r="J26" i="180"/>
  <c r="O26" i="180"/>
  <c r="J21" i="180"/>
  <c r="J17" i="180"/>
  <c r="J18" i="180"/>
  <c r="M16" i="180"/>
  <c r="J16" i="180"/>
  <c r="J19" i="180"/>
  <c r="J20" i="180"/>
  <c r="J228" i="180"/>
  <c r="I241" i="180"/>
  <c r="J227" i="180"/>
  <c r="J230" i="180"/>
  <c r="J225" i="180"/>
  <c r="J232" i="180"/>
  <c r="O196" i="180"/>
  <c r="O96" i="180"/>
  <c r="O72" i="180"/>
  <c r="O81" i="180"/>
  <c r="O58" i="180"/>
  <c r="M18" i="180"/>
  <c r="O174" i="180"/>
  <c r="O140" i="180"/>
  <c r="J229" i="180"/>
  <c r="O158" i="180"/>
  <c r="O208" i="180"/>
  <c r="O71" i="180"/>
  <c r="O195" i="180"/>
  <c r="O189" i="180"/>
  <c r="O151" i="180"/>
  <c r="O102" i="180"/>
  <c r="O89" i="180"/>
  <c r="O65" i="180"/>
  <c r="O40" i="180"/>
  <c r="O31" i="180"/>
  <c r="O78" i="180"/>
  <c r="O34" i="180"/>
  <c r="J226" i="180"/>
  <c r="O105" i="180"/>
  <c r="O103" i="180"/>
  <c r="O39" i="180"/>
  <c r="O32" i="180"/>
  <c r="O51" i="180"/>
  <c r="O145" i="180"/>
  <c r="O101" i="180"/>
  <c r="O95" i="180"/>
  <c r="O91" i="180"/>
  <c r="O73" i="180"/>
  <c r="O138" i="180"/>
  <c r="O93" i="180"/>
  <c r="O179" i="180"/>
  <c r="O180" i="180"/>
  <c r="O186" i="180"/>
  <c r="O74" i="180"/>
  <c r="O156" i="180"/>
  <c r="O38" i="180"/>
  <c r="O113" i="180"/>
  <c r="O121" i="180"/>
  <c r="O182" i="180"/>
  <c r="O94" i="180"/>
  <c r="O97" i="180"/>
  <c r="O181" i="180"/>
  <c r="O200" i="180"/>
  <c r="O192" i="180"/>
  <c r="O90" i="180"/>
  <c r="O42" i="180"/>
  <c r="O164" i="180"/>
  <c r="O63" i="180"/>
  <c r="O88" i="180"/>
  <c r="O188" i="180"/>
  <c r="O70" i="180"/>
  <c r="O120" i="180"/>
  <c r="O44" i="180"/>
  <c r="O173" i="180"/>
  <c r="O207" i="180"/>
  <c r="O147" i="180"/>
  <c r="O135" i="180"/>
  <c r="O175" i="180"/>
  <c r="O56" i="180"/>
  <c r="O64" i="180"/>
  <c r="O115" i="180"/>
  <c r="O201" i="180"/>
  <c r="O46" i="180"/>
  <c r="O197" i="180"/>
  <c r="O52" i="180"/>
  <c r="O76" i="180"/>
  <c r="O137" i="180"/>
  <c r="O60" i="180"/>
  <c r="O55" i="180"/>
  <c r="O77" i="180"/>
  <c r="O129" i="180"/>
  <c r="O57" i="180"/>
  <c r="O50" i="180"/>
  <c r="O184" i="180"/>
  <c r="O41" i="180"/>
  <c r="O79" i="180"/>
  <c r="O194" i="180"/>
  <c r="O36" i="180"/>
  <c r="O92" i="180"/>
  <c r="O161" i="180"/>
  <c r="O160" i="180"/>
  <c r="O171" i="180"/>
  <c r="O75" i="180"/>
  <c r="O148" i="180"/>
  <c r="O47" i="180"/>
  <c r="O132" i="180"/>
  <c r="O134" i="180"/>
  <c r="O43" i="180"/>
  <c r="O83" i="180"/>
  <c r="O35" i="180"/>
  <c r="O178" i="180"/>
  <c r="O155" i="180"/>
  <c r="O193" i="180"/>
  <c r="O187" i="180"/>
  <c r="O123" i="180"/>
  <c r="O45" i="180"/>
  <c r="O130" i="180"/>
  <c r="O198" i="180"/>
  <c r="O49" i="180"/>
  <c r="O153" i="180"/>
  <c r="O122" i="180"/>
  <c r="O163" i="180"/>
  <c r="O157" i="180"/>
  <c r="O152" i="180"/>
  <c r="O131" i="180"/>
  <c r="O48" i="180"/>
  <c r="O206" i="180"/>
  <c r="O82" i="180"/>
  <c r="O80" i="180"/>
  <c r="O150" i="180"/>
  <c r="O154" i="180"/>
  <c r="O136" i="180"/>
  <c r="O62" i="180"/>
  <c r="O54" i="180"/>
  <c r="O146" i="180"/>
  <c r="O209" i="180"/>
  <c r="O37" i="180"/>
  <c r="O111" i="180"/>
  <c r="O33" i="180"/>
  <c r="O104" i="180"/>
  <c r="O176" i="180"/>
  <c r="O142" i="180"/>
  <c r="O172" i="180"/>
  <c r="O170" i="180"/>
  <c r="O177" i="180"/>
  <c r="O185" i="180"/>
  <c r="O53" i="180"/>
  <c r="O114" i="180"/>
  <c r="O165" i="180"/>
  <c r="O190" i="180"/>
  <c r="O141" i="180"/>
  <c r="O143" i="180"/>
  <c r="O59" i="180"/>
  <c r="O199" i="180"/>
  <c r="O69" i="180"/>
  <c r="O112" i="180"/>
  <c r="O210" i="180"/>
  <c r="O162" i="180"/>
  <c r="O61" i="180"/>
  <c r="O183" i="180"/>
  <c r="O191" i="180"/>
  <c r="O169" i="180"/>
  <c r="I220" i="180" l="1"/>
  <c r="I243" i="180"/>
  <c r="J210" i="180"/>
  <c r="J199" i="180"/>
  <c r="J191" i="180"/>
  <c r="J183" i="180"/>
  <c r="J176" i="180"/>
  <c r="J162" i="180"/>
  <c r="J153" i="180"/>
  <c r="J143" i="180"/>
  <c r="J134" i="180"/>
  <c r="J112" i="180"/>
  <c r="J107" i="180"/>
  <c r="J106" i="180"/>
  <c r="J92" i="180"/>
  <c r="J81" i="180"/>
  <c r="J73" i="180"/>
  <c r="J59" i="180"/>
  <c r="J51" i="180"/>
  <c r="J43" i="180"/>
  <c r="J200" i="180"/>
  <c r="J192" i="180"/>
  <c r="J184" i="180"/>
  <c r="J177" i="180"/>
  <c r="J169" i="180"/>
  <c r="J163" i="180"/>
  <c r="J154" i="180"/>
  <c r="J145" i="180"/>
  <c r="J135" i="180"/>
  <c r="J119" i="180"/>
  <c r="J113" i="180"/>
  <c r="J93" i="180"/>
  <c r="J82" i="180"/>
  <c r="J74" i="180"/>
  <c r="J60" i="180"/>
  <c r="J52" i="180"/>
  <c r="J44" i="180"/>
  <c r="O213" i="180"/>
  <c r="J202" i="180"/>
  <c r="J201" i="180"/>
  <c r="J193" i="180"/>
  <c r="J185" i="180"/>
  <c r="J178" i="180"/>
  <c r="J170" i="180"/>
  <c r="J164" i="180"/>
  <c r="J155" i="180"/>
  <c r="J146" i="180"/>
  <c r="J136" i="180"/>
  <c r="J120" i="180"/>
  <c r="J114" i="180"/>
  <c r="J94" i="180"/>
  <c r="J84" i="180"/>
  <c r="J83" i="180"/>
  <c r="J75" i="180"/>
  <c r="J61" i="180"/>
  <c r="J53" i="180"/>
  <c r="J45" i="180"/>
  <c r="J208" i="180"/>
  <c r="J196" i="180"/>
  <c r="J180" i="180"/>
  <c r="J158" i="180"/>
  <c r="J140" i="180"/>
  <c r="J124" i="180"/>
  <c r="J103" i="180"/>
  <c r="J96" i="180"/>
  <c r="J72" i="180"/>
  <c r="J65" i="180"/>
  <c r="J58" i="180"/>
  <c r="J54" i="180"/>
  <c r="J34" i="180"/>
  <c r="J148" i="180"/>
  <c r="J116" i="180"/>
  <c r="J70" i="180"/>
  <c r="J213" i="180"/>
  <c r="J190" i="180"/>
  <c r="J186" i="180"/>
  <c r="J181" i="180"/>
  <c r="J165" i="180"/>
  <c r="J152" i="180"/>
  <c r="J147" i="180"/>
  <c r="J132" i="180"/>
  <c r="J128" i="180"/>
  <c r="J115" i="180"/>
  <c r="J97" i="180"/>
  <c r="J79" i="180"/>
  <c r="J49" i="180"/>
  <c r="J42" i="180"/>
  <c r="J35" i="180"/>
  <c r="J188" i="180"/>
  <c r="J197" i="180"/>
  <c r="J175" i="180"/>
  <c r="J171" i="180"/>
  <c r="J160" i="180"/>
  <c r="J141" i="180"/>
  <c r="J121" i="180"/>
  <c r="J110" i="180"/>
  <c r="J104" i="180"/>
  <c r="J91" i="180"/>
  <c r="J87" i="180"/>
  <c r="J69" i="180"/>
  <c r="J66" i="180"/>
  <c r="J55" i="180"/>
  <c r="J36" i="180"/>
  <c r="J209" i="180"/>
  <c r="J205" i="180"/>
  <c r="J187" i="180"/>
  <c r="J166" i="180"/>
  <c r="J129" i="180"/>
  <c r="J56" i="180"/>
  <c r="J37" i="180"/>
  <c r="J130" i="180"/>
  <c r="J122" i="180"/>
  <c r="J98" i="180"/>
  <c r="J76" i="180"/>
  <c r="J40" i="180"/>
  <c r="J32" i="180"/>
  <c r="J198" i="180"/>
  <c r="J173" i="180"/>
  <c r="J150" i="180"/>
  <c r="J138" i="180"/>
  <c r="J90" i="180"/>
  <c r="J62" i="180"/>
  <c r="J47" i="180"/>
  <c r="J206" i="180"/>
  <c r="J157" i="180"/>
  <c r="J123" i="180"/>
  <c r="J101" i="180"/>
  <c r="J182" i="180"/>
  <c r="J174" i="180"/>
  <c r="J194" i="180"/>
  <c r="J88" i="180"/>
  <c r="J64" i="180"/>
  <c r="J30" i="180"/>
  <c r="J71" i="180"/>
  <c r="J48" i="180"/>
  <c r="J46" i="180"/>
  <c r="J33" i="180"/>
  <c r="J161" i="180"/>
  <c r="J156" i="180"/>
  <c r="J41" i="180"/>
  <c r="J172" i="180"/>
  <c r="J142" i="180"/>
  <c r="J137" i="180"/>
  <c r="J78" i="180"/>
  <c r="J63" i="180"/>
  <c r="J195" i="180"/>
  <c r="J189" i="180"/>
  <c r="J151" i="180"/>
  <c r="J131" i="180"/>
  <c r="J102" i="180"/>
  <c r="J89" i="180"/>
  <c r="J50" i="180"/>
  <c r="J31" i="180"/>
  <c r="J111" i="180"/>
  <c r="J77" i="180"/>
  <c r="M17" i="180"/>
  <c r="J207" i="180"/>
  <c r="J179" i="180"/>
  <c r="J105" i="180"/>
  <c r="J38" i="180"/>
  <c r="J95" i="180"/>
  <c r="J57" i="180"/>
  <c r="J80" i="180"/>
  <c r="J39" i="180"/>
  <c r="H166" i="84" l="1"/>
  <c r="F238" i="178" l="1"/>
  <c r="I238" i="178" s="1"/>
  <c r="H233" i="178"/>
  <c r="H66" i="178"/>
  <c r="H84" i="178"/>
  <c r="H98" i="178"/>
  <c r="H107" i="178"/>
  <c r="H116" i="178"/>
  <c r="H124" i="178"/>
  <c r="H166" i="178"/>
  <c r="H202" i="178"/>
  <c r="H211" i="178"/>
  <c r="M213" i="178"/>
  <c r="L213" i="178"/>
  <c r="F238" i="177"/>
  <c r="H233" i="177"/>
  <c r="M213" i="177"/>
  <c r="L213" i="177"/>
  <c r="H211" i="177"/>
  <c r="H202" i="177"/>
  <c r="H166" i="177"/>
  <c r="H124" i="177"/>
  <c r="H116" i="177"/>
  <c r="H107" i="177"/>
  <c r="H98" i="177"/>
  <c r="H84" i="177"/>
  <c r="H66" i="177"/>
  <c r="F238" i="175"/>
  <c r="I238" i="175" s="1"/>
  <c r="F236" i="92"/>
  <c r="I236" i="92" s="1"/>
  <c r="F238" i="14"/>
  <c r="F236" i="14"/>
  <c r="I236" i="14" s="1"/>
  <c r="F237" i="157"/>
  <c r="I237" i="157" s="1"/>
  <c r="F238" i="119"/>
  <c r="I238" i="119" s="1"/>
  <c r="F237" i="79"/>
  <c r="I237" i="79" s="1"/>
  <c r="F238" i="32"/>
  <c r="I238" i="32" s="1"/>
  <c r="F238" i="141"/>
  <c r="I238" i="141" s="1"/>
  <c r="F238" i="24"/>
  <c r="I238" i="24" s="1"/>
  <c r="F238" i="37"/>
  <c r="I238" i="37" s="1"/>
  <c r="F238" i="39"/>
  <c r="I238" i="39" s="1"/>
  <c r="H233" i="175"/>
  <c r="M213" i="175"/>
  <c r="L213" i="175"/>
  <c r="H211" i="175"/>
  <c r="H202" i="175"/>
  <c r="H166" i="175"/>
  <c r="H124" i="175"/>
  <c r="H116" i="175"/>
  <c r="H107" i="175"/>
  <c r="H98" i="175"/>
  <c r="H84" i="175"/>
  <c r="H66" i="175"/>
  <c r="F237" i="43"/>
  <c r="I237" i="43" s="1"/>
  <c r="F237" i="174"/>
  <c r="I237" i="174" s="1"/>
  <c r="H233" i="174"/>
  <c r="M213" i="174"/>
  <c r="L213" i="174"/>
  <c r="H211" i="174"/>
  <c r="H202" i="174"/>
  <c r="H166" i="174"/>
  <c r="H124" i="174"/>
  <c r="H116" i="174"/>
  <c r="H107" i="174"/>
  <c r="H98" i="174"/>
  <c r="H84" i="174"/>
  <c r="H66" i="174"/>
  <c r="F238" i="63"/>
  <c r="I238" i="63" s="1"/>
  <c r="F238" i="66"/>
  <c r="I238" i="66" s="1"/>
  <c r="H66" i="19"/>
  <c r="H84" i="19"/>
  <c r="H98" i="19"/>
  <c r="H107" i="19"/>
  <c r="H116" i="19"/>
  <c r="H124" i="19"/>
  <c r="H166" i="19"/>
  <c r="H202" i="19"/>
  <c r="H211" i="19"/>
  <c r="F236" i="19"/>
  <c r="F238" i="145"/>
  <c r="I238" i="145" s="1"/>
  <c r="F237" i="145"/>
  <c r="I237" i="145" s="1"/>
  <c r="F237" i="54"/>
  <c r="I237" i="54" s="1"/>
  <c r="C238" i="97"/>
  <c r="C228" i="97"/>
  <c r="H107" i="87"/>
  <c r="H66" i="87"/>
  <c r="H98" i="87"/>
  <c r="H116" i="87"/>
  <c r="H124" i="87"/>
  <c r="H166" i="135"/>
  <c r="H211" i="135"/>
  <c r="H233" i="31"/>
  <c r="H166" i="21"/>
  <c r="H202" i="102"/>
  <c r="H166" i="102"/>
  <c r="H124" i="102"/>
  <c r="H116" i="102"/>
  <c r="H107" i="102"/>
  <c r="H98" i="102"/>
  <c r="H84" i="102"/>
  <c r="H66" i="102"/>
  <c r="H211" i="83"/>
  <c r="H202" i="83"/>
  <c r="H166" i="83"/>
  <c r="H124" i="83"/>
  <c r="H116" i="83"/>
  <c r="H107" i="83"/>
  <c r="H98" i="83"/>
  <c r="H84" i="83"/>
  <c r="H66" i="83"/>
  <c r="H202" i="66"/>
  <c r="H166" i="66"/>
  <c r="H124" i="66"/>
  <c r="H116" i="66"/>
  <c r="H107" i="66"/>
  <c r="H98" i="66"/>
  <c r="H84" i="66"/>
  <c r="H66" i="66"/>
  <c r="H211" i="84"/>
  <c r="H202" i="84"/>
  <c r="H124" i="84"/>
  <c r="H116" i="84"/>
  <c r="H107" i="84"/>
  <c r="H98" i="84"/>
  <c r="H84" i="84"/>
  <c r="H66" i="84"/>
  <c r="H66" i="103"/>
  <c r="H233" i="43"/>
  <c r="H166" i="103"/>
  <c r="H166" i="118"/>
  <c r="H166" i="60"/>
  <c r="H166" i="133"/>
  <c r="H166" i="54"/>
  <c r="H166" i="155"/>
  <c r="H166" i="156"/>
  <c r="H166" i="157"/>
  <c r="H166" i="158"/>
  <c r="H166" i="94"/>
  <c r="H166" i="145"/>
  <c r="H166" i="164"/>
  <c r="H166" i="15"/>
  <c r="H166" i="150"/>
  <c r="H166" i="68"/>
  <c r="H166" i="63"/>
  <c r="H166" i="62"/>
  <c r="H166" i="58"/>
  <c r="H166" i="136"/>
  <c r="H166" i="53"/>
  <c r="H166" i="98"/>
  <c r="H166" i="49"/>
  <c r="H166" i="47"/>
  <c r="H166" i="46"/>
  <c r="H166" i="104"/>
  <c r="H166" i="57"/>
  <c r="H166" i="42"/>
  <c r="H166" i="167"/>
  <c r="H166" i="39"/>
  <c r="H166" i="38"/>
  <c r="H166" i="152"/>
  <c r="H166" i="120"/>
  <c r="H166" i="37"/>
  <c r="H166" i="90"/>
  <c r="H166" i="24"/>
  <c r="H166" i="141"/>
  <c r="H166" i="33"/>
  <c r="H166" i="32"/>
  <c r="H166" i="79"/>
  <c r="H166" i="31"/>
  <c r="H166" i="64"/>
  <c r="H166" i="72"/>
  <c r="H166" i="28"/>
  <c r="H166" i="65"/>
  <c r="H166" i="119"/>
  <c r="H166" i="25"/>
  <c r="H166" i="20"/>
  <c r="H166" i="159"/>
  <c r="H166" i="16"/>
  <c r="H166" i="27"/>
  <c r="H166" i="111"/>
  <c r="H166" i="165"/>
  <c r="H166" i="55"/>
  <c r="H166" i="14"/>
  <c r="H166" i="85"/>
  <c r="H166" i="86"/>
  <c r="H166" i="89"/>
  <c r="H166" i="142"/>
  <c r="H166" i="92"/>
  <c r="H166" i="113"/>
  <c r="H166" i="1"/>
  <c r="H166" i="50"/>
  <c r="H166" i="95"/>
  <c r="H166" i="43"/>
  <c r="H211" i="103"/>
  <c r="H211" i="118"/>
  <c r="H211" i="60"/>
  <c r="H211" i="133"/>
  <c r="H211" i="54"/>
  <c r="H211" i="156"/>
  <c r="H211" i="157"/>
  <c r="H211" i="158"/>
  <c r="H211" i="94"/>
  <c r="H211" i="145"/>
  <c r="H211" i="164"/>
  <c r="H211" i="15"/>
  <c r="H211" i="150"/>
  <c r="H211" i="68"/>
  <c r="H211" i="63"/>
  <c r="H211" i="62"/>
  <c r="H211" i="58"/>
  <c r="H211" i="136"/>
  <c r="H211" i="53"/>
  <c r="H211" i="98"/>
  <c r="H211" i="49"/>
  <c r="H211" i="47"/>
  <c r="H211" i="46"/>
  <c r="H211" i="102"/>
  <c r="H211" i="104"/>
  <c r="H211" i="106"/>
  <c r="H211" i="57"/>
  <c r="H211" i="42"/>
  <c r="H211" i="71"/>
  <c r="H211" i="167"/>
  <c r="H211" i="38"/>
  <c r="H211" i="152"/>
  <c r="H211" i="120"/>
  <c r="H211" i="37"/>
  <c r="H211" i="90"/>
  <c r="H211" i="24"/>
  <c r="H211" i="141"/>
  <c r="H211" i="33"/>
  <c r="H211" i="32"/>
  <c r="H211" i="79"/>
  <c r="H211" i="31"/>
  <c r="H211" i="64"/>
  <c r="H211" i="72"/>
  <c r="H211" i="28"/>
  <c r="H211" i="65"/>
  <c r="H211" i="119"/>
  <c r="H211" i="25"/>
  <c r="H211" i="20"/>
  <c r="H211" i="159"/>
  <c r="H211" i="16"/>
  <c r="H211" i="27"/>
  <c r="H211" i="111"/>
  <c r="H211" i="165"/>
  <c r="H211" i="55"/>
  <c r="H211" i="21"/>
  <c r="H211" i="14"/>
  <c r="H211" i="85"/>
  <c r="H211" i="87"/>
  <c r="H211" i="86"/>
  <c r="H211" i="89"/>
  <c r="H211" i="142"/>
  <c r="H211" i="92"/>
  <c r="H211" i="113"/>
  <c r="H211" i="1"/>
  <c r="H211" i="50"/>
  <c r="H211" i="95"/>
  <c r="H211" i="43"/>
  <c r="H202" i="103"/>
  <c r="H202" i="118"/>
  <c r="H202" i="60"/>
  <c r="H202" i="133"/>
  <c r="H202" i="54"/>
  <c r="H202" i="155"/>
  <c r="H202" i="156"/>
  <c r="H202" i="157"/>
  <c r="H202" i="158"/>
  <c r="H202" i="94"/>
  <c r="H202" i="145"/>
  <c r="H202" i="164"/>
  <c r="H202" i="15"/>
  <c r="H202" i="150"/>
  <c r="H202" i="68"/>
  <c r="H202" i="63"/>
  <c r="H202" i="62"/>
  <c r="H202" i="58"/>
  <c r="H202" i="136"/>
  <c r="H202" i="53"/>
  <c r="H202" i="98"/>
  <c r="H202" i="49"/>
  <c r="H202" i="47"/>
  <c r="H202" i="46"/>
  <c r="H202" i="104"/>
  <c r="H202" i="106"/>
  <c r="H202" i="57"/>
  <c r="H202" i="42"/>
  <c r="H202" i="71"/>
  <c r="H202" i="167"/>
  <c r="H202" i="39"/>
  <c r="H202" i="135"/>
  <c r="H202" i="38"/>
  <c r="H202" i="152"/>
  <c r="H202" i="120"/>
  <c r="H202" i="37"/>
  <c r="H202" i="90"/>
  <c r="H202" i="24"/>
  <c r="H202" i="141"/>
  <c r="H202" i="33"/>
  <c r="H202" i="32"/>
  <c r="H202" i="79"/>
  <c r="H202" i="31"/>
  <c r="H202" i="64"/>
  <c r="H202" i="72"/>
  <c r="H202" i="28"/>
  <c r="H202" i="65"/>
  <c r="H202" i="119"/>
  <c r="H202" i="25"/>
  <c r="H202" i="20"/>
  <c r="H202" i="159"/>
  <c r="H202" i="16"/>
  <c r="H202" i="27"/>
  <c r="H202" i="111"/>
  <c r="H202" i="165"/>
  <c r="H202" i="55"/>
  <c r="H202" i="21"/>
  <c r="H202" i="14"/>
  <c r="H202" i="85"/>
  <c r="H202" i="87"/>
  <c r="H202" i="86"/>
  <c r="H202" i="89"/>
  <c r="H202" i="142"/>
  <c r="H202" i="92"/>
  <c r="H202" i="113"/>
  <c r="H202" i="1"/>
  <c r="H202" i="50"/>
  <c r="H202" i="95"/>
  <c r="H202" i="43"/>
  <c r="H124" i="103"/>
  <c r="H124" i="118"/>
  <c r="H124" i="60"/>
  <c r="H124" i="133"/>
  <c r="H124" i="54"/>
  <c r="H124" i="155"/>
  <c r="H124" i="156"/>
  <c r="H124" i="157"/>
  <c r="H124" i="158"/>
  <c r="H124" i="94"/>
  <c r="H124" i="145"/>
  <c r="H124" i="164"/>
  <c r="H124" i="15"/>
  <c r="H124" i="150"/>
  <c r="H124" i="68"/>
  <c r="H124" i="63"/>
  <c r="H124" i="62"/>
  <c r="H124" i="58"/>
  <c r="H124" i="136"/>
  <c r="H124" i="53"/>
  <c r="H124" i="98"/>
  <c r="H124" i="49"/>
  <c r="H124" i="47"/>
  <c r="H124" i="46"/>
  <c r="H124" i="104"/>
  <c r="H124" i="106"/>
  <c r="H124" i="57"/>
  <c r="H124" i="42"/>
  <c r="H124" i="71"/>
  <c r="H124" i="167"/>
  <c r="H124" i="39"/>
  <c r="H124" i="135"/>
  <c r="H124" i="38"/>
  <c r="H124" i="152"/>
  <c r="H124" i="120"/>
  <c r="H124" i="37"/>
  <c r="H124" i="90"/>
  <c r="H124" i="24"/>
  <c r="H124" i="141"/>
  <c r="H124" i="33"/>
  <c r="H124" i="32"/>
  <c r="H124" i="79"/>
  <c r="H124" i="31"/>
  <c r="H124" i="64"/>
  <c r="H124" i="72"/>
  <c r="H124" i="28"/>
  <c r="H124" i="65"/>
  <c r="H124" i="119"/>
  <c r="H124" i="25"/>
  <c r="H124" i="20"/>
  <c r="H124" i="159"/>
  <c r="H124" i="16"/>
  <c r="H124" i="27"/>
  <c r="H124" i="111"/>
  <c r="H124" i="165"/>
  <c r="H124" i="55"/>
  <c r="H124" i="21"/>
  <c r="H124" i="14"/>
  <c r="H124" i="85"/>
  <c r="H124" i="86"/>
  <c r="H124" i="89"/>
  <c r="H124" i="142"/>
  <c r="H124" i="92"/>
  <c r="H124" i="113"/>
  <c r="H124" i="1"/>
  <c r="H124" i="50"/>
  <c r="H124" i="95"/>
  <c r="H124" i="43"/>
  <c r="H116" i="103"/>
  <c r="H116" i="118"/>
  <c r="H116" i="60"/>
  <c r="H116" i="133"/>
  <c r="H116" i="54"/>
  <c r="H116" i="155"/>
  <c r="H116" i="156"/>
  <c r="H116" i="157"/>
  <c r="H116" i="158"/>
  <c r="H116" i="94"/>
  <c r="H116" i="145"/>
  <c r="H116" i="164"/>
  <c r="H116" i="15"/>
  <c r="H116" i="150"/>
  <c r="H116" i="68"/>
  <c r="H116" i="63"/>
  <c r="H116" i="62"/>
  <c r="H116" i="58"/>
  <c r="H116" i="136"/>
  <c r="H116" i="53"/>
  <c r="H116" i="98"/>
  <c r="H116" i="49"/>
  <c r="H116" i="47"/>
  <c r="H116" i="46"/>
  <c r="H116" i="104"/>
  <c r="H116" i="106"/>
  <c r="H116" i="57"/>
  <c r="H116" i="42"/>
  <c r="H116" i="71"/>
  <c r="H116" i="167"/>
  <c r="H116" i="39"/>
  <c r="H116" i="135"/>
  <c r="H116" i="38"/>
  <c r="H116" i="152"/>
  <c r="H116" i="120"/>
  <c r="H116" i="37"/>
  <c r="H116" i="90"/>
  <c r="H116" i="24"/>
  <c r="H116" i="141"/>
  <c r="H116" i="33"/>
  <c r="H116" i="32"/>
  <c r="H116" i="79"/>
  <c r="H116" i="31"/>
  <c r="H116" i="64"/>
  <c r="H116" i="72"/>
  <c r="H116" i="28"/>
  <c r="H116" i="65"/>
  <c r="H116" i="119"/>
  <c r="H116" i="25"/>
  <c r="H116" i="20"/>
  <c r="H116" i="159"/>
  <c r="H116" i="16"/>
  <c r="H116" i="27"/>
  <c r="H116" i="111"/>
  <c r="H116" i="165"/>
  <c r="H116" i="55"/>
  <c r="H116" i="21"/>
  <c r="H116" i="14"/>
  <c r="H116" i="85"/>
  <c r="H116" i="86"/>
  <c r="H116" i="89"/>
  <c r="H116" i="142"/>
  <c r="H116" i="92"/>
  <c r="H116" i="113"/>
  <c r="H116" i="1"/>
  <c r="H116" i="50"/>
  <c r="H116" i="95"/>
  <c r="H116" i="43"/>
  <c r="H107" i="103"/>
  <c r="H107" i="118"/>
  <c r="H107" i="60"/>
  <c r="H107" i="133"/>
  <c r="H107" i="54"/>
  <c r="H107" i="155"/>
  <c r="H107" i="156"/>
  <c r="H107" i="157"/>
  <c r="H107" i="158"/>
  <c r="H107" i="94"/>
  <c r="H107" i="145"/>
  <c r="H107" i="164"/>
  <c r="H107" i="15"/>
  <c r="H107" i="150"/>
  <c r="H107" i="68"/>
  <c r="H107" i="63"/>
  <c r="H107" i="62"/>
  <c r="H107" i="58"/>
  <c r="H107" i="136"/>
  <c r="H107" i="53"/>
  <c r="H107" i="98"/>
  <c r="H107" i="49"/>
  <c r="H107" i="47"/>
  <c r="H107" i="46"/>
  <c r="H107" i="104"/>
  <c r="H107" i="106"/>
  <c r="H107" i="57"/>
  <c r="H107" i="42"/>
  <c r="H107" i="71"/>
  <c r="H107" i="167"/>
  <c r="H107" i="39"/>
  <c r="H107" i="135"/>
  <c r="H107" i="38"/>
  <c r="H107" i="152"/>
  <c r="H107" i="120"/>
  <c r="H107" i="37"/>
  <c r="H107" i="90"/>
  <c r="H107" i="24"/>
  <c r="H107" i="141"/>
  <c r="H107" i="33"/>
  <c r="H107" i="32"/>
  <c r="H107" i="79"/>
  <c r="H107" i="31"/>
  <c r="H107" i="64"/>
  <c r="H107" i="72"/>
  <c r="H107" i="28"/>
  <c r="H107" i="65"/>
  <c r="H107" i="119"/>
  <c r="H107" i="25"/>
  <c r="H107" i="20"/>
  <c r="H107" i="159"/>
  <c r="H107" i="16"/>
  <c r="H107" i="27"/>
  <c r="H107" i="111"/>
  <c r="H107" i="165"/>
  <c r="H107" i="55"/>
  <c r="H107" i="21"/>
  <c r="H107" i="14"/>
  <c r="H107" i="85"/>
  <c r="H107" i="86"/>
  <c r="H107" i="89"/>
  <c r="H107" i="142"/>
  <c r="H107" i="92"/>
  <c r="H107" i="113"/>
  <c r="H107" i="1"/>
  <c r="H107" i="50"/>
  <c r="H107" i="95"/>
  <c r="H107" i="43"/>
  <c r="H98" i="103"/>
  <c r="H98" i="118"/>
  <c r="H98" i="60"/>
  <c r="H98" i="133"/>
  <c r="H98" i="54"/>
  <c r="H98" i="155"/>
  <c r="H98" i="156"/>
  <c r="H98" i="157"/>
  <c r="H98" i="158"/>
  <c r="H98" i="94"/>
  <c r="H98" i="145"/>
  <c r="H98" i="164"/>
  <c r="H98" i="15"/>
  <c r="H98" i="150"/>
  <c r="H98" i="68"/>
  <c r="H98" i="63"/>
  <c r="H98" i="62"/>
  <c r="H98" i="58"/>
  <c r="H98" i="136"/>
  <c r="H98" i="53"/>
  <c r="H98" i="98"/>
  <c r="H98" i="49"/>
  <c r="H98" i="47"/>
  <c r="H98" i="46"/>
  <c r="H98" i="104"/>
  <c r="H98" i="106"/>
  <c r="H98" i="57"/>
  <c r="H98" i="42"/>
  <c r="H98" i="71"/>
  <c r="H98" i="167"/>
  <c r="H98" i="39"/>
  <c r="H98" i="135"/>
  <c r="H98" i="38"/>
  <c r="H98" i="152"/>
  <c r="H98" i="120"/>
  <c r="H98" i="37"/>
  <c r="H98" i="90"/>
  <c r="H98" i="24"/>
  <c r="H98" i="141"/>
  <c r="H98" i="33"/>
  <c r="H98" i="32"/>
  <c r="H98" i="79"/>
  <c r="H98" i="31"/>
  <c r="H98" i="64"/>
  <c r="H98" i="72"/>
  <c r="H98" i="28"/>
  <c r="H98" i="65"/>
  <c r="H98" i="119"/>
  <c r="H98" i="25"/>
  <c r="H98" i="20"/>
  <c r="H98" i="159"/>
  <c r="H98" i="16"/>
  <c r="H98" i="27"/>
  <c r="H98" i="111"/>
  <c r="H98" i="165"/>
  <c r="H98" i="55"/>
  <c r="H98" i="21"/>
  <c r="H98" i="14"/>
  <c r="H98" i="85"/>
  <c r="H98" i="86"/>
  <c r="H98" i="89"/>
  <c r="H98" i="142"/>
  <c r="H98" i="92"/>
  <c r="H98" i="113"/>
  <c r="H98" i="1"/>
  <c r="H98" i="50"/>
  <c r="H98" i="95"/>
  <c r="H98" i="43"/>
  <c r="H84" i="103"/>
  <c r="H84" i="118"/>
  <c r="H84" i="60"/>
  <c r="H84" i="133"/>
  <c r="H84" i="54"/>
  <c r="H84" i="155"/>
  <c r="H84" i="156"/>
  <c r="H84" i="157"/>
  <c r="H84" i="158"/>
  <c r="H84" i="94"/>
  <c r="H84" i="145"/>
  <c r="H84" i="164"/>
  <c r="H84" i="15"/>
  <c r="H84" i="150"/>
  <c r="H84" i="68"/>
  <c r="H84" i="63"/>
  <c r="H84" i="62"/>
  <c r="H84" i="58"/>
  <c r="H84" i="136"/>
  <c r="H84" i="53"/>
  <c r="H84" i="98"/>
  <c r="H84" i="49"/>
  <c r="H84" i="47"/>
  <c r="H84" i="46"/>
  <c r="H84" i="104"/>
  <c r="H84" i="106"/>
  <c r="H84" i="57"/>
  <c r="H84" i="42"/>
  <c r="H84" i="71"/>
  <c r="H84" i="167"/>
  <c r="H84" i="39"/>
  <c r="H84" i="135"/>
  <c r="H84" i="38"/>
  <c r="H84" i="152"/>
  <c r="H84" i="120"/>
  <c r="H84" i="37"/>
  <c r="H84" i="90"/>
  <c r="H84" i="24"/>
  <c r="H84" i="141"/>
  <c r="H84" i="33"/>
  <c r="H84" i="32"/>
  <c r="H84" i="79"/>
  <c r="H84" i="31"/>
  <c r="H84" i="64"/>
  <c r="H84" i="72"/>
  <c r="H84" i="28"/>
  <c r="H84" i="65"/>
  <c r="H84" i="119"/>
  <c r="H84" i="25"/>
  <c r="H84" i="20"/>
  <c r="H84" i="159"/>
  <c r="H84" i="16"/>
  <c r="H84" i="27"/>
  <c r="H84" i="111"/>
  <c r="H84" i="165"/>
  <c r="H84" i="55"/>
  <c r="H84" i="21"/>
  <c r="H84" i="14"/>
  <c r="H84" i="85"/>
  <c r="H84" i="87"/>
  <c r="H84" i="86"/>
  <c r="H84" i="89"/>
  <c r="H84" i="142"/>
  <c r="H84" i="92"/>
  <c r="H84" i="113"/>
  <c r="H84" i="1"/>
  <c r="H84" i="50"/>
  <c r="H84" i="95"/>
  <c r="H84" i="43"/>
  <c r="H66" i="118"/>
  <c r="H66" i="60"/>
  <c r="H66" i="133"/>
  <c r="H66" i="54"/>
  <c r="H66" i="155"/>
  <c r="H66" i="156"/>
  <c r="H66" i="157"/>
  <c r="H66" i="158"/>
  <c r="H66" i="94"/>
  <c r="H66" i="145"/>
  <c r="H66" i="164"/>
  <c r="H66" i="15"/>
  <c r="H66" i="150"/>
  <c r="H66" i="68"/>
  <c r="H66" i="63"/>
  <c r="H66" i="62"/>
  <c r="H66" i="58"/>
  <c r="H66" i="136"/>
  <c r="H66" i="53"/>
  <c r="H66" i="98"/>
  <c r="H66" i="49"/>
  <c r="H66" i="47"/>
  <c r="H66" i="46"/>
  <c r="H66" i="104"/>
  <c r="H66" i="106"/>
  <c r="H66" i="57"/>
  <c r="H66" i="42"/>
  <c r="H66" i="71"/>
  <c r="H66" i="167"/>
  <c r="H66" i="39"/>
  <c r="H66" i="135"/>
  <c r="H66" i="38"/>
  <c r="H66" i="152"/>
  <c r="H66" i="120"/>
  <c r="H66" i="37"/>
  <c r="H66" i="90"/>
  <c r="H66" i="24"/>
  <c r="H66" i="141"/>
  <c r="H66" i="33"/>
  <c r="H66" i="32"/>
  <c r="H66" i="79"/>
  <c r="H66" i="31"/>
  <c r="H66" i="64"/>
  <c r="H66" i="72"/>
  <c r="H66" i="28"/>
  <c r="H66" i="65"/>
  <c r="H66" i="119"/>
  <c r="H66" i="25"/>
  <c r="H66" i="20"/>
  <c r="H66" i="159"/>
  <c r="H66" i="16"/>
  <c r="H66" i="27"/>
  <c r="H66" i="165"/>
  <c r="H66" i="55"/>
  <c r="H66" i="21"/>
  <c r="H66" i="14"/>
  <c r="H66" i="85"/>
  <c r="H66" i="86"/>
  <c r="H66" i="89"/>
  <c r="H66" i="142"/>
  <c r="H66" i="92"/>
  <c r="H66" i="113"/>
  <c r="H66" i="1"/>
  <c r="H66" i="50"/>
  <c r="H66" i="95"/>
  <c r="H66" i="43"/>
  <c r="F238" i="167"/>
  <c r="F237" i="167"/>
  <c r="H233" i="167"/>
  <c r="M213" i="167"/>
  <c r="L213" i="167"/>
  <c r="F238" i="165"/>
  <c r="H233" i="165"/>
  <c r="M213" i="165"/>
  <c r="M23" i="165" s="1"/>
  <c r="L213" i="165"/>
  <c r="M22" i="165" s="1"/>
  <c r="F238" i="164"/>
  <c r="I238" i="164" s="1"/>
  <c r="H233" i="164"/>
  <c r="M213" i="164"/>
  <c r="L213" i="164"/>
  <c r="F238" i="159"/>
  <c r="H233" i="159"/>
  <c r="M213" i="159"/>
  <c r="L213" i="159"/>
  <c r="H233" i="158"/>
  <c r="M213" i="158"/>
  <c r="M23" i="158" s="1"/>
  <c r="L213" i="158"/>
  <c r="M22" i="158" s="1"/>
  <c r="F238" i="157"/>
  <c r="H233" i="157"/>
  <c r="M213" i="157"/>
  <c r="L213" i="157"/>
  <c r="H233" i="156"/>
  <c r="M213" i="156"/>
  <c r="M23" i="156" s="1"/>
  <c r="L213" i="156"/>
  <c r="H233" i="155"/>
  <c r="M213" i="155"/>
  <c r="M23" i="155" s="1"/>
  <c r="L213" i="155"/>
  <c r="F237" i="159"/>
  <c r="F236" i="159"/>
  <c r="I236" i="159" s="1"/>
  <c r="L213" i="152"/>
  <c r="M213" i="152"/>
  <c r="F238" i="152"/>
  <c r="H233" i="152"/>
  <c r="F238" i="150"/>
  <c r="I238" i="150" s="1"/>
  <c r="H233" i="150"/>
  <c r="M213" i="150"/>
  <c r="M23" i="150" s="1"/>
  <c r="M213" i="118"/>
  <c r="M213" i="60"/>
  <c r="M213" i="133"/>
  <c r="M213" i="54"/>
  <c r="M23" i="54" s="1"/>
  <c r="M213" i="145"/>
  <c r="M213" i="94"/>
  <c r="M23" i="94" s="1"/>
  <c r="M213" i="68"/>
  <c r="M213" i="63"/>
  <c r="M23" i="63" s="1"/>
  <c r="M213" i="62"/>
  <c r="M23" i="62" s="1"/>
  <c r="M213" i="58"/>
  <c r="M213" i="136"/>
  <c r="M23" i="136" s="1"/>
  <c r="M213" i="53"/>
  <c r="M23" i="53" s="1"/>
  <c r="M213" i="98"/>
  <c r="M23" i="98" s="1"/>
  <c r="M213" i="49"/>
  <c r="M23" i="49" s="1"/>
  <c r="M213" i="83"/>
  <c r="M213" i="47"/>
  <c r="M23" i="47" s="1"/>
  <c r="M213" i="46"/>
  <c r="M23" i="46" s="1"/>
  <c r="M213" i="102"/>
  <c r="M213" i="104"/>
  <c r="M213" i="106"/>
  <c r="M23" i="106" s="1"/>
  <c r="M213" i="43"/>
  <c r="M213" i="42"/>
  <c r="M213" i="84"/>
  <c r="M23" i="84" s="1"/>
  <c r="M213" i="39"/>
  <c r="M213" i="135"/>
  <c r="M213" i="38"/>
  <c r="M213" i="120"/>
  <c r="M213" i="37"/>
  <c r="M23" i="37" s="1"/>
  <c r="M213" i="90"/>
  <c r="M213" i="24"/>
  <c r="M23" i="24" s="1"/>
  <c r="M213" i="141"/>
  <c r="M213" i="32"/>
  <c r="M213" i="79"/>
  <c r="M213" i="31"/>
  <c r="M23" i="31" s="1"/>
  <c r="M213" i="64"/>
  <c r="M213" i="28"/>
  <c r="M23" i="28" s="1"/>
  <c r="M213" i="27"/>
  <c r="M23" i="27" s="1"/>
  <c r="M213" i="119"/>
  <c r="M213" i="25"/>
  <c r="M23" i="25" s="1"/>
  <c r="M213" i="20"/>
  <c r="M213" i="16"/>
  <c r="M213" i="111"/>
  <c r="M213" i="55"/>
  <c r="M213" i="21"/>
  <c r="M213" i="14"/>
  <c r="M23" i="14" s="1"/>
  <c r="M213" i="85"/>
  <c r="M213" i="87"/>
  <c r="M213" i="86"/>
  <c r="M213" i="89"/>
  <c r="M213" i="142"/>
  <c r="M213" i="92"/>
  <c r="M23" i="92" s="1"/>
  <c r="M213" i="1"/>
  <c r="M213" i="50"/>
  <c r="M23" i="50" s="1"/>
  <c r="M213" i="95"/>
  <c r="M213" i="103"/>
  <c r="M23" i="103" s="1"/>
  <c r="L213" i="118"/>
  <c r="L213" i="60"/>
  <c r="L213" i="133"/>
  <c r="L213" i="54"/>
  <c r="L213" i="145"/>
  <c r="L213" i="94"/>
  <c r="L213" i="68"/>
  <c r="M22" i="68" s="1"/>
  <c r="L213" i="63"/>
  <c r="L213" i="62"/>
  <c r="L213" i="58"/>
  <c r="L213" i="136"/>
  <c r="L213" i="53"/>
  <c r="L213" i="98"/>
  <c r="L213" i="49"/>
  <c r="M22" i="49" s="1"/>
  <c r="L213" i="83"/>
  <c r="L213" i="47"/>
  <c r="L213" i="46"/>
  <c r="M22" i="46" s="1"/>
  <c r="L213" i="102"/>
  <c r="L213" i="104"/>
  <c r="L213" i="106"/>
  <c r="L213" i="43"/>
  <c r="M22" i="43" s="1"/>
  <c r="L213" i="42"/>
  <c r="L213" i="84"/>
  <c r="L213" i="39"/>
  <c r="L213" i="135"/>
  <c r="L213" i="38"/>
  <c r="L213" i="120"/>
  <c r="M22" i="120" s="1"/>
  <c r="L213" i="37"/>
  <c r="L213" i="90"/>
  <c r="L213" i="24"/>
  <c r="L213" i="141"/>
  <c r="L213" i="33"/>
  <c r="L213" i="32"/>
  <c r="M22" i="32" s="1"/>
  <c r="L213" i="79"/>
  <c r="L213" i="31"/>
  <c r="M22" i="31" s="1"/>
  <c r="L213" i="64"/>
  <c r="L213" i="28"/>
  <c r="L213" i="27"/>
  <c r="M22" i="27" s="1"/>
  <c r="L213" i="119"/>
  <c r="L213" i="25"/>
  <c r="L213" i="20"/>
  <c r="M22" i="20" s="1"/>
  <c r="L213" i="16"/>
  <c r="M22" i="16" s="1"/>
  <c r="L213" i="111"/>
  <c r="L213" i="55"/>
  <c r="M22" i="55" s="1"/>
  <c r="L213" i="21"/>
  <c r="L213" i="14"/>
  <c r="M22" i="14" s="1"/>
  <c r="L213" i="85"/>
  <c r="L213" i="87"/>
  <c r="L213" i="86"/>
  <c r="M22" i="86" s="1"/>
  <c r="L213" i="89"/>
  <c r="L213" i="142"/>
  <c r="M22" i="142" s="1"/>
  <c r="L213" i="92"/>
  <c r="L213" i="1"/>
  <c r="L213" i="50"/>
  <c r="M22" i="50" s="1"/>
  <c r="L213" i="95"/>
  <c r="M22" i="95" s="1"/>
  <c r="L213" i="103"/>
  <c r="H233" i="118"/>
  <c r="H233" i="103"/>
  <c r="F238" i="103"/>
  <c r="H233" i="83"/>
  <c r="H233" i="68"/>
  <c r="H233" i="145"/>
  <c r="F238" i="83"/>
  <c r="H233" i="95"/>
  <c r="H233" i="50"/>
  <c r="H233" i="1"/>
  <c r="H233" i="25"/>
  <c r="H233" i="28"/>
  <c r="H233" i="142"/>
  <c r="H233" i="141"/>
  <c r="H233" i="24"/>
  <c r="H233" i="62"/>
  <c r="H233" i="98"/>
  <c r="H233" i="53"/>
  <c r="H233" i="86"/>
  <c r="H233" i="94"/>
  <c r="H233" i="54"/>
  <c r="H233" i="60"/>
  <c r="H233" i="38"/>
  <c r="H233" i="49"/>
  <c r="H233" i="84"/>
  <c r="H233" i="104"/>
  <c r="H233" i="106"/>
  <c r="H233" i="42"/>
  <c r="H233" i="87"/>
  <c r="F237" i="20"/>
  <c r="I237" i="20" s="1"/>
  <c r="H233" i="20"/>
  <c r="H233" i="90"/>
  <c r="H233" i="113"/>
  <c r="H233" i="92"/>
  <c r="H233" i="89"/>
  <c r="F237" i="57"/>
  <c r="F236" i="57"/>
  <c r="I236" i="57" s="1"/>
  <c r="H233" i="57"/>
  <c r="H233" i="14"/>
  <c r="H233" i="55"/>
  <c r="F237" i="111"/>
  <c r="F236" i="111"/>
  <c r="I236" i="111" s="1"/>
  <c r="H233" i="111"/>
  <c r="H233" i="16"/>
  <c r="H233" i="79"/>
  <c r="H233" i="32"/>
  <c r="H233" i="33"/>
  <c r="H233" i="119"/>
  <c r="H233" i="39"/>
  <c r="H233" i="46"/>
  <c r="H233" i="47"/>
  <c r="F237" i="136"/>
  <c r="F236" i="136"/>
  <c r="H233" i="136"/>
  <c r="F237" i="27"/>
  <c r="H233" i="27"/>
  <c r="H233" i="64"/>
  <c r="F237" i="135"/>
  <c r="I237" i="135" s="1"/>
  <c r="H233" i="135"/>
  <c r="H233" i="63"/>
  <c r="H233" i="72"/>
  <c r="H233" i="120"/>
  <c r="F237" i="37"/>
  <c r="H233" i="37"/>
  <c r="F237" i="21"/>
  <c r="F236" i="21"/>
  <c r="I236" i="21" s="1"/>
  <c r="H233" i="21"/>
  <c r="F238" i="21"/>
  <c r="H233" i="65"/>
  <c r="H233" i="15"/>
  <c r="H233" i="133"/>
  <c r="H233" i="58"/>
  <c r="H233" i="66"/>
  <c r="H233" i="19"/>
  <c r="H233" i="85"/>
  <c r="F238" i="85"/>
  <c r="H233" i="71"/>
  <c r="H233" i="102"/>
  <c r="F238" i="57"/>
  <c r="F238" i="104"/>
  <c r="I238" i="104" s="1"/>
  <c r="F238" i="53"/>
  <c r="I238" i="53" s="1"/>
  <c r="F238" i="49"/>
  <c r="I238" i="49" s="1"/>
  <c r="F238" i="58"/>
  <c r="F238" i="38"/>
  <c r="I238" i="38" s="1"/>
  <c r="F238" i="46"/>
  <c r="I238" i="46" s="1"/>
  <c r="F238" i="113"/>
  <c r="F238" i="64"/>
  <c r="I238" i="64" s="1"/>
  <c r="F238" i="92"/>
  <c r="F238" i="62"/>
  <c r="F238" i="42"/>
  <c r="F238" i="135"/>
  <c r="I238" i="135" s="1"/>
  <c r="F238" i="27"/>
  <c r="F238" i="136"/>
  <c r="F238" i="33"/>
  <c r="F238" i="111"/>
  <c r="F238" i="50"/>
  <c r="F238" i="47"/>
  <c r="F238" i="106"/>
  <c r="F238" i="31"/>
  <c r="F238" i="94"/>
  <c r="I238" i="94" s="1"/>
  <c r="F238" i="25"/>
  <c r="F238" i="1"/>
  <c r="F238" i="95"/>
  <c r="F238" i="54"/>
  <c r="F238" i="71"/>
  <c r="F238" i="120"/>
  <c r="F238" i="89"/>
  <c r="I238" i="89" s="1"/>
  <c r="F238" i="87"/>
  <c r="F238" i="60"/>
  <c r="F238" i="133"/>
  <c r="F236" i="135"/>
  <c r="F238" i="43"/>
  <c r="I238" i="43" s="1"/>
  <c r="F238" i="86"/>
  <c r="F238" i="90"/>
  <c r="F236" i="72"/>
  <c r="F236" i="33"/>
  <c r="F237" i="33"/>
  <c r="Q171" i="97"/>
  <c r="F237" i="19"/>
  <c r="F236" i="38"/>
  <c r="I236" i="38" s="1"/>
  <c r="F236" i="79"/>
  <c r="I236" i="79" s="1"/>
  <c r="F236" i="167"/>
  <c r="I236" i="167" s="1"/>
  <c r="F237" i="113"/>
  <c r="I237" i="113" s="1"/>
  <c r="F236" i="177"/>
  <c r="I236" i="177" s="1"/>
  <c r="F237" i="177"/>
  <c r="I237" i="177" s="1"/>
  <c r="I238" i="83" l="1"/>
  <c r="I238" i="14"/>
  <c r="I236" i="72"/>
  <c r="I237" i="19"/>
  <c r="I236" i="19"/>
  <c r="I237" i="37"/>
  <c r="I238" i="25"/>
  <c r="I238" i="54"/>
  <c r="I238" i="95"/>
  <c r="I238" i="50"/>
  <c r="I238" i="1"/>
  <c r="I238" i="60"/>
  <c r="I238" i="165"/>
  <c r="I236" i="135"/>
  <c r="M19" i="135" s="1"/>
  <c r="I237" i="27"/>
  <c r="I238" i="27"/>
  <c r="I237" i="57"/>
  <c r="I238" i="57"/>
  <c r="I238" i="113"/>
  <c r="I237" i="167"/>
  <c r="I238" i="167"/>
  <c r="I237" i="33"/>
  <c r="I236" i="33"/>
  <c r="M19" i="33" s="1"/>
  <c r="I238" i="33"/>
  <c r="I238" i="177"/>
  <c r="I237" i="111"/>
  <c r="I238" i="111"/>
  <c r="I238" i="62"/>
  <c r="I236" i="136"/>
  <c r="I237" i="136"/>
  <c r="I238" i="136"/>
  <c r="I238" i="106"/>
  <c r="I238" i="47"/>
  <c r="I238" i="152"/>
  <c r="I238" i="133"/>
  <c r="I238" i="87"/>
  <c r="I237" i="21"/>
  <c r="I238" i="21"/>
  <c r="I238" i="92"/>
  <c r="I238" i="71"/>
  <c r="I238" i="58"/>
  <c r="I237" i="159"/>
  <c r="I238" i="159"/>
  <c r="I238" i="31"/>
  <c r="I238" i="90"/>
  <c r="I238" i="86"/>
  <c r="I238" i="42"/>
  <c r="I238" i="157"/>
  <c r="I238" i="120"/>
  <c r="I238" i="103"/>
  <c r="I238" i="85"/>
  <c r="M22" i="177"/>
  <c r="F240" i="57"/>
  <c r="F107" i="136"/>
  <c r="F98" i="136"/>
  <c r="F116" i="57"/>
  <c r="O16" i="159"/>
  <c r="F116" i="21"/>
  <c r="M22" i="58"/>
  <c r="M22" i="83"/>
  <c r="M23" i="133"/>
  <c r="M23" i="79"/>
  <c r="M23" i="142"/>
  <c r="M22" i="63"/>
  <c r="M23" i="87"/>
  <c r="M23" i="120"/>
  <c r="M22" i="98"/>
  <c r="M23" i="119"/>
  <c r="M22" i="136"/>
  <c r="M22" i="156"/>
  <c r="M22" i="141"/>
  <c r="M22" i="39"/>
  <c r="M23" i="159"/>
  <c r="M22" i="62"/>
  <c r="M23" i="89"/>
  <c r="M23" i="43"/>
  <c r="M22" i="106"/>
  <c r="M22" i="104"/>
  <c r="M22" i="85"/>
  <c r="M22" i="92"/>
  <c r="M22" i="118"/>
  <c r="M23" i="58"/>
  <c r="M23" i="111"/>
  <c r="M23" i="68"/>
  <c r="M22" i="157"/>
  <c r="M23" i="42"/>
  <c r="M23" i="141"/>
  <c r="M22" i="119"/>
  <c r="M22" i="21"/>
  <c r="M22" i="133"/>
  <c r="M22" i="87"/>
  <c r="M23" i="60"/>
  <c r="M23" i="86"/>
  <c r="M23" i="21"/>
  <c r="M22" i="111"/>
  <c r="M23" i="90"/>
  <c r="M23" i="1"/>
  <c r="M22" i="89"/>
  <c r="M22" i="37"/>
  <c r="M23" i="102"/>
  <c r="M22" i="84"/>
  <c r="M22" i="64"/>
  <c r="M22" i="79"/>
  <c r="M22" i="54"/>
  <c r="M22" i="1"/>
  <c r="M22" i="102"/>
  <c r="M23" i="104"/>
  <c r="M22" i="24"/>
  <c r="M22" i="90"/>
  <c r="M23" i="85"/>
  <c r="M23" i="95"/>
  <c r="M22" i="94"/>
  <c r="M23" i="55"/>
  <c r="M23" i="64"/>
  <c r="M22" i="53"/>
  <c r="M23" i="118"/>
  <c r="M23" i="83"/>
  <c r="M22" i="103"/>
  <c r="M22" i="47"/>
  <c r="M23" i="145"/>
  <c r="M23" i="167"/>
  <c r="M22" i="60"/>
  <c r="M22" i="28"/>
  <c r="M22" i="33"/>
  <c r="M23" i="32"/>
  <c r="M23" i="38"/>
  <c r="M23" i="135"/>
  <c r="M22" i="150"/>
  <c r="M23" i="175"/>
  <c r="M23" i="152"/>
  <c r="M22" i="164"/>
  <c r="M22" i="174"/>
  <c r="M22" i="175"/>
  <c r="M22" i="38"/>
  <c r="H235" i="97"/>
  <c r="H213" i="49"/>
  <c r="H213" i="43"/>
  <c r="H204" i="97"/>
  <c r="H213" i="86"/>
  <c r="H213" i="1"/>
  <c r="H213" i="157"/>
  <c r="H126" i="97"/>
  <c r="H213" i="32"/>
  <c r="H213" i="15"/>
  <c r="H213" i="50"/>
  <c r="H213" i="90"/>
  <c r="H213" i="27"/>
  <c r="H213" i="54"/>
  <c r="H118" i="97"/>
  <c r="H213" i="135"/>
  <c r="H213" i="89"/>
  <c r="H213" i="119"/>
  <c r="H213" i="33"/>
  <c r="H213" i="46"/>
  <c r="H213" i="63"/>
  <c r="H220" i="63" s="1"/>
  <c r="H213" i="103"/>
  <c r="H109" i="97"/>
  <c r="H213" i="120"/>
  <c r="H100" i="97"/>
  <c r="H213" i="16"/>
  <c r="H220" i="16" s="1"/>
  <c r="H213" i="142"/>
  <c r="H213" i="60"/>
  <c r="H213" i="14"/>
  <c r="H213" i="152"/>
  <c r="H213" i="58"/>
  <c r="H213" i="94"/>
  <c r="H213" i="118"/>
  <c r="H213" i="24"/>
  <c r="H86" i="97"/>
  <c r="H213" i="98"/>
  <c r="H213" i="159"/>
  <c r="H213" i="31"/>
  <c r="H213" i="136"/>
  <c r="H213" i="145"/>
  <c r="H213" i="113"/>
  <c r="H213" i="165"/>
  <c r="H220" i="165" s="1"/>
  <c r="H213" i="65"/>
  <c r="H213" i="141"/>
  <c r="H213" i="47"/>
  <c r="H213" i="68"/>
  <c r="H213" i="156"/>
  <c r="H213" i="83"/>
  <c r="H28" i="97"/>
  <c r="O18" i="111"/>
  <c r="F240" i="111"/>
  <c r="O24" i="111"/>
  <c r="F240" i="136"/>
  <c r="F240" i="135"/>
  <c r="F242" i="135" s="1"/>
  <c r="F240" i="33"/>
  <c r="F233" i="159"/>
  <c r="F233" i="135"/>
  <c r="F211" i="33"/>
  <c r="F202" i="21"/>
  <c r="F202" i="136"/>
  <c r="F166" i="136"/>
  <c r="F166" i="21"/>
  <c r="F124" i="159"/>
  <c r="F124" i="33"/>
  <c r="F124" i="136"/>
  <c r="F124" i="57"/>
  <c r="F116" i="136"/>
  <c r="F116" i="33"/>
  <c r="F116" i="135"/>
  <c r="F107" i="21"/>
  <c r="F98" i="33"/>
  <c r="F98" i="57"/>
  <c r="F98" i="21"/>
  <c r="F84" i="33"/>
  <c r="F84" i="159"/>
  <c r="O24" i="57"/>
  <c r="O16" i="136"/>
  <c r="O18" i="136"/>
  <c r="C25" i="97"/>
  <c r="C53" i="97"/>
  <c r="C72" i="97"/>
  <c r="C91" i="97"/>
  <c r="C113" i="97"/>
  <c r="C137" i="97"/>
  <c r="C156" i="97"/>
  <c r="C184" i="97"/>
  <c r="C192" i="97"/>
  <c r="C207" i="97"/>
  <c r="C18" i="97"/>
  <c r="C22" i="97"/>
  <c r="C26" i="97"/>
  <c r="C34" i="97"/>
  <c r="C38" i="97"/>
  <c r="C42" i="97"/>
  <c r="C46" i="97"/>
  <c r="C50" i="97"/>
  <c r="C54" i="97"/>
  <c r="C58" i="97"/>
  <c r="C62" i="97"/>
  <c r="C66" i="97"/>
  <c r="C73" i="97"/>
  <c r="C77" i="97"/>
  <c r="C81" i="97"/>
  <c r="C85" i="97"/>
  <c r="C92" i="97"/>
  <c r="C96" i="97"/>
  <c r="C103" i="97"/>
  <c r="C107" i="97"/>
  <c r="C114" i="97"/>
  <c r="C121" i="97"/>
  <c r="C125" i="97"/>
  <c r="C133" i="97"/>
  <c r="C138" i="97"/>
  <c r="C143" i="97"/>
  <c r="C148" i="97"/>
  <c r="C153" i="97"/>
  <c r="C157" i="97"/>
  <c r="C162" i="97"/>
  <c r="C166" i="97"/>
  <c r="C173" i="97"/>
  <c r="C177" i="97"/>
  <c r="C181" i="97"/>
  <c r="C185" i="97"/>
  <c r="C189" i="97"/>
  <c r="C193" i="97"/>
  <c r="C197" i="97"/>
  <c r="C201" i="97"/>
  <c r="C208" i="97"/>
  <c r="C212" i="97"/>
  <c r="C231" i="97"/>
  <c r="C33" i="97"/>
  <c r="C37" i="97"/>
  <c r="C49" i="97"/>
  <c r="C65" i="97"/>
  <c r="C84" i="97"/>
  <c r="C106" i="97"/>
  <c r="C132" i="97"/>
  <c r="C147" i="97"/>
  <c r="C172" i="97"/>
  <c r="C188" i="97"/>
  <c r="C196" i="97"/>
  <c r="C200" i="97"/>
  <c r="C211" i="97"/>
  <c r="C230" i="97"/>
  <c r="C232" i="97"/>
  <c r="C21" i="97"/>
  <c r="C45" i="97"/>
  <c r="C61" i="97"/>
  <c r="C80" i="97"/>
  <c r="C99" i="97"/>
  <c r="C124" i="97"/>
  <c r="C152" i="97"/>
  <c r="C160" i="97"/>
  <c r="C180" i="97"/>
  <c r="C229" i="97"/>
  <c r="C23" i="97"/>
  <c r="C35" i="97"/>
  <c r="C39" i="97"/>
  <c r="C47" i="97"/>
  <c r="C51" i="97"/>
  <c r="C55" i="97"/>
  <c r="C59" i="97"/>
  <c r="C67" i="97"/>
  <c r="C78" i="97"/>
  <c r="C82" i="97"/>
  <c r="C93" i="97"/>
  <c r="C97" i="97"/>
  <c r="C104" i="97"/>
  <c r="C115" i="97"/>
  <c r="C122" i="97"/>
  <c r="C130" i="97"/>
  <c r="C139" i="97"/>
  <c r="C154" i="97"/>
  <c r="C163" i="97"/>
  <c r="C174" i="97"/>
  <c r="C182" i="97"/>
  <c r="C190" i="97"/>
  <c r="C194" i="97"/>
  <c r="C202" i="97"/>
  <c r="C209" i="97"/>
  <c r="C233" i="97"/>
  <c r="C226" i="97"/>
  <c r="C234" i="97"/>
  <c r="C41" i="97"/>
  <c r="C57" i="97"/>
  <c r="C76" i="97"/>
  <c r="C95" i="97"/>
  <c r="C117" i="97"/>
  <c r="C142" i="97"/>
  <c r="C165" i="97"/>
  <c r="C176" i="97"/>
  <c r="C239" i="97"/>
  <c r="C19" i="97"/>
  <c r="C27" i="97"/>
  <c r="C43" i="97"/>
  <c r="C63" i="97"/>
  <c r="C74" i="97"/>
  <c r="C89" i="97"/>
  <c r="C108" i="97"/>
  <c r="C134" i="97"/>
  <c r="C144" i="97"/>
  <c r="C149" i="97"/>
  <c r="C158" i="97"/>
  <c r="C167" i="97"/>
  <c r="C178" i="97"/>
  <c r="C186" i="97"/>
  <c r="C198" i="97"/>
  <c r="C218" i="97"/>
  <c r="C20" i="97"/>
  <c r="C24" i="97"/>
  <c r="C32" i="97"/>
  <c r="C36" i="97"/>
  <c r="C40" i="97"/>
  <c r="C44" i="97"/>
  <c r="C48" i="97"/>
  <c r="C52" i="97"/>
  <c r="C56" i="97"/>
  <c r="C60" i="97"/>
  <c r="C64" i="97"/>
  <c r="C71" i="97"/>
  <c r="C75" i="97"/>
  <c r="C79" i="97"/>
  <c r="C83" i="97"/>
  <c r="C90" i="97"/>
  <c r="C94" i="97"/>
  <c r="C98" i="97"/>
  <c r="C105" i="97"/>
  <c r="C112" i="97"/>
  <c r="C116" i="97"/>
  <c r="C123" i="97"/>
  <c r="C131" i="97"/>
  <c r="C136" i="97"/>
  <c r="C140" i="97"/>
  <c r="C145" i="97"/>
  <c r="C150" i="97"/>
  <c r="C155" i="97"/>
  <c r="C159" i="97"/>
  <c r="C164" i="97"/>
  <c r="C171" i="97"/>
  <c r="C175" i="97"/>
  <c r="C179" i="97"/>
  <c r="C183" i="97"/>
  <c r="C187" i="97"/>
  <c r="C191" i="97"/>
  <c r="C195" i="97"/>
  <c r="C199" i="97"/>
  <c r="C203" i="97"/>
  <c r="C210" i="97"/>
  <c r="C227" i="97"/>
  <c r="F240" i="14"/>
  <c r="F238" i="142"/>
  <c r="I238" i="142" s="1"/>
  <c r="F84" i="111"/>
  <c r="F124" i="111"/>
  <c r="F202" i="111"/>
  <c r="F107" i="111"/>
  <c r="F238" i="16"/>
  <c r="I238" i="16" s="1"/>
  <c r="F238" i="158"/>
  <c r="I238" i="158" s="1"/>
  <c r="F238" i="156"/>
  <c r="F238" i="155"/>
  <c r="F211" i="135"/>
  <c r="F98" i="135"/>
  <c r="F202" i="135"/>
  <c r="F107" i="135"/>
  <c r="F124" i="135"/>
  <c r="F238" i="98"/>
  <c r="I238" i="98" s="1"/>
  <c r="F238" i="68"/>
  <c r="I238" i="68" s="1"/>
  <c r="F236" i="142"/>
  <c r="F238" i="55"/>
  <c r="I238" i="55" s="1"/>
  <c r="F236" i="95"/>
  <c r="I236" i="95" s="1"/>
  <c r="F236" i="50"/>
  <c r="I236" i="50" s="1"/>
  <c r="F236" i="156"/>
  <c r="F237" i="16"/>
  <c r="F238" i="84"/>
  <c r="I238" i="84" s="1"/>
  <c r="H213" i="57"/>
  <c r="H220" i="57" s="1"/>
  <c r="F236" i="83"/>
  <c r="F236" i="47"/>
  <c r="I236" i="47" s="1"/>
  <c r="F237" i="46"/>
  <c r="I237" i="46" s="1"/>
  <c r="F237" i="133"/>
  <c r="I237" i="133" s="1"/>
  <c r="F237" i="152"/>
  <c r="I237" i="152" s="1"/>
  <c r="F236" i="158"/>
  <c r="I236" i="158" s="1"/>
  <c r="F236" i="16"/>
  <c r="I236" i="16" s="1"/>
  <c r="F237" i="55"/>
  <c r="F236" i="150"/>
  <c r="I236" i="150" s="1"/>
  <c r="F236" i="68"/>
  <c r="I236" i="68" s="1"/>
  <c r="F236" i="174"/>
  <c r="I236" i="174" s="1"/>
  <c r="F237" i="120"/>
  <c r="F237" i="165"/>
  <c r="F237" i="87"/>
  <c r="F236" i="118"/>
  <c r="I236" i="118" s="1"/>
  <c r="F236" i="60"/>
  <c r="F236" i="54"/>
  <c r="I236" i="54" s="1"/>
  <c r="F236" i="164"/>
  <c r="F236" i="58"/>
  <c r="I236" i="58" s="1"/>
  <c r="F236" i="39"/>
  <c r="I236" i="39" s="1"/>
  <c r="F237" i="86"/>
  <c r="F237" i="89"/>
  <c r="I237" i="89" s="1"/>
  <c r="F237" i="142"/>
  <c r="F237" i="95"/>
  <c r="F236" i="31"/>
  <c r="I236" i="31" s="1"/>
  <c r="F237" i="38"/>
  <c r="F237" i="118"/>
  <c r="F237" i="60"/>
  <c r="F237" i="94"/>
  <c r="I237" i="94" s="1"/>
  <c r="F236" i="84"/>
  <c r="F236" i="55"/>
  <c r="F237" i="175"/>
  <c r="I237" i="175" s="1"/>
  <c r="F237" i="1"/>
  <c r="F237" i="103"/>
  <c r="I237" i="103" s="1"/>
  <c r="F237" i="164"/>
  <c r="I237" i="164" s="1"/>
  <c r="F237" i="58"/>
  <c r="I237" i="58" s="1"/>
  <c r="F236" i="106"/>
  <c r="F236" i="165"/>
  <c r="F237" i="53"/>
  <c r="F236" i="87"/>
  <c r="I236" i="87" s="1"/>
  <c r="F236" i="1"/>
  <c r="I236" i="1" s="1"/>
  <c r="F237" i="31"/>
  <c r="I237" i="31" s="1"/>
  <c r="F237" i="158"/>
  <c r="I237" i="158" s="1"/>
  <c r="F237" i="119"/>
  <c r="I237" i="119" s="1"/>
  <c r="F237" i="25"/>
  <c r="F236" i="152"/>
  <c r="I236" i="152" s="1"/>
  <c r="F236" i="46"/>
  <c r="I236" i="46" s="1"/>
  <c r="F236" i="133"/>
  <c r="F236" i="86"/>
  <c r="F236" i="103"/>
  <c r="I236" i="103" s="1"/>
  <c r="F237" i="63"/>
  <c r="F236" i="28"/>
  <c r="F236" i="71"/>
  <c r="I236" i="71" s="1"/>
  <c r="F237" i="14"/>
  <c r="I237" i="14" s="1"/>
  <c r="F237" i="84"/>
  <c r="I237" i="84" s="1"/>
  <c r="F237" i="106"/>
  <c r="I237" i="106" s="1"/>
  <c r="F236" i="119"/>
  <c r="F237" i="104"/>
  <c r="I237" i="104" s="1"/>
  <c r="F236" i="62"/>
  <c r="F237" i="71"/>
  <c r="I237" i="71" s="1"/>
  <c r="F236" i="104"/>
  <c r="I236" i="104" s="1"/>
  <c r="F236" i="141"/>
  <c r="I236" i="141" s="1"/>
  <c r="F236" i="42"/>
  <c r="F236" i="24"/>
  <c r="F236" i="32"/>
  <c r="F237" i="28"/>
  <c r="I237" i="28" s="1"/>
  <c r="F237" i="92"/>
  <c r="F236" i="66"/>
  <c r="I236" i="66" s="1"/>
  <c r="F236" i="157"/>
  <c r="F236" i="90"/>
  <c r="I236" i="90" s="1"/>
  <c r="F237" i="68"/>
  <c r="F237" i="24"/>
  <c r="I237" i="24" s="1"/>
  <c r="F237" i="141"/>
  <c r="F237" i="32"/>
  <c r="I237" i="32" s="1"/>
  <c r="F236" i="64"/>
  <c r="I236" i="64" s="1"/>
  <c r="F237" i="98"/>
  <c r="I237" i="98" s="1"/>
  <c r="F237" i="90"/>
  <c r="I237" i="90" s="1"/>
  <c r="F236" i="49"/>
  <c r="I236" i="49" s="1"/>
  <c r="F236" i="25"/>
  <c r="I236" i="25" s="1"/>
  <c r="F237" i="155"/>
  <c r="I237" i="155" s="1"/>
  <c r="M23" i="174"/>
  <c r="F236" i="53"/>
  <c r="I236" i="53" s="1"/>
  <c r="M213" i="57"/>
  <c r="L213" i="57"/>
  <c r="F237" i="39"/>
  <c r="I237" i="39" s="1"/>
  <c r="M213" i="72"/>
  <c r="O17" i="113"/>
  <c r="L213" i="72"/>
  <c r="F238" i="28"/>
  <c r="I238" i="28" s="1"/>
  <c r="F237" i="65"/>
  <c r="F238" i="65"/>
  <c r="I238" i="65" s="1"/>
  <c r="M213" i="65"/>
  <c r="L213" i="65"/>
  <c r="L213" i="113"/>
  <c r="M213" i="113"/>
  <c r="H166" i="71"/>
  <c r="H213" i="71" s="1"/>
  <c r="F236" i="94"/>
  <c r="I236" i="94" s="1"/>
  <c r="F66" i="21"/>
  <c r="F66" i="159"/>
  <c r="F238" i="118"/>
  <c r="I238" i="118" s="1"/>
  <c r="F237" i="15"/>
  <c r="I237" i="15" s="1"/>
  <c r="F238" i="15"/>
  <c r="I238" i="15" s="1"/>
  <c r="M213" i="15"/>
  <c r="L213" i="15"/>
  <c r="L213" i="19"/>
  <c r="M213" i="19"/>
  <c r="L213" i="66"/>
  <c r="M213" i="66"/>
  <c r="M22" i="178"/>
  <c r="M213" i="71"/>
  <c r="L213" i="71"/>
  <c r="M213" i="33"/>
  <c r="O18" i="135"/>
  <c r="M22" i="42"/>
  <c r="F233" i="21"/>
  <c r="F233" i="111"/>
  <c r="M22" i="135"/>
  <c r="M19" i="21"/>
  <c r="F233" i="136"/>
  <c r="F233" i="57"/>
  <c r="F233" i="33"/>
  <c r="F240" i="21"/>
  <c r="O18" i="159"/>
  <c r="F240" i="159"/>
  <c r="M23" i="39"/>
  <c r="M22" i="155"/>
  <c r="M23" i="16"/>
  <c r="M22" i="25"/>
  <c r="F116" i="111"/>
  <c r="F116" i="159"/>
  <c r="F166" i="57"/>
  <c r="M22" i="145"/>
  <c r="M22" i="152"/>
  <c r="M23" i="20"/>
  <c r="F107" i="159"/>
  <c r="M23" i="157"/>
  <c r="F66" i="33"/>
  <c r="F66" i="136"/>
  <c r="F98" i="159"/>
  <c r="F84" i="135"/>
  <c r="F107" i="33"/>
  <c r="F98" i="111"/>
  <c r="F211" i="21"/>
  <c r="F211" i="111"/>
  <c r="H213" i="53"/>
  <c r="M22" i="159"/>
  <c r="H213" i="104"/>
  <c r="H213" i="64"/>
  <c r="H213" i="37"/>
  <c r="H213" i="42"/>
  <c r="H213" i="164"/>
  <c r="H213" i="133"/>
  <c r="F166" i="135"/>
  <c r="M23" i="164"/>
  <c r="F211" i="57"/>
  <c r="M22" i="167"/>
  <c r="F66" i="57"/>
  <c r="F84" i="21"/>
  <c r="F84" i="57"/>
  <c r="F84" i="136"/>
  <c r="F166" i="111"/>
  <c r="F166" i="159"/>
  <c r="F166" i="33"/>
  <c r="F211" i="159"/>
  <c r="F211" i="136"/>
  <c r="H213" i="95"/>
  <c r="H213" i="150"/>
  <c r="F107" i="57"/>
  <c r="F202" i="159"/>
  <c r="F202" i="33"/>
  <c r="F202" i="57"/>
  <c r="F66" i="111"/>
  <c r="H213" i="92"/>
  <c r="H213" i="106"/>
  <c r="H220" i="106" s="1"/>
  <c r="H213" i="174"/>
  <c r="M23" i="178"/>
  <c r="F66" i="135"/>
  <c r="H213" i="21"/>
  <c r="H213" i="25"/>
  <c r="H213" i="38"/>
  <c r="H220" i="38" s="1"/>
  <c r="H213" i="158"/>
  <c r="F124" i="21"/>
  <c r="H213" i="66"/>
  <c r="M23" i="177"/>
  <c r="H211" i="39"/>
  <c r="H213" i="39" s="1"/>
  <c r="H213" i="178"/>
  <c r="H213" i="102"/>
  <c r="F238" i="174"/>
  <c r="I238" i="174" s="1"/>
  <c r="H166" i="87"/>
  <c r="H213" i="167"/>
  <c r="F237" i="150"/>
  <c r="I237" i="150" s="1"/>
  <c r="F236" i="89"/>
  <c r="I236" i="89" s="1"/>
  <c r="F237" i="156"/>
  <c r="I237" i="156" s="1"/>
  <c r="F237" i="49"/>
  <c r="I237" i="49" s="1"/>
  <c r="F237" i="42"/>
  <c r="F236" i="27"/>
  <c r="I236" i="27" s="1"/>
  <c r="F236" i="15"/>
  <c r="I236" i="15" s="1"/>
  <c r="F233" i="37"/>
  <c r="O24" i="37"/>
  <c r="F236" i="175"/>
  <c r="F236" i="120"/>
  <c r="F237" i="62"/>
  <c r="I237" i="62" s="1"/>
  <c r="F236" i="98"/>
  <c r="I236" i="98" s="1"/>
  <c r="F236" i="178"/>
  <c r="O22" i="20"/>
  <c r="F116" i="72"/>
  <c r="F240" i="38"/>
  <c r="F240" i="92"/>
  <c r="F236" i="65"/>
  <c r="I236" i="65" s="1"/>
  <c r="F237" i="50"/>
  <c r="I237" i="50" s="1"/>
  <c r="F237" i="47"/>
  <c r="I237" i="47" s="1"/>
  <c r="H213" i="72"/>
  <c r="F238" i="72"/>
  <c r="I238" i="72" s="1"/>
  <c r="F237" i="72"/>
  <c r="I237" i="72" s="1"/>
  <c r="H213" i="79"/>
  <c r="F238" i="79"/>
  <c r="I238" i="79" s="1"/>
  <c r="F236" i="37"/>
  <c r="I236" i="37" s="1"/>
  <c r="H213" i="85"/>
  <c r="H220" i="85" s="1"/>
  <c r="F98" i="85"/>
  <c r="F236" i="85"/>
  <c r="I236" i="85" s="1"/>
  <c r="F237" i="85"/>
  <c r="I237" i="85" s="1"/>
  <c r="H213" i="20"/>
  <c r="F238" i="20"/>
  <c r="I238" i="20" s="1"/>
  <c r="F236" i="20"/>
  <c r="I236" i="20" s="1"/>
  <c r="F236" i="102"/>
  <c r="I236" i="102" s="1"/>
  <c r="F238" i="102"/>
  <c r="I238" i="102" s="1"/>
  <c r="F237" i="102"/>
  <c r="I237" i="102" s="1"/>
  <c r="H213" i="19"/>
  <c r="H220" i="19" s="1"/>
  <c r="F238" i="19"/>
  <c r="I238" i="19" s="1"/>
  <c r="H213" i="28"/>
  <c r="H220" i="28" s="1"/>
  <c r="H213" i="175"/>
  <c r="H220" i="175" s="1"/>
  <c r="H213" i="62"/>
  <c r="H220" i="62" s="1"/>
  <c r="H213" i="177"/>
  <c r="F236" i="145"/>
  <c r="I236" i="145" s="1"/>
  <c r="F233" i="167"/>
  <c r="F124" i="167"/>
  <c r="F202" i="167"/>
  <c r="F98" i="167"/>
  <c r="F84" i="167"/>
  <c r="F66" i="167"/>
  <c r="F116" i="167"/>
  <c r="F240" i="177"/>
  <c r="H213" i="55"/>
  <c r="F166" i="167"/>
  <c r="F236" i="43"/>
  <c r="I236" i="43" s="1"/>
  <c r="F237" i="64"/>
  <c r="I237" i="64" s="1"/>
  <c r="F236" i="155"/>
  <c r="I236" i="155" s="1"/>
  <c r="F211" i="167"/>
  <c r="F107" i="167"/>
  <c r="F240" i="167"/>
  <c r="F236" i="63"/>
  <c r="I236" i="63" s="1"/>
  <c r="F237" i="66"/>
  <c r="I237" i="66" s="1"/>
  <c r="F237" i="83"/>
  <c r="F237" i="178"/>
  <c r="I237" i="178" s="1"/>
  <c r="F236" i="113"/>
  <c r="I236" i="113" s="1"/>
  <c r="H213" i="84"/>
  <c r="I240" i="68" l="1"/>
  <c r="M19" i="136"/>
  <c r="I236" i="83"/>
  <c r="G238" i="97"/>
  <c r="I237" i="83"/>
  <c r="G239" i="97"/>
  <c r="F240" i="178"/>
  <c r="I236" i="178"/>
  <c r="I240" i="178" s="1"/>
  <c r="I237" i="65"/>
  <c r="I236" i="32"/>
  <c r="I237" i="25"/>
  <c r="I237" i="53"/>
  <c r="F240" i="24"/>
  <c r="I236" i="24"/>
  <c r="I237" i="118"/>
  <c r="I237" i="95"/>
  <c r="I237" i="1"/>
  <c r="I237" i="141"/>
  <c r="I236" i="60"/>
  <c r="I237" i="60"/>
  <c r="I237" i="142"/>
  <c r="I236" i="142"/>
  <c r="M19" i="142" s="1"/>
  <c r="I236" i="165"/>
  <c r="I240" i="165" s="1"/>
  <c r="I237" i="165"/>
  <c r="F240" i="164"/>
  <c r="I236" i="164"/>
  <c r="I237" i="63"/>
  <c r="I236" i="55"/>
  <c r="M19" i="55" s="1"/>
  <c r="I237" i="55"/>
  <c r="I237" i="38"/>
  <c r="I236" i="84"/>
  <c r="I237" i="68"/>
  <c r="I236" i="62"/>
  <c r="I236" i="106"/>
  <c r="I236" i="175"/>
  <c r="I236" i="133"/>
  <c r="M19" i="133" s="1"/>
  <c r="I237" i="87"/>
  <c r="I237" i="92"/>
  <c r="I237" i="16"/>
  <c r="I236" i="119"/>
  <c r="F240" i="86"/>
  <c r="I236" i="86"/>
  <c r="I237" i="86"/>
  <c r="I236" i="156"/>
  <c r="I238" i="156"/>
  <c r="I238" i="155"/>
  <c r="I237" i="42"/>
  <c r="F240" i="42"/>
  <c r="F242" i="42" s="1"/>
  <c r="I236" i="42"/>
  <c r="I236" i="157"/>
  <c r="I240" i="157" s="1"/>
  <c r="I236" i="120"/>
  <c r="I237" i="120"/>
  <c r="I236" i="28"/>
  <c r="H220" i="43"/>
  <c r="F240" i="68"/>
  <c r="F242" i="57"/>
  <c r="I240" i="33"/>
  <c r="I242" i="33" s="1"/>
  <c r="H220" i="90"/>
  <c r="H220" i="14"/>
  <c r="H220" i="86"/>
  <c r="I240" i="14"/>
  <c r="H168" i="97"/>
  <c r="I240" i="111"/>
  <c r="I242" i="111" s="1"/>
  <c r="H220" i="32"/>
  <c r="I84" i="136"/>
  <c r="O24" i="136"/>
  <c r="O21" i="33"/>
  <c r="O18" i="33"/>
  <c r="I211" i="136"/>
  <c r="O23" i="33"/>
  <c r="O22" i="57"/>
  <c r="I116" i="136"/>
  <c r="H220" i="103"/>
  <c r="I211" i="33"/>
  <c r="I107" i="33"/>
  <c r="I107" i="136"/>
  <c r="O24" i="21"/>
  <c r="O20" i="57"/>
  <c r="O21" i="136"/>
  <c r="F242" i="136"/>
  <c r="I116" i="57"/>
  <c r="H220" i="49"/>
  <c r="I116" i="135"/>
  <c r="M19" i="57"/>
  <c r="I98" i="57"/>
  <c r="I240" i="57"/>
  <c r="M20" i="57" s="1"/>
  <c r="O16" i="57"/>
  <c r="O19" i="135"/>
  <c r="I211" i="57"/>
  <c r="O23" i="57"/>
  <c r="O20" i="159"/>
  <c r="O24" i="159"/>
  <c r="I107" i="159"/>
  <c r="I116" i="21"/>
  <c r="O18" i="21"/>
  <c r="H212" i="97"/>
  <c r="H211" i="97"/>
  <c r="H210" i="97"/>
  <c r="O16" i="21"/>
  <c r="I107" i="21"/>
  <c r="I211" i="111"/>
  <c r="O21" i="111"/>
  <c r="O19" i="111"/>
  <c r="O23" i="21"/>
  <c r="O20" i="21"/>
  <c r="O215" i="97"/>
  <c r="O25" i="97" s="1"/>
  <c r="N215" i="97"/>
  <c r="O24" i="97" s="1"/>
  <c r="O17" i="33"/>
  <c r="I124" i="57"/>
  <c r="I107" i="57"/>
  <c r="I233" i="21"/>
  <c r="I233" i="111"/>
  <c r="H220" i="1"/>
  <c r="I211" i="135"/>
  <c r="H220" i="27"/>
  <c r="I202" i="33"/>
  <c r="H220" i="50"/>
  <c r="H220" i="33"/>
  <c r="H220" i="157"/>
  <c r="H220" i="83"/>
  <c r="H220" i="54"/>
  <c r="H220" i="15"/>
  <c r="I124" i="33"/>
  <c r="H220" i="46"/>
  <c r="H220" i="118"/>
  <c r="H220" i="89"/>
  <c r="H220" i="119"/>
  <c r="H220" i="159"/>
  <c r="H220" i="120"/>
  <c r="H220" i="135"/>
  <c r="H220" i="142"/>
  <c r="H220" i="98"/>
  <c r="I98" i="111"/>
  <c r="I98" i="33"/>
  <c r="H220" i="167"/>
  <c r="H220" i="24"/>
  <c r="H220" i="152"/>
  <c r="H220" i="60"/>
  <c r="H220" i="156"/>
  <c r="H220" i="58"/>
  <c r="I84" i="159"/>
  <c r="H220" i="94"/>
  <c r="H220" i="113"/>
  <c r="H220" i="141"/>
  <c r="H220" i="145"/>
  <c r="H220" i="136"/>
  <c r="H220" i="31"/>
  <c r="H220" i="47"/>
  <c r="I66" i="33"/>
  <c r="H220" i="68"/>
  <c r="H220" i="65"/>
  <c r="O21" i="159"/>
  <c r="O16" i="33"/>
  <c r="O23" i="159"/>
  <c r="I211" i="159"/>
  <c r="I233" i="159"/>
  <c r="J231" i="159" s="1"/>
  <c r="I166" i="159"/>
  <c r="O21" i="21"/>
  <c r="F242" i="111"/>
  <c r="I124" i="135"/>
  <c r="O20" i="135"/>
  <c r="I233" i="135"/>
  <c r="I240" i="135"/>
  <c r="I242" i="135" s="1"/>
  <c r="O24" i="135"/>
  <c r="I240" i="21"/>
  <c r="M20" i="21" s="1"/>
  <c r="I240" i="136"/>
  <c r="I242" i="136" s="1"/>
  <c r="F242" i="159"/>
  <c r="H220" i="92"/>
  <c r="H220" i="102"/>
  <c r="H220" i="37"/>
  <c r="H220" i="150"/>
  <c r="M19" i="111"/>
  <c r="F242" i="33"/>
  <c r="F241" i="159"/>
  <c r="I233" i="33"/>
  <c r="O22" i="33"/>
  <c r="O17" i="135"/>
  <c r="F241" i="135"/>
  <c r="O21" i="135"/>
  <c r="O20" i="136"/>
  <c r="O19" i="57"/>
  <c r="O20" i="33"/>
  <c r="O22" i="135"/>
  <c r="O23" i="136"/>
  <c r="O18" i="57"/>
  <c r="I211" i="21"/>
  <c r="I202" i="21"/>
  <c r="I202" i="159"/>
  <c r="I202" i="136"/>
  <c r="I202" i="57"/>
  <c r="I166" i="136"/>
  <c r="I166" i="33"/>
  <c r="I166" i="57"/>
  <c r="I166" i="21"/>
  <c r="F213" i="33"/>
  <c r="I124" i="111"/>
  <c r="I124" i="136"/>
  <c r="I124" i="21"/>
  <c r="I124" i="159"/>
  <c r="I116" i="33"/>
  <c r="I98" i="21"/>
  <c r="I98" i="136"/>
  <c r="I98" i="135"/>
  <c r="F213" i="136"/>
  <c r="F213" i="135"/>
  <c r="I84" i="21"/>
  <c r="F213" i="111"/>
  <c r="I84" i="33"/>
  <c r="I84" i="57"/>
  <c r="I66" i="136"/>
  <c r="F213" i="57"/>
  <c r="O19" i="21"/>
  <c r="O17" i="21"/>
  <c r="O19" i="33"/>
  <c r="F78" i="97"/>
  <c r="F230" i="97"/>
  <c r="F93" i="97"/>
  <c r="F157" i="97"/>
  <c r="F25" i="97"/>
  <c r="F50" i="97"/>
  <c r="F74" i="97"/>
  <c r="F35" i="97"/>
  <c r="F142" i="97"/>
  <c r="F153" i="97"/>
  <c r="F49" i="97"/>
  <c r="F85" i="97"/>
  <c r="F71" i="97"/>
  <c r="F83" i="97"/>
  <c r="C109" i="97"/>
  <c r="F39" i="97"/>
  <c r="F117" i="97"/>
  <c r="F82" i="97"/>
  <c r="F229" i="97"/>
  <c r="F133" i="97"/>
  <c r="F66" i="97"/>
  <c r="F238" i="97"/>
  <c r="C213" i="97"/>
  <c r="F209" i="97"/>
  <c r="F226" i="97"/>
  <c r="F188" i="97"/>
  <c r="F99" i="97"/>
  <c r="F40" i="97"/>
  <c r="F130" i="97"/>
  <c r="F154" i="97"/>
  <c r="F84" i="97"/>
  <c r="F148" i="97"/>
  <c r="F33" i="97"/>
  <c r="F234" i="97"/>
  <c r="F200" i="97"/>
  <c r="F177" i="97"/>
  <c r="F112" i="97"/>
  <c r="F65" i="97"/>
  <c r="F22" i="97"/>
  <c r="F72" i="97"/>
  <c r="F54" i="97"/>
  <c r="F186" i="97"/>
  <c r="F163" i="97"/>
  <c r="F149" i="97"/>
  <c r="F106" i="97"/>
  <c r="F196" i="97"/>
  <c r="F172" i="97"/>
  <c r="F208" i="97"/>
  <c r="F77" i="97"/>
  <c r="F187" i="97"/>
  <c r="F159" i="97"/>
  <c r="F64" i="97"/>
  <c r="F108" i="97"/>
  <c r="F198" i="97"/>
  <c r="F167" i="97"/>
  <c r="F46" i="97"/>
  <c r="F73" i="97"/>
  <c r="F138" i="97"/>
  <c r="F113" i="97"/>
  <c r="F181" i="97"/>
  <c r="F37" i="97"/>
  <c r="F116" i="97"/>
  <c r="F152" i="97"/>
  <c r="F96" i="97"/>
  <c r="F103" i="97"/>
  <c r="F191" i="97"/>
  <c r="F32" i="97"/>
  <c r="F26" i="97"/>
  <c r="C235" i="97"/>
  <c r="F61" i="97"/>
  <c r="F63" i="97"/>
  <c r="F107" i="97"/>
  <c r="F201" i="97"/>
  <c r="F228" i="97"/>
  <c r="F57" i="97"/>
  <c r="F59" i="97"/>
  <c r="F94" i="97"/>
  <c r="F145" i="97"/>
  <c r="C126" i="97"/>
  <c r="F144" i="97"/>
  <c r="F43" i="97"/>
  <c r="F189" i="97"/>
  <c r="F173" i="97"/>
  <c r="F79" i="97"/>
  <c r="F18" i="97"/>
  <c r="F34" i="97"/>
  <c r="F38" i="97"/>
  <c r="F27" i="97"/>
  <c r="F19" i="97"/>
  <c r="F62" i="97"/>
  <c r="F182" i="97"/>
  <c r="F136" i="97"/>
  <c r="F98" i="97"/>
  <c r="C100" i="97"/>
  <c r="F80" i="97"/>
  <c r="F23" i="97"/>
  <c r="F192" i="97"/>
  <c r="F165" i="97"/>
  <c r="F197" i="97"/>
  <c r="F203" i="97"/>
  <c r="F183" i="97"/>
  <c r="F155" i="97"/>
  <c r="F60" i="97"/>
  <c r="F44" i="97"/>
  <c r="F89" i="97"/>
  <c r="F97" i="97"/>
  <c r="F21" i="97"/>
  <c r="F185" i="97"/>
  <c r="F42" i="97"/>
  <c r="F156" i="97"/>
  <c r="F227" i="97"/>
  <c r="F174" i="97"/>
  <c r="F233" i="97"/>
  <c r="F164" i="97"/>
  <c r="F52" i="97"/>
  <c r="F195" i="97"/>
  <c r="C68" i="97"/>
  <c r="F105" i="97"/>
  <c r="F212" i="97"/>
  <c r="F48" i="97"/>
  <c r="F175" i="97"/>
  <c r="F122" i="97"/>
  <c r="F176" i="97"/>
  <c r="F137" i="97"/>
  <c r="F125" i="97"/>
  <c r="F45" i="97"/>
  <c r="C168" i="97"/>
  <c r="F95" i="97"/>
  <c r="F75" i="97"/>
  <c r="F41" i="97"/>
  <c r="F58" i="97"/>
  <c r="F55" i="97"/>
  <c r="F67" i="97"/>
  <c r="F92" i="97"/>
  <c r="F193" i="97"/>
  <c r="F143" i="97"/>
  <c r="F24" i="97"/>
  <c r="F171" i="97"/>
  <c r="F139" i="97"/>
  <c r="F104" i="97"/>
  <c r="F124" i="97"/>
  <c r="F160" i="97"/>
  <c r="F232" i="97"/>
  <c r="F211" i="97"/>
  <c r="F121" i="97"/>
  <c r="F158" i="97"/>
  <c r="F115" i="97"/>
  <c r="F76" i="97"/>
  <c r="F194" i="97"/>
  <c r="F180" i="97"/>
  <c r="F123" i="97"/>
  <c r="F134" i="97"/>
  <c r="F239" i="97"/>
  <c r="F47" i="97"/>
  <c r="F132" i="97"/>
  <c r="F51" i="97"/>
  <c r="F147" i="97"/>
  <c r="F114" i="97"/>
  <c r="F20" i="97"/>
  <c r="F190" i="97"/>
  <c r="F81" i="97"/>
  <c r="F140" i="97"/>
  <c r="C86" i="97"/>
  <c r="C204" i="97"/>
  <c r="F166" i="97"/>
  <c r="F91" i="97"/>
  <c r="C118" i="97"/>
  <c r="F178" i="97"/>
  <c r="F131" i="97"/>
  <c r="F90" i="97"/>
  <c r="F184" i="97"/>
  <c r="F162" i="97"/>
  <c r="F199" i="97"/>
  <c r="F179" i="97"/>
  <c r="F150" i="97"/>
  <c r="F56" i="97"/>
  <c r="F36" i="97"/>
  <c r="F210" i="97"/>
  <c r="F202" i="97"/>
  <c r="F53" i="97"/>
  <c r="F207" i="97"/>
  <c r="F231" i="97"/>
  <c r="F240" i="142"/>
  <c r="O20" i="141"/>
  <c r="F116" i="113"/>
  <c r="F240" i="39"/>
  <c r="F242" i="14"/>
  <c r="O23" i="111"/>
  <c r="I116" i="111"/>
  <c r="I84" i="111"/>
  <c r="I202" i="111"/>
  <c r="O20" i="111"/>
  <c r="I107" i="111"/>
  <c r="I166" i="111"/>
  <c r="F240" i="65"/>
  <c r="M19" i="28"/>
  <c r="I166" i="135"/>
  <c r="O16" i="135"/>
  <c r="I202" i="135"/>
  <c r="I84" i="135"/>
  <c r="I107" i="135"/>
  <c r="F240" i="174"/>
  <c r="I240" i="83"/>
  <c r="F240" i="83"/>
  <c r="O17" i="94"/>
  <c r="I240" i="24"/>
  <c r="F240" i="60"/>
  <c r="F240" i="118"/>
  <c r="F240" i="46"/>
  <c r="M19" i="158"/>
  <c r="O22" i="85"/>
  <c r="F240" i="158"/>
  <c r="F240" i="50"/>
  <c r="F240" i="47"/>
  <c r="I240" i="58"/>
  <c r="F240" i="58"/>
  <c r="F240" i="55"/>
  <c r="F242" i="55" s="1"/>
  <c r="F240" i="87"/>
  <c r="F240" i="106"/>
  <c r="I240" i="106"/>
  <c r="M19" i="46"/>
  <c r="F240" i="95"/>
  <c r="O17" i="37"/>
  <c r="F240" i="16"/>
  <c r="I240" i="150"/>
  <c r="F240" i="165"/>
  <c r="I240" i="86"/>
  <c r="F240" i="156"/>
  <c r="F242" i="156" s="1"/>
  <c r="F240" i="150"/>
  <c r="O18" i="167"/>
  <c r="O19" i="167"/>
  <c r="O23" i="167"/>
  <c r="O20" i="167"/>
  <c r="F240" i="84"/>
  <c r="I240" i="46"/>
  <c r="M20" i="46" s="1"/>
  <c r="F116" i="64"/>
  <c r="O19" i="118"/>
  <c r="M19" i="174"/>
  <c r="F124" i="53"/>
  <c r="O16" i="37"/>
  <c r="F240" i="54"/>
  <c r="F240" i="31"/>
  <c r="F107" i="64"/>
  <c r="F124" i="24"/>
  <c r="F240" i="1"/>
  <c r="F116" i="142"/>
  <c r="F211" i="83"/>
  <c r="F107" i="141"/>
  <c r="F211" i="94"/>
  <c r="F107" i="24"/>
  <c r="F233" i="94"/>
  <c r="F240" i="152"/>
  <c r="F242" i="152" s="1"/>
  <c r="F124" i="84"/>
  <c r="F107" i="14"/>
  <c r="M19" i="19"/>
  <c r="F233" i="90"/>
  <c r="F124" i="87"/>
  <c r="F116" i="118"/>
  <c r="F211" i="142"/>
  <c r="O23" i="120"/>
  <c r="F107" i="164"/>
  <c r="F211" i="60"/>
  <c r="F124" i="118"/>
  <c r="F211" i="92"/>
  <c r="F211" i="103"/>
  <c r="F242" i="68"/>
  <c r="F240" i="133"/>
  <c r="F233" i="83"/>
  <c r="F211" i="32"/>
  <c r="O19" i="98"/>
  <c r="F233" i="106"/>
  <c r="F233" i="55"/>
  <c r="O23" i="175"/>
  <c r="F233" i="60"/>
  <c r="F124" i="54"/>
  <c r="F211" i="54"/>
  <c r="F116" i="53"/>
  <c r="F240" i="103"/>
  <c r="F107" i="113"/>
  <c r="F240" i="32"/>
  <c r="F211" i="24"/>
  <c r="F107" i="32"/>
  <c r="F98" i="155"/>
  <c r="M19" i="42"/>
  <c r="F107" i="174"/>
  <c r="I240" i="133"/>
  <c r="F107" i="25"/>
  <c r="F124" i="164"/>
  <c r="F116" i="119"/>
  <c r="O18" i="150"/>
  <c r="F124" i="62"/>
  <c r="I240" i="62"/>
  <c r="I242" i="62" s="1"/>
  <c r="F240" i="62"/>
  <c r="F233" i="175"/>
  <c r="O17" i="167"/>
  <c r="F107" i="65"/>
  <c r="O22" i="47"/>
  <c r="F233" i="145"/>
  <c r="F240" i="141"/>
  <c r="F107" i="118"/>
  <c r="F116" i="158"/>
  <c r="F116" i="16"/>
  <c r="F116" i="86"/>
  <c r="F240" i="119"/>
  <c r="F107" i="175"/>
  <c r="F116" i="65"/>
  <c r="F240" i="28"/>
  <c r="F211" i="90"/>
  <c r="F211" i="164"/>
  <c r="M19" i="16"/>
  <c r="F233" i="87"/>
  <c r="F211" i="55"/>
  <c r="F116" i="174"/>
  <c r="F240" i="71"/>
  <c r="O16" i="175"/>
  <c r="F211" i="174"/>
  <c r="F233" i="42"/>
  <c r="F233" i="174"/>
  <c r="F84" i="94"/>
  <c r="F211" i="65"/>
  <c r="F98" i="141"/>
  <c r="F240" i="98"/>
  <c r="F242" i="98" s="1"/>
  <c r="O18" i="65"/>
  <c r="F240" i="104"/>
  <c r="F233" i="177"/>
  <c r="M19" i="1"/>
  <c r="F107" i="27"/>
  <c r="F233" i="24"/>
  <c r="F107" i="31"/>
  <c r="F84" i="55"/>
  <c r="F211" i="42"/>
  <c r="F233" i="158"/>
  <c r="F98" i="158"/>
  <c r="F211" i="27"/>
  <c r="F124" i="165"/>
  <c r="F233" i="39"/>
  <c r="F202" i="54"/>
  <c r="O22" i="58"/>
  <c r="O21" i="27"/>
  <c r="F116" i="42"/>
  <c r="F84" i="1"/>
  <c r="F240" i="66"/>
  <c r="F211" i="66"/>
  <c r="M19" i="25"/>
  <c r="F240" i="25"/>
  <c r="F166" i="157"/>
  <c r="O21" i="119"/>
  <c r="I240" i="156"/>
  <c r="M19" i="156"/>
  <c r="F124" i="27"/>
  <c r="F116" i="46"/>
  <c r="F211" i="156"/>
  <c r="F233" i="157"/>
  <c r="F240" i="175"/>
  <c r="F233" i="14"/>
  <c r="F211" i="47"/>
  <c r="F202" i="164"/>
  <c r="F107" i="87"/>
  <c r="F233" i="133"/>
  <c r="F166" i="55"/>
  <c r="F116" i="1"/>
  <c r="F116" i="150"/>
  <c r="F98" i="90"/>
  <c r="F124" i="175"/>
  <c r="F233" i="164"/>
  <c r="F166" i="164"/>
  <c r="F84" i="174"/>
  <c r="F98" i="32"/>
  <c r="I240" i="1"/>
  <c r="F240" i="90"/>
  <c r="O22" i="60"/>
  <c r="M19" i="165"/>
  <c r="F84" i="65"/>
  <c r="F116" i="120"/>
  <c r="F211" i="62"/>
  <c r="F211" i="16"/>
  <c r="F116" i="15"/>
  <c r="F202" i="133"/>
  <c r="F107" i="53"/>
  <c r="F124" i="66"/>
  <c r="F240" i="157"/>
  <c r="M19" i="157"/>
  <c r="F233" i="50"/>
  <c r="F98" i="177"/>
  <c r="F84" i="42"/>
  <c r="F98" i="53"/>
  <c r="F116" i="66"/>
  <c r="O19" i="145"/>
  <c r="F211" i="165"/>
  <c r="F107" i="47"/>
  <c r="F84" i="86"/>
  <c r="O18" i="113"/>
  <c r="F211" i="118"/>
  <c r="F84" i="113"/>
  <c r="O22" i="16"/>
  <c r="F233" i="89"/>
  <c r="F202" i="31"/>
  <c r="F233" i="142"/>
  <c r="F124" i="106"/>
  <c r="F98" i="157"/>
  <c r="F233" i="32"/>
  <c r="F98" i="16"/>
  <c r="F124" i="150"/>
  <c r="F240" i="64"/>
  <c r="I240" i="64"/>
  <c r="M19" i="175"/>
  <c r="F124" i="60"/>
  <c r="F233" i="165"/>
  <c r="F84" i="53"/>
  <c r="F107" i="150"/>
  <c r="F124" i="86"/>
  <c r="F202" i="47"/>
  <c r="I240" i="175"/>
  <c r="F240" i="49"/>
  <c r="F66" i="113"/>
  <c r="F124" i="49"/>
  <c r="F166" i="156"/>
  <c r="F233" i="86"/>
  <c r="F241" i="86" s="1"/>
  <c r="F98" i="86"/>
  <c r="F107" i="106"/>
  <c r="F233" i="16"/>
  <c r="F233" i="62"/>
  <c r="O23" i="38"/>
  <c r="F211" i="87"/>
  <c r="F98" i="113"/>
  <c r="F107" i="72"/>
  <c r="F233" i="53"/>
  <c r="H220" i="164"/>
  <c r="H220" i="71"/>
  <c r="F84" i="102"/>
  <c r="F233" i="1"/>
  <c r="F124" i="16"/>
  <c r="H220" i="42"/>
  <c r="H220" i="39"/>
  <c r="O22" i="21"/>
  <c r="F242" i="21"/>
  <c r="F211" i="119"/>
  <c r="F107" i="152"/>
  <c r="H213" i="87"/>
  <c r="O22" i="136"/>
  <c r="I233" i="57"/>
  <c r="M23" i="66"/>
  <c r="H220" i="25"/>
  <c r="I66" i="57"/>
  <c r="F166" i="64"/>
  <c r="F98" i="65"/>
  <c r="O16" i="111"/>
  <c r="O17" i="136"/>
  <c r="I233" i="136"/>
  <c r="J231" i="136" s="1"/>
  <c r="F213" i="21"/>
  <c r="F211" i="152"/>
  <c r="I66" i="21"/>
  <c r="M23" i="113"/>
  <c r="F98" i="25"/>
  <c r="M22" i="57"/>
  <c r="F84" i="16"/>
  <c r="F116" i="155"/>
  <c r="F66" i="86"/>
  <c r="H220" i="66"/>
  <c r="M23" i="19"/>
  <c r="I66" i="135"/>
  <c r="F213" i="159"/>
  <c r="F124" i="65"/>
  <c r="F98" i="174"/>
  <c r="F233" i="28"/>
  <c r="F233" i="152"/>
  <c r="F98" i="28"/>
  <c r="I240" i="120"/>
  <c r="F240" i="120"/>
  <c r="F116" i="54"/>
  <c r="F107" i="177"/>
  <c r="H220" i="21"/>
  <c r="H220" i="133"/>
  <c r="O19" i="159"/>
  <c r="H220" i="53"/>
  <c r="F241" i="57"/>
  <c r="F241" i="136"/>
  <c r="M23" i="71"/>
  <c r="F211" i="102"/>
  <c r="F107" i="68"/>
  <c r="F211" i="53"/>
  <c r="F202" i="50"/>
  <c r="O17" i="57"/>
  <c r="O19" i="136"/>
  <c r="M22" i="71"/>
  <c r="M22" i="15"/>
  <c r="F240" i="94"/>
  <c r="M23" i="72"/>
  <c r="F166" i="24"/>
  <c r="F98" i="68"/>
  <c r="F107" i="50"/>
  <c r="F116" i="89"/>
  <c r="H220" i="64"/>
  <c r="I98" i="159"/>
  <c r="I66" i="159"/>
  <c r="O22" i="159"/>
  <c r="O21" i="57"/>
  <c r="I116" i="159"/>
  <c r="O17" i="159"/>
  <c r="O23" i="135"/>
  <c r="F241" i="111"/>
  <c r="F241" i="21"/>
  <c r="M22" i="113"/>
  <c r="M22" i="65"/>
  <c r="F240" i="53"/>
  <c r="F211" i="20"/>
  <c r="F66" i="89"/>
  <c r="F202" i="86"/>
  <c r="F98" i="84"/>
  <c r="F211" i="95"/>
  <c r="F84" i="38"/>
  <c r="F84" i="25"/>
  <c r="H220" i="158"/>
  <c r="M23" i="33"/>
  <c r="M23" i="65"/>
  <c r="M22" i="72"/>
  <c r="M23" i="57"/>
  <c r="H220" i="174"/>
  <c r="H220" i="95"/>
  <c r="H220" i="104"/>
  <c r="O24" i="33"/>
  <c r="O17" i="111"/>
  <c r="O22" i="111"/>
  <c r="M19" i="159"/>
  <c r="I240" i="159"/>
  <c r="I242" i="159" s="1"/>
  <c r="F241" i="33"/>
  <c r="M22" i="66"/>
  <c r="M22" i="19"/>
  <c r="M23" i="15"/>
  <c r="F107" i="79"/>
  <c r="F233" i="79"/>
  <c r="F202" i="84"/>
  <c r="F240" i="20"/>
  <c r="F242" i="20" s="1"/>
  <c r="F202" i="120"/>
  <c r="F107" i="66"/>
  <c r="F98" i="50"/>
  <c r="F84" i="141"/>
  <c r="F66" i="141"/>
  <c r="F166" i="142"/>
  <c r="F98" i="142"/>
  <c r="F166" i="54"/>
  <c r="F66" i="177"/>
  <c r="F124" i="31"/>
  <c r="F211" i="106"/>
  <c r="F211" i="157"/>
  <c r="O17" i="28"/>
  <c r="F202" i="92"/>
  <c r="F98" i="92"/>
  <c r="F202" i="106"/>
  <c r="F202" i="16"/>
  <c r="F84" i="157"/>
  <c r="F211" i="158"/>
  <c r="F107" i="38"/>
  <c r="F84" i="89"/>
  <c r="F116" i="49"/>
  <c r="F124" i="94"/>
  <c r="F124" i="42"/>
  <c r="F107" i="42"/>
  <c r="F233" i="25"/>
  <c r="F84" i="37"/>
  <c r="F211" i="85"/>
  <c r="F202" i="142"/>
  <c r="F166" i="158"/>
  <c r="M19" i="72"/>
  <c r="F240" i="15"/>
  <c r="F211" i="46"/>
  <c r="F84" i="90"/>
  <c r="F84" i="43"/>
  <c r="F98" i="27"/>
  <c r="F66" i="42"/>
  <c r="F240" i="89"/>
  <c r="F202" i="87"/>
  <c r="F124" i="177"/>
  <c r="F116" i="157"/>
  <c r="F66" i="65"/>
  <c r="F98" i="14"/>
  <c r="F124" i="32"/>
  <c r="F124" i="43"/>
  <c r="F202" i="38"/>
  <c r="F66" i="38"/>
  <c r="F166" i="50"/>
  <c r="F233" i="95"/>
  <c r="F107" i="92"/>
  <c r="M19" i="79"/>
  <c r="F107" i="95"/>
  <c r="F240" i="27"/>
  <c r="F98" i="38"/>
  <c r="F233" i="43"/>
  <c r="F84" i="49"/>
  <c r="F84" i="150"/>
  <c r="F66" i="165"/>
  <c r="F211" i="38"/>
  <c r="F124" i="89"/>
  <c r="F66" i="50"/>
  <c r="F166" i="1"/>
  <c r="F66" i="1"/>
  <c r="F84" i="95"/>
  <c r="F98" i="94"/>
  <c r="F211" i="25"/>
  <c r="F124" i="95"/>
  <c r="F107" i="158"/>
  <c r="O18" i="142"/>
  <c r="F233" i="102"/>
  <c r="F116" i="37"/>
  <c r="F202" i="156"/>
  <c r="F233" i="64"/>
  <c r="F107" i="103"/>
  <c r="F116" i="31"/>
  <c r="F233" i="38"/>
  <c r="F66" i="95"/>
  <c r="F166" i="38"/>
  <c r="F84" i="28"/>
  <c r="F166" i="150"/>
  <c r="F211" i="150"/>
  <c r="F84" i="46"/>
  <c r="F166" i="92"/>
  <c r="F211" i="175"/>
  <c r="F202" i="65"/>
  <c r="F84" i="92"/>
  <c r="F107" i="86"/>
  <c r="F98" i="42"/>
  <c r="F107" i="89"/>
  <c r="F233" i="150"/>
  <c r="F66" i="72"/>
  <c r="F107" i="16"/>
  <c r="F116" i="94"/>
  <c r="F84" i="158"/>
  <c r="F124" i="47"/>
  <c r="F202" i="174"/>
  <c r="F84" i="27"/>
  <c r="F84" i="20"/>
  <c r="F233" i="20"/>
  <c r="F84" i="14"/>
  <c r="F116" i="95"/>
  <c r="F116" i="38"/>
  <c r="F211" i="50"/>
  <c r="F84" i="54"/>
  <c r="O18" i="152"/>
  <c r="O19" i="65"/>
  <c r="F233" i="27"/>
  <c r="F107" i="62"/>
  <c r="F116" i="55"/>
  <c r="F211" i="31"/>
  <c r="F202" i="177"/>
  <c r="F116" i="92"/>
  <c r="F124" i="92"/>
  <c r="F166" i="20"/>
  <c r="F211" i="71"/>
  <c r="F211" i="98"/>
  <c r="F98" i="120"/>
  <c r="F166" i="177"/>
  <c r="F166" i="46"/>
  <c r="F84" i="58"/>
  <c r="F233" i="84"/>
  <c r="F242" i="164"/>
  <c r="F116" i="62"/>
  <c r="F211" i="141"/>
  <c r="F233" i="118"/>
  <c r="F98" i="95"/>
  <c r="F242" i="24"/>
  <c r="F98" i="24"/>
  <c r="O24" i="119"/>
  <c r="O22" i="55"/>
  <c r="F107" i="15"/>
  <c r="F107" i="83"/>
  <c r="F84" i="104"/>
  <c r="F202" i="43"/>
  <c r="F84" i="39"/>
  <c r="F233" i="156"/>
  <c r="F116" i="14"/>
  <c r="F211" i="39"/>
  <c r="I116" i="167"/>
  <c r="F84" i="177"/>
  <c r="F107" i="43"/>
  <c r="F116" i="177"/>
  <c r="F116" i="164"/>
  <c r="F116" i="87"/>
  <c r="F202" i="158"/>
  <c r="F107" i="60"/>
  <c r="F233" i="85"/>
  <c r="F211" i="68"/>
  <c r="F107" i="104"/>
  <c r="F211" i="84"/>
  <c r="F66" i="142"/>
  <c r="F233" i="71"/>
  <c r="F107" i="120"/>
  <c r="F211" i="177"/>
  <c r="F98" i="72"/>
  <c r="F202" i="141"/>
  <c r="F233" i="103"/>
  <c r="F98" i="87"/>
  <c r="O18" i="38"/>
  <c r="I124" i="20"/>
  <c r="F124" i="20"/>
  <c r="F107" i="85"/>
  <c r="O18" i="85"/>
  <c r="F84" i="85"/>
  <c r="F66" i="27"/>
  <c r="F116" i="106"/>
  <c r="F116" i="83"/>
  <c r="O17" i="92"/>
  <c r="F116" i="145"/>
  <c r="O17" i="65"/>
  <c r="F233" i="65"/>
  <c r="F124" i="50"/>
  <c r="F233" i="92"/>
  <c r="F233" i="98"/>
  <c r="F66" i="150"/>
  <c r="F116" i="47"/>
  <c r="F166" i="31"/>
  <c r="F66" i="94"/>
  <c r="F98" i="150"/>
  <c r="F211" i="145"/>
  <c r="F124" i="14"/>
  <c r="F242" i="86"/>
  <c r="F84" i="64"/>
  <c r="F242" i="177"/>
  <c r="F202" i="150"/>
  <c r="O22" i="167"/>
  <c r="F84" i="142"/>
  <c r="F124" i="83"/>
  <c r="F66" i="53"/>
  <c r="F116" i="178"/>
  <c r="F124" i="39"/>
  <c r="F166" i="87"/>
  <c r="F166" i="86"/>
  <c r="F202" i="118"/>
  <c r="F202" i="103"/>
  <c r="F98" i="31"/>
  <c r="F202" i="95"/>
  <c r="F211" i="1"/>
  <c r="F98" i="1"/>
  <c r="F202" i="42"/>
  <c r="F202" i="157"/>
  <c r="F202" i="32"/>
  <c r="M19" i="14"/>
  <c r="F166" i="95"/>
  <c r="I240" i="38"/>
  <c r="M19" i="38"/>
  <c r="F66" i="106"/>
  <c r="F166" i="49"/>
  <c r="F124" i="142"/>
  <c r="F107" i="142"/>
  <c r="F233" i="31"/>
  <c r="F233" i="46"/>
  <c r="F242" i="92"/>
  <c r="F107" i="84"/>
  <c r="F107" i="1"/>
  <c r="F166" i="141"/>
  <c r="F124" i="156"/>
  <c r="F116" i="63"/>
  <c r="F211" i="28"/>
  <c r="F124" i="15"/>
  <c r="M19" i="92"/>
  <c r="I240" i="92"/>
  <c r="F124" i="1"/>
  <c r="F66" i="16"/>
  <c r="F98" i="55"/>
  <c r="F66" i="31"/>
  <c r="F84" i="50"/>
  <c r="F116" i="50"/>
  <c r="M19" i="118"/>
  <c r="F107" i="156"/>
  <c r="F84" i="60"/>
  <c r="F202" i="119"/>
  <c r="F233" i="47"/>
  <c r="O24" i="141"/>
  <c r="F166" i="65"/>
  <c r="F84" i="31"/>
  <c r="F202" i="1"/>
  <c r="F242" i="38"/>
  <c r="H220" i="72"/>
  <c r="O23" i="72"/>
  <c r="F124" i="72"/>
  <c r="F233" i="72"/>
  <c r="O20" i="72"/>
  <c r="F84" i="72"/>
  <c r="F240" i="72"/>
  <c r="O21" i="72"/>
  <c r="H220" i="79"/>
  <c r="O21" i="79"/>
  <c r="F240" i="79"/>
  <c r="O24" i="79"/>
  <c r="O18" i="37"/>
  <c r="F124" i="37"/>
  <c r="O23" i="37"/>
  <c r="F240" i="37"/>
  <c r="O21" i="85"/>
  <c r="O24" i="85"/>
  <c r="O17" i="85"/>
  <c r="F240" i="85"/>
  <c r="O16" i="85"/>
  <c r="H220" i="20"/>
  <c r="F116" i="20"/>
  <c r="O21" i="102"/>
  <c r="F240" i="102"/>
  <c r="F98" i="19"/>
  <c r="F211" i="19"/>
  <c r="F124" i="19"/>
  <c r="F233" i="19"/>
  <c r="F240" i="19"/>
  <c r="F116" i="19"/>
  <c r="F66" i="62"/>
  <c r="H220" i="177"/>
  <c r="F240" i="145"/>
  <c r="F124" i="145"/>
  <c r="O21" i="167"/>
  <c r="I84" i="167"/>
  <c r="I124" i="167"/>
  <c r="O16" i="167"/>
  <c r="I66" i="167"/>
  <c r="I211" i="167"/>
  <c r="F124" i="157"/>
  <c r="F202" i="165"/>
  <c r="F98" i="175"/>
  <c r="F107" i="28"/>
  <c r="F233" i="141"/>
  <c r="F116" i="79"/>
  <c r="F107" i="37"/>
  <c r="F124" i="85"/>
  <c r="F233" i="104"/>
  <c r="F124" i="28"/>
  <c r="F116" i="141"/>
  <c r="F66" i="104"/>
  <c r="F166" i="72"/>
  <c r="F98" i="39"/>
  <c r="F107" i="46"/>
  <c r="F233" i="68"/>
  <c r="F202" i="66"/>
  <c r="F166" i="165"/>
  <c r="F211" i="37"/>
  <c r="F116" i="104"/>
  <c r="F211" i="104"/>
  <c r="F116" i="60"/>
  <c r="O17" i="25"/>
  <c r="F107" i="63"/>
  <c r="F116" i="90"/>
  <c r="F98" i="104"/>
  <c r="F211" i="89"/>
  <c r="F84" i="152"/>
  <c r="F211" i="63"/>
  <c r="O19" i="71"/>
  <c r="M19" i="98"/>
  <c r="F211" i="15"/>
  <c r="F202" i="178"/>
  <c r="F233" i="15"/>
  <c r="F66" i="55"/>
  <c r="F66" i="32"/>
  <c r="F66" i="120"/>
  <c r="F66" i="87"/>
  <c r="F66" i="14"/>
  <c r="F124" i="68"/>
  <c r="F84" i="32"/>
  <c r="O18" i="20"/>
  <c r="F166" i="119"/>
  <c r="O24" i="24"/>
  <c r="F124" i="158"/>
  <c r="F116" i="152"/>
  <c r="F98" i="63"/>
  <c r="F116" i="175"/>
  <c r="F116" i="24"/>
  <c r="F124" i="90"/>
  <c r="F124" i="79"/>
  <c r="O19" i="20"/>
  <c r="M19" i="20"/>
  <c r="F166" i="43"/>
  <c r="F124" i="103"/>
  <c r="F202" i="68"/>
  <c r="F116" i="25"/>
  <c r="F107" i="178"/>
  <c r="F66" i="90"/>
  <c r="F66" i="46"/>
  <c r="F202" i="58"/>
  <c r="F124" i="102"/>
  <c r="F124" i="46"/>
  <c r="F66" i="19"/>
  <c r="F124" i="25"/>
  <c r="F124" i="104"/>
  <c r="F116" i="156"/>
  <c r="F233" i="119"/>
  <c r="F98" i="119"/>
  <c r="F107" i="71"/>
  <c r="F116" i="28"/>
  <c r="F116" i="32"/>
  <c r="F66" i="79"/>
  <c r="O19" i="32"/>
  <c r="F107" i="119"/>
  <c r="F84" i="119"/>
  <c r="F84" i="47"/>
  <c r="F124" i="120"/>
  <c r="F166" i="16"/>
  <c r="F98" i="152"/>
  <c r="F166" i="120"/>
  <c r="F66" i="158"/>
  <c r="F98" i="37"/>
  <c r="F211" i="120"/>
  <c r="F98" i="43"/>
  <c r="F166" i="90"/>
  <c r="F202" i="24"/>
  <c r="F202" i="55"/>
  <c r="F202" i="63"/>
  <c r="F116" i="58"/>
  <c r="O21" i="37"/>
  <c r="F98" i="164"/>
  <c r="I240" i="87"/>
  <c r="M19" i="87"/>
  <c r="O19" i="42"/>
  <c r="F84" i="24"/>
  <c r="F107" i="90"/>
  <c r="F107" i="19"/>
  <c r="F66" i="152"/>
  <c r="F202" i="19"/>
  <c r="F166" i="19"/>
  <c r="F84" i="79"/>
  <c r="F233" i="120"/>
  <c r="F124" i="71"/>
  <c r="M19" i="177"/>
  <c r="I240" i="177"/>
  <c r="F84" i="84"/>
  <c r="O20" i="37"/>
  <c r="O16" i="118"/>
  <c r="F202" i="72"/>
  <c r="F116" i="27"/>
  <c r="I116" i="72"/>
  <c r="F202" i="64"/>
  <c r="F211" i="86"/>
  <c r="F116" i="84"/>
  <c r="F84" i="118"/>
  <c r="F66" i="119"/>
  <c r="F66" i="157"/>
  <c r="F202" i="145"/>
  <c r="F202" i="90"/>
  <c r="F166" i="84"/>
  <c r="F98" i="54"/>
  <c r="F166" i="47"/>
  <c r="O20" i="24"/>
  <c r="F84" i="19"/>
  <c r="F124" i="119"/>
  <c r="F202" i="62"/>
  <c r="F98" i="79"/>
  <c r="F202" i="89"/>
  <c r="F107" i="157"/>
  <c r="F84" i="63"/>
  <c r="O22" i="19"/>
  <c r="F116" i="43"/>
  <c r="F211" i="49"/>
  <c r="F211" i="72"/>
  <c r="F124" i="141"/>
  <c r="H220" i="55"/>
  <c r="F84" i="68"/>
  <c r="F124" i="38"/>
  <c r="F124" i="55"/>
  <c r="F124" i="63"/>
  <c r="M19" i="167"/>
  <c r="I240" i="167"/>
  <c r="F124" i="178"/>
  <c r="F98" i="178"/>
  <c r="F98" i="89"/>
  <c r="F66" i="85"/>
  <c r="F166" i="32"/>
  <c r="F84" i="120"/>
  <c r="F116" i="71"/>
  <c r="F98" i="102"/>
  <c r="F233" i="49"/>
  <c r="F66" i="118"/>
  <c r="F233" i="63"/>
  <c r="F242" i="167"/>
  <c r="F241" i="167"/>
  <c r="F240" i="43"/>
  <c r="F84" i="178"/>
  <c r="F166" i="89"/>
  <c r="F66" i="71"/>
  <c r="F66" i="43"/>
  <c r="F66" i="49"/>
  <c r="F166" i="66"/>
  <c r="F84" i="156"/>
  <c r="F66" i="54"/>
  <c r="F84" i="66"/>
  <c r="F166" i="98"/>
  <c r="F166" i="178"/>
  <c r="F84" i="87"/>
  <c r="F107" i="39"/>
  <c r="F107" i="133"/>
  <c r="F107" i="145"/>
  <c r="F202" i="104"/>
  <c r="F166" i="62"/>
  <c r="F202" i="71"/>
  <c r="F107" i="102"/>
  <c r="F202" i="49"/>
  <c r="F166" i="63"/>
  <c r="F166" i="58"/>
  <c r="F107" i="54"/>
  <c r="F66" i="145"/>
  <c r="F116" i="98"/>
  <c r="F98" i="62"/>
  <c r="F116" i="68"/>
  <c r="O20" i="79"/>
  <c r="F98" i="118"/>
  <c r="F240" i="155"/>
  <c r="F202" i="28"/>
  <c r="F66" i="25"/>
  <c r="F166" i="85"/>
  <c r="F202" i="37"/>
  <c r="F166" i="42"/>
  <c r="F66" i="63"/>
  <c r="O22" i="79"/>
  <c r="F166" i="14"/>
  <c r="F124" i="155"/>
  <c r="F202" i="25"/>
  <c r="F166" i="15"/>
  <c r="F66" i="37"/>
  <c r="F124" i="58"/>
  <c r="F66" i="68"/>
  <c r="F66" i="102"/>
  <c r="F84" i="145"/>
  <c r="F202" i="60"/>
  <c r="F166" i="102"/>
  <c r="F166" i="174"/>
  <c r="F98" i="66"/>
  <c r="F84" i="98"/>
  <c r="F84" i="103"/>
  <c r="O18" i="86"/>
  <c r="F98" i="103"/>
  <c r="F166" i="118"/>
  <c r="F213" i="167"/>
  <c r="F202" i="15"/>
  <c r="F84" i="133"/>
  <c r="F202" i="98"/>
  <c r="F211" i="133"/>
  <c r="F107" i="55"/>
  <c r="F116" i="102"/>
  <c r="F66" i="83"/>
  <c r="F66" i="24"/>
  <c r="F66" i="60"/>
  <c r="F66" i="155"/>
  <c r="F116" i="39"/>
  <c r="F84" i="71"/>
  <c r="F98" i="145"/>
  <c r="F84" i="15"/>
  <c r="F202" i="83"/>
  <c r="F98" i="46"/>
  <c r="F166" i="60"/>
  <c r="F233" i="66"/>
  <c r="F107" i="58"/>
  <c r="F84" i="106"/>
  <c r="F107" i="98"/>
  <c r="F124" i="174"/>
  <c r="F66" i="98"/>
  <c r="F233" i="58"/>
  <c r="I233" i="37"/>
  <c r="F202" i="27"/>
  <c r="F166" i="27"/>
  <c r="F124" i="133"/>
  <c r="F84" i="62"/>
  <c r="F84" i="83"/>
  <c r="G86" i="97" s="1"/>
  <c r="F233" i="178"/>
  <c r="F242" i="178"/>
  <c r="F202" i="85"/>
  <c r="F66" i="178"/>
  <c r="F211" i="178"/>
  <c r="F166" i="25"/>
  <c r="F116" i="85"/>
  <c r="F202" i="102"/>
  <c r="F166" i="68"/>
  <c r="F66" i="103"/>
  <c r="F98" i="47"/>
  <c r="F98" i="15"/>
  <c r="F211" i="58"/>
  <c r="F98" i="49"/>
  <c r="F202" i="94"/>
  <c r="F84" i="164"/>
  <c r="F166" i="103"/>
  <c r="F98" i="71"/>
  <c r="F98" i="20"/>
  <c r="F98" i="83"/>
  <c r="G100" i="97" s="1"/>
  <c r="F107" i="49"/>
  <c r="F98" i="106"/>
  <c r="F202" i="53"/>
  <c r="F233" i="54"/>
  <c r="F66" i="64"/>
  <c r="F202" i="79"/>
  <c r="F166" i="152"/>
  <c r="F202" i="39"/>
  <c r="F66" i="28"/>
  <c r="F66" i="92"/>
  <c r="F166" i="37"/>
  <c r="F166" i="71"/>
  <c r="F166" i="104"/>
  <c r="F66" i="58"/>
  <c r="F107" i="94"/>
  <c r="F166" i="145"/>
  <c r="F116" i="103"/>
  <c r="M19" i="39"/>
  <c r="I240" i="39"/>
  <c r="F66" i="15"/>
  <c r="O17" i="102"/>
  <c r="F98" i="58"/>
  <c r="F240" i="63"/>
  <c r="F98" i="60"/>
  <c r="F202" i="46"/>
  <c r="F66" i="66"/>
  <c r="O20" i="145"/>
  <c r="F166" i="53"/>
  <c r="F66" i="174"/>
  <c r="F66" i="164"/>
  <c r="O24" i="167"/>
  <c r="I233" i="167"/>
  <c r="F166" i="94"/>
  <c r="F166" i="175"/>
  <c r="F211" i="155"/>
  <c r="F211" i="64"/>
  <c r="F98" i="64"/>
  <c r="F211" i="14"/>
  <c r="I98" i="167"/>
  <c r="F66" i="175"/>
  <c r="F166" i="155"/>
  <c r="F107" i="155"/>
  <c r="F202" i="152"/>
  <c r="F124" i="152"/>
  <c r="F202" i="175"/>
  <c r="F211" i="43"/>
  <c r="I166" i="167"/>
  <c r="F84" i="165"/>
  <c r="F66" i="47"/>
  <c r="F116" i="165"/>
  <c r="F107" i="165"/>
  <c r="F98" i="165"/>
  <c r="F98" i="156"/>
  <c r="F166" i="83"/>
  <c r="O18" i="79"/>
  <c r="F202" i="155"/>
  <c r="F124" i="64"/>
  <c r="F166" i="133"/>
  <c r="F98" i="98"/>
  <c r="I107" i="167"/>
  <c r="F66" i="20"/>
  <c r="F84" i="155"/>
  <c r="F166" i="28"/>
  <c r="F98" i="133"/>
  <c r="F66" i="133"/>
  <c r="F84" i="175"/>
  <c r="F124" i="98"/>
  <c r="O21" i="20"/>
  <c r="F202" i="14"/>
  <c r="F107" i="20"/>
  <c r="F66" i="156"/>
  <c r="F116" i="133"/>
  <c r="O23" i="174"/>
  <c r="F233" i="155"/>
  <c r="F211" i="79"/>
  <c r="F166" i="79"/>
  <c r="F66" i="39"/>
  <c r="I202" i="167"/>
  <c r="F202" i="20"/>
  <c r="F166" i="39"/>
  <c r="F66" i="84"/>
  <c r="F202" i="113"/>
  <c r="F240" i="113"/>
  <c r="F211" i="113"/>
  <c r="F233" i="113"/>
  <c r="F124" i="113"/>
  <c r="F166" i="113"/>
  <c r="H220" i="84"/>
  <c r="G68" i="97" l="1"/>
  <c r="G118" i="97"/>
  <c r="G235" i="97"/>
  <c r="G168" i="97"/>
  <c r="G126" i="97"/>
  <c r="G109" i="97"/>
  <c r="G204" i="97"/>
  <c r="G213" i="97"/>
  <c r="G28" i="97"/>
  <c r="M20" i="165"/>
  <c r="O163" i="37"/>
  <c r="J231" i="37"/>
  <c r="J233" i="135"/>
  <c r="J231" i="135"/>
  <c r="O35" i="57"/>
  <c r="J231" i="57"/>
  <c r="O103" i="167"/>
  <c r="J231" i="167"/>
  <c r="O43" i="33"/>
  <c r="J231" i="33"/>
  <c r="O154" i="111"/>
  <c r="J231" i="111"/>
  <c r="O44" i="21"/>
  <c r="J231" i="21"/>
  <c r="M20" i="157"/>
  <c r="O21" i="24"/>
  <c r="J14" i="135"/>
  <c r="J15" i="135"/>
  <c r="J12" i="135"/>
  <c r="J13" i="135"/>
  <c r="J15" i="21"/>
  <c r="J14" i="21"/>
  <c r="J12" i="21"/>
  <c r="J13" i="21"/>
  <c r="J20" i="167"/>
  <c r="J14" i="167"/>
  <c r="J12" i="167"/>
  <c r="J13" i="167"/>
  <c r="J15" i="167"/>
  <c r="J13" i="33"/>
  <c r="J12" i="33"/>
  <c r="J14" i="33"/>
  <c r="J15" i="33"/>
  <c r="J12" i="136"/>
  <c r="J15" i="136"/>
  <c r="J13" i="136"/>
  <c r="J14" i="136"/>
  <c r="J12" i="57"/>
  <c r="J13" i="57"/>
  <c r="J14" i="57"/>
  <c r="J15" i="57"/>
  <c r="J12" i="111"/>
  <c r="J15" i="111"/>
  <c r="J14" i="111"/>
  <c r="J13" i="111"/>
  <c r="J25" i="159"/>
  <c r="J15" i="159"/>
  <c r="J13" i="159"/>
  <c r="J14" i="159"/>
  <c r="J12" i="159"/>
  <c r="M20" i="33"/>
  <c r="M20" i="111"/>
  <c r="O60" i="111"/>
  <c r="J16" i="33"/>
  <c r="O152" i="111"/>
  <c r="O47" i="159"/>
  <c r="I241" i="159"/>
  <c r="I243" i="159" s="1"/>
  <c r="O39" i="33"/>
  <c r="J17" i="33"/>
  <c r="O185" i="135"/>
  <c r="O208" i="33"/>
  <c r="O66" i="136"/>
  <c r="O182" i="21"/>
  <c r="O54" i="111"/>
  <c r="I242" i="57"/>
  <c r="J18" i="159"/>
  <c r="O188" i="33"/>
  <c r="O175" i="33"/>
  <c r="O38" i="33"/>
  <c r="O183" i="33"/>
  <c r="O189" i="33"/>
  <c r="O87" i="33"/>
  <c r="O161" i="33"/>
  <c r="O69" i="111"/>
  <c r="O132" i="111"/>
  <c r="O31" i="111"/>
  <c r="O116" i="136"/>
  <c r="J20" i="159"/>
  <c r="J17" i="159"/>
  <c r="J23" i="159"/>
  <c r="I240" i="98"/>
  <c r="I242" i="98" s="1"/>
  <c r="O52" i="135"/>
  <c r="O50" i="135"/>
  <c r="M19" i="84"/>
  <c r="O104" i="21"/>
  <c r="O34" i="135"/>
  <c r="O119" i="135"/>
  <c r="O165" i="111"/>
  <c r="J26" i="159"/>
  <c r="O36" i="111"/>
  <c r="O182" i="111"/>
  <c r="O74" i="111"/>
  <c r="O116" i="111"/>
  <c r="J19" i="159"/>
  <c r="O110" i="111"/>
  <c r="J225" i="111"/>
  <c r="O45" i="135"/>
  <c r="O186" i="135"/>
  <c r="O55" i="135"/>
  <c r="O62" i="135"/>
  <c r="O156" i="135"/>
  <c r="O97" i="135"/>
  <c r="O150" i="135"/>
  <c r="O179" i="135"/>
  <c r="O140" i="135"/>
  <c r="O105" i="135"/>
  <c r="O210" i="135"/>
  <c r="O120" i="135"/>
  <c r="O155" i="135"/>
  <c r="J229" i="135"/>
  <c r="O72" i="135"/>
  <c r="O207" i="135"/>
  <c r="O60" i="135"/>
  <c r="O33" i="135"/>
  <c r="O198" i="135"/>
  <c r="O152" i="135"/>
  <c r="O83" i="135"/>
  <c r="O65" i="135"/>
  <c r="O31" i="135"/>
  <c r="O107" i="135"/>
  <c r="O98" i="135"/>
  <c r="O146" i="135"/>
  <c r="O145" i="135"/>
  <c r="O46" i="135"/>
  <c r="O79" i="135"/>
  <c r="O187" i="135"/>
  <c r="O40" i="135"/>
  <c r="O138" i="135"/>
  <c r="O148" i="135"/>
  <c r="O131" i="135"/>
  <c r="O114" i="135"/>
  <c r="O81" i="21"/>
  <c r="O106" i="21"/>
  <c r="O61" i="21"/>
  <c r="O199" i="21"/>
  <c r="O116" i="159"/>
  <c r="O105" i="111"/>
  <c r="O188" i="111"/>
  <c r="O92" i="111"/>
  <c r="O183" i="111"/>
  <c r="O88" i="111"/>
  <c r="O169" i="111"/>
  <c r="O201" i="159"/>
  <c r="O33" i="111"/>
  <c r="O46" i="111"/>
  <c r="O191" i="111"/>
  <c r="O137" i="159"/>
  <c r="O175" i="111"/>
  <c r="O187" i="111"/>
  <c r="O145" i="111"/>
  <c r="O35" i="159"/>
  <c r="O136" i="111"/>
  <c r="O129" i="111"/>
  <c r="O146" i="111"/>
  <c r="O193" i="159"/>
  <c r="J16" i="159"/>
  <c r="M16" i="159"/>
  <c r="O51" i="111"/>
  <c r="O176" i="111"/>
  <c r="O179" i="111"/>
  <c r="O205" i="111"/>
  <c r="O199" i="111"/>
  <c r="O50" i="159"/>
  <c r="O44" i="159"/>
  <c r="J22" i="159"/>
  <c r="J21" i="159"/>
  <c r="O41" i="111"/>
  <c r="O112" i="111"/>
  <c r="O32" i="111"/>
  <c r="O173" i="111"/>
  <c r="O163" i="111"/>
  <c r="O166" i="111"/>
  <c r="J24" i="159"/>
  <c r="O43" i="111"/>
  <c r="O143" i="111"/>
  <c r="O38" i="111"/>
  <c r="O195" i="111"/>
  <c r="O194" i="111"/>
  <c r="H209" i="97"/>
  <c r="H208" i="97"/>
  <c r="H207" i="97"/>
  <c r="H211" i="155"/>
  <c r="H213" i="97" s="1"/>
  <c r="O124" i="111"/>
  <c r="O73" i="111"/>
  <c r="O71" i="111"/>
  <c r="O82" i="111"/>
  <c r="O107" i="111"/>
  <c r="O131" i="111"/>
  <c r="O57" i="111"/>
  <c r="O153" i="111"/>
  <c r="O115" i="111"/>
  <c r="O156" i="111"/>
  <c r="O190" i="111"/>
  <c r="O198" i="111"/>
  <c r="O123" i="111"/>
  <c r="O47" i="111"/>
  <c r="O101" i="111"/>
  <c r="O48" i="111"/>
  <c r="O192" i="111"/>
  <c r="O197" i="111"/>
  <c r="O114" i="111"/>
  <c r="O161" i="111"/>
  <c r="O59" i="111"/>
  <c r="O75" i="111"/>
  <c r="O87" i="111"/>
  <c r="J229" i="111"/>
  <c r="O157" i="21"/>
  <c r="O132" i="21"/>
  <c r="O148" i="159"/>
  <c r="O91" i="111"/>
  <c r="O37" i="111"/>
  <c r="O181" i="111"/>
  <c r="O119" i="111"/>
  <c r="O165" i="159"/>
  <c r="O138" i="159"/>
  <c r="O34" i="159"/>
  <c r="O120" i="159"/>
  <c r="O114" i="159"/>
  <c r="O79" i="159"/>
  <c r="O123" i="159"/>
  <c r="O130" i="111"/>
  <c r="O121" i="111"/>
  <c r="O207" i="111"/>
  <c r="O35" i="111"/>
  <c r="O78" i="111"/>
  <c r="O189" i="111"/>
  <c r="O79" i="111"/>
  <c r="O210" i="111"/>
  <c r="O206" i="111"/>
  <c r="O170" i="111"/>
  <c r="O90" i="111"/>
  <c r="O39" i="111"/>
  <c r="O155" i="111"/>
  <c r="O113" i="111"/>
  <c r="O83" i="111"/>
  <c r="O103" i="111"/>
  <c r="J226" i="111"/>
  <c r="O64" i="111"/>
  <c r="O53" i="111"/>
  <c r="O202" i="111"/>
  <c r="O82" i="21"/>
  <c r="O162" i="111"/>
  <c r="O89" i="111"/>
  <c r="O185" i="111"/>
  <c r="O72" i="111"/>
  <c r="O142" i="111"/>
  <c r="O111" i="111"/>
  <c r="O43" i="159"/>
  <c r="O52" i="111"/>
  <c r="O44" i="111"/>
  <c r="O93" i="111"/>
  <c r="O122" i="159"/>
  <c r="O61" i="159"/>
  <c r="J226" i="159"/>
  <c r="O42" i="111"/>
  <c r="O164" i="111"/>
  <c r="O151" i="111"/>
  <c r="O211" i="111"/>
  <c r="O70" i="111"/>
  <c r="O55" i="111"/>
  <c r="O58" i="111"/>
  <c r="O80" i="111"/>
  <c r="I241" i="111"/>
  <c r="O178" i="111"/>
  <c r="O120" i="111"/>
  <c r="O49" i="111"/>
  <c r="O138" i="111"/>
  <c r="O63" i="111"/>
  <c r="O56" i="111"/>
  <c r="O76" i="111"/>
  <c r="J227" i="111"/>
  <c r="O106" i="111"/>
  <c r="O208" i="111"/>
  <c r="O84" i="111"/>
  <c r="O200" i="111"/>
  <c r="O147" i="111"/>
  <c r="O128" i="111"/>
  <c r="J224" i="111"/>
  <c r="O157" i="111"/>
  <c r="O137" i="111"/>
  <c r="O134" i="111"/>
  <c r="O158" i="111"/>
  <c r="O104" i="111"/>
  <c r="J230" i="111"/>
  <c r="O61" i="111"/>
  <c r="O77" i="111"/>
  <c r="M18" i="111"/>
  <c r="O124" i="21"/>
  <c r="O202" i="159"/>
  <c r="O138" i="21"/>
  <c r="O162" i="21"/>
  <c r="O185" i="21"/>
  <c r="O98" i="111"/>
  <c r="O97" i="111"/>
  <c r="O40" i="111"/>
  <c r="O30" i="111"/>
  <c r="O174" i="159"/>
  <c r="O208" i="159"/>
  <c r="O174" i="111"/>
  <c r="O140" i="111"/>
  <c r="O184" i="111"/>
  <c r="O34" i="111"/>
  <c r="O94" i="111"/>
  <c r="O122" i="111"/>
  <c r="O186" i="111"/>
  <c r="O135" i="111"/>
  <c r="O172" i="111"/>
  <c r="O196" i="111"/>
  <c r="J232" i="111"/>
  <c r="O201" i="111"/>
  <c r="O66" i="159"/>
  <c r="O158" i="159"/>
  <c r="J233" i="159"/>
  <c r="O209" i="111"/>
  <c r="O50" i="111"/>
  <c r="O96" i="111"/>
  <c r="O177" i="111"/>
  <c r="O102" i="111"/>
  <c r="O45" i="111"/>
  <c r="O150" i="111"/>
  <c r="J233" i="111"/>
  <c r="O141" i="111"/>
  <c r="O171" i="111"/>
  <c r="J228" i="111"/>
  <c r="O180" i="111"/>
  <c r="O81" i="111"/>
  <c r="O148" i="111"/>
  <c r="O95" i="111"/>
  <c r="O193" i="111"/>
  <c r="O160" i="111"/>
  <c r="O62" i="111"/>
  <c r="O93" i="21"/>
  <c r="O191" i="21"/>
  <c r="O178" i="21"/>
  <c r="O97" i="159"/>
  <c r="O60" i="159"/>
  <c r="O33" i="159"/>
  <c r="O98" i="21"/>
  <c r="O183" i="21"/>
  <c r="O47" i="21"/>
  <c r="O154" i="21"/>
  <c r="J229" i="21"/>
  <c r="O169" i="21"/>
  <c r="O56" i="21"/>
  <c r="O38" i="21"/>
  <c r="O90" i="21"/>
  <c r="O194" i="21"/>
  <c r="O175" i="21"/>
  <c r="O186" i="21"/>
  <c r="O80" i="21"/>
  <c r="O79" i="21"/>
  <c r="O54" i="21"/>
  <c r="O208" i="21"/>
  <c r="O146" i="21"/>
  <c r="O140" i="21"/>
  <c r="O163" i="21"/>
  <c r="J225" i="21"/>
  <c r="O151" i="21"/>
  <c r="J228" i="21"/>
  <c r="O40" i="21"/>
  <c r="O50" i="21"/>
  <c r="O32" i="21"/>
  <c r="O62" i="21"/>
  <c r="O121" i="21"/>
  <c r="O134" i="21"/>
  <c r="O211" i="21"/>
  <c r="O72" i="21"/>
  <c r="O46" i="21"/>
  <c r="O49" i="21"/>
  <c r="O179" i="21"/>
  <c r="O177" i="21"/>
  <c r="O102" i="21"/>
  <c r="J232" i="21"/>
  <c r="O43" i="21"/>
  <c r="O171" i="21"/>
  <c r="O115" i="21"/>
  <c r="O65" i="21"/>
  <c r="O198" i="21"/>
  <c r="O193" i="21"/>
  <c r="O111" i="21"/>
  <c r="O45" i="21"/>
  <c r="O58" i="21"/>
  <c r="O30" i="21"/>
  <c r="O143" i="21"/>
  <c r="O188" i="21"/>
  <c r="O180" i="21"/>
  <c r="O83" i="21"/>
  <c r="O128" i="21"/>
  <c r="O101" i="21"/>
  <c r="O39" i="21"/>
  <c r="J224" i="21"/>
  <c r="O114" i="21"/>
  <c r="O181" i="21"/>
  <c r="O31" i="21"/>
  <c r="O97" i="21"/>
  <c r="O166" i="21"/>
  <c r="O105" i="21"/>
  <c r="O187" i="21"/>
  <c r="O69" i="21"/>
  <c r="O76" i="21"/>
  <c r="O189" i="21"/>
  <c r="O74" i="21"/>
  <c r="O110" i="21"/>
  <c r="O200" i="21"/>
  <c r="O150" i="21"/>
  <c r="O75" i="21"/>
  <c r="O136" i="21"/>
  <c r="O145" i="21"/>
  <c r="O34" i="21"/>
  <c r="O172" i="21"/>
  <c r="O48" i="21"/>
  <c r="O66" i="21"/>
  <c r="O78" i="21"/>
  <c r="O120" i="21"/>
  <c r="O202" i="21"/>
  <c r="O209" i="21"/>
  <c r="O148" i="21"/>
  <c r="O184" i="21"/>
  <c r="O41" i="21"/>
  <c r="O33" i="21"/>
  <c r="O130" i="21"/>
  <c r="O158" i="21"/>
  <c r="O174" i="21"/>
  <c r="O103" i="21"/>
  <c r="O36" i="21"/>
  <c r="O94" i="21"/>
  <c r="O116" i="21"/>
  <c r="O155" i="21"/>
  <c r="J230" i="21"/>
  <c r="O190" i="21"/>
  <c r="O112" i="21"/>
  <c r="O113" i="21"/>
  <c r="O53" i="21"/>
  <c r="O160" i="21"/>
  <c r="O42" i="21"/>
  <c r="O84" i="21"/>
  <c r="O91" i="21"/>
  <c r="O192" i="21"/>
  <c r="O195" i="21"/>
  <c r="O137" i="21"/>
  <c r="O87" i="21"/>
  <c r="O70" i="21"/>
  <c r="J227" i="21"/>
  <c r="O141" i="21"/>
  <c r="O173" i="21"/>
  <c r="O59" i="21"/>
  <c r="O119" i="21"/>
  <c r="J233" i="21"/>
  <c r="O207" i="21"/>
  <c r="O210" i="21"/>
  <c r="O176" i="21"/>
  <c r="O123" i="21"/>
  <c r="O96" i="21"/>
  <c r="O71" i="21"/>
  <c r="O64" i="21"/>
  <c r="O89" i="21"/>
  <c r="O135" i="21"/>
  <c r="O153" i="21"/>
  <c r="O63" i="21"/>
  <c r="O147" i="21"/>
  <c r="O92" i="21"/>
  <c r="O107" i="21"/>
  <c r="O95" i="21"/>
  <c r="O122" i="21"/>
  <c r="O165" i="21"/>
  <c r="O161" i="21"/>
  <c r="O51" i="21"/>
  <c r="O206" i="21"/>
  <c r="O88" i="21"/>
  <c r="I241" i="21"/>
  <c r="I242" i="21"/>
  <c r="O48" i="33"/>
  <c r="O95" i="33"/>
  <c r="O45" i="33"/>
  <c r="O61" i="33"/>
  <c r="O194" i="33"/>
  <c r="O102" i="33"/>
  <c r="O209" i="33"/>
  <c r="O123" i="33"/>
  <c r="O158" i="33"/>
  <c r="O166" i="33"/>
  <c r="O64" i="33"/>
  <c r="O107" i="33"/>
  <c r="O92" i="33"/>
  <c r="O169" i="33"/>
  <c r="O174" i="33"/>
  <c r="O128" i="33"/>
  <c r="O147" i="33"/>
  <c r="O120" i="33"/>
  <c r="O59" i="33"/>
  <c r="O114" i="33"/>
  <c r="O124" i="33"/>
  <c r="O182" i="33"/>
  <c r="O142" i="33"/>
  <c r="O50" i="33"/>
  <c r="O198" i="33"/>
  <c r="O122" i="33"/>
  <c r="O119" i="33"/>
  <c r="O74" i="33"/>
  <c r="O54" i="33"/>
  <c r="O32" i="33"/>
  <c r="O205" i="33"/>
  <c r="O80" i="33"/>
  <c r="O153" i="33"/>
  <c r="O193" i="33"/>
  <c r="O58" i="33"/>
  <c r="O37" i="33"/>
  <c r="O178" i="33"/>
  <c r="O201" i="33"/>
  <c r="O105" i="33"/>
  <c r="O101" i="33"/>
  <c r="O97" i="33"/>
  <c r="O113" i="33"/>
  <c r="O136" i="33"/>
  <c r="O33" i="33"/>
  <c r="O65" i="33"/>
  <c r="O155" i="33"/>
  <c r="O151" i="33"/>
  <c r="O207" i="33"/>
  <c r="O57" i="33"/>
  <c r="O79" i="33"/>
  <c r="O197" i="33"/>
  <c r="O72" i="33"/>
  <c r="O131" i="33"/>
  <c r="O134" i="33"/>
  <c r="O202" i="33"/>
  <c r="O184" i="33"/>
  <c r="O137" i="33"/>
  <c r="O173" i="33"/>
  <c r="O71" i="33"/>
  <c r="O47" i="33"/>
  <c r="J229" i="33"/>
  <c r="O206" i="33"/>
  <c r="O52" i="33"/>
  <c r="O41" i="33"/>
  <c r="J25" i="33"/>
  <c r="J22" i="33"/>
  <c r="M16" i="33"/>
  <c r="M20" i="135"/>
  <c r="O169" i="159"/>
  <c r="O63" i="159"/>
  <c r="O87" i="159"/>
  <c r="O179" i="159"/>
  <c r="O150" i="159"/>
  <c r="O36" i="159"/>
  <c r="O141" i="159"/>
  <c r="O49" i="159"/>
  <c r="O211" i="159"/>
  <c r="O132" i="135"/>
  <c r="O190" i="135"/>
  <c r="O196" i="135"/>
  <c r="O130" i="135"/>
  <c r="O47" i="135"/>
  <c r="O103" i="135"/>
  <c r="O94" i="135"/>
  <c r="O35" i="135"/>
  <c r="O82" i="135"/>
  <c r="O205" i="135"/>
  <c r="O176" i="135"/>
  <c r="O57" i="135"/>
  <c r="O163" i="135"/>
  <c r="O156" i="159"/>
  <c r="O31" i="159"/>
  <c r="O61" i="135"/>
  <c r="O181" i="159"/>
  <c r="O140" i="159"/>
  <c r="O195" i="159"/>
  <c r="O172" i="159"/>
  <c r="O170" i="159"/>
  <c r="O128" i="159"/>
  <c r="O40" i="33"/>
  <c r="O41" i="159"/>
  <c r="O40" i="159"/>
  <c r="O53" i="33"/>
  <c r="O98" i="33"/>
  <c r="O34" i="33"/>
  <c r="O46" i="33"/>
  <c r="O141" i="33"/>
  <c r="I241" i="33"/>
  <c r="O96" i="33"/>
  <c r="O35" i="33"/>
  <c r="O181" i="33"/>
  <c r="O82" i="33"/>
  <c r="O62" i="33"/>
  <c r="O132" i="33"/>
  <c r="O164" i="33"/>
  <c r="O36" i="33"/>
  <c r="O165" i="33"/>
  <c r="J228" i="33"/>
  <c r="O115" i="135"/>
  <c r="O87" i="135"/>
  <c r="O95" i="135"/>
  <c r="O76" i="135"/>
  <c r="O199" i="135"/>
  <c r="O188" i="135"/>
  <c r="O74" i="135"/>
  <c r="O43" i="135"/>
  <c r="O137" i="135"/>
  <c r="M18" i="135"/>
  <c r="O184" i="135"/>
  <c r="O151" i="135"/>
  <c r="O69" i="135"/>
  <c r="O185" i="159"/>
  <c r="O166" i="159"/>
  <c r="O42" i="159"/>
  <c r="O194" i="159"/>
  <c r="O45" i="159"/>
  <c r="O53" i="159"/>
  <c r="J232" i="159"/>
  <c r="O104" i="159"/>
  <c r="O186" i="159"/>
  <c r="O53" i="135"/>
  <c r="O39" i="159"/>
  <c r="O26" i="159"/>
  <c r="O84" i="33"/>
  <c r="J226" i="33"/>
  <c r="O104" i="33"/>
  <c r="O152" i="33"/>
  <c r="O200" i="33"/>
  <c r="O177" i="33"/>
  <c r="O172" i="33"/>
  <c r="O75" i="33"/>
  <c r="O91" i="33"/>
  <c r="O163" i="33"/>
  <c r="O93" i="33"/>
  <c r="O160" i="33"/>
  <c r="O185" i="33"/>
  <c r="O31" i="33"/>
  <c r="O135" i="33"/>
  <c r="O191" i="33"/>
  <c r="O70" i="33"/>
  <c r="O183" i="135"/>
  <c r="O160" i="135"/>
  <c r="O48" i="135"/>
  <c r="O77" i="135"/>
  <c r="O56" i="135"/>
  <c r="O93" i="135"/>
  <c r="O75" i="135"/>
  <c r="O200" i="135"/>
  <c r="O101" i="135"/>
  <c r="O173" i="135"/>
  <c r="O39" i="135"/>
  <c r="O128" i="135"/>
  <c r="O84" i="135"/>
  <c r="O121" i="159"/>
  <c r="O77" i="159"/>
  <c r="O62" i="159"/>
  <c r="O56" i="33"/>
  <c r="O211" i="33"/>
  <c r="O191" i="159"/>
  <c r="O106" i="159"/>
  <c r="O152" i="159"/>
  <c r="J227" i="159"/>
  <c r="O209" i="159"/>
  <c r="O82" i="159"/>
  <c r="O129" i="159"/>
  <c r="O116" i="33"/>
  <c r="O94" i="33"/>
  <c r="O115" i="33"/>
  <c r="O81" i="33"/>
  <c r="O190" i="33"/>
  <c r="O154" i="33"/>
  <c r="O138" i="33"/>
  <c r="O199" i="33"/>
  <c r="O129" i="33"/>
  <c r="O73" i="33"/>
  <c r="O148" i="33"/>
  <c r="O78" i="33"/>
  <c r="O192" i="33"/>
  <c r="O90" i="33"/>
  <c r="O171" i="33"/>
  <c r="O111" i="33"/>
  <c r="J230" i="33"/>
  <c r="O175" i="135"/>
  <c r="O54" i="135"/>
  <c r="O170" i="135"/>
  <c r="O38" i="135"/>
  <c r="J227" i="135"/>
  <c r="O104" i="135"/>
  <c r="O121" i="135"/>
  <c r="O106" i="135"/>
  <c r="O81" i="135"/>
  <c r="O181" i="135"/>
  <c r="O141" i="135"/>
  <c r="O147" i="135"/>
  <c r="O116" i="135"/>
  <c r="O202" i="135"/>
  <c r="O211" i="135"/>
  <c r="O142" i="159"/>
  <c r="O89" i="159"/>
  <c r="O26" i="33"/>
  <c r="O175" i="159"/>
  <c r="O192" i="159"/>
  <c r="O37" i="135"/>
  <c r="O37" i="159"/>
  <c r="O145" i="159"/>
  <c r="O90" i="159"/>
  <c r="O143" i="159"/>
  <c r="O75" i="159"/>
  <c r="O55" i="159"/>
  <c r="O66" i="135"/>
  <c r="O176" i="33"/>
  <c r="O30" i="33"/>
  <c r="J232" i="33"/>
  <c r="O69" i="33"/>
  <c r="O195" i="33"/>
  <c r="O156" i="33"/>
  <c r="O140" i="33"/>
  <c r="O103" i="33"/>
  <c r="O146" i="33"/>
  <c r="O112" i="33"/>
  <c r="O150" i="33"/>
  <c r="J233" i="33"/>
  <c r="O60" i="33"/>
  <c r="O170" i="33"/>
  <c r="O187" i="33"/>
  <c r="O76" i="33"/>
  <c r="O191" i="135"/>
  <c r="O41" i="135"/>
  <c r="O182" i="135"/>
  <c r="O171" i="135"/>
  <c r="O92" i="135"/>
  <c r="O36" i="135"/>
  <c r="O49" i="135"/>
  <c r="O193" i="135"/>
  <c r="O71" i="135"/>
  <c r="O153" i="135"/>
  <c r="O165" i="135"/>
  <c r="O190" i="159"/>
  <c r="O105" i="159"/>
  <c r="O60" i="21"/>
  <c r="O73" i="21"/>
  <c r="O142" i="21"/>
  <c r="O57" i="21"/>
  <c r="M18" i="21"/>
  <c r="O170" i="21"/>
  <c r="O201" i="21"/>
  <c r="O156" i="21"/>
  <c r="J226" i="21"/>
  <c r="O196" i="21"/>
  <c r="O197" i="21"/>
  <c r="O37" i="21"/>
  <c r="O164" i="21"/>
  <c r="O55" i="21"/>
  <c r="O35" i="21"/>
  <c r="O205" i="21"/>
  <c r="O131" i="21"/>
  <c r="O129" i="21"/>
  <c r="O52" i="21"/>
  <c r="O152" i="21"/>
  <c r="O77" i="21"/>
  <c r="I213" i="57"/>
  <c r="J61" i="57" s="1"/>
  <c r="I213" i="136"/>
  <c r="J121" i="136" s="1"/>
  <c r="O66" i="33"/>
  <c r="J20" i="33"/>
  <c r="J26" i="33"/>
  <c r="J21" i="33"/>
  <c r="J19" i="33"/>
  <c r="J24" i="33"/>
  <c r="J23" i="33"/>
  <c r="J18" i="33"/>
  <c r="O162" i="159"/>
  <c r="O103" i="159"/>
  <c r="O164" i="159"/>
  <c r="O30" i="159"/>
  <c r="O88" i="159"/>
  <c r="O80" i="159"/>
  <c r="O57" i="159"/>
  <c r="O58" i="159"/>
  <c r="O160" i="159"/>
  <c r="J230" i="159"/>
  <c r="O154" i="159"/>
  <c r="O147" i="159"/>
  <c r="O92" i="159"/>
  <c r="O207" i="159"/>
  <c r="O199" i="159"/>
  <c r="J225" i="159"/>
  <c r="O182" i="159"/>
  <c r="O81" i="159"/>
  <c r="O64" i="159"/>
  <c r="O107" i="159"/>
  <c r="O51" i="159"/>
  <c r="O178" i="159"/>
  <c r="O146" i="159"/>
  <c r="O206" i="159"/>
  <c r="O131" i="159"/>
  <c r="O102" i="159"/>
  <c r="O69" i="159"/>
  <c r="O188" i="159"/>
  <c r="O155" i="159"/>
  <c r="O210" i="159"/>
  <c r="O177" i="159"/>
  <c r="O110" i="159"/>
  <c r="O73" i="159"/>
  <c r="O83" i="159"/>
  <c r="O205" i="159"/>
  <c r="O134" i="159"/>
  <c r="O196" i="159"/>
  <c r="O132" i="159"/>
  <c r="O124" i="159"/>
  <c r="O197" i="159"/>
  <c r="O46" i="159"/>
  <c r="O70" i="159"/>
  <c r="O71" i="159"/>
  <c r="O187" i="159"/>
  <c r="O198" i="159"/>
  <c r="O38" i="159"/>
  <c r="O54" i="159"/>
  <c r="O72" i="159"/>
  <c r="O32" i="159"/>
  <c r="O135" i="159"/>
  <c r="O98" i="159"/>
  <c r="O163" i="159"/>
  <c r="O96" i="159"/>
  <c r="O94" i="159"/>
  <c r="O189" i="159"/>
  <c r="O119" i="159"/>
  <c r="J229" i="159"/>
  <c r="O151" i="159"/>
  <c r="O59" i="159"/>
  <c r="O112" i="159"/>
  <c r="O115" i="159"/>
  <c r="M18" i="159"/>
  <c r="O93" i="159"/>
  <c r="O101" i="159"/>
  <c r="O184" i="159"/>
  <c r="O113" i="159"/>
  <c r="O65" i="159"/>
  <c r="O136" i="159"/>
  <c r="O84" i="159"/>
  <c r="O200" i="159"/>
  <c r="O56" i="159"/>
  <c r="O176" i="159"/>
  <c r="O111" i="159"/>
  <c r="O52" i="159"/>
  <c r="O91" i="159"/>
  <c r="O76" i="159"/>
  <c r="O153" i="159"/>
  <c r="J224" i="159"/>
  <c r="O183" i="159"/>
  <c r="O78" i="159"/>
  <c r="O130" i="159"/>
  <c r="O161" i="159"/>
  <c r="J228" i="159"/>
  <c r="O171" i="159"/>
  <c r="O180" i="159"/>
  <c r="O48" i="159"/>
  <c r="O173" i="159"/>
  <c r="O95" i="159"/>
  <c r="O74" i="159"/>
  <c r="O157" i="159"/>
  <c r="I240" i="84"/>
  <c r="M20" i="84" s="1"/>
  <c r="O166" i="135"/>
  <c r="O102" i="135"/>
  <c r="O169" i="135"/>
  <c r="J232" i="135"/>
  <c r="O189" i="135"/>
  <c r="O113" i="135"/>
  <c r="O206" i="135"/>
  <c r="O161" i="135"/>
  <c r="O123" i="135"/>
  <c r="O209" i="135"/>
  <c r="I241" i="135"/>
  <c r="I243" i="135" s="1"/>
  <c r="O44" i="135"/>
  <c r="O164" i="135"/>
  <c r="O112" i="135"/>
  <c r="O58" i="135"/>
  <c r="J224" i="135"/>
  <c r="O32" i="135"/>
  <c r="O111" i="135"/>
  <c r="O194" i="135"/>
  <c r="O96" i="135"/>
  <c r="J226" i="135"/>
  <c r="O178" i="135"/>
  <c r="J230" i="135"/>
  <c r="O73" i="135"/>
  <c r="O80" i="135"/>
  <c r="O64" i="135"/>
  <c r="O136" i="135"/>
  <c r="O197" i="135"/>
  <c r="O174" i="135"/>
  <c r="O63" i="135"/>
  <c r="O122" i="135"/>
  <c r="O172" i="135"/>
  <c r="O143" i="135"/>
  <c r="O59" i="135"/>
  <c r="O135" i="135"/>
  <c r="O70" i="135"/>
  <c r="O88" i="135"/>
  <c r="O192" i="135"/>
  <c r="O91" i="135"/>
  <c r="O30" i="135"/>
  <c r="J228" i="135"/>
  <c r="O124" i="135"/>
  <c r="O157" i="135"/>
  <c r="O42" i="135"/>
  <c r="O90" i="135"/>
  <c r="O89" i="135"/>
  <c r="J225" i="135"/>
  <c r="O129" i="135"/>
  <c r="O158" i="135"/>
  <c r="O110" i="135"/>
  <c r="O142" i="135"/>
  <c r="O177" i="135"/>
  <c r="O180" i="135"/>
  <c r="O162" i="135"/>
  <c r="O195" i="135"/>
  <c r="O154" i="135"/>
  <c r="O78" i="135"/>
  <c r="O208" i="135"/>
  <c r="O134" i="135"/>
  <c r="O51" i="135"/>
  <c r="O201" i="135"/>
  <c r="M20" i="136"/>
  <c r="I240" i="65"/>
  <c r="I242" i="65" s="1"/>
  <c r="I240" i="16"/>
  <c r="I242" i="16" s="1"/>
  <c r="F243" i="159"/>
  <c r="O162" i="33"/>
  <c r="O130" i="33"/>
  <c r="O55" i="33"/>
  <c r="O42" i="33"/>
  <c r="O210" i="33"/>
  <c r="O89" i="33"/>
  <c r="O44" i="33"/>
  <c r="O196" i="33"/>
  <c r="O157" i="33"/>
  <c r="J225" i="33"/>
  <c r="O51" i="33"/>
  <c r="O98" i="57"/>
  <c r="F243" i="135"/>
  <c r="O51" i="57"/>
  <c r="O186" i="33"/>
  <c r="O145" i="33"/>
  <c r="O77" i="33"/>
  <c r="O63" i="33"/>
  <c r="O49" i="33"/>
  <c r="O88" i="33"/>
  <c r="O106" i="33"/>
  <c r="O180" i="33"/>
  <c r="O110" i="33"/>
  <c r="J224" i="33"/>
  <c r="O143" i="33"/>
  <c r="O179" i="33"/>
  <c r="O83" i="33"/>
  <c r="O121" i="33"/>
  <c r="J227" i="33"/>
  <c r="M18" i="33"/>
  <c r="F220" i="33"/>
  <c r="F220" i="111"/>
  <c r="I213" i="33"/>
  <c r="I220" i="33" s="1"/>
  <c r="F220" i="135"/>
  <c r="F220" i="136"/>
  <c r="F220" i="57"/>
  <c r="F220" i="159"/>
  <c r="O17" i="31"/>
  <c r="O19" i="120"/>
  <c r="F242" i="50"/>
  <c r="I173" i="97"/>
  <c r="F242" i="58"/>
  <c r="F100" i="97"/>
  <c r="O21" i="15"/>
  <c r="F242" i="142"/>
  <c r="I125" i="97"/>
  <c r="F86" i="97"/>
  <c r="I41" i="97"/>
  <c r="I46" i="97"/>
  <c r="I92" i="97"/>
  <c r="I157" i="97"/>
  <c r="I47" i="97"/>
  <c r="I43" i="97"/>
  <c r="I172" i="97"/>
  <c r="I134" i="97"/>
  <c r="Q134" i="97" s="1"/>
  <c r="I117" i="97"/>
  <c r="I164" i="97"/>
  <c r="I155" i="97"/>
  <c r="Q155" i="97" s="1"/>
  <c r="I158" i="97"/>
  <c r="I189" i="97"/>
  <c r="I78" i="97"/>
  <c r="I51" i="97"/>
  <c r="I90" i="97"/>
  <c r="I77" i="97"/>
  <c r="I97" i="97"/>
  <c r="I201" i="97"/>
  <c r="I122" i="97"/>
  <c r="I84" i="97"/>
  <c r="I211" i="97"/>
  <c r="I115" i="97"/>
  <c r="F204" i="97"/>
  <c r="I75" i="97"/>
  <c r="I19" i="97"/>
  <c r="I149" i="97"/>
  <c r="I233" i="97"/>
  <c r="I103" i="97"/>
  <c r="Q103" i="97" s="1"/>
  <c r="I60" i="97"/>
  <c r="I124" i="97"/>
  <c r="I193" i="97"/>
  <c r="I53" i="97"/>
  <c r="I56" i="97"/>
  <c r="I184" i="97"/>
  <c r="I230" i="97"/>
  <c r="I142" i="97"/>
  <c r="I85" i="97"/>
  <c r="I34" i="97"/>
  <c r="I95" i="97"/>
  <c r="I186" i="97"/>
  <c r="I212" i="97"/>
  <c r="I123" i="97"/>
  <c r="I198" i="97"/>
  <c r="I228" i="97"/>
  <c r="I154" i="97"/>
  <c r="I50" i="97"/>
  <c r="I234" i="97"/>
  <c r="I112" i="97"/>
  <c r="Q112" i="97" s="1"/>
  <c r="I54" i="97"/>
  <c r="I82" i="97"/>
  <c r="I73" i="97"/>
  <c r="I226" i="97"/>
  <c r="I195" i="97"/>
  <c r="I150" i="97"/>
  <c r="I144" i="97"/>
  <c r="I132" i="97"/>
  <c r="Q132" i="97" s="1"/>
  <c r="I33" i="97"/>
  <c r="Q33" i="97" s="1"/>
  <c r="F28" i="97"/>
  <c r="I185" i="97"/>
  <c r="I91" i="97"/>
  <c r="I71" i="97"/>
  <c r="I72" i="97"/>
  <c r="I79" i="97"/>
  <c r="I22" i="97"/>
  <c r="I83" i="97"/>
  <c r="I131" i="97"/>
  <c r="Q131" i="97" s="1"/>
  <c r="I165" i="97"/>
  <c r="I106" i="97"/>
  <c r="I74" i="97"/>
  <c r="I191" i="97"/>
  <c r="F242" i="97"/>
  <c r="F244" i="97" s="1"/>
  <c r="I139" i="97"/>
  <c r="I108" i="97"/>
  <c r="I239" i="97"/>
  <c r="I202" i="97"/>
  <c r="I136" i="97"/>
  <c r="I143" i="97"/>
  <c r="Q143" i="97" s="1"/>
  <c r="I57" i="97"/>
  <c r="I39" i="97"/>
  <c r="I24" i="97"/>
  <c r="I159" i="97"/>
  <c r="I188" i="97"/>
  <c r="I133" i="97"/>
  <c r="Q133" i="97" s="1"/>
  <c r="F168" i="97"/>
  <c r="I20" i="97"/>
  <c r="I227" i="97"/>
  <c r="I21" i="97"/>
  <c r="I105" i="97"/>
  <c r="I140" i="97"/>
  <c r="I166" i="97"/>
  <c r="I80" i="97"/>
  <c r="I44" i="97"/>
  <c r="I104" i="97"/>
  <c r="I175" i="97"/>
  <c r="Q175" i="97" s="1"/>
  <c r="I36" i="97"/>
  <c r="I162" i="97"/>
  <c r="I231" i="97"/>
  <c r="I61" i="97"/>
  <c r="C215" i="97"/>
  <c r="I153" i="97"/>
  <c r="I37" i="97"/>
  <c r="I18" i="97"/>
  <c r="I98" i="97"/>
  <c r="I23" i="97"/>
  <c r="I147" i="97"/>
  <c r="I63" i="97"/>
  <c r="I138" i="97"/>
  <c r="I89" i="97"/>
  <c r="I94" i="97"/>
  <c r="I148" i="97"/>
  <c r="I181" i="97"/>
  <c r="I27" i="97"/>
  <c r="I116" i="97"/>
  <c r="I178" i="97"/>
  <c r="I192" i="97"/>
  <c r="I180" i="97"/>
  <c r="I64" i="97"/>
  <c r="I238" i="97"/>
  <c r="O21" i="97" s="1"/>
  <c r="I99" i="97"/>
  <c r="I40" i="97"/>
  <c r="I66" i="97"/>
  <c r="I183" i="97"/>
  <c r="I42" i="97"/>
  <c r="I121" i="97"/>
  <c r="Q121" i="97" s="1"/>
  <c r="I190" i="97"/>
  <c r="I203" i="97"/>
  <c r="I76" i="97"/>
  <c r="I62" i="97"/>
  <c r="I35" i="97"/>
  <c r="I152" i="97"/>
  <c r="I130" i="97"/>
  <c r="Q130" i="97" s="1"/>
  <c r="I137" i="97"/>
  <c r="F118" i="97"/>
  <c r="F68" i="97"/>
  <c r="I25" i="97"/>
  <c r="I200" i="97"/>
  <c r="F235" i="97"/>
  <c r="I38" i="97"/>
  <c r="I174" i="97"/>
  <c r="I58" i="97"/>
  <c r="Q58" i="97" s="1"/>
  <c r="I156" i="97"/>
  <c r="Q156" i="97" s="1"/>
  <c r="I229" i="97"/>
  <c r="I55" i="97"/>
  <c r="I107" i="97"/>
  <c r="I32" i="97"/>
  <c r="Q32" i="97" s="1"/>
  <c r="I210" i="97"/>
  <c r="I48" i="97"/>
  <c r="I171" i="97"/>
  <c r="I208" i="97"/>
  <c r="I167" i="97"/>
  <c r="I187" i="97"/>
  <c r="I145" i="97"/>
  <c r="Q145" i="97" s="1"/>
  <c r="I113" i="97"/>
  <c r="I59" i="97"/>
  <c r="I93" i="97"/>
  <c r="I81" i="97"/>
  <c r="F126" i="97"/>
  <c r="I45" i="97"/>
  <c r="I49" i="97"/>
  <c r="I65" i="97"/>
  <c r="I182" i="97"/>
  <c r="F109" i="97"/>
  <c r="I163" i="97"/>
  <c r="I194" i="97"/>
  <c r="I232" i="97"/>
  <c r="I196" i="97"/>
  <c r="I177" i="97"/>
  <c r="I96" i="97"/>
  <c r="I199" i="97"/>
  <c r="I179" i="97"/>
  <c r="Q179" i="97" s="1"/>
  <c r="F213" i="97"/>
  <c r="I160" i="97"/>
  <c r="I26" i="97"/>
  <c r="I114" i="97"/>
  <c r="I176" i="97"/>
  <c r="I207" i="97"/>
  <c r="I52" i="97"/>
  <c r="I197" i="97"/>
  <c r="O21" i="87"/>
  <c r="O19" i="165"/>
  <c r="I240" i="164"/>
  <c r="I242" i="164" s="1"/>
  <c r="M19" i="24"/>
  <c r="O20" i="60"/>
  <c r="O22" i="65"/>
  <c r="O20" i="174"/>
  <c r="O23" i="165"/>
  <c r="F241" i="118"/>
  <c r="M19" i="32"/>
  <c r="O23" i="94"/>
  <c r="O23" i="58"/>
  <c r="M19" i="60"/>
  <c r="I240" i="32"/>
  <c r="M20" i="32" s="1"/>
  <c r="O19" i="95"/>
  <c r="O17" i="86"/>
  <c r="O23" i="158"/>
  <c r="O16" i="141"/>
  <c r="O20" i="31"/>
  <c r="F241" i="174"/>
  <c r="I233" i="79"/>
  <c r="F242" i="46"/>
  <c r="F241" i="165"/>
  <c r="O18" i="50"/>
  <c r="O22" i="92"/>
  <c r="O20" i="32"/>
  <c r="O19" i="31"/>
  <c r="O24" i="90"/>
  <c r="F242" i="39"/>
  <c r="F242" i="65"/>
  <c r="F242" i="118"/>
  <c r="M19" i="83"/>
  <c r="O20" i="157"/>
  <c r="F242" i="174"/>
  <c r="I240" i="47"/>
  <c r="I242" i="47" s="1"/>
  <c r="M19" i="62"/>
  <c r="I240" i="142"/>
  <c r="I242" i="142" s="1"/>
  <c r="O16" i="27"/>
  <c r="O19" i="25"/>
  <c r="O18" i="25"/>
  <c r="O24" i="32"/>
  <c r="I213" i="135"/>
  <c r="O22" i="64"/>
  <c r="F241" i="106"/>
  <c r="F241" i="158"/>
  <c r="M19" i="106"/>
  <c r="O24" i="53"/>
  <c r="F242" i="1"/>
  <c r="O21" i="90"/>
  <c r="O18" i="92"/>
  <c r="O17" i="156"/>
  <c r="O24" i="174"/>
  <c r="F242" i="83"/>
  <c r="F242" i="47"/>
  <c r="O23" i="24"/>
  <c r="F241" i="83"/>
  <c r="F242" i="60"/>
  <c r="I240" i="60"/>
  <c r="O22" i="53"/>
  <c r="F242" i="106"/>
  <c r="F242" i="165"/>
  <c r="O19" i="1"/>
  <c r="O21" i="86"/>
  <c r="I240" i="174"/>
  <c r="I242" i="174" s="1"/>
  <c r="M19" i="150"/>
  <c r="O16" i="83"/>
  <c r="O21" i="49"/>
  <c r="O16" i="104"/>
  <c r="O23" i="119"/>
  <c r="O18" i="95"/>
  <c r="O18" i="87"/>
  <c r="O21" i="53"/>
  <c r="M19" i="119"/>
  <c r="O23" i="118"/>
  <c r="F241" i="103"/>
  <c r="O16" i="174"/>
  <c r="M19" i="164"/>
  <c r="I240" i="158"/>
  <c r="M20" i="158" s="1"/>
  <c r="O19" i="142"/>
  <c r="O23" i="42"/>
  <c r="M19" i="54"/>
  <c r="M20" i="58"/>
  <c r="F242" i="150"/>
  <c r="M19" i="47"/>
  <c r="O19" i="174"/>
  <c r="F242" i="87"/>
  <c r="O19" i="86"/>
  <c r="O20" i="119"/>
  <c r="F242" i="158"/>
  <c r="I240" i="54"/>
  <c r="M20" i="54" s="1"/>
  <c r="O23" i="65"/>
  <c r="O21" i="175"/>
  <c r="M19" i="58"/>
  <c r="I240" i="50"/>
  <c r="I242" i="50" s="1"/>
  <c r="M19" i="50"/>
  <c r="I240" i="55"/>
  <c r="F241" i="55"/>
  <c r="F243" i="55" s="1"/>
  <c r="O17" i="177"/>
  <c r="O24" i="14"/>
  <c r="O18" i="28"/>
  <c r="O23" i="92"/>
  <c r="O18" i="27"/>
  <c r="O17" i="157"/>
  <c r="F242" i="95"/>
  <c r="O18" i="1"/>
  <c r="I107" i="32"/>
  <c r="O18" i="53"/>
  <c r="I240" i="95"/>
  <c r="I242" i="95" s="1"/>
  <c r="M19" i="95"/>
  <c r="M19" i="86"/>
  <c r="I116" i="92"/>
  <c r="O16" i="106"/>
  <c r="O18" i="103"/>
  <c r="O17" i="43"/>
  <c r="O18" i="42"/>
  <c r="O20" i="83"/>
  <c r="O19" i="141"/>
  <c r="O21" i="164"/>
  <c r="O18" i="47"/>
  <c r="O16" i="14"/>
  <c r="M19" i="120"/>
  <c r="F242" i="16"/>
  <c r="O23" i="55"/>
  <c r="O22" i="25"/>
  <c r="O19" i="133"/>
  <c r="O19" i="164"/>
  <c r="O18" i="118"/>
  <c r="O22" i="156"/>
  <c r="F242" i="31"/>
  <c r="O24" i="60"/>
  <c r="F242" i="84"/>
  <c r="F241" i="164"/>
  <c r="O21" i="38"/>
  <c r="F241" i="94"/>
  <c r="M20" i="156"/>
  <c r="O20" i="14"/>
  <c r="M19" i="68"/>
  <c r="O23" i="142"/>
  <c r="I211" i="24"/>
  <c r="O19" i="55"/>
  <c r="O21" i="133"/>
  <c r="O22" i="94"/>
  <c r="I211" i="95"/>
  <c r="O20" i="94"/>
  <c r="O17" i="38"/>
  <c r="I124" i="65"/>
  <c r="I116" i="165"/>
  <c r="O17" i="141"/>
  <c r="O22" i="87"/>
  <c r="F242" i="62"/>
  <c r="I107" i="27"/>
  <c r="I124" i="16"/>
  <c r="I233" i="32"/>
  <c r="O23" i="152"/>
  <c r="O22" i="84"/>
  <c r="I240" i="152"/>
  <c r="O19" i="104"/>
  <c r="O24" i="42"/>
  <c r="F242" i="54"/>
  <c r="O17" i="83"/>
  <c r="O22" i="152"/>
  <c r="O18" i="84"/>
  <c r="M19" i="152"/>
  <c r="I233" i="14"/>
  <c r="O22" i="119"/>
  <c r="O20" i="104"/>
  <c r="O19" i="92"/>
  <c r="O19" i="94"/>
  <c r="F241" i="90"/>
  <c r="M19" i="31"/>
  <c r="I240" i="31"/>
  <c r="I242" i="31" s="1"/>
  <c r="I233" i="174"/>
  <c r="I107" i="104"/>
  <c r="O21" i="32"/>
  <c r="O24" i="27"/>
  <c r="I84" i="164"/>
  <c r="O22" i="103"/>
  <c r="O23" i="98"/>
  <c r="O20" i="177"/>
  <c r="O19" i="50"/>
  <c r="M19" i="49"/>
  <c r="I240" i="49"/>
  <c r="M20" i="49" s="1"/>
  <c r="O16" i="155"/>
  <c r="O17" i="152"/>
  <c r="O17" i="55"/>
  <c r="O16" i="32"/>
  <c r="O21" i="174"/>
  <c r="O20" i="155"/>
  <c r="F241" i="50"/>
  <c r="O21" i="98"/>
  <c r="O22" i="37"/>
  <c r="O22" i="142"/>
  <c r="O23" i="16"/>
  <c r="O21" i="158"/>
  <c r="O23" i="32"/>
  <c r="O16" i="68"/>
  <c r="F241" i="133"/>
  <c r="I233" i="94"/>
  <c r="O19" i="175"/>
  <c r="O17" i="106"/>
  <c r="O21" i="65"/>
  <c r="O17" i="42"/>
  <c r="O22" i="31"/>
  <c r="O18" i="16"/>
  <c r="O22" i="118"/>
  <c r="O22" i="98"/>
  <c r="I242" i="133"/>
  <c r="I107" i="175"/>
  <c r="I233" i="53"/>
  <c r="F242" i="141"/>
  <c r="F241" i="145"/>
  <c r="I240" i="42"/>
  <c r="O18" i="14"/>
  <c r="O24" i="86"/>
  <c r="O23" i="104"/>
  <c r="O16" i="150"/>
  <c r="O16" i="65"/>
  <c r="I242" i="46"/>
  <c r="F242" i="104"/>
  <c r="O23" i="39"/>
  <c r="O22" i="157"/>
  <c r="O24" i="155"/>
  <c r="I233" i="87"/>
  <c r="F242" i="133"/>
  <c r="O20" i="90"/>
  <c r="O19" i="119"/>
  <c r="I211" i="156"/>
  <c r="F242" i="28"/>
  <c r="O19" i="103"/>
  <c r="O24" i="58"/>
  <c r="O22" i="1"/>
  <c r="O24" i="152"/>
  <c r="F242" i="15"/>
  <c r="O18" i="119"/>
  <c r="F242" i="32"/>
  <c r="O16" i="71"/>
  <c r="O19" i="89"/>
  <c r="O17" i="24"/>
  <c r="O18" i="164"/>
  <c r="F241" i="60"/>
  <c r="O21" i="84"/>
  <c r="O20" i="65"/>
  <c r="O19" i="16"/>
  <c r="F241" i="24"/>
  <c r="O22" i="24"/>
  <c r="I124" i="150"/>
  <c r="O23" i="155"/>
  <c r="O16" i="28"/>
  <c r="I233" i="24"/>
  <c r="O24" i="157"/>
  <c r="O16" i="55"/>
  <c r="O20" i="150"/>
  <c r="O18" i="15"/>
  <c r="O22" i="165"/>
  <c r="I211" i="60"/>
  <c r="I242" i="1"/>
  <c r="O24" i="150"/>
  <c r="M19" i="103"/>
  <c r="I240" i="103"/>
  <c r="O24" i="49"/>
  <c r="M20" i="133"/>
  <c r="F241" i="87"/>
  <c r="I116" i="15"/>
  <c r="I124" i="54"/>
  <c r="O22" i="32"/>
  <c r="F241" i="1"/>
  <c r="F242" i="119"/>
  <c r="F241" i="42"/>
  <c r="O17" i="90"/>
  <c r="O24" i="46"/>
  <c r="I211" i="85"/>
  <c r="O17" i="174"/>
  <c r="O18" i="31"/>
  <c r="O16" i="113"/>
  <c r="O23" i="46"/>
  <c r="F241" i="32"/>
  <c r="O21" i="60"/>
  <c r="F242" i="66"/>
  <c r="I107" i="25"/>
  <c r="O17" i="142"/>
  <c r="O18" i="60"/>
  <c r="O20" i="39"/>
  <c r="O17" i="53"/>
  <c r="O16" i="19"/>
  <c r="O17" i="119"/>
  <c r="I124" i="164"/>
  <c r="O18" i="71"/>
  <c r="F241" i="62"/>
  <c r="I240" i="25"/>
  <c r="M20" i="25" s="1"/>
  <c r="F242" i="103"/>
  <c r="O17" i="145"/>
  <c r="O21" i="62"/>
  <c r="O24" i="175"/>
  <c r="I116" i="16"/>
  <c r="O17" i="64"/>
  <c r="O16" i="94"/>
  <c r="F241" i="15"/>
  <c r="F241" i="142"/>
  <c r="F241" i="175"/>
  <c r="J17" i="167"/>
  <c r="I124" i="89"/>
  <c r="O21" i="68"/>
  <c r="I240" i="119"/>
  <c r="I242" i="119" s="1"/>
  <c r="O16" i="86"/>
  <c r="O21" i="55"/>
  <c r="O23" i="83"/>
  <c r="I98" i="155"/>
  <c r="J16" i="167"/>
  <c r="O22" i="14"/>
  <c r="I240" i="141"/>
  <c r="M19" i="141"/>
  <c r="M19" i="65"/>
  <c r="I116" i="158"/>
  <c r="J24" i="167"/>
  <c r="I107" i="15"/>
  <c r="F242" i="71"/>
  <c r="O20" i="164"/>
  <c r="O22" i="175"/>
  <c r="O23" i="133"/>
  <c r="O16" i="158"/>
  <c r="I202" i="174"/>
  <c r="O16" i="1"/>
  <c r="J23" i="167"/>
  <c r="F242" i="175"/>
  <c r="I242" i="157"/>
  <c r="O19" i="158"/>
  <c r="M19" i="71"/>
  <c r="I240" i="71"/>
  <c r="O20" i="54"/>
  <c r="O22" i="89"/>
  <c r="O24" i="39"/>
  <c r="I98" i="104"/>
  <c r="I211" i="94"/>
  <c r="I124" i="50"/>
  <c r="F242" i="49"/>
  <c r="I98" i="174"/>
  <c r="O24" i="16"/>
  <c r="O17" i="95"/>
  <c r="O19" i="152"/>
  <c r="I233" i="25"/>
  <c r="I242" i="64"/>
  <c r="J19" i="167"/>
  <c r="I107" i="152"/>
  <c r="O20" i="87"/>
  <c r="O20" i="106"/>
  <c r="I211" i="54"/>
  <c r="O20" i="158"/>
  <c r="I124" i="42"/>
  <c r="O21" i="39"/>
  <c r="O16" i="157"/>
  <c r="O19" i="177"/>
  <c r="O18" i="177"/>
  <c r="O24" i="177"/>
  <c r="O18" i="175"/>
  <c r="O16" i="60"/>
  <c r="O18" i="157"/>
  <c r="I116" i="86"/>
  <c r="O22" i="46"/>
  <c r="O20" i="19"/>
  <c r="M20" i="175"/>
  <c r="I116" i="49"/>
  <c r="I116" i="174"/>
  <c r="O16" i="92"/>
  <c r="O20" i="42"/>
  <c r="O17" i="87"/>
  <c r="O17" i="1"/>
  <c r="F242" i="25"/>
  <c r="O19" i="90"/>
  <c r="O24" i="164"/>
  <c r="O18" i="24"/>
  <c r="I233" i="42"/>
  <c r="I107" i="103"/>
  <c r="O22" i="104"/>
  <c r="O22" i="42"/>
  <c r="O22" i="50"/>
  <c r="F241" i="39"/>
  <c r="O20" i="142"/>
  <c r="I233" i="98"/>
  <c r="O23" i="89"/>
  <c r="F241" i="89"/>
  <c r="O24" i="55"/>
  <c r="I233" i="158"/>
  <c r="M20" i="24"/>
  <c r="I242" i="24"/>
  <c r="I107" i="174"/>
  <c r="O20" i="43"/>
  <c r="I124" i="84"/>
  <c r="I233" i="38"/>
  <c r="F241" i="157"/>
  <c r="F241" i="177"/>
  <c r="I124" i="53"/>
  <c r="I233" i="50"/>
  <c r="I116" i="42"/>
  <c r="I233" i="89"/>
  <c r="O16" i="152"/>
  <c r="I98" i="141"/>
  <c r="O21" i="95"/>
  <c r="F241" i="95"/>
  <c r="I107" i="14"/>
  <c r="F241" i="14"/>
  <c r="O16" i="145"/>
  <c r="O20" i="92"/>
  <c r="M19" i="104"/>
  <c r="I233" i="60"/>
  <c r="I66" i="152"/>
  <c r="I240" i="104"/>
  <c r="O18" i="155"/>
  <c r="O18" i="165"/>
  <c r="O20" i="152"/>
  <c r="O19" i="37"/>
  <c r="I124" i="24"/>
  <c r="F241" i="84"/>
  <c r="I211" i="157"/>
  <c r="I233" i="47"/>
  <c r="J231" i="47" s="1"/>
  <c r="O23" i="157"/>
  <c r="I242" i="156"/>
  <c r="O20" i="133"/>
  <c r="O16" i="24"/>
  <c r="O23" i="156"/>
  <c r="O20" i="47"/>
  <c r="I233" i="150"/>
  <c r="I202" i="164"/>
  <c r="I66" i="86"/>
  <c r="I116" i="66"/>
  <c r="I211" i="90"/>
  <c r="O21" i="28"/>
  <c r="O19" i="54"/>
  <c r="I233" i="106"/>
  <c r="J231" i="106" s="1"/>
  <c r="F242" i="157"/>
  <c r="O20" i="175"/>
  <c r="O21" i="47"/>
  <c r="I124" i="27"/>
  <c r="I240" i="66"/>
  <c r="I242" i="66" s="1"/>
  <c r="M19" i="66"/>
  <c r="F241" i="65"/>
  <c r="O20" i="38"/>
  <c r="I233" i="63"/>
  <c r="I211" i="83"/>
  <c r="I98" i="32"/>
  <c r="I211" i="16"/>
  <c r="O22" i="164"/>
  <c r="I116" i="54"/>
  <c r="I233" i="86"/>
  <c r="O21" i="54"/>
  <c r="I240" i="90"/>
  <c r="M19" i="90"/>
  <c r="O16" i="49"/>
  <c r="I233" i="145"/>
  <c r="F241" i="25"/>
  <c r="O21" i="42"/>
  <c r="O22" i="158"/>
  <c r="O21" i="106"/>
  <c r="I211" i="164"/>
  <c r="F242" i="90"/>
  <c r="O23" i="28"/>
  <c r="I84" i="42"/>
  <c r="I124" i="15"/>
  <c r="I98" i="89"/>
  <c r="O17" i="68"/>
  <c r="I124" i="66"/>
  <c r="O17" i="155"/>
  <c r="O17" i="165"/>
  <c r="I242" i="165"/>
  <c r="M20" i="1"/>
  <c r="O24" i="145"/>
  <c r="O23" i="145"/>
  <c r="I84" i="55"/>
  <c r="I211" i="38"/>
  <c r="I84" i="25"/>
  <c r="O23" i="71"/>
  <c r="I233" i="133"/>
  <c r="I98" i="65"/>
  <c r="F241" i="152"/>
  <c r="I166" i="42"/>
  <c r="I107" i="164"/>
  <c r="O24" i="158"/>
  <c r="I233" i="28"/>
  <c r="I233" i="39"/>
  <c r="O16" i="142"/>
  <c r="O21" i="142"/>
  <c r="F213" i="113"/>
  <c r="O24" i="1"/>
  <c r="O20" i="95"/>
  <c r="O16" i="87"/>
  <c r="O24" i="89"/>
  <c r="O21" i="103"/>
  <c r="O21" i="64"/>
  <c r="I124" i="92"/>
  <c r="I211" i="84"/>
  <c r="I107" i="141"/>
  <c r="O23" i="43"/>
  <c r="I107" i="87"/>
  <c r="O18" i="98"/>
  <c r="I211" i="165"/>
  <c r="F241" i="16"/>
  <c r="I98" i="27"/>
  <c r="F241" i="102"/>
  <c r="I98" i="94"/>
  <c r="O22" i="83"/>
  <c r="O21" i="157"/>
  <c r="O19" i="24"/>
  <c r="M19" i="64"/>
  <c r="F213" i="177"/>
  <c r="O22" i="39"/>
  <c r="O21" i="165"/>
  <c r="I233" i="103"/>
  <c r="J231" i="103" s="1"/>
  <c r="O18" i="49"/>
  <c r="I233" i="157"/>
  <c r="I84" i="28"/>
  <c r="I233" i="83"/>
  <c r="O20" i="28"/>
  <c r="I211" i="174"/>
  <c r="I211" i="177"/>
  <c r="O24" i="92"/>
  <c r="I98" i="25"/>
  <c r="I107" i="64"/>
  <c r="O16" i="89"/>
  <c r="O24" i="87"/>
  <c r="O21" i="31"/>
  <c r="F242" i="64"/>
  <c r="I233" i="120"/>
  <c r="F241" i="28"/>
  <c r="O16" i="43"/>
  <c r="I66" i="113"/>
  <c r="I98" i="85"/>
  <c r="I233" i="165"/>
  <c r="F241" i="46"/>
  <c r="O20" i="16"/>
  <c r="I116" i="94"/>
  <c r="O24" i="103"/>
  <c r="O21" i="177"/>
  <c r="O23" i="60"/>
  <c r="M20" i="150"/>
  <c r="I107" i="53"/>
  <c r="O23" i="86"/>
  <c r="O19" i="43"/>
  <c r="O18" i="39"/>
  <c r="O17" i="14"/>
  <c r="O22" i="86"/>
  <c r="O23" i="53"/>
  <c r="I107" i="158"/>
  <c r="I107" i="65"/>
  <c r="I202" i="47"/>
  <c r="I233" i="16"/>
  <c r="I107" i="92"/>
  <c r="O16" i="133"/>
  <c r="I233" i="142"/>
  <c r="I116" i="65"/>
  <c r="I211" i="87"/>
  <c r="O20" i="1"/>
  <c r="O18" i="158"/>
  <c r="I124" i="113"/>
  <c r="I166" i="113"/>
  <c r="I211" i="113"/>
  <c r="I107" i="113"/>
  <c r="I202" i="113"/>
  <c r="I98" i="113"/>
  <c r="I84" i="113"/>
  <c r="O23" i="113"/>
  <c r="I107" i="24"/>
  <c r="M20" i="159"/>
  <c r="I240" i="94"/>
  <c r="M19" i="94"/>
  <c r="O17" i="47"/>
  <c r="O93" i="57"/>
  <c r="O89" i="57"/>
  <c r="O58" i="57"/>
  <c r="O71" i="57"/>
  <c r="O181" i="57"/>
  <c r="M18" i="57"/>
  <c r="J224" i="57"/>
  <c r="O44" i="57"/>
  <c r="O103" i="57"/>
  <c r="I241" i="57"/>
  <c r="O153" i="57"/>
  <c r="O193" i="57"/>
  <c r="O163" i="57"/>
  <c r="O64" i="57"/>
  <c r="O97" i="57"/>
  <c r="O194" i="57"/>
  <c r="O80" i="57"/>
  <c r="J225" i="57"/>
  <c r="O37" i="57"/>
  <c r="O169" i="57"/>
  <c r="O40" i="57"/>
  <c r="O119" i="57"/>
  <c r="O143" i="57"/>
  <c r="O79" i="57"/>
  <c r="O200" i="57"/>
  <c r="O95" i="57"/>
  <c r="O129" i="57"/>
  <c r="O180" i="57"/>
  <c r="O75" i="57"/>
  <c r="O190" i="57"/>
  <c r="J232" i="57"/>
  <c r="O105" i="57"/>
  <c r="O210" i="57"/>
  <c r="O205" i="57"/>
  <c r="O36" i="57"/>
  <c r="O207" i="57"/>
  <c r="O135" i="57"/>
  <c r="O182" i="57"/>
  <c r="O150" i="57"/>
  <c r="O96" i="57"/>
  <c r="O170" i="57"/>
  <c r="O54" i="57"/>
  <c r="O162" i="57"/>
  <c r="O151" i="57"/>
  <c r="O77" i="57"/>
  <c r="O148" i="57"/>
  <c r="O146" i="57"/>
  <c r="O78" i="57"/>
  <c r="O91" i="57"/>
  <c r="O112" i="57"/>
  <c r="J229" i="57"/>
  <c r="O34" i="57"/>
  <c r="O206" i="57"/>
  <c r="O211" i="57"/>
  <c r="O172" i="57"/>
  <c r="O201" i="57"/>
  <c r="O82" i="57"/>
  <c r="O130" i="57"/>
  <c r="O50" i="57"/>
  <c r="O155" i="57"/>
  <c r="J230" i="57"/>
  <c r="O121" i="57"/>
  <c r="O208" i="57"/>
  <c r="O134" i="57"/>
  <c r="O81" i="57"/>
  <c r="O60" i="57"/>
  <c r="O88" i="57"/>
  <c r="O62" i="57"/>
  <c r="O42" i="57"/>
  <c r="O188" i="57"/>
  <c r="O165" i="57"/>
  <c r="O102" i="57"/>
  <c r="O132" i="57"/>
  <c r="O156" i="57"/>
  <c r="O90" i="57"/>
  <c r="O140" i="57"/>
  <c r="O115" i="57"/>
  <c r="J233" i="57"/>
  <c r="O120" i="57"/>
  <c r="O176" i="57"/>
  <c r="O141" i="57"/>
  <c r="O152" i="57"/>
  <c r="O114" i="57"/>
  <c r="J226" i="57"/>
  <c r="O101" i="57"/>
  <c r="O113" i="57"/>
  <c r="O76" i="57"/>
  <c r="O174" i="57"/>
  <c r="O161" i="57"/>
  <c r="O63" i="57"/>
  <c r="O157" i="57"/>
  <c r="O158" i="57"/>
  <c r="O198" i="57"/>
  <c r="O33" i="57"/>
  <c r="O184" i="57"/>
  <c r="O177" i="57"/>
  <c r="O185" i="57"/>
  <c r="O92" i="57"/>
  <c r="J227" i="57"/>
  <c r="O45" i="57"/>
  <c r="O57" i="57"/>
  <c r="O138" i="57"/>
  <c r="O173" i="57"/>
  <c r="J228" i="57"/>
  <c r="O41" i="57"/>
  <c r="O145" i="57"/>
  <c r="O53" i="57"/>
  <c r="O171" i="57"/>
  <c r="O186" i="57"/>
  <c r="O30" i="57"/>
  <c r="O104" i="57"/>
  <c r="O31" i="57"/>
  <c r="O56" i="57"/>
  <c r="O187" i="57"/>
  <c r="O209" i="57"/>
  <c r="O191" i="57"/>
  <c r="O122" i="57"/>
  <c r="O73" i="57"/>
  <c r="O189" i="57"/>
  <c r="O48" i="57"/>
  <c r="O197" i="57"/>
  <c r="O195" i="57"/>
  <c r="O32" i="57"/>
  <c r="O183" i="57"/>
  <c r="O154" i="57"/>
  <c r="O106" i="57"/>
  <c r="O46" i="57"/>
  <c r="O38" i="57"/>
  <c r="O111" i="57"/>
  <c r="O123" i="57"/>
  <c r="O179" i="57"/>
  <c r="O69" i="57"/>
  <c r="O196" i="57"/>
  <c r="O175" i="57"/>
  <c r="O83" i="57"/>
  <c r="O160" i="57"/>
  <c r="O136" i="57"/>
  <c r="O164" i="57"/>
  <c r="O94" i="57"/>
  <c r="O87" i="57"/>
  <c r="O199" i="57"/>
  <c r="O72" i="57"/>
  <c r="O142" i="57"/>
  <c r="O110" i="57"/>
  <c r="O192" i="57"/>
  <c r="O49" i="57"/>
  <c r="O131" i="57"/>
  <c r="O128" i="57"/>
  <c r="O178" i="57"/>
  <c r="O39" i="57"/>
  <c r="O202" i="57"/>
  <c r="O147" i="57"/>
  <c r="O65" i="57"/>
  <c r="O52" i="57"/>
  <c r="O84" i="57"/>
  <c r="O137" i="57"/>
  <c r="O74" i="57"/>
  <c r="O47" i="57"/>
  <c r="O43" i="57"/>
  <c r="O61" i="57"/>
  <c r="O55" i="57"/>
  <c r="O70" i="57"/>
  <c r="O107" i="136"/>
  <c r="I98" i="28"/>
  <c r="I166" i="55"/>
  <c r="I124" i="83"/>
  <c r="I107" i="60"/>
  <c r="I98" i="16"/>
  <c r="I98" i="120"/>
  <c r="I107" i="66"/>
  <c r="F241" i="64"/>
  <c r="I84" i="174"/>
  <c r="O22" i="106"/>
  <c r="I84" i="94"/>
  <c r="I116" i="63"/>
  <c r="I124" i="94"/>
  <c r="I233" i="156"/>
  <c r="F241" i="43"/>
  <c r="F213" i="16"/>
  <c r="F220" i="16" s="1"/>
  <c r="O211" i="136"/>
  <c r="J17" i="135"/>
  <c r="J16" i="135"/>
  <c r="J25" i="135"/>
  <c r="J20" i="135"/>
  <c r="J22" i="135"/>
  <c r="M16" i="135"/>
  <c r="J21" i="135"/>
  <c r="J26" i="135"/>
  <c r="J19" i="135"/>
  <c r="O26" i="135"/>
  <c r="J24" i="135"/>
  <c r="J18" i="135"/>
  <c r="J23" i="135"/>
  <c r="F242" i="94"/>
  <c r="J22" i="111"/>
  <c r="J21" i="111"/>
  <c r="J20" i="111"/>
  <c r="J26" i="111"/>
  <c r="J18" i="111"/>
  <c r="J25" i="111"/>
  <c r="J24" i="111"/>
  <c r="J23" i="111"/>
  <c r="J17" i="111"/>
  <c r="J16" i="111"/>
  <c r="M16" i="111"/>
  <c r="J19" i="111"/>
  <c r="O26" i="111"/>
  <c r="I116" i="155"/>
  <c r="H220" i="87"/>
  <c r="O20" i="63"/>
  <c r="I166" i="47"/>
  <c r="I66" i="53"/>
  <c r="I240" i="118"/>
  <c r="I242" i="118" s="1"/>
  <c r="F213" i="53"/>
  <c r="O59" i="57"/>
  <c r="M20" i="68"/>
  <c r="I242" i="68"/>
  <c r="O20" i="113"/>
  <c r="I124" i="62"/>
  <c r="F213" i="15"/>
  <c r="I107" i="42"/>
  <c r="I202" i="106"/>
  <c r="O22" i="38"/>
  <c r="I84" i="53"/>
  <c r="I211" i="98"/>
  <c r="O19" i="39"/>
  <c r="O18" i="94"/>
  <c r="O116" i="57"/>
  <c r="M19" i="53"/>
  <c r="I240" i="53"/>
  <c r="I213" i="21"/>
  <c r="O24" i="63"/>
  <c r="I211" i="152"/>
  <c r="O84" i="136"/>
  <c r="I211" i="119"/>
  <c r="O19" i="84"/>
  <c r="I166" i="92"/>
  <c r="I211" i="46"/>
  <c r="O23" i="84"/>
  <c r="I84" i="89"/>
  <c r="O21" i="25"/>
  <c r="I211" i="150"/>
  <c r="I107" i="38"/>
  <c r="I124" i="49"/>
  <c r="O20" i="62"/>
  <c r="I166" i="164"/>
  <c r="I211" i="158"/>
  <c r="I124" i="95"/>
  <c r="I124" i="118"/>
  <c r="F242" i="53"/>
  <c r="F243" i="111"/>
  <c r="O22" i="71"/>
  <c r="F243" i="57"/>
  <c r="F241" i="53"/>
  <c r="O17" i="150"/>
  <c r="O16" i="63"/>
  <c r="O23" i="141"/>
  <c r="J229" i="136"/>
  <c r="I241" i="136"/>
  <c r="J233" i="136"/>
  <c r="J224" i="136"/>
  <c r="O51" i="136"/>
  <c r="O111" i="136"/>
  <c r="O210" i="136"/>
  <c r="O91" i="136"/>
  <c r="O155" i="136"/>
  <c r="O81" i="136"/>
  <c r="O54" i="136"/>
  <c r="O123" i="136"/>
  <c r="O169" i="136"/>
  <c r="O191" i="136"/>
  <c r="O170" i="136"/>
  <c r="O138" i="136"/>
  <c r="O30" i="136"/>
  <c r="O177" i="136"/>
  <c r="O71" i="136"/>
  <c r="O98" i="136"/>
  <c r="O36" i="136"/>
  <c r="O150" i="136"/>
  <c r="O140" i="136"/>
  <c r="O130" i="136"/>
  <c r="O39" i="136"/>
  <c r="O31" i="136"/>
  <c r="J227" i="136"/>
  <c r="O47" i="136"/>
  <c r="O122" i="136"/>
  <c r="O65" i="136"/>
  <c r="O45" i="136"/>
  <c r="O198" i="136"/>
  <c r="O96" i="136"/>
  <c r="O50" i="136"/>
  <c r="O106" i="136"/>
  <c r="O201" i="136"/>
  <c r="O186" i="136"/>
  <c r="O208" i="136"/>
  <c r="O146" i="136"/>
  <c r="O209" i="136"/>
  <c r="O175" i="136"/>
  <c r="O69" i="136"/>
  <c r="O74" i="136"/>
  <c r="O42" i="136"/>
  <c r="O34" i="136"/>
  <c r="O147" i="136"/>
  <c r="O137" i="136"/>
  <c r="O88" i="136"/>
  <c r="O37" i="136"/>
  <c r="J232" i="136"/>
  <c r="O80" i="136"/>
  <c r="O162" i="136"/>
  <c r="O82" i="136"/>
  <c r="O194" i="136"/>
  <c r="O92" i="136"/>
  <c r="O62" i="136"/>
  <c r="O114" i="136"/>
  <c r="O197" i="136"/>
  <c r="O184" i="136"/>
  <c r="O174" i="136"/>
  <c r="O143" i="136"/>
  <c r="O207" i="136"/>
  <c r="O75" i="136"/>
  <c r="O72" i="136"/>
  <c r="O40" i="136"/>
  <c r="O32" i="136"/>
  <c r="O145" i="136"/>
  <c r="O135" i="136"/>
  <c r="O43" i="136"/>
  <c r="O35" i="136"/>
  <c r="J230" i="136"/>
  <c r="O59" i="136"/>
  <c r="O105" i="136"/>
  <c r="O157" i="136"/>
  <c r="O57" i="136"/>
  <c r="O164" i="136"/>
  <c r="O52" i="136"/>
  <c r="O104" i="136"/>
  <c r="O83" i="136"/>
  <c r="O128" i="136"/>
  <c r="O182" i="136"/>
  <c r="O154" i="136"/>
  <c r="O131" i="136"/>
  <c r="O171" i="136"/>
  <c r="O101" i="136"/>
  <c r="M18" i="136"/>
  <c r="O55" i="136"/>
  <c r="O64" i="136"/>
  <c r="O112" i="136"/>
  <c r="O94" i="136"/>
  <c r="O156" i="136"/>
  <c r="O187" i="136"/>
  <c r="O102" i="136"/>
  <c r="O113" i="136"/>
  <c r="O60" i="136"/>
  <c r="O158" i="136"/>
  <c r="O90" i="136"/>
  <c r="O136" i="136"/>
  <c r="O185" i="136"/>
  <c r="O79" i="136"/>
  <c r="O76" i="136"/>
  <c r="J225" i="136"/>
  <c r="O61" i="136"/>
  <c r="O120" i="136"/>
  <c r="O56" i="136"/>
  <c r="O195" i="136"/>
  <c r="O206" i="136"/>
  <c r="O134" i="136"/>
  <c r="O183" i="136"/>
  <c r="O77" i="136"/>
  <c r="O93" i="136"/>
  <c r="O200" i="136"/>
  <c r="O49" i="136"/>
  <c r="O119" i="136"/>
  <c r="O121" i="136"/>
  <c r="O178" i="136"/>
  <c r="O148" i="136"/>
  <c r="J228" i="136"/>
  <c r="O58" i="136"/>
  <c r="O193" i="136"/>
  <c r="O179" i="136"/>
  <c r="O70" i="136"/>
  <c r="O132" i="136"/>
  <c r="J226" i="136"/>
  <c r="O151" i="136"/>
  <c r="O160" i="136"/>
  <c r="O189" i="136"/>
  <c r="O152" i="136"/>
  <c r="O63" i="136"/>
  <c r="O196" i="136"/>
  <c r="O46" i="136"/>
  <c r="O163" i="136"/>
  <c r="O97" i="136"/>
  <c r="O53" i="136"/>
  <c r="O180" i="136"/>
  <c r="O129" i="136"/>
  <c r="O87" i="136"/>
  <c r="O48" i="136"/>
  <c r="O73" i="136"/>
  <c r="O33" i="136"/>
  <c r="O89" i="136"/>
  <c r="O176" i="136"/>
  <c r="O103" i="136"/>
  <c r="O110" i="136"/>
  <c r="O153" i="136"/>
  <c r="O165" i="136"/>
  <c r="O142" i="136"/>
  <c r="O199" i="136"/>
  <c r="O41" i="136"/>
  <c r="O115" i="136"/>
  <c r="O172" i="136"/>
  <c r="O190" i="136"/>
  <c r="O95" i="136"/>
  <c r="O38" i="136"/>
  <c r="O188" i="136"/>
  <c r="O141" i="136"/>
  <c r="O205" i="136"/>
  <c r="O192" i="136"/>
  <c r="O181" i="136"/>
  <c r="O44" i="136"/>
  <c r="O173" i="136"/>
  <c r="O124" i="136"/>
  <c r="O161" i="136"/>
  <c r="O78" i="136"/>
  <c r="J21" i="136"/>
  <c r="J20" i="136"/>
  <c r="J23" i="136"/>
  <c r="M16" i="136"/>
  <c r="J24" i="136"/>
  <c r="J16" i="136"/>
  <c r="J19" i="136"/>
  <c r="J17" i="136"/>
  <c r="J22" i="136"/>
  <c r="J25" i="136"/>
  <c r="J18" i="136"/>
  <c r="J26" i="136"/>
  <c r="O26" i="136"/>
  <c r="F243" i="21"/>
  <c r="I211" i="55"/>
  <c r="O102" i="167"/>
  <c r="I202" i="94"/>
  <c r="I202" i="65"/>
  <c r="I240" i="28"/>
  <c r="I211" i="65"/>
  <c r="I98" i="158"/>
  <c r="F213" i="65"/>
  <c r="F220" i="65" s="1"/>
  <c r="I84" i="46"/>
  <c r="I233" i="152"/>
  <c r="I242" i="150"/>
  <c r="M20" i="64"/>
  <c r="J18" i="57"/>
  <c r="J19" i="57"/>
  <c r="J22" i="57"/>
  <c r="J16" i="57"/>
  <c r="M16" i="57"/>
  <c r="J17" i="57"/>
  <c r="J25" i="57"/>
  <c r="J26" i="57"/>
  <c r="O26" i="57"/>
  <c r="J23" i="57"/>
  <c r="J21" i="57"/>
  <c r="J20" i="57"/>
  <c r="J24" i="57"/>
  <c r="I213" i="159"/>
  <c r="O166" i="136"/>
  <c r="O66" i="57"/>
  <c r="O166" i="57"/>
  <c r="O202" i="136"/>
  <c r="I107" i="16"/>
  <c r="I116" i="164"/>
  <c r="O17" i="63"/>
  <c r="I211" i="47"/>
  <c r="I116" i="120"/>
  <c r="I84" i="65"/>
  <c r="I98" i="177"/>
  <c r="I107" i="86"/>
  <c r="F213" i="157"/>
  <c r="F242" i="120"/>
  <c r="F243" i="33"/>
  <c r="O16" i="16"/>
  <c r="O16" i="156"/>
  <c r="O23" i="164"/>
  <c r="O124" i="57"/>
  <c r="F220" i="21"/>
  <c r="O22" i="62"/>
  <c r="F243" i="136"/>
  <c r="O107" i="57"/>
  <c r="J17" i="21"/>
  <c r="J26" i="21"/>
  <c r="J21" i="21"/>
  <c r="J24" i="21"/>
  <c r="M16" i="21"/>
  <c r="J19" i="21"/>
  <c r="J18" i="21"/>
  <c r="J22" i="21"/>
  <c r="J23" i="21"/>
  <c r="J25" i="21"/>
  <c r="J20" i="21"/>
  <c r="O26" i="21"/>
  <c r="J16" i="21"/>
  <c r="F241" i="20"/>
  <c r="F241" i="150"/>
  <c r="O22" i="66"/>
  <c r="I107" i="95"/>
  <c r="F242" i="89"/>
  <c r="O23" i="27"/>
  <c r="O89" i="37"/>
  <c r="O16" i="54"/>
  <c r="O21" i="92"/>
  <c r="O20" i="98"/>
  <c r="O19" i="27"/>
  <c r="O93" i="37"/>
  <c r="I84" i="118"/>
  <c r="I98" i="42"/>
  <c r="I166" i="49"/>
  <c r="I66" i="95"/>
  <c r="I84" i="86"/>
  <c r="I84" i="95"/>
  <c r="I98" i="86"/>
  <c r="I107" i="50"/>
  <c r="I84" i="120"/>
  <c r="I233" i="175"/>
  <c r="I124" i="158"/>
  <c r="I116" i="20"/>
  <c r="I242" i="175"/>
  <c r="I211" i="145"/>
  <c r="I84" i="38"/>
  <c r="J18" i="167"/>
  <c r="M16" i="167"/>
  <c r="I98" i="92"/>
  <c r="I124" i="86"/>
  <c r="O21" i="155"/>
  <c r="O20" i="25"/>
  <c r="I211" i="175"/>
  <c r="O20" i="66"/>
  <c r="I66" i="14"/>
  <c r="O24" i="28"/>
  <c r="M20" i="106"/>
  <c r="I166" i="38"/>
  <c r="I66" i="42"/>
  <c r="I202" i="150"/>
  <c r="I166" i="89"/>
  <c r="I202" i="50"/>
  <c r="I202" i="95"/>
  <c r="O17" i="103"/>
  <c r="O20" i="46"/>
  <c r="I116" i="55"/>
  <c r="I202" i="68"/>
  <c r="O22" i="150"/>
  <c r="I211" i="53"/>
  <c r="I98" i="84"/>
  <c r="I116" i="53"/>
  <c r="I116" i="95"/>
  <c r="O178" i="37"/>
  <c r="I84" i="47"/>
  <c r="I116" i="58"/>
  <c r="O20" i="178"/>
  <c r="F213" i="42"/>
  <c r="F220" i="42" s="1"/>
  <c r="O19" i="15"/>
  <c r="F213" i="38"/>
  <c r="I116" i="62"/>
  <c r="O19" i="46"/>
  <c r="I211" i="142"/>
  <c r="I211" i="32"/>
  <c r="O17" i="158"/>
  <c r="I107" i="156"/>
  <c r="J21" i="167"/>
  <c r="J26" i="167"/>
  <c r="F241" i="38"/>
  <c r="O20" i="89"/>
  <c r="O19" i="60"/>
  <c r="O24" i="62"/>
  <c r="O17" i="46"/>
  <c r="O21" i="156"/>
  <c r="O17" i="32"/>
  <c r="F242" i="27"/>
  <c r="O16" i="98"/>
  <c r="M19" i="27"/>
  <c r="I240" i="27"/>
  <c r="I242" i="27" s="1"/>
  <c r="O24" i="38"/>
  <c r="I84" i="16"/>
  <c r="I124" i="31"/>
  <c r="O19" i="66"/>
  <c r="I242" i="58"/>
  <c r="O23" i="106"/>
  <c r="O24" i="98"/>
  <c r="O22" i="27"/>
  <c r="O23" i="25"/>
  <c r="O69" i="37"/>
  <c r="I242" i="106"/>
  <c r="I98" i="14"/>
  <c r="I116" i="38"/>
  <c r="I98" i="157"/>
  <c r="I66" i="119"/>
  <c r="O23" i="14"/>
  <c r="I124" i="175"/>
  <c r="O39" i="37"/>
  <c r="I124" i="145"/>
  <c r="I107" i="145"/>
  <c r="I166" i="72"/>
  <c r="F213" i="87"/>
  <c r="F220" i="87" s="1"/>
  <c r="I124" i="165"/>
  <c r="I107" i="150"/>
  <c r="I98" i="31"/>
  <c r="I107" i="71"/>
  <c r="I166" i="119"/>
  <c r="J22" i="167"/>
  <c r="F213" i="50"/>
  <c r="O24" i="95"/>
  <c r="I107" i="89"/>
  <c r="O18" i="174"/>
  <c r="O16" i="38"/>
  <c r="O22" i="174"/>
  <c r="O21" i="1"/>
  <c r="I98" i="38"/>
  <c r="O17" i="62"/>
  <c r="O16" i="42"/>
  <c r="O24" i="25"/>
  <c r="O55" i="37"/>
  <c r="O111" i="37"/>
  <c r="O20" i="86"/>
  <c r="I116" i="46"/>
  <c r="M19" i="15"/>
  <c r="I240" i="15"/>
  <c r="I242" i="15" s="1"/>
  <c r="I211" i="120"/>
  <c r="I66" i="55"/>
  <c r="O174" i="37"/>
  <c r="O16" i="62"/>
  <c r="M19" i="178"/>
  <c r="O18" i="90"/>
  <c r="I107" i="31"/>
  <c r="I211" i="50"/>
  <c r="I107" i="83"/>
  <c r="F241" i="71"/>
  <c r="J25" i="167"/>
  <c r="F213" i="150"/>
  <c r="O16" i="84"/>
  <c r="I116" i="31"/>
  <c r="I211" i="25"/>
  <c r="I233" i="164"/>
  <c r="J231" i="164" s="1"/>
  <c r="O16" i="164"/>
  <c r="O21" i="58"/>
  <c r="I211" i="106"/>
  <c r="I233" i="64"/>
  <c r="I233" i="72"/>
  <c r="O22" i="177"/>
  <c r="O16" i="25"/>
  <c r="O20" i="50"/>
  <c r="I202" i="16"/>
  <c r="O20" i="53"/>
  <c r="O18" i="58"/>
  <c r="F213" i="92"/>
  <c r="F220" i="92" s="1"/>
  <c r="I66" i="150"/>
  <c r="I202" i="64"/>
  <c r="I233" i="58"/>
  <c r="O22" i="95"/>
  <c r="I116" i="150"/>
  <c r="O17" i="175"/>
  <c r="F213" i="95"/>
  <c r="I116" i="89"/>
  <c r="O20" i="84"/>
  <c r="O19" i="83"/>
  <c r="O24" i="142"/>
  <c r="I240" i="89"/>
  <c r="M19" i="89"/>
  <c r="O23" i="47"/>
  <c r="O19" i="157"/>
  <c r="O18" i="102"/>
  <c r="I233" i="102"/>
  <c r="I98" i="37"/>
  <c r="O98" i="37" s="1"/>
  <c r="I116" i="37"/>
  <c r="O116" i="37" s="1"/>
  <c r="O21" i="43"/>
  <c r="F213" i="152"/>
  <c r="F220" i="152" s="1"/>
  <c r="I84" i="39"/>
  <c r="O24" i="94"/>
  <c r="I116" i="87"/>
  <c r="O22" i="155"/>
  <c r="I124" i="87"/>
  <c r="O16" i="95"/>
  <c r="I211" i="92"/>
  <c r="O22" i="90"/>
  <c r="I211" i="62"/>
  <c r="I202" i="1"/>
  <c r="I98" i="53"/>
  <c r="O24" i="64"/>
  <c r="O18" i="83"/>
  <c r="I211" i="71"/>
  <c r="I98" i="24"/>
  <c r="I166" i="31"/>
  <c r="F241" i="27"/>
  <c r="I98" i="49"/>
  <c r="O18" i="120"/>
  <c r="I66" i="104"/>
  <c r="I98" i="87"/>
  <c r="I116" i="50"/>
  <c r="O23" i="87"/>
  <c r="O24" i="71"/>
  <c r="O18" i="64"/>
  <c r="O22" i="68"/>
  <c r="I211" i="39"/>
  <c r="I116" i="14"/>
  <c r="M20" i="83"/>
  <c r="I242" i="83"/>
  <c r="O19" i="87"/>
  <c r="I116" i="177"/>
  <c r="I124" i="177"/>
  <c r="I116" i="118"/>
  <c r="F213" i="46"/>
  <c r="F213" i="90"/>
  <c r="I66" i="177"/>
  <c r="I98" i="1"/>
  <c r="O22" i="49"/>
  <c r="O17" i="39"/>
  <c r="I166" i="86"/>
  <c r="I84" i="50"/>
  <c r="I233" i="62"/>
  <c r="I233" i="46"/>
  <c r="I124" i="32"/>
  <c r="I84" i="60"/>
  <c r="I107" i="68"/>
  <c r="I124" i="60"/>
  <c r="F213" i="32"/>
  <c r="I202" i="141"/>
  <c r="I211" i="42"/>
  <c r="I202" i="54"/>
  <c r="O19" i="150"/>
  <c r="F241" i="156"/>
  <c r="O19" i="53"/>
  <c r="O20" i="103"/>
  <c r="I84" i="142"/>
  <c r="F213" i="1"/>
  <c r="I66" i="46"/>
  <c r="I66" i="141"/>
  <c r="I233" i="71"/>
  <c r="F213" i="142"/>
  <c r="I84" i="58"/>
  <c r="I66" i="165"/>
  <c r="I66" i="87"/>
  <c r="I98" i="68"/>
  <c r="O20" i="85"/>
  <c r="I202" i="142"/>
  <c r="I202" i="31"/>
  <c r="I84" i="31"/>
  <c r="I202" i="60"/>
  <c r="I166" i="1"/>
  <c r="I84" i="150"/>
  <c r="I107" i="63"/>
  <c r="F213" i="119"/>
  <c r="I202" i="32"/>
  <c r="I107" i="118"/>
  <c r="I211" i="31"/>
  <c r="I233" i="43"/>
  <c r="I202" i="84"/>
  <c r="O23" i="177"/>
  <c r="O21" i="46"/>
  <c r="I107" i="177"/>
  <c r="O20" i="156"/>
  <c r="O16" i="103"/>
  <c r="I202" i="120"/>
  <c r="I116" i="1"/>
  <c r="I98" i="95"/>
  <c r="F213" i="31"/>
  <c r="F220" i="31" s="1"/>
  <c r="I84" i="85"/>
  <c r="I84" i="158"/>
  <c r="I166" i="142"/>
  <c r="F213" i="58"/>
  <c r="I116" i="83"/>
  <c r="I116" i="47"/>
  <c r="I84" i="54"/>
  <c r="I202" i="38"/>
  <c r="I84" i="87"/>
  <c r="O24" i="104"/>
  <c r="I233" i="177"/>
  <c r="O19" i="62"/>
  <c r="I202" i="177"/>
  <c r="I84" i="177"/>
  <c r="O16" i="39"/>
  <c r="O19" i="156"/>
  <c r="I233" i="84"/>
  <c r="F241" i="79"/>
  <c r="O17" i="79"/>
  <c r="I98" i="20"/>
  <c r="I84" i="20"/>
  <c r="I233" i="85"/>
  <c r="I66" i="72"/>
  <c r="I98" i="72"/>
  <c r="I84" i="72"/>
  <c r="I107" i="72"/>
  <c r="F213" i="72"/>
  <c r="I84" i="43"/>
  <c r="M20" i="38"/>
  <c r="I242" i="38"/>
  <c r="F213" i="94"/>
  <c r="O17" i="27"/>
  <c r="F213" i="174"/>
  <c r="M20" i="120"/>
  <c r="I242" i="120"/>
  <c r="I124" i="142"/>
  <c r="F241" i="98"/>
  <c r="O19" i="106"/>
  <c r="I166" i="62"/>
  <c r="F213" i="39"/>
  <c r="I66" i="98"/>
  <c r="I166" i="177"/>
  <c r="O18" i="133"/>
  <c r="I166" i="54"/>
  <c r="I84" i="64"/>
  <c r="I166" i="65"/>
  <c r="I166" i="50"/>
  <c r="I116" i="64"/>
  <c r="O18" i="89"/>
  <c r="I202" i="103"/>
  <c r="M20" i="86"/>
  <c r="I242" i="86"/>
  <c r="I107" i="142"/>
  <c r="O21" i="50"/>
  <c r="M20" i="14"/>
  <c r="I242" i="14"/>
  <c r="O23" i="95"/>
  <c r="O21" i="150"/>
  <c r="O18" i="104"/>
  <c r="I84" i="14"/>
  <c r="F241" i="47"/>
  <c r="I107" i="84"/>
  <c r="I211" i="27"/>
  <c r="F241" i="92"/>
  <c r="I84" i="27"/>
  <c r="I66" i="1"/>
  <c r="I84" i="1"/>
  <c r="I66" i="103"/>
  <c r="I166" i="90"/>
  <c r="F213" i="64"/>
  <c r="I66" i="142"/>
  <c r="I116" i="157"/>
  <c r="I202" i="86"/>
  <c r="O17" i="66"/>
  <c r="F213" i="83"/>
  <c r="I84" i="141"/>
  <c r="F213" i="71"/>
  <c r="I124" i="106"/>
  <c r="I166" i="158"/>
  <c r="I116" i="24"/>
  <c r="F213" i="86"/>
  <c r="F213" i="158"/>
  <c r="I124" i="47"/>
  <c r="O16" i="15"/>
  <c r="I242" i="92"/>
  <c r="M20" i="92"/>
  <c r="I124" i="156"/>
  <c r="O23" i="31"/>
  <c r="F241" i="31"/>
  <c r="I233" i="95"/>
  <c r="J231" i="95" s="1"/>
  <c r="O17" i="89"/>
  <c r="I107" i="62"/>
  <c r="M20" i="62"/>
  <c r="O16" i="50"/>
  <c r="I166" i="156"/>
  <c r="I84" i="92"/>
  <c r="I211" i="103"/>
  <c r="I124" i="14"/>
  <c r="I66" i="158"/>
  <c r="O18" i="68"/>
  <c r="I202" i="25"/>
  <c r="I202" i="24"/>
  <c r="I84" i="49"/>
  <c r="I166" i="64"/>
  <c r="I166" i="46"/>
  <c r="I202" i="158"/>
  <c r="I202" i="90"/>
  <c r="I233" i="27"/>
  <c r="I84" i="157"/>
  <c r="I166" i="157"/>
  <c r="F213" i="68"/>
  <c r="I166" i="66"/>
  <c r="I202" i="87"/>
  <c r="I233" i="92"/>
  <c r="J231" i="92" s="1"/>
  <c r="I166" i="84"/>
  <c r="O24" i="50"/>
  <c r="O20" i="58"/>
  <c r="O21" i="71"/>
  <c r="O17" i="16"/>
  <c r="O17" i="98"/>
  <c r="I233" i="65"/>
  <c r="J231" i="65" s="1"/>
  <c r="I233" i="1"/>
  <c r="J231" i="1" s="1"/>
  <c r="F213" i="49"/>
  <c r="I66" i="16"/>
  <c r="O19" i="47"/>
  <c r="I233" i="55"/>
  <c r="O20" i="55"/>
  <c r="I84" i="63"/>
  <c r="F213" i="133"/>
  <c r="I66" i="175"/>
  <c r="I166" i="150"/>
  <c r="I202" i="119"/>
  <c r="I202" i="157"/>
  <c r="I66" i="157"/>
  <c r="I233" i="31"/>
  <c r="J231" i="31" s="1"/>
  <c r="I98" i="142"/>
  <c r="F213" i="104"/>
  <c r="O23" i="15"/>
  <c r="I107" i="1"/>
  <c r="O16" i="31"/>
  <c r="I66" i="31"/>
  <c r="O24" i="31"/>
  <c r="O21" i="89"/>
  <c r="O21" i="152"/>
  <c r="O23" i="150"/>
  <c r="I116" i="145"/>
  <c r="I116" i="142"/>
  <c r="I98" i="50"/>
  <c r="O20" i="68"/>
  <c r="O18" i="54"/>
  <c r="I66" i="50"/>
  <c r="I124" i="1"/>
  <c r="O24" i="106"/>
  <c r="F213" i="84"/>
  <c r="I202" i="92"/>
  <c r="I107" i="47"/>
  <c r="I166" i="83"/>
  <c r="F213" i="47"/>
  <c r="F213" i="165"/>
  <c r="I98" i="150"/>
  <c r="F213" i="62"/>
  <c r="I166" i="95"/>
  <c r="I66" i="27"/>
  <c r="I84" i="90"/>
  <c r="I66" i="89"/>
  <c r="O24" i="83"/>
  <c r="F213" i="120"/>
  <c r="I98" i="55"/>
  <c r="F213" i="141"/>
  <c r="F220" i="141" s="1"/>
  <c r="I66" i="38"/>
  <c r="O21" i="16"/>
  <c r="O23" i="1"/>
  <c r="O20" i="165"/>
  <c r="O24" i="43"/>
  <c r="O24" i="165"/>
  <c r="I211" i="28"/>
  <c r="O19" i="14"/>
  <c r="O19" i="28"/>
  <c r="I211" i="1"/>
  <c r="O16" i="165"/>
  <c r="O17" i="50"/>
  <c r="F242" i="72"/>
  <c r="O22" i="72"/>
  <c r="O19" i="72"/>
  <c r="F241" i="72"/>
  <c r="O18" i="72"/>
  <c r="O24" i="72"/>
  <c r="O16" i="72"/>
  <c r="I124" i="72"/>
  <c r="I240" i="72"/>
  <c r="I242" i="72" s="1"/>
  <c r="O19" i="79"/>
  <c r="I240" i="79"/>
  <c r="O23" i="79"/>
  <c r="O16" i="79"/>
  <c r="I84" i="79"/>
  <c r="F242" i="79"/>
  <c r="I240" i="37"/>
  <c r="I241" i="37" s="1"/>
  <c r="M19" i="37"/>
  <c r="F242" i="37"/>
  <c r="F241" i="37"/>
  <c r="I124" i="37"/>
  <c r="O124" i="37" s="1"/>
  <c r="I240" i="85"/>
  <c r="M19" i="85"/>
  <c r="I107" i="85"/>
  <c r="F242" i="85"/>
  <c r="F241" i="85"/>
  <c r="O19" i="85"/>
  <c r="O17" i="20"/>
  <c r="O20" i="20"/>
  <c r="I240" i="20"/>
  <c r="O16" i="20"/>
  <c r="I166" i="20"/>
  <c r="I211" i="20"/>
  <c r="I233" i="20"/>
  <c r="O24" i="20"/>
  <c r="M19" i="102"/>
  <c r="I240" i="102"/>
  <c r="O16" i="102"/>
  <c r="F242" i="102"/>
  <c r="I211" i="102"/>
  <c r="O22" i="102"/>
  <c r="O20" i="102"/>
  <c r="I211" i="19"/>
  <c r="I116" i="19"/>
  <c r="I202" i="19"/>
  <c r="I98" i="19"/>
  <c r="O18" i="19"/>
  <c r="O19" i="19"/>
  <c r="O24" i="19"/>
  <c r="I240" i="19"/>
  <c r="I242" i="19" s="1"/>
  <c r="I124" i="19"/>
  <c r="F242" i="19"/>
  <c r="I84" i="19"/>
  <c r="F213" i="19"/>
  <c r="I233" i="19"/>
  <c r="J231" i="19" s="1"/>
  <c r="O21" i="19"/>
  <c r="I166" i="19"/>
  <c r="O23" i="19"/>
  <c r="F241" i="19"/>
  <c r="F213" i="27"/>
  <c r="O16" i="177"/>
  <c r="M19" i="145"/>
  <c r="I240" i="145"/>
  <c r="F242" i="145"/>
  <c r="O18" i="145"/>
  <c r="I66" i="145"/>
  <c r="O175" i="167"/>
  <c r="O107" i="167"/>
  <c r="O166" i="167"/>
  <c r="O202" i="167"/>
  <c r="O128" i="167"/>
  <c r="O94" i="167"/>
  <c r="O162" i="167"/>
  <c r="O98" i="167"/>
  <c r="I166" i="106"/>
  <c r="I166" i="120"/>
  <c r="O17" i="84"/>
  <c r="O21" i="118"/>
  <c r="I124" i="46"/>
  <c r="I124" i="90"/>
  <c r="F241" i="104"/>
  <c r="O22" i="15"/>
  <c r="O24" i="65"/>
  <c r="F213" i="106"/>
  <c r="F220" i="106" s="1"/>
  <c r="F213" i="54"/>
  <c r="I116" i="106"/>
  <c r="I84" i="119"/>
  <c r="I84" i="102"/>
  <c r="O16" i="47"/>
  <c r="I211" i="37"/>
  <c r="O211" i="37" s="1"/>
  <c r="O17" i="120"/>
  <c r="I202" i="165"/>
  <c r="F213" i="79"/>
  <c r="F220" i="79" s="1"/>
  <c r="I166" i="141"/>
  <c r="I66" i="106"/>
  <c r="I66" i="83"/>
  <c r="I202" i="55"/>
  <c r="I66" i="90"/>
  <c r="I107" i="178"/>
  <c r="I124" i="141"/>
  <c r="I211" i="72"/>
  <c r="O16" i="90"/>
  <c r="O18" i="141"/>
  <c r="O24" i="47"/>
  <c r="O23" i="90"/>
  <c r="I233" i="90"/>
  <c r="J231" i="90" s="1"/>
  <c r="I66" i="62"/>
  <c r="I211" i="118"/>
  <c r="I116" i="90"/>
  <c r="I66" i="32"/>
  <c r="I107" i="37"/>
  <c r="O107" i="37" s="1"/>
  <c r="F213" i="24"/>
  <c r="I124" i="104"/>
  <c r="I66" i="24"/>
  <c r="I84" i="32"/>
  <c r="I124" i="102"/>
  <c r="I202" i="42"/>
  <c r="I107" i="106"/>
  <c r="I98" i="119"/>
  <c r="I98" i="90"/>
  <c r="I166" i="24"/>
  <c r="I202" i="49"/>
  <c r="I66" i="19"/>
  <c r="I202" i="15"/>
  <c r="F213" i="175"/>
  <c r="F220" i="175" s="1"/>
  <c r="I202" i="43"/>
  <c r="I166" i="16"/>
  <c r="I66" i="79"/>
  <c r="F213" i="118"/>
  <c r="F213" i="178"/>
  <c r="F213" i="63"/>
  <c r="I107" i="157"/>
  <c r="O24" i="102"/>
  <c r="I202" i="133"/>
  <c r="O19" i="68"/>
  <c r="I233" i="68"/>
  <c r="O23" i="103"/>
  <c r="I233" i="104"/>
  <c r="O23" i="68"/>
  <c r="F241" i="141"/>
  <c r="I84" i="37"/>
  <c r="O84" i="37" s="1"/>
  <c r="I116" i="32"/>
  <c r="I84" i="104"/>
  <c r="I124" i="103"/>
  <c r="I98" i="79"/>
  <c r="O22" i="43"/>
  <c r="I166" i="165"/>
  <c r="I124" i="157"/>
  <c r="F213" i="156"/>
  <c r="F213" i="20"/>
  <c r="I202" i="58"/>
  <c r="I98" i="152"/>
  <c r="I166" i="27"/>
  <c r="F213" i="103"/>
  <c r="I202" i="62"/>
  <c r="F213" i="14"/>
  <c r="I233" i="15"/>
  <c r="I98" i="54"/>
  <c r="O20" i="27"/>
  <c r="I66" i="65"/>
  <c r="I84" i="24"/>
  <c r="I202" i="89"/>
  <c r="O16" i="119"/>
  <c r="I233" i="119"/>
  <c r="O16" i="64"/>
  <c r="I211" i="86"/>
  <c r="O17" i="49"/>
  <c r="I116" i="25"/>
  <c r="O24" i="120"/>
  <c r="I98" i="39"/>
  <c r="I166" i="155"/>
  <c r="I166" i="87"/>
  <c r="I124" i="79"/>
  <c r="I107" i="19"/>
  <c r="I66" i="118"/>
  <c r="I66" i="120"/>
  <c r="I211" i="141"/>
  <c r="I116" i="104"/>
  <c r="I116" i="141"/>
  <c r="I124" i="28"/>
  <c r="I116" i="79"/>
  <c r="I98" i="43"/>
  <c r="I202" i="66"/>
  <c r="I202" i="85"/>
  <c r="I107" i="120"/>
  <c r="I202" i="145"/>
  <c r="I202" i="156"/>
  <c r="F213" i="55"/>
  <c r="I107" i="79"/>
  <c r="I84" i="152"/>
  <c r="I116" i="119"/>
  <c r="I116" i="84"/>
  <c r="I84" i="84"/>
  <c r="O17" i="19"/>
  <c r="I202" i="63"/>
  <c r="F213" i="37"/>
  <c r="F220" i="37" s="1"/>
  <c r="O22" i="28"/>
  <c r="I166" i="43"/>
  <c r="I116" i="152"/>
  <c r="I211" i="66"/>
  <c r="O18" i="66"/>
  <c r="O22" i="54"/>
  <c r="O17" i="104"/>
  <c r="O21" i="104"/>
  <c r="I98" i="175"/>
  <c r="O21" i="14"/>
  <c r="F213" i="60"/>
  <c r="F220" i="60" s="1"/>
  <c r="F213" i="25"/>
  <c r="F213" i="102"/>
  <c r="F220" i="102" s="1"/>
  <c r="I202" i="72"/>
  <c r="I116" i="27"/>
  <c r="O20" i="120"/>
  <c r="O24" i="66"/>
  <c r="I98" i="164"/>
  <c r="O20" i="15"/>
  <c r="O24" i="15"/>
  <c r="O24" i="84"/>
  <c r="I211" i="89"/>
  <c r="I107" i="46"/>
  <c r="I124" i="85"/>
  <c r="O21" i="141"/>
  <c r="I233" i="141"/>
  <c r="J231" i="141" s="1"/>
  <c r="I124" i="25"/>
  <c r="F213" i="66"/>
  <c r="I166" i="145"/>
  <c r="F213" i="155"/>
  <c r="I66" i="94"/>
  <c r="F213" i="43"/>
  <c r="F220" i="43" s="1"/>
  <c r="I211" i="49"/>
  <c r="O23" i="62"/>
  <c r="O19" i="102"/>
  <c r="O21" i="83"/>
  <c r="I202" i="118"/>
  <c r="M20" i="87"/>
  <c r="I242" i="87"/>
  <c r="I116" i="28"/>
  <c r="F241" i="119"/>
  <c r="O24" i="118"/>
  <c r="O17" i="15"/>
  <c r="O17" i="60"/>
  <c r="I116" i="60"/>
  <c r="I211" i="104"/>
  <c r="O20" i="64"/>
  <c r="F213" i="98"/>
  <c r="F213" i="89"/>
  <c r="M20" i="177"/>
  <c r="I242" i="177"/>
  <c r="O22" i="120"/>
  <c r="O23" i="102"/>
  <c r="I107" i="119"/>
  <c r="I116" i="156"/>
  <c r="O18" i="43"/>
  <c r="O17" i="54"/>
  <c r="O22" i="141"/>
  <c r="I124" i="120"/>
  <c r="I98" i="63"/>
  <c r="O18" i="106"/>
  <c r="I124" i="68"/>
  <c r="I211" i="15"/>
  <c r="O23" i="63"/>
  <c r="F213" i="28"/>
  <c r="F220" i="28" s="1"/>
  <c r="F213" i="145"/>
  <c r="I84" i="98"/>
  <c r="F213" i="85"/>
  <c r="I116" i="43"/>
  <c r="O24" i="68"/>
  <c r="O23" i="50"/>
  <c r="O21" i="66"/>
  <c r="I233" i="118"/>
  <c r="O21" i="120"/>
  <c r="I124" i="71"/>
  <c r="F241" i="120"/>
  <c r="I124" i="43"/>
  <c r="I107" i="90"/>
  <c r="I124" i="119"/>
  <c r="I116" i="175"/>
  <c r="I211" i="63"/>
  <c r="O22" i="145"/>
  <c r="O16" i="120"/>
  <c r="F241" i="68"/>
  <c r="I107" i="28"/>
  <c r="O18" i="62"/>
  <c r="O193" i="167"/>
  <c r="I233" i="54"/>
  <c r="O23" i="54"/>
  <c r="O58" i="37"/>
  <c r="I66" i="156"/>
  <c r="I84" i="175"/>
  <c r="O19" i="64"/>
  <c r="O23" i="66"/>
  <c r="I84" i="71"/>
  <c r="O17" i="58"/>
  <c r="O20" i="118"/>
  <c r="O17" i="133"/>
  <c r="I98" i="98"/>
  <c r="O24" i="156"/>
  <c r="I124" i="152"/>
  <c r="O24" i="133"/>
  <c r="I66" i="155"/>
  <c r="I166" i="94"/>
  <c r="F213" i="164"/>
  <c r="I242" i="39"/>
  <c r="M20" i="39"/>
  <c r="I107" i="94"/>
  <c r="O138" i="37"/>
  <c r="I166" i="37"/>
  <c r="O166" i="37" s="1"/>
  <c r="I107" i="49"/>
  <c r="O18" i="63"/>
  <c r="O17" i="178"/>
  <c r="O23" i="178"/>
  <c r="O141" i="167"/>
  <c r="O17" i="72"/>
  <c r="O21" i="178"/>
  <c r="I107" i="54"/>
  <c r="I166" i="63"/>
  <c r="I202" i="104"/>
  <c r="I107" i="133"/>
  <c r="I98" i="102"/>
  <c r="I124" i="63"/>
  <c r="I98" i="165"/>
  <c r="I166" i="71"/>
  <c r="F243" i="86"/>
  <c r="I124" i="174"/>
  <c r="I202" i="28"/>
  <c r="I166" i="39"/>
  <c r="O16" i="58"/>
  <c r="I124" i="133"/>
  <c r="I66" i="85"/>
  <c r="I98" i="178"/>
  <c r="I66" i="84"/>
  <c r="O23" i="64"/>
  <c r="I116" i="133"/>
  <c r="I202" i="152"/>
  <c r="O39" i="167"/>
  <c r="I241" i="167"/>
  <c r="O83" i="167"/>
  <c r="O57" i="167"/>
  <c r="O78" i="167"/>
  <c r="O147" i="167"/>
  <c r="O122" i="167"/>
  <c r="O184" i="167"/>
  <c r="O163" i="167"/>
  <c r="O153" i="167"/>
  <c r="O131" i="167"/>
  <c r="O90" i="167"/>
  <c r="O198" i="167"/>
  <c r="O210" i="167"/>
  <c r="O105" i="167"/>
  <c r="O74" i="167"/>
  <c r="O176" i="167"/>
  <c r="O110" i="167"/>
  <c r="O50" i="167"/>
  <c r="O201" i="167"/>
  <c r="O121" i="167"/>
  <c r="O170" i="167"/>
  <c r="O58" i="167"/>
  <c r="O64" i="167"/>
  <c r="O154" i="167"/>
  <c r="O178" i="167"/>
  <c r="O155" i="167"/>
  <c r="O164" i="167"/>
  <c r="O47" i="167"/>
  <c r="O169" i="167"/>
  <c r="O59" i="167"/>
  <c r="O145" i="167"/>
  <c r="O113" i="167"/>
  <c r="O35" i="167"/>
  <c r="O197" i="167"/>
  <c r="O75" i="167"/>
  <c r="O156" i="167"/>
  <c r="O185" i="167"/>
  <c r="O194" i="167"/>
  <c r="O71" i="167"/>
  <c r="O72" i="167"/>
  <c r="O36" i="167"/>
  <c r="O44" i="167"/>
  <c r="O73" i="167"/>
  <c r="O188" i="167"/>
  <c r="O32" i="167"/>
  <c r="O30" i="167"/>
  <c r="O199" i="167"/>
  <c r="O171" i="167"/>
  <c r="O88" i="167"/>
  <c r="O115" i="167"/>
  <c r="O111" i="167"/>
  <c r="O181" i="167"/>
  <c r="O152" i="167"/>
  <c r="O205" i="167"/>
  <c r="O182" i="167"/>
  <c r="O61" i="167"/>
  <c r="O43" i="167"/>
  <c r="O151" i="167"/>
  <c r="O48" i="167"/>
  <c r="O206" i="167"/>
  <c r="O209" i="167"/>
  <c r="J227" i="167"/>
  <c r="O195" i="167"/>
  <c r="O87" i="167"/>
  <c r="J224" i="167"/>
  <c r="O92" i="167"/>
  <c r="O93" i="167"/>
  <c r="O40" i="167"/>
  <c r="O160" i="167"/>
  <c r="O52" i="167"/>
  <c r="J225" i="167"/>
  <c r="O91" i="167"/>
  <c r="O150" i="167"/>
  <c r="O65" i="167"/>
  <c r="O42" i="167"/>
  <c r="O112" i="167"/>
  <c r="O134" i="167"/>
  <c r="O82" i="167"/>
  <c r="O148" i="167"/>
  <c r="O138" i="167"/>
  <c r="O136" i="167"/>
  <c r="O63" i="167"/>
  <c r="O97" i="167"/>
  <c r="J226" i="167"/>
  <c r="O190" i="167"/>
  <c r="O135" i="167"/>
  <c r="O53" i="167"/>
  <c r="O165" i="167"/>
  <c r="O129" i="167"/>
  <c r="O119" i="167"/>
  <c r="O56" i="167"/>
  <c r="O130" i="167"/>
  <c r="O95" i="167"/>
  <c r="O140" i="167"/>
  <c r="O70" i="167"/>
  <c r="O142" i="167"/>
  <c r="O179" i="167"/>
  <c r="O96" i="167"/>
  <c r="O189" i="167"/>
  <c r="O143" i="167"/>
  <c r="J228" i="167"/>
  <c r="O104" i="167"/>
  <c r="O60" i="167"/>
  <c r="O62" i="167"/>
  <c r="O34" i="167"/>
  <c r="O158" i="167"/>
  <c r="O80" i="167"/>
  <c r="O89" i="167"/>
  <c r="J230" i="167"/>
  <c r="O174" i="167"/>
  <c r="O45" i="167"/>
  <c r="O114" i="167"/>
  <c r="O38" i="167"/>
  <c r="J232" i="167"/>
  <c r="O187" i="167"/>
  <c r="O180" i="167"/>
  <c r="O137" i="167"/>
  <c r="O132" i="167"/>
  <c r="O31" i="167"/>
  <c r="O51" i="167"/>
  <c r="O101" i="167"/>
  <c r="O69" i="167"/>
  <c r="O55" i="167"/>
  <c r="O157" i="167"/>
  <c r="O191" i="167"/>
  <c r="O172" i="167"/>
  <c r="O196" i="167"/>
  <c r="O49" i="167"/>
  <c r="O177" i="167"/>
  <c r="O161" i="167"/>
  <c r="O208" i="167"/>
  <c r="J233" i="167"/>
  <c r="O79" i="167"/>
  <c r="O106" i="167"/>
  <c r="O46" i="167"/>
  <c r="O41" i="167"/>
  <c r="O37" i="167"/>
  <c r="O207" i="167"/>
  <c r="O146" i="167"/>
  <c r="O81" i="167"/>
  <c r="O192" i="167"/>
  <c r="O124" i="167"/>
  <c r="J229" i="167"/>
  <c r="O173" i="167"/>
  <c r="O76" i="167"/>
  <c r="O123" i="167"/>
  <c r="O200" i="167"/>
  <c r="M18" i="167"/>
  <c r="O54" i="167"/>
  <c r="O120" i="167"/>
  <c r="O33" i="167"/>
  <c r="O84" i="167"/>
  <c r="O77" i="167"/>
  <c r="O186" i="167"/>
  <c r="O211" i="167"/>
  <c r="O66" i="167"/>
  <c r="O116" i="167"/>
  <c r="O183" i="167"/>
  <c r="O26" i="167"/>
  <c r="I166" i="53"/>
  <c r="I240" i="63"/>
  <c r="M19" i="63"/>
  <c r="I211" i="68"/>
  <c r="I211" i="58"/>
  <c r="I166" i="68"/>
  <c r="I116" i="85"/>
  <c r="I84" i="106"/>
  <c r="I233" i="66"/>
  <c r="O16" i="66"/>
  <c r="O24" i="54"/>
  <c r="I202" i="27"/>
  <c r="I66" i="64"/>
  <c r="I66" i="68"/>
  <c r="F242" i="155"/>
  <c r="O23" i="20"/>
  <c r="F243" i="167"/>
  <c r="O21" i="94"/>
  <c r="I242" i="167"/>
  <c r="M20" i="167"/>
  <c r="O18" i="156"/>
  <c r="I166" i="98"/>
  <c r="O19" i="38"/>
  <c r="I66" i="39"/>
  <c r="I166" i="175"/>
  <c r="I202" i="79"/>
  <c r="I66" i="66"/>
  <c r="F242" i="63"/>
  <c r="I116" i="103"/>
  <c r="O21" i="63"/>
  <c r="O22" i="133"/>
  <c r="O17" i="164"/>
  <c r="I98" i="71"/>
  <c r="I166" i="174"/>
  <c r="I66" i="102"/>
  <c r="I66" i="37"/>
  <c r="O66" i="37" s="1"/>
  <c r="O34" i="37"/>
  <c r="I66" i="63"/>
  <c r="O20" i="71"/>
  <c r="O17" i="118"/>
  <c r="O19" i="58"/>
  <c r="I98" i="62"/>
  <c r="M20" i="178"/>
  <c r="I166" i="178"/>
  <c r="I66" i="49"/>
  <c r="O197" i="37"/>
  <c r="I84" i="178"/>
  <c r="I124" i="38"/>
  <c r="I84" i="68"/>
  <c r="O17" i="71"/>
  <c r="I211" i="79"/>
  <c r="I107" i="39"/>
  <c r="I66" i="71"/>
  <c r="I166" i="14"/>
  <c r="O23" i="49"/>
  <c r="I166" i="79"/>
  <c r="I124" i="98"/>
  <c r="I66" i="133"/>
  <c r="I66" i="20"/>
  <c r="I202" i="155"/>
  <c r="I98" i="156"/>
  <c r="I107" i="165"/>
  <c r="I211" i="43"/>
  <c r="I213" i="167"/>
  <c r="I98" i="64"/>
  <c r="I84" i="155"/>
  <c r="I66" i="15"/>
  <c r="O22" i="178"/>
  <c r="I116" i="178"/>
  <c r="I202" i="39"/>
  <c r="I202" i="53"/>
  <c r="I98" i="83"/>
  <c r="I202" i="102"/>
  <c r="F241" i="58"/>
  <c r="I98" i="46"/>
  <c r="I202" i="178"/>
  <c r="I116" i="102"/>
  <c r="I202" i="98"/>
  <c r="F220" i="167"/>
  <c r="O19" i="178"/>
  <c r="O19" i="49"/>
  <c r="I202" i="71"/>
  <c r="O18" i="55"/>
  <c r="F241" i="63"/>
  <c r="I66" i="174"/>
  <c r="I107" i="43"/>
  <c r="F241" i="178"/>
  <c r="I211" i="133"/>
  <c r="O19" i="155"/>
  <c r="I233" i="155"/>
  <c r="I84" i="133"/>
  <c r="I107" i="55"/>
  <c r="I66" i="43"/>
  <c r="I166" i="28"/>
  <c r="I124" i="64"/>
  <c r="I107" i="155"/>
  <c r="I211" i="64"/>
  <c r="I202" i="46"/>
  <c r="O23" i="85"/>
  <c r="I166" i="152"/>
  <c r="I66" i="25"/>
  <c r="I98" i="15"/>
  <c r="I98" i="47"/>
  <c r="I84" i="83"/>
  <c r="O40" i="37"/>
  <c r="O187" i="37"/>
  <c r="O181" i="37"/>
  <c r="O192" i="37"/>
  <c r="O172" i="37"/>
  <c r="O102" i="37"/>
  <c r="J228" i="37"/>
  <c r="O72" i="37"/>
  <c r="O97" i="37"/>
  <c r="O57" i="37"/>
  <c r="O140" i="37"/>
  <c r="O199" i="37"/>
  <c r="O104" i="37"/>
  <c r="O132" i="37"/>
  <c r="O59" i="37"/>
  <c r="O36" i="37"/>
  <c r="O121" i="37"/>
  <c r="J229" i="37"/>
  <c r="O160" i="37"/>
  <c r="O43" i="37"/>
  <c r="O196" i="37"/>
  <c r="O150" i="37"/>
  <c r="O44" i="37"/>
  <c r="O156" i="37"/>
  <c r="O193" i="37"/>
  <c r="O62" i="37"/>
  <c r="O165" i="37"/>
  <c r="O185" i="37"/>
  <c r="O33" i="37"/>
  <c r="O194" i="37"/>
  <c r="O96" i="37"/>
  <c r="O37" i="37"/>
  <c r="O91" i="37"/>
  <c r="O32" i="37"/>
  <c r="O87" i="37"/>
  <c r="J224" i="37"/>
  <c r="O74" i="37"/>
  <c r="J227" i="37"/>
  <c r="O137" i="37"/>
  <c r="O210" i="37"/>
  <c r="O205" i="37"/>
  <c r="O190" i="37"/>
  <c r="O175" i="37"/>
  <c r="O147" i="37"/>
  <c r="O122" i="37"/>
  <c r="O83" i="37"/>
  <c r="O189" i="37"/>
  <c r="O78" i="37"/>
  <c r="O164" i="37"/>
  <c r="O145" i="37"/>
  <c r="O158" i="37"/>
  <c r="O162" i="37"/>
  <c r="O60" i="37"/>
  <c r="O184" i="37"/>
  <c r="O134" i="37"/>
  <c r="O129" i="37"/>
  <c r="O103" i="37"/>
  <c r="O157" i="37"/>
  <c r="O35" i="37"/>
  <c r="O50" i="37"/>
  <c r="O195" i="37"/>
  <c r="O53" i="37"/>
  <c r="O92" i="37"/>
  <c r="O153" i="37"/>
  <c r="O70" i="37"/>
  <c r="O65" i="37"/>
  <c r="O38" i="37"/>
  <c r="O151" i="37"/>
  <c r="O110" i="37"/>
  <c r="O80" i="37"/>
  <c r="J233" i="37"/>
  <c r="O176" i="37"/>
  <c r="O146" i="37"/>
  <c r="O79" i="37"/>
  <c r="O183" i="37"/>
  <c r="O46" i="37"/>
  <c r="O186" i="37"/>
  <c r="O198" i="37"/>
  <c r="O135" i="37"/>
  <c r="O141" i="37"/>
  <c r="O82" i="37"/>
  <c r="J232" i="37"/>
  <c r="O71" i="37"/>
  <c r="O119" i="37"/>
  <c r="O64" i="37"/>
  <c r="O115" i="37"/>
  <c r="O112" i="37"/>
  <c r="O31" i="37"/>
  <c r="O101" i="37"/>
  <c r="O45" i="37"/>
  <c r="O47" i="37"/>
  <c r="O113" i="37"/>
  <c r="O143" i="37"/>
  <c r="O209" i="37"/>
  <c r="J225" i="37"/>
  <c r="O180" i="37"/>
  <c r="O77" i="37"/>
  <c r="O182" i="37"/>
  <c r="O169" i="37"/>
  <c r="O88" i="37"/>
  <c r="J230" i="37"/>
  <c r="O30" i="37"/>
  <c r="M18" i="37"/>
  <c r="O155" i="37"/>
  <c r="O206" i="37"/>
  <c r="O94" i="37"/>
  <c r="O51" i="37"/>
  <c r="O75" i="37"/>
  <c r="O90" i="37"/>
  <c r="O170" i="37"/>
  <c r="O48" i="37"/>
  <c r="O201" i="37"/>
  <c r="O179" i="37"/>
  <c r="O208" i="37"/>
  <c r="O114" i="37"/>
  <c r="O73" i="37"/>
  <c r="O81" i="37"/>
  <c r="O95" i="37"/>
  <c r="O63" i="37"/>
  <c r="O177" i="37"/>
  <c r="O106" i="37"/>
  <c r="O148" i="37"/>
  <c r="O136" i="37"/>
  <c r="O56" i="37"/>
  <c r="O52" i="37"/>
  <c r="O131" i="37"/>
  <c r="O120" i="37"/>
  <c r="O41" i="37"/>
  <c r="O171" i="37"/>
  <c r="O76" i="37"/>
  <c r="O128" i="37"/>
  <c r="J226" i="37"/>
  <c r="O42" i="37"/>
  <c r="O188" i="37"/>
  <c r="O154" i="37"/>
  <c r="O142" i="37"/>
  <c r="O191" i="37"/>
  <c r="O105" i="37"/>
  <c r="O49" i="37"/>
  <c r="O207" i="37"/>
  <c r="O54" i="37"/>
  <c r="O130" i="37"/>
  <c r="O152" i="37"/>
  <c r="O61" i="37"/>
  <c r="O200" i="37"/>
  <c r="O123" i="37"/>
  <c r="O161" i="37"/>
  <c r="I116" i="39"/>
  <c r="I166" i="118"/>
  <c r="I98" i="103"/>
  <c r="I84" i="156"/>
  <c r="I124" i="58"/>
  <c r="I166" i="15"/>
  <c r="O18" i="32"/>
  <c r="O18" i="178"/>
  <c r="I166" i="85"/>
  <c r="M19" i="155"/>
  <c r="I240" i="155"/>
  <c r="I98" i="118"/>
  <c r="I116" i="68"/>
  <c r="I116" i="98"/>
  <c r="O18" i="46"/>
  <c r="I166" i="58"/>
  <c r="I107" i="102"/>
  <c r="I66" i="54"/>
  <c r="F242" i="43"/>
  <c r="O19" i="63"/>
  <c r="O21" i="145"/>
  <c r="F241" i="49"/>
  <c r="F241" i="155"/>
  <c r="I202" i="14"/>
  <c r="I107" i="98"/>
  <c r="I84" i="15"/>
  <c r="I66" i="60"/>
  <c r="I98" i="66"/>
  <c r="O22" i="63"/>
  <c r="I202" i="20"/>
  <c r="I98" i="60"/>
  <c r="I98" i="58"/>
  <c r="I233" i="178"/>
  <c r="I242" i="178"/>
  <c r="F241" i="66"/>
  <c r="I98" i="145"/>
  <c r="I116" i="71"/>
  <c r="I124" i="55"/>
  <c r="I66" i="164"/>
  <c r="I107" i="20"/>
  <c r="I98" i="133"/>
  <c r="I166" i="133"/>
  <c r="I84" i="62"/>
  <c r="I66" i="47"/>
  <c r="I84" i="165"/>
  <c r="I202" i="175"/>
  <c r="I166" i="104"/>
  <c r="I211" i="14"/>
  <c r="I66" i="58"/>
  <c r="O24" i="178"/>
  <c r="O16" i="53"/>
  <c r="I166" i="32"/>
  <c r="F241" i="54"/>
  <c r="I98" i="106"/>
  <c r="I166" i="103"/>
  <c r="I66" i="178"/>
  <c r="I66" i="28"/>
  <c r="I107" i="58"/>
  <c r="I166" i="60"/>
  <c r="I202" i="83"/>
  <c r="O16" i="178"/>
  <c r="O16" i="46"/>
  <c r="I166" i="25"/>
  <c r="I84" i="103"/>
  <c r="I124" i="39"/>
  <c r="I124" i="155"/>
  <c r="I211" i="178"/>
  <c r="I66" i="92"/>
  <c r="I166" i="102"/>
  <c r="I202" i="37"/>
  <c r="O202" i="37" s="1"/>
  <c r="O173" i="37"/>
  <c r="I84" i="66"/>
  <c r="I124" i="178"/>
  <c r="I240" i="43"/>
  <c r="M19" i="43"/>
  <c r="I84" i="145"/>
  <c r="I233" i="49"/>
  <c r="J231" i="49" s="1"/>
  <c r="O20" i="49"/>
  <c r="O24" i="113"/>
  <c r="O19" i="113"/>
  <c r="M19" i="113"/>
  <c r="I240" i="113"/>
  <c r="O21" i="113"/>
  <c r="I116" i="113"/>
  <c r="O22" i="113"/>
  <c r="F241" i="113"/>
  <c r="I233" i="113"/>
  <c r="J231" i="113" s="1"/>
  <c r="F242" i="113"/>
  <c r="J231" i="68" l="1"/>
  <c r="I241" i="68"/>
  <c r="F220" i="83"/>
  <c r="G215" i="97"/>
  <c r="O48" i="83"/>
  <c r="J231" i="83"/>
  <c r="O74" i="178"/>
  <c r="J231" i="178"/>
  <c r="O188" i="104"/>
  <c r="J231" i="104"/>
  <c r="O163" i="15"/>
  <c r="J231" i="15"/>
  <c r="O156" i="72"/>
  <c r="J231" i="72"/>
  <c r="O138" i="102"/>
  <c r="J231" i="102"/>
  <c r="O77" i="66"/>
  <c r="J231" i="66"/>
  <c r="O102" i="32"/>
  <c r="J231" i="32"/>
  <c r="O54" i="79"/>
  <c r="J231" i="79"/>
  <c r="O122" i="46"/>
  <c r="J231" i="46"/>
  <c r="O73" i="25"/>
  <c r="J231" i="25"/>
  <c r="O72" i="98"/>
  <c r="J231" i="98"/>
  <c r="O104" i="53"/>
  <c r="J231" i="53"/>
  <c r="O40" i="24"/>
  <c r="J231" i="24"/>
  <c r="O132" i="118"/>
  <c r="J231" i="118"/>
  <c r="O106" i="54"/>
  <c r="J231" i="54"/>
  <c r="O165" i="50"/>
  <c r="J231" i="50"/>
  <c r="J225" i="60"/>
  <c r="J231" i="60"/>
  <c r="O184" i="142"/>
  <c r="J231" i="142"/>
  <c r="O93" i="165"/>
  <c r="J231" i="165"/>
  <c r="O130" i="64"/>
  <c r="J231" i="64"/>
  <c r="O80" i="63"/>
  <c r="J231" i="63"/>
  <c r="O91" i="27"/>
  <c r="J231" i="27"/>
  <c r="O103" i="55"/>
  <c r="J231" i="55"/>
  <c r="O30" i="38"/>
  <c r="J231" i="38"/>
  <c r="O54" i="84"/>
  <c r="J231" i="84"/>
  <c r="O176" i="177"/>
  <c r="J231" i="177"/>
  <c r="O33" i="39"/>
  <c r="J231" i="39"/>
  <c r="O53" i="62"/>
  <c r="J231" i="62"/>
  <c r="O58" i="145"/>
  <c r="J231" i="145"/>
  <c r="O201" i="175"/>
  <c r="J231" i="175"/>
  <c r="O181" i="43"/>
  <c r="J231" i="43"/>
  <c r="O34" i="152"/>
  <c r="J231" i="152"/>
  <c r="O201" i="133"/>
  <c r="J231" i="133"/>
  <c r="O142" i="87"/>
  <c r="J231" i="87"/>
  <c r="O79" i="89"/>
  <c r="J231" i="89"/>
  <c r="O171" i="16"/>
  <c r="J231" i="16"/>
  <c r="O197" i="119"/>
  <c r="J231" i="119"/>
  <c r="O73" i="71"/>
  <c r="J231" i="71"/>
  <c r="O60" i="58"/>
  <c r="J231" i="58"/>
  <c r="O78" i="86"/>
  <c r="J231" i="86"/>
  <c r="J232" i="156"/>
  <c r="J231" i="156"/>
  <c r="O42" i="20"/>
  <c r="J231" i="20"/>
  <c r="O101" i="155"/>
  <c r="J231" i="155"/>
  <c r="J232" i="158"/>
  <c r="J231" i="158"/>
  <c r="O45" i="42"/>
  <c r="J231" i="42"/>
  <c r="O183" i="157"/>
  <c r="J231" i="157"/>
  <c r="O161" i="120"/>
  <c r="J231" i="120"/>
  <c r="O45" i="174"/>
  <c r="J231" i="174"/>
  <c r="O120" i="85"/>
  <c r="J231" i="85"/>
  <c r="O196" i="14"/>
  <c r="J231" i="14"/>
  <c r="O73" i="28"/>
  <c r="J231" i="28"/>
  <c r="O196" i="150"/>
  <c r="J231" i="150"/>
  <c r="O205" i="94"/>
  <c r="J231" i="94"/>
  <c r="J174" i="33"/>
  <c r="J16" i="68"/>
  <c r="J13" i="68"/>
  <c r="J15" i="68"/>
  <c r="J12" i="68"/>
  <c r="J14" i="68"/>
  <c r="J15" i="94"/>
  <c r="J12" i="94"/>
  <c r="J14" i="94"/>
  <c r="J13" i="94"/>
  <c r="J12" i="150"/>
  <c r="J14" i="150"/>
  <c r="J13" i="150"/>
  <c r="J15" i="150"/>
  <c r="J18" i="85"/>
  <c r="J12" i="85"/>
  <c r="J15" i="85"/>
  <c r="J14" i="85"/>
  <c r="J13" i="85"/>
  <c r="J15" i="28"/>
  <c r="J13" i="28"/>
  <c r="J14" i="28"/>
  <c r="J12" i="28"/>
  <c r="J26" i="141"/>
  <c r="J14" i="141"/>
  <c r="J12" i="141"/>
  <c r="J15" i="141"/>
  <c r="J13" i="141"/>
  <c r="J23" i="79"/>
  <c r="J15" i="79"/>
  <c r="J13" i="79"/>
  <c r="J14" i="79"/>
  <c r="J12" i="79"/>
  <c r="J15" i="118"/>
  <c r="J12" i="118"/>
  <c r="J14" i="118"/>
  <c r="J13" i="118"/>
  <c r="J12" i="164"/>
  <c r="J14" i="164"/>
  <c r="J13" i="164"/>
  <c r="J15" i="164"/>
  <c r="J22" i="120"/>
  <c r="J15" i="120"/>
  <c r="J14" i="120"/>
  <c r="J13" i="120"/>
  <c r="J12" i="120"/>
  <c r="J12" i="65"/>
  <c r="J13" i="65"/>
  <c r="J14" i="65"/>
  <c r="J15" i="65"/>
  <c r="J13" i="83"/>
  <c r="J14" i="83"/>
  <c r="J15" i="83"/>
  <c r="J12" i="83"/>
  <c r="J19" i="37"/>
  <c r="J13" i="37"/>
  <c r="J14" i="37"/>
  <c r="J12" i="37"/>
  <c r="J15" i="37"/>
  <c r="J18" i="158"/>
  <c r="J13" i="158"/>
  <c r="J12" i="158"/>
  <c r="J14" i="158"/>
  <c r="J15" i="158"/>
  <c r="J15" i="66"/>
  <c r="J13" i="66"/>
  <c r="J14" i="66"/>
  <c r="J12" i="66"/>
  <c r="J26" i="92"/>
  <c r="J12" i="92"/>
  <c r="J14" i="92"/>
  <c r="J15" i="92"/>
  <c r="J13" i="92"/>
  <c r="J15" i="133"/>
  <c r="J12" i="133"/>
  <c r="J13" i="133"/>
  <c r="J14" i="133"/>
  <c r="J15" i="113"/>
  <c r="J14" i="113"/>
  <c r="J12" i="113"/>
  <c r="J13" i="113"/>
  <c r="J14" i="178"/>
  <c r="J13" i="178"/>
  <c r="J15" i="178"/>
  <c r="J12" i="178"/>
  <c r="J12" i="55"/>
  <c r="J13" i="55"/>
  <c r="J14" i="55"/>
  <c r="J15" i="55"/>
  <c r="J14" i="71"/>
  <c r="J12" i="71"/>
  <c r="J15" i="71"/>
  <c r="J13" i="71"/>
  <c r="J13" i="50"/>
  <c r="J14" i="50"/>
  <c r="J15" i="50"/>
  <c r="J12" i="50"/>
  <c r="J12" i="19"/>
  <c r="J15" i="19"/>
  <c r="J14" i="19"/>
  <c r="J13" i="19"/>
  <c r="J14" i="54"/>
  <c r="J13" i="54"/>
  <c r="J12" i="54"/>
  <c r="J15" i="54"/>
  <c r="J20" i="16"/>
  <c r="J13" i="16"/>
  <c r="J15" i="16"/>
  <c r="J12" i="16"/>
  <c r="J14" i="16"/>
  <c r="J14" i="165"/>
  <c r="J15" i="165"/>
  <c r="J13" i="165"/>
  <c r="J12" i="165"/>
  <c r="M16" i="49"/>
  <c r="J13" i="49"/>
  <c r="J15" i="49"/>
  <c r="J14" i="49"/>
  <c r="J12" i="49"/>
  <c r="J23" i="15"/>
  <c r="J14" i="15"/>
  <c r="J15" i="15"/>
  <c r="J13" i="15"/>
  <c r="J12" i="15"/>
  <c r="J12" i="42"/>
  <c r="J15" i="42"/>
  <c r="J14" i="42"/>
  <c r="J13" i="42"/>
  <c r="J16" i="145"/>
  <c r="J13" i="145"/>
  <c r="J15" i="145"/>
  <c r="J12" i="145"/>
  <c r="J14" i="145"/>
  <c r="J24" i="72"/>
  <c r="J12" i="72"/>
  <c r="J14" i="72"/>
  <c r="J15" i="72"/>
  <c r="J13" i="72"/>
  <c r="J14" i="177"/>
  <c r="J13" i="177"/>
  <c r="J12" i="177"/>
  <c r="J15" i="177"/>
  <c r="J25" i="90"/>
  <c r="J15" i="90"/>
  <c r="J12" i="90"/>
  <c r="J14" i="90"/>
  <c r="J13" i="90"/>
  <c r="J17" i="157"/>
  <c r="J15" i="157"/>
  <c r="J12" i="157"/>
  <c r="J13" i="157"/>
  <c r="J14" i="157"/>
  <c r="J15" i="43"/>
  <c r="J13" i="43"/>
  <c r="J12" i="43"/>
  <c r="J14" i="43"/>
  <c r="J12" i="47"/>
  <c r="J13" i="47"/>
  <c r="J15" i="47"/>
  <c r="J14" i="47"/>
  <c r="J15" i="89"/>
  <c r="J13" i="89"/>
  <c r="J14" i="89"/>
  <c r="J12" i="89"/>
  <c r="J23" i="87"/>
  <c r="J12" i="87"/>
  <c r="J15" i="87"/>
  <c r="J13" i="87"/>
  <c r="J14" i="87"/>
  <c r="J15" i="98"/>
  <c r="J13" i="98"/>
  <c r="J14" i="98"/>
  <c r="J12" i="98"/>
  <c r="J12" i="156"/>
  <c r="J13" i="156"/>
  <c r="J14" i="156"/>
  <c r="J15" i="156"/>
  <c r="J15" i="1"/>
  <c r="J12" i="1"/>
  <c r="J13" i="1"/>
  <c r="J14" i="1"/>
  <c r="J22" i="119"/>
  <c r="J13" i="119"/>
  <c r="J14" i="119"/>
  <c r="J12" i="119"/>
  <c r="J15" i="119"/>
  <c r="J23" i="104"/>
  <c r="J13" i="104"/>
  <c r="J15" i="104"/>
  <c r="J12" i="104"/>
  <c r="J14" i="104"/>
  <c r="J26" i="95"/>
  <c r="J15" i="95"/>
  <c r="J14" i="95"/>
  <c r="J12" i="95"/>
  <c r="J13" i="95"/>
  <c r="J19" i="60"/>
  <c r="J12" i="60"/>
  <c r="J15" i="60"/>
  <c r="J14" i="60"/>
  <c r="J13" i="60"/>
  <c r="J12" i="58"/>
  <c r="J15" i="58"/>
  <c r="J13" i="58"/>
  <c r="J14" i="58"/>
  <c r="J12" i="62"/>
  <c r="J14" i="62"/>
  <c r="J13" i="62"/>
  <c r="J15" i="62"/>
  <c r="J14" i="27"/>
  <c r="J13" i="27"/>
  <c r="J15" i="27"/>
  <c r="J12" i="27"/>
  <c r="M16" i="155"/>
  <c r="J12" i="155"/>
  <c r="J15" i="155"/>
  <c r="J14" i="155"/>
  <c r="J13" i="155"/>
  <c r="J12" i="38"/>
  <c r="J14" i="38"/>
  <c r="J15" i="38"/>
  <c r="J13" i="38"/>
  <c r="J15" i="84"/>
  <c r="J13" i="84"/>
  <c r="J12" i="84"/>
  <c r="J14" i="84"/>
  <c r="J24" i="20"/>
  <c r="J12" i="20"/>
  <c r="J14" i="20"/>
  <c r="J13" i="20"/>
  <c r="J15" i="20"/>
  <c r="J17" i="102"/>
  <c r="J15" i="102"/>
  <c r="J14" i="102"/>
  <c r="J13" i="102"/>
  <c r="J12" i="102"/>
  <c r="J23" i="152"/>
  <c r="J15" i="152"/>
  <c r="J12" i="152"/>
  <c r="J13" i="152"/>
  <c r="J14" i="152"/>
  <c r="J18" i="175"/>
  <c r="J14" i="175"/>
  <c r="J12" i="175"/>
  <c r="J15" i="175"/>
  <c r="J13" i="175"/>
  <c r="J24" i="174"/>
  <c r="J15" i="174"/>
  <c r="J13" i="174"/>
  <c r="J12" i="174"/>
  <c r="J14" i="174"/>
  <c r="J15" i="53"/>
  <c r="J13" i="53"/>
  <c r="J14" i="53"/>
  <c r="J12" i="53"/>
  <c r="J13" i="63"/>
  <c r="J15" i="63"/>
  <c r="J14" i="63"/>
  <c r="J12" i="63"/>
  <c r="J12" i="64"/>
  <c r="J14" i="64"/>
  <c r="J15" i="64"/>
  <c r="J13" i="64"/>
  <c r="J14" i="25"/>
  <c r="J12" i="25"/>
  <c r="J13" i="25"/>
  <c r="J15" i="25"/>
  <c r="M16" i="86"/>
  <c r="J14" i="86"/>
  <c r="J12" i="86"/>
  <c r="J15" i="86"/>
  <c r="J13" i="86"/>
  <c r="J17" i="142"/>
  <c r="J12" i="142"/>
  <c r="J15" i="142"/>
  <c r="J14" i="142"/>
  <c r="J13" i="142"/>
  <c r="J14" i="46"/>
  <c r="J12" i="46"/>
  <c r="J15" i="46"/>
  <c r="J13" i="46"/>
  <c r="J13" i="32"/>
  <c r="J14" i="32"/>
  <c r="J12" i="32"/>
  <c r="J15" i="32"/>
  <c r="J12" i="106"/>
  <c r="J15" i="106"/>
  <c r="J13" i="106"/>
  <c r="J14" i="106"/>
  <c r="J13" i="14"/>
  <c r="J12" i="14"/>
  <c r="J14" i="14"/>
  <c r="J15" i="14"/>
  <c r="J14" i="103"/>
  <c r="J13" i="103"/>
  <c r="J15" i="103"/>
  <c r="J12" i="103"/>
  <c r="J16" i="31"/>
  <c r="J14" i="31"/>
  <c r="J13" i="31"/>
  <c r="J15" i="31"/>
  <c r="J12" i="31"/>
  <c r="J21" i="39"/>
  <c r="J15" i="39"/>
  <c r="J13" i="39"/>
  <c r="J14" i="39"/>
  <c r="J12" i="39"/>
  <c r="J20" i="24"/>
  <c r="J15" i="24"/>
  <c r="J13" i="24"/>
  <c r="J12" i="24"/>
  <c r="J14" i="24"/>
  <c r="O211" i="94"/>
  <c r="J48" i="33"/>
  <c r="J148" i="136"/>
  <c r="J113" i="136"/>
  <c r="J54" i="136"/>
  <c r="J76" i="136"/>
  <c r="J101" i="136"/>
  <c r="J137" i="136"/>
  <c r="J201" i="136"/>
  <c r="J52" i="136"/>
  <c r="J59" i="136"/>
  <c r="J65" i="136"/>
  <c r="J143" i="136"/>
  <c r="J200" i="136"/>
  <c r="J146" i="136"/>
  <c r="J98" i="136"/>
  <c r="J178" i="136"/>
  <c r="J209" i="136"/>
  <c r="J87" i="136"/>
  <c r="O213" i="136"/>
  <c r="J40" i="33"/>
  <c r="J152" i="136"/>
  <c r="M20" i="98"/>
  <c r="J74" i="33"/>
  <c r="J187" i="136"/>
  <c r="J40" i="136"/>
  <c r="J55" i="136"/>
  <c r="J50" i="33"/>
  <c r="J47" i="33"/>
  <c r="J155" i="136"/>
  <c r="J39" i="136"/>
  <c r="J37" i="136"/>
  <c r="J210" i="136"/>
  <c r="J154" i="33"/>
  <c r="J103" i="33"/>
  <c r="J101" i="33"/>
  <c r="J82" i="136"/>
  <c r="J32" i="136"/>
  <c r="J111" i="136"/>
  <c r="J136" i="136"/>
  <c r="J141" i="136"/>
  <c r="J78" i="136"/>
  <c r="J88" i="136"/>
  <c r="J199" i="136"/>
  <c r="J37" i="33"/>
  <c r="J123" i="136"/>
  <c r="J207" i="136"/>
  <c r="J202" i="33"/>
  <c r="J161" i="33"/>
  <c r="J137" i="33"/>
  <c r="J134" i="136"/>
  <c r="J71" i="136"/>
  <c r="J45" i="136"/>
  <c r="J176" i="136"/>
  <c r="J30" i="136"/>
  <c r="J208" i="136"/>
  <c r="J51" i="136"/>
  <c r="J44" i="136"/>
  <c r="J58" i="33"/>
  <c r="J119" i="136"/>
  <c r="J138" i="33"/>
  <c r="J170" i="33"/>
  <c r="J200" i="33"/>
  <c r="J46" i="136"/>
  <c r="J128" i="136"/>
  <c r="J94" i="136"/>
  <c r="J132" i="136"/>
  <c r="J189" i="136"/>
  <c r="J157" i="136"/>
  <c r="J183" i="136"/>
  <c r="J169" i="136"/>
  <c r="J213" i="33"/>
  <c r="J104" i="33"/>
  <c r="J60" i="136"/>
  <c r="J48" i="136"/>
  <c r="J35" i="136"/>
  <c r="J145" i="136"/>
  <c r="J75" i="136"/>
  <c r="J205" i="136"/>
  <c r="M17" i="136"/>
  <c r="J194" i="136"/>
  <c r="J51" i="33"/>
  <c r="J113" i="33"/>
  <c r="J80" i="33"/>
  <c r="J188" i="33"/>
  <c r="J69" i="33"/>
  <c r="J209" i="33"/>
  <c r="J105" i="33"/>
  <c r="J52" i="33"/>
  <c r="J135" i="33"/>
  <c r="J172" i="33"/>
  <c r="J107" i="33"/>
  <c r="J120" i="33"/>
  <c r="J57" i="33"/>
  <c r="J79" i="33"/>
  <c r="J165" i="33"/>
  <c r="J75" i="33"/>
  <c r="J45" i="33"/>
  <c r="J82" i="33"/>
  <c r="J77" i="33"/>
  <c r="J180" i="33"/>
  <c r="J146" i="33"/>
  <c r="J84" i="33"/>
  <c r="J128" i="33"/>
  <c r="J60" i="33"/>
  <c r="J65" i="33"/>
  <c r="J71" i="33"/>
  <c r="J95" i="33"/>
  <c r="J163" i="33"/>
  <c r="J192" i="33"/>
  <c r="J112" i="33"/>
  <c r="J187" i="33"/>
  <c r="J177" i="136"/>
  <c r="J89" i="136"/>
  <c r="J185" i="136"/>
  <c r="J166" i="136"/>
  <c r="J115" i="136"/>
  <c r="J174" i="136"/>
  <c r="J72" i="136"/>
  <c r="J105" i="136"/>
  <c r="J182" i="136"/>
  <c r="J211" i="136"/>
  <c r="J164" i="136"/>
  <c r="J180" i="136"/>
  <c r="J107" i="136"/>
  <c r="J38" i="136"/>
  <c r="J62" i="136"/>
  <c r="J175" i="136"/>
  <c r="J170" i="136"/>
  <c r="J140" i="136"/>
  <c r="J179" i="136"/>
  <c r="J158" i="136"/>
  <c r="J195" i="136"/>
  <c r="J206" i="136"/>
  <c r="J165" i="136"/>
  <c r="J173" i="136"/>
  <c r="J56" i="136"/>
  <c r="J184" i="136"/>
  <c r="J42" i="136"/>
  <c r="J142" i="136"/>
  <c r="J43" i="136"/>
  <c r="J47" i="136"/>
  <c r="J73" i="136"/>
  <c r="J36" i="136"/>
  <c r="J112" i="136"/>
  <c r="J129" i="136"/>
  <c r="J197" i="136"/>
  <c r="J74" i="136"/>
  <c r="J130" i="136"/>
  <c r="J171" i="136"/>
  <c r="J58" i="136"/>
  <c r="J135" i="136"/>
  <c r="J84" i="136"/>
  <c r="J154" i="136"/>
  <c r="I220" i="136"/>
  <c r="J31" i="136"/>
  <c r="J103" i="136"/>
  <c r="J41" i="136"/>
  <c r="J192" i="136"/>
  <c r="J110" i="136"/>
  <c r="J202" i="136"/>
  <c r="J90" i="136"/>
  <c r="J69" i="136"/>
  <c r="J77" i="136"/>
  <c r="J181" i="136"/>
  <c r="J57" i="136"/>
  <c r="J70" i="136"/>
  <c r="J186" i="136"/>
  <c r="J156" i="136"/>
  <c r="J160" i="136"/>
  <c r="J50" i="136"/>
  <c r="J122" i="136"/>
  <c r="J33" i="136"/>
  <c r="J198" i="136"/>
  <c r="J49" i="136"/>
  <c r="J150" i="136"/>
  <c r="J104" i="136"/>
  <c r="J172" i="136"/>
  <c r="J131" i="136"/>
  <c r="J163" i="136"/>
  <c r="J81" i="136"/>
  <c r="J53" i="136"/>
  <c r="J153" i="136"/>
  <c r="J193" i="136"/>
  <c r="J61" i="136"/>
  <c r="J161" i="136"/>
  <c r="J147" i="136"/>
  <c r="J151" i="136"/>
  <c r="J83" i="136"/>
  <c r="J95" i="136"/>
  <c r="J138" i="136"/>
  <c r="J196" i="136"/>
  <c r="J102" i="136"/>
  <c r="J124" i="136"/>
  <c r="J120" i="136"/>
  <c r="J34" i="136"/>
  <c r="J114" i="136"/>
  <c r="J97" i="136"/>
  <c r="J162" i="136"/>
  <c r="J213" i="136"/>
  <c r="J190" i="136"/>
  <c r="J91" i="136"/>
  <c r="J106" i="136"/>
  <c r="J79" i="136"/>
  <c r="J64" i="136"/>
  <c r="J66" i="136"/>
  <c r="J191" i="136"/>
  <c r="J188" i="136"/>
  <c r="J116" i="136"/>
  <c r="J92" i="136"/>
  <c r="J93" i="136"/>
  <c r="J63" i="136"/>
  <c r="J96" i="136"/>
  <c r="J80" i="136"/>
  <c r="O199" i="47"/>
  <c r="J226" i="47"/>
  <c r="J232" i="47"/>
  <c r="J225" i="47"/>
  <c r="J227" i="47"/>
  <c r="J229" i="47"/>
  <c r="J233" i="47"/>
  <c r="J228" i="47"/>
  <c r="J230" i="47"/>
  <c r="J224" i="47"/>
  <c r="F243" i="50"/>
  <c r="O210" i="133"/>
  <c r="I243" i="21"/>
  <c r="Q181" i="97"/>
  <c r="O112" i="79"/>
  <c r="O146" i="79"/>
  <c r="I211" i="155"/>
  <c r="I213" i="97" s="1"/>
  <c r="I209" i="97"/>
  <c r="H213" i="155"/>
  <c r="I243" i="111"/>
  <c r="M20" i="16"/>
  <c r="I243" i="33"/>
  <c r="J97" i="57"/>
  <c r="J184" i="57"/>
  <c r="J181" i="57"/>
  <c r="J34" i="57"/>
  <c r="J57" i="57"/>
  <c r="J62" i="57"/>
  <c r="J175" i="57"/>
  <c r="J205" i="57"/>
  <c r="J179" i="57"/>
  <c r="J63" i="57"/>
  <c r="J71" i="57"/>
  <c r="J135" i="57"/>
  <c r="J30" i="57"/>
  <c r="J200" i="57"/>
  <c r="J115" i="57"/>
  <c r="J48" i="57"/>
  <c r="J122" i="57"/>
  <c r="J96" i="57"/>
  <c r="J59" i="57"/>
  <c r="J121" i="57"/>
  <c r="J141" i="57"/>
  <c r="J119" i="57"/>
  <c r="J105" i="57"/>
  <c r="J60" i="57"/>
  <c r="J148" i="57"/>
  <c r="J176" i="57"/>
  <c r="J177" i="57"/>
  <c r="J190" i="57"/>
  <c r="J180" i="57"/>
  <c r="J187" i="57"/>
  <c r="J199" i="57"/>
  <c r="J211" i="57"/>
  <c r="J106" i="57"/>
  <c r="J74" i="57"/>
  <c r="J132" i="57"/>
  <c r="J92" i="57"/>
  <c r="J195" i="57"/>
  <c r="J43" i="57"/>
  <c r="J52" i="57"/>
  <c r="J54" i="57"/>
  <c r="J198" i="57"/>
  <c r="J42" i="57"/>
  <c r="J186" i="57"/>
  <c r="J154" i="57"/>
  <c r="J39" i="57"/>
  <c r="J58" i="57"/>
  <c r="J160" i="57"/>
  <c r="J155" i="57"/>
  <c r="J84" i="57"/>
  <c r="J70" i="57"/>
  <c r="J40" i="57"/>
  <c r="J158" i="57"/>
  <c r="J112" i="57"/>
  <c r="J163" i="57"/>
  <c r="J209" i="57"/>
  <c r="J146" i="57"/>
  <c r="J47" i="57"/>
  <c r="J169" i="57"/>
  <c r="J51" i="57"/>
  <c r="J102" i="57"/>
  <c r="J123" i="57"/>
  <c r="J78" i="57"/>
  <c r="J147" i="57"/>
  <c r="J89" i="57"/>
  <c r="J69" i="57"/>
  <c r="J75" i="57"/>
  <c r="J110" i="57"/>
  <c r="I220" i="57"/>
  <c r="J38" i="57"/>
  <c r="J162" i="57"/>
  <c r="J91" i="57"/>
  <c r="J208" i="57"/>
  <c r="J136" i="57"/>
  <c r="J151" i="57"/>
  <c r="J178" i="57"/>
  <c r="J161" i="57"/>
  <c r="J73" i="57"/>
  <c r="J103" i="57"/>
  <c r="J170" i="57"/>
  <c r="J36" i="57"/>
  <c r="J185" i="57"/>
  <c r="J166" i="57"/>
  <c r="J192" i="57"/>
  <c r="J189" i="57"/>
  <c r="J120" i="57"/>
  <c r="J90" i="57"/>
  <c r="J104" i="57"/>
  <c r="J157" i="57"/>
  <c r="J81" i="57"/>
  <c r="J114" i="57"/>
  <c r="J191" i="57"/>
  <c r="J56" i="57"/>
  <c r="J83" i="57"/>
  <c r="J172" i="57"/>
  <c r="J82" i="57"/>
  <c r="J201" i="57"/>
  <c r="J37" i="57"/>
  <c r="J197" i="57"/>
  <c r="J55" i="57"/>
  <c r="J213" i="57"/>
  <c r="J165" i="57"/>
  <c r="J41" i="57"/>
  <c r="J142" i="57"/>
  <c r="J152" i="57"/>
  <c r="J129" i="57"/>
  <c r="J65" i="57"/>
  <c r="M17" i="57"/>
  <c r="J44" i="57"/>
  <c r="J196" i="57"/>
  <c r="J33" i="57"/>
  <c r="J80" i="57"/>
  <c r="J182" i="57"/>
  <c r="J53" i="57"/>
  <c r="J31" i="57"/>
  <c r="J173" i="57"/>
  <c r="J128" i="57"/>
  <c r="J131" i="57"/>
  <c r="J94" i="57"/>
  <c r="J188" i="57"/>
  <c r="J107" i="57"/>
  <c r="J50" i="57"/>
  <c r="J183" i="57"/>
  <c r="J77" i="57"/>
  <c r="J138" i="57"/>
  <c r="J130" i="57"/>
  <c r="J194" i="57"/>
  <c r="J113" i="57"/>
  <c r="J145" i="57"/>
  <c r="J202" i="57"/>
  <c r="J150" i="57"/>
  <c r="J72" i="57"/>
  <c r="J98" i="57"/>
  <c r="J64" i="57"/>
  <c r="J46" i="57"/>
  <c r="J101" i="57"/>
  <c r="J156" i="57"/>
  <c r="J32" i="57"/>
  <c r="O213" i="57"/>
  <c r="J76" i="57"/>
  <c r="J153" i="57"/>
  <c r="J35" i="57"/>
  <c r="J140" i="57"/>
  <c r="J124" i="57"/>
  <c r="J116" i="57"/>
  <c r="J210" i="57"/>
  <c r="J206" i="57"/>
  <c r="J93" i="57"/>
  <c r="J88" i="57"/>
  <c r="J111" i="57"/>
  <c r="J134" i="57"/>
  <c r="J137" i="57"/>
  <c r="J193" i="57"/>
  <c r="J45" i="57"/>
  <c r="J174" i="57"/>
  <c r="J95" i="57"/>
  <c r="J164" i="57"/>
  <c r="J171" i="57"/>
  <c r="J49" i="57"/>
  <c r="J66" i="57"/>
  <c r="J79" i="57"/>
  <c r="J87" i="57"/>
  <c r="J207" i="57"/>
  <c r="J143" i="57"/>
  <c r="I242" i="84"/>
  <c r="M20" i="65"/>
  <c r="J83" i="33"/>
  <c r="J182" i="33"/>
  <c r="J210" i="33"/>
  <c r="J53" i="33"/>
  <c r="J93" i="33"/>
  <c r="J54" i="33"/>
  <c r="J195" i="33"/>
  <c r="J49" i="33"/>
  <c r="J31" i="33"/>
  <c r="J197" i="33"/>
  <c r="J148" i="33"/>
  <c r="J145" i="33"/>
  <c r="J177" i="33"/>
  <c r="J147" i="33"/>
  <c r="J162" i="33"/>
  <c r="J196" i="33"/>
  <c r="J34" i="33"/>
  <c r="J97" i="33"/>
  <c r="J115" i="33"/>
  <c r="J62" i="33"/>
  <c r="J131" i="33"/>
  <c r="J157" i="33"/>
  <c r="J155" i="33"/>
  <c r="M17" i="33"/>
  <c r="J181" i="33"/>
  <c r="J205" i="33"/>
  <c r="J134" i="33"/>
  <c r="J98" i="33"/>
  <c r="J164" i="33"/>
  <c r="J185" i="33"/>
  <c r="J78" i="33"/>
  <c r="J111" i="33"/>
  <c r="J184" i="33"/>
  <c r="J114" i="33"/>
  <c r="J173" i="33"/>
  <c r="J43" i="33"/>
  <c r="J193" i="33"/>
  <c r="J152" i="33"/>
  <c r="J175" i="33"/>
  <c r="J142" i="33"/>
  <c r="J166" i="33"/>
  <c r="J59" i="33"/>
  <c r="J194" i="33"/>
  <c r="J56" i="33"/>
  <c r="J179" i="33"/>
  <c r="J33" i="33"/>
  <c r="J91" i="33"/>
  <c r="J70" i="33"/>
  <c r="J122" i="33"/>
  <c r="O213" i="33"/>
  <c r="J110" i="33"/>
  <c r="J130" i="33"/>
  <c r="J106" i="33"/>
  <c r="J178" i="33"/>
  <c r="J38" i="33"/>
  <c r="J206" i="33"/>
  <c r="J35" i="33"/>
  <c r="J121" i="33"/>
  <c r="J141" i="33"/>
  <c r="J160" i="33"/>
  <c r="J88" i="33"/>
  <c r="J198" i="33"/>
  <c r="J96" i="33"/>
  <c r="J32" i="33"/>
  <c r="J44" i="33"/>
  <c r="J156" i="33"/>
  <c r="J186" i="33"/>
  <c r="J89" i="33"/>
  <c r="J102" i="33"/>
  <c r="J176" i="33"/>
  <c r="J66" i="33"/>
  <c r="J92" i="33"/>
  <c r="J132" i="33"/>
  <c r="J171" i="33"/>
  <c r="J190" i="33"/>
  <c r="J150" i="33"/>
  <c r="J201" i="33"/>
  <c r="J189" i="33"/>
  <c r="J73" i="33"/>
  <c r="J90" i="33"/>
  <c r="J123" i="33"/>
  <c r="J76" i="33"/>
  <c r="J191" i="33"/>
  <c r="J87" i="33"/>
  <c r="J199" i="33"/>
  <c r="J211" i="33"/>
  <c r="J136" i="33"/>
  <c r="J151" i="33"/>
  <c r="J64" i="33"/>
  <c r="J158" i="33"/>
  <c r="J169" i="33"/>
  <c r="J30" i="33"/>
  <c r="J55" i="33"/>
  <c r="J72" i="33"/>
  <c r="J46" i="33"/>
  <c r="J124" i="33"/>
  <c r="J183" i="33"/>
  <c r="J116" i="33"/>
  <c r="J208" i="33"/>
  <c r="J39" i="33"/>
  <c r="J63" i="33"/>
  <c r="J143" i="33"/>
  <c r="J119" i="33"/>
  <c r="J153" i="33"/>
  <c r="J129" i="33"/>
  <c r="J81" i="33"/>
  <c r="J42" i="33"/>
  <c r="J207" i="33"/>
  <c r="J140" i="33"/>
  <c r="J41" i="33"/>
  <c r="J36" i="33"/>
  <c r="J61" i="33"/>
  <c r="J94" i="33"/>
  <c r="O80" i="38"/>
  <c r="J185" i="135"/>
  <c r="J173" i="135"/>
  <c r="J69" i="135"/>
  <c r="J134" i="135"/>
  <c r="M20" i="164"/>
  <c r="F243" i="84"/>
  <c r="J80" i="135"/>
  <c r="J131" i="135"/>
  <c r="J56" i="135"/>
  <c r="J46" i="135"/>
  <c r="J97" i="135"/>
  <c r="J130" i="135"/>
  <c r="J155" i="135"/>
  <c r="J190" i="135"/>
  <c r="J184" i="135"/>
  <c r="J78" i="135"/>
  <c r="J72" i="135"/>
  <c r="J83" i="135"/>
  <c r="J55" i="135"/>
  <c r="J61" i="135"/>
  <c r="J169" i="135"/>
  <c r="J158" i="135"/>
  <c r="J137" i="135"/>
  <c r="J122" i="135"/>
  <c r="J88" i="135"/>
  <c r="J128" i="135"/>
  <c r="J191" i="135"/>
  <c r="J64" i="135"/>
  <c r="J39" i="135"/>
  <c r="J84" i="135"/>
  <c r="J81" i="135"/>
  <c r="J93" i="135"/>
  <c r="J129" i="135"/>
  <c r="J76" i="135"/>
  <c r="J42" i="135"/>
  <c r="J148" i="135"/>
  <c r="J186" i="135"/>
  <c r="J120" i="135"/>
  <c r="J183" i="135"/>
  <c r="J200" i="135"/>
  <c r="J44" i="135"/>
  <c r="J38" i="135"/>
  <c r="J36" i="135"/>
  <c r="J102" i="135"/>
  <c r="J71" i="135"/>
  <c r="J113" i="135"/>
  <c r="J53" i="135"/>
  <c r="J132" i="135"/>
  <c r="J103" i="135"/>
  <c r="J147" i="135"/>
  <c r="J110" i="135"/>
  <c r="J95" i="135"/>
  <c r="J35" i="135"/>
  <c r="J188" i="135"/>
  <c r="J90" i="135"/>
  <c r="J162" i="135"/>
  <c r="J63" i="135"/>
  <c r="J170" i="135"/>
  <c r="J66" i="135"/>
  <c r="J172" i="135"/>
  <c r="J213" i="135"/>
  <c r="J153" i="135"/>
  <c r="J105" i="135"/>
  <c r="J171" i="135"/>
  <c r="J166" i="135"/>
  <c r="J51" i="135"/>
  <c r="J177" i="135"/>
  <c r="J82" i="135"/>
  <c r="J34" i="135"/>
  <c r="J124" i="135"/>
  <c r="J189" i="135"/>
  <c r="J87" i="135"/>
  <c r="J150" i="135"/>
  <c r="J187" i="135"/>
  <c r="J209" i="135"/>
  <c r="J33" i="135"/>
  <c r="J54" i="135"/>
  <c r="J107" i="135"/>
  <c r="J151" i="135"/>
  <c r="J174" i="135"/>
  <c r="J49" i="135"/>
  <c r="J73" i="135"/>
  <c r="J45" i="135"/>
  <c r="J57" i="135"/>
  <c r="J140" i="135"/>
  <c r="J202" i="135"/>
  <c r="J208" i="135"/>
  <c r="J196" i="135"/>
  <c r="J195" i="135"/>
  <c r="J142" i="135"/>
  <c r="J50" i="135"/>
  <c r="J136" i="135"/>
  <c r="J197" i="135"/>
  <c r="J119" i="135"/>
  <c r="J145" i="135"/>
  <c r="J146" i="135"/>
  <c r="J178" i="135"/>
  <c r="J206" i="135"/>
  <c r="J77" i="135"/>
  <c r="J104" i="135"/>
  <c r="J164" i="135"/>
  <c r="J194" i="135"/>
  <c r="J37" i="135"/>
  <c r="I220" i="135"/>
  <c r="J175" i="135"/>
  <c r="J205" i="135"/>
  <c r="J179" i="135"/>
  <c r="J123" i="135"/>
  <c r="J138" i="135"/>
  <c r="J115" i="135"/>
  <c r="J154" i="135"/>
  <c r="J96" i="135"/>
  <c r="J201" i="135"/>
  <c r="J91" i="135"/>
  <c r="J156" i="135"/>
  <c r="J193" i="135"/>
  <c r="J30" i="135"/>
  <c r="J31" i="135"/>
  <c r="J60" i="135"/>
  <c r="J89" i="135"/>
  <c r="J157" i="135"/>
  <c r="J180" i="135"/>
  <c r="J47" i="135"/>
  <c r="J79" i="135"/>
  <c r="J106" i="135"/>
  <c r="M17" i="135"/>
  <c r="J32" i="135"/>
  <c r="J198" i="135"/>
  <c r="O213" i="135"/>
  <c r="J52" i="135"/>
  <c r="J48" i="135"/>
  <c r="J112" i="135"/>
  <c r="J59" i="135"/>
  <c r="J161" i="135"/>
  <c r="J58" i="135"/>
  <c r="J40" i="135"/>
  <c r="J74" i="135"/>
  <c r="J101" i="135"/>
  <c r="J98" i="135"/>
  <c r="J141" i="135"/>
  <c r="J165" i="135"/>
  <c r="J41" i="135"/>
  <c r="J62" i="135"/>
  <c r="J116" i="135"/>
  <c r="J160" i="135"/>
  <c r="J182" i="135"/>
  <c r="J135" i="135"/>
  <c r="J65" i="135"/>
  <c r="J94" i="135"/>
  <c r="J92" i="135"/>
  <c r="J163" i="135"/>
  <c r="J199" i="135"/>
  <c r="J70" i="135"/>
  <c r="J207" i="135"/>
  <c r="J121" i="135"/>
  <c r="J210" i="135"/>
  <c r="J114" i="135"/>
  <c r="J152" i="135"/>
  <c r="J181" i="135"/>
  <c r="J176" i="135"/>
  <c r="J211" i="135"/>
  <c r="J75" i="135"/>
  <c r="J111" i="135"/>
  <c r="J143" i="135"/>
  <c r="J192" i="135"/>
  <c r="J43" i="135"/>
  <c r="M20" i="142"/>
  <c r="O70" i="157"/>
  <c r="I28" i="97"/>
  <c r="O150" i="79"/>
  <c r="O92" i="94"/>
  <c r="C222" i="97"/>
  <c r="O97" i="79"/>
  <c r="I100" i="97"/>
  <c r="I86" i="97"/>
  <c r="O146" i="94"/>
  <c r="I126" i="97"/>
  <c r="I242" i="97"/>
  <c r="I168" i="97"/>
  <c r="O59" i="79"/>
  <c r="J232" i="79"/>
  <c r="I118" i="97"/>
  <c r="O90" i="94"/>
  <c r="O205" i="79"/>
  <c r="O152" i="79"/>
  <c r="O115" i="79"/>
  <c r="C219" i="97"/>
  <c r="I204" i="97"/>
  <c r="I109" i="97"/>
  <c r="O57" i="103"/>
  <c r="I235" i="97"/>
  <c r="O186" i="79"/>
  <c r="F220" i="103"/>
  <c r="F215" i="97"/>
  <c r="O113" i="79"/>
  <c r="O165" i="79"/>
  <c r="J225" i="79"/>
  <c r="O112" i="94"/>
  <c r="O92" i="79"/>
  <c r="O103" i="79"/>
  <c r="O197" i="79"/>
  <c r="I242" i="32"/>
  <c r="O104" i="94"/>
  <c r="O145" i="79"/>
  <c r="O45" i="79"/>
  <c r="O55" i="79"/>
  <c r="O69" i="79"/>
  <c r="O32" i="79"/>
  <c r="O115" i="94"/>
  <c r="O198" i="79"/>
  <c r="O71" i="79"/>
  <c r="O134" i="79"/>
  <c r="J228" i="79"/>
  <c r="O107" i="94"/>
  <c r="O185" i="79"/>
  <c r="O81" i="79"/>
  <c r="O74" i="79"/>
  <c r="O53" i="79"/>
  <c r="O206" i="79"/>
  <c r="O188" i="79"/>
  <c r="O105" i="79"/>
  <c r="O189" i="79"/>
  <c r="O119" i="79"/>
  <c r="O73" i="79"/>
  <c r="O199" i="79"/>
  <c r="O172" i="79"/>
  <c r="O211" i="79"/>
  <c r="O196" i="79"/>
  <c r="O58" i="94"/>
  <c r="O165" i="94"/>
  <c r="O75" i="79"/>
  <c r="O77" i="79"/>
  <c r="O102" i="79"/>
  <c r="O31" i="79"/>
  <c r="O178" i="79"/>
  <c r="O41" i="79"/>
  <c r="O80" i="79"/>
  <c r="O37" i="79"/>
  <c r="O111" i="94"/>
  <c r="J228" i="94"/>
  <c r="O65" i="79"/>
  <c r="O142" i="79"/>
  <c r="O130" i="79"/>
  <c r="O38" i="79"/>
  <c r="O60" i="79"/>
  <c r="O58" i="79"/>
  <c r="O184" i="79"/>
  <c r="J227" i="94"/>
  <c r="O93" i="94"/>
  <c r="O66" i="79"/>
  <c r="I241" i="79"/>
  <c r="O135" i="79"/>
  <c r="J227" i="79"/>
  <c r="O104" i="79"/>
  <c r="O156" i="79"/>
  <c r="J230" i="79"/>
  <c r="O183" i="79"/>
  <c r="O193" i="79"/>
  <c r="O179" i="94"/>
  <c r="O182" i="94"/>
  <c r="O154" i="83"/>
  <c r="O208" i="58"/>
  <c r="O171" i="158"/>
  <c r="O66" i="94"/>
  <c r="O107" i="79"/>
  <c r="O84" i="79"/>
  <c r="O30" i="79"/>
  <c r="O176" i="79"/>
  <c r="O61" i="79"/>
  <c r="O56" i="79"/>
  <c r="O93" i="79"/>
  <c r="O137" i="79"/>
  <c r="O63" i="79"/>
  <c r="O200" i="79"/>
  <c r="O122" i="79"/>
  <c r="O91" i="79"/>
  <c r="O151" i="79"/>
  <c r="O163" i="79"/>
  <c r="O164" i="79"/>
  <c r="O114" i="79"/>
  <c r="O94" i="79"/>
  <c r="O111" i="79"/>
  <c r="O39" i="79"/>
  <c r="O57" i="79"/>
  <c r="O51" i="79"/>
  <c r="O179" i="79"/>
  <c r="O44" i="79"/>
  <c r="O192" i="79"/>
  <c r="O104" i="58"/>
  <c r="O76" i="94"/>
  <c r="O190" i="94"/>
  <c r="O120" i="94"/>
  <c r="O186" i="94"/>
  <c r="O31" i="94"/>
  <c r="O101" i="79"/>
  <c r="O33" i="42"/>
  <c r="O138" i="79"/>
  <c r="O124" i="79"/>
  <c r="O103" i="32"/>
  <c r="O52" i="79"/>
  <c r="O154" i="79"/>
  <c r="O131" i="79"/>
  <c r="O50" i="79"/>
  <c r="O76" i="79"/>
  <c r="O88" i="79"/>
  <c r="O173" i="94"/>
  <c r="O197" i="94"/>
  <c r="O98" i="94"/>
  <c r="J233" i="79"/>
  <c r="O140" i="79"/>
  <c r="O33" i="79"/>
  <c r="O190" i="79"/>
  <c r="O180" i="79"/>
  <c r="O208" i="79"/>
  <c r="O174" i="79"/>
  <c r="O129" i="79"/>
  <c r="O82" i="79"/>
  <c r="O121" i="79"/>
  <c r="O83" i="79"/>
  <c r="O35" i="79"/>
  <c r="J224" i="79"/>
  <c r="O43" i="79"/>
  <c r="O40" i="79"/>
  <c r="O89" i="79"/>
  <c r="O166" i="79"/>
  <c r="O132" i="79"/>
  <c r="O94" i="94"/>
  <c r="O141" i="94"/>
  <c r="O206" i="94"/>
  <c r="J230" i="94"/>
  <c r="O184" i="157"/>
  <c r="O166" i="94"/>
  <c r="O153" i="79"/>
  <c r="O72" i="14"/>
  <c r="J229" i="79"/>
  <c r="O187" i="79"/>
  <c r="O195" i="79"/>
  <c r="O191" i="79"/>
  <c r="O143" i="79"/>
  <c r="O181" i="79"/>
  <c r="O147" i="79"/>
  <c r="O64" i="79"/>
  <c r="O106" i="79"/>
  <c r="O87" i="79"/>
  <c r="O170" i="79"/>
  <c r="O72" i="79"/>
  <c r="O169" i="79"/>
  <c r="O136" i="79"/>
  <c r="O73" i="94"/>
  <c r="O36" i="79"/>
  <c r="O116" i="79"/>
  <c r="O207" i="79"/>
  <c r="O79" i="79"/>
  <c r="O78" i="79"/>
  <c r="O194" i="79"/>
  <c r="J226" i="79"/>
  <c r="M18" i="79"/>
  <c r="O148" i="79"/>
  <c r="O34" i="79"/>
  <c r="O158" i="79"/>
  <c r="O161" i="79"/>
  <c r="O42" i="79"/>
  <c r="O141" i="79"/>
  <c r="O162" i="79"/>
  <c r="O70" i="79"/>
  <c r="O155" i="79"/>
  <c r="O120" i="79"/>
  <c r="O46" i="79"/>
  <c r="O110" i="79"/>
  <c r="O128" i="79"/>
  <c r="O202" i="79"/>
  <c r="O81" i="94"/>
  <c r="O60" i="94"/>
  <c r="O143" i="94"/>
  <c r="O200" i="94"/>
  <c r="O198" i="94"/>
  <c r="O129" i="94"/>
  <c r="O98" i="79"/>
  <c r="O206" i="14"/>
  <c r="O49" i="79"/>
  <c r="O90" i="79"/>
  <c r="O175" i="79"/>
  <c r="O95" i="79"/>
  <c r="O171" i="79"/>
  <c r="O201" i="79"/>
  <c r="O47" i="79"/>
  <c r="O173" i="79"/>
  <c r="O48" i="79"/>
  <c r="O62" i="79"/>
  <c r="O182" i="79"/>
  <c r="O123" i="79"/>
  <c r="O96" i="79"/>
  <c r="O157" i="79"/>
  <c r="O160" i="79"/>
  <c r="O209" i="79"/>
  <c r="O177" i="79"/>
  <c r="O210" i="79"/>
  <c r="O41" i="94"/>
  <c r="O138" i="94"/>
  <c r="O171" i="94"/>
  <c r="O75" i="94"/>
  <c r="O201" i="94"/>
  <c r="O169" i="94"/>
  <c r="O52" i="32"/>
  <c r="M18" i="64"/>
  <c r="J225" i="14"/>
  <c r="J225" i="24"/>
  <c r="O151" i="83"/>
  <c r="O32" i="87"/>
  <c r="O47" i="14"/>
  <c r="O66" i="14"/>
  <c r="J226" i="102"/>
  <c r="O111" i="14"/>
  <c r="O195" i="14"/>
  <c r="O114" i="39"/>
  <c r="O158" i="165"/>
  <c r="O95" i="14"/>
  <c r="O90" i="14"/>
  <c r="O37" i="39"/>
  <c r="O146" i="24"/>
  <c r="J227" i="165"/>
  <c r="O178" i="14"/>
  <c r="O49" i="39"/>
  <c r="F243" i="83"/>
  <c r="O106" i="14"/>
  <c r="F243" i="118"/>
  <c r="O170" i="39"/>
  <c r="O128" i="24"/>
  <c r="O79" i="94"/>
  <c r="O34" i="94"/>
  <c r="O128" i="94"/>
  <c r="O96" i="94"/>
  <c r="O132" i="94"/>
  <c r="O155" i="94"/>
  <c r="O150" i="94"/>
  <c r="O121" i="94"/>
  <c r="O153" i="94"/>
  <c r="O77" i="157"/>
  <c r="O106" i="94"/>
  <c r="O43" i="94"/>
  <c r="O180" i="94"/>
  <c r="O42" i="94"/>
  <c r="O192" i="94"/>
  <c r="O184" i="94"/>
  <c r="O199" i="94"/>
  <c r="O82" i="94"/>
  <c r="O74" i="94"/>
  <c r="O152" i="94"/>
  <c r="O181" i="94"/>
  <c r="O80" i="94"/>
  <c r="O202" i="94"/>
  <c r="O172" i="94"/>
  <c r="O105" i="94"/>
  <c r="O136" i="94"/>
  <c r="O97" i="94"/>
  <c r="O140" i="94"/>
  <c r="O54" i="94"/>
  <c r="O32" i="94"/>
  <c r="O95" i="94"/>
  <c r="O160" i="94"/>
  <c r="O33" i="94"/>
  <c r="O39" i="94"/>
  <c r="O158" i="32"/>
  <c r="I241" i="94"/>
  <c r="O50" i="94"/>
  <c r="F243" i="142"/>
  <c r="O122" i="94"/>
  <c r="O135" i="94"/>
  <c r="O35" i="94"/>
  <c r="O158" i="94"/>
  <c r="O110" i="94"/>
  <c r="J226" i="94"/>
  <c r="O137" i="94"/>
  <c r="O156" i="94"/>
  <c r="O113" i="94"/>
  <c r="O102" i="94"/>
  <c r="O154" i="94"/>
  <c r="J16" i="158"/>
  <c r="M20" i="47"/>
  <c r="J225" i="158"/>
  <c r="O30" i="158"/>
  <c r="O47" i="158"/>
  <c r="M16" i="24"/>
  <c r="O143" i="158"/>
  <c r="F243" i="174"/>
  <c r="I242" i="54"/>
  <c r="F243" i="106"/>
  <c r="J232" i="102"/>
  <c r="O183" i="62"/>
  <c r="O106" i="62"/>
  <c r="O189" i="50"/>
  <c r="O157" i="87"/>
  <c r="O153" i="156"/>
  <c r="O182" i="156"/>
  <c r="O110" i="64"/>
  <c r="O175" i="64"/>
  <c r="O131" i="64"/>
  <c r="O178" i="32"/>
  <c r="O187" i="32"/>
  <c r="J226" i="32"/>
  <c r="O136" i="32"/>
  <c r="O51" i="32"/>
  <c r="O148" i="32"/>
  <c r="O151" i="24"/>
  <c r="O44" i="24"/>
  <c r="O115" i="24"/>
  <c r="M20" i="174"/>
  <c r="O47" i="58"/>
  <c r="O88" i="64"/>
  <c r="J227" i="102"/>
  <c r="O128" i="157"/>
  <c r="O101" i="157"/>
  <c r="O83" i="98"/>
  <c r="O135" i="158"/>
  <c r="O205" i="157"/>
  <c r="O185" i="102"/>
  <c r="O83" i="158"/>
  <c r="O141" i="102"/>
  <c r="O199" i="62"/>
  <c r="O98" i="60"/>
  <c r="O119" i="50"/>
  <c r="O152" i="133"/>
  <c r="O205" i="64"/>
  <c r="O69" i="64"/>
  <c r="O80" i="157"/>
  <c r="O154" i="157"/>
  <c r="O65" i="157"/>
  <c r="O72" i="102"/>
  <c r="O141" i="42"/>
  <c r="O194" i="158"/>
  <c r="O154" i="158"/>
  <c r="O84" i="157"/>
  <c r="O107" i="158"/>
  <c r="M20" i="60"/>
  <c r="O153" i="42"/>
  <c r="O40" i="102"/>
  <c r="O140" i="62"/>
  <c r="O164" i="64"/>
  <c r="J226" i="62"/>
  <c r="O81" i="64"/>
  <c r="O122" i="64"/>
  <c r="O173" i="157"/>
  <c r="O169" i="62"/>
  <c r="O156" i="64"/>
  <c r="O143" i="64"/>
  <c r="O96" i="64"/>
  <c r="O49" i="64"/>
  <c r="O50" i="157"/>
  <c r="O59" i="157"/>
  <c r="O79" i="157"/>
  <c r="O158" i="157"/>
  <c r="O199" i="102"/>
  <c r="O158" i="47"/>
  <c r="O151" i="158"/>
  <c r="I242" i="158"/>
  <c r="O166" i="157"/>
  <c r="O43" i="133"/>
  <c r="O120" i="50"/>
  <c r="O34" i="157"/>
  <c r="O208" i="158"/>
  <c r="O122" i="62"/>
  <c r="O106" i="64"/>
  <c r="I242" i="60"/>
  <c r="O134" i="62"/>
  <c r="O76" i="64"/>
  <c r="O113" i="64"/>
  <c r="O119" i="157"/>
  <c r="O123" i="157"/>
  <c r="O114" i="157"/>
  <c r="O111" i="157"/>
  <c r="O69" i="102"/>
  <c r="O129" i="158"/>
  <c r="O157" i="28"/>
  <c r="O211" i="158"/>
  <c r="O181" i="157"/>
  <c r="O140" i="157"/>
  <c r="J228" i="157"/>
  <c r="O175" i="157"/>
  <c r="M18" i="157"/>
  <c r="O175" i="158"/>
  <c r="O114" i="102"/>
  <c r="O93" i="157"/>
  <c r="O61" i="157"/>
  <c r="O141" i="62"/>
  <c r="O112" i="133"/>
  <c r="O151" i="64"/>
  <c r="O94" i="64"/>
  <c r="O199" i="158"/>
  <c r="O53" i="157"/>
  <c r="O96" i="157"/>
  <c r="J224" i="157"/>
  <c r="O147" i="157"/>
  <c r="O136" i="102"/>
  <c r="O188" i="158"/>
  <c r="O77" i="28"/>
  <c r="O193" i="103"/>
  <c r="O77" i="103"/>
  <c r="O187" i="103"/>
  <c r="O179" i="62"/>
  <c r="O56" i="62"/>
  <c r="O111" i="62"/>
  <c r="O50" i="24"/>
  <c r="O30" i="103"/>
  <c r="O160" i="50"/>
  <c r="O134" i="133"/>
  <c r="O62" i="94"/>
  <c r="O191" i="94"/>
  <c r="O55" i="94"/>
  <c r="O130" i="94"/>
  <c r="J224" i="94"/>
  <c r="O177" i="94"/>
  <c r="O145" i="94"/>
  <c r="O89" i="94"/>
  <c r="O46" i="94"/>
  <c r="O52" i="94"/>
  <c r="O189" i="94"/>
  <c r="J229" i="94"/>
  <c r="O48" i="94"/>
  <c r="O142" i="94"/>
  <c r="O72" i="94"/>
  <c r="J232" i="94"/>
  <c r="M18" i="94"/>
  <c r="O209" i="94"/>
  <c r="O145" i="157"/>
  <c r="O177" i="157"/>
  <c r="O129" i="157"/>
  <c r="O95" i="157"/>
  <c r="O141" i="157"/>
  <c r="O40" i="157"/>
  <c r="O56" i="157"/>
  <c r="I241" i="157"/>
  <c r="O90" i="157"/>
  <c r="O115" i="42"/>
  <c r="O63" i="28"/>
  <c r="O163" i="94"/>
  <c r="O38" i="94"/>
  <c r="O50" i="103"/>
  <c r="J227" i="62"/>
  <c r="O191" i="103"/>
  <c r="O47" i="157"/>
  <c r="O107" i="42"/>
  <c r="O181" i="103"/>
  <c r="O115" i="62"/>
  <c r="J230" i="103"/>
  <c r="O160" i="157"/>
  <c r="O31" i="157"/>
  <c r="J227" i="157"/>
  <c r="O92" i="157"/>
  <c r="O150" i="98"/>
  <c r="O205" i="62"/>
  <c r="O34" i="62"/>
  <c r="O162" i="120"/>
  <c r="O31" i="24"/>
  <c r="O157" i="94"/>
  <c r="O151" i="157"/>
  <c r="O210" i="103"/>
  <c r="O101" i="103"/>
  <c r="O56" i="50"/>
  <c r="O179" i="133"/>
  <c r="O121" i="165"/>
  <c r="O196" i="94"/>
  <c r="O151" i="94"/>
  <c r="O134" i="94"/>
  <c r="O77" i="94"/>
  <c r="O183" i="94"/>
  <c r="O148" i="94"/>
  <c r="O51" i="94"/>
  <c r="O88" i="94"/>
  <c r="O208" i="94"/>
  <c r="O170" i="94"/>
  <c r="O87" i="94"/>
  <c r="O123" i="94"/>
  <c r="J225" i="94"/>
  <c r="O71" i="94"/>
  <c r="O63" i="94"/>
  <c r="O131" i="94"/>
  <c r="O59" i="94"/>
  <c r="O119" i="94"/>
  <c r="O70" i="94"/>
  <c r="O71" i="157"/>
  <c r="O169" i="157"/>
  <c r="O74" i="157"/>
  <c r="O121" i="157"/>
  <c r="O33" i="157"/>
  <c r="O52" i="157"/>
  <c r="O209" i="157"/>
  <c r="O57" i="157"/>
  <c r="O120" i="157"/>
  <c r="O55" i="157"/>
  <c r="O38" i="42"/>
  <c r="J228" i="28"/>
  <c r="O124" i="94"/>
  <c r="O176" i="50"/>
  <c r="O42" i="133"/>
  <c r="J233" i="157"/>
  <c r="O103" i="157"/>
  <c r="O134" i="28"/>
  <c r="O74" i="133"/>
  <c r="O180" i="98"/>
  <c r="O50" i="62"/>
  <c r="O59" i="62"/>
  <c r="F243" i="165"/>
  <c r="O188" i="103"/>
  <c r="O177" i="103"/>
  <c r="O152" i="174"/>
  <c r="J228" i="50"/>
  <c r="O70" i="133"/>
  <c r="O187" i="165"/>
  <c r="O164" i="94"/>
  <c r="O114" i="94"/>
  <c r="O162" i="94"/>
  <c r="J233" i="94"/>
  <c r="O61" i="94"/>
  <c r="O188" i="94"/>
  <c r="O37" i="94"/>
  <c r="O176" i="94"/>
  <c r="O69" i="94"/>
  <c r="O47" i="94"/>
  <c r="O194" i="94"/>
  <c r="O30" i="94"/>
  <c r="O91" i="94"/>
  <c r="O187" i="94"/>
  <c r="O65" i="94"/>
  <c r="O101" i="94"/>
  <c r="O45" i="94"/>
  <c r="O175" i="94"/>
  <c r="O207" i="94"/>
  <c r="O63" i="157"/>
  <c r="O190" i="157"/>
  <c r="O164" i="157"/>
  <c r="O178" i="157"/>
  <c r="O138" i="157"/>
  <c r="O153" i="157"/>
  <c r="O196" i="157"/>
  <c r="O87" i="157"/>
  <c r="O97" i="157"/>
  <c r="O93" i="42"/>
  <c r="O53" i="94"/>
  <c r="O87" i="28"/>
  <c r="O107" i="157"/>
  <c r="O64" i="133"/>
  <c r="J233" i="62"/>
  <c r="O199" i="157"/>
  <c r="O197" i="157"/>
  <c r="O30" i="157"/>
  <c r="O113" i="157"/>
  <c r="J18" i="152"/>
  <c r="O76" i="133"/>
  <c r="O181" i="98"/>
  <c r="O161" i="62"/>
  <c r="O96" i="62"/>
  <c r="O171" i="103"/>
  <c r="O120" i="103"/>
  <c r="O71" i="174"/>
  <c r="O113" i="62"/>
  <c r="O41" i="50"/>
  <c r="O53" i="133"/>
  <c r="O196" i="165"/>
  <c r="O36" i="94"/>
  <c r="O195" i="94"/>
  <c r="O174" i="94"/>
  <c r="O147" i="94"/>
  <c r="O83" i="94"/>
  <c r="O161" i="94"/>
  <c r="O193" i="94"/>
  <c r="O210" i="94"/>
  <c r="O103" i="94"/>
  <c r="O49" i="94"/>
  <c r="O64" i="94"/>
  <c r="O44" i="94"/>
  <c r="O178" i="94"/>
  <c r="O185" i="94"/>
  <c r="O40" i="94"/>
  <c r="O57" i="94"/>
  <c r="O78" i="94"/>
  <c r="O56" i="94"/>
  <c r="O161" i="157"/>
  <c r="O69" i="157"/>
  <c r="O201" i="157"/>
  <c r="O189" i="157"/>
  <c r="O208" i="157"/>
  <c r="O179" i="157"/>
  <c r="O131" i="157"/>
  <c r="O134" i="157"/>
  <c r="O174" i="157"/>
  <c r="J229" i="42"/>
  <c r="O134" i="47"/>
  <c r="O165" i="28"/>
  <c r="O84" i="94"/>
  <c r="O116" i="94"/>
  <c r="O143" i="14"/>
  <c r="O157" i="14"/>
  <c r="O70" i="14"/>
  <c r="O77" i="14"/>
  <c r="O165" i="14"/>
  <c r="O38" i="14"/>
  <c r="O103" i="14"/>
  <c r="O93" i="14"/>
  <c r="O210" i="14"/>
  <c r="O115" i="14"/>
  <c r="O123" i="14"/>
  <c r="O80" i="14"/>
  <c r="O63" i="14"/>
  <c r="O148" i="14"/>
  <c r="O170" i="14"/>
  <c r="J227" i="14"/>
  <c r="O201" i="14"/>
  <c r="O161" i="14"/>
  <c r="O171" i="14"/>
  <c r="O35" i="14"/>
  <c r="O174" i="14"/>
  <c r="O36" i="14"/>
  <c r="O89" i="14"/>
  <c r="O53" i="14"/>
  <c r="O208" i="14"/>
  <c r="O37" i="14"/>
  <c r="O73" i="14"/>
  <c r="O146" i="14"/>
  <c r="O61" i="14"/>
  <c r="O193" i="14"/>
  <c r="O131" i="14"/>
  <c r="O94" i="14"/>
  <c r="O44" i="14"/>
  <c r="O51" i="14"/>
  <c r="O209" i="14"/>
  <c r="O154" i="14"/>
  <c r="O46" i="14"/>
  <c r="O48" i="14"/>
  <c r="O45" i="14"/>
  <c r="O142" i="14"/>
  <c r="O130" i="14"/>
  <c r="O207" i="14"/>
  <c r="O198" i="14"/>
  <c r="O190" i="14"/>
  <c r="O200" i="14"/>
  <c r="O155" i="14"/>
  <c r="O183" i="14"/>
  <c r="O104" i="14"/>
  <c r="O153" i="14"/>
  <c r="O114" i="14"/>
  <c r="O199" i="14"/>
  <c r="O71" i="14"/>
  <c r="O136" i="14"/>
  <c r="J230" i="14"/>
  <c r="O112" i="14"/>
  <c r="O56" i="14"/>
  <c r="O177" i="14"/>
  <c r="O105" i="14"/>
  <c r="O156" i="14"/>
  <c r="O162" i="14"/>
  <c r="O169" i="14"/>
  <c r="O122" i="14"/>
  <c r="O145" i="14"/>
  <c r="M18" i="14"/>
  <c r="O31" i="14"/>
  <c r="O69" i="14"/>
  <c r="O33" i="14"/>
  <c r="O43" i="14"/>
  <c r="O129" i="14"/>
  <c r="O55" i="14"/>
  <c r="O163" i="14"/>
  <c r="O185" i="14"/>
  <c r="O49" i="14"/>
  <c r="O137" i="14"/>
  <c r="O97" i="14"/>
  <c r="O88" i="14"/>
  <c r="O60" i="14"/>
  <c r="O34" i="14"/>
  <c r="O58" i="14"/>
  <c r="O96" i="14"/>
  <c r="O197" i="14"/>
  <c r="O147" i="14"/>
  <c r="O172" i="14"/>
  <c r="O65" i="14"/>
  <c r="O52" i="14"/>
  <c r="O175" i="14"/>
  <c r="O138" i="14"/>
  <c r="O134" i="14"/>
  <c r="I241" i="14"/>
  <c r="O32" i="14"/>
  <c r="O120" i="14"/>
  <c r="O59" i="14"/>
  <c r="O128" i="14"/>
  <c r="O81" i="14"/>
  <c r="O194" i="14"/>
  <c r="O54" i="14"/>
  <c r="O30" i="14"/>
  <c r="O140" i="14"/>
  <c r="O64" i="14"/>
  <c r="O135" i="14"/>
  <c r="O164" i="14"/>
  <c r="O110" i="14"/>
  <c r="O74" i="14"/>
  <c r="O119" i="14"/>
  <c r="O83" i="14"/>
  <c r="O173" i="14"/>
  <c r="O82" i="14"/>
  <c r="J228" i="14"/>
  <c r="O205" i="14"/>
  <c r="O121" i="14"/>
  <c r="O79" i="14"/>
  <c r="O102" i="14"/>
  <c r="O191" i="14"/>
  <c r="O176" i="14"/>
  <c r="O91" i="14"/>
  <c r="O39" i="14"/>
  <c r="O41" i="14"/>
  <c r="O151" i="14"/>
  <c r="O186" i="14"/>
  <c r="O189" i="14"/>
  <c r="I242" i="152"/>
  <c r="M20" i="152"/>
  <c r="F243" i="87"/>
  <c r="O192" i="14"/>
  <c r="O141" i="14"/>
  <c r="J232" i="14"/>
  <c r="O78" i="14"/>
  <c r="O160" i="14"/>
  <c r="J226" i="14"/>
  <c r="O101" i="14"/>
  <c r="O182" i="14"/>
  <c r="O181" i="14"/>
  <c r="O150" i="14"/>
  <c r="O128" i="92"/>
  <c r="O41" i="92"/>
  <c r="O124" i="14"/>
  <c r="O64" i="142"/>
  <c r="O34" i="142"/>
  <c r="O70" i="120"/>
  <c r="O195" i="120"/>
  <c r="O65" i="120"/>
  <c r="O205" i="120"/>
  <c r="O88" i="86"/>
  <c r="O210" i="86"/>
  <c r="O47" i="86"/>
  <c r="O102" i="86"/>
  <c r="O155" i="106"/>
  <c r="O111" i="106"/>
  <c r="O112" i="106"/>
  <c r="O107" i="14"/>
  <c r="O211" i="14"/>
  <c r="O202" i="14"/>
  <c r="F243" i="158"/>
  <c r="O180" i="14"/>
  <c r="O132" i="14"/>
  <c r="O92" i="14"/>
  <c r="J233" i="14"/>
  <c r="O187" i="14"/>
  <c r="O57" i="14"/>
  <c r="O40" i="14"/>
  <c r="O188" i="14"/>
  <c r="O75" i="14"/>
  <c r="O50" i="14"/>
  <c r="O76" i="14"/>
  <c r="O179" i="14"/>
  <c r="O158" i="14"/>
  <c r="O184" i="14"/>
  <c r="O87" i="14"/>
  <c r="O152" i="14"/>
  <c r="J224" i="14"/>
  <c r="O113" i="14"/>
  <c r="J229" i="14"/>
  <c r="O42" i="14"/>
  <c r="O62" i="14"/>
  <c r="O166" i="14"/>
  <c r="O98" i="14"/>
  <c r="O66" i="28"/>
  <c r="M16" i="152"/>
  <c r="O210" i="98"/>
  <c r="M18" i="98"/>
  <c r="O79" i="24"/>
  <c r="O103" i="24"/>
  <c r="O198" i="24"/>
  <c r="O180" i="24"/>
  <c r="O30" i="24"/>
  <c r="O135" i="58"/>
  <c r="O55" i="50"/>
  <c r="O89" i="50"/>
  <c r="O63" i="50"/>
  <c r="J229" i="133"/>
  <c r="O77" i="133"/>
  <c r="O171" i="133"/>
  <c r="O194" i="133"/>
  <c r="O98" i="156"/>
  <c r="O66" i="133"/>
  <c r="O147" i="165"/>
  <c r="O97" i="133"/>
  <c r="O206" i="87"/>
  <c r="O122" i="157"/>
  <c r="O88" i="157"/>
  <c r="O187" i="157"/>
  <c r="O43" i="157"/>
  <c r="O194" i="157"/>
  <c r="O136" i="157"/>
  <c r="O132" i="157"/>
  <c r="J230" i="157"/>
  <c r="O102" i="157"/>
  <c r="O185" i="157"/>
  <c r="O73" i="157"/>
  <c r="O36" i="157"/>
  <c r="O130" i="157"/>
  <c r="O180" i="157"/>
  <c r="O81" i="157"/>
  <c r="O142" i="157"/>
  <c r="O76" i="157"/>
  <c r="J229" i="157"/>
  <c r="O176" i="157"/>
  <c r="O48" i="157"/>
  <c r="O150" i="157"/>
  <c r="O83" i="157"/>
  <c r="O207" i="157"/>
  <c r="O170" i="157"/>
  <c r="O135" i="157"/>
  <c r="O115" i="157"/>
  <c r="O210" i="157"/>
  <c r="O39" i="157"/>
  <c r="O45" i="157"/>
  <c r="O163" i="157"/>
  <c r="O60" i="157"/>
  <c r="O64" i="157"/>
  <c r="O38" i="157"/>
  <c r="O37" i="157"/>
  <c r="O62" i="157"/>
  <c r="O32" i="157"/>
  <c r="O58" i="157"/>
  <c r="J225" i="157"/>
  <c r="O47" i="133"/>
  <c r="O200" i="42"/>
  <c r="O90" i="42"/>
  <c r="O57" i="42"/>
  <c r="O152" i="42"/>
  <c r="O209" i="47"/>
  <c r="O37" i="156"/>
  <c r="O89" i="28"/>
  <c r="O147" i="28"/>
  <c r="M18" i="28"/>
  <c r="O174" i="28"/>
  <c r="O64" i="28"/>
  <c r="O82" i="157"/>
  <c r="O211" i="28"/>
  <c r="O66" i="157"/>
  <c r="O202" i="86"/>
  <c r="O202" i="47"/>
  <c r="J26" i="152"/>
  <c r="O87" i="133"/>
  <c r="O176" i="28"/>
  <c r="O111" i="133"/>
  <c r="O122" i="98"/>
  <c r="O161" i="98"/>
  <c r="O157" i="24"/>
  <c r="O123" i="24"/>
  <c r="O197" i="24"/>
  <c r="O83" i="24"/>
  <c r="O176" i="24"/>
  <c r="O93" i="47"/>
  <c r="O72" i="133"/>
  <c r="O194" i="50"/>
  <c r="O96" i="50"/>
  <c r="O95" i="50"/>
  <c r="O38" i="50"/>
  <c r="O49" i="133"/>
  <c r="O73" i="133"/>
  <c r="O33" i="133"/>
  <c r="O206" i="133"/>
  <c r="O76" i="165"/>
  <c r="O189" i="165"/>
  <c r="O161" i="87"/>
  <c r="O106" i="157"/>
  <c r="O94" i="157"/>
  <c r="O192" i="157"/>
  <c r="O137" i="157"/>
  <c r="O198" i="157"/>
  <c r="O162" i="157"/>
  <c r="O165" i="157"/>
  <c r="O110" i="157"/>
  <c r="O191" i="157"/>
  <c r="O157" i="157"/>
  <c r="O46" i="157"/>
  <c r="O91" i="157"/>
  <c r="O44" i="157"/>
  <c r="O72" i="157"/>
  <c r="O193" i="157"/>
  <c r="O186" i="157"/>
  <c r="J232" i="157"/>
  <c r="O104" i="157"/>
  <c r="O105" i="157"/>
  <c r="O49" i="157"/>
  <c r="O156" i="157"/>
  <c r="O75" i="157"/>
  <c r="O171" i="157"/>
  <c r="O206" i="157"/>
  <c r="O195" i="157"/>
  <c r="O35" i="157"/>
  <c r="O152" i="157"/>
  <c r="O182" i="157"/>
  <c r="O41" i="157"/>
  <c r="J226" i="157"/>
  <c r="O143" i="157"/>
  <c r="O42" i="157"/>
  <c r="O78" i="157"/>
  <c r="O188" i="157"/>
  <c r="O89" i="157"/>
  <c r="O155" i="157"/>
  <c r="O112" i="157"/>
  <c r="O198" i="42"/>
  <c r="O143" i="42"/>
  <c r="O192" i="42"/>
  <c r="O175" i="156"/>
  <c r="O141" i="28"/>
  <c r="O37" i="28"/>
  <c r="O114" i="28"/>
  <c r="O181" i="28"/>
  <c r="O53" i="28"/>
  <c r="O51" i="157"/>
  <c r="O200" i="157"/>
  <c r="O124" i="157"/>
  <c r="O166" i="165"/>
  <c r="O81" i="28"/>
  <c r="O202" i="157"/>
  <c r="O116" i="157"/>
  <c r="O84" i="14"/>
  <c r="O66" i="98"/>
  <c r="O116" i="14"/>
  <c r="O98" i="157"/>
  <c r="O202" i="50"/>
  <c r="O54" i="157"/>
  <c r="M20" i="50"/>
  <c r="M20" i="55"/>
  <c r="I242" i="55"/>
  <c r="O166" i="32"/>
  <c r="O55" i="120"/>
  <c r="J232" i="120"/>
  <c r="O83" i="120"/>
  <c r="O201" i="120"/>
  <c r="O84" i="32"/>
  <c r="O57" i="32"/>
  <c r="O202" i="120"/>
  <c r="O169" i="32"/>
  <c r="O155" i="32"/>
  <c r="O183" i="32"/>
  <c r="O131" i="32"/>
  <c r="O121" i="32"/>
  <c r="O201" i="32"/>
  <c r="O114" i="32"/>
  <c r="O61" i="32"/>
  <c r="O50" i="32"/>
  <c r="O163" i="32"/>
  <c r="O98" i="32"/>
  <c r="O97" i="142"/>
  <c r="O119" i="142"/>
  <c r="O208" i="142"/>
  <c r="O46" i="142"/>
  <c r="O151" i="142"/>
  <c r="O48" i="142"/>
  <c r="O69" i="142"/>
  <c r="O115" i="142"/>
  <c r="J232" i="142"/>
  <c r="O132" i="142"/>
  <c r="O155" i="120"/>
  <c r="O87" i="120"/>
  <c r="O137" i="120"/>
  <c r="O184" i="120"/>
  <c r="O82" i="120"/>
  <c r="O61" i="142"/>
  <c r="O186" i="120"/>
  <c r="O120" i="32"/>
  <c r="O104" i="31"/>
  <c r="O169" i="31"/>
  <c r="O138" i="31"/>
  <c r="O130" i="31"/>
  <c r="O36" i="32"/>
  <c r="O113" i="32"/>
  <c r="O94" i="32"/>
  <c r="O38" i="32"/>
  <c r="O164" i="32"/>
  <c r="O134" i="32"/>
  <c r="O172" i="42"/>
  <c r="O63" i="42"/>
  <c r="O65" i="42"/>
  <c r="O79" i="42"/>
  <c r="J227" i="42"/>
  <c r="O70" i="42"/>
  <c r="O41" i="42"/>
  <c r="O208" i="42"/>
  <c r="O145" i="42"/>
  <c r="O188" i="42"/>
  <c r="O35" i="42"/>
  <c r="O110" i="42"/>
  <c r="O83" i="42"/>
  <c r="O77" i="42"/>
  <c r="O154" i="42"/>
  <c r="O106" i="42"/>
  <c r="O111" i="42"/>
  <c r="O179" i="42"/>
  <c r="O121" i="42"/>
  <c r="O185" i="42"/>
  <c r="J226" i="42"/>
  <c r="O163" i="42"/>
  <c r="O59" i="42"/>
  <c r="O193" i="42"/>
  <c r="O186" i="42"/>
  <c r="O184" i="42"/>
  <c r="O53" i="42"/>
  <c r="O104" i="42"/>
  <c r="J228" i="42"/>
  <c r="O49" i="42"/>
  <c r="O156" i="42"/>
  <c r="O130" i="42"/>
  <c r="O209" i="42"/>
  <c r="M18" i="42"/>
  <c r="O50" i="42"/>
  <c r="O76" i="42"/>
  <c r="O132" i="42"/>
  <c r="O128" i="42"/>
  <c r="O197" i="42"/>
  <c r="O173" i="42"/>
  <c r="O122" i="42"/>
  <c r="O74" i="42"/>
  <c r="O87" i="42"/>
  <c r="M16" i="142"/>
  <c r="J22" i="142"/>
  <c r="J23" i="142"/>
  <c r="O150" i="16"/>
  <c r="O110" i="16"/>
  <c r="O32" i="16"/>
  <c r="O78" i="120"/>
  <c r="O140" i="120"/>
  <c r="O169" i="120"/>
  <c r="O135" i="120"/>
  <c r="O188" i="120"/>
  <c r="O129" i="120"/>
  <c r="O88" i="120"/>
  <c r="O193" i="120"/>
  <c r="O57" i="120"/>
  <c r="O32" i="120"/>
  <c r="O207" i="120"/>
  <c r="O64" i="120"/>
  <c r="O210" i="120"/>
  <c r="J233" i="120"/>
  <c r="O106" i="120"/>
  <c r="O37" i="120"/>
  <c r="O33" i="120"/>
  <c r="O130" i="120"/>
  <c r="O44" i="120"/>
  <c r="O191" i="120"/>
  <c r="O205" i="53"/>
  <c r="O30" i="53"/>
  <c r="O64" i="53"/>
  <c r="O175" i="53"/>
  <c r="O142" i="32"/>
  <c r="O74" i="32"/>
  <c r="O210" i="32"/>
  <c r="O200" i="32"/>
  <c r="O179" i="32"/>
  <c r="O171" i="32"/>
  <c r="O173" i="32"/>
  <c r="O130" i="32"/>
  <c r="O72" i="32"/>
  <c r="O154" i="32"/>
  <c r="O101" i="32"/>
  <c r="O90" i="32"/>
  <c r="J228" i="32"/>
  <c r="O97" i="32"/>
  <c r="O46" i="32"/>
  <c r="J225" i="32"/>
  <c r="O128" i="32"/>
  <c r="J232" i="32"/>
  <c r="O137" i="32"/>
  <c r="O89" i="32"/>
  <c r="O79" i="32"/>
  <c r="O132" i="32"/>
  <c r="O70" i="32"/>
  <c r="O45" i="32"/>
  <c r="O105" i="32"/>
  <c r="O62" i="32"/>
  <c r="O138" i="32"/>
  <c r="O111" i="32"/>
  <c r="O76" i="32"/>
  <c r="O152" i="32"/>
  <c r="O43" i="32"/>
  <c r="O209" i="32"/>
  <c r="O198" i="32"/>
  <c r="O41" i="32"/>
  <c r="O172" i="32"/>
  <c r="O176" i="32"/>
  <c r="O58" i="32"/>
  <c r="O123" i="32"/>
  <c r="O55" i="32"/>
  <c r="O135" i="32"/>
  <c r="O193" i="32"/>
  <c r="O150" i="32"/>
  <c r="O195" i="32"/>
  <c r="O63" i="32"/>
  <c r="O56" i="32"/>
  <c r="O37" i="32"/>
  <c r="O151" i="32"/>
  <c r="O34" i="32"/>
  <c r="O64" i="32"/>
  <c r="O199" i="32"/>
  <c r="O140" i="32"/>
  <c r="O95" i="32"/>
  <c r="O59" i="32"/>
  <c r="O208" i="32"/>
  <c r="O31" i="32"/>
  <c r="O82" i="32"/>
  <c r="O162" i="32"/>
  <c r="O141" i="32"/>
  <c r="O112" i="32"/>
  <c r="O69" i="32"/>
  <c r="O107" i="32"/>
  <c r="O78" i="32"/>
  <c r="O185" i="32"/>
  <c r="O177" i="32"/>
  <c r="O175" i="32"/>
  <c r="O106" i="32"/>
  <c r="O161" i="32"/>
  <c r="O146" i="32"/>
  <c r="O54" i="32"/>
  <c r="O88" i="32"/>
  <c r="O207" i="32"/>
  <c r="O197" i="32"/>
  <c r="J229" i="32"/>
  <c r="O96" i="32"/>
  <c r="O30" i="32"/>
  <c r="O194" i="32"/>
  <c r="O47" i="32"/>
  <c r="O192" i="32"/>
  <c r="O65" i="32"/>
  <c r="O80" i="32"/>
  <c r="O165" i="32"/>
  <c r="O153" i="32"/>
  <c r="O180" i="32"/>
  <c r="O191" i="32"/>
  <c r="O205" i="32"/>
  <c r="O129" i="32"/>
  <c r="O75" i="32"/>
  <c r="O189" i="32"/>
  <c r="O145" i="32"/>
  <c r="O181" i="32"/>
  <c r="O39" i="32"/>
  <c r="O196" i="32"/>
  <c r="O53" i="32"/>
  <c r="O87" i="32"/>
  <c r="O122" i="32"/>
  <c r="O104" i="32"/>
  <c r="O206" i="32"/>
  <c r="O42" i="32"/>
  <c r="O71" i="32"/>
  <c r="O60" i="32"/>
  <c r="O92" i="32"/>
  <c r="J227" i="32"/>
  <c r="O32" i="32"/>
  <c r="J230" i="32"/>
  <c r="O184" i="32"/>
  <c r="O188" i="32"/>
  <c r="O115" i="32"/>
  <c r="O147" i="32"/>
  <c r="J233" i="32"/>
  <c r="O49" i="32"/>
  <c r="O160" i="32"/>
  <c r="O81" i="32"/>
  <c r="O157" i="32"/>
  <c r="O35" i="32"/>
  <c r="O170" i="32"/>
  <c r="O48" i="32"/>
  <c r="O77" i="32"/>
  <c r="O40" i="32"/>
  <c r="J224" i="32"/>
  <c r="O44" i="32"/>
  <c r="O156" i="32"/>
  <c r="O33" i="32"/>
  <c r="O110" i="32"/>
  <c r="O93" i="32"/>
  <c r="O73" i="32"/>
  <c r="I241" i="32"/>
  <c r="O200" i="120"/>
  <c r="O182" i="120"/>
  <c r="O185" i="120"/>
  <c r="O101" i="120"/>
  <c r="O182" i="142"/>
  <c r="O182" i="32"/>
  <c r="O186" i="32"/>
  <c r="O91" i="32"/>
  <c r="O119" i="32"/>
  <c r="O174" i="32"/>
  <c r="M18" i="32"/>
  <c r="O143" i="32"/>
  <c r="O83" i="32"/>
  <c r="O190" i="32"/>
  <c r="O97" i="60"/>
  <c r="O178" i="60"/>
  <c r="O80" i="158"/>
  <c r="M18" i="158"/>
  <c r="O53" i="158"/>
  <c r="O38" i="158"/>
  <c r="O131" i="158"/>
  <c r="O58" i="158"/>
  <c r="O138" i="158"/>
  <c r="O193" i="158"/>
  <c r="O197" i="158"/>
  <c r="O206" i="158"/>
  <c r="O32" i="158"/>
  <c r="O46" i="158"/>
  <c r="O57" i="158"/>
  <c r="O111" i="158"/>
  <c r="O54" i="158"/>
  <c r="O31" i="158"/>
  <c r="O156" i="158"/>
  <c r="O45" i="158"/>
  <c r="J228" i="158"/>
  <c r="O62" i="158"/>
  <c r="O180" i="158"/>
  <c r="O177" i="158"/>
  <c r="O51" i="158"/>
  <c r="J224" i="158"/>
  <c r="O178" i="158"/>
  <c r="O207" i="158"/>
  <c r="O59" i="158"/>
  <c r="O55" i="158"/>
  <c r="O69" i="158"/>
  <c r="O145" i="158"/>
  <c r="O140" i="158"/>
  <c r="O158" i="158"/>
  <c r="O101" i="158"/>
  <c r="O95" i="158"/>
  <c r="O73" i="158"/>
  <c r="O115" i="158"/>
  <c r="O70" i="158"/>
  <c r="O41" i="158"/>
  <c r="O119" i="158"/>
  <c r="O209" i="158"/>
  <c r="O97" i="158"/>
  <c r="O39" i="158"/>
  <c r="O89" i="158"/>
  <c r="O82" i="158"/>
  <c r="O179" i="158"/>
  <c r="O37" i="158"/>
  <c r="O76" i="158"/>
  <c r="O60" i="158"/>
  <c r="O166" i="158"/>
  <c r="O202" i="32"/>
  <c r="O98" i="158"/>
  <c r="M20" i="95"/>
  <c r="O66" i="32"/>
  <c r="O66" i="158"/>
  <c r="O124" i="32"/>
  <c r="O116" i="32"/>
  <c r="O202" i="42"/>
  <c r="O202" i="158"/>
  <c r="O211" i="32"/>
  <c r="O124" i="158"/>
  <c r="O84" i="42"/>
  <c r="O191" i="106"/>
  <c r="O151" i="174"/>
  <c r="O78" i="64"/>
  <c r="O39" i="64"/>
  <c r="O31" i="64"/>
  <c r="O196" i="87"/>
  <c r="I242" i="49"/>
  <c r="O60" i="62"/>
  <c r="O181" i="62"/>
  <c r="O32" i="62"/>
  <c r="O145" i="62"/>
  <c r="O176" i="62"/>
  <c r="J228" i="62"/>
  <c r="O148" i="62"/>
  <c r="O211" i="64"/>
  <c r="J24" i="68"/>
  <c r="O158" i="174"/>
  <c r="O69" i="150"/>
  <c r="J233" i="150"/>
  <c r="O154" i="62"/>
  <c r="O158" i="106"/>
  <c r="O37" i="106"/>
  <c r="O123" i="145"/>
  <c r="O201" i="64"/>
  <c r="J230" i="64"/>
  <c r="O188" i="64"/>
  <c r="O40" i="64"/>
  <c r="O123" i="64"/>
  <c r="O103" i="64"/>
  <c r="O59" i="64"/>
  <c r="O174" i="64"/>
  <c r="O150" i="64"/>
  <c r="O190" i="64"/>
  <c r="O206" i="53"/>
  <c r="O136" i="53"/>
  <c r="O51" i="87"/>
  <c r="O170" i="87"/>
  <c r="O105" i="87"/>
  <c r="O31" i="87"/>
  <c r="O36" i="87"/>
  <c r="O190" i="39"/>
  <c r="O121" i="39"/>
  <c r="O116" i="64"/>
  <c r="O211" i="87"/>
  <c r="F243" i="16"/>
  <c r="O124" i="42"/>
  <c r="O113" i="150"/>
  <c r="O33" i="87"/>
  <c r="O207" i="87"/>
  <c r="J226" i="150"/>
  <c r="O141" i="64"/>
  <c r="O115" i="64"/>
  <c r="O88" i="39"/>
  <c r="O96" i="66"/>
  <c r="O41" i="62"/>
  <c r="O155" i="62"/>
  <c r="O87" i="62"/>
  <c r="O177" i="62"/>
  <c r="O101" i="62"/>
  <c r="O35" i="62"/>
  <c r="O39" i="62"/>
  <c r="O65" i="64"/>
  <c r="J232" i="174"/>
  <c r="O177" i="174"/>
  <c r="O47" i="87"/>
  <c r="O186" i="150"/>
  <c r="O119" i="150"/>
  <c r="O101" i="106"/>
  <c r="J232" i="106"/>
  <c r="O177" i="145"/>
  <c r="O148" i="64"/>
  <c r="O75" i="64"/>
  <c r="O178" i="64"/>
  <c r="O32" i="64"/>
  <c r="O129" i="64"/>
  <c r="O189" i="64"/>
  <c r="O172" i="64"/>
  <c r="O177" i="64"/>
  <c r="O209" i="64"/>
  <c r="O186" i="64"/>
  <c r="O152" i="53"/>
  <c r="O173" i="87"/>
  <c r="O123" i="87"/>
  <c r="O54" i="87"/>
  <c r="O190" i="87"/>
  <c r="O57" i="87"/>
  <c r="O201" i="15"/>
  <c r="O47" i="63"/>
  <c r="J24" i="175"/>
  <c r="O198" i="39"/>
  <c r="O88" i="53"/>
  <c r="O105" i="150"/>
  <c r="O192" i="87"/>
  <c r="O83" i="106"/>
  <c r="O196" i="83"/>
  <c r="O163" i="64"/>
  <c r="O180" i="64"/>
  <c r="O63" i="64"/>
  <c r="J228" i="87"/>
  <c r="O84" i="62"/>
  <c r="O180" i="62"/>
  <c r="O147" i="62"/>
  <c r="O81" i="62"/>
  <c r="J232" i="62"/>
  <c r="O83" i="62"/>
  <c r="O137" i="62"/>
  <c r="O124" i="64"/>
  <c r="F243" i="60"/>
  <c r="O55" i="174"/>
  <c r="J26" i="142"/>
  <c r="O38" i="150"/>
  <c r="J229" i="150"/>
  <c r="O91" i="106"/>
  <c r="M18" i="106"/>
  <c r="O35" i="64"/>
  <c r="O173" i="64"/>
  <c r="O93" i="64"/>
  <c r="J227" i="64"/>
  <c r="O77" i="64"/>
  <c r="O169" i="64"/>
  <c r="O128" i="64"/>
  <c r="J232" i="64"/>
  <c r="O43" i="64"/>
  <c r="O52" i="53"/>
  <c r="O130" i="87"/>
  <c r="O92" i="87"/>
  <c r="O175" i="87"/>
  <c r="O55" i="87"/>
  <c r="O30" i="87"/>
  <c r="O140" i="63"/>
  <c r="O72" i="39"/>
  <c r="O172" i="39"/>
  <c r="J230" i="39"/>
  <c r="O73" i="64"/>
  <c r="O202" i="64"/>
  <c r="O119" i="87"/>
  <c r="O102" i="87"/>
  <c r="O165" i="62"/>
  <c r="O162" i="62"/>
  <c r="O198" i="62"/>
  <c r="O200" i="62"/>
  <c r="O91" i="62"/>
  <c r="O95" i="62"/>
  <c r="O46" i="64"/>
  <c r="O121" i="64"/>
  <c r="O178" i="174"/>
  <c r="J18" i="142"/>
  <c r="O136" i="150"/>
  <c r="J230" i="150"/>
  <c r="O41" i="106"/>
  <c r="O180" i="106"/>
  <c r="O196" i="64"/>
  <c r="O36" i="64"/>
  <c r="O142" i="64"/>
  <c r="O54" i="64"/>
  <c r="O53" i="64"/>
  <c r="O71" i="64"/>
  <c r="O165" i="64"/>
  <c r="O138" i="64"/>
  <c r="O194" i="64"/>
  <c r="O140" i="53"/>
  <c r="O78" i="87"/>
  <c r="O141" i="87"/>
  <c r="O129" i="87"/>
  <c r="J225" i="87"/>
  <c r="O114" i="87"/>
  <c r="O66" i="64"/>
  <c r="O178" i="39"/>
  <c r="O153" i="39"/>
  <c r="F243" i="164"/>
  <c r="M20" i="119"/>
  <c r="O155" i="87"/>
  <c r="O207" i="64"/>
  <c r="O74" i="150"/>
  <c r="O103" i="106"/>
  <c r="O112" i="64"/>
  <c r="O50" i="64"/>
  <c r="O82" i="87"/>
  <c r="O79" i="87"/>
  <c r="O43" i="39"/>
  <c r="O196" i="39"/>
  <c r="O69" i="62"/>
  <c r="O210" i="62"/>
  <c r="O52" i="62"/>
  <c r="O40" i="62"/>
  <c r="O151" i="62"/>
  <c r="O33" i="62"/>
  <c r="O52" i="64"/>
  <c r="O160" i="39"/>
  <c r="O73" i="174"/>
  <c r="J19" i="142"/>
  <c r="O52" i="150"/>
  <c r="J26" i="174"/>
  <c r="J228" i="106"/>
  <c r="J229" i="106"/>
  <c r="O179" i="64"/>
  <c r="O120" i="64"/>
  <c r="O183" i="64"/>
  <c r="O146" i="64"/>
  <c r="O206" i="64"/>
  <c r="O208" i="64"/>
  <c r="O45" i="64"/>
  <c r="O147" i="64"/>
  <c r="J230" i="53"/>
  <c r="O150" i="87"/>
  <c r="O89" i="87"/>
  <c r="O180" i="87"/>
  <c r="O169" i="87"/>
  <c r="J23" i="85"/>
  <c r="O61" i="118"/>
  <c r="O38" i="87"/>
  <c r="O60" i="39"/>
  <c r="O166" i="87"/>
  <c r="O57" i="39"/>
  <c r="O140" i="39"/>
  <c r="O177" i="39"/>
  <c r="O202" i="87"/>
  <c r="O84" i="64"/>
  <c r="O52" i="58"/>
  <c r="F243" i="62"/>
  <c r="O112" i="53"/>
  <c r="O44" i="174"/>
  <c r="O104" i="174"/>
  <c r="O74" i="174"/>
  <c r="O79" i="174"/>
  <c r="O154" i="174"/>
  <c r="O96" i="174"/>
  <c r="O186" i="174"/>
  <c r="O78" i="174"/>
  <c r="O70" i="174"/>
  <c r="O187" i="58"/>
  <c r="O59" i="58"/>
  <c r="O184" i="58"/>
  <c r="O120" i="25"/>
  <c r="J16" i="174"/>
  <c r="J21" i="42"/>
  <c r="O123" i="53"/>
  <c r="O200" i="53"/>
  <c r="O31" i="53"/>
  <c r="O198" i="53"/>
  <c r="O180" i="53"/>
  <c r="O141" i="53"/>
  <c r="O120" i="53"/>
  <c r="O174" i="53"/>
  <c r="O179" i="53"/>
  <c r="O153" i="53"/>
  <c r="O44" i="38"/>
  <c r="J26" i="158"/>
  <c r="O103" i="25"/>
  <c r="I242" i="42"/>
  <c r="O66" i="53"/>
  <c r="O121" i="53"/>
  <c r="O181" i="174"/>
  <c r="O205" i="174"/>
  <c r="O183" i="174"/>
  <c r="O82" i="174"/>
  <c r="O161" i="174"/>
  <c r="O210" i="174"/>
  <c r="O61" i="174"/>
  <c r="O163" i="174"/>
  <c r="O75" i="174"/>
  <c r="O53" i="174"/>
  <c r="I241" i="58"/>
  <c r="O41" i="58"/>
  <c r="O186" i="58"/>
  <c r="O158" i="25"/>
  <c r="J26" i="102"/>
  <c r="J22" i="174"/>
  <c r="O63" i="53"/>
  <c r="O54" i="53"/>
  <c r="O170" i="53"/>
  <c r="O189" i="53"/>
  <c r="O75" i="53"/>
  <c r="J228" i="53"/>
  <c r="O50" i="53"/>
  <c r="O196" i="53"/>
  <c r="O39" i="53"/>
  <c r="O105" i="38"/>
  <c r="J22" i="158"/>
  <c r="J19" i="158"/>
  <c r="M16" i="37"/>
  <c r="O98" i="118"/>
  <c r="O58" i="174"/>
  <c r="J233" i="174"/>
  <c r="O130" i="174"/>
  <c r="O141" i="174"/>
  <c r="O143" i="174"/>
  <c r="M18" i="174"/>
  <c r="O105" i="174"/>
  <c r="O170" i="174"/>
  <c r="O190" i="174"/>
  <c r="O37" i="174"/>
  <c r="O155" i="58"/>
  <c r="O55" i="58"/>
  <c r="O38" i="58"/>
  <c r="O69" i="25"/>
  <c r="J21" i="174"/>
  <c r="O49" i="58"/>
  <c r="O166" i="174"/>
  <c r="O90" i="53"/>
  <c r="O182" i="53"/>
  <c r="O132" i="53"/>
  <c r="O143" i="53"/>
  <c r="O131" i="53"/>
  <c r="O80" i="53"/>
  <c r="O130" i="53"/>
  <c r="M18" i="53"/>
  <c r="O119" i="53"/>
  <c r="O180" i="38"/>
  <c r="O174" i="38"/>
  <c r="O124" i="174"/>
  <c r="O26" i="158"/>
  <c r="J24" i="158"/>
  <c r="O211" i="174"/>
  <c r="O102" i="58"/>
  <c r="O157" i="58"/>
  <c r="O66" i="58"/>
  <c r="O172" i="174"/>
  <c r="O74" i="165"/>
  <c r="O158" i="58"/>
  <c r="O183" i="98"/>
  <c r="O39" i="98"/>
  <c r="O74" i="98"/>
  <c r="O190" i="98"/>
  <c r="O129" i="98"/>
  <c r="O110" i="98"/>
  <c r="O32" i="98"/>
  <c r="O157" i="98"/>
  <c r="J21" i="37"/>
  <c r="O148" i="58"/>
  <c r="O84" i="156"/>
  <c r="O152" i="58"/>
  <c r="O112" i="174"/>
  <c r="O122" i="174"/>
  <c r="O77" i="174"/>
  <c r="O52" i="174"/>
  <c r="O185" i="174"/>
  <c r="O176" i="174"/>
  <c r="O103" i="174"/>
  <c r="O54" i="174"/>
  <c r="O157" i="174"/>
  <c r="O63" i="174"/>
  <c r="O115" i="174"/>
  <c r="O84" i="174"/>
  <c r="O195" i="174"/>
  <c r="O120" i="174"/>
  <c r="O160" i="174"/>
  <c r="O184" i="174"/>
  <c r="O34" i="174"/>
  <c r="O111" i="174"/>
  <c r="O38" i="174"/>
  <c r="O142" i="174"/>
  <c r="O174" i="174"/>
  <c r="O145" i="174"/>
  <c r="O83" i="174"/>
  <c r="O171" i="174"/>
  <c r="O65" i="174"/>
  <c r="O92" i="174"/>
  <c r="O95" i="174"/>
  <c r="O206" i="174"/>
  <c r="O50" i="174"/>
  <c r="O49" i="174"/>
  <c r="O30" i="174"/>
  <c r="O36" i="174"/>
  <c r="O39" i="174"/>
  <c r="O76" i="174"/>
  <c r="O56" i="174"/>
  <c r="O155" i="174"/>
  <c r="O187" i="174"/>
  <c r="O60" i="174"/>
  <c r="O66" i="174"/>
  <c r="J233" i="58"/>
  <c r="O87" i="58"/>
  <c r="O97" i="58"/>
  <c r="O58" i="58"/>
  <c r="O153" i="58"/>
  <c r="O143" i="58"/>
  <c r="O77" i="58"/>
  <c r="O174" i="58"/>
  <c r="O142" i="58"/>
  <c r="O42" i="58"/>
  <c r="O80" i="58"/>
  <c r="O95" i="58"/>
  <c r="O56" i="84"/>
  <c r="O91" i="98"/>
  <c r="O106" i="25"/>
  <c r="O209" i="25"/>
  <c r="O41" i="25"/>
  <c r="O48" i="25"/>
  <c r="J22" i="102"/>
  <c r="J19" i="102"/>
  <c r="O115" i="50"/>
  <c r="O44" i="50"/>
  <c r="O61" i="50"/>
  <c r="O47" i="50"/>
  <c r="O171" i="50"/>
  <c r="O135" i="50"/>
  <c r="O153" i="50"/>
  <c r="O79" i="50"/>
  <c r="J227" i="50"/>
  <c r="O71" i="50"/>
  <c r="O148" i="50"/>
  <c r="O180" i="50"/>
  <c r="O182" i="50"/>
  <c r="O82" i="50"/>
  <c r="O58" i="50"/>
  <c r="J23" i="174"/>
  <c r="J25" i="174"/>
  <c r="J17" i="174"/>
  <c r="O46" i="145"/>
  <c r="O134" i="53"/>
  <c r="O193" i="53"/>
  <c r="O73" i="53"/>
  <c r="O128" i="53"/>
  <c r="O65" i="53"/>
  <c r="O77" i="53"/>
  <c r="O192" i="53"/>
  <c r="O162" i="53"/>
  <c r="O91" i="53"/>
  <c r="O87" i="53"/>
  <c r="O201" i="53"/>
  <c r="O185" i="53"/>
  <c r="O36" i="53"/>
  <c r="O158" i="53"/>
  <c r="O178" i="53"/>
  <c r="O33" i="53"/>
  <c r="O45" i="53"/>
  <c r="O137" i="53"/>
  <c r="O32" i="53"/>
  <c r="O83" i="53"/>
  <c r="O47" i="53"/>
  <c r="O38" i="53"/>
  <c r="O70" i="53"/>
  <c r="O195" i="53"/>
  <c r="O56" i="53"/>
  <c r="O181" i="53"/>
  <c r="O161" i="53"/>
  <c r="O37" i="53"/>
  <c r="O59" i="53"/>
  <c r="O210" i="53"/>
  <c r="J227" i="53"/>
  <c r="O164" i="53"/>
  <c r="O187" i="53"/>
  <c r="O135" i="53"/>
  <c r="O41" i="53"/>
  <c r="J225" i="53"/>
  <c r="O79" i="53"/>
  <c r="O169" i="53"/>
  <c r="O123" i="165"/>
  <c r="O31" i="165"/>
  <c r="O130" i="165"/>
  <c r="O79" i="165"/>
  <c r="O60" i="165"/>
  <c r="O131" i="165"/>
  <c r="O38" i="165"/>
  <c r="O57" i="165"/>
  <c r="O160" i="165"/>
  <c r="O78" i="15"/>
  <c r="J25" i="87"/>
  <c r="O53" i="58"/>
  <c r="O121" i="174"/>
  <c r="O88" i="165"/>
  <c r="O96" i="58"/>
  <c r="O153" i="47"/>
  <c r="O194" i="47"/>
  <c r="O161" i="47"/>
  <c r="O132" i="47"/>
  <c r="O186" i="47"/>
  <c r="O164" i="156"/>
  <c r="O138" i="156"/>
  <c r="O192" i="156"/>
  <c r="J230" i="156"/>
  <c r="O122" i="156"/>
  <c r="O101" i="50"/>
  <c r="O70" i="92"/>
  <c r="O26" i="47"/>
  <c r="O166" i="50"/>
  <c r="O105" i="25"/>
  <c r="O42" i="98"/>
  <c r="O211" i="53"/>
  <c r="I241" i="53"/>
  <c r="O84" i="53"/>
  <c r="F220" i="113"/>
  <c r="O146" i="53"/>
  <c r="O48" i="47"/>
  <c r="O39" i="58"/>
  <c r="O94" i="165"/>
  <c r="O194" i="58"/>
  <c r="O51" i="47"/>
  <c r="O89" i="98"/>
  <c r="O176" i="98"/>
  <c r="O30" i="98"/>
  <c r="O33" i="98"/>
  <c r="O153" i="98"/>
  <c r="O90" i="98"/>
  <c r="O54" i="98"/>
  <c r="O45" i="98"/>
  <c r="O98" i="145"/>
  <c r="J16" i="37"/>
  <c r="O150" i="53"/>
  <c r="O193" i="50"/>
  <c r="O137" i="174"/>
  <c r="O136" i="174"/>
  <c r="J225" i="174"/>
  <c r="J224" i="174"/>
  <c r="O119" i="174"/>
  <c r="J227" i="174"/>
  <c r="O97" i="174"/>
  <c r="O182" i="174"/>
  <c r="O101" i="174"/>
  <c r="O57" i="174"/>
  <c r="O41" i="174"/>
  <c r="O114" i="174"/>
  <c r="O180" i="174"/>
  <c r="O132" i="174"/>
  <c r="O147" i="174"/>
  <c r="O106" i="174"/>
  <c r="O201" i="174"/>
  <c r="O48" i="174"/>
  <c r="O148" i="174"/>
  <c r="J229" i="174"/>
  <c r="O200" i="174"/>
  <c r="O192" i="174"/>
  <c r="O80" i="174"/>
  <c r="O91" i="174"/>
  <c r="O33" i="174"/>
  <c r="O135" i="174"/>
  <c r="O123" i="174"/>
  <c r="O131" i="174"/>
  <c r="J230" i="174"/>
  <c r="O90" i="174"/>
  <c r="O150" i="174"/>
  <c r="O51" i="174"/>
  <c r="O59" i="174"/>
  <c r="O140" i="174"/>
  <c r="O110" i="174"/>
  <c r="O188" i="174"/>
  <c r="O209" i="174"/>
  <c r="O198" i="174"/>
  <c r="O179" i="174"/>
  <c r="O191" i="174"/>
  <c r="O32" i="174"/>
  <c r="O173" i="58"/>
  <c r="O162" i="58"/>
  <c r="J226" i="58"/>
  <c r="O105" i="58"/>
  <c r="O45" i="58"/>
  <c r="O43" i="58"/>
  <c r="O137" i="58"/>
  <c r="O169" i="58"/>
  <c r="O193" i="58"/>
  <c r="O91" i="58"/>
  <c r="O81" i="58"/>
  <c r="O70" i="58"/>
  <c r="O82" i="58"/>
  <c r="O64" i="58"/>
  <c r="O122" i="25"/>
  <c r="O188" i="25"/>
  <c r="O64" i="25"/>
  <c r="O51" i="25"/>
  <c r="O197" i="53"/>
  <c r="J25" i="102"/>
  <c r="O195" i="50"/>
  <c r="O178" i="50"/>
  <c r="O72" i="50"/>
  <c r="O102" i="50"/>
  <c r="O91" i="50"/>
  <c r="O161" i="50"/>
  <c r="O151" i="50"/>
  <c r="O145" i="50"/>
  <c r="O39" i="50"/>
  <c r="O49" i="50"/>
  <c r="O81" i="50"/>
  <c r="O186" i="50"/>
  <c r="J224" i="50"/>
  <c r="O59" i="50"/>
  <c r="O106" i="50"/>
  <c r="O102" i="165"/>
  <c r="J19" i="174"/>
  <c r="J20" i="174"/>
  <c r="O26" i="174"/>
  <c r="O138" i="53"/>
  <c r="O82" i="98"/>
  <c r="O165" i="145"/>
  <c r="O33" i="145"/>
  <c r="O134" i="174"/>
  <c r="O208" i="53"/>
  <c r="O163" i="53"/>
  <c r="O46" i="53"/>
  <c r="O173" i="53"/>
  <c r="O42" i="53"/>
  <c r="O145" i="53"/>
  <c r="O105" i="53"/>
  <c r="O96" i="53"/>
  <c r="O74" i="53"/>
  <c r="O94" i="53"/>
  <c r="O35" i="53"/>
  <c r="O110" i="53"/>
  <c r="O172" i="53"/>
  <c r="J233" i="53"/>
  <c r="O157" i="53"/>
  <c r="O142" i="53"/>
  <c r="J226" i="53"/>
  <c r="O183" i="53"/>
  <c r="O115" i="53"/>
  <c r="O53" i="53"/>
  <c r="O176" i="53"/>
  <c r="O165" i="53"/>
  <c r="O184" i="53"/>
  <c r="O93" i="53"/>
  <c r="O207" i="53"/>
  <c r="O57" i="53"/>
  <c r="O101" i="53"/>
  <c r="O190" i="53"/>
  <c r="O113" i="53"/>
  <c r="J224" i="53"/>
  <c r="O199" i="53"/>
  <c r="O122" i="53"/>
  <c r="O209" i="53"/>
  <c r="O48" i="53"/>
  <c r="O58" i="53"/>
  <c r="O160" i="53"/>
  <c r="O60" i="53"/>
  <c r="O44" i="53"/>
  <c r="O77" i="165"/>
  <c r="O110" i="165"/>
  <c r="O35" i="165"/>
  <c r="O30" i="165"/>
  <c r="O54" i="165"/>
  <c r="O136" i="165"/>
  <c r="O58" i="165"/>
  <c r="O75" i="165"/>
  <c r="J225" i="165"/>
  <c r="O128" i="98"/>
  <c r="O69" i="15"/>
  <c r="O42" i="174"/>
  <c r="O166" i="53"/>
  <c r="O175" i="174"/>
  <c r="O156" i="58"/>
  <c r="O154" i="53"/>
  <c r="O151" i="47"/>
  <c r="O197" i="47"/>
  <c r="O71" i="47"/>
  <c r="O208" i="47"/>
  <c r="O113" i="165"/>
  <c r="O40" i="156"/>
  <c r="O185" i="156"/>
  <c r="O87" i="156"/>
  <c r="O169" i="156"/>
  <c r="O161" i="156"/>
  <c r="O64" i="156"/>
  <c r="O66" i="156"/>
  <c r="O43" i="84"/>
  <c r="O41" i="165"/>
  <c r="M20" i="42"/>
  <c r="O105" i="84"/>
  <c r="O164" i="174"/>
  <c r="O49" i="165"/>
  <c r="O116" i="53"/>
  <c r="F243" i="24"/>
  <c r="O107" i="53"/>
  <c r="O124" i="53"/>
  <c r="O107" i="174"/>
  <c r="O106" i="53"/>
  <c r="O202" i="174"/>
  <c r="O169" i="174"/>
  <c r="O107" i="58"/>
  <c r="O64" i="174"/>
  <c r="O177" i="47"/>
  <c r="O51" i="165"/>
  <c r="O36" i="98"/>
  <c r="O94" i="98"/>
  <c r="O60" i="98"/>
  <c r="O115" i="98"/>
  <c r="O120" i="98"/>
  <c r="O101" i="98"/>
  <c r="O58" i="98"/>
  <c r="O37" i="98"/>
  <c r="O98" i="58"/>
  <c r="J20" i="37"/>
  <c r="J24" i="37"/>
  <c r="O98" i="47"/>
  <c r="O123" i="58"/>
  <c r="O165" i="165"/>
  <c r="O44" i="156"/>
  <c r="O43" i="174"/>
  <c r="O173" i="174"/>
  <c r="O62" i="174"/>
  <c r="O196" i="174"/>
  <c r="O193" i="174"/>
  <c r="O89" i="174"/>
  <c r="O72" i="174"/>
  <c r="O31" i="174"/>
  <c r="O93" i="174"/>
  <c r="O194" i="174"/>
  <c r="O69" i="174"/>
  <c r="O113" i="174"/>
  <c r="O156" i="174"/>
  <c r="O94" i="174"/>
  <c r="O197" i="174"/>
  <c r="O146" i="174"/>
  <c r="J228" i="174"/>
  <c r="O47" i="174"/>
  <c r="O162" i="174"/>
  <c r="J226" i="174"/>
  <c r="O128" i="174"/>
  <c r="O207" i="174"/>
  <c r="O153" i="174"/>
  <c r="O46" i="174"/>
  <c r="O199" i="174"/>
  <c r="O88" i="174"/>
  <c r="O87" i="174"/>
  <c r="O129" i="174"/>
  <c r="O35" i="174"/>
  <c r="O208" i="174"/>
  <c r="O165" i="174"/>
  <c r="O189" i="174"/>
  <c r="I241" i="174"/>
  <c r="I243" i="174" s="1"/>
  <c r="O98" i="174"/>
  <c r="O81" i="174"/>
  <c r="O102" i="174"/>
  <c r="O179" i="58"/>
  <c r="O181" i="58"/>
  <c r="O170" i="58"/>
  <c r="O122" i="58"/>
  <c r="O119" i="58"/>
  <c r="O37" i="58"/>
  <c r="O46" i="58"/>
  <c r="J230" i="58"/>
  <c r="O147" i="58"/>
  <c r="O48" i="58"/>
  <c r="O205" i="58"/>
  <c r="O62" i="58"/>
  <c r="O182" i="25"/>
  <c r="O150" i="25"/>
  <c r="O89" i="25"/>
  <c r="O156" i="25"/>
  <c r="O202" i="53"/>
  <c r="J21" i="102"/>
  <c r="O43" i="50"/>
  <c r="O146" i="50"/>
  <c r="O65" i="50"/>
  <c r="O181" i="50"/>
  <c r="O73" i="50"/>
  <c r="O112" i="50"/>
  <c r="O175" i="50"/>
  <c r="O110" i="50"/>
  <c r="O32" i="50"/>
  <c r="J226" i="50"/>
  <c r="O46" i="50"/>
  <c r="O154" i="50"/>
  <c r="O88" i="50"/>
  <c r="O173" i="50"/>
  <c r="O40" i="174"/>
  <c r="O82" i="165"/>
  <c r="J18" i="174"/>
  <c r="M16" i="174"/>
  <c r="O82" i="145"/>
  <c r="J233" i="145"/>
  <c r="O103" i="53"/>
  <c r="O49" i="53"/>
  <c r="O95" i="53"/>
  <c r="J229" i="53"/>
  <c r="O55" i="53"/>
  <c r="O43" i="53"/>
  <c r="O111" i="53"/>
  <c r="O89" i="53"/>
  <c r="O191" i="53"/>
  <c r="O102" i="53"/>
  <c r="O188" i="53"/>
  <c r="O76" i="53"/>
  <c r="O51" i="53"/>
  <c r="O62" i="53"/>
  <c r="O186" i="53"/>
  <c r="O151" i="53"/>
  <c r="O97" i="53"/>
  <c r="O194" i="53"/>
  <c r="O78" i="53"/>
  <c r="O82" i="53"/>
  <c r="O34" i="53"/>
  <c r="O114" i="53"/>
  <c r="O40" i="53"/>
  <c r="O61" i="53"/>
  <c r="O156" i="53"/>
  <c r="J232" i="53"/>
  <c r="O81" i="53"/>
  <c r="O177" i="53"/>
  <c r="O92" i="53"/>
  <c r="O171" i="53"/>
  <c r="O148" i="53"/>
  <c r="O69" i="53"/>
  <c r="O71" i="53"/>
  <c r="O72" i="53"/>
  <c r="O147" i="53"/>
  <c r="O155" i="53"/>
  <c r="O33" i="165"/>
  <c r="O122" i="165"/>
  <c r="O73" i="165"/>
  <c r="O142" i="165"/>
  <c r="O32" i="165"/>
  <c r="O199" i="165"/>
  <c r="O184" i="165"/>
  <c r="O97" i="165"/>
  <c r="O210" i="165"/>
  <c r="O210" i="15"/>
  <c r="O52" i="156"/>
  <c r="O129" i="53"/>
  <c r="J20" i="87"/>
  <c r="O114" i="98"/>
  <c r="O43" i="47"/>
  <c r="O143" i="47"/>
  <c r="O146" i="47"/>
  <c r="O187" i="47"/>
  <c r="O70" i="156"/>
  <c r="O132" i="156"/>
  <c r="J225" i="156"/>
  <c r="O114" i="156"/>
  <c r="O48" i="156"/>
  <c r="O138" i="174"/>
  <c r="O132" i="98"/>
  <c r="O116" i="92"/>
  <c r="O26" i="165"/>
  <c r="O66" i="50"/>
  <c r="O72" i="25"/>
  <c r="O84" i="58"/>
  <c r="O116" i="50"/>
  <c r="O98" i="53"/>
  <c r="I242" i="25"/>
  <c r="O211" i="157"/>
  <c r="O116" i="174"/>
  <c r="M20" i="31"/>
  <c r="O123" i="39"/>
  <c r="O129" i="165"/>
  <c r="O120" i="150"/>
  <c r="O49" i="103"/>
  <c r="O164" i="103"/>
  <c r="O179" i="103"/>
  <c r="O208" i="103"/>
  <c r="O209" i="103"/>
  <c r="O34" i="103"/>
  <c r="J232" i="103"/>
  <c r="O46" i="103"/>
  <c r="O174" i="103"/>
  <c r="O182" i="103"/>
  <c r="J226" i="103"/>
  <c r="O132" i="103"/>
  <c r="O52" i="103"/>
  <c r="O172" i="72"/>
  <c r="O46" i="83"/>
  <c r="O194" i="102"/>
  <c r="O171" i="39"/>
  <c r="O107" i="165"/>
  <c r="O115" i="150"/>
  <c r="M18" i="150"/>
  <c r="O47" i="150"/>
  <c r="O64" i="150"/>
  <c r="O83" i="150"/>
  <c r="O170" i="150"/>
  <c r="O134" i="150"/>
  <c r="O76" i="150"/>
  <c r="O163" i="150"/>
  <c r="O128" i="150"/>
  <c r="O93" i="150"/>
  <c r="O114" i="150"/>
  <c r="O58" i="150"/>
  <c r="O60" i="150"/>
  <c r="O129" i="150"/>
  <c r="O71" i="106"/>
  <c r="O120" i="106"/>
  <c r="O138" i="106"/>
  <c r="O197" i="106"/>
  <c r="O207" i="106"/>
  <c r="O82" i="106"/>
  <c r="O205" i="106"/>
  <c r="O206" i="106"/>
  <c r="O209" i="106"/>
  <c r="O147" i="106"/>
  <c r="O51" i="106"/>
  <c r="O150" i="106"/>
  <c r="O88" i="106"/>
  <c r="O114" i="83"/>
  <c r="O176" i="83"/>
  <c r="O78" i="83"/>
  <c r="O202" i="150"/>
  <c r="O178" i="165"/>
  <c r="O56" i="165"/>
  <c r="O175" i="165"/>
  <c r="O45" i="165"/>
  <c r="O192" i="165"/>
  <c r="O179" i="165"/>
  <c r="M18" i="165"/>
  <c r="O176" i="165"/>
  <c r="O146" i="165"/>
  <c r="O37" i="165"/>
  <c r="O87" i="165"/>
  <c r="O105" i="165"/>
  <c r="O198" i="165"/>
  <c r="O150" i="165"/>
  <c r="O208" i="165"/>
  <c r="O104" i="165"/>
  <c r="O181" i="165"/>
  <c r="O63" i="165"/>
  <c r="O103" i="165"/>
  <c r="J224" i="165"/>
  <c r="O61" i="165"/>
  <c r="O47" i="165"/>
  <c r="O148" i="165"/>
  <c r="O36" i="165"/>
  <c r="O62" i="165"/>
  <c r="O137" i="165"/>
  <c r="O154" i="165"/>
  <c r="O78" i="165"/>
  <c r="O46" i="165"/>
  <c r="O90" i="165"/>
  <c r="O183" i="165"/>
  <c r="O40" i="165"/>
  <c r="O177" i="165"/>
  <c r="O101" i="165"/>
  <c r="O174" i="165"/>
  <c r="O171" i="87"/>
  <c r="O95" i="87"/>
  <c r="O97" i="87"/>
  <c r="O46" i="87"/>
  <c r="O48" i="87"/>
  <c r="O164" i="87"/>
  <c r="O200" i="87"/>
  <c r="O91" i="87"/>
  <c r="O194" i="87"/>
  <c r="O115" i="87"/>
  <c r="O181" i="87"/>
  <c r="O74" i="87"/>
  <c r="O146" i="87"/>
  <c r="O187" i="87"/>
  <c r="O110" i="87"/>
  <c r="O75" i="87"/>
  <c r="O58" i="87"/>
  <c r="O193" i="87"/>
  <c r="O138" i="87"/>
  <c r="O37" i="87"/>
  <c r="O176" i="87"/>
  <c r="O153" i="87"/>
  <c r="O44" i="87"/>
  <c r="O60" i="87"/>
  <c r="O183" i="87"/>
  <c r="O111" i="87"/>
  <c r="O179" i="87"/>
  <c r="O62" i="87"/>
  <c r="J232" i="87"/>
  <c r="O42" i="87"/>
  <c r="O205" i="87"/>
  <c r="O83" i="87"/>
  <c r="O70" i="87"/>
  <c r="O145" i="87"/>
  <c r="O101" i="87"/>
  <c r="O63" i="87"/>
  <c r="O96" i="87"/>
  <c r="O156" i="87"/>
  <c r="O35" i="38"/>
  <c r="O75" i="38"/>
  <c r="O110" i="38"/>
  <c r="O88" i="38"/>
  <c r="O156" i="38"/>
  <c r="O208" i="38"/>
  <c r="O80" i="106"/>
  <c r="O200" i="89"/>
  <c r="O115" i="106"/>
  <c r="O166" i="39"/>
  <c r="O98" i="165"/>
  <c r="O111" i="102"/>
  <c r="O79" i="102"/>
  <c r="O31" i="102"/>
  <c r="M18" i="102"/>
  <c r="O186" i="102"/>
  <c r="O210" i="102"/>
  <c r="O73" i="102"/>
  <c r="O163" i="102"/>
  <c r="O137" i="102"/>
  <c r="O181" i="102"/>
  <c r="O103" i="87"/>
  <c r="O205" i="63"/>
  <c r="I241" i="39"/>
  <c r="F243" i="133"/>
  <c r="O61" i="39"/>
  <c r="O98" i="39"/>
  <c r="O151" i="39"/>
  <c r="J19" i="92"/>
  <c r="O192" i="39"/>
  <c r="O76" i="31"/>
  <c r="O200" i="31"/>
  <c r="O137" i="31"/>
  <c r="O66" i="106"/>
  <c r="O202" i="165"/>
  <c r="O197" i="39"/>
  <c r="O208" i="39"/>
  <c r="O69" i="39"/>
  <c r="O93" i="39"/>
  <c r="O150" i="39"/>
  <c r="O169" i="39"/>
  <c r="O96" i="39"/>
  <c r="O101" i="39"/>
  <c r="O158" i="39"/>
  <c r="O103" i="39"/>
  <c r="J227" i="39"/>
  <c r="J233" i="39"/>
  <c r="J232" i="39"/>
  <c r="O48" i="39"/>
  <c r="O206" i="39"/>
  <c r="O173" i="39"/>
  <c r="O166" i="106"/>
  <c r="O202" i="103"/>
  <c r="O211" i="39"/>
  <c r="O116" i="150"/>
  <c r="O39" i="38"/>
  <c r="F243" i="14"/>
  <c r="O103" i="103"/>
  <c r="O124" i="39"/>
  <c r="O166" i="103"/>
  <c r="O98" i="106"/>
  <c r="O166" i="104"/>
  <c r="O96" i="165"/>
  <c r="O81" i="87"/>
  <c r="O113" i="39"/>
  <c r="O42" i="165"/>
  <c r="O175" i="103"/>
  <c r="O195" i="103"/>
  <c r="O123" i="103"/>
  <c r="O131" i="103"/>
  <c r="O207" i="103"/>
  <c r="O176" i="103"/>
  <c r="O112" i="103"/>
  <c r="J229" i="103"/>
  <c r="O51" i="103"/>
  <c r="O95" i="103"/>
  <c r="O178" i="103"/>
  <c r="M18" i="103"/>
  <c r="O104" i="103"/>
  <c r="O35" i="106"/>
  <c r="O92" i="103"/>
  <c r="O202" i="39"/>
  <c r="O136" i="87"/>
  <c r="O191" i="150"/>
  <c r="O34" i="150"/>
  <c r="O75" i="150"/>
  <c r="O206" i="150"/>
  <c r="O165" i="150"/>
  <c r="O73" i="150"/>
  <c r="O45" i="150"/>
  <c r="O154" i="150"/>
  <c r="O194" i="150"/>
  <c r="O77" i="150"/>
  <c r="O106" i="150"/>
  <c r="O63" i="150"/>
  <c r="O53" i="150"/>
  <c r="O187" i="150"/>
  <c r="O176" i="106"/>
  <c r="O123" i="106"/>
  <c r="O148" i="106"/>
  <c r="O165" i="106"/>
  <c r="O43" i="106"/>
  <c r="O122" i="106"/>
  <c r="O56" i="106"/>
  <c r="O65" i="106"/>
  <c r="O105" i="106"/>
  <c r="O190" i="106"/>
  <c r="O113" i="106"/>
  <c r="J21" i="79"/>
  <c r="O44" i="83"/>
  <c r="O70" i="83"/>
  <c r="O120" i="83"/>
  <c r="J22" i="104"/>
  <c r="O92" i="165"/>
  <c r="J226" i="165"/>
  <c r="O188" i="165"/>
  <c r="O194" i="165"/>
  <c r="O182" i="165"/>
  <c r="O138" i="165"/>
  <c r="O53" i="165"/>
  <c r="O162" i="165"/>
  <c r="O207" i="165"/>
  <c r="O71" i="165"/>
  <c r="O145" i="165"/>
  <c r="O72" i="165"/>
  <c r="J230" i="165"/>
  <c r="O70" i="165"/>
  <c r="O52" i="165"/>
  <c r="O143" i="165"/>
  <c r="O114" i="165"/>
  <c r="O43" i="165"/>
  <c r="O164" i="165"/>
  <c r="O111" i="165"/>
  <c r="O65" i="165"/>
  <c r="O132" i="165"/>
  <c r="O89" i="165"/>
  <c r="O39" i="165"/>
  <c r="O140" i="165"/>
  <c r="I241" i="165"/>
  <c r="I243" i="165" s="1"/>
  <c r="O69" i="165"/>
  <c r="O193" i="165"/>
  <c r="O91" i="165"/>
  <c r="O80" i="165"/>
  <c r="O128" i="165"/>
  <c r="O81" i="165"/>
  <c r="J232" i="165"/>
  <c r="O180" i="165"/>
  <c r="O209" i="165"/>
  <c r="O206" i="165"/>
  <c r="O66" i="39"/>
  <c r="O64" i="87"/>
  <c r="O177" i="87"/>
  <c r="O209" i="87"/>
  <c r="O94" i="87"/>
  <c r="O87" i="87"/>
  <c r="O104" i="87"/>
  <c r="O152" i="87"/>
  <c r="O158" i="87"/>
  <c r="O113" i="87"/>
  <c r="J229" i="87"/>
  <c r="O59" i="87"/>
  <c r="I241" i="87"/>
  <c r="I243" i="87" s="1"/>
  <c r="O34" i="87"/>
  <c r="O112" i="87"/>
  <c r="O163" i="87"/>
  <c r="O154" i="87"/>
  <c r="O137" i="87"/>
  <c r="O140" i="87"/>
  <c r="O61" i="87"/>
  <c r="O197" i="87"/>
  <c r="O50" i="87"/>
  <c r="O41" i="87"/>
  <c r="O56" i="87"/>
  <c r="O45" i="87"/>
  <c r="O189" i="87"/>
  <c r="O122" i="87"/>
  <c r="O80" i="87"/>
  <c r="O88" i="87"/>
  <c r="O199" i="87"/>
  <c r="J233" i="87"/>
  <c r="O191" i="87"/>
  <c r="O52" i="87"/>
  <c r="O195" i="87"/>
  <c r="O90" i="87"/>
  <c r="O172" i="87"/>
  <c r="O198" i="87"/>
  <c r="O71" i="87"/>
  <c r="O143" i="87"/>
  <c r="O201" i="87"/>
  <c r="M18" i="38"/>
  <c r="O176" i="38"/>
  <c r="O49" i="38"/>
  <c r="O47" i="38"/>
  <c r="O207" i="38"/>
  <c r="O120" i="165"/>
  <c r="O105" i="39"/>
  <c r="O135" i="165"/>
  <c r="O179" i="102"/>
  <c r="O195" i="102"/>
  <c r="O196" i="102"/>
  <c r="O161" i="102"/>
  <c r="O102" i="102"/>
  <c r="O59" i="102"/>
  <c r="J224" i="102"/>
  <c r="O115" i="102"/>
  <c r="O39" i="102"/>
  <c r="O210" i="63"/>
  <c r="O104" i="63"/>
  <c r="O26" i="92"/>
  <c r="O119" i="106"/>
  <c r="O46" i="31"/>
  <c r="O60" i="31"/>
  <c r="O160" i="31"/>
  <c r="O210" i="39"/>
  <c r="O193" i="39"/>
  <c r="O51" i="39"/>
  <c r="O77" i="39"/>
  <c r="J228" i="39"/>
  <c r="O138" i="39"/>
  <c r="O70" i="39"/>
  <c r="O181" i="39"/>
  <c r="O35" i="39"/>
  <c r="O182" i="39"/>
  <c r="O175" i="39"/>
  <c r="O131" i="39"/>
  <c r="O40" i="39"/>
  <c r="O157" i="39"/>
  <c r="O47" i="39"/>
  <c r="O42" i="39"/>
  <c r="O84" i="87"/>
  <c r="O66" i="87"/>
  <c r="O98" i="87"/>
  <c r="O124" i="87"/>
  <c r="O84" i="39"/>
  <c r="O148" i="83"/>
  <c r="O124" i="165"/>
  <c r="O169" i="38"/>
  <c r="O155" i="165"/>
  <c r="O185" i="39"/>
  <c r="O97" i="150"/>
  <c r="O34" i="39"/>
  <c r="J21" i="119"/>
  <c r="O82" i="103"/>
  <c r="O53" i="39"/>
  <c r="O116" i="39"/>
  <c r="O38" i="103"/>
  <c r="O147" i="103"/>
  <c r="O70" i="103"/>
  <c r="O42" i="103"/>
  <c r="O137" i="103"/>
  <c r="O189" i="103"/>
  <c r="O87" i="103"/>
  <c r="O93" i="103"/>
  <c r="J227" i="103"/>
  <c r="O184" i="103"/>
  <c r="O36" i="103"/>
  <c r="O47" i="103"/>
  <c r="O161" i="103"/>
  <c r="O201" i="150"/>
  <c r="O198" i="150"/>
  <c r="O137" i="150"/>
  <c r="O183" i="150"/>
  <c r="O188" i="150"/>
  <c r="O57" i="150"/>
  <c r="O37" i="150"/>
  <c r="O210" i="150"/>
  <c r="O178" i="150"/>
  <c r="O200" i="150"/>
  <c r="O101" i="150"/>
  <c r="O102" i="150"/>
  <c r="O164" i="150"/>
  <c r="O199" i="150"/>
  <c r="O41" i="150"/>
  <c r="O173" i="106"/>
  <c r="O164" i="106"/>
  <c r="O153" i="106"/>
  <c r="O179" i="106"/>
  <c r="O130" i="106"/>
  <c r="O174" i="106"/>
  <c r="O192" i="106"/>
  <c r="O69" i="106"/>
  <c r="J224" i="106"/>
  <c r="O55" i="106"/>
  <c r="O54" i="106"/>
  <c r="O53" i="106"/>
  <c r="O93" i="106"/>
  <c r="O102" i="39"/>
  <c r="O200" i="83"/>
  <c r="J233" i="83"/>
  <c r="O147" i="87"/>
  <c r="O157" i="165"/>
  <c r="O83" i="165"/>
  <c r="J233" i="165"/>
  <c r="O134" i="165"/>
  <c r="O151" i="165"/>
  <c r="J229" i="165"/>
  <c r="O34" i="165"/>
  <c r="O48" i="165"/>
  <c r="O119" i="165"/>
  <c r="O172" i="165"/>
  <c r="O59" i="165"/>
  <c r="O197" i="165"/>
  <c r="O190" i="165"/>
  <c r="O205" i="165"/>
  <c r="O191" i="165"/>
  <c r="J228" i="165"/>
  <c r="O170" i="165"/>
  <c r="O200" i="165"/>
  <c r="O195" i="165"/>
  <c r="O171" i="165"/>
  <c r="O169" i="165"/>
  <c r="O156" i="165"/>
  <c r="O64" i="165"/>
  <c r="O161" i="165"/>
  <c r="O115" i="165"/>
  <c r="O201" i="165"/>
  <c r="O141" i="165"/>
  <c r="O95" i="165"/>
  <c r="O185" i="165"/>
  <c r="O55" i="165"/>
  <c r="O173" i="165"/>
  <c r="O163" i="165"/>
  <c r="O44" i="165"/>
  <c r="O50" i="165"/>
  <c r="O153" i="165"/>
  <c r="M18" i="87"/>
  <c r="J230" i="87"/>
  <c r="J224" i="87"/>
  <c r="O120" i="87"/>
  <c r="O151" i="87"/>
  <c r="O162" i="87"/>
  <c r="O72" i="87"/>
  <c r="O135" i="87"/>
  <c r="O69" i="87"/>
  <c r="O93" i="87"/>
  <c r="O49" i="87"/>
  <c r="O174" i="87"/>
  <c r="O188" i="87"/>
  <c r="O40" i="87"/>
  <c r="O182" i="87"/>
  <c r="O165" i="87"/>
  <c r="O73" i="87"/>
  <c r="O106" i="87"/>
  <c r="O121" i="87"/>
  <c r="O43" i="87"/>
  <c r="O65" i="87"/>
  <c r="O134" i="87"/>
  <c r="J227" i="87"/>
  <c r="O160" i="87"/>
  <c r="O178" i="87"/>
  <c r="O131" i="87"/>
  <c r="O210" i="87"/>
  <c r="O185" i="87"/>
  <c r="O132" i="87"/>
  <c r="O53" i="87"/>
  <c r="O128" i="87"/>
  <c r="O208" i="87"/>
  <c r="O35" i="87"/>
  <c r="O77" i="87"/>
  <c r="O39" i="87"/>
  <c r="O148" i="87"/>
  <c r="J226" i="87"/>
  <c r="O101" i="38"/>
  <c r="O162" i="38"/>
  <c r="O184" i="38"/>
  <c r="O157" i="38"/>
  <c r="O74" i="38"/>
  <c r="O106" i="165"/>
  <c r="O184" i="87"/>
  <c r="O130" i="39"/>
  <c r="O191" i="102"/>
  <c r="O180" i="102"/>
  <c r="O189" i="102"/>
  <c r="J230" i="102"/>
  <c r="O96" i="102"/>
  <c r="O94" i="102"/>
  <c r="O197" i="102"/>
  <c r="O76" i="102"/>
  <c r="O103" i="102"/>
  <c r="O64" i="63"/>
  <c r="O54" i="63"/>
  <c r="O76" i="87"/>
  <c r="O116" i="165"/>
  <c r="O30" i="39"/>
  <c r="O52" i="39"/>
  <c r="O162" i="31"/>
  <c r="O152" i="165"/>
  <c r="O41" i="39"/>
  <c r="O62" i="39"/>
  <c r="O189" i="39"/>
  <c r="O44" i="39"/>
  <c r="O201" i="39"/>
  <c r="O195" i="39"/>
  <c r="O112" i="39"/>
  <c r="O81" i="39"/>
  <c r="O89" i="39"/>
  <c r="O188" i="39"/>
  <c r="O63" i="39"/>
  <c r="O147" i="39"/>
  <c r="O174" i="39"/>
  <c r="O184" i="39"/>
  <c r="O120" i="39"/>
  <c r="O137" i="39"/>
  <c r="O46" i="39"/>
  <c r="I241" i="102"/>
  <c r="O186" i="87"/>
  <c r="O66" i="165"/>
  <c r="O116" i="87"/>
  <c r="O71" i="83"/>
  <c r="O211" i="106"/>
  <c r="O98" i="38"/>
  <c r="F243" i="64"/>
  <c r="O107" i="87"/>
  <c r="O202" i="85"/>
  <c r="O182" i="85"/>
  <c r="O145" i="85"/>
  <c r="O187" i="85"/>
  <c r="F243" i="32"/>
  <c r="O200" i="24"/>
  <c r="O74" i="24"/>
  <c r="O75" i="24"/>
  <c r="O70" i="24"/>
  <c r="O102" i="24"/>
  <c r="J17" i="42"/>
  <c r="O116" i="24"/>
  <c r="O107" i="24"/>
  <c r="J23" i="24"/>
  <c r="O45" i="24"/>
  <c r="O111" i="24"/>
  <c r="O69" i="24"/>
  <c r="O87" i="24"/>
  <c r="O58" i="24"/>
  <c r="O110" i="24"/>
  <c r="O105" i="24"/>
  <c r="O182" i="24"/>
  <c r="O191" i="24"/>
  <c r="O129" i="24"/>
  <c r="O62" i="24"/>
  <c r="O205" i="24"/>
  <c r="O93" i="24"/>
  <c r="O131" i="24"/>
  <c r="O121" i="24"/>
  <c r="O178" i="24"/>
  <c r="O163" i="24"/>
  <c r="O32" i="24"/>
  <c r="O54" i="24"/>
  <c r="O96" i="25"/>
  <c r="O91" i="25"/>
  <c r="O176" i="25"/>
  <c r="O197" i="25"/>
  <c r="O184" i="25"/>
  <c r="J16" i="102"/>
  <c r="J24" i="102"/>
  <c r="J16" i="95"/>
  <c r="O195" i="15"/>
  <c r="J17" i="60"/>
  <c r="O132" i="89"/>
  <c r="J25" i="86"/>
  <c r="F243" i="90"/>
  <c r="O84" i="24"/>
  <c r="O55" i="25"/>
  <c r="F243" i="38"/>
  <c r="O98" i="24"/>
  <c r="J22" i="60"/>
  <c r="O48" i="24"/>
  <c r="O106" i="24"/>
  <c r="O188" i="24"/>
  <c r="O81" i="24"/>
  <c r="O113" i="24"/>
  <c r="O119" i="24"/>
  <c r="O171" i="24"/>
  <c r="O56" i="24"/>
  <c r="O41" i="24"/>
  <c r="O71" i="24"/>
  <c r="O184" i="24"/>
  <c r="J228" i="24"/>
  <c r="O55" i="24"/>
  <c r="O140" i="24"/>
  <c r="O77" i="24"/>
  <c r="O145" i="24"/>
  <c r="M18" i="24"/>
  <c r="O92" i="24"/>
  <c r="O91" i="24"/>
  <c r="O155" i="24"/>
  <c r="J232" i="24"/>
  <c r="O33" i="24"/>
  <c r="O35" i="24"/>
  <c r="O179" i="24"/>
  <c r="O64" i="24"/>
  <c r="O53" i="84"/>
  <c r="O44" i="25"/>
  <c r="O40" i="25"/>
  <c r="O172" i="25"/>
  <c r="O190" i="25"/>
  <c r="M16" i="102"/>
  <c r="J25" i="95"/>
  <c r="J17" i="95"/>
  <c r="F243" i="103"/>
  <c r="O174" i="15"/>
  <c r="J23" i="60"/>
  <c r="O142" i="89"/>
  <c r="F243" i="98"/>
  <c r="M16" i="175"/>
  <c r="O170" i="25"/>
  <c r="O202" i="25"/>
  <c r="O119" i="60"/>
  <c r="F243" i="42"/>
  <c r="O61" i="24"/>
  <c r="O185" i="24"/>
  <c r="O132" i="24"/>
  <c r="O37" i="24"/>
  <c r="O199" i="24"/>
  <c r="J18" i="95"/>
  <c r="O161" i="24"/>
  <c r="O147" i="24"/>
  <c r="J22" i="95"/>
  <c r="O123" i="89"/>
  <c r="O202" i="24"/>
  <c r="O112" i="24"/>
  <c r="J17" i="39"/>
  <c r="O65" i="24"/>
  <c r="O177" i="24"/>
  <c r="O193" i="24"/>
  <c r="O120" i="24"/>
  <c r="O43" i="24"/>
  <c r="O114" i="24"/>
  <c r="O160" i="24"/>
  <c r="J233" i="24"/>
  <c r="O72" i="24"/>
  <c r="O183" i="24"/>
  <c r="O209" i="24"/>
  <c r="O143" i="24"/>
  <c r="O59" i="24"/>
  <c r="O174" i="24"/>
  <c r="O82" i="24"/>
  <c r="O39" i="24"/>
  <c r="O210" i="24"/>
  <c r="O36" i="24"/>
  <c r="O49" i="24"/>
  <c r="O145" i="46"/>
  <c r="O166" i="15"/>
  <c r="J229" i="25"/>
  <c r="O148" i="25"/>
  <c r="O83" i="25"/>
  <c r="O113" i="25"/>
  <c r="J23" i="102"/>
  <c r="J20" i="95"/>
  <c r="J21" i="95"/>
  <c r="O145" i="15"/>
  <c r="J18" i="60"/>
  <c r="O171" i="89"/>
  <c r="O191" i="89"/>
  <c r="O116" i="25"/>
  <c r="O166" i="24"/>
  <c r="J16" i="175"/>
  <c r="O90" i="24"/>
  <c r="O211" i="24"/>
  <c r="O104" i="24"/>
  <c r="F243" i="15"/>
  <c r="O73" i="24"/>
  <c r="O158" i="24"/>
  <c r="O57" i="24"/>
  <c r="J230" i="24"/>
  <c r="O96" i="24"/>
  <c r="J229" i="24"/>
  <c r="O156" i="24"/>
  <c r="O47" i="24"/>
  <c r="O135" i="24"/>
  <c r="O170" i="24"/>
  <c r="O88" i="24"/>
  <c r="O183" i="15"/>
  <c r="F220" i="133"/>
  <c r="O84" i="15"/>
  <c r="O52" i="24"/>
  <c r="O150" i="24"/>
  <c r="O136" i="24"/>
  <c r="O181" i="24"/>
  <c r="O175" i="24"/>
  <c r="O34" i="24"/>
  <c r="O97" i="24"/>
  <c r="O162" i="24"/>
  <c r="O190" i="24"/>
  <c r="O195" i="24"/>
  <c r="O38" i="24"/>
  <c r="O137" i="24"/>
  <c r="O76" i="24"/>
  <c r="O192" i="24"/>
  <c r="O42" i="24"/>
  <c r="O173" i="24"/>
  <c r="O201" i="24"/>
  <c r="O78" i="24"/>
  <c r="O128" i="15"/>
  <c r="O199" i="25"/>
  <c r="O175" i="25"/>
  <c r="O71" i="25"/>
  <c r="O36" i="25"/>
  <c r="J18" i="102"/>
  <c r="J20" i="102"/>
  <c r="O34" i="60"/>
  <c r="J19" i="95"/>
  <c r="J24" i="95"/>
  <c r="O57" i="54"/>
  <c r="O96" i="15"/>
  <c r="O102" i="89"/>
  <c r="O138" i="84"/>
  <c r="J26" i="175"/>
  <c r="O66" i="24"/>
  <c r="O107" i="25"/>
  <c r="O206" i="24"/>
  <c r="O164" i="24"/>
  <c r="O124" i="24"/>
  <c r="O101" i="24"/>
  <c r="O26" i="24"/>
  <c r="O80" i="24"/>
  <c r="O130" i="24"/>
  <c r="O134" i="24"/>
  <c r="O148" i="24"/>
  <c r="O122" i="24"/>
  <c r="J21" i="24"/>
  <c r="I241" i="24"/>
  <c r="J226" i="24"/>
  <c r="O154" i="24"/>
  <c r="O153" i="24"/>
  <c r="O208" i="24"/>
  <c r="M16" i="95"/>
  <c r="J16" i="60"/>
  <c r="O211" i="113"/>
  <c r="O60" i="84"/>
  <c r="J22" i="24"/>
  <c r="O141" i="24"/>
  <c r="O89" i="24"/>
  <c r="O207" i="24"/>
  <c r="O60" i="24"/>
  <c r="O63" i="24"/>
  <c r="O95" i="24"/>
  <c r="O138" i="24"/>
  <c r="O186" i="24"/>
  <c r="J227" i="24"/>
  <c r="J224" i="24"/>
  <c r="O196" i="24"/>
  <c r="O152" i="24"/>
  <c r="O189" i="24"/>
  <c r="O165" i="24"/>
  <c r="O51" i="24"/>
  <c r="O194" i="24"/>
  <c r="O169" i="24"/>
  <c r="O172" i="24"/>
  <c r="O53" i="24"/>
  <c r="O46" i="24"/>
  <c r="O98" i="15"/>
  <c r="O173" i="25"/>
  <c r="J233" i="25"/>
  <c r="O79" i="25"/>
  <c r="O138" i="25"/>
  <c r="J23" i="95"/>
  <c r="O57" i="89"/>
  <c r="O129" i="60"/>
  <c r="O60" i="177"/>
  <c r="O26" i="95"/>
  <c r="O84" i="25"/>
  <c r="O142" i="24"/>
  <c r="O187" i="24"/>
  <c r="O94" i="24"/>
  <c r="J25" i="79"/>
  <c r="M16" i="79"/>
  <c r="O26" i="79"/>
  <c r="O207" i="72"/>
  <c r="O71" i="72"/>
  <c r="O174" i="72"/>
  <c r="O179" i="72"/>
  <c r="O80" i="72"/>
  <c r="O73" i="72"/>
  <c r="O182" i="72"/>
  <c r="J225" i="72"/>
  <c r="O105" i="72"/>
  <c r="O47" i="72"/>
  <c r="O88" i="72"/>
  <c r="O146" i="72"/>
  <c r="J228" i="72"/>
  <c r="J227" i="72"/>
  <c r="O102" i="72"/>
  <c r="O134" i="72"/>
  <c r="O158" i="72"/>
  <c r="O97" i="72"/>
  <c r="J226" i="72"/>
  <c r="J233" i="72"/>
  <c r="O178" i="72"/>
  <c r="O151" i="72"/>
  <c r="O49" i="120"/>
  <c r="O132" i="60"/>
  <c r="O53" i="120"/>
  <c r="O151" i="25"/>
  <c r="O206" i="120"/>
  <c r="O197" i="120"/>
  <c r="O69" i="120"/>
  <c r="O105" i="120"/>
  <c r="O175" i="120"/>
  <c r="O122" i="120"/>
  <c r="I241" i="120"/>
  <c r="I243" i="120" s="1"/>
  <c r="O143" i="120"/>
  <c r="O123" i="120"/>
  <c r="O112" i="120"/>
  <c r="O34" i="120"/>
  <c r="O147" i="120"/>
  <c r="O176" i="120"/>
  <c r="O151" i="120"/>
  <c r="O128" i="120"/>
  <c r="O172" i="120"/>
  <c r="O145" i="120"/>
  <c r="O46" i="120"/>
  <c r="O199" i="120"/>
  <c r="O102" i="120"/>
  <c r="O96" i="120"/>
  <c r="O157" i="120"/>
  <c r="O138" i="120"/>
  <c r="O45" i="120"/>
  <c r="O93" i="120"/>
  <c r="O183" i="120"/>
  <c r="O54" i="120"/>
  <c r="O61" i="120"/>
  <c r="O178" i="120"/>
  <c r="O121" i="120"/>
  <c r="O181" i="120"/>
  <c r="O160" i="120"/>
  <c r="O81" i="120"/>
  <c r="O194" i="120"/>
  <c r="O39" i="120"/>
  <c r="J18" i="119"/>
  <c r="J224" i="142"/>
  <c r="O74" i="142"/>
  <c r="J226" i="142"/>
  <c r="O138" i="142"/>
  <c r="O153" i="142"/>
  <c r="O103" i="142"/>
  <c r="O113" i="142"/>
  <c r="O104" i="142"/>
  <c r="O70" i="142"/>
  <c r="O60" i="142"/>
  <c r="O35" i="142"/>
  <c r="O152" i="142"/>
  <c r="O191" i="142"/>
  <c r="O171" i="142"/>
  <c r="O162" i="142"/>
  <c r="O177" i="60"/>
  <c r="O142" i="25"/>
  <c r="O98" i="120"/>
  <c r="J18" i="68"/>
  <c r="O73" i="120"/>
  <c r="O211" i="25"/>
  <c r="O63" i="25"/>
  <c r="O198" i="25"/>
  <c r="O74" i="25"/>
  <c r="O114" i="25"/>
  <c r="J224" i="25"/>
  <c r="O94" i="25"/>
  <c r="O210" i="25"/>
  <c r="J225" i="25"/>
  <c r="M18" i="25"/>
  <c r="O129" i="25"/>
  <c r="O147" i="25"/>
  <c r="O177" i="25"/>
  <c r="O81" i="25"/>
  <c r="O165" i="25"/>
  <c r="O208" i="25"/>
  <c r="O192" i="25"/>
  <c r="O193" i="25"/>
  <c r="O33" i="25"/>
  <c r="J232" i="25"/>
  <c r="O31" i="25"/>
  <c r="O80" i="25"/>
  <c r="O128" i="25"/>
  <c r="O169" i="25"/>
  <c r="O61" i="25"/>
  <c r="O136" i="25"/>
  <c r="O123" i="25"/>
  <c r="O132" i="25"/>
  <c r="O92" i="25"/>
  <c r="O207" i="25"/>
  <c r="O135" i="25"/>
  <c r="O115" i="25"/>
  <c r="O62" i="25"/>
  <c r="O90" i="25"/>
  <c r="O152" i="25"/>
  <c r="O52" i="25"/>
  <c r="O171" i="25"/>
  <c r="O157" i="16"/>
  <c r="O130" i="16"/>
  <c r="O120" i="16"/>
  <c r="J17" i="85"/>
  <c r="O190" i="120"/>
  <c r="O164" i="25"/>
  <c r="J26" i="20"/>
  <c r="O182" i="60"/>
  <c r="O35" i="60"/>
  <c r="O81" i="60"/>
  <c r="O192" i="60"/>
  <c r="F243" i="1"/>
  <c r="O124" i="25"/>
  <c r="O57" i="25"/>
  <c r="O60" i="25"/>
  <c r="I213" i="113"/>
  <c r="O211" i="165"/>
  <c r="M20" i="103"/>
  <c r="I242" i="103"/>
  <c r="O166" i="25"/>
  <c r="O166" i="60"/>
  <c r="O89" i="120"/>
  <c r="O91" i="120"/>
  <c r="O156" i="120"/>
  <c r="O52" i="120"/>
  <c r="O41" i="120"/>
  <c r="O75" i="120"/>
  <c r="O103" i="120"/>
  <c r="O187" i="120"/>
  <c r="O31" i="120"/>
  <c r="O42" i="120"/>
  <c r="O50" i="120"/>
  <c r="O43" i="120"/>
  <c r="O74" i="120"/>
  <c r="O48" i="120"/>
  <c r="O51" i="120"/>
  <c r="O119" i="120"/>
  <c r="O131" i="120"/>
  <c r="O142" i="120"/>
  <c r="O208" i="120"/>
  <c r="O113" i="120"/>
  <c r="O171" i="120"/>
  <c r="O153" i="120"/>
  <c r="O80" i="120"/>
  <c r="O192" i="120"/>
  <c r="J228" i="120"/>
  <c r="O134" i="120"/>
  <c r="O174" i="120"/>
  <c r="J226" i="120"/>
  <c r="O148" i="120"/>
  <c r="J224" i="120"/>
  <c r="O35" i="120"/>
  <c r="O40" i="120"/>
  <c r="O30" i="120"/>
  <c r="O120" i="120"/>
  <c r="O158" i="120"/>
  <c r="O132" i="120"/>
  <c r="O60" i="120"/>
  <c r="J230" i="120"/>
  <c r="J19" i="119"/>
  <c r="O77" i="142"/>
  <c r="O57" i="142"/>
  <c r="O211" i="142"/>
  <c r="O193" i="142"/>
  <c r="O65" i="142"/>
  <c r="O72" i="142"/>
  <c r="O129" i="142"/>
  <c r="O169" i="142"/>
  <c r="O50" i="142"/>
  <c r="O196" i="142"/>
  <c r="O91" i="142"/>
  <c r="O146" i="142"/>
  <c r="O209" i="142"/>
  <c r="O88" i="142"/>
  <c r="O66" i="25"/>
  <c r="O63" i="120"/>
  <c r="O160" i="175"/>
  <c r="O130" i="25"/>
  <c r="O183" i="25"/>
  <c r="O200" i="25"/>
  <c r="O179" i="25"/>
  <c r="O162" i="25"/>
  <c r="O134" i="25"/>
  <c r="O146" i="25"/>
  <c r="I241" i="25"/>
  <c r="O140" i="25"/>
  <c r="O77" i="25"/>
  <c r="O43" i="25"/>
  <c r="O187" i="25"/>
  <c r="J226" i="25"/>
  <c r="O137" i="25"/>
  <c r="O153" i="25"/>
  <c r="J228" i="25"/>
  <c r="O178" i="25"/>
  <c r="O82" i="25"/>
  <c r="O154" i="25"/>
  <c r="O34" i="25"/>
  <c r="O70" i="25"/>
  <c r="O88" i="25"/>
  <c r="O160" i="25"/>
  <c r="O95" i="25"/>
  <c r="O121" i="25"/>
  <c r="O174" i="25"/>
  <c r="O65" i="25"/>
  <c r="O53" i="25"/>
  <c r="O119" i="25"/>
  <c r="O141" i="25"/>
  <c r="O143" i="25"/>
  <c r="O185" i="25"/>
  <c r="O112" i="25"/>
  <c r="O155" i="25"/>
  <c r="J230" i="25"/>
  <c r="O194" i="25"/>
  <c r="O95" i="120"/>
  <c r="O50" i="25"/>
  <c r="O195" i="25"/>
  <c r="O75" i="16"/>
  <c r="O173" i="16"/>
  <c r="O194" i="16"/>
  <c r="J232" i="16"/>
  <c r="J17" i="104"/>
  <c r="O104" i="120"/>
  <c r="J19" i="85"/>
  <c r="O110" i="120"/>
  <c r="O58" i="25"/>
  <c r="O197" i="60"/>
  <c r="O121" i="60"/>
  <c r="O113" i="60"/>
  <c r="O96" i="60"/>
  <c r="O123" i="60"/>
  <c r="O180" i="104"/>
  <c r="O135" i="60"/>
  <c r="O88" i="60"/>
  <c r="O166" i="120"/>
  <c r="O75" i="25"/>
  <c r="O39" i="25"/>
  <c r="O26" i="25"/>
  <c r="O84" i="120"/>
  <c r="O59" i="25"/>
  <c r="O116" i="120"/>
  <c r="O196" i="60"/>
  <c r="O97" i="120"/>
  <c r="O47" i="120"/>
  <c r="O94" i="120"/>
  <c r="O56" i="120"/>
  <c r="O59" i="120"/>
  <c r="O146" i="120"/>
  <c r="O179" i="120"/>
  <c r="O141" i="120"/>
  <c r="O163" i="120"/>
  <c r="O38" i="120"/>
  <c r="O198" i="120"/>
  <c r="O150" i="120"/>
  <c r="J227" i="120"/>
  <c r="O152" i="120"/>
  <c r="J225" i="120"/>
  <c r="O115" i="120"/>
  <c r="O92" i="120"/>
  <c r="O114" i="120"/>
  <c r="O71" i="120"/>
  <c r="O180" i="120"/>
  <c r="O79" i="120"/>
  <c r="O62" i="120"/>
  <c r="O72" i="120"/>
  <c r="O189" i="120"/>
  <c r="O111" i="120"/>
  <c r="O209" i="120"/>
  <c r="O76" i="120"/>
  <c r="J229" i="120"/>
  <c r="O136" i="120"/>
  <c r="O177" i="120"/>
  <c r="O58" i="120"/>
  <c r="O36" i="120"/>
  <c r="O90" i="120"/>
  <c r="O170" i="120"/>
  <c r="M18" i="120"/>
  <c r="O173" i="120"/>
  <c r="O77" i="120"/>
  <c r="O30" i="60"/>
  <c r="O95" i="142"/>
  <c r="O102" i="142"/>
  <c r="O110" i="142"/>
  <c r="O180" i="142"/>
  <c r="O147" i="142"/>
  <c r="O174" i="142"/>
  <c r="O71" i="142"/>
  <c r="O189" i="142"/>
  <c r="O190" i="142"/>
  <c r="O201" i="142"/>
  <c r="O197" i="142"/>
  <c r="O160" i="142"/>
  <c r="O195" i="142"/>
  <c r="O158" i="142"/>
  <c r="O165" i="120"/>
  <c r="O154" i="120"/>
  <c r="J26" i="68"/>
  <c r="O46" i="25"/>
  <c r="O42" i="25"/>
  <c r="O191" i="25"/>
  <c r="O104" i="25"/>
  <c r="O97" i="25"/>
  <c r="O161" i="25"/>
  <c r="O38" i="25"/>
  <c r="O189" i="25"/>
  <c r="O56" i="25"/>
  <c r="O181" i="25"/>
  <c r="O131" i="25"/>
  <c r="O101" i="25"/>
  <c r="O110" i="25"/>
  <c r="O145" i="25"/>
  <c r="O30" i="25"/>
  <c r="O37" i="25"/>
  <c r="O93" i="25"/>
  <c r="O102" i="25"/>
  <c r="O47" i="25"/>
  <c r="O35" i="25"/>
  <c r="O78" i="25"/>
  <c r="O157" i="25"/>
  <c r="O32" i="25"/>
  <c r="O186" i="25"/>
  <c r="O180" i="25"/>
  <c r="O205" i="25"/>
  <c r="O201" i="25"/>
  <c r="O206" i="25"/>
  <c r="J227" i="25"/>
  <c r="O49" i="25"/>
  <c r="O87" i="25"/>
  <c r="O163" i="25"/>
  <c r="O45" i="25"/>
  <c r="O111" i="25"/>
  <c r="O196" i="25"/>
  <c r="O196" i="120"/>
  <c r="O122" i="16"/>
  <c r="O206" i="16"/>
  <c r="O153" i="16"/>
  <c r="O83" i="16"/>
  <c r="J24" i="85"/>
  <c r="O164" i="120"/>
  <c r="O42" i="60"/>
  <c r="O157" i="60"/>
  <c r="O56" i="60"/>
  <c r="O77" i="60"/>
  <c r="O190" i="60"/>
  <c r="O176" i="104"/>
  <c r="O124" i="120"/>
  <c r="O138" i="60"/>
  <c r="O107" i="120"/>
  <c r="O66" i="120"/>
  <c r="O116" i="142"/>
  <c r="O54" i="25"/>
  <c r="O164" i="60"/>
  <c r="O76" i="25"/>
  <c r="O62" i="152"/>
  <c r="O211" i="120"/>
  <c r="O107" i="60"/>
  <c r="O98" i="25"/>
  <c r="O116" i="158"/>
  <c r="O209" i="145"/>
  <c r="O186" i="145"/>
  <c r="O55" i="145"/>
  <c r="O151" i="145"/>
  <c r="O147" i="145"/>
  <c r="O55" i="177"/>
  <c r="O172" i="177"/>
  <c r="O207" i="177"/>
  <c r="O198" i="177"/>
  <c r="F220" i="27"/>
  <c r="O145" i="27"/>
  <c r="O129" i="133"/>
  <c r="O98" i="133"/>
  <c r="O171" i="98"/>
  <c r="O112" i="98"/>
  <c r="O151" i="98"/>
  <c r="O51" i="98"/>
  <c r="O131" i="98"/>
  <c r="O73" i="98"/>
  <c r="O207" i="98"/>
  <c r="O80" i="98"/>
  <c r="O196" i="98"/>
  <c r="O194" i="98"/>
  <c r="O156" i="133"/>
  <c r="O164" i="133"/>
  <c r="J233" i="133"/>
  <c r="O184" i="133"/>
  <c r="O137" i="133"/>
  <c r="O62" i="133"/>
  <c r="O71" i="133"/>
  <c r="O79" i="133"/>
  <c r="O185" i="133"/>
  <c r="O48" i="133"/>
  <c r="O76" i="98"/>
  <c r="J232" i="86"/>
  <c r="O72" i="86"/>
  <c r="M18" i="86"/>
  <c r="J226" i="86"/>
  <c r="O148" i="98"/>
  <c r="J19" i="87"/>
  <c r="J21" i="87"/>
  <c r="O173" i="98"/>
  <c r="O113" i="28"/>
  <c r="O122" i="28"/>
  <c r="J230" i="28"/>
  <c r="O74" i="28"/>
  <c r="O58" i="28"/>
  <c r="O135" i="28"/>
  <c r="O184" i="28"/>
  <c r="O101" i="28"/>
  <c r="O69" i="28"/>
  <c r="O46" i="28"/>
  <c r="O112" i="28"/>
  <c r="O42" i="28"/>
  <c r="O82" i="28"/>
  <c r="O198" i="28"/>
  <c r="J225" i="28"/>
  <c r="O30" i="28"/>
  <c r="O76" i="28"/>
  <c r="O57" i="133"/>
  <c r="O79" i="103"/>
  <c r="O74" i="50"/>
  <c r="O90" i="106"/>
  <c r="J19" i="152"/>
  <c r="O166" i="133"/>
  <c r="J229" i="98"/>
  <c r="O113" i="98"/>
  <c r="O138" i="98"/>
  <c r="O105" i="98"/>
  <c r="O209" i="98"/>
  <c r="O146" i="98"/>
  <c r="O185" i="98"/>
  <c r="O189" i="98"/>
  <c r="O197" i="98"/>
  <c r="O119" i="98"/>
  <c r="O64" i="98"/>
  <c r="J225" i="98"/>
  <c r="O50" i="98"/>
  <c r="O135" i="98"/>
  <c r="O188" i="98"/>
  <c r="O92" i="98"/>
  <c r="O116" i="98"/>
  <c r="O90" i="103"/>
  <c r="O35" i="103"/>
  <c r="O172" i="103"/>
  <c r="O136" i="103"/>
  <c r="O72" i="103"/>
  <c r="O106" i="103"/>
  <c r="O44" i="103"/>
  <c r="O71" i="103"/>
  <c r="O185" i="103"/>
  <c r="O153" i="103"/>
  <c r="O96" i="103"/>
  <c r="O37" i="103"/>
  <c r="O78" i="103"/>
  <c r="O80" i="103"/>
  <c r="O43" i="103"/>
  <c r="O97" i="103"/>
  <c r="O197" i="103"/>
  <c r="O33" i="103"/>
  <c r="O26" i="157"/>
  <c r="O97" i="106"/>
  <c r="M16" i="68"/>
  <c r="O70" i="72"/>
  <c r="O61" i="72"/>
  <c r="O137" i="72"/>
  <c r="O145" i="72"/>
  <c r="O199" i="72"/>
  <c r="O208" i="72"/>
  <c r="O194" i="72"/>
  <c r="O154" i="72"/>
  <c r="O52" i="28"/>
  <c r="O69" i="50"/>
  <c r="O183" i="50"/>
  <c r="O196" i="50"/>
  <c r="O191" i="50"/>
  <c r="O197" i="50"/>
  <c r="O179" i="50"/>
  <c r="O138" i="50"/>
  <c r="O45" i="50"/>
  <c r="O141" i="50"/>
  <c r="O199" i="50"/>
  <c r="O201" i="50"/>
  <c r="O130" i="50"/>
  <c r="O122" i="50"/>
  <c r="O169" i="50"/>
  <c r="O83" i="50"/>
  <c r="O87" i="50"/>
  <c r="J233" i="50"/>
  <c r="O104" i="50"/>
  <c r="O155" i="50"/>
  <c r="O137" i="50"/>
  <c r="O95" i="133"/>
  <c r="O63" i="133"/>
  <c r="O187" i="133"/>
  <c r="O123" i="133"/>
  <c r="O145" i="133"/>
  <c r="O190" i="133"/>
  <c r="O143" i="133"/>
  <c r="O154" i="133"/>
  <c r="O200" i="133"/>
  <c r="O50" i="133"/>
  <c r="O30" i="133"/>
  <c r="O191" i="133"/>
  <c r="O176" i="133"/>
  <c r="O157" i="133"/>
  <c r="O150" i="133"/>
  <c r="O182" i="133"/>
  <c r="J20" i="142"/>
  <c r="O32" i="133"/>
  <c r="O137" i="106"/>
  <c r="O102" i="106"/>
  <c r="O152" i="106"/>
  <c r="O182" i="106"/>
  <c r="O151" i="106"/>
  <c r="O201" i="106"/>
  <c r="O185" i="106"/>
  <c r="O44" i="106"/>
  <c r="O75" i="106"/>
  <c r="O195" i="106"/>
  <c r="O49" i="106"/>
  <c r="O78" i="106"/>
  <c r="O77" i="106"/>
  <c r="O114" i="106"/>
  <c r="O194" i="106"/>
  <c r="O136" i="106"/>
  <c r="O76" i="106"/>
  <c r="O172" i="106"/>
  <c r="O191" i="28"/>
  <c r="O91" i="86"/>
  <c r="O132" i="86"/>
  <c r="O142" i="86"/>
  <c r="O192" i="86"/>
  <c r="O146" i="86"/>
  <c r="J26" i="104"/>
  <c r="O136" i="98"/>
  <c r="O138" i="103"/>
  <c r="O147" i="158"/>
  <c r="O84" i="106"/>
  <c r="J20" i="60"/>
  <c r="O132" i="106"/>
  <c r="J24" i="87"/>
  <c r="M16" i="87"/>
  <c r="O110" i="133"/>
  <c r="O39" i="133"/>
  <c r="O202" i="28"/>
  <c r="O198" i="106"/>
  <c r="O195" i="42"/>
  <c r="O205" i="42"/>
  <c r="O113" i="42"/>
  <c r="O39" i="42"/>
  <c r="O51" i="42"/>
  <c r="O157" i="42"/>
  <c r="O162" i="42"/>
  <c r="O147" i="42"/>
  <c r="O194" i="42"/>
  <c r="O120" i="42"/>
  <c r="O72" i="42"/>
  <c r="O169" i="42"/>
  <c r="O137" i="42"/>
  <c r="O56" i="42"/>
  <c r="O37" i="42"/>
  <c r="O103" i="42"/>
  <c r="O31" i="42"/>
  <c r="O174" i="42"/>
  <c r="O64" i="158"/>
  <c r="O157" i="158"/>
  <c r="O192" i="158"/>
  <c r="O91" i="158"/>
  <c r="O161" i="158"/>
  <c r="I241" i="158"/>
  <c r="O123" i="158"/>
  <c r="O88" i="158"/>
  <c r="O148" i="158"/>
  <c r="O90" i="158"/>
  <c r="O75" i="158"/>
  <c r="O92" i="158"/>
  <c r="O114" i="158"/>
  <c r="O52" i="158"/>
  <c r="O142" i="158"/>
  <c r="O186" i="158"/>
  <c r="O94" i="158"/>
  <c r="O122" i="158"/>
  <c r="O123" i="28"/>
  <c r="M16" i="158"/>
  <c r="J23" i="158"/>
  <c r="O116" i="28"/>
  <c r="O208" i="71"/>
  <c r="O183" i="28"/>
  <c r="O179" i="28"/>
  <c r="O91" i="28"/>
  <c r="O173" i="28"/>
  <c r="O185" i="28"/>
  <c r="O196" i="28"/>
  <c r="O95" i="28"/>
  <c r="O70" i="28"/>
  <c r="O194" i="28"/>
  <c r="O160" i="28"/>
  <c r="J224" i="28"/>
  <c r="O36" i="28"/>
  <c r="O201" i="28"/>
  <c r="O54" i="28"/>
  <c r="O150" i="28"/>
  <c r="O154" i="31"/>
  <c r="O120" i="28"/>
  <c r="O26" i="103"/>
  <c r="J23" i="175"/>
  <c r="O129" i="92"/>
  <c r="O194" i="31"/>
  <c r="J226" i="31"/>
  <c r="O62" i="31"/>
  <c r="O187" i="31"/>
  <c r="O116" i="106"/>
  <c r="O98" i="50"/>
  <c r="O48" i="28"/>
  <c r="O65" i="133"/>
  <c r="O93" i="28"/>
  <c r="O187" i="86"/>
  <c r="O98" i="28"/>
  <c r="O75" i="42"/>
  <c r="O171" i="42"/>
  <c r="O119" i="42"/>
  <c r="M20" i="71"/>
  <c r="I242" i="71"/>
  <c r="O49" i="98"/>
  <c r="O106" i="98"/>
  <c r="O208" i="98"/>
  <c r="O186" i="98"/>
  <c r="O95" i="98"/>
  <c r="O57" i="98"/>
  <c r="O147" i="98"/>
  <c r="O92" i="133"/>
  <c r="O163" i="133"/>
  <c r="O130" i="133"/>
  <c r="O34" i="133"/>
  <c r="O174" i="133"/>
  <c r="O61" i="133"/>
  <c r="O56" i="86"/>
  <c r="O38" i="133"/>
  <c r="O69" i="133"/>
  <c r="O131" i="133"/>
  <c r="O114" i="92"/>
  <c r="O123" i="98"/>
  <c r="O163" i="50"/>
  <c r="O138" i="133"/>
  <c r="O50" i="106"/>
  <c r="J25" i="152"/>
  <c r="O132" i="133"/>
  <c r="O178" i="28"/>
  <c r="O62" i="98"/>
  <c r="O169" i="98"/>
  <c r="O178" i="98"/>
  <c r="O81" i="98"/>
  <c r="O44" i="98"/>
  <c r="J227" i="98"/>
  <c r="O53" i="98"/>
  <c r="O48" i="98"/>
  <c r="O195" i="98"/>
  <c r="O154" i="98"/>
  <c r="O70" i="98"/>
  <c r="O75" i="98"/>
  <c r="O61" i="98"/>
  <c r="O187" i="98"/>
  <c r="O201" i="98"/>
  <c r="J228" i="98"/>
  <c r="O111" i="98"/>
  <c r="O170" i="42"/>
  <c r="O102" i="42"/>
  <c r="O173" i="103"/>
  <c r="O39" i="103"/>
  <c r="O129" i="103"/>
  <c r="O145" i="103"/>
  <c r="O59" i="103"/>
  <c r="O53" i="103"/>
  <c r="O141" i="103"/>
  <c r="O61" i="103"/>
  <c r="J225" i="103"/>
  <c r="J228" i="103"/>
  <c r="O180" i="103"/>
  <c r="O69" i="103"/>
  <c r="O83" i="103"/>
  <c r="O154" i="103"/>
  <c r="O64" i="103"/>
  <c r="O41" i="103"/>
  <c r="O199" i="103"/>
  <c r="O76" i="103"/>
  <c r="J19" i="157"/>
  <c r="J19" i="68"/>
  <c r="J21" i="68"/>
  <c r="O44" i="72"/>
  <c r="O69" i="72"/>
  <c r="O111" i="72"/>
  <c r="O106" i="72"/>
  <c r="O93" i="72"/>
  <c r="O157" i="72"/>
  <c r="O165" i="72"/>
  <c r="O211" i="133"/>
  <c r="O35" i="50"/>
  <c r="O54" i="50"/>
  <c r="O97" i="50"/>
  <c r="O111" i="50"/>
  <c r="O52" i="50"/>
  <c r="O128" i="50"/>
  <c r="O70" i="50"/>
  <c r="O113" i="50"/>
  <c r="O172" i="50"/>
  <c r="O140" i="50"/>
  <c r="J229" i="50"/>
  <c r="O177" i="50"/>
  <c r="J230" i="50"/>
  <c r="O93" i="50"/>
  <c r="O62" i="50"/>
  <c r="O209" i="50"/>
  <c r="O200" i="50"/>
  <c r="O162" i="50"/>
  <c r="O30" i="50"/>
  <c r="O80" i="50"/>
  <c r="O181" i="133"/>
  <c r="O195" i="133"/>
  <c r="J224" i="133"/>
  <c r="O41" i="133"/>
  <c r="O148" i="133"/>
  <c r="O93" i="133"/>
  <c r="O147" i="133"/>
  <c r="O153" i="133"/>
  <c r="O175" i="133"/>
  <c r="O128" i="133"/>
  <c r="O104" i="133"/>
  <c r="O207" i="133"/>
  <c r="O170" i="133"/>
  <c r="O172" i="133"/>
  <c r="O208" i="133"/>
  <c r="O31" i="133"/>
  <c r="J21" i="142"/>
  <c r="O35" i="133"/>
  <c r="O196" i="106"/>
  <c r="O94" i="106"/>
  <c r="O210" i="106"/>
  <c r="O184" i="106"/>
  <c r="O45" i="106"/>
  <c r="O129" i="106"/>
  <c r="O189" i="106"/>
  <c r="O33" i="106"/>
  <c r="O141" i="106"/>
  <c r="O157" i="106"/>
  <c r="J233" i="106"/>
  <c r="O79" i="106"/>
  <c r="O48" i="106"/>
  <c r="O135" i="106"/>
  <c r="O175" i="106"/>
  <c r="O95" i="106"/>
  <c r="O121" i="106"/>
  <c r="O73" i="106"/>
  <c r="O191" i="86"/>
  <c r="O63" i="86"/>
  <c r="O184" i="86"/>
  <c r="O69" i="86"/>
  <c r="O120" i="86"/>
  <c r="O145" i="98"/>
  <c r="O174" i="158"/>
  <c r="O94" i="133"/>
  <c r="O107" i="50"/>
  <c r="J25" i="60"/>
  <c r="O142" i="103"/>
  <c r="J17" i="87"/>
  <c r="O36" i="106"/>
  <c r="O116" i="133"/>
  <c r="O172" i="28"/>
  <c r="O176" i="42"/>
  <c r="O180" i="42"/>
  <c r="O138" i="42"/>
  <c r="O114" i="42"/>
  <c r="O34" i="42"/>
  <c r="O94" i="42"/>
  <c r="O52" i="42"/>
  <c r="O97" i="42"/>
  <c r="O69" i="42"/>
  <c r="O177" i="42"/>
  <c r="O47" i="42"/>
  <c r="O73" i="42"/>
  <c r="O160" i="42"/>
  <c r="O210" i="42"/>
  <c r="O134" i="42"/>
  <c r="O40" i="42"/>
  <c r="O164" i="42"/>
  <c r="O64" i="106"/>
  <c r="O61" i="158"/>
  <c r="O128" i="158"/>
  <c r="O210" i="158"/>
  <c r="O153" i="158"/>
  <c r="O121" i="158"/>
  <c r="O187" i="158"/>
  <c r="O104" i="158"/>
  <c r="O176" i="158"/>
  <c r="O201" i="158"/>
  <c r="O56" i="158"/>
  <c r="O155" i="158"/>
  <c r="O63" i="158"/>
  <c r="O120" i="158"/>
  <c r="O40" i="158"/>
  <c r="O169" i="158"/>
  <c r="O205" i="158"/>
  <c r="O74" i="158"/>
  <c r="O65" i="158"/>
  <c r="O143" i="86"/>
  <c r="O193" i="28"/>
  <c r="O26" i="106"/>
  <c r="O40" i="28"/>
  <c r="J20" i="158"/>
  <c r="J25" i="158"/>
  <c r="O44" i="28"/>
  <c r="O136" i="28"/>
  <c r="O71" i="28"/>
  <c r="J232" i="28"/>
  <c r="O129" i="28"/>
  <c r="O49" i="28"/>
  <c r="O205" i="28"/>
  <c r="J226" i="28"/>
  <c r="O31" i="28"/>
  <c r="O51" i="28"/>
  <c r="O75" i="28"/>
  <c r="O169" i="28"/>
  <c r="O50" i="28"/>
  <c r="O206" i="28"/>
  <c r="O145" i="28"/>
  <c r="O92" i="28"/>
  <c r="O103" i="28"/>
  <c r="O96" i="28"/>
  <c r="O160" i="158"/>
  <c r="O31" i="106"/>
  <c r="O124" i="28"/>
  <c r="O151" i="28"/>
  <c r="O202" i="133"/>
  <c r="O107" i="106"/>
  <c r="O124" i="102"/>
  <c r="J22" i="175"/>
  <c r="O30" i="106"/>
  <c r="O130" i="92"/>
  <c r="M18" i="31"/>
  <c r="O112" i="31"/>
  <c r="O164" i="31"/>
  <c r="O175" i="28"/>
  <c r="O34" i="28"/>
  <c r="O140" i="28"/>
  <c r="F220" i="1"/>
  <c r="O41" i="28"/>
  <c r="O98" i="42"/>
  <c r="O107" i="86"/>
  <c r="O211" i="98"/>
  <c r="O166" i="42"/>
  <c r="O112" i="42"/>
  <c r="O62" i="42"/>
  <c r="O116" i="42"/>
  <c r="O48" i="50"/>
  <c r="O129" i="50"/>
  <c r="O185" i="50"/>
  <c r="O57" i="50"/>
  <c r="O75" i="50"/>
  <c r="O92" i="50"/>
  <c r="O77" i="50"/>
  <c r="O208" i="50"/>
  <c r="O210" i="50"/>
  <c r="O31" i="50"/>
  <c r="O33" i="50"/>
  <c r="O96" i="133"/>
  <c r="O165" i="133"/>
  <c r="J226" i="133"/>
  <c r="O59" i="133"/>
  <c r="J227" i="133"/>
  <c r="O160" i="133"/>
  <c r="O161" i="133"/>
  <c r="J230" i="133"/>
  <c r="O36" i="133"/>
  <c r="O82" i="133"/>
  <c r="O140" i="133"/>
  <c r="O78" i="133"/>
  <c r="O120" i="133"/>
  <c r="O135" i="133"/>
  <c r="O180" i="133"/>
  <c r="O58" i="133"/>
  <c r="J16" i="142"/>
  <c r="J25" i="142"/>
  <c r="O182" i="28"/>
  <c r="O124" i="98"/>
  <c r="O165" i="158"/>
  <c r="O208" i="106"/>
  <c r="I241" i="106"/>
  <c r="I243" i="106" s="1"/>
  <c r="O156" i="106"/>
  <c r="O161" i="106"/>
  <c r="O38" i="106"/>
  <c r="O89" i="106"/>
  <c r="O154" i="106"/>
  <c r="O40" i="106"/>
  <c r="O46" i="106"/>
  <c r="O170" i="106"/>
  <c r="O181" i="106"/>
  <c r="O178" i="106"/>
  <c r="J225" i="106"/>
  <c r="O200" i="106"/>
  <c r="O32" i="106"/>
  <c r="O199" i="106"/>
  <c r="O188" i="106"/>
  <c r="O57" i="106"/>
  <c r="O195" i="86"/>
  <c r="O106" i="86"/>
  <c r="O45" i="86"/>
  <c r="O58" i="86"/>
  <c r="O54" i="86"/>
  <c r="J20" i="104"/>
  <c r="O32" i="42"/>
  <c r="J21" i="60"/>
  <c r="J23" i="72"/>
  <c r="J22" i="87"/>
  <c r="O124" i="133"/>
  <c r="O78" i="98"/>
  <c r="J20" i="86"/>
  <c r="O196" i="42"/>
  <c r="J225" i="42"/>
  <c r="O131" i="42"/>
  <c r="O201" i="42"/>
  <c r="O58" i="42"/>
  <c r="O82" i="42"/>
  <c r="O178" i="42"/>
  <c r="O175" i="42"/>
  <c r="O129" i="42"/>
  <c r="O96" i="42"/>
  <c r="O146" i="42"/>
  <c r="O207" i="42"/>
  <c r="O135" i="42"/>
  <c r="O46" i="42"/>
  <c r="O91" i="42"/>
  <c r="O165" i="42"/>
  <c r="I241" i="42"/>
  <c r="O98" i="98"/>
  <c r="O156" i="98"/>
  <c r="O130" i="158"/>
  <c r="O132" i="158"/>
  <c r="O113" i="158"/>
  <c r="O185" i="158"/>
  <c r="O106" i="158"/>
  <c r="O48" i="158"/>
  <c r="O200" i="158"/>
  <c r="J226" i="158"/>
  <c r="J229" i="158"/>
  <c r="O191" i="158"/>
  <c r="O87" i="158"/>
  <c r="O43" i="158"/>
  <c r="O77" i="158"/>
  <c r="O78" i="158"/>
  <c r="O162" i="158"/>
  <c r="O170" i="158"/>
  <c r="J227" i="158"/>
  <c r="O80" i="28"/>
  <c r="O146" i="28"/>
  <c r="J21" i="158"/>
  <c r="O158" i="28"/>
  <c r="O148" i="28"/>
  <c r="O38" i="28"/>
  <c r="O111" i="28"/>
  <c r="O180" i="28"/>
  <c r="O60" i="28"/>
  <c r="O209" i="28"/>
  <c r="O192" i="28"/>
  <c r="O59" i="28"/>
  <c r="O104" i="28"/>
  <c r="O32" i="28"/>
  <c r="O177" i="28"/>
  <c r="O39" i="28"/>
  <c r="J233" i="28"/>
  <c r="O156" i="28"/>
  <c r="O186" i="28"/>
  <c r="O146" i="133"/>
  <c r="O72" i="158"/>
  <c r="O152" i="50"/>
  <c r="J20" i="175"/>
  <c r="J21" i="175"/>
  <c r="O177" i="92"/>
  <c r="O174" i="31"/>
  <c r="O155" i="31"/>
  <c r="J232" i="31"/>
  <c r="O211" i="72"/>
  <c r="O211" i="103"/>
  <c r="O124" i="106"/>
  <c r="O72" i="28"/>
  <c r="O211" i="42"/>
  <c r="O60" i="152"/>
  <c r="O84" i="50"/>
  <c r="O32" i="103"/>
  <c r="O97" i="28"/>
  <c r="O202" i="106"/>
  <c r="J26" i="157"/>
  <c r="O160" i="98"/>
  <c r="O202" i="98"/>
  <c r="O192" i="133"/>
  <c r="J228" i="133"/>
  <c r="O81" i="133"/>
  <c r="O189" i="133"/>
  <c r="O196" i="133"/>
  <c r="O56" i="133"/>
  <c r="O89" i="133"/>
  <c r="M18" i="133"/>
  <c r="O140" i="98"/>
  <c r="O75" i="86"/>
  <c r="O145" i="86"/>
  <c r="O194" i="86"/>
  <c r="O121" i="133"/>
  <c r="O65" i="98"/>
  <c r="O143" i="98"/>
  <c r="O84" i="98"/>
  <c r="O131" i="28"/>
  <c r="O130" i="28"/>
  <c r="O187" i="28"/>
  <c r="O78" i="28"/>
  <c r="O152" i="28"/>
  <c r="O200" i="28"/>
  <c r="O88" i="28"/>
  <c r="O138" i="28"/>
  <c r="O90" i="28"/>
  <c r="O197" i="28"/>
  <c r="O210" i="28"/>
  <c r="O161" i="28"/>
  <c r="O153" i="28"/>
  <c r="F243" i="175"/>
  <c r="O163" i="28"/>
  <c r="O165" i="98"/>
  <c r="J226" i="98"/>
  <c r="O41" i="98"/>
  <c r="O35" i="98"/>
  <c r="O191" i="98"/>
  <c r="O63" i="98"/>
  <c r="O177" i="98"/>
  <c r="O93" i="98"/>
  <c r="J230" i="98"/>
  <c r="O200" i="98"/>
  <c r="O97" i="98"/>
  <c r="O87" i="98"/>
  <c r="O152" i="103"/>
  <c r="O107" i="98"/>
  <c r="O59" i="98"/>
  <c r="O113" i="103"/>
  <c r="O121" i="103"/>
  <c r="O122" i="103"/>
  <c r="O134" i="103"/>
  <c r="O62" i="103"/>
  <c r="O196" i="103"/>
  <c r="O74" i="103"/>
  <c r="O63" i="103"/>
  <c r="O205" i="103"/>
  <c r="O105" i="103"/>
  <c r="O154" i="28"/>
  <c r="J25" i="68"/>
  <c r="J22" i="68"/>
  <c r="O56" i="72"/>
  <c r="O195" i="72"/>
  <c r="O54" i="72"/>
  <c r="O53" i="72"/>
  <c r="O91" i="133"/>
  <c r="O124" i="50"/>
  <c r="O150" i="50"/>
  <c r="O114" i="50"/>
  <c r="O42" i="50"/>
  <c r="O64" i="50"/>
  <c r="O207" i="50"/>
  <c r="O40" i="50"/>
  <c r="O34" i="72"/>
  <c r="J20" i="145"/>
  <c r="O40" i="98"/>
  <c r="O38" i="98"/>
  <c r="O175" i="98"/>
  <c r="O198" i="98"/>
  <c r="O179" i="98"/>
  <c r="O47" i="98"/>
  <c r="O34" i="98"/>
  <c r="O172" i="98"/>
  <c r="O193" i="98"/>
  <c r="J233" i="98"/>
  <c r="O206" i="98"/>
  <c r="O137" i="98"/>
  <c r="O192" i="98"/>
  <c r="O71" i="98"/>
  <c r="I241" i="98"/>
  <c r="O155" i="98"/>
  <c r="O205" i="98"/>
  <c r="O96" i="98"/>
  <c r="O146" i="103"/>
  <c r="O102" i="98"/>
  <c r="O91" i="103"/>
  <c r="O31" i="103"/>
  <c r="O58" i="103"/>
  <c r="O162" i="103"/>
  <c r="O48" i="103"/>
  <c r="J224" i="103"/>
  <c r="O198" i="103"/>
  <c r="O94" i="103"/>
  <c r="I241" i="103"/>
  <c r="O102" i="103"/>
  <c r="O110" i="103"/>
  <c r="O150" i="103"/>
  <c r="O158" i="103"/>
  <c r="O88" i="103"/>
  <c r="O169" i="103"/>
  <c r="O73" i="103"/>
  <c r="O165" i="103"/>
  <c r="O115" i="103"/>
  <c r="O166" i="28"/>
  <c r="J20" i="68"/>
  <c r="J23" i="68"/>
  <c r="O45" i="72"/>
  <c r="O40" i="72"/>
  <c r="O104" i="72"/>
  <c r="O120" i="72"/>
  <c r="O173" i="72"/>
  <c r="O46" i="72"/>
  <c r="O37" i="72"/>
  <c r="O163" i="98"/>
  <c r="O136" i="42"/>
  <c r="O123" i="50"/>
  <c r="O90" i="50"/>
  <c r="O36" i="50"/>
  <c r="I241" i="50"/>
  <c r="O174" i="50"/>
  <c r="O187" i="50"/>
  <c r="O192" i="50"/>
  <c r="O121" i="50"/>
  <c r="O132" i="50"/>
  <c r="O37" i="50"/>
  <c r="O143" i="50"/>
  <c r="O34" i="50"/>
  <c r="J232" i="50"/>
  <c r="O76" i="50"/>
  <c r="O205" i="50"/>
  <c r="O198" i="50"/>
  <c r="J225" i="50"/>
  <c r="O51" i="50"/>
  <c r="O136" i="50"/>
  <c r="O155" i="133"/>
  <c r="O197" i="133"/>
  <c r="O119" i="133"/>
  <c r="O188" i="133"/>
  <c r="O40" i="133"/>
  <c r="O169" i="133"/>
  <c r="O199" i="133"/>
  <c r="O83" i="133"/>
  <c r="J225" i="133"/>
  <c r="I241" i="133"/>
  <c r="O55" i="133"/>
  <c r="O158" i="133"/>
  <c r="O54" i="133"/>
  <c r="O101" i="133"/>
  <c r="O183" i="133"/>
  <c r="O52" i="133"/>
  <c r="J24" i="142"/>
  <c r="O121" i="98"/>
  <c r="O142" i="106"/>
  <c r="O145" i="106"/>
  <c r="O87" i="106"/>
  <c r="O39" i="106"/>
  <c r="O146" i="106"/>
  <c r="O63" i="106"/>
  <c r="O61" i="106"/>
  <c r="O60" i="106"/>
  <c r="O134" i="106"/>
  <c r="O177" i="106"/>
  <c r="O143" i="106"/>
  <c r="O72" i="106"/>
  <c r="O187" i="106"/>
  <c r="J226" i="106"/>
  <c r="J230" i="106"/>
  <c r="O42" i="106"/>
  <c r="O34" i="106"/>
  <c r="J227" i="106"/>
  <c r="O35" i="86"/>
  <c r="O207" i="86"/>
  <c r="O31" i="86"/>
  <c r="O59" i="86"/>
  <c r="O32" i="86"/>
  <c r="J18" i="104"/>
  <c r="O104" i="106"/>
  <c r="O92" i="106"/>
  <c r="M16" i="60"/>
  <c r="J24" i="60"/>
  <c r="J16" i="87"/>
  <c r="O26" i="87"/>
  <c r="O41" i="72"/>
  <c r="J23" i="86"/>
  <c r="O103" i="133"/>
  <c r="O81" i="42"/>
  <c r="O187" i="42"/>
  <c r="O61" i="42"/>
  <c r="O190" i="42"/>
  <c r="O71" i="42"/>
  <c r="O80" i="42"/>
  <c r="O36" i="42"/>
  <c r="O60" i="42"/>
  <c r="O92" i="42"/>
  <c r="O140" i="42"/>
  <c r="J233" i="42"/>
  <c r="O151" i="42"/>
  <c r="O161" i="42"/>
  <c r="O54" i="42"/>
  <c r="O183" i="42"/>
  <c r="O101" i="42"/>
  <c r="O55" i="42"/>
  <c r="O105" i="42"/>
  <c r="O150" i="42"/>
  <c r="O88" i="98"/>
  <c r="O163" i="158"/>
  <c r="O105" i="158"/>
  <c r="O103" i="158"/>
  <c r="O79" i="158"/>
  <c r="O136" i="158"/>
  <c r="O181" i="158"/>
  <c r="O81" i="158"/>
  <c r="O146" i="158"/>
  <c r="O33" i="158"/>
  <c r="O182" i="158"/>
  <c r="O93" i="158"/>
  <c r="O150" i="158"/>
  <c r="O71" i="158"/>
  <c r="O134" i="158"/>
  <c r="O190" i="158"/>
  <c r="O36" i="158"/>
  <c r="J233" i="158"/>
  <c r="O184" i="158"/>
  <c r="O110" i="158"/>
  <c r="O107" i="28"/>
  <c r="O208" i="28"/>
  <c r="O65" i="28"/>
  <c r="O137" i="28"/>
  <c r="O83" i="28"/>
  <c r="O94" i="28"/>
  <c r="O110" i="28"/>
  <c r="O121" i="28"/>
  <c r="O155" i="28"/>
  <c r="O47" i="28"/>
  <c r="O188" i="28"/>
  <c r="J227" i="28"/>
  <c r="O102" i="28"/>
  <c r="O190" i="28"/>
  <c r="O171" i="28"/>
  <c r="O162" i="28"/>
  <c r="O56" i="28"/>
  <c r="O105" i="133"/>
  <c r="J19" i="175"/>
  <c r="J17" i="175"/>
  <c r="O78" i="31"/>
  <c r="O94" i="31"/>
  <c r="O153" i="31"/>
  <c r="O208" i="31"/>
  <c r="O102" i="158"/>
  <c r="O43" i="28"/>
  <c r="O55" i="28"/>
  <c r="O66" i="42"/>
  <c r="O84" i="28"/>
  <c r="O78" i="42"/>
  <c r="O122" i="133"/>
  <c r="O209" i="133"/>
  <c r="O79" i="98"/>
  <c r="O51" i="133"/>
  <c r="O69" i="98"/>
  <c r="O60" i="133"/>
  <c r="O186" i="133"/>
  <c r="O88" i="133"/>
  <c r="O44" i="133"/>
  <c r="O75" i="133"/>
  <c r="O141" i="133"/>
  <c r="O113" i="133"/>
  <c r="O43" i="98"/>
  <c r="O123" i="86"/>
  <c r="J26" i="87"/>
  <c r="O164" i="98"/>
  <c r="O207" i="28"/>
  <c r="O195" i="28"/>
  <c r="O57" i="28"/>
  <c r="O164" i="28"/>
  <c r="O45" i="28"/>
  <c r="O110" i="106"/>
  <c r="J16" i="152"/>
  <c r="O199" i="98"/>
  <c r="O46" i="98"/>
  <c r="O141" i="98"/>
  <c r="O182" i="98"/>
  <c r="O61" i="46"/>
  <c r="O55" i="103"/>
  <c r="O75" i="103"/>
  <c r="O206" i="103"/>
  <c r="O160" i="103"/>
  <c r="O148" i="103"/>
  <c r="O130" i="103"/>
  <c r="O194" i="103"/>
  <c r="O65" i="103"/>
  <c r="O136" i="72"/>
  <c r="O115" i="72"/>
  <c r="O170" i="98"/>
  <c r="O206" i="50"/>
  <c r="O160" i="106"/>
  <c r="O128" i="103"/>
  <c r="O164" i="158"/>
  <c r="O142" i="98"/>
  <c r="O174" i="98"/>
  <c r="O162" i="98"/>
  <c r="J232" i="98"/>
  <c r="O130" i="98"/>
  <c r="O184" i="98"/>
  <c r="O55" i="98"/>
  <c r="J224" i="98"/>
  <c r="O134" i="98"/>
  <c r="O77" i="98"/>
  <c r="O56" i="98"/>
  <c r="O52" i="98"/>
  <c r="O158" i="98"/>
  <c r="O31" i="98"/>
  <c r="O104" i="98"/>
  <c r="O103" i="98"/>
  <c r="O152" i="98"/>
  <c r="O98" i="103"/>
  <c r="O192" i="103"/>
  <c r="O183" i="103"/>
  <c r="O40" i="103"/>
  <c r="O163" i="103"/>
  <c r="O201" i="103"/>
  <c r="O186" i="103"/>
  <c r="O81" i="103"/>
  <c r="O119" i="103"/>
  <c r="O89" i="103"/>
  <c r="O56" i="103"/>
  <c r="O190" i="103"/>
  <c r="O200" i="103"/>
  <c r="J233" i="103"/>
  <c r="O170" i="103"/>
  <c r="O114" i="103"/>
  <c r="O157" i="103"/>
  <c r="O60" i="103"/>
  <c r="O45" i="103"/>
  <c r="O114" i="133"/>
  <c r="J17" i="68"/>
  <c r="O136" i="133"/>
  <c r="O177" i="72"/>
  <c r="O187" i="72"/>
  <c r="O155" i="72"/>
  <c r="O74" i="72"/>
  <c r="O38" i="72"/>
  <c r="O82" i="72"/>
  <c r="O180" i="72"/>
  <c r="O135" i="72"/>
  <c r="O84" i="133"/>
  <c r="O190" i="50"/>
  <c r="O131" i="50"/>
  <c r="O53" i="50"/>
  <c r="O170" i="50"/>
  <c r="O134" i="50"/>
  <c r="O164" i="50"/>
  <c r="O188" i="50"/>
  <c r="O50" i="50"/>
  <c r="O103" i="50"/>
  <c r="O147" i="50"/>
  <c r="O184" i="50"/>
  <c r="O94" i="50"/>
  <c r="O142" i="50"/>
  <c r="M18" i="50"/>
  <c r="O105" i="50"/>
  <c r="O157" i="50"/>
  <c r="O158" i="50"/>
  <c r="O60" i="50"/>
  <c r="O78" i="50"/>
  <c r="O156" i="50"/>
  <c r="O142" i="133"/>
  <c r="O151" i="133"/>
  <c r="O37" i="133"/>
  <c r="O178" i="133"/>
  <c r="O177" i="133"/>
  <c r="J232" i="133"/>
  <c r="O46" i="133"/>
  <c r="O193" i="133"/>
  <c r="O106" i="133"/>
  <c r="O115" i="133"/>
  <c r="O205" i="133"/>
  <c r="O45" i="133"/>
  <c r="O102" i="133"/>
  <c r="O198" i="133"/>
  <c r="O90" i="133"/>
  <c r="O26" i="142"/>
  <c r="O96" i="106"/>
  <c r="O80" i="133"/>
  <c r="O169" i="106"/>
  <c r="O81" i="106"/>
  <c r="O171" i="106"/>
  <c r="O62" i="106"/>
  <c r="O59" i="106"/>
  <c r="O52" i="106"/>
  <c r="O183" i="106"/>
  <c r="O162" i="106"/>
  <c r="O163" i="106"/>
  <c r="O70" i="106"/>
  <c r="O193" i="106"/>
  <c r="O47" i="106"/>
  <c r="O106" i="106"/>
  <c r="O186" i="106"/>
  <c r="O140" i="106"/>
  <c r="O131" i="106"/>
  <c r="O58" i="106"/>
  <c r="O74" i="106"/>
  <c r="O141" i="86"/>
  <c r="O71" i="86"/>
  <c r="O131" i="86"/>
  <c r="O61" i="86"/>
  <c r="O137" i="158"/>
  <c r="O166" i="98"/>
  <c r="O128" i="106"/>
  <c r="J26" i="60"/>
  <c r="J18" i="87"/>
  <c r="J18" i="86"/>
  <c r="O107" i="133"/>
  <c r="O182" i="42"/>
  <c r="O89" i="42"/>
  <c r="O181" i="42"/>
  <c r="O206" i="42"/>
  <c r="O42" i="42"/>
  <c r="O148" i="42"/>
  <c r="J230" i="42"/>
  <c r="O189" i="42"/>
  <c r="O191" i="42"/>
  <c r="O48" i="42"/>
  <c r="O155" i="42"/>
  <c r="O43" i="42"/>
  <c r="O158" i="42"/>
  <c r="J224" i="42"/>
  <c r="O95" i="42"/>
  <c r="O142" i="42"/>
  <c r="J232" i="42"/>
  <c r="O44" i="42"/>
  <c r="O30" i="42"/>
  <c r="O195" i="158"/>
  <c r="O96" i="158"/>
  <c r="O172" i="158"/>
  <c r="O49" i="158"/>
  <c r="O173" i="158"/>
  <c r="O141" i="158"/>
  <c r="O42" i="158"/>
  <c r="J230" i="158"/>
  <c r="O183" i="158"/>
  <c r="O189" i="158"/>
  <c r="O152" i="158"/>
  <c r="O35" i="158"/>
  <c r="O50" i="158"/>
  <c r="O196" i="158"/>
  <c r="O34" i="158"/>
  <c r="O44" i="158"/>
  <c r="O198" i="158"/>
  <c r="O112" i="158"/>
  <c r="O106" i="28"/>
  <c r="F243" i="71"/>
  <c r="J17" i="158"/>
  <c r="J229" i="28"/>
  <c r="O128" i="28"/>
  <c r="O33" i="28"/>
  <c r="O105" i="28"/>
  <c r="O119" i="28"/>
  <c r="O62" i="28"/>
  <c r="O143" i="28"/>
  <c r="O35" i="28"/>
  <c r="O79" i="28"/>
  <c r="O132" i="28"/>
  <c r="O61" i="28"/>
  <c r="O199" i="28"/>
  <c r="O142" i="28"/>
  <c r="O115" i="28"/>
  <c r="O189" i="28"/>
  <c r="J25" i="175"/>
  <c r="O103" i="31"/>
  <c r="O197" i="31"/>
  <c r="O123" i="31"/>
  <c r="O170" i="28"/>
  <c r="O84" i="72"/>
  <c r="O84" i="158"/>
  <c r="O211" i="50"/>
  <c r="O199" i="42"/>
  <c r="M20" i="141"/>
  <c r="I242" i="141"/>
  <c r="O162" i="27"/>
  <c r="O202" i="62"/>
  <c r="O45" i="177"/>
  <c r="O113" i="177"/>
  <c r="O58" i="177"/>
  <c r="O84" i="177"/>
  <c r="F243" i="177"/>
  <c r="O202" i="164"/>
  <c r="O84" i="164"/>
  <c r="O88" i="164"/>
  <c r="J16" i="155"/>
  <c r="J25" i="155"/>
  <c r="J20" i="155"/>
  <c r="J21" i="155"/>
  <c r="J17" i="155"/>
  <c r="J24" i="155"/>
  <c r="J18" i="155"/>
  <c r="J26" i="155"/>
  <c r="M20" i="104"/>
  <c r="F243" i="95"/>
  <c r="O192" i="63"/>
  <c r="J26" i="42"/>
  <c r="O73" i="145"/>
  <c r="O88" i="145"/>
  <c r="O90" i="145"/>
  <c r="O96" i="145"/>
  <c r="O174" i="145"/>
  <c r="O179" i="145"/>
  <c r="O158" i="145"/>
  <c r="J226" i="145"/>
  <c r="O89" i="145"/>
  <c r="O170" i="145"/>
  <c r="O148" i="145"/>
  <c r="O132" i="145"/>
  <c r="O193" i="89"/>
  <c r="O173" i="89"/>
  <c r="O26" i="89"/>
  <c r="O59" i="89"/>
  <c r="O95" i="89"/>
  <c r="O181" i="89"/>
  <c r="O155" i="89"/>
  <c r="J227" i="89"/>
  <c r="O87" i="89"/>
  <c r="O65" i="63"/>
  <c r="O105" i="63"/>
  <c r="O71" i="63"/>
  <c r="O95" i="63"/>
  <c r="O178" i="63"/>
  <c r="O97" i="63"/>
  <c r="O129" i="145"/>
  <c r="O173" i="145"/>
  <c r="O197" i="145"/>
  <c r="O31" i="145"/>
  <c r="J23" i="155"/>
  <c r="O56" i="47"/>
  <c r="O180" i="47"/>
  <c r="O52" i="47"/>
  <c r="O115" i="47"/>
  <c r="O32" i="47"/>
  <c r="O57" i="47"/>
  <c r="O163" i="47"/>
  <c r="O79" i="47"/>
  <c r="O170" i="47"/>
  <c r="O130" i="47"/>
  <c r="O191" i="47"/>
  <c r="O129" i="47"/>
  <c r="O175" i="47"/>
  <c r="O195" i="47"/>
  <c r="O142" i="47"/>
  <c r="O190" i="47"/>
  <c r="O205" i="47"/>
  <c r="O150" i="47"/>
  <c r="O72" i="47"/>
  <c r="O200" i="47"/>
  <c r="O179" i="47"/>
  <c r="O106" i="47"/>
  <c r="O104" i="47"/>
  <c r="O83" i="47"/>
  <c r="O120" i="47"/>
  <c r="O69" i="47"/>
  <c r="O156" i="47"/>
  <c r="O33" i="47"/>
  <c r="O154" i="47"/>
  <c r="O64" i="47"/>
  <c r="O114" i="47"/>
  <c r="O152" i="47"/>
  <c r="O135" i="47"/>
  <c r="O44" i="47"/>
  <c r="O192" i="47"/>
  <c r="O171" i="47"/>
  <c r="O82" i="47"/>
  <c r="O58" i="47"/>
  <c r="O74" i="47"/>
  <c r="O80" i="47"/>
  <c r="O91" i="47"/>
  <c r="O157" i="47"/>
  <c r="O182" i="47"/>
  <c r="O78" i="47"/>
  <c r="O76" i="47"/>
  <c r="O46" i="47"/>
  <c r="O49" i="47"/>
  <c r="O30" i="47"/>
  <c r="O185" i="47"/>
  <c r="O123" i="47"/>
  <c r="O147" i="47"/>
  <c r="O59" i="47"/>
  <c r="O193" i="47"/>
  <c r="O35" i="47"/>
  <c r="O92" i="47"/>
  <c r="O136" i="47"/>
  <c r="O131" i="47"/>
  <c r="O111" i="47"/>
  <c r="O173" i="47"/>
  <c r="O164" i="47"/>
  <c r="O96" i="47"/>
  <c r="O138" i="47"/>
  <c r="O103" i="47"/>
  <c r="O63" i="47"/>
  <c r="O102" i="47"/>
  <c r="O45" i="47"/>
  <c r="O145" i="47"/>
  <c r="O184" i="47"/>
  <c r="O172" i="47"/>
  <c r="O36" i="47"/>
  <c r="O37" i="47"/>
  <c r="O162" i="47"/>
  <c r="O39" i="47"/>
  <c r="O87" i="47"/>
  <c r="O178" i="47"/>
  <c r="O198" i="47"/>
  <c r="O121" i="47"/>
  <c r="O160" i="47"/>
  <c r="O140" i="47"/>
  <c r="O97" i="47"/>
  <c r="O73" i="47"/>
  <c r="O62" i="47"/>
  <c r="O53" i="47"/>
  <c r="O112" i="47"/>
  <c r="O89" i="47"/>
  <c r="O155" i="47"/>
  <c r="O75" i="47"/>
  <c r="O105" i="47"/>
  <c r="O47" i="47"/>
  <c r="O77" i="47"/>
  <c r="O41" i="63"/>
  <c r="O91" i="60"/>
  <c r="J26" i="24"/>
  <c r="O97" i="156"/>
  <c r="J25" i="37"/>
  <c r="O73" i="142"/>
  <c r="O177" i="142"/>
  <c r="O114" i="142"/>
  <c r="O37" i="142"/>
  <c r="O36" i="142"/>
  <c r="O81" i="142"/>
  <c r="O106" i="142"/>
  <c r="O141" i="142"/>
  <c r="O210" i="142"/>
  <c r="O89" i="142"/>
  <c r="O154" i="142"/>
  <c r="O55" i="142"/>
  <c r="O120" i="142"/>
  <c r="O183" i="142"/>
  <c r="O145" i="142"/>
  <c r="O179" i="142"/>
  <c r="O121" i="142"/>
  <c r="O150" i="142"/>
  <c r="O148" i="142"/>
  <c r="O32" i="63"/>
  <c r="O90" i="47"/>
  <c r="O78" i="150"/>
  <c r="O69" i="156"/>
  <c r="O94" i="156"/>
  <c r="O111" i="150"/>
  <c r="O158" i="150"/>
  <c r="O181" i="150"/>
  <c r="O92" i="150"/>
  <c r="O80" i="150"/>
  <c r="O190" i="150"/>
  <c r="O91" i="150"/>
  <c r="O175" i="150"/>
  <c r="O96" i="150"/>
  <c r="O71" i="150"/>
  <c r="O112" i="150"/>
  <c r="O89" i="150"/>
  <c r="O162" i="150"/>
  <c r="O39" i="150"/>
  <c r="O150" i="150"/>
  <c r="O87" i="150"/>
  <c r="O153" i="150"/>
  <c r="O54" i="150"/>
  <c r="O30" i="150"/>
  <c r="O26" i="42"/>
  <c r="O95" i="145"/>
  <c r="O187" i="83"/>
  <c r="O106" i="83"/>
  <c r="O165" i="83"/>
  <c r="O83" i="145"/>
  <c r="J229" i="145"/>
  <c r="O195" i="145"/>
  <c r="O181" i="145"/>
  <c r="O199" i="145"/>
  <c r="M18" i="145"/>
  <c r="O45" i="145"/>
  <c r="O48" i="145"/>
  <c r="O172" i="145"/>
  <c r="O163" i="145"/>
  <c r="O180" i="145"/>
  <c r="O105" i="145"/>
  <c r="O183" i="145"/>
  <c r="O151" i="16"/>
  <c r="O175" i="16"/>
  <c r="O97" i="16"/>
  <c r="O40" i="16"/>
  <c r="J227" i="16"/>
  <c r="O54" i="47"/>
  <c r="O95" i="38"/>
  <c r="O87" i="38"/>
  <c r="O79" i="38"/>
  <c r="O62" i="38"/>
  <c r="O192" i="38"/>
  <c r="O136" i="38"/>
  <c r="O190" i="89"/>
  <c r="O170" i="89"/>
  <c r="O74" i="89"/>
  <c r="J232" i="89"/>
  <c r="O208" i="89"/>
  <c r="O141" i="89"/>
  <c r="O135" i="89"/>
  <c r="O186" i="63"/>
  <c r="O111" i="63"/>
  <c r="O51" i="63"/>
  <c r="O180" i="63"/>
  <c r="O77" i="63"/>
  <c r="O200" i="63"/>
  <c r="O50" i="47"/>
  <c r="O38" i="47"/>
  <c r="O94" i="47"/>
  <c r="O196" i="47"/>
  <c r="O119" i="47"/>
  <c r="O169" i="47"/>
  <c r="O137" i="47"/>
  <c r="O51" i="156"/>
  <c r="O177" i="156"/>
  <c r="O141" i="156"/>
  <c r="O207" i="156"/>
  <c r="J229" i="156"/>
  <c r="O121" i="156"/>
  <c r="O79" i="156"/>
  <c r="O155" i="60"/>
  <c r="O137" i="60"/>
  <c r="O193" i="60"/>
  <c r="O79" i="60"/>
  <c r="O82" i="60"/>
  <c r="O174" i="47"/>
  <c r="O101" i="47"/>
  <c r="O83" i="60"/>
  <c r="O169" i="145"/>
  <c r="O145" i="63"/>
  <c r="J22" i="155"/>
  <c r="O166" i="38"/>
  <c r="O199" i="38"/>
  <c r="O104" i="38"/>
  <c r="O206" i="47"/>
  <c r="O142" i="145"/>
  <c r="O98" i="66"/>
  <c r="J24" i="24"/>
  <c r="J25" i="24"/>
  <c r="O93" i="89"/>
  <c r="J23" i="37"/>
  <c r="J22" i="37"/>
  <c r="O84" i="150"/>
  <c r="O207" i="142"/>
  <c r="O58" i="142"/>
  <c r="O39" i="142"/>
  <c r="O137" i="142"/>
  <c r="O186" i="142"/>
  <c r="O82" i="142"/>
  <c r="O52" i="142"/>
  <c r="O62" i="142"/>
  <c r="O44" i="142"/>
  <c r="O156" i="142"/>
  <c r="O163" i="142"/>
  <c r="O181" i="142"/>
  <c r="O92" i="142"/>
  <c r="O161" i="142"/>
  <c r="O123" i="142"/>
  <c r="J230" i="142"/>
  <c r="O94" i="142"/>
  <c r="O112" i="142"/>
  <c r="O130" i="142"/>
  <c r="O81" i="150"/>
  <c r="O115" i="43"/>
  <c r="O180" i="150"/>
  <c r="O148" i="150"/>
  <c r="O146" i="150"/>
  <c r="O82" i="150"/>
  <c r="O169" i="150"/>
  <c r="O50" i="150"/>
  <c r="O62" i="150"/>
  <c r="O145" i="150"/>
  <c r="O182" i="150"/>
  <c r="O174" i="150"/>
  <c r="O131" i="150"/>
  <c r="O110" i="150"/>
  <c r="O48" i="150"/>
  <c r="O147" i="150"/>
  <c r="J225" i="150"/>
  <c r="O161" i="150"/>
  <c r="O192" i="150"/>
  <c r="O44" i="150"/>
  <c r="O195" i="150"/>
  <c r="J23" i="42"/>
  <c r="J20" i="42"/>
  <c r="O38" i="83"/>
  <c r="J227" i="83"/>
  <c r="O185" i="145"/>
  <c r="O101" i="145"/>
  <c r="O104" i="145"/>
  <c r="J227" i="145"/>
  <c r="O206" i="145"/>
  <c r="O192" i="145"/>
  <c r="O164" i="145"/>
  <c r="O110" i="145"/>
  <c r="O161" i="145"/>
  <c r="O51" i="145"/>
  <c r="O150" i="145"/>
  <c r="O52" i="145"/>
  <c r="O71" i="156"/>
  <c r="O38" i="63"/>
  <c r="O181" i="16"/>
  <c r="O119" i="16"/>
  <c r="O43" i="16"/>
  <c r="O142" i="16"/>
  <c r="O93" i="16"/>
  <c r="O148" i="156"/>
  <c r="O37" i="38"/>
  <c r="O196" i="38"/>
  <c r="O50" i="38"/>
  <c r="J232" i="38"/>
  <c r="O150" i="38"/>
  <c r="O38" i="38"/>
  <c r="O151" i="38"/>
  <c r="O161" i="60"/>
  <c r="O115" i="89"/>
  <c r="O88" i="89"/>
  <c r="O83" i="89"/>
  <c r="O210" i="89"/>
  <c r="O180" i="89"/>
  <c r="O39" i="89"/>
  <c r="O161" i="89"/>
  <c r="O110" i="47"/>
  <c r="O131" i="63"/>
  <c r="O197" i="63"/>
  <c r="O194" i="63"/>
  <c r="O172" i="63"/>
  <c r="O113" i="63"/>
  <c r="O57" i="63"/>
  <c r="O40" i="47"/>
  <c r="O113" i="47"/>
  <c r="O201" i="47"/>
  <c r="O122" i="47"/>
  <c r="O141" i="47"/>
  <c r="O200" i="156"/>
  <c r="O46" i="156"/>
  <c r="O65" i="156"/>
  <c r="O32" i="156"/>
  <c r="O129" i="156"/>
  <c r="O112" i="156"/>
  <c r="O201" i="156"/>
  <c r="O165" i="60"/>
  <c r="O163" i="60"/>
  <c r="O189" i="60"/>
  <c r="O128" i="60"/>
  <c r="O59" i="60"/>
  <c r="O160" i="60"/>
  <c r="O84" i="47"/>
  <c r="O200" i="145"/>
  <c r="O54" i="145"/>
  <c r="O74" i="145"/>
  <c r="O207" i="145"/>
  <c r="O137" i="145"/>
  <c r="O71" i="145"/>
  <c r="J224" i="145"/>
  <c r="O196" i="145"/>
  <c r="O32" i="145"/>
  <c r="O194" i="145"/>
  <c r="O128" i="145"/>
  <c r="O60" i="145"/>
  <c r="O119" i="145"/>
  <c r="O114" i="145"/>
  <c r="O121" i="145"/>
  <c r="O193" i="145"/>
  <c r="O40" i="145"/>
  <c r="O162" i="145"/>
  <c r="O49" i="145"/>
  <c r="O120" i="145"/>
  <c r="O50" i="145"/>
  <c r="O143" i="145"/>
  <c r="O43" i="145"/>
  <c r="O79" i="145"/>
  <c r="O154" i="145"/>
  <c r="O36" i="145"/>
  <c r="O92" i="145"/>
  <c r="O80" i="145"/>
  <c r="J228" i="145"/>
  <c r="O81" i="145"/>
  <c r="O188" i="145"/>
  <c r="O62" i="145"/>
  <c r="O75" i="145"/>
  <c r="J225" i="145"/>
  <c r="O76" i="145"/>
  <c r="O93" i="145"/>
  <c r="O37" i="145"/>
  <c r="O70" i="145"/>
  <c r="O141" i="145"/>
  <c r="O210" i="145"/>
  <c r="O39" i="145"/>
  <c r="O113" i="145"/>
  <c r="O44" i="145"/>
  <c r="O146" i="145"/>
  <c r="O112" i="145"/>
  <c r="O103" i="145"/>
  <c r="O135" i="145"/>
  <c r="O152" i="145"/>
  <c r="O208" i="145"/>
  <c r="O171" i="145"/>
  <c r="O78" i="145"/>
  <c r="O102" i="63"/>
  <c r="O188" i="63"/>
  <c r="O106" i="63"/>
  <c r="O177" i="63"/>
  <c r="O156" i="63"/>
  <c r="O112" i="63"/>
  <c r="O141" i="63"/>
  <c r="O171" i="63"/>
  <c r="O163" i="63"/>
  <c r="O184" i="63"/>
  <c r="O103" i="63"/>
  <c r="J233" i="63"/>
  <c r="O92" i="63"/>
  <c r="O195" i="63"/>
  <c r="O44" i="63"/>
  <c r="O196" i="63"/>
  <c r="O31" i="63"/>
  <c r="O60" i="63"/>
  <c r="O69" i="63"/>
  <c r="O137" i="63"/>
  <c r="O110" i="63"/>
  <c r="O147" i="63"/>
  <c r="O120" i="63"/>
  <c r="O169" i="63"/>
  <c r="O58" i="63"/>
  <c r="O101" i="63"/>
  <c r="O76" i="63"/>
  <c r="O189" i="63"/>
  <c r="O119" i="63"/>
  <c r="O179" i="63"/>
  <c r="O199" i="63"/>
  <c r="O123" i="63"/>
  <c r="O115" i="63"/>
  <c r="O130" i="63"/>
  <c r="O164" i="63"/>
  <c r="O122" i="63"/>
  <c r="O35" i="63"/>
  <c r="O30" i="63"/>
  <c r="O72" i="63"/>
  <c r="J232" i="63"/>
  <c r="O193" i="63"/>
  <c r="J225" i="63"/>
  <c r="O46" i="63"/>
  <c r="O88" i="63"/>
  <c r="O207" i="63"/>
  <c r="O43" i="63"/>
  <c r="O155" i="63"/>
  <c r="O191" i="63"/>
  <c r="O93" i="63"/>
  <c r="O78" i="63"/>
  <c r="O79" i="63"/>
  <c r="O114" i="63"/>
  <c r="O174" i="63"/>
  <c r="O160" i="63"/>
  <c r="O136" i="63"/>
  <c r="O161" i="63"/>
  <c r="O181" i="63"/>
  <c r="O121" i="63"/>
  <c r="M18" i="63"/>
  <c r="O201" i="63"/>
  <c r="O134" i="63"/>
  <c r="O152" i="63"/>
  <c r="O63" i="63"/>
  <c r="O81" i="63"/>
  <c r="O34" i="63"/>
  <c r="O176" i="63"/>
  <c r="O87" i="63"/>
  <c r="O40" i="63"/>
  <c r="O183" i="63"/>
  <c r="O170" i="63"/>
  <c r="J224" i="63"/>
  <c r="O182" i="63"/>
  <c r="O52" i="63"/>
  <c r="O185" i="63"/>
  <c r="O154" i="63"/>
  <c r="O132" i="63"/>
  <c r="O135" i="63"/>
  <c r="O70" i="63"/>
  <c r="O49" i="63"/>
  <c r="O96" i="63"/>
  <c r="O61" i="63"/>
  <c r="J228" i="63"/>
  <c r="O187" i="63"/>
  <c r="O62" i="63"/>
  <c r="J229" i="63"/>
  <c r="O94" i="63"/>
  <c r="O83" i="63"/>
  <c r="O146" i="63"/>
  <c r="O175" i="63"/>
  <c r="O75" i="63"/>
  <c r="O173" i="63"/>
  <c r="O151" i="63"/>
  <c r="O42" i="63"/>
  <c r="O128" i="89"/>
  <c r="O60" i="89"/>
  <c r="O41" i="89"/>
  <c r="O147" i="89"/>
  <c r="O146" i="89"/>
  <c r="O179" i="89"/>
  <c r="O80" i="89"/>
  <c r="O122" i="89"/>
  <c r="O172" i="89"/>
  <c r="O189" i="89"/>
  <c r="O153" i="89"/>
  <c r="O197" i="89"/>
  <c r="O148" i="89"/>
  <c r="J230" i="89"/>
  <c r="O64" i="89"/>
  <c r="O138" i="89"/>
  <c r="O151" i="89"/>
  <c r="O43" i="89"/>
  <c r="O206" i="89"/>
  <c r="O131" i="89"/>
  <c r="O163" i="89"/>
  <c r="O75" i="89"/>
  <c r="O113" i="89"/>
  <c r="O40" i="89"/>
  <c r="O49" i="89"/>
  <c r="O160" i="89"/>
  <c r="O54" i="89"/>
  <c r="O82" i="89"/>
  <c r="O61" i="89"/>
  <c r="O63" i="89"/>
  <c r="M18" i="89"/>
  <c r="O111" i="89"/>
  <c r="O105" i="89"/>
  <c r="O140" i="89"/>
  <c r="O53" i="89"/>
  <c r="O42" i="89"/>
  <c r="O174" i="89"/>
  <c r="O145" i="89"/>
  <c r="O157" i="89"/>
  <c r="O175" i="89"/>
  <c r="O91" i="89"/>
  <c r="O150" i="89"/>
  <c r="O97" i="89"/>
  <c r="O45" i="89"/>
  <c r="O34" i="89"/>
  <c r="O143" i="89"/>
  <c r="O192" i="89"/>
  <c r="O48" i="89"/>
  <c r="O44" i="89"/>
  <c r="O205" i="89"/>
  <c r="O50" i="89"/>
  <c r="O72" i="89"/>
  <c r="O185" i="89"/>
  <c r="O162" i="89"/>
  <c r="O47" i="89"/>
  <c r="O92" i="89"/>
  <c r="O199" i="89"/>
  <c r="O52" i="89"/>
  <c r="O136" i="89"/>
  <c r="O81" i="89"/>
  <c r="O70" i="89"/>
  <c r="O169" i="89"/>
  <c r="O119" i="89"/>
  <c r="O90" i="89"/>
  <c r="O101" i="89"/>
  <c r="O176" i="89"/>
  <c r="O55" i="89"/>
  <c r="O76" i="89"/>
  <c r="O201" i="89"/>
  <c r="J233" i="89"/>
  <c r="O158" i="89"/>
  <c r="O188" i="89"/>
  <c r="O46" i="89"/>
  <c r="O38" i="89"/>
  <c r="O56" i="89"/>
  <c r="O198" i="89"/>
  <c r="O124" i="89"/>
  <c r="O112" i="89"/>
  <c r="O84" i="89"/>
  <c r="O152" i="89"/>
  <c r="O164" i="89"/>
  <c r="O103" i="89"/>
  <c r="O137" i="89"/>
  <c r="O33" i="89"/>
  <c r="O65" i="89"/>
  <c r="O32" i="89"/>
  <c r="O30" i="89"/>
  <c r="J224" i="89"/>
  <c r="O194" i="89"/>
  <c r="O120" i="89"/>
  <c r="O114" i="89"/>
  <c r="O71" i="89"/>
  <c r="J225" i="89"/>
  <c r="O196" i="89"/>
  <c r="O154" i="89"/>
  <c r="O106" i="89"/>
  <c r="O73" i="89"/>
  <c r="O116" i="89"/>
  <c r="O33" i="63"/>
  <c r="O77" i="89"/>
  <c r="O110" i="89"/>
  <c r="J226" i="89"/>
  <c r="O121" i="89"/>
  <c r="O195" i="89"/>
  <c r="O56" i="63"/>
  <c r="O91" i="63"/>
  <c r="O157" i="63"/>
  <c r="O30" i="142"/>
  <c r="O192" i="142"/>
  <c r="O188" i="142"/>
  <c r="O72" i="83"/>
  <c r="O145" i="83"/>
  <c r="F243" i="65"/>
  <c r="O171" i="150"/>
  <c r="O197" i="150"/>
  <c r="O42" i="150"/>
  <c r="O152" i="150"/>
  <c r="O55" i="150"/>
  <c r="O208" i="150"/>
  <c r="O63" i="60"/>
  <c r="O39" i="60"/>
  <c r="O58" i="60"/>
  <c r="O74" i="60"/>
  <c r="O156" i="60"/>
  <c r="O31" i="60"/>
  <c r="O101" i="60"/>
  <c r="I241" i="60"/>
  <c r="O104" i="60"/>
  <c r="O173" i="60"/>
  <c r="O72" i="60"/>
  <c r="O120" i="60"/>
  <c r="O174" i="60"/>
  <c r="O37" i="60"/>
  <c r="O111" i="60"/>
  <c r="J232" i="60"/>
  <c r="J229" i="60"/>
  <c r="O55" i="60"/>
  <c r="O210" i="60"/>
  <c r="O205" i="60"/>
  <c r="J233" i="60"/>
  <c r="O95" i="60"/>
  <c r="O80" i="60"/>
  <c r="O75" i="60"/>
  <c r="O180" i="60"/>
  <c r="O208" i="60"/>
  <c r="O170" i="60"/>
  <c r="O33" i="60"/>
  <c r="O49" i="60"/>
  <c r="O172" i="60"/>
  <c r="O76" i="60"/>
  <c r="O106" i="60"/>
  <c r="O103" i="60"/>
  <c r="O41" i="60"/>
  <c r="O206" i="60"/>
  <c r="O50" i="60"/>
  <c r="O71" i="60"/>
  <c r="O145" i="60"/>
  <c r="O53" i="60"/>
  <c r="O185" i="60"/>
  <c r="O201" i="60"/>
  <c r="O48" i="60"/>
  <c r="J226" i="60"/>
  <c r="O47" i="60"/>
  <c r="O43" i="60"/>
  <c r="O147" i="60"/>
  <c r="O57" i="60"/>
  <c r="O54" i="60"/>
  <c r="O87" i="60"/>
  <c r="O141" i="60"/>
  <c r="J230" i="60"/>
  <c r="J224" i="60"/>
  <c r="O209" i="60"/>
  <c r="O146" i="60"/>
  <c r="O122" i="60"/>
  <c r="J228" i="60"/>
  <c r="O171" i="60"/>
  <c r="O186" i="60"/>
  <c r="O200" i="60"/>
  <c r="O153" i="60"/>
  <c r="O187" i="60"/>
  <c r="O44" i="60"/>
  <c r="O36" i="60"/>
  <c r="O92" i="60"/>
  <c r="O130" i="60"/>
  <c r="O26" i="60"/>
  <c r="O62" i="60"/>
  <c r="O195" i="60"/>
  <c r="O32" i="60"/>
  <c r="O78" i="60"/>
  <c r="O110" i="60"/>
  <c r="O105" i="60"/>
  <c r="O184" i="60"/>
  <c r="O46" i="60"/>
  <c r="O162" i="60"/>
  <c r="O158" i="60"/>
  <c r="O136" i="60"/>
  <c r="J227" i="60"/>
  <c r="O151" i="60"/>
  <c r="O142" i="60"/>
  <c r="O38" i="60"/>
  <c r="O183" i="60"/>
  <c r="O211" i="60"/>
  <c r="O69" i="60"/>
  <c r="O150" i="60"/>
  <c r="O181" i="60"/>
  <c r="O61" i="60"/>
  <c r="O176" i="60"/>
  <c r="O64" i="60"/>
  <c r="O112" i="60"/>
  <c r="O93" i="60"/>
  <c r="O194" i="60"/>
  <c r="O148" i="60"/>
  <c r="O89" i="60"/>
  <c r="O188" i="60"/>
  <c r="O73" i="60"/>
  <c r="O90" i="60"/>
  <c r="O134" i="60"/>
  <c r="O60" i="60"/>
  <c r="O52" i="60"/>
  <c r="O65" i="60"/>
  <c r="O209" i="38"/>
  <c r="O147" i="38"/>
  <c r="O33" i="38"/>
  <c r="O89" i="38"/>
  <c r="O90" i="38"/>
  <c r="O64" i="38"/>
  <c r="O72" i="38"/>
  <c r="O120" i="38"/>
  <c r="O60" i="38"/>
  <c r="O161" i="38"/>
  <c r="J227" i="38"/>
  <c r="O70" i="38"/>
  <c r="O113" i="38"/>
  <c r="O55" i="38"/>
  <c r="O145" i="38"/>
  <c r="O175" i="38"/>
  <c r="O182" i="38"/>
  <c r="O84" i="38"/>
  <c r="O59" i="38"/>
  <c r="O211" i="38"/>
  <c r="O130" i="38"/>
  <c r="J233" i="38"/>
  <c r="O134" i="38"/>
  <c r="O46" i="38"/>
  <c r="O177" i="38"/>
  <c r="O172" i="38"/>
  <c r="J228" i="38"/>
  <c r="O148" i="38"/>
  <c r="O52" i="38"/>
  <c r="O82" i="38"/>
  <c r="O132" i="38"/>
  <c r="O123" i="38"/>
  <c r="O190" i="38"/>
  <c r="O58" i="38"/>
  <c r="O165" i="38"/>
  <c r="J226" i="38"/>
  <c r="O63" i="38"/>
  <c r="O143" i="38"/>
  <c r="O129" i="38"/>
  <c r="O103" i="38"/>
  <c r="O128" i="38"/>
  <c r="O114" i="38"/>
  <c r="O111" i="38"/>
  <c r="O31" i="38"/>
  <c r="O121" i="38"/>
  <c r="O91" i="38"/>
  <c r="O205" i="38"/>
  <c r="O42" i="38"/>
  <c r="O146" i="38"/>
  <c r="O158" i="38"/>
  <c r="O56" i="38"/>
  <c r="O181" i="38"/>
  <c r="O119" i="38"/>
  <c r="O40" i="38"/>
  <c r="O185" i="38"/>
  <c r="O45" i="38"/>
  <c r="O57" i="38"/>
  <c r="O201" i="38"/>
  <c r="O92" i="38"/>
  <c r="O171" i="38"/>
  <c r="O34" i="38"/>
  <c r="O115" i="38"/>
  <c r="O194" i="38"/>
  <c r="O137" i="38"/>
  <c r="O163" i="38"/>
  <c r="O102" i="38"/>
  <c r="O112" i="38"/>
  <c r="O160" i="38"/>
  <c r="O183" i="38"/>
  <c r="O138" i="38"/>
  <c r="O140" i="38"/>
  <c r="O206" i="38"/>
  <c r="J225" i="38"/>
  <c r="O65" i="38"/>
  <c r="O210" i="38"/>
  <c r="O188" i="38"/>
  <c r="O71" i="38"/>
  <c r="J229" i="38"/>
  <c r="O76" i="38"/>
  <c r="O191" i="38"/>
  <c r="O97" i="38"/>
  <c r="O187" i="38"/>
  <c r="O69" i="38"/>
  <c r="O179" i="38"/>
  <c r="O83" i="38"/>
  <c r="O36" i="38"/>
  <c r="O78" i="38"/>
  <c r="O173" i="38"/>
  <c r="O77" i="38"/>
  <c r="O170" i="38"/>
  <c r="J230" i="38"/>
  <c r="O154" i="38"/>
  <c r="O142" i="38"/>
  <c r="O186" i="38"/>
  <c r="I241" i="38"/>
  <c r="O106" i="38"/>
  <c r="O135" i="38"/>
  <c r="O51" i="38"/>
  <c r="O195" i="38"/>
  <c r="O200" i="38"/>
  <c r="O138" i="63"/>
  <c r="O84" i="145"/>
  <c r="O96" i="16"/>
  <c r="O34" i="47"/>
  <c r="F220" i="71"/>
  <c r="J17" i="24"/>
  <c r="J16" i="24"/>
  <c r="O55" i="63"/>
  <c r="J17" i="37"/>
  <c r="O26" i="37"/>
  <c r="O80" i="142"/>
  <c r="O53" i="142"/>
  <c r="O128" i="142"/>
  <c r="O43" i="142"/>
  <c r="O155" i="142"/>
  <c r="O63" i="142"/>
  <c r="O140" i="142"/>
  <c r="O90" i="142"/>
  <c r="O79" i="142"/>
  <c r="O170" i="142"/>
  <c r="O111" i="142"/>
  <c r="J229" i="142"/>
  <c r="O32" i="142"/>
  <c r="O175" i="142"/>
  <c r="O78" i="142"/>
  <c r="O199" i="142"/>
  <c r="O164" i="142"/>
  <c r="O143" i="142"/>
  <c r="O134" i="142"/>
  <c r="O39" i="63"/>
  <c r="O160" i="43"/>
  <c r="O211" i="150"/>
  <c r="O123" i="150"/>
  <c r="O132" i="150"/>
  <c r="O65" i="150"/>
  <c r="O95" i="150"/>
  <c r="O51" i="150"/>
  <c r="O157" i="150"/>
  <c r="O59" i="150"/>
  <c r="O141" i="150"/>
  <c r="O104" i="150"/>
  <c r="O32" i="150"/>
  <c r="O33" i="150"/>
  <c r="O130" i="150"/>
  <c r="O151" i="150"/>
  <c r="O138" i="150"/>
  <c r="O207" i="150"/>
  <c r="O205" i="150"/>
  <c r="O172" i="150"/>
  <c r="O179" i="150"/>
  <c r="J24" i="42"/>
  <c r="J19" i="42"/>
  <c r="O142" i="83"/>
  <c r="O60" i="83"/>
  <c r="O30" i="83"/>
  <c r="O176" i="145"/>
  <c r="O190" i="145"/>
  <c r="O182" i="145"/>
  <c r="O42" i="145"/>
  <c r="O138" i="145"/>
  <c r="O130" i="145"/>
  <c r="O191" i="145"/>
  <c r="O178" i="145"/>
  <c r="J230" i="145"/>
  <c r="O63" i="145"/>
  <c r="O65" i="145"/>
  <c r="O30" i="145"/>
  <c r="O135" i="16"/>
  <c r="O73" i="16"/>
  <c r="O53" i="16"/>
  <c r="O56" i="16"/>
  <c r="O96" i="38"/>
  <c r="J224" i="38"/>
  <c r="O198" i="38"/>
  <c r="O32" i="38"/>
  <c r="O141" i="38"/>
  <c r="O178" i="38"/>
  <c r="O155" i="38"/>
  <c r="O78" i="89"/>
  <c r="O104" i="89"/>
  <c r="O31" i="89"/>
  <c r="O96" i="89"/>
  <c r="O186" i="89"/>
  <c r="O94" i="89"/>
  <c r="O184" i="89"/>
  <c r="J229" i="89"/>
  <c r="O198" i="63"/>
  <c r="O162" i="63"/>
  <c r="O90" i="63"/>
  <c r="O153" i="63"/>
  <c r="O73" i="63"/>
  <c r="O45" i="63"/>
  <c r="J230" i="63"/>
  <c r="O128" i="47"/>
  <c r="O148" i="47"/>
  <c r="O181" i="47"/>
  <c r="O88" i="47"/>
  <c r="O70" i="47"/>
  <c r="O165" i="47"/>
  <c r="I241" i="47"/>
  <c r="O50" i="156"/>
  <c r="O198" i="156"/>
  <c r="O42" i="156"/>
  <c r="O96" i="156"/>
  <c r="O170" i="156"/>
  <c r="O42" i="47"/>
  <c r="O140" i="60"/>
  <c r="O179" i="60"/>
  <c r="O191" i="60"/>
  <c r="O199" i="60"/>
  <c r="O102" i="60"/>
  <c r="O131" i="60"/>
  <c r="O166" i="145"/>
  <c r="O138" i="15"/>
  <c r="J227" i="15"/>
  <c r="O56" i="15"/>
  <c r="O182" i="15"/>
  <c r="O81" i="15"/>
  <c r="J232" i="15"/>
  <c r="J228" i="15"/>
  <c r="O80" i="15"/>
  <c r="O130" i="15"/>
  <c r="O177" i="15"/>
  <c r="O120" i="15"/>
  <c r="J225" i="15"/>
  <c r="O172" i="15"/>
  <c r="O137" i="15"/>
  <c r="J224" i="15"/>
  <c r="O54" i="15"/>
  <c r="I242" i="104"/>
  <c r="O102" i="19"/>
  <c r="O30" i="19"/>
  <c r="O102" i="145"/>
  <c r="O26" i="150"/>
  <c r="O107" i="63"/>
  <c r="O193" i="38"/>
  <c r="F220" i="157"/>
  <c r="O166" i="47"/>
  <c r="O116" i="63"/>
  <c r="O124" i="83"/>
  <c r="F243" i="39"/>
  <c r="O91" i="145"/>
  <c r="O134" i="89"/>
  <c r="J22" i="42"/>
  <c r="J18" i="42"/>
  <c r="O122" i="145"/>
  <c r="O56" i="145"/>
  <c r="O97" i="145"/>
  <c r="O41" i="145"/>
  <c r="O87" i="145"/>
  <c r="O35" i="145"/>
  <c r="O69" i="145"/>
  <c r="O187" i="145"/>
  <c r="O140" i="145"/>
  <c r="O37" i="89"/>
  <c r="O89" i="89"/>
  <c r="O62" i="89"/>
  <c r="I241" i="63"/>
  <c r="O59" i="63"/>
  <c r="O50" i="63"/>
  <c r="O37" i="63"/>
  <c r="O82" i="63"/>
  <c r="O45" i="156"/>
  <c r="M18" i="156"/>
  <c r="O92" i="156"/>
  <c r="O188" i="156"/>
  <c r="O123" i="156"/>
  <c r="O154" i="156"/>
  <c r="O134" i="156"/>
  <c r="O208" i="156"/>
  <c r="O187" i="156"/>
  <c r="O89" i="156"/>
  <c r="O59" i="156"/>
  <c r="O160" i="156"/>
  <c r="O135" i="156"/>
  <c r="O39" i="156"/>
  <c r="O162" i="156"/>
  <c r="O196" i="156"/>
  <c r="O73" i="156"/>
  <c r="O110" i="156"/>
  <c r="O197" i="156"/>
  <c r="O173" i="156"/>
  <c r="O72" i="156"/>
  <c r="O49" i="156"/>
  <c r="O142" i="156"/>
  <c r="O75" i="156"/>
  <c r="O56" i="156"/>
  <c r="O35" i="156"/>
  <c r="O184" i="156"/>
  <c r="O145" i="156"/>
  <c r="O81" i="156"/>
  <c r="O157" i="156"/>
  <c r="O152" i="156"/>
  <c r="O90" i="156"/>
  <c r="O165" i="156"/>
  <c r="O171" i="156"/>
  <c r="O150" i="156"/>
  <c r="O113" i="156"/>
  <c r="O41" i="156"/>
  <c r="O209" i="156"/>
  <c r="O194" i="156"/>
  <c r="O111" i="156"/>
  <c r="O76" i="156"/>
  <c r="O146" i="156"/>
  <c r="O34" i="156"/>
  <c r="O95" i="156"/>
  <c r="O176" i="156"/>
  <c r="J228" i="156"/>
  <c r="O93" i="156"/>
  <c r="O57" i="156"/>
  <c r="J227" i="156"/>
  <c r="O186" i="156"/>
  <c r="O178" i="156"/>
  <c r="O140" i="156"/>
  <c r="O83" i="156"/>
  <c r="O55" i="156"/>
  <c r="O36" i="156"/>
  <c r="O158" i="156"/>
  <c r="O181" i="156"/>
  <c r="O199" i="156"/>
  <c r="O172" i="156"/>
  <c r="O147" i="156"/>
  <c r="O103" i="156"/>
  <c r="O78" i="156"/>
  <c r="O211" i="156"/>
  <c r="O193" i="156"/>
  <c r="O31" i="156"/>
  <c r="O47" i="156"/>
  <c r="O155" i="156"/>
  <c r="O151" i="156"/>
  <c r="O130" i="156"/>
  <c r="O33" i="156"/>
  <c r="O119" i="156"/>
  <c r="O80" i="156"/>
  <c r="O77" i="156"/>
  <c r="J224" i="156"/>
  <c r="O137" i="156"/>
  <c r="O156" i="156"/>
  <c r="O82" i="156"/>
  <c r="J233" i="156"/>
  <c r="O62" i="156"/>
  <c r="O53" i="156"/>
  <c r="O190" i="156"/>
  <c r="O54" i="156"/>
  <c r="O206" i="156"/>
  <c r="O60" i="156"/>
  <c r="O30" i="156"/>
  <c r="O174" i="156"/>
  <c r="O179" i="156"/>
  <c r="O128" i="156"/>
  <c r="O101" i="156"/>
  <c r="O136" i="156"/>
  <c r="O61" i="156"/>
  <c r="O115" i="156"/>
  <c r="O143" i="156"/>
  <c r="O38" i="156"/>
  <c r="O74" i="156"/>
  <c r="O195" i="156"/>
  <c r="O63" i="156"/>
  <c r="O191" i="156"/>
  <c r="O88" i="156"/>
  <c r="O189" i="156"/>
  <c r="I241" i="156"/>
  <c r="I243" i="156" s="1"/>
  <c r="O210" i="156"/>
  <c r="O95" i="16"/>
  <c r="O65" i="16"/>
  <c r="O101" i="16"/>
  <c r="J229" i="16"/>
  <c r="O201" i="16"/>
  <c r="O141" i="16"/>
  <c r="O71" i="16"/>
  <c r="O113" i="16"/>
  <c r="O136" i="16"/>
  <c r="J228" i="16"/>
  <c r="O124" i="16"/>
  <c r="O58" i="16"/>
  <c r="O140" i="16"/>
  <c r="O158" i="16"/>
  <c r="O39" i="16"/>
  <c r="O54" i="16"/>
  <c r="J233" i="16"/>
  <c r="O47" i="16"/>
  <c r="O77" i="16"/>
  <c r="O156" i="16"/>
  <c r="O160" i="16"/>
  <c r="O50" i="16"/>
  <c r="O76" i="16"/>
  <c r="O148" i="16"/>
  <c r="O64" i="16"/>
  <c r="O210" i="16"/>
  <c r="O33" i="16"/>
  <c r="O172" i="16"/>
  <c r="O145" i="16"/>
  <c r="O199" i="16"/>
  <c r="J226" i="16"/>
  <c r="O154" i="16"/>
  <c r="O111" i="16"/>
  <c r="O179" i="16"/>
  <c r="O152" i="16"/>
  <c r="O184" i="16"/>
  <c r="O174" i="16"/>
  <c r="O90" i="16"/>
  <c r="O52" i="16"/>
  <c r="O205" i="156"/>
  <c r="O66" i="47"/>
  <c r="O55" i="47"/>
  <c r="J19" i="24"/>
  <c r="J18" i="24"/>
  <c r="J26" i="37"/>
  <c r="O42" i="142"/>
  <c r="O75" i="142"/>
  <c r="O105" i="142"/>
  <c r="O157" i="142"/>
  <c r="O56" i="142"/>
  <c r="O178" i="142"/>
  <c r="O185" i="142"/>
  <c r="O176" i="142"/>
  <c r="O165" i="142"/>
  <c r="O172" i="142"/>
  <c r="M18" i="142"/>
  <c r="O54" i="142"/>
  <c r="J227" i="142"/>
  <c r="O83" i="142"/>
  <c r="O33" i="142"/>
  <c r="O206" i="142"/>
  <c r="O131" i="142"/>
  <c r="O187" i="142"/>
  <c r="O122" i="142"/>
  <c r="O38" i="142"/>
  <c r="O58" i="66"/>
  <c r="O69" i="83"/>
  <c r="O191" i="43"/>
  <c r="F243" i="157"/>
  <c r="O107" i="150"/>
  <c r="J232" i="150"/>
  <c r="O46" i="150"/>
  <c r="O103" i="150"/>
  <c r="O209" i="150"/>
  <c r="O193" i="150"/>
  <c r="O31" i="150"/>
  <c r="O90" i="150"/>
  <c r="O36" i="150"/>
  <c r="O140" i="150"/>
  <c r="J228" i="150"/>
  <c r="O72" i="150"/>
  <c r="O70" i="150"/>
  <c r="O40" i="150"/>
  <c r="O79" i="150"/>
  <c r="I241" i="150"/>
  <c r="I243" i="150" s="1"/>
  <c r="O176" i="150"/>
  <c r="O173" i="150"/>
  <c r="O155" i="150"/>
  <c r="M16" i="42"/>
  <c r="J25" i="42"/>
  <c r="O197" i="38"/>
  <c r="O209" i="83"/>
  <c r="J228" i="83"/>
  <c r="O197" i="83"/>
  <c r="O77" i="145"/>
  <c r="J232" i="145"/>
  <c r="O189" i="145"/>
  <c r="O145" i="145"/>
  <c r="O38" i="145"/>
  <c r="O153" i="145"/>
  <c r="O205" i="145"/>
  <c r="O156" i="145"/>
  <c r="O134" i="145"/>
  <c r="O59" i="145"/>
  <c r="O57" i="145"/>
  <c r="O64" i="145"/>
  <c r="O142" i="63"/>
  <c r="O195" i="16"/>
  <c r="O176" i="16"/>
  <c r="O79" i="16"/>
  <c r="O170" i="16"/>
  <c r="O187" i="16"/>
  <c r="O164" i="38"/>
  <c r="O61" i="38"/>
  <c r="O189" i="38"/>
  <c r="O54" i="38"/>
  <c r="O93" i="38"/>
  <c r="O152" i="38"/>
  <c r="O43" i="38"/>
  <c r="O69" i="89"/>
  <c r="O178" i="89"/>
  <c r="O177" i="89"/>
  <c r="O165" i="89"/>
  <c r="O183" i="89"/>
  <c r="O187" i="89"/>
  <c r="O51" i="89"/>
  <c r="O156" i="89"/>
  <c r="O166" i="63"/>
  <c r="O208" i="63"/>
  <c r="O36" i="63"/>
  <c r="O206" i="63"/>
  <c r="O165" i="63"/>
  <c r="J227" i="63"/>
  <c r="O209" i="63"/>
  <c r="O183" i="47"/>
  <c r="O95" i="47"/>
  <c r="O81" i="47"/>
  <c r="O65" i="47"/>
  <c r="O176" i="47"/>
  <c r="O31" i="47"/>
  <c r="O207" i="47"/>
  <c r="O120" i="156"/>
  <c r="O106" i="156"/>
  <c r="O102" i="156"/>
  <c r="O91" i="156"/>
  <c r="O180" i="156"/>
  <c r="O105" i="156"/>
  <c r="O107" i="156"/>
  <c r="O207" i="60"/>
  <c r="O198" i="60"/>
  <c r="O45" i="60"/>
  <c r="O70" i="60"/>
  <c r="M18" i="60"/>
  <c r="O182" i="89"/>
  <c r="O114" i="60"/>
  <c r="J20" i="20"/>
  <c r="J21" i="20"/>
  <c r="J22" i="20"/>
  <c r="M16" i="20"/>
  <c r="J23" i="20"/>
  <c r="O116" i="47"/>
  <c r="J19" i="155"/>
  <c r="J20" i="72"/>
  <c r="M16" i="72"/>
  <c r="J19" i="72"/>
  <c r="O116" i="38"/>
  <c r="O40" i="60"/>
  <c r="O150" i="63"/>
  <c r="O111" i="145"/>
  <c r="O34" i="145"/>
  <c r="O136" i="145"/>
  <c r="O201" i="145"/>
  <c r="O98" i="89"/>
  <c r="O106" i="145"/>
  <c r="O61" i="145"/>
  <c r="O129" i="63"/>
  <c r="O210" i="47"/>
  <c r="J18" i="37"/>
  <c r="O51" i="142"/>
  <c r="O135" i="142"/>
  <c r="O76" i="142"/>
  <c r="J228" i="142"/>
  <c r="O87" i="142"/>
  <c r="O200" i="142"/>
  <c r="O93" i="142"/>
  <c r="J233" i="142"/>
  <c r="O59" i="142"/>
  <c r="O45" i="142"/>
  <c r="O47" i="142"/>
  <c r="O31" i="142"/>
  <c r="O173" i="142"/>
  <c r="J225" i="142"/>
  <c r="O96" i="142"/>
  <c r="I241" i="142"/>
  <c r="I243" i="142" s="1"/>
  <c r="O101" i="142"/>
  <c r="O205" i="142"/>
  <c r="O198" i="142"/>
  <c r="O148" i="63"/>
  <c r="O175" i="43"/>
  <c r="O88" i="150"/>
  <c r="O56" i="150"/>
  <c r="O35" i="150"/>
  <c r="J227" i="150"/>
  <c r="O185" i="150"/>
  <c r="O94" i="150"/>
  <c r="O156" i="150"/>
  <c r="O184" i="150"/>
  <c r="O122" i="150"/>
  <c r="O189" i="150"/>
  <c r="O121" i="150"/>
  <c r="O43" i="150"/>
  <c r="O177" i="150"/>
  <c r="O61" i="150"/>
  <c r="O160" i="150"/>
  <c r="J224" i="150"/>
  <c r="O135" i="150"/>
  <c r="O142" i="150"/>
  <c r="O143" i="150"/>
  <c r="J16" i="42"/>
  <c r="O122" i="38"/>
  <c r="O82" i="83"/>
  <c r="O192" i="83"/>
  <c r="J224" i="83"/>
  <c r="O175" i="145"/>
  <c r="O131" i="145"/>
  <c r="O94" i="145"/>
  <c r="O115" i="145"/>
  <c r="O47" i="145"/>
  <c r="O157" i="145"/>
  <c r="O155" i="145"/>
  <c r="O198" i="145"/>
  <c r="O184" i="145"/>
  <c r="O72" i="145"/>
  <c r="O160" i="145"/>
  <c r="O147" i="16"/>
  <c r="O197" i="16"/>
  <c r="O88" i="16"/>
  <c r="O55" i="16"/>
  <c r="O115" i="16"/>
  <c r="O94" i="38"/>
  <c r="O41" i="38"/>
  <c r="O81" i="38"/>
  <c r="O73" i="38"/>
  <c r="O153" i="38"/>
  <c r="O131" i="38"/>
  <c r="O48" i="38"/>
  <c r="O209" i="89"/>
  <c r="J228" i="89"/>
  <c r="O130" i="89"/>
  <c r="O35" i="89"/>
  <c r="O129" i="89"/>
  <c r="O36" i="89"/>
  <c r="O207" i="89"/>
  <c r="F243" i="152"/>
  <c r="O128" i="63"/>
  <c r="O53" i="145"/>
  <c r="O74" i="63"/>
  <c r="O190" i="63"/>
  <c r="J226" i="63"/>
  <c r="O48" i="63"/>
  <c r="O89" i="63"/>
  <c r="O158" i="63"/>
  <c r="O53" i="63"/>
  <c r="O143" i="63"/>
  <c r="O98" i="150"/>
  <c r="O189" i="47"/>
  <c r="O61" i="47"/>
  <c r="O41" i="47"/>
  <c r="O188" i="47"/>
  <c r="O60" i="47"/>
  <c r="M18" i="47"/>
  <c r="O43" i="156"/>
  <c r="J226" i="156"/>
  <c r="O183" i="156"/>
  <c r="O58" i="156"/>
  <c r="O131" i="156"/>
  <c r="O104" i="156"/>
  <c r="O163" i="156"/>
  <c r="O124" i="150"/>
  <c r="O143" i="60"/>
  <c r="O51" i="60"/>
  <c r="O175" i="60"/>
  <c r="O115" i="60"/>
  <c r="O154" i="60"/>
  <c r="O169" i="60"/>
  <c r="O152" i="60"/>
  <c r="O58" i="89"/>
  <c r="O49" i="150"/>
  <c r="O40" i="142"/>
  <c r="O166" i="150"/>
  <c r="O150" i="84"/>
  <c r="O147" i="84"/>
  <c r="O181" i="84"/>
  <c r="O185" i="84"/>
  <c r="O38" i="84"/>
  <c r="O135" i="84"/>
  <c r="O72" i="84"/>
  <c r="O39" i="84"/>
  <c r="O53" i="38"/>
  <c r="O183" i="16"/>
  <c r="O124" i="145"/>
  <c r="O94" i="60"/>
  <c r="O202" i="63"/>
  <c r="O116" i="145"/>
  <c r="O166" i="142"/>
  <c r="O124" i="60"/>
  <c r="O107" i="89"/>
  <c r="O107" i="145"/>
  <c r="O98" i="63"/>
  <c r="O202" i="156"/>
  <c r="O202" i="89"/>
  <c r="O66" i="89"/>
  <c r="O107" i="47"/>
  <c r="O98" i="142"/>
  <c r="O166" i="156"/>
  <c r="O211" i="62"/>
  <c r="O211" i="47"/>
  <c r="O66" i="63"/>
  <c r="O124" i="63"/>
  <c r="O211" i="63"/>
  <c r="O116" i="60"/>
  <c r="O211" i="89"/>
  <c r="I241" i="145"/>
  <c r="O84" i="63"/>
  <c r="O202" i="38"/>
  <c r="O202" i="60"/>
  <c r="O202" i="142"/>
  <c r="O166" i="89"/>
  <c r="O202" i="145"/>
  <c r="O66" i="38"/>
  <c r="I213" i="16"/>
  <c r="J132" i="16" s="1"/>
  <c r="O124" i="156"/>
  <c r="O124" i="47"/>
  <c r="O84" i="60"/>
  <c r="O202" i="16"/>
  <c r="O107" i="16"/>
  <c r="O116" i="156"/>
  <c r="O66" i="145"/>
  <c r="O66" i="150"/>
  <c r="O98" i="31"/>
  <c r="O211" i="145"/>
  <c r="O107" i="38"/>
  <c r="O88" i="42"/>
  <c r="O64" i="42"/>
  <c r="O123" i="42"/>
  <c r="J22" i="92"/>
  <c r="J21" i="92"/>
  <c r="O137" i="92"/>
  <c r="O193" i="92"/>
  <c r="O102" i="92"/>
  <c r="O98" i="92"/>
  <c r="O66" i="92"/>
  <c r="J22" i="39"/>
  <c r="O202" i="175"/>
  <c r="J20" i="119"/>
  <c r="J225" i="46"/>
  <c r="O70" i="86"/>
  <c r="O79" i="86"/>
  <c r="O81" i="86"/>
  <c r="J233" i="86"/>
  <c r="O186" i="92"/>
  <c r="O57" i="152"/>
  <c r="J23" i="39"/>
  <c r="J21" i="152"/>
  <c r="J20" i="152"/>
  <c r="F220" i="156"/>
  <c r="F220" i="20"/>
  <c r="M16" i="119"/>
  <c r="O154" i="46"/>
  <c r="O84" i="83"/>
  <c r="F220" i="53"/>
  <c r="J23" i="157"/>
  <c r="J18" i="157"/>
  <c r="O74" i="86"/>
  <c r="O182" i="83"/>
  <c r="O93" i="83"/>
  <c r="J26" i="79"/>
  <c r="J19" i="79"/>
  <c r="O107" i="83"/>
  <c r="J229" i="83"/>
  <c r="J230" i="83"/>
  <c r="O41" i="83"/>
  <c r="O173" i="83"/>
  <c r="O61" i="83"/>
  <c r="O177" i="83"/>
  <c r="O131" i="83"/>
  <c r="O97" i="83"/>
  <c r="O110" i="86"/>
  <c r="O138" i="86"/>
  <c r="O160" i="86"/>
  <c r="O178" i="86"/>
  <c r="J224" i="86"/>
  <c r="O113" i="86"/>
  <c r="O135" i="86"/>
  <c r="O60" i="86"/>
  <c r="O80" i="86"/>
  <c r="I241" i="86"/>
  <c r="I243" i="86" s="1"/>
  <c r="J225" i="86"/>
  <c r="O50" i="86"/>
  <c r="O122" i="86"/>
  <c r="O177" i="86"/>
  <c r="O155" i="86"/>
  <c r="O164" i="86"/>
  <c r="O171" i="86"/>
  <c r="O57" i="86"/>
  <c r="O175" i="86"/>
  <c r="J17" i="86"/>
  <c r="J18" i="20"/>
  <c r="O178" i="152"/>
  <c r="O128" i="119"/>
  <c r="J18" i="92"/>
  <c r="O169" i="92"/>
  <c r="O91" i="92"/>
  <c r="O140" i="92"/>
  <c r="O200" i="92"/>
  <c r="O191" i="92"/>
  <c r="J229" i="92"/>
  <c r="O124" i="1"/>
  <c r="M16" i="31"/>
  <c r="O113" i="83"/>
  <c r="J24" i="39"/>
  <c r="M16" i="157"/>
  <c r="O112" i="86"/>
  <c r="O52" i="86"/>
  <c r="O130" i="86"/>
  <c r="O180" i="86"/>
  <c r="O65" i="86"/>
  <c r="O156" i="86"/>
  <c r="O197" i="86"/>
  <c r="J24" i="92"/>
  <c r="O121" i="92"/>
  <c r="J26" i="39"/>
  <c r="J17" i="152"/>
  <c r="J24" i="119"/>
  <c r="O181" i="46"/>
  <c r="O165" i="86"/>
  <c r="J22" i="157"/>
  <c r="O98" i="83"/>
  <c r="J17" i="79"/>
  <c r="J24" i="79"/>
  <c r="O83" i="83"/>
  <c r="O73" i="83"/>
  <c r="O179" i="83"/>
  <c r="M18" i="83"/>
  <c r="J225" i="83"/>
  <c r="O155" i="83"/>
  <c r="O51" i="83"/>
  <c r="O101" i="83"/>
  <c r="O189" i="86"/>
  <c r="O199" i="86"/>
  <c r="O147" i="86"/>
  <c r="O33" i="86"/>
  <c r="O97" i="86"/>
  <c r="O182" i="86"/>
  <c r="O172" i="86"/>
  <c r="O150" i="86"/>
  <c r="O103" i="86"/>
  <c r="O183" i="86"/>
  <c r="O82" i="86"/>
  <c r="O119" i="86"/>
  <c r="O37" i="86"/>
  <c r="O94" i="86"/>
  <c r="O39" i="86"/>
  <c r="O154" i="86"/>
  <c r="O90" i="86"/>
  <c r="O173" i="86"/>
  <c r="J22" i="86"/>
  <c r="J21" i="86"/>
  <c r="O211" i="86"/>
  <c r="J17" i="92"/>
  <c r="J16" i="92"/>
  <c r="O131" i="92"/>
  <c r="O138" i="92"/>
  <c r="O178" i="92"/>
  <c r="O56" i="92"/>
  <c r="O72" i="92"/>
  <c r="O206" i="92"/>
  <c r="O166" i="86"/>
  <c r="O137" i="86"/>
  <c r="O89" i="86"/>
  <c r="O98" i="86"/>
  <c r="O114" i="86"/>
  <c r="M20" i="90"/>
  <c r="I242" i="90"/>
  <c r="M20" i="66"/>
  <c r="O129" i="46"/>
  <c r="O145" i="92"/>
  <c r="O201" i="92"/>
  <c r="O64" i="92"/>
  <c r="O201" i="86"/>
  <c r="O170" i="83"/>
  <c r="J25" i="39"/>
  <c r="O202" i="83"/>
  <c r="J24" i="152"/>
  <c r="J25" i="119"/>
  <c r="J23" i="119"/>
  <c r="O52" i="83"/>
  <c r="O113" i="46"/>
  <c r="O96" i="46"/>
  <c r="J16" i="157"/>
  <c r="J24" i="157"/>
  <c r="J20" i="79"/>
  <c r="J16" i="79"/>
  <c r="O183" i="83"/>
  <c r="O63" i="83"/>
  <c r="O58" i="83"/>
  <c r="O87" i="83"/>
  <c r="O91" i="83"/>
  <c r="O172" i="83"/>
  <c r="O96" i="83"/>
  <c r="O181" i="83"/>
  <c r="O158" i="83"/>
  <c r="O95" i="86"/>
  <c r="O40" i="86"/>
  <c r="O76" i="86"/>
  <c r="O101" i="86"/>
  <c r="J227" i="86"/>
  <c r="O193" i="86"/>
  <c r="O111" i="86"/>
  <c r="O209" i="86"/>
  <c r="O185" i="86"/>
  <c r="O77" i="86"/>
  <c r="O151" i="86"/>
  <c r="O104" i="86"/>
  <c r="O43" i="86"/>
  <c r="O176" i="86"/>
  <c r="O53" i="86"/>
  <c r="O162" i="86"/>
  <c r="J230" i="86"/>
  <c r="O42" i="86"/>
  <c r="O200" i="86"/>
  <c r="O26" i="86"/>
  <c r="J26" i="86"/>
  <c r="O64" i="86"/>
  <c r="J17" i="20"/>
  <c r="M16" i="92"/>
  <c r="J25" i="92"/>
  <c r="O61" i="92"/>
  <c r="O209" i="92"/>
  <c r="O93" i="92"/>
  <c r="O111" i="92"/>
  <c r="O51" i="92"/>
  <c r="O36" i="92"/>
  <c r="O116" i="83"/>
  <c r="O116" i="86"/>
  <c r="O124" i="86"/>
  <c r="O47" i="92"/>
  <c r="O143" i="46"/>
  <c r="O174" i="86"/>
  <c r="O36" i="86"/>
  <c r="O188" i="86"/>
  <c r="O210" i="92"/>
  <c r="O197" i="92"/>
  <c r="O98" i="49"/>
  <c r="O26" i="39"/>
  <c r="J22" i="152"/>
  <c r="F243" i="28"/>
  <c r="J16" i="119"/>
  <c r="J26" i="119"/>
  <c r="O59" i="46"/>
  <c r="O41" i="46"/>
  <c r="J20" i="157"/>
  <c r="J25" i="157"/>
  <c r="J22" i="79"/>
  <c r="J18" i="79"/>
  <c r="O74" i="83"/>
  <c r="O135" i="83"/>
  <c r="O147" i="83"/>
  <c r="O129" i="83"/>
  <c r="O122" i="83"/>
  <c r="O80" i="83"/>
  <c r="O33" i="83"/>
  <c r="O53" i="83"/>
  <c r="O162" i="83"/>
  <c r="O134" i="86"/>
  <c r="O62" i="86"/>
  <c r="O186" i="86"/>
  <c r="O93" i="86"/>
  <c r="O128" i="86"/>
  <c r="O51" i="86"/>
  <c r="O87" i="86"/>
  <c r="O73" i="86"/>
  <c r="O34" i="86"/>
  <c r="O158" i="86"/>
  <c r="O208" i="86"/>
  <c r="O152" i="86"/>
  <c r="O92" i="86"/>
  <c r="O49" i="86"/>
  <c r="J228" i="86"/>
  <c r="O190" i="86"/>
  <c r="O161" i="86"/>
  <c r="O105" i="86"/>
  <c r="O30" i="86"/>
  <c r="O62" i="83"/>
  <c r="F220" i="38"/>
  <c r="J16" i="86"/>
  <c r="J24" i="86"/>
  <c r="J25" i="20"/>
  <c r="J16" i="20"/>
  <c r="J23" i="92"/>
  <c r="O60" i="92"/>
  <c r="O122" i="92"/>
  <c r="O62" i="92"/>
  <c r="O59" i="92"/>
  <c r="J225" i="92"/>
  <c r="O48" i="92"/>
  <c r="O65" i="152"/>
  <c r="O59" i="83"/>
  <c r="O46" i="86"/>
  <c r="O124" i="31"/>
  <c r="O116" i="58"/>
  <c r="O198" i="86"/>
  <c r="F243" i="25"/>
  <c r="O155" i="46"/>
  <c r="J21" i="157"/>
  <c r="O163" i="86"/>
  <c r="O153" i="86"/>
  <c r="O121" i="86"/>
  <c r="J226" i="92"/>
  <c r="O120" i="92"/>
  <c r="F243" i="145"/>
  <c r="O140" i="83"/>
  <c r="J17" i="119"/>
  <c r="O163" i="46"/>
  <c r="O32" i="46"/>
  <c r="O48" i="86"/>
  <c r="O150" i="83"/>
  <c r="O115" i="83"/>
  <c r="O169" i="83"/>
  <c r="O141" i="83"/>
  <c r="O191" i="83"/>
  <c r="O49" i="83"/>
  <c r="O186" i="83"/>
  <c r="O188" i="83"/>
  <c r="O31" i="83"/>
  <c r="O96" i="86"/>
  <c r="O205" i="86"/>
  <c r="O41" i="86"/>
  <c r="O44" i="86"/>
  <c r="O129" i="86"/>
  <c r="O115" i="86"/>
  <c r="O179" i="86"/>
  <c r="O83" i="86"/>
  <c r="O169" i="86"/>
  <c r="O170" i="86"/>
  <c r="O196" i="86"/>
  <c r="O148" i="86"/>
  <c r="O136" i="86"/>
  <c r="O55" i="86"/>
  <c r="J229" i="86"/>
  <c r="O140" i="86"/>
  <c r="O157" i="86"/>
  <c r="O206" i="86"/>
  <c r="O181" i="86"/>
  <c r="J19" i="86"/>
  <c r="J19" i="20"/>
  <c r="O66" i="86"/>
  <c r="J20" i="92"/>
  <c r="O135" i="92"/>
  <c r="O77" i="92"/>
  <c r="O151" i="92"/>
  <c r="O53" i="92"/>
  <c r="O89" i="92"/>
  <c r="J233" i="92"/>
  <c r="O84" i="85"/>
  <c r="O102" i="152"/>
  <c r="O123" i="83"/>
  <c r="O38" i="86"/>
  <c r="J23" i="145"/>
  <c r="M16" i="145"/>
  <c r="O207" i="90"/>
  <c r="O43" i="90"/>
  <c r="O143" i="43"/>
  <c r="O114" i="43"/>
  <c r="O131" i="43"/>
  <c r="O201" i="31"/>
  <c r="O131" i="31"/>
  <c r="O64" i="31"/>
  <c r="O41" i="31"/>
  <c r="O151" i="31"/>
  <c r="J229" i="31"/>
  <c r="J230" i="31"/>
  <c r="O135" i="31"/>
  <c r="O42" i="31"/>
  <c r="O179" i="31"/>
  <c r="O111" i="31"/>
  <c r="O51" i="31"/>
  <c r="O81" i="31"/>
  <c r="O121" i="31"/>
  <c r="O83" i="31"/>
  <c r="O148" i="31"/>
  <c r="O173" i="31"/>
  <c r="O73" i="31"/>
  <c r="O30" i="31"/>
  <c r="O55" i="31"/>
  <c r="O158" i="31"/>
  <c r="O196" i="31"/>
  <c r="O186" i="31"/>
  <c r="O37" i="31"/>
  <c r="I241" i="31"/>
  <c r="O105" i="31"/>
  <c r="O198" i="31"/>
  <c r="O79" i="31"/>
  <c r="O188" i="31"/>
  <c r="O39" i="31"/>
  <c r="O185" i="31"/>
  <c r="O95" i="31"/>
  <c r="O180" i="31"/>
  <c r="O38" i="31"/>
  <c r="O102" i="31"/>
  <c r="O80" i="31"/>
  <c r="O96" i="31"/>
  <c r="O59" i="31"/>
  <c r="O43" i="31"/>
  <c r="O70" i="31"/>
  <c r="O115" i="31"/>
  <c r="O184" i="31"/>
  <c r="J228" i="31"/>
  <c r="J225" i="31"/>
  <c r="O92" i="31"/>
  <c r="O175" i="31"/>
  <c r="O93" i="31"/>
  <c r="O193" i="31"/>
  <c r="O106" i="31"/>
  <c r="O134" i="31"/>
  <c r="O150" i="31"/>
  <c r="O129" i="31"/>
  <c r="J227" i="31"/>
  <c r="O199" i="31"/>
  <c r="O56" i="31"/>
  <c r="O82" i="31"/>
  <c r="O142" i="31"/>
  <c r="O202" i="31"/>
  <c r="O163" i="31"/>
  <c r="O119" i="31"/>
  <c r="O145" i="31"/>
  <c r="O74" i="31"/>
  <c r="O165" i="31"/>
  <c r="O61" i="31"/>
  <c r="O50" i="31"/>
  <c r="O89" i="31"/>
  <c r="O206" i="31"/>
  <c r="O113" i="31"/>
  <c r="J233" i="31"/>
  <c r="O183" i="31"/>
  <c r="O35" i="31"/>
  <c r="O209" i="31"/>
  <c r="O32" i="31"/>
  <c r="O120" i="31"/>
  <c r="O171" i="31"/>
  <c r="O53" i="31"/>
  <c r="O114" i="31"/>
  <c r="O107" i="31"/>
  <c r="O69" i="152"/>
  <c r="O171" i="152"/>
  <c r="O208" i="152"/>
  <c r="O66" i="152"/>
  <c r="J22" i="145"/>
  <c r="O94" i="118"/>
  <c r="O166" i="118"/>
  <c r="O171" i="43"/>
  <c r="O48" i="43"/>
  <c r="O172" i="43"/>
  <c r="O200" i="43"/>
  <c r="O180" i="27"/>
  <c r="O77" i="27"/>
  <c r="O98" i="27"/>
  <c r="J19" i="141"/>
  <c r="O116" i="152"/>
  <c r="O170" i="31"/>
  <c r="O195" i="31"/>
  <c r="O88" i="31"/>
  <c r="O122" i="31"/>
  <c r="O191" i="31"/>
  <c r="O207" i="31"/>
  <c r="O52" i="31"/>
  <c r="O87" i="31"/>
  <c r="O182" i="31"/>
  <c r="O44" i="31"/>
  <c r="F220" i="54"/>
  <c r="O120" i="152"/>
  <c r="O124" i="84"/>
  <c r="O76" i="84"/>
  <c r="O111" i="84"/>
  <c r="O143" i="84"/>
  <c r="O32" i="84"/>
  <c r="O114" i="84"/>
  <c r="O195" i="84"/>
  <c r="O45" i="84"/>
  <c r="O47" i="84"/>
  <c r="O131" i="84"/>
  <c r="O36" i="84"/>
  <c r="O50" i="152"/>
  <c r="O184" i="177"/>
  <c r="O62" i="177"/>
  <c r="O112" i="177"/>
  <c r="O141" i="177"/>
  <c r="O101" i="177"/>
  <c r="O124" i="177"/>
  <c r="O37" i="177"/>
  <c r="O91" i="177"/>
  <c r="O197" i="177"/>
  <c r="O89" i="177"/>
  <c r="O70" i="177"/>
  <c r="O97" i="177"/>
  <c r="O37" i="152"/>
  <c r="O32" i="152"/>
  <c r="O194" i="152"/>
  <c r="J16" i="90"/>
  <c r="J26" i="90"/>
  <c r="J22" i="90"/>
  <c r="O107" i="152"/>
  <c r="O175" i="152"/>
  <c r="O180" i="152"/>
  <c r="O176" i="152"/>
  <c r="O201" i="152"/>
  <c r="O42" i="152"/>
  <c r="O123" i="152"/>
  <c r="O153" i="152"/>
  <c r="O54" i="152"/>
  <c r="O110" i="152"/>
  <c r="O81" i="152"/>
  <c r="O147" i="152"/>
  <c r="O111" i="152"/>
  <c r="O185" i="152"/>
  <c r="O104" i="152"/>
  <c r="O183" i="152"/>
  <c r="I241" i="152"/>
  <c r="O82" i="152"/>
  <c r="O187" i="152"/>
  <c r="O145" i="152"/>
  <c r="O96" i="152"/>
  <c r="O48" i="152"/>
  <c r="O177" i="152"/>
  <c r="O88" i="152"/>
  <c r="O165" i="152"/>
  <c r="O95" i="152"/>
  <c r="O72" i="152"/>
  <c r="O131" i="152"/>
  <c r="O87" i="152"/>
  <c r="O64" i="152"/>
  <c r="O146" i="152"/>
  <c r="O122" i="152"/>
  <c r="O30" i="152"/>
  <c r="O138" i="152"/>
  <c r="O182" i="152"/>
  <c r="O78" i="152"/>
  <c r="O132" i="152"/>
  <c r="O77" i="152"/>
  <c r="O79" i="152"/>
  <c r="O38" i="152"/>
  <c r="O76" i="152"/>
  <c r="O119" i="152"/>
  <c r="O158" i="152"/>
  <c r="O190" i="152"/>
  <c r="O169" i="152"/>
  <c r="O198" i="152"/>
  <c r="O115" i="152"/>
  <c r="O160" i="152"/>
  <c r="O205" i="152"/>
  <c r="O161" i="152"/>
  <c r="O114" i="152"/>
  <c r="O152" i="152"/>
  <c r="O141" i="152"/>
  <c r="J233" i="152"/>
  <c r="O211" i="152"/>
  <c r="O174" i="152"/>
  <c r="O80" i="152"/>
  <c r="O195" i="43"/>
  <c r="O178" i="27"/>
  <c r="O103" i="27"/>
  <c r="J17" i="145"/>
  <c r="O26" i="152"/>
  <c r="O150" i="27"/>
  <c r="O169" i="43"/>
  <c r="O62" i="43"/>
  <c r="O92" i="43"/>
  <c r="O91" i="43"/>
  <c r="O111" i="43"/>
  <c r="O66" i="43"/>
  <c r="O78" i="27"/>
  <c r="O55" i="27"/>
  <c r="O202" i="152"/>
  <c r="J18" i="141"/>
  <c r="O97" i="152"/>
  <c r="O77" i="31"/>
  <c r="O192" i="31"/>
  <c r="O177" i="31"/>
  <c r="O58" i="31"/>
  <c r="O156" i="31"/>
  <c r="O75" i="31"/>
  <c r="O65" i="31"/>
  <c r="O31" i="31"/>
  <c r="O147" i="31"/>
  <c r="O97" i="31"/>
  <c r="M20" i="118"/>
  <c r="O66" i="27"/>
  <c r="O164" i="152"/>
  <c r="O59" i="152"/>
  <c r="O101" i="152"/>
  <c r="J224" i="152"/>
  <c r="O46" i="27"/>
  <c r="O35" i="27"/>
  <c r="O156" i="27"/>
  <c r="O160" i="27"/>
  <c r="J225" i="27"/>
  <c r="O206" i="27"/>
  <c r="O210" i="27"/>
  <c r="O60" i="27"/>
  <c r="O182" i="27"/>
  <c r="O175" i="27"/>
  <c r="O56" i="27"/>
  <c r="J232" i="27"/>
  <c r="O115" i="27"/>
  <c r="O39" i="27"/>
  <c r="O194" i="27"/>
  <c r="O36" i="27"/>
  <c r="O69" i="27"/>
  <c r="O93" i="27"/>
  <c r="O187" i="27"/>
  <c r="F243" i="94"/>
  <c r="O44" i="43"/>
  <c r="O77" i="43"/>
  <c r="O137" i="27"/>
  <c r="O185" i="27"/>
  <c r="O26" i="141"/>
  <c r="O166" i="27"/>
  <c r="O206" i="152"/>
  <c r="F220" i="142"/>
  <c r="O143" i="152"/>
  <c r="O136" i="152"/>
  <c r="F220" i="177"/>
  <c r="J24" i="145"/>
  <c r="O130" i="152"/>
  <c r="O198" i="43"/>
  <c r="O129" i="43"/>
  <c r="J232" i="43"/>
  <c r="O57" i="27"/>
  <c r="O208" i="27"/>
  <c r="O37" i="27"/>
  <c r="J25" i="141"/>
  <c r="F243" i="20"/>
  <c r="O151" i="152"/>
  <c r="O84" i="152"/>
  <c r="O63" i="31"/>
  <c r="O36" i="31"/>
  <c r="O143" i="31"/>
  <c r="O47" i="31"/>
  <c r="O136" i="31"/>
  <c r="O181" i="31"/>
  <c r="O34" i="31"/>
  <c r="O132" i="31"/>
  <c r="O33" i="31"/>
  <c r="O48" i="31"/>
  <c r="O91" i="31"/>
  <c r="O145" i="95"/>
  <c r="O200" i="95"/>
  <c r="O173" i="95"/>
  <c r="O154" i="84"/>
  <c r="O173" i="152"/>
  <c r="O134" i="152"/>
  <c r="O207" i="152"/>
  <c r="O55" i="152"/>
  <c r="J21" i="72"/>
  <c r="J18" i="72"/>
  <c r="J22" i="72"/>
  <c r="J26" i="72"/>
  <c r="J16" i="72"/>
  <c r="J25" i="72"/>
  <c r="J17" i="72"/>
  <c r="O189" i="152"/>
  <c r="O157" i="152"/>
  <c r="O38" i="64"/>
  <c r="O135" i="64"/>
  <c r="O154" i="64"/>
  <c r="O114" i="64"/>
  <c r="O184" i="64"/>
  <c r="J229" i="64"/>
  <c r="O101" i="64"/>
  <c r="O58" i="64"/>
  <c r="O80" i="64"/>
  <c r="J233" i="64"/>
  <c r="O97" i="64"/>
  <c r="J225" i="64"/>
  <c r="O181" i="64"/>
  <c r="O158" i="64"/>
  <c r="O136" i="64"/>
  <c r="J228" i="64"/>
  <c r="O155" i="64"/>
  <c r="O105" i="64"/>
  <c r="O134" i="64"/>
  <c r="O161" i="64"/>
  <c r="O95" i="64"/>
  <c r="O197" i="64"/>
  <c r="O157" i="64"/>
  <c r="O176" i="64"/>
  <c r="O56" i="64"/>
  <c r="J224" i="64"/>
  <c r="O145" i="64"/>
  <c r="O60" i="64"/>
  <c r="O72" i="64"/>
  <c r="O102" i="64"/>
  <c r="O160" i="64"/>
  <c r="O200" i="64"/>
  <c r="O104" i="64"/>
  <c r="O198" i="64"/>
  <c r="O187" i="64"/>
  <c r="O51" i="64"/>
  <c r="O82" i="64"/>
  <c r="O210" i="64"/>
  <c r="O193" i="64"/>
  <c r="O153" i="64"/>
  <c r="O171" i="64"/>
  <c r="O79" i="64"/>
  <c r="O137" i="64"/>
  <c r="O41" i="64"/>
  <c r="O90" i="64"/>
  <c r="O182" i="64"/>
  <c r="O191" i="64"/>
  <c r="O111" i="64"/>
  <c r="O48" i="64"/>
  <c r="O192" i="64"/>
  <c r="O140" i="64"/>
  <c r="O89" i="64"/>
  <c r="O64" i="64"/>
  <c r="O83" i="64"/>
  <c r="J226" i="64"/>
  <c r="O74" i="64"/>
  <c r="O62" i="64"/>
  <c r="O57" i="64"/>
  <c r="O37" i="64"/>
  <c r="O55" i="64"/>
  <c r="O44" i="64"/>
  <c r="O152" i="64"/>
  <c r="O92" i="64"/>
  <c r="O119" i="64"/>
  <c r="O42" i="64"/>
  <c r="O70" i="64"/>
  <c r="O170" i="64"/>
  <c r="I241" i="64"/>
  <c r="O47" i="64"/>
  <c r="O61" i="64"/>
  <c r="O185" i="64"/>
  <c r="O162" i="64"/>
  <c r="O195" i="64"/>
  <c r="O87" i="64"/>
  <c r="O33" i="64"/>
  <c r="O26" i="177"/>
  <c r="O46" i="43"/>
  <c r="O205" i="27"/>
  <c r="O84" i="118"/>
  <c r="O143" i="118"/>
  <c r="J19" i="145"/>
  <c r="O166" i="152"/>
  <c r="O55" i="43"/>
  <c r="J225" i="43"/>
  <c r="O152" i="43"/>
  <c r="O106" i="43"/>
  <c r="O161" i="27"/>
  <c r="O80" i="27"/>
  <c r="F220" i="25"/>
  <c r="O129" i="152"/>
  <c r="O98" i="152"/>
  <c r="O170" i="152"/>
  <c r="O40" i="31"/>
  <c r="J224" i="31"/>
  <c r="O157" i="31"/>
  <c r="O57" i="31"/>
  <c r="O54" i="31"/>
  <c r="O110" i="31"/>
  <c r="O178" i="31"/>
  <c r="O71" i="31"/>
  <c r="O72" i="31"/>
  <c r="O69" i="31"/>
  <c r="O113" i="152"/>
  <c r="O83" i="152"/>
  <c r="O90" i="152"/>
  <c r="O41" i="152"/>
  <c r="F220" i="95"/>
  <c r="I213" i="150"/>
  <c r="J84" i="150" s="1"/>
  <c r="O194" i="142"/>
  <c r="O41" i="142"/>
  <c r="O136" i="142"/>
  <c r="O142" i="142"/>
  <c r="O49" i="142"/>
  <c r="O102" i="16"/>
  <c r="O89" i="16"/>
  <c r="O59" i="16"/>
  <c r="O51" i="16"/>
  <c r="O128" i="16"/>
  <c r="M18" i="16"/>
  <c r="O189" i="16"/>
  <c r="O72" i="16"/>
  <c r="O162" i="16"/>
  <c r="O116" i="16"/>
  <c r="O94" i="16"/>
  <c r="O163" i="16"/>
  <c r="O80" i="16"/>
  <c r="O198" i="16"/>
  <c r="O134" i="16"/>
  <c r="O35" i="16"/>
  <c r="O106" i="16"/>
  <c r="J230" i="16"/>
  <c r="O48" i="16"/>
  <c r="O42" i="16"/>
  <c r="O61" i="16"/>
  <c r="O45" i="16"/>
  <c r="O196" i="16"/>
  <c r="O161" i="16"/>
  <c r="O98" i="16"/>
  <c r="O177" i="16"/>
  <c r="O63" i="16"/>
  <c r="O44" i="16"/>
  <c r="O31" i="16"/>
  <c r="O178" i="16"/>
  <c r="O164" i="16"/>
  <c r="O137" i="16"/>
  <c r="J225" i="16"/>
  <c r="O37" i="16"/>
  <c r="O143" i="16"/>
  <c r="O112" i="16"/>
  <c r="O46" i="16"/>
  <c r="O38" i="16"/>
  <c r="O188" i="16"/>
  <c r="O81" i="16"/>
  <c r="O105" i="16"/>
  <c r="O36" i="16"/>
  <c r="O69" i="16"/>
  <c r="O131" i="16"/>
  <c r="O103" i="16"/>
  <c r="O132" i="16"/>
  <c r="O104" i="16"/>
  <c r="O200" i="16"/>
  <c r="O78" i="16"/>
  <c r="O60" i="16"/>
  <c r="O57" i="16"/>
  <c r="O34" i="16"/>
  <c r="O146" i="16"/>
  <c r="O169" i="16"/>
  <c r="O209" i="16"/>
  <c r="O121" i="16"/>
  <c r="O62" i="16"/>
  <c r="I241" i="16"/>
  <c r="I243" i="16" s="1"/>
  <c r="O49" i="16"/>
  <c r="O208" i="16"/>
  <c r="O155" i="16"/>
  <c r="O92" i="16"/>
  <c r="O191" i="16"/>
  <c r="O180" i="16"/>
  <c r="O192" i="16"/>
  <c r="O182" i="16"/>
  <c r="O123" i="16"/>
  <c r="O30" i="16"/>
  <c r="O82" i="16"/>
  <c r="O185" i="16"/>
  <c r="O205" i="16"/>
  <c r="O207" i="16"/>
  <c r="J224" i="16"/>
  <c r="O129" i="16"/>
  <c r="O190" i="16"/>
  <c r="O165" i="16"/>
  <c r="O193" i="16"/>
  <c r="O74" i="16"/>
  <c r="O70" i="16"/>
  <c r="O87" i="16"/>
  <c r="O114" i="16"/>
  <c r="O138" i="16"/>
  <c r="O186" i="16"/>
  <c r="O211" i="16"/>
  <c r="O41" i="16"/>
  <c r="O91" i="16"/>
  <c r="O54" i="103"/>
  <c r="O143" i="103"/>
  <c r="O111" i="103"/>
  <c r="O107" i="103"/>
  <c r="O156" i="103"/>
  <c r="O155" i="103"/>
  <c r="O140" i="103"/>
  <c r="O151" i="103"/>
  <c r="O135" i="103"/>
  <c r="F220" i="89"/>
  <c r="M16" i="141"/>
  <c r="J16" i="141"/>
  <c r="J21" i="141"/>
  <c r="J23" i="141"/>
  <c r="J17" i="141"/>
  <c r="J22" i="141"/>
  <c r="J20" i="141"/>
  <c r="F220" i="19"/>
  <c r="O142" i="152"/>
  <c r="O74" i="152"/>
  <c r="O197" i="152"/>
  <c r="O59" i="43"/>
  <c r="O207" i="43"/>
  <c r="O172" i="152"/>
  <c r="O70" i="27"/>
  <c r="O189" i="27"/>
  <c r="J24" i="141"/>
  <c r="O191" i="15"/>
  <c r="O132" i="15"/>
  <c r="O112" i="15"/>
  <c r="O158" i="15"/>
  <c r="O150" i="15"/>
  <c r="O48" i="15"/>
  <c r="O113" i="15"/>
  <c r="O136" i="15"/>
  <c r="O198" i="15"/>
  <c r="O31" i="15"/>
  <c r="O72" i="15"/>
  <c r="O79" i="15"/>
  <c r="M18" i="15"/>
  <c r="O107" i="15"/>
  <c r="O40" i="15"/>
  <c r="O53" i="15"/>
  <c r="O208" i="15"/>
  <c r="O156" i="15"/>
  <c r="O51" i="15"/>
  <c r="O37" i="15"/>
  <c r="O186" i="15"/>
  <c r="O75" i="15"/>
  <c r="J229" i="15"/>
  <c r="O147" i="15"/>
  <c r="O92" i="15"/>
  <c r="O155" i="15"/>
  <c r="O184" i="15"/>
  <c r="O90" i="31"/>
  <c r="O189" i="31"/>
  <c r="O190" i="31"/>
  <c r="O172" i="31"/>
  <c r="O45" i="31"/>
  <c r="O141" i="31"/>
  <c r="O205" i="31"/>
  <c r="O49" i="31"/>
  <c r="O31" i="152"/>
  <c r="O210" i="152"/>
  <c r="J230" i="152"/>
  <c r="O156" i="152"/>
  <c r="F220" i="46"/>
  <c r="O107" i="64"/>
  <c r="O103" i="83"/>
  <c r="O211" i="83"/>
  <c r="O189" i="83"/>
  <c r="O35" i="83"/>
  <c r="O156" i="83"/>
  <c r="O134" i="83"/>
  <c r="O174" i="83"/>
  <c r="O104" i="83"/>
  <c r="O57" i="83"/>
  <c r="O54" i="83"/>
  <c r="O121" i="83"/>
  <c r="O40" i="83"/>
  <c r="O206" i="83"/>
  <c r="O94" i="83"/>
  <c r="O146" i="83"/>
  <c r="O89" i="83"/>
  <c r="O92" i="83"/>
  <c r="O166" i="175"/>
  <c r="O43" i="83"/>
  <c r="O107" i="90"/>
  <c r="J228" i="175"/>
  <c r="O84" i="84"/>
  <c r="O26" i="16"/>
  <c r="O39" i="39"/>
  <c r="J224" i="39"/>
  <c r="O104" i="39"/>
  <c r="O56" i="39"/>
  <c r="O110" i="39"/>
  <c r="O55" i="39"/>
  <c r="J225" i="39"/>
  <c r="O36" i="39"/>
  <c r="O115" i="39"/>
  <c r="O155" i="39"/>
  <c r="O32" i="39"/>
  <c r="O38" i="39"/>
  <c r="O95" i="39"/>
  <c r="O156" i="39"/>
  <c r="O135" i="39"/>
  <c r="O79" i="39"/>
  <c r="O166" i="83"/>
  <c r="O66" i="16"/>
  <c r="O166" i="1"/>
  <c r="O166" i="84"/>
  <c r="O136" i="83"/>
  <c r="O175" i="83"/>
  <c r="O84" i="16"/>
  <c r="O190" i="83"/>
  <c r="O112" i="83"/>
  <c r="O76" i="83"/>
  <c r="O180" i="83"/>
  <c r="O160" i="83"/>
  <c r="O153" i="83"/>
  <c r="J232" i="83"/>
  <c r="O193" i="83"/>
  <c r="O111" i="83"/>
  <c r="O102" i="83"/>
  <c r="O207" i="83"/>
  <c r="O47" i="83"/>
  <c r="O79" i="83"/>
  <c r="O184" i="83"/>
  <c r="O143" i="83"/>
  <c r="O178" i="83"/>
  <c r="O95" i="83"/>
  <c r="O163" i="83"/>
  <c r="O211" i="15"/>
  <c r="O54" i="39"/>
  <c r="O119" i="39"/>
  <c r="O90" i="39"/>
  <c r="O141" i="39"/>
  <c r="O124" i="103"/>
  <c r="O166" i="16"/>
  <c r="O66" i="83"/>
  <c r="O142" i="39"/>
  <c r="O91" i="39"/>
  <c r="O45" i="39"/>
  <c r="O80" i="39"/>
  <c r="O161" i="39"/>
  <c r="O87" i="39"/>
  <c r="O162" i="39"/>
  <c r="O76" i="39"/>
  <c r="O83" i="39"/>
  <c r="O205" i="39"/>
  <c r="O209" i="39"/>
  <c r="O58" i="39"/>
  <c r="O75" i="39"/>
  <c r="O128" i="39"/>
  <c r="O73" i="39"/>
  <c r="O107" i="84"/>
  <c r="O84" i="142"/>
  <c r="O34" i="83"/>
  <c r="O116" i="95"/>
  <c r="O211" i="46"/>
  <c r="O98" i="64"/>
  <c r="O107" i="39"/>
  <c r="O81" i="83"/>
  <c r="O36" i="83"/>
  <c r="O56" i="83"/>
  <c r="O77" i="83"/>
  <c r="O208" i="83"/>
  <c r="O50" i="83"/>
  <c r="O138" i="83"/>
  <c r="O201" i="83"/>
  <c r="O185" i="83"/>
  <c r="O45" i="83"/>
  <c r="J226" i="83"/>
  <c r="O171" i="83"/>
  <c r="O90" i="83"/>
  <c r="O157" i="83"/>
  <c r="O37" i="83"/>
  <c r="O119" i="83"/>
  <c r="O88" i="83"/>
  <c r="O198" i="83"/>
  <c r="O116" i="103"/>
  <c r="O183" i="39"/>
  <c r="O42" i="83"/>
  <c r="O179" i="39"/>
  <c r="O116" i="84"/>
  <c r="O71" i="39"/>
  <c r="O65" i="39"/>
  <c r="O180" i="39"/>
  <c r="O186" i="39"/>
  <c r="O199" i="39"/>
  <c r="O106" i="39"/>
  <c r="O148" i="39"/>
  <c r="O78" i="39"/>
  <c r="O200" i="39"/>
  <c r="O191" i="39"/>
  <c r="O136" i="39"/>
  <c r="J226" i="39"/>
  <c r="O129" i="39"/>
  <c r="O122" i="39"/>
  <c r="O165" i="39"/>
  <c r="O92" i="39"/>
  <c r="O194" i="39"/>
  <c r="O163" i="39"/>
  <c r="O207" i="39"/>
  <c r="O124" i="142"/>
  <c r="O39" i="83"/>
  <c r="O187" i="39"/>
  <c r="O176" i="39"/>
  <c r="O161" i="83"/>
  <c r="O194" i="83"/>
  <c r="O132" i="83"/>
  <c r="O152" i="83"/>
  <c r="O210" i="83"/>
  <c r="O199" i="83"/>
  <c r="O128" i="83"/>
  <c r="O205" i="83"/>
  <c r="O105" i="83"/>
  <c r="O130" i="83"/>
  <c r="O64" i="83"/>
  <c r="O65" i="83"/>
  <c r="O32" i="83"/>
  <c r="O195" i="83"/>
  <c r="O137" i="83"/>
  <c r="O164" i="83"/>
  <c r="I241" i="83"/>
  <c r="O110" i="83"/>
  <c r="O31" i="39"/>
  <c r="O66" i="84"/>
  <c r="O55" i="83"/>
  <c r="O75" i="83"/>
  <c r="F243" i="46"/>
  <c r="O26" i="27"/>
  <c r="O50" i="39"/>
  <c r="O97" i="39"/>
  <c r="O146" i="39"/>
  <c r="O154" i="39"/>
  <c r="O132" i="39"/>
  <c r="M18" i="39"/>
  <c r="O134" i="39"/>
  <c r="O82" i="39"/>
  <c r="O145" i="39"/>
  <c r="O94" i="39"/>
  <c r="O74" i="39"/>
  <c r="O64" i="39"/>
  <c r="J229" i="39"/>
  <c r="O111" i="39"/>
  <c r="O143" i="39"/>
  <c r="O164" i="39"/>
  <c r="O59" i="39"/>
  <c r="O66" i="31"/>
  <c r="O166" i="64"/>
  <c r="O66" i="103"/>
  <c r="O107" i="142"/>
  <c r="O152" i="39"/>
  <c r="O66" i="177"/>
  <c r="O112" i="165"/>
  <c r="O186" i="165"/>
  <c r="O148" i="157"/>
  <c r="O146" i="157"/>
  <c r="O172" i="157"/>
  <c r="O173" i="133"/>
  <c r="O162" i="133"/>
  <c r="O76" i="113"/>
  <c r="O186" i="175"/>
  <c r="O163" i="175"/>
  <c r="O145" i="19"/>
  <c r="O141" i="19"/>
  <c r="O174" i="19"/>
  <c r="O192" i="19"/>
  <c r="O188" i="19"/>
  <c r="O90" i="19"/>
  <c r="O135" i="19"/>
  <c r="O142" i="19"/>
  <c r="O52" i="19"/>
  <c r="J232" i="19"/>
  <c r="J227" i="19"/>
  <c r="O136" i="19"/>
  <c r="O182" i="19"/>
  <c r="O116" i="19"/>
  <c r="O63" i="19"/>
  <c r="O72" i="19"/>
  <c r="O80" i="19"/>
  <c r="O210" i="19"/>
  <c r="O81" i="19"/>
  <c r="O134" i="19"/>
  <c r="O73" i="19"/>
  <c r="O154" i="19"/>
  <c r="J228" i="19"/>
  <c r="F220" i="104"/>
  <c r="O140" i="65"/>
  <c r="O36" i="65"/>
  <c r="O32" i="65"/>
  <c r="J135" i="21"/>
  <c r="J89" i="21"/>
  <c r="J112" i="21"/>
  <c r="J114" i="21"/>
  <c r="J116" i="21"/>
  <c r="J205" i="21"/>
  <c r="J158" i="21"/>
  <c r="J129" i="21"/>
  <c r="J171" i="21"/>
  <c r="J160" i="21"/>
  <c r="J90" i="21"/>
  <c r="J150" i="21"/>
  <c r="J36" i="21"/>
  <c r="J65" i="21"/>
  <c r="J77" i="21"/>
  <c r="J153" i="21"/>
  <c r="J107" i="21"/>
  <c r="J95" i="21"/>
  <c r="J52" i="21"/>
  <c r="J195" i="21"/>
  <c r="J80" i="21"/>
  <c r="J115" i="21"/>
  <c r="J137" i="21"/>
  <c r="J74" i="21"/>
  <c r="J138" i="21"/>
  <c r="J53" i="21"/>
  <c r="J71" i="21"/>
  <c r="J147" i="21"/>
  <c r="J94" i="21"/>
  <c r="J30" i="21"/>
  <c r="J64" i="21"/>
  <c r="J41" i="21"/>
  <c r="J121" i="21"/>
  <c r="J143" i="21"/>
  <c r="J105" i="21"/>
  <c r="J136" i="21"/>
  <c r="J55" i="21"/>
  <c r="J51" i="21"/>
  <c r="J79" i="21"/>
  <c r="J122" i="21"/>
  <c r="J81" i="21"/>
  <c r="J33" i="21"/>
  <c r="J39" i="21"/>
  <c r="J56" i="21"/>
  <c r="J162" i="21"/>
  <c r="J32" i="21"/>
  <c r="J179" i="21"/>
  <c r="J175" i="21"/>
  <c r="J91" i="21"/>
  <c r="J202" i="21"/>
  <c r="J191" i="21"/>
  <c r="J31" i="21"/>
  <c r="J119" i="21"/>
  <c r="J210" i="21"/>
  <c r="J78" i="21"/>
  <c r="J45" i="21"/>
  <c r="J58" i="21"/>
  <c r="J197" i="21"/>
  <c r="J87" i="21"/>
  <c r="J134" i="21"/>
  <c r="J193" i="21"/>
  <c r="J128" i="21"/>
  <c r="J92" i="21"/>
  <c r="J82" i="21"/>
  <c r="J62" i="21"/>
  <c r="J141" i="21"/>
  <c r="J170" i="21"/>
  <c r="J146" i="21"/>
  <c r="J111" i="21"/>
  <c r="J181" i="21"/>
  <c r="J207" i="21"/>
  <c r="J180" i="21"/>
  <c r="J177" i="21"/>
  <c r="J113" i="21"/>
  <c r="J186" i="21"/>
  <c r="J132" i="21"/>
  <c r="J152" i="21"/>
  <c r="J173" i="21"/>
  <c r="J140" i="21"/>
  <c r="J48" i="21"/>
  <c r="J198" i="21"/>
  <c r="J130" i="21"/>
  <c r="J73" i="21"/>
  <c r="J110" i="21"/>
  <c r="J161" i="21"/>
  <c r="J196" i="21"/>
  <c r="J59" i="21"/>
  <c r="J60" i="21"/>
  <c r="J209" i="21"/>
  <c r="J199" i="21"/>
  <c r="J54" i="21"/>
  <c r="J88" i="21"/>
  <c r="J213" i="21"/>
  <c r="J172" i="21"/>
  <c r="J69" i="21"/>
  <c r="J98" i="21"/>
  <c r="J201" i="21"/>
  <c r="J211" i="21"/>
  <c r="J184" i="21"/>
  <c r="J194" i="21"/>
  <c r="J176" i="21"/>
  <c r="J104" i="21"/>
  <c r="J169" i="21"/>
  <c r="J103" i="21"/>
  <c r="J38" i="21"/>
  <c r="J37" i="21"/>
  <c r="J123" i="21"/>
  <c r="J101" i="21"/>
  <c r="J72" i="21"/>
  <c r="J83" i="21"/>
  <c r="J47" i="21"/>
  <c r="J166" i="21"/>
  <c r="J163" i="21"/>
  <c r="J154" i="21"/>
  <c r="J188" i="21"/>
  <c r="J102" i="21"/>
  <c r="J157" i="21"/>
  <c r="J190" i="21"/>
  <c r="J206" i="21"/>
  <c r="J43" i="21"/>
  <c r="J50" i="21"/>
  <c r="J131" i="21"/>
  <c r="J189" i="21"/>
  <c r="J165" i="21"/>
  <c r="J185" i="21"/>
  <c r="J97" i="21"/>
  <c r="J200" i="21"/>
  <c r="J182" i="21"/>
  <c r="J183" i="21"/>
  <c r="J174" i="21"/>
  <c r="J106" i="21"/>
  <c r="J75" i="21"/>
  <c r="J70" i="21"/>
  <c r="J46" i="21"/>
  <c r="J49" i="21"/>
  <c r="J93" i="21"/>
  <c r="J44" i="21"/>
  <c r="J155" i="21"/>
  <c r="M17" i="21"/>
  <c r="J142" i="21"/>
  <c r="J84" i="21"/>
  <c r="J61" i="21"/>
  <c r="J63" i="21"/>
  <c r="J96" i="21"/>
  <c r="J208" i="21"/>
  <c r="J42" i="21"/>
  <c r="J124" i="21"/>
  <c r="J57" i="21"/>
  <c r="J192" i="21"/>
  <c r="J120" i="21"/>
  <c r="J40" i="21"/>
  <c r="J151" i="21"/>
  <c r="J145" i="21"/>
  <c r="J164" i="21"/>
  <c r="J148" i="21"/>
  <c r="J76" i="21"/>
  <c r="J178" i="21"/>
  <c r="J156" i="21"/>
  <c r="J66" i="21"/>
  <c r="O213" i="21"/>
  <c r="J187" i="21"/>
  <c r="J34" i="21"/>
  <c r="J35" i="21"/>
  <c r="I220" i="21"/>
  <c r="F220" i="72"/>
  <c r="O39" i="46"/>
  <c r="O173" i="46"/>
  <c r="O196" i="46"/>
  <c r="O165" i="46"/>
  <c r="O164" i="46"/>
  <c r="O48" i="46"/>
  <c r="O120" i="46"/>
  <c r="O78" i="19"/>
  <c r="O211" i="104"/>
  <c r="O179" i="175"/>
  <c r="O80" i="175"/>
  <c r="F220" i="66"/>
  <c r="J21" i="145"/>
  <c r="J18" i="145"/>
  <c r="J26" i="145"/>
  <c r="O26" i="145"/>
  <c r="J25" i="145"/>
  <c r="O66" i="55"/>
  <c r="O121" i="55"/>
  <c r="F220" i="49"/>
  <c r="F220" i="94"/>
  <c r="O97" i="43"/>
  <c r="O88" i="43"/>
  <c r="O140" i="43"/>
  <c r="O190" i="43"/>
  <c r="O49" i="43"/>
  <c r="O78" i="43"/>
  <c r="O121" i="43"/>
  <c r="O35" i="43"/>
  <c r="O185" i="43"/>
  <c r="O90" i="43"/>
  <c r="O174" i="43"/>
  <c r="O128" i="43"/>
  <c r="O73" i="43"/>
  <c r="O206" i="43"/>
  <c r="O150" i="43"/>
  <c r="O96" i="43"/>
  <c r="O155" i="43"/>
  <c r="O39" i="43"/>
  <c r="O43" i="43"/>
  <c r="O151" i="43"/>
  <c r="O177" i="43"/>
  <c r="O36" i="43"/>
  <c r="J228" i="43"/>
  <c r="O113" i="43"/>
  <c r="O79" i="43"/>
  <c r="O196" i="43"/>
  <c r="O56" i="43"/>
  <c r="O31" i="43"/>
  <c r="O163" i="43"/>
  <c r="J233" i="43"/>
  <c r="M18" i="43"/>
  <c r="O38" i="43"/>
  <c r="O161" i="43"/>
  <c r="O122" i="43"/>
  <c r="O158" i="43"/>
  <c r="O119" i="43"/>
  <c r="O197" i="43"/>
  <c r="O93" i="43"/>
  <c r="J227" i="43"/>
  <c r="O30" i="43"/>
  <c r="O54" i="43"/>
  <c r="O89" i="43"/>
  <c r="O51" i="43"/>
  <c r="O165" i="43"/>
  <c r="O60" i="43"/>
  <c r="O170" i="43"/>
  <c r="O101" i="43"/>
  <c r="O138" i="43"/>
  <c r="O40" i="43"/>
  <c r="O135" i="43"/>
  <c r="O74" i="43"/>
  <c r="O146" i="43"/>
  <c r="F220" i="119"/>
  <c r="O114" i="62"/>
  <c r="O156" i="62"/>
  <c r="O178" i="62"/>
  <c r="O72" i="62"/>
  <c r="O184" i="62"/>
  <c r="O142" i="62"/>
  <c r="O170" i="62"/>
  <c r="O82" i="62"/>
  <c r="O182" i="62"/>
  <c r="O51" i="62"/>
  <c r="O48" i="62"/>
  <c r="O196" i="62"/>
  <c r="O130" i="62"/>
  <c r="O157" i="62"/>
  <c r="O64" i="62"/>
  <c r="O187" i="62"/>
  <c r="O206" i="62"/>
  <c r="O110" i="62"/>
  <c r="O131" i="62"/>
  <c r="O102" i="62"/>
  <c r="O192" i="62"/>
  <c r="O46" i="62"/>
  <c r="O209" i="62"/>
  <c r="O105" i="62"/>
  <c r="O158" i="62"/>
  <c r="O128" i="62"/>
  <c r="M18" i="62"/>
  <c r="J229" i="62"/>
  <c r="O135" i="62"/>
  <c r="O186" i="62"/>
  <c r="O36" i="62"/>
  <c r="O92" i="62"/>
  <c r="O94" i="62"/>
  <c r="O112" i="62"/>
  <c r="O90" i="62"/>
  <c r="O104" i="62"/>
  <c r="O160" i="62"/>
  <c r="O185" i="62"/>
  <c r="O150" i="62"/>
  <c r="O89" i="62"/>
  <c r="O38" i="62"/>
  <c r="O79" i="62"/>
  <c r="O54" i="62"/>
  <c r="O75" i="62"/>
  <c r="J225" i="62"/>
  <c r="O121" i="62"/>
  <c r="O76" i="62"/>
  <c r="O78" i="62"/>
  <c r="O143" i="62"/>
  <c r="O65" i="62"/>
  <c r="O174" i="62"/>
  <c r="O74" i="62"/>
  <c r="O208" i="62"/>
  <c r="O93" i="62"/>
  <c r="O42" i="62"/>
  <c r="O58" i="62"/>
  <c r="O119" i="62"/>
  <c r="O164" i="62"/>
  <c r="O175" i="62"/>
  <c r="O44" i="62"/>
  <c r="O57" i="62"/>
  <c r="O152" i="62"/>
  <c r="O132" i="62"/>
  <c r="O63" i="62"/>
  <c r="O197" i="62"/>
  <c r="O43" i="62"/>
  <c r="O47" i="62"/>
  <c r="O80" i="62"/>
  <c r="O30" i="62"/>
  <c r="O207" i="62"/>
  <c r="J230" i="62"/>
  <c r="O153" i="62"/>
  <c r="O129" i="62"/>
  <c r="O49" i="62"/>
  <c r="O73" i="62"/>
  <c r="O62" i="62"/>
  <c r="O77" i="62"/>
  <c r="O190" i="62"/>
  <c r="O201" i="62"/>
  <c r="O173" i="62"/>
  <c r="O45" i="62"/>
  <c r="O189" i="62"/>
  <c r="O171" i="62"/>
  <c r="O55" i="62"/>
  <c r="J224" i="62"/>
  <c r="O61" i="62"/>
  <c r="O37" i="62"/>
  <c r="O31" i="62"/>
  <c r="O97" i="62"/>
  <c r="O120" i="62"/>
  <c r="O88" i="62"/>
  <c r="O138" i="62"/>
  <c r="O193" i="62"/>
  <c r="O194" i="62"/>
  <c r="O136" i="62"/>
  <c r="O172" i="62"/>
  <c r="I241" i="62"/>
  <c r="I243" i="62" s="1"/>
  <c r="O71" i="62"/>
  <c r="O146" i="62"/>
  <c r="O191" i="62"/>
  <c r="O188" i="62"/>
  <c r="F243" i="27"/>
  <c r="O198" i="58"/>
  <c r="O190" i="58"/>
  <c r="O110" i="58"/>
  <c r="O150" i="58"/>
  <c r="O90" i="58"/>
  <c r="O88" i="58"/>
  <c r="O130" i="58"/>
  <c r="O189" i="58"/>
  <c r="O209" i="58"/>
  <c r="O50" i="58"/>
  <c r="O44" i="58"/>
  <c r="O185" i="58"/>
  <c r="O89" i="58"/>
  <c r="O101" i="58"/>
  <c r="O178" i="58"/>
  <c r="O40" i="58"/>
  <c r="O72" i="58"/>
  <c r="O160" i="58"/>
  <c r="O103" i="58"/>
  <c r="O112" i="58"/>
  <c r="O136" i="58"/>
  <c r="O207" i="58"/>
  <c r="O146" i="58"/>
  <c r="O30" i="58"/>
  <c r="O34" i="58"/>
  <c r="O111" i="58"/>
  <c r="J225" i="58"/>
  <c r="O165" i="58"/>
  <c r="O76" i="58"/>
  <c r="O93" i="58"/>
  <c r="O183" i="58"/>
  <c r="O35" i="58"/>
  <c r="J228" i="58"/>
  <c r="O51" i="58"/>
  <c r="O199" i="58"/>
  <c r="O31" i="58"/>
  <c r="O138" i="58"/>
  <c r="O63" i="58"/>
  <c r="O120" i="58"/>
  <c r="O73" i="58"/>
  <c r="O83" i="58"/>
  <c r="O134" i="58"/>
  <c r="O176" i="58"/>
  <c r="O33" i="58"/>
  <c r="O121" i="58"/>
  <c r="O75" i="58"/>
  <c r="O54" i="58"/>
  <c r="O115" i="58"/>
  <c r="O94" i="58"/>
  <c r="O182" i="58"/>
  <c r="O163" i="58"/>
  <c r="O154" i="58"/>
  <c r="O69" i="58"/>
  <c r="O175" i="58"/>
  <c r="J229" i="58"/>
  <c r="O164" i="58"/>
  <c r="O197" i="58"/>
  <c r="O191" i="58"/>
  <c r="O32" i="58"/>
  <c r="O79" i="58"/>
  <c r="O196" i="58"/>
  <c r="O180" i="58"/>
  <c r="O161" i="58"/>
  <c r="O113" i="58"/>
  <c r="O210" i="58"/>
  <c r="O131" i="58"/>
  <c r="O177" i="58"/>
  <c r="J224" i="58"/>
  <c r="J227" i="58"/>
  <c r="O140" i="58"/>
  <c r="O78" i="58"/>
  <c r="O201" i="58"/>
  <c r="O192" i="58"/>
  <c r="O36" i="58"/>
  <c r="O171" i="58"/>
  <c r="O188" i="58"/>
  <c r="O114" i="58"/>
  <c r="O74" i="58"/>
  <c r="O195" i="58"/>
  <c r="O106" i="58"/>
  <c r="O200" i="58"/>
  <c r="M18" i="58"/>
  <c r="O61" i="58"/>
  <c r="O172" i="58"/>
  <c r="O71" i="58"/>
  <c r="O56" i="58"/>
  <c r="O65" i="58"/>
  <c r="O132" i="58"/>
  <c r="O145" i="58"/>
  <c r="O129" i="58"/>
  <c r="O128" i="58"/>
  <c r="O57" i="58"/>
  <c r="J232" i="58"/>
  <c r="O151" i="58"/>
  <c r="O206" i="58"/>
  <c r="O141" i="58"/>
  <c r="O92" i="58"/>
  <c r="O140" i="72"/>
  <c r="O35" i="72"/>
  <c r="O147" i="72"/>
  <c r="O143" i="72"/>
  <c r="O119" i="72"/>
  <c r="O129" i="72"/>
  <c r="O59" i="72"/>
  <c r="O192" i="72"/>
  <c r="O181" i="72"/>
  <c r="O196" i="72"/>
  <c r="J224" i="72"/>
  <c r="O79" i="72"/>
  <c r="O72" i="72"/>
  <c r="O50" i="72"/>
  <c r="O60" i="72"/>
  <c r="O153" i="72"/>
  <c r="O132" i="72"/>
  <c r="O201" i="72"/>
  <c r="O52" i="72"/>
  <c r="O148" i="72"/>
  <c r="O184" i="72"/>
  <c r="O169" i="72"/>
  <c r="O189" i="72"/>
  <c r="O206" i="72"/>
  <c r="O57" i="72"/>
  <c r="O83" i="72"/>
  <c r="O193" i="72"/>
  <c r="O171" i="72"/>
  <c r="O36" i="72"/>
  <c r="O49" i="72"/>
  <c r="O63" i="72"/>
  <c r="O94" i="72"/>
  <c r="O205" i="72"/>
  <c r="J232" i="72"/>
  <c r="O160" i="72"/>
  <c r="O131" i="72"/>
  <c r="J230" i="72"/>
  <c r="O176" i="72"/>
  <c r="O128" i="72"/>
  <c r="O188" i="72"/>
  <c r="O77" i="72"/>
  <c r="O51" i="72"/>
  <c r="O26" i="72"/>
  <c r="O58" i="72"/>
  <c r="O142" i="72"/>
  <c r="O112" i="72"/>
  <c r="O191" i="72"/>
  <c r="O39" i="72"/>
  <c r="O91" i="72"/>
  <c r="O75" i="72"/>
  <c r="O65" i="72"/>
  <c r="O183" i="72"/>
  <c r="O42" i="72"/>
  <c r="O175" i="72"/>
  <c r="O96" i="72"/>
  <c r="O210" i="72"/>
  <c r="O162" i="72"/>
  <c r="O110" i="72"/>
  <c r="O209" i="72"/>
  <c r="O30" i="72"/>
  <c r="O103" i="72"/>
  <c r="O62" i="72"/>
  <c r="O166" i="72"/>
  <c r="O87" i="72"/>
  <c r="O113" i="72"/>
  <c r="O121" i="72"/>
  <c r="O89" i="72"/>
  <c r="J229" i="72"/>
  <c r="O48" i="72"/>
  <c r="O164" i="72"/>
  <c r="O122" i="72"/>
  <c r="O76" i="72"/>
  <c r="O123" i="72"/>
  <c r="O64" i="72"/>
  <c r="O78" i="72"/>
  <c r="O141" i="72"/>
  <c r="O130" i="72"/>
  <c r="O114" i="72"/>
  <c r="O186" i="72"/>
  <c r="O90" i="72"/>
  <c r="O31" i="72"/>
  <c r="O138" i="72"/>
  <c r="O98" i="72"/>
  <c r="O81" i="72"/>
  <c r="O197" i="72"/>
  <c r="O163" i="72"/>
  <c r="O152" i="72"/>
  <c r="O101" i="72"/>
  <c r="O190" i="72"/>
  <c r="O200" i="72"/>
  <c r="O95" i="72"/>
  <c r="O198" i="72"/>
  <c r="O161" i="72"/>
  <c r="O150" i="72"/>
  <c r="O170" i="72"/>
  <c r="O55" i="72"/>
  <c r="O33" i="72"/>
  <c r="O43" i="72"/>
  <c r="O32" i="72"/>
  <c r="O185" i="72"/>
  <c r="M18" i="72"/>
  <c r="O116" i="72"/>
  <c r="O92" i="72"/>
  <c r="F220" i="50"/>
  <c r="J25" i="31"/>
  <c r="J21" i="31"/>
  <c r="O26" i="31"/>
  <c r="J23" i="31"/>
  <c r="J20" i="31"/>
  <c r="J26" i="31"/>
  <c r="J17" i="31"/>
  <c r="J22" i="31"/>
  <c r="J24" i="31"/>
  <c r="J20" i="39"/>
  <c r="J19" i="39"/>
  <c r="J18" i="39"/>
  <c r="M16" i="39"/>
  <c r="J16" i="39"/>
  <c r="O84" i="65"/>
  <c r="O202" i="65"/>
  <c r="O152" i="113"/>
  <c r="O193" i="113"/>
  <c r="O98" i="113"/>
  <c r="O171" i="113"/>
  <c r="J229" i="46"/>
  <c r="O38" i="19"/>
  <c r="O157" i="175"/>
  <c r="O186" i="113"/>
  <c r="O31" i="46"/>
  <c r="M18" i="46"/>
  <c r="O76" i="46"/>
  <c r="O60" i="46"/>
  <c r="O55" i="46"/>
  <c r="J233" i="46"/>
  <c r="O123" i="46"/>
  <c r="J22" i="49"/>
  <c r="O195" i="19"/>
  <c r="O206" i="19"/>
  <c r="O105" i="175"/>
  <c r="O98" i="43"/>
  <c r="O116" i="104"/>
  <c r="O48" i="65"/>
  <c r="J19" i="31"/>
  <c r="O166" i="62"/>
  <c r="O91" i="113"/>
  <c r="O188" i="113"/>
  <c r="O191" i="113"/>
  <c r="O182" i="113"/>
  <c r="F220" i="120"/>
  <c r="J25" i="83"/>
  <c r="J17" i="83"/>
  <c r="O26" i="83"/>
  <c r="J26" i="83"/>
  <c r="J20" i="49"/>
  <c r="O57" i="68"/>
  <c r="O45" i="68"/>
  <c r="O140" i="68"/>
  <c r="O151" i="113"/>
  <c r="O202" i="113"/>
  <c r="J16" i="83"/>
  <c r="J21" i="83"/>
  <c r="O50" i="46"/>
  <c r="O78" i="46"/>
  <c r="O83" i="46"/>
  <c r="O74" i="46"/>
  <c r="O147" i="46"/>
  <c r="O185" i="46"/>
  <c r="O150" i="46"/>
  <c r="O111" i="46"/>
  <c r="J17" i="49"/>
  <c r="O95" i="19"/>
  <c r="O42" i="19"/>
  <c r="O95" i="175"/>
  <c r="O84" i="104"/>
  <c r="O166" i="19"/>
  <c r="O211" i="19"/>
  <c r="J18" i="31"/>
  <c r="I243" i="57"/>
  <c r="F220" i="165"/>
  <c r="J24" i="15"/>
  <c r="J16" i="15"/>
  <c r="J20" i="15"/>
  <c r="M20" i="94"/>
  <c r="I242" i="94"/>
  <c r="O84" i="46"/>
  <c r="O105" i="46"/>
  <c r="O182" i="46"/>
  <c r="O88" i="46"/>
  <c r="F220" i="39"/>
  <c r="O59" i="113"/>
  <c r="O107" i="113"/>
  <c r="O33" i="46"/>
  <c r="O180" i="46"/>
  <c r="O93" i="46"/>
  <c r="O53" i="46"/>
  <c r="O130" i="46"/>
  <c r="I241" i="46"/>
  <c r="I243" i="46" s="1"/>
  <c r="O51" i="46"/>
  <c r="F220" i="15"/>
  <c r="O191" i="19"/>
  <c r="I241" i="19"/>
  <c r="O113" i="92"/>
  <c r="I241" i="92"/>
  <c r="O207" i="92"/>
  <c r="O104" i="92"/>
  <c r="J228" i="92"/>
  <c r="O161" i="92"/>
  <c r="I241" i="28"/>
  <c r="I242" i="28"/>
  <c r="M20" i="28"/>
  <c r="I243" i="136"/>
  <c r="J16" i="49"/>
  <c r="J23" i="49"/>
  <c r="J21" i="49"/>
  <c r="J26" i="49"/>
  <c r="J24" i="49"/>
  <c r="J18" i="49"/>
  <c r="J25" i="49"/>
  <c r="J19" i="49"/>
  <c r="O193" i="46"/>
  <c r="O131" i="46"/>
  <c r="O49" i="46"/>
  <c r="O81" i="46"/>
  <c r="O35" i="46"/>
  <c r="O101" i="46"/>
  <c r="O44" i="46"/>
  <c r="O178" i="46"/>
  <c r="O115" i="46"/>
  <c r="O94" i="46"/>
  <c r="O207" i="46"/>
  <c r="O82" i="46"/>
  <c r="O77" i="46"/>
  <c r="O97" i="46"/>
  <c r="O169" i="46"/>
  <c r="O148" i="46"/>
  <c r="O56" i="46"/>
  <c r="O54" i="46"/>
  <c r="O140" i="46"/>
  <c r="O174" i="46"/>
  <c r="O124" i="46"/>
  <c r="O187" i="46"/>
  <c r="O70" i="46"/>
  <c r="O36" i="46"/>
  <c r="O30" i="46"/>
  <c r="O137" i="46"/>
  <c r="O179" i="46"/>
  <c r="O104" i="46"/>
  <c r="O172" i="46"/>
  <c r="O52" i="46"/>
  <c r="O190" i="46"/>
  <c r="O210" i="46"/>
  <c r="O132" i="46"/>
  <c r="O73" i="46"/>
  <c r="O46" i="46"/>
  <c r="O79" i="46"/>
  <c r="J232" i="46"/>
  <c r="O184" i="46"/>
  <c r="O43" i="46"/>
  <c r="O37" i="46"/>
  <c r="O106" i="46"/>
  <c r="O107" i="46"/>
  <c r="O89" i="46"/>
  <c r="O92" i="46"/>
  <c r="O38" i="46"/>
  <c r="O121" i="46"/>
  <c r="O136" i="46"/>
  <c r="O72" i="46"/>
  <c r="O192" i="46"/>
  <c r="O188" i="46"/>
  <c r="J228" i="46"/>
  <c r="O208" i="46"/>
  <c r="J230" i="46"/>
  <c r="O141" i="46"/>
  <c r="O138" i="46"/>
  <c r="O200" i="46"/>
  <c r="J227" i="46"/>
  <c r="O191" i="46"/>
  <c r="O209" i="46"/>
  <c r="O58" i="46"/>
  <c r="O176" i="46"/>
  <c r="O64" i="46"/>
  <c r="O177" i="46"/>
  <c r="O116" i="46"/>
  <c r="O157" i="46"/>
  <c r="O153" i="46"/>
  <c r="O119" i="46"/>
  <c r="O156" i="46"/>
  <c r="O40" i="46"/>
  <c r="O75" i="46"/>
  <c r="O134" i="46"/>
  <c r="O63" i="46"/>
  <c r="J224" i="46"/>
  <c r="O161" i="46"/>
  <c r="O152" i="46"/>
  <c r="O195" i="46"/>
  <c r="O69" i="46"/>
  <c r="O201" i="46"/>
  <c r="O194" i="46"/>
  <c r="O170" i="46"/>
  <c r="O110" i="46"/>
  <c r="O205" i="46"/>
  <c r="O162" i="46"/>
  <c r="O199" i="46"/>
  <c r="O186" i="46"/>
  <c r="O57" i="46"/>
  <c r="O80" i="46"/>
  <c r="O90" i="46"/>
  <c r="O146" i="46"/>
  <c r="O102" i="46"/>
  <c r="O114" i="46"/>
  <c r="O175" i="46"/>
  <c r="O206" i="46"/>
  <c r="O95" i="46"/>
  <c r="O91" i="46"/>
  <c r="O45" i="46"/>
  <c r="O158" i="46"/>
  <c r="O160" i="46"/>
  <c r="O71" i="46"/>
  <c r="J226" i="46"/>
  <c r="O103" i="46"/>
  <c r="O135" i="46"/>
  <c r="O112" i="46"/>
  <c r="O152" i="175"/>
  <c r="O48" i="175"/>
  <c r="O87" i="175"/>
  <c r="O195" i="175"/>
  <c r="O164" i="175"/>
  <c r="O188" i="175"/>
  <c r="O62" i="175"/>
  <c r="O102" i="175"/>
  <c r="O89" i="175"/>
  <c r="O176" i="175"/>
  <c r="O171" i="175"/>
  <c r="O132" i="175"/>
  <c r="J225" i="175"/>
  <c r="O154" i="175"/>
  <c r="O33" i="175"/>
  <c r="O79" i="175"/>
  <c r="O206" i="175"/>
  <c r="O54" i="175"/>
  <c r="J233" i="175"/>
  <c r="J224" i="175"/>
  <c r="O37" i="175"/>
  <c r="O103" i="175"/>
  <c r="O34" i="46"/>
  <c r="O183" i="46"/>
  <c r="O189" i="46"/>
  <c r="O141" i="104"/>
  <c r="O57" i="104"/>
  <c r="O26" i="104"/>
  <c r="O61" i="104"/>
  <c r="O98" i="104"/>
  <c r="O154" i="104"/>
  <c r="O187" i="104"/>
  <c r="O191" i="104"/>
  <c r="O87" i="104"/>
  <c r="O79" i="104"/>
  <c r="O132" i="104"/>
  <c r="O115" i="104"/>
  <c r="O101" i="104"/>
  <c r="O152" i="104"/>
  <c r="O129" i="104"/>
  <c r="O172" i="104"/>
  <c r="O208" i="104"/>
  <c r="O32" i="113"/>
  <c r="I241" i="65"/>
  <c r="O84" i="113"/>
  <c r="O166" i="113"/>
  <c r="O65" i="46"/>
  <c r="O171" i="46"/>
  <c r="O151" i="46"/>
  <c r="O197" i="46"/>
  <c r="O42" i="46"/>
  <c r="O87" i="46"/>
  <c r="O202" i="46"/>
  <c r="O140" i="19"/>
  <c r="O56" i="19"/>
  <c r="O128" i="175"/>
  <c r="O96" i="141"/>
  <c r="O128" i="141"/>
  <c r="O155" i="141"/>
  <c r="O170" i="141"/>
  <c r="O116" i="15"/>
  <c r="O205" i="15"/>
  <c r="O62" i="15"/>
  <c r="O93" i="15"/>
  <c r="O157" i="15"/>
  <c r="O209" i="15"/>
  <c r="J230" i="15"/>
  <c r="O123" i="15"/>
  <c r="O199" i="15"/>
  <c r="O114" i="15"/>
  <c r="O64" i="15"/>
  <c r="O187" i="15"/>
  <c r="O161" i="15"/>
  <c r="O63" i="15"/>
  <c r="O164" i="15"/>
  <c r="O47" i="15"/>
  <c r="O35" i="15"/>
  <c r="O44" i="15"/>
  <c r="O87" i="15"/>
  <c r="O76" i="15"/>
  <c r="O50" i="15"/>
  <c r="O193" i="15"/>
  <c r="O58" i="15"/>
  <c r="O119" i="15"/>
  <c r="O194" i="15"/>
  <c r="O45" i="15"/>
  <c r="O180" i="15"/>
  <c r="O160" i="15"/>
  <c r="O106" i="15"/>
  <c r="O55" i="15"/>
  <c r="O32" i="15"/>
  <c r="O200" i="15"/>
  <c r="O59" i="15"/>
  <c r="O197" i="15"/>
  <c r="O153" i="15"/>
  <c r="O46" i="15"/>
  <c r="O196" i="15"/>
  <c r="O52" i="15"/>
  <c r="O90" i="15"/>
  <c r="J226" i="15"/>
  <c r="O57" i="15"/>
  <c r="O103" i="15"/>
  <c r="O39" i="15"/>
  <c r="O162" i="15"/>
  <c r="O140" i="15"/>
  <c r="O173" i="15"/>
  <c r="O73" i="15"/>
  <c r="O61" i="15"/>
  <c r="O192" i="15"/>
  <c r="O206" i="15"/>
  <c r="O91" i="15"/>
  <c r="O77" i="15"/>
  <c r="O176" i="15"/>
  <c r="O74" i="15"/>
  <c r="O151" i="15"/>
  <c r="O190" i="15"/>
  <c r="O33" i="15"/>
  <c r="O49" i="15"/>
  <c r="O60" i="15"/>
  <c r="O71" i="15"/>
  <c r="O38" i="15"/>
  <c r="O70" i="15"/>
  <c r="O105" i="15"/>
  <c r="O111" i="15"/>
  <c r="O141" i="15"/>
  <c r="O88" i="15"/>
  <c r="I241" i="15"/>
  <c r="I243" i="15" s="1"/>
  <c r="O41" i="15"/>
  <c r="O143" i="15"/>
  <c r="O131" i="15"/>
  <c r="O146" i="15"/>
  <c r="O148" i="15"/>
  <c r="O152" i="15"/>
  <c r="O171" i="15"/>
  <c r="O185" i="15"/>
  <c r="O95" i="15"/>
  <c r="O65" i="15"/>
  <c r="O178" i="15"/>
  <c r="O83" i="15"/>
  <c r="O188" i="15"/>
  <c r="O30" i="15"/>
  <c r="O82" i="15"/>
  <c r="O179" i="15"/>
  <c r="J233" i="15"/>
  <c r="O189" i="15"/>
  <c r="O169" i="15"/>
  <c r="O121" i="15"/>
  <c r="O134" i="15"/>
  <c r="O97" i="15"/>
  <c r="O135" i="15"/>
  <c r="O181" i="15"/>
  <c r="O207" i="15"/>
  <c r="O129" i="15"/>
  <c r="O36" i="15"/>
  <c r="O148" i="43"/>
  <c r="O166" i="92"/>
  <c r="J232" i="92"/>
  <c r="O42" i="92"/>
  <c r="O82" i="92"/>
  <c r="M18" i="92"/>
  <c r="O156" i="92"/>
  <c r="O105" i="92"/>
  <c r="O155" i="92"/>
  <c r="O69" i="92"/>
  <c r="O185" i="92"/>
  <c r="O174" i="92"/>
  <c r="O150" i="92"/>
  <c r="J227" i="92"/>
  <c r="O94" i="92"/>
  <c r="O97" i="92"/>
  <c r="O189" i="92"/>
  <c r="O164" i="92"/>
  <c r="O50" i="92"/>
  <c r="O180" i="92"/>
  <c r="O148" i="92"/>
  <c r="O78" i="92"/>
  <c r="O35" i="92"/>
  <c r="O192" i="92"/>
  <c r="O190" i="92"/>
  <c r="O81" i="92"/>
  <c r="O184" i="92"/>
  <c r="O79" i="92"/>
  <c r="O45" i="92"/>
  <c r="J224" i="92"/>
  <c r="O198" i="92"/>
  <c r="O46" i="92"/>
  <c r="O179" i="92"/>
  <c r="O153" i="92"/>
  <c r="O101" i="92"/>
  <c r="O208" i="92"/>
  <c r="O30" i="92"/>
  <c r="O141" i="92"/>
  <c r="O44" i="92"/>
  <c r="O37" i="92"/>
  <c r="O134" i="92"/>
  <c r="O187" i="92"/>
  <c r="O172" i="92"/>
  <c r="O92" i="92"/>
  <c r="O123" i="92"/>
  <c r="O52" i="92"/>
  <c r="O40" i="92"/>
  <c r="O183" i="92"/>
  <c r="O83" i="92"/>
  <c r="O87" i="92"/>
  <c r="O110" i="92"/>
  <c r="O165" i="92"/>
  <c r="J230" i="92"/>
  <c r="O119" i="92"/>
  <c r="O73" i="92"/>
  <c r="O154" i="92"/>
  <c r="O143" i="92"/>
  <c r="O176" i="92"/>
  <c r="O158" i="92"/>
  <c r="O136" i="92"/>
  <c r="O74" i="92"/>
  <c r="O195" i="92"/>
  <c r="O160" i="92"/>
  <c r="O95" i="92"/>
  <c r="O38" i="92"/>
  <c r="O162" i="92"/>
  <c r="O34" i="92"/>
  <c r="O115" i="92"/>
  <c r="O152" i="92"/>
  <c r="O96" i="92"/>
  <c r="O63" i="92"/>
  <c r="O32" i="92"/>
  <c r="O132" i="92"/>
  <c r="O54" i="92"/>
  <c r="O181" i="92"/>
  <c r="O58" i="92"/>
  <c r="O107" i="92"/>
  <c r="O112" i="92"/>
  <c r="O88" i="92"/>
  <c r="O90" i="92"/>
  <c r="O76" i="92"/>
  <c r="O146" i="92"/>
  <c r="O43" i="92"/>
  <c r="O196" i="92"/>
  <c r="O205" i="92"/>
  <c r="O175" i="92"/>
  <c r="O142" i="92"/>
  <c r="O57" i="92"/>
  <c r="O106" i="92"/>
  <c r="O188" i="92"/>
  <c r="O55" i="92"/>
  <c r="O182" i="92"/>
  <c r="O124" i="92"/>
  <c r="O163" i="92"/>
  <c r="O80" i="92"/>
  <c r="O199" i="92"/>
  <c r="O107" i="62"/>
  <c r="O211" i="85"/>
  <c r="O192" i="85"/>
  <c r="O75" i="85"/>
  <c r="O147" i="71"/>
  <c r="F220" i="150"/>
  <c r="J26" i="177"/>
  <c r="J23" i="177"/>
  <c r="J20" i="177"/>
  <c r="J19" i="177"/>
  <c r="O116" i="62"/>
  <c r="I213" i="86"/>
  <c r="J105" i="86" s="1"/>
  <c r="O107" i="55"/>
  <c r="O202" i="104"/>
  <c r="O106" i="1"/>
  <c r="O107" i="72"/>
  <c r="M17" i="159"/>
  <c r="J102" i="159"/>
  <c r="J123" i="159"/>
  <c r="J87" i="159"/>
  <c r="J124" i="159"/>
  <c r="J179" i="159"/>
  <c r="J50" i="159"/>
  <c r="J54" i="159"/>
  <c r="J134" i="159"/>
  <c r="J53" i="159"/>
  <c r="J208" i="159"/>
  <c r="J207" i="159"/>
  <c r="J119" i="159"/>
  <c r="J209" i="159"/>
  <c r="J164" i="159"/>
  <c r="J44" i="159"/>
  <c r="J169" i="159"/>
  <c r="J148" i="159"/>
  <c r="J51" i="159"/>
  <c r="J192" i="159"/>
  <c r="J147" i="159"/>
  <c r="J156" i="159"/>
  <c r="J80" i="159"/>
  <c r="J32" i="159"/>
  <c r="J142" i="159"/>
  <c r="J49" i="159"/>
  <c r="J60" i="159"/>
  <c r="J83" i="159"/>
  <c r="J136" i="159"/>
  <c r="J103" i="159"/>
  <c r="J174" i="159"/>
  <c r="J48" i="159"/>
  <c r="J30" i="159"/>
  <c r="J138" i="159"/>
  <c r="J146" i="159"/>
  <c r="J162" i="159"/>
  <c r="J143" i="159"/>
  <c r="J34" i="159"/>
  <c r="J140" i="159"/>
  <c r="J178" i="159"/>
  <c r="J157" i="159"/>
  <c r="J74" i="159"/>
  <c r="J41" i="159"/>
  <c r="J56" i="159"/>
  <c r="J183" i="159"/>
  <c r="J111" i="159"/>
  <c r="J38" i="159"/>
  <c r="J160" i="159"/>
  <c r="J104" i="159"/>
  <c r="J71" i="159"/>
  <c r="J145" i="159"/>
  <c r="J213" i="159"/>
  <c r="J201" i="159"/>
  <c r="J69" i="159"/>
  <c r="J40" i="159"/>
  <c r="J181" i="159"/>
  <c r="J187" i="159"/>
  <c r="J151" i="159"/>
  <c r="J210" i="159"/>
  <c r="J65" i="159"/>
  <c r="J176" i="159"/>
  <c r="J182" i="159"/>
  <c r="J52" i="159"/>
  <c r="J39" i="159"/>
  <c r="J91" i="159"/>
  <c r="J170" i="159"/>
  <c r="J193" i="159"/>
  <c r="J196" i="159"/>
  <c r="J172" i="159"/>
  <c r="J70" i="159"/>
  <c r="J110" i="159"/>
  <c r="J121" i="159"/>
  <c r="J57" i="159"/>
  <c r="J152" i="159"/>
  <c r="J66" i="159"/>
  <c r="J198" i="159"/>
  <c r="J171" i="159"/>
  <c r="J189" i="159"/>
  <c r="J64" i="159"/>
  <c r="J92" i="159"/>
  <c r="J205" i="159"/>
  <c r="J63" i="159"/>
  <c r="J84" i="159"/>
  <c r="J62" i="159"/>
  <c r="J112" i="159"/>
  <c r="J94" i="159"/>
  <c r="J82" i="159"/>
  <c r="J101" i="159"/>
  <c r="J58" i="159"/>
  <c r="J116" i="159"/>
  <c r="J184" i="159"/>
  <c r="J141" i="159"/>
  <c r="J150" i="159"/>
  <c r="J61" i="159"/>
  <c r="J180" i="159"/>
  <c r="J194" i="159"/>
  <c r="J173" i="159"/>
  <c r="J153" i="159"/>
  <c r="J105" i="159"/>
  <c r="J129" i="159"/>
  <c r="J137" i="159"/>
  <c r="J106" i="159"/>
  <c r="J175" i="159"/>
  <c r="J191" i="159"/>
  <c r="J206" i="159"/>
  <c r="J155" i="159"/>
  <c r="J43" i="159"/>
  <c r="J199" i="159"/>
  <c r="J185" i="159"/>
  <c r="J120" i="159"/>
  <c r="J132" i="159"/>
  <c r="J97" i="159"/>
  <c r="J211" i="159"/>
  <c r="J33" i="159"/>
  <c r="J90" i="159"/>
  <c r="J113" i="159"/>
  <c r="J98" i="159"/>
  <c r="J165" i="159"/>
  <c r="J72" i="159"/>
  <c r="J190" i="159"/>
  <c r="J128" i="159"/>
  <c r="J177" i="159"/>
  <c r="J81" i="159"/>
  <c r="J197" i="159"/>
  <c r="J115" i="159"/>
  <c r="J31" i="159"/>
  <c r="J96" i="159"/>
  <c r="J77" i="159"/>
  <c r="J73" i="159"/>
  <c r="J37" i="159"/>
  <c r="J130" i="159"/>
  <c r="J202" i="159"/>
  <c r="J166" i="159"/>
  <c r="J89" i="159"/>
  <c r="J46" i="159"/>
  <c r="J93" i="159"/>
  <c r="J161" i="159"/>
  <c r="J45" i="159"/>
  <c r="J79" i="159"/>
  <c r="J200" i="159"/>
  <c r="J163" i="159"/>
  <c r="J107" i="159"/>
  <c r="J154" i="159"/>
  <c r="J158" i="159"/>
  <c r="J78" i="159"/>
  <c r="J59" i="159"/>
  <c r="O213" i="159"/>
  <c r="J95" i="159"/>
  <c r="J42" i="159"/>
  <c r="J122" i="159"/>
  <c r="J35" i="159"/>
  <c r="J195" i="159"/>
  <c r="J36" i="159"/>
  <c r="J188" i="159"/>
  <c r="J55" i="159"/>
  <c r="J131" i="159"/>
  <c r="J186" i="159"/>
  <c r="J47" i="159"/>
  <c r="J135" i="159"/>
  <c r="J76" i="159"/>
  <c r="J75" i="159"/>
  <c r="J88" i="159"/>
  <c r="J114" i="159"/>
  <c r="I220" i="159"/>
  <c r="F243" i="53"/>
  <c r="O107" i="43"/>
  <c r="O66" i="15"/>
  <c r="O98" i="62"/>
  <c r="O124" i="43"/>
  <c r="O202" i="72"/>
  <c r="O84" i="90"/>
  <c r="O124" i="175"/>
  <c r="O124" i="58"/>
  <c r="O211" i="58"/>
  <c r="O26" i="62"/>
  <c r="O124" i="72"/>
  <c r="O166" i="46"/>
  <c r="M20" i="53"/>
  <c r="I242" i="53"/>
  <c r="O124" i="55"/>
  <c r="O166" i="58"/>
  <c r="O98" i="46"/>
  <c r="O166" i="43"/>
  <c r="O202" i="58"/>
  <c r="O54" i="1"/>
  <c r="O66" i="72"/>
  <c r="O211" i="43"/>
  <c r="O116" i="43"/>
  <c r="O98" i="175"/>
  <c r="O110" i="90"/>
  <c r="O66" i="62"/>
  <c r="O202" i="55"/>
  <c r="O98" i="55"/>
  <c r="O84" i="43"/>
  <c r="O66" i="46"/>
  <c r="O135" i="152"/>
  <c r="O53" i="152"/>
  <c r="J232" i="152"/>
  <c r="O128" i="152"/>
  <c r="O200" i="152"/>
  <c r="O192" i="152"/>
  <c r="O137" i="152"/>
  <c r="O195" i="152"/>
  <c r="O154" i="152"/>
  <c r="O36" i="152"/>
  <c r="O191" i="152"/>
  <c r="O155" i="152"/>
  <c r="O61" i="152"/>
  <c r="O70" i="152"/>
  <c r="O92" i="152"/>
  <c r="O91" i="152"/>
  <c r="O51" i="152"/>
  <c r="O71" i="152"/>
  <c r="O150" i="152"/>
  <c r="O47" i="152"/>
  <c r="O89" i="152"/>
  <c r="O63" i="152"/>
  <c r="M18" i="152"/>
  <c r="O193" i="152"/>
  <c r="O209" i="152"/>
  <c r="O103" i="152"/>
  <c r="J225" i="152"/>
  <c r="O188" i="152"/>
  <c r="O93" i="152"/>
  <c r="O39" i="152"/>
  <c r="O106" i="152"/>
  <c r="O199" i="152"/>
  <c r="O56" i="152"/>
  <c r="O35" i="152"/>
  <c r="O44" i="152"/>
  <c r="O46" i="152"/>
  <c r="O163" i="152"/>
  <c r="O40" i="152"/>
  <c r="O140" i="152"/>
  <c r="O45" i="152"/>
  <c r="O148" i="152"/>
  <c r="J228" i="152"/>
  <c r="O184" i="152"/>
  <c r="O52" i="152"/>
  <c r="O121" i="152"/>
  <c r="J227" i="152"/>
  <c r="O179" i="152"/>
  <c r="O94" i="152"/>
  <c r="J226" i="152"/>
  <c r="O73" i="152"/>
  <c r="J229" i="152"/>
  <c r="O58" i="152"/>
  <c r="O43" i="152"/>
  <c r="O105" i="152"/>
  <c r="O181" i="152"/>
  <c r="O162" i="152"/>
  <c r="O75" i="152"/>
  <c r="O112" i="152"/>
  <c r="O49" i="152"/>
  <c r="O33" i="152"/>
  <c r="O186" i="152"/>
  <c r="O196" i="152"/>
  <c r="L22" i="97"/>
  <c r="P20" i="195" s="1"/>
  <c r="I242" i="89"/>
  <c r="M20" i="89"/>
  <c r="O166" i="102"/>
  <c r="O170" i="175"/>
  <c r="O173" i="175"/>
  <c r="O84" i="86"/>
  <c r="J17" i="90"/>
  <c r="J18" i="90"/>
  <c r="O115" i="68"/>
  <c r="J22" i="15"/>
  <c r="O193" i="71"/>
  <c r="O198" i="102"/>
  <c r="O177" i="102"/>
  <c r="O81" i="102"/>
  <c r="O175" i="102"/>
  <c r="O192" i="102"/>
  <c r="O121" i="102"/>
  <c r="O46" i="102"/>
  <c r="O91" i="102"/>
  <c r="O156" i="102"/>
  <c r="O82" i="102"/>
  <c r="O56" i="102"/>
  <c r="O134" i="102"/>
  <c r="O147" i="102"/>
  <c r="O60" i="102"/>
  <c r="O184" i="102"/>
  <c r="O97" i="102"/>
  <c r="O87" i="102"/>
  <c r="O70" i="102"/>
  <c r="O143" i="175"/>
  <c r="O94" i="19"/>
  <c r="O74" i="19"/>
  <c r="O178" i="19"/>
  <c r="O165" i="19"/>
  <c r="O132" i="19"/>
  <c r="O138" i="19"/>
  <c r="O61" i="19"/>
  <c r="O170" i="19"/>
  <c r="O183" i="19"/>
  <c r="O205" i="19"/>
  <c r="O150" i="19"/>
  <c r="O131" i="19"/>
  <c r="O113" i="19"/>
  <c r="O36" i="19"/>
  <c r="O75" i="19"/>
  <c r="J226" i="19"/>
  <c r="O199" i="19"/>
  <c r="O121" i="68"/>
  <c r="O76" i="19"/>
  <c r="O155" i="175"/>
  <c r="O57" i="175"/>
  <c r="O191" i="175"/>
  <c r="O94" i="175"/>
  <c r="J227" i="175"/>
  <c r="O46" i="175"/>
  <c r="O49" i="175"/>
  <c r="O45" i="175"/>
  <c r="O88" i="175"/>
  <c r="O114" i="175"/>
  <c r="O113" i="175"/>
  <c r="O209" i="175"/>
  <c r="O104" i="175"/>
  <c r="O129" i="175"/>
  <c r="O150" i="175"/>
  <c r="O151" i="71"/>
  <c r="O170" i="71"/>
  <c r="O90" i="175"/>
  <c r="O107" i="19"/>
  <c r="O115" i="175"/>
  <c r="O184" i="71"/>
  <c r="O152" i="177"/>
  <c r="O83" i="177"/>
  <c r="O76" i="177"/>
  <c r="O180" i="177"/>
  <c r="O88" i="177"/>
  <c r="O190" i="177"/>
  <c r="O57" i="177"/>
  <c r="O174" i="177"/>
  <c r="O73" i="177"/>
  <c r="O64" i="177"/>
  <c r="O130" i="177"/>
  <c r="J25" i="177"/>
  <c r="O41" i="19"/>
  <c r="O175" i="177"/>
  <c r="O121" i="175"/>
  <c r="O124" i="19"/>
  <c r="O202" i="1"/>
  <c r="O150" i="95"/>
  <c r="O211" i="92"/>
  <c r="M20" i="27"/>
  <c r="O194" i="164"/>
  <c r="O150" i="164"/>
  <c r="O141" i="164"/>
  <c r="O50" i="164"/>
  <c r="J228" i="164"/>
  <c r="O75" i="164"/>
  <c r="O153" i="164"/>
  <c r="O63" i="164"/>
  <c r="O89" i="164"/>
  <c r="O173" i="164"/>
  <c r="O161" i="164"/>
  <c r="O34" i="164"/>
  <c r="O53" i="164"/>
  <c r="O44" i="164"/>
  <c r="O143" i="164"/>
  <c r="O172" i="164"/>
  <c r="O90" i="164"/>
  <c r="O115" i="164"/>
  <c r="O183" i="164"/>
  <c r="O165" i="164"/>
  <c r="O103" i="164"/>
  <c r="O37" i="164"/>
  <c r="O145" i="164"/>
  <c r="O95" i="164"/>
  <c r="O201" i="164"/>
  <c r="O176" i="164"/>
  <c r="O87" i="164"/>
  <c r="O169" i="164"/>
  <c r="O148" i="164"/>
  <c r="O121" i="164"/>
  <c r="O181" i="164"/>
  <c r="O31" i="164"/>
  <c r="O177" i="164"/>
  <c r="O184" i="164"/>
  <c r="O47" i="164"/>
  <c r="O138" i="164"/>
  <c r="O48" i="164"/>
  <c r="O76" i="164"/>
  <c r="O175" i="164"/>
  <c r="O209" i="164"/>
  <c r="O111" i="164"/>
  <c r="O160" i="164"/>
  <c r="O128" i="164"/>
  <c r="O83" i="164"/>
  <c r="O33" i="164"/>
  <c r="J233" i="164"/>
  <c r="O120" i="164"/>
  <c r="O32" i="164"/>
  <c r="O186" i="164"/>
  <c r="O132" i="164"/>
  <c r="O51" i="164"/>
  <c r="O162" i="164"/>
  <c r="O119" i="164"/>
  <c r="O36" i="164"/>
  <c r="O188" i="164"/>
  <c r="O206" i="164"/>
  <c r="O49" i="164"/>
  <c r="O122" i="164"/>
  <c r="O96" i="164"/>
  <c r="O185" i="164"/>
  <c r="J232" i="164"/>
  <c r="O112" i="164"/>
  <c r="O189" i="164"/>
  <c r="O52" i="164"/>
  <c r="O129" i="164"/>
  <c r="O178" i="164"/>
  <c r="O170" i="164"/>
  <c r="O210" i="164"/>
  <c r="O187" i="164"/>
  <c r="O198" i="164"/>
  <c r="O91" i="164"/>
  <c r="O73" i="164"/>
  <c r="O180" i="164"/>
  <c r="O192" i="164"/>
  <c r="O151" i="164"/>
  <c r="O136" i="164"/>
  <c r="O79" i="164"/>
  <c r="O70" i="164"/>
  <c r="O58" i="164"/>
  <c r="J224" i="164"/>
  <c r="O101" i="164"/>
  <c r="O199" i="164"/>
  <c r="O38" i="164"/>
  <c r="J229" i="164"/>
  <c r="O46" i="164"/>
  <c r="O65" i="164"/>
  <c r="J230" i="164"/>
  <c r="O30" i="164"/>
  <c r="O81" i="164"/>
  <c r="O56" i="164"/>
  <c r="O135" i="164"/>
  <c r="O146" i="164"/>
  <c r="O157" i="164"/>
  <c r="O123" i="164"/>
  <c r="O193" i="164"/>
  <c r="O104" i="164"/>
  <c r="O55" i="164"/>
  <c r="J225" i="164"/>
  <c r="O106" i="164"/>
  <c r="O92" i="164"/>
  <c r="O105" i="164"/>
  <c r="O35" i="164"/>
  <c r="O113" i="164"/>
  <c r="O147" i="164"/>
  <c r="O207" i="164"/>
  <c r="O82" i="164"/>
  <c r="O211" i="164"/>
  <c r="O158" i="164"/>
  <c r="O110" i="164"/>
  <c r="O154" i="164"/>
  <c r="O142" i="164"/>
  <c r="O164" i="164"/>
  <c r="O62" i="164"/>
  <c r="O191" i="164"/>
  <c r="O156" i="164"/>
  <c r="O45" i="164"/>
  <c r="O41" i="164"/>
  <c r="O163" i="164"/>
  <c r="O179" i="164"/>
  <c r="O131" i="164"/>
  <c r="O69" i="164"/>
  <c r="O80" i="164"/>
  <c r="O74" i="164"/>
  <c r="J227" i="164"/>
  <c r="O40" i="164"/>
  <c r="O208" i="164"/>
  <c r="O195" i="164"/>
  <c r="O78" i="164"/>
  <c r="O102" i="164"/>
  <c r="O152" i="164"/>
  <c r="O190" i="164"/>
  <c r="O200" i="164"/>
  <c r="O39" i="164"/>
  <c r="O77" i="164"/>
  <c r="O42" i="164"/>
  <c r="O43" i="164"/>
  <c r="O196" i="164"/>
  <c r="O140" i="164"/>
  <c r="O59" i="164"/>
  <c r="O57" i="164"/>
  <c r="O97" i="164"/>
  <c r="O61" i="164"/>
  <c r="O174" i="164"/>
  <c r="J226" i="164"/>
  <c r="O93" i="164"/>
  <c r="O114" i="164"/>
  <c r="O182" i="164"/>
  <c r="O155" i="164"/>
  <c r="O72" i="164"/>
  <c r="M18" i="164"/>
  <c r="O171" i="164"/>
  <c r="O54" i="164"/>
  <c r="O205" i="164"/>
  <c r="O137" i="164"/>
  <c r="O60" i="164"/>
  <c r="O197" i="164"/>
  <c r="O94" i="164"/>
  <c r="O134" i="164"/>
  <c r="O124" i="164"/>
  <c r="O130" i="164"/>
  <c r="O44" i="102"/>
  <c r="O157" i="102"/>
  <c r="O26" i="102"/>
  <c r="J19" i="90"/>
  <c r="J17" i="15"/>
  <c r="J26" i="15"/>
  <c r="O156" i="175"/>
  <c r="I241" i="89"/>
  <c r="O71" i="164"/>
  <c r="O128" i="102"/>
  <c r="O153" i="102"/>
  <c r="O62" i="102"/>
  <c r="O71" i="102"/>
  <c r="O123" i="102"/>
  <c r="O183" i="102"/>
  <c r="O165" i="102"/>
  <c r="O32" i="102"/>
  <c r="O49" i="102"/>
  <c r="O120" i="102"/>
  <c r="J228" i="102"/>
  <c r="O158" i="102"/>
  <c r="O61" i="102"/>
  <c r="O150" i="102"/>
  <c r="O119" i="102"/>
  <c r="O140" i="102"/>
  <c r="O52" i="102"/>
  <c r="O206" i="102"/>
  <c r="O74" i="102"/>
  <c r="O200" i="175"/>
  <c r="O55" i="19"/>
  <c r="O50" i="19"/>
  <c r="O201" i="19"/>
  <c r="O62" i="19"/>
  <c r="O43" i="19"/>
  <c r="O186" i="19"/>
  <c r="O160" i="19"/>
  <c r="O54" i="19"/>
  <c r="J229" i="19"/>
  <c r="O208" i="19"/>
  <c r="O209" i="19"/>
  <c r="O163" i="19"/>
  <c r="O48" i="19"/>
  <c r="O194" i="19"/>
  <c r="O79" i="19"/>
  <c r="O207" i="19"/>
  <c r="O198" i="19"/>
  <c r="O172" i="175"/>
  <c r="O56" i="175"/>
  <c r="O35" i="175"/>
  <c r="O145" i="175"/>
  <c r="M18" i="175"/>
  <c r="O165" i="175"/>
  <c r="O60" i="175"/>
  <c r="O32" i="175"/>
  <c r="O130" i="175"/>
  <c r="O178" i="175"/>
  <c r="O135" i="175"/>
  <c r="J232" i="175"/>
  <c r="O77" i="175"/>
  <c r="O185" i="175"/>
  <c r="J226" i="175"/>
  <c r="O140" i="175"/>
  <c r="O173" i="19"/>
  <c r="O52" i="71"/>
  <c r="O131" i="71"/>
  <c r="O98" i="164"/>
  <c r="O106" i="19"/>
  <c r="O195" i="177"/>
  <c r="O115" i="177"/>
  <c r="O132" i="177"/>
  <c r="O93" i="177"/>
  <c r="O35" i="177"/>
  <c r="O165" i="177"/>
  <c r="O122" i="177"/>
  <c r="O78" i="177"/>
  <c r="O32" i="177"/>
  <c r="J16" i="177"/>
  <c r="O157" i="19"/>
  <c r="O211" i="1"/>
  <c r="O188" i="95"/>
  <c r="O77" i="1"/>
  <c r="O202" i="92"/>
  <c r="O181" i="95"/>
  <c r="O38" i="1"/>
  <c r="O98" i="1"/>
  <c r="O84" i="55"/>
  <c r="O34" i="64"/>
  <c r="O132" i="64"/>
  <c r="O199" i="64"/>
  <c r="O91" i="64"/>
  <c r="O30" i="64"/>
  <c r="O116" i="164"/>
  <c r="F243" i="150"/>
  <c r="O82" i="175"/>
  <c r="O66" i="164"/>
  <c r="O64" i="164"/>
  <c r="O105" i="102"/>
  <c r="J24" i="90"/>
  <c r="O145" i="102"/>
  <c r="J19" i="15"/>
  <c r="M16" i="15"/>
  <c r="O51" i="175"/>
  <c r="O187" i="102"/>
  <c r="O154" i="102"/>
  <c r="O152" i="102"/>
  <c r="O129" i="102"/>
  <c r="O182" i="102"/>
  <c r="O208" i="102"/>
  <c r="O131" i="102"/>
  <c r="O171" i="102"/>
  <c r="O55" i="102"/>
  <c r="O38" i="102"/>
  <c r="O164" i="102"/>
  <c r="O93" i="102"/>
  <c r="O45" i="102"/>
  <c r="O143" i="102"/>
  <c r="O34" i="102"/>
  <c r="O160" i="102"/>
  <c r="O58" i="102"/>
  <c r="O43" i="102"/>
  <c r="O70" i="175"/>
  <c r="O96" i="19"/>
  <c r="O153" i="19"/>
  <c r="O156" i="19"/>
  <c r="O177" i="19"/>
  <c r="O45" i="19"/>
  <c r="O193" i="19"/>
  <c r="O196" i="19"/>
  <c r="O112" i="19"/>
  <c r="M18" i="19"/>
  <c r="O88" i="19"/>
  <c r="O197" i="19"/>
  <c r="O151" i="19"/>
  <c r="J233" i="19"/>
  <c r="O103" i="19"/>
  <c r="O146" i="19"/>
  <c r="O60" i="19"/>
  <c r="O34" i="19"/>
  <c r="O122" i="19"/>
  <c r="O162" i="19"/>
  <c r="O31" i="175"/>
  <c r="O92" i="175"/>
  <c r="O208" i="175"/>
  <c r="O43" i="175"/>
  <c r="O71" i="175"/>
  <c r="O189" i="175"/>
  <c r="O120" i="175"/>
  <c r="O210" i="175"/>
  <c r="O59" i="175"/>
  <c r="O55" i="175"/>
  <c r="O101" i="175"/>
  <c r="O69" i="175"/>
  <c r="O44" i="175"/>
  <c r="O122" i="175"/>
  <c r="O151" i="175"/>
  <c r="O187" i="175"/>
  <c r="J224" i="71"/>
  <c r="O162" i="71"/>
  <c r="O107" i="177"/>
  <c r="O136" i="177"/>
  <c r="J232" i="177"/>
  <c r="O39" i="177"/>
  <c r="O199" i="177"/>
  <c r="O120" i="177"/>
  <c r="O164" i="177"/>
  <c r="O105" i="177"/>
  <c r="O75" i="177"/>
  <c r="O56" i="177"/>
  <c r="J17" i="177"/>
  <c r="O93" i="175"/>
  <c r="O137" i="175"/>
  <c r="O98" i="19"/>
  <c r="O130" i="95"/>
  <c r="O202" i="84"/>
  <c r="O211" i="31"/>
  <c r="O194" i="175"/>
  <c r="I241" i="164"/>
  <c r="I243" i="164" s="1"/>
  <c r="F243" i="89"/>
  <c r="O107" i="164"/>
  <c r="F220" i="158"/>
  <c r="O107" i="102"/>
  <c r="O148" i="102"/>
  <c r="O174" i="175"/>
  <c r="O116" i="102"/>
  <c r="J21" i="90"/>
  <c r="O66" i="102"/>
  <c r="O26" i="15"/>
  <c r="J25" i="15"/>
  <c r="O47" i="175"/>
  <c r="O177" i="175"/>
  <c r="O98" i="102"/>
  <c r="O64" i="102"/>
  <c r="O106" i="102"/>
  <c r="O80" i="102"/>
  <c r="O35" i="102"/>
  <c r="O78" i="102"/>
  <c r="O95" i="102"/>
  <c r="J229" i="102"/>
  <c r="O174" i="102"/>
  <c r="O89" i="102"/>
  <c r="O63" i="102"/>
  <c r="O75" i="102"/>
  <c r="O54" i="102"/>
  <c r="O37" i="102"/>
  <c r="O92" i="102"/>
  <c r="O36" i="102"/>
  <c r="O142" i="102"/>
  <c r="O155" i="102"/>
  <c r="O84" i="175"/>
  <c r="F220" i="85"/>
  <c r="O130" i="71"/>
  <c r="O40" i="19"/>
  <c r="O119" i="19"/>
  <c r="O155" i="19"/>
  <c r="O200" i="19"/>
  <c r="O171" i="19"/>
  <c r="O121" i="19"/>
  <c r="O185" i="19"/>
  <c r="O47" i="19"/>
  <c r="O115" i="19"/>
  <c r="O164" i="19"/>
  <c r="O31" i="19"/>
  <c r="J225" i="19"/>
  <c r="O92" i="19"/>
  <c r="O77" i="19"/>
  <c r="O130" i="19"/>
  <c r="O190" i="19"/>
  <c r="O110" i="19"/>
  <c r="J224" i="19"/>
  <c r="O98" i="177"/>
  <c r="O105" i="71"/>
  <c r="O134" i="175"/>
  <c r="O53" i="175"/>
  <c r="O131" i="175"/>
  <c r="O40" i="175"/>
  <c r="O196" i="175"/>
  <c r="O50" i="175"/>
  <c r="J229" i="175"/>
  <c r="I241" i="175"/>
  <c r="I243" i="175" s="1"/>
  <c r="O181" i="175"/>
  <c r="O75" i="175"/>
  <c r="O175" i="175"/>
  <c r="O34" i="175"/>
  <c r="O146" i="175"/>
  <c r="O141" i="175"/>
  <c r="O39" i="175"/>
  <c r="O207" i="175"/>
  <c r="O153" i="71"/>
  <c r="O88" i="71"/>
  <c r="O169" i="19"/>
  <c r="O142" i="177"/>
  <c r="O206" i="177"/>
  <c r="O161" i="177"/>
  <c r="O47" i="177"/>
  <c r="J233" i="177"/>
  <c r="O193" i="177"/>
  <c r="O54" i="177"/>
  <c r="O179" i="177"/>
  <c r="O208" i="177"/>
  <c r="O209" i="177"/>
  <c r="O197" i="175"/>
  <c r="J22" i="177"/>
  <c r="J24" i="177"/>
  <c r="O183" i="175"/>
  <c r="O66" i="19"/>
  <c r="O26" i="175"/>
  <c r="O49" i="19"/>
  <c r="O66" i="175"/>
  <c r="O84" i="54"/>
  <c r="F220" i="178"/>
  <c r="O107" i="20"/>
  <c r="O104" i="102"/>
  <c r="O132" i="102"/>
  <c r="O91" i="20"/>
  <c r="O63" i="175"/>
  <c r="O51" i="102"/>
  <c r="O110" i="102"/>
  <c r="M16" i="90"/>
  <c r="J23" i="90"/>
  <c r="O33" i="102"/>
  <c r="J21" i="15"/>
  <c r="J18" i="15"/>
  <c r="O64" i="175"/>
  <c r="O76" i="175"/>
  <c r="O88" i="102"/>
  <c r="O48" i="102"/>
  <c r="O41" i="102"/>
  <c r="J225" i="102"/>
  <c r="O200" i="102"/>
  <c r="O205" i="102"/>
  <c r="O42" i="102"/>
  <c r="O83" i="102"/>
  <c r="O169" i="102"/>
  <c r="O209" i="102"/>
  <c r="O146" i="102"/>
  <c r="O135" i="102"/>
  <c r="O188" i="102"/>
  <c r="O65" i="102"/>
  <c r="O170" i="102"/>
  <c r="O90" i="102"/>
  <c r="O130" i="102"/>
  <c r="O178" i="102"/>
  <c r="O53" i="102"/>
  <c r="O201" i="102"/>
  <c r="O116" i="175"/>
  <c r="O181" i="19"/>
  <c r="O53" i="19"/>
  <c r="O148" i="19"/>
  <c r="O87" i="19"/>
  <c r="O101" i="19"/>
  <c r="J230" i="19"/>
  <c r="O83" i="19"/>
  <c r="O57" i="19"/>
  <c r="O189" i="19"/>
  <c r="O39" i="19"/>
  <c r="O176" i="19"/>
  <c r="O161" i="19"/>
  <c r="O123" i="19"/>
  <c r="O158" i="19"/>
  <c r="O143" i="19"/>
  <c r="O71" i="19"/>
  <c r="O142" i="175"/>
  <c r="O148" i="175"/>
  <c r="O211" i="175"/>
  <c r="O58" i="175"/>
  <c r="O91" i="175"/>
  <c r="O169" i="175"/>
  <c r="O38" i="175"/>
  <c r="O81" i="175"/>
  <c r="O65" i="175"/>
  <c r="O106" i="175"/>
  <c r="O205" i="175"/>
  <c r="O112" i="175"/>
  <c r="O74" i="175"/>
  <c r="J230" i="175"/>
  <c r="O78" i="175"/>
  <c r="O153" i="175"/>
  <c r="O41" i="175"/>
  <c r="J227" i="71"/>
  <c r="O180" i="175"/>
  <c r="O192" i="177"/>
  <c r="O148" i="177"/>
  <c r="O49" i="177"/>
  <c r="O40" i="177"/>
  <c r="O103" i="177"/>
  <c r="O189" i="177"/>
  <c r="O119" i="177"/>
  <c r="O205" i="177"/>
  <c r="O33" i="177"/>
  <c r="O170" i="177"/>
  <c r="O184" i="19"/>
  <c r="J21" i="177"/>
  <c r="J18" i="177"/>
  <c r="O161" i="71"/>
  <c r="O180" i="19"/>
  <c r="O211" i="102"/>
  <c r="O166" i="95"/>
  <c r="O66" i="95"/>
  <c r="O84" i="95"/>
  <c r="J17" i="25"/>
  <c r="J19" i="25"/>
  <c r="J21" i="25"/>
  <c r="J26" i="25"/>
  <c r="J25" i="25"/>
  <c r="J23" i="25"/>
  <c r="M16" i="25"/>
  <c r="J20" i="25"/>
  <c r="J18" i="25"/>
  <c r="J16" i="25"/>
  <c r="J24" i="25"/>
  <c r="J22" i="25"/>
  <c r="I213" i="158"/>
  <c r="J58" i="158" s="1"/>
  <c r="O107" i="68"/>
  <c r="O97" i="175"/>
  <c r="O42" i="175"/>
  <c r="O73" i="175"/>
  <c r="O199" i="175"/>
  <c r="O72" i="175"/>
  <c r="O83" i="175"/>
  <c r="O123" i="175"/>
  <c r="O162" i="175"/>
  <c r="O52" i="175"/>
  <c r="O53" i="20"/>
  <c r="O202" i="102"/>
  <c r="J20" i="90"/>
  <c r="O61" i="175"/>
  <c r="O112" i="102"/>
  <c r="O57" i="102"/>
  <c r="O162" i="102"/>
  <c r="O190" i="102"/>
  <c r="O151" i="102"/>
  <c r="O172" i="102"/>
  <c r="O122" i="102"/>
  <c r="O176" i="102"/>
  <c r="O47" i="102"/>
  <c r="J233" i="102"/>
  <c r="O101" i="102"/>
  <c r="O50" i="102"/>
  <c r="O173" i="102"/>
  <c r="O30" i="102"/>
  <c r="O193" i="102"/>
  <c r="O77" i="102"/>
  <c r="F220" i="155"/>
  <c r="O111" i="175"/>
  <c r="O44" i="19"/>
  <c r="O179" i="19"/>
  <c r="O104" i="19"/>
  <c r="O89" i="19"/>
  <c r="O114" i="19"/>
  <c r="O111" i="19"/>
  <c r="O82" i="19"/>
  <c r="O32" i="19"/>
  <c r="O97" i="19"/>
  <c r="O172" i="19"/>
  <c r="O128" i="19"/>
  <c r="O35" i="19"/>
  <c r="O129" i="19"/>
  <c r="O91" i="19"/>
  <c r="O51" i="19"/>
  <c r="O70" i="19"/>
  <c r="O161" i="175"/>
  <c r="O37" i="19"/>
  <c r="O30" i="175"/>
  <c r="O36" i="175"/>
  <c r="O192" i="175"/>
  <c r="O110" i="175"/>
  <c r="O107" i="175"/>
  <c r="O136" i="175"/>
  <c r="O119" i="175"/>
  <c r="O158" i="175"/>
  <c r="O96" i="175"/>
  <c r="O184" i="175"/>
  <c r="O198" i="175"/>
  <c r="O182" i="175"/>
  <c r="O193" i="175"/>
  <c r="O45" i="71"/>
  <c r="O147" i="175"/>
  <c r="O195" i="71"/>
  <c r="O138" i="175"/>
  <c r="O190" i="175"/>
  <c r="O116" i="177"/>
  <c r="O143" i="177"/>
  <c r="I241" i="177"/>
  <c r="O74" i="177"/>
  <c r="O158" i="177"/>
  <c r="J225" i="177"/>
  <c r="O79" i="177"/>
  <c r="J226" i="177"/>
  <c r="O200" i="177"/>
  <c r="O123" i="177"/>
  <c r="M16" i="177"/>
  <c r="O114" i="71"/>
  <c r="O84" i="102"/>
  <c r="O104" i="55"/>
  <c r="O107" i="1"/>
  <c r="O192" i="95"/>
  <c r="O152" i="65"/>
  <c r="O84" i="141"/>
  <c r="I213" i="142"/>
  <c r="J202" i="142" s="1"/>
  <c r="O211" i="55"/>
  <c r="M20" i="15"/>
  <c r="O166" i="164"/>
  <c r="O113" i="102"/>
  <c r="O207" i="102"/>
  <c r="O200" i="71"/>
  <c r="O39" i="71"/>
  <c r="O191" i="71"/>
  <c r="O165" i="71"/>
  <c r="O44" i="71"/>
  <c r="F243" i="104"/>
  <c r="O113" i="71"/>
  <c r="F243" i="156"/>
  <c r="I213" i="31"/>
  <c r="J59" i="31" s="1"/>
  <c r="O47" i="71"/>
  <c r="O124" i="71"/>
  <c r="O92" i="71"/>
  <c r="O71" i="71"/>
  <c r="O189" i="71"/>
  <c r="O96" i="71"/>
  <c r="O89" i="71"/>
  <c r="O31" i="71"/>
  <c r="O83" i="71"/>
  <c r="O150" i="71"/>
  <c r="M16" i="83"/>
  <c r="J19" i="83"/>
  <c r="O209" i="43"/>
  <c r="O62" i="71"/>
  <c r="O50" i="43"/>
  <c r="O58" i="43"/>
  <c r="O47" i="43"/>
  <c r="O173" i="43"/>
  <c r="O80" i="43"/>
  <c r="O42" i="43"/>
  <c r="O189" i="43"/>
  <c r="O83" i="43"/>
  <c r="O41" i="43"/>
  <c r="O137" i="43"/>
  <c r="J226" i="43"/>
  <c r="O61" i="43"/>
  <c r="O141" i="43"/>
  <c r="O157" i="43"/>
  <c r="O180" i="43"/>
  <c r="O37" i="43"/>
  <c r="O142" i="43"/>
  <c r="O156" i="43"/>
  <c r="O205" i="43"/>
  <c r="O26" i="68"/>
  <c r="I213" i="95"/>
  <c r="J74" i="95" s="1"/>
  <c r="O51" i="68"/>
  <c r="J21" i="104"/>
  <c r="J24" i="104"/>
  <c r="F220" i="90"/>
  <c r="J16" i="85"/>
  <c r="J25" i="85"/>
  <c r="O211" i="68"/>
  <c r="J19" i="120"/>
  <c r="O61" i="71"/>
  <c r="O140" i="71"/>
  <c r="O65" i="71"/>
  <c r="O194" i="43"/>
  <c r="O65" i="43"/>
  <c r="O60" i="71"/>
  <c r="O80" i="71"/>
  <c r="M20" i="20"/>
  <c r="O202" i="177"/>
  <c r="O70" i="65"/>
  <c r="O146" i="71"/>
  <c r="O90" i="71"/>
  <c r="J230" i="71"/>
  <c r="J225" i="71"/>
  <c r="O199" i="71"/>
  <c r="O128" i="71"/>
  <c r="J226" i="71"/>
  <c r="O119" i="71"/>
  <c r="O196" i="71"/>
  <c r="O64" i="71"/>
  <c r="O37" i="71"/>
  <c r="O63" i="71"/>
  <c r="O211" i="177"/>
  <c r="O174" i="71"/>
  <c r="O186" i="177"/>
  <c r="J229" i="177"/>
  <c r="O36" i="177"/>
  <c r="O42" i="177"/>
  <c r="O129" i="177"/>
  <c r="O191" i="177"/>
  <c r="O63" i="177"/>
  <c r="O69" i="177"/>
  <c r="O110" i="177"/>
  <c r="O94" i="177"/>
  <c r="O80" i="177"/>
  <c r="O160" i="177"/>
  <c r="O169" i="177"/>
  <c r="J224" i="177"/>
  <c r="O41" i="177"/>
  <c r="O53" i="177"/>
  <c r="M18" i="177"/>
  <c r="J227" i="177"/>
  <c r="O135" i="177"/>
  <c r="O182" i="177"/>
  <c r="O182" i="71"/>
  <c r="O66" i="65"/>
  <c r="O163" i="71"/>
  <c r="O123" i="71"/>
  <c r="O76" i="71"/>
  <c r="O207" i="95"/>
  <c r="O91" i="1"/>
  <c r="O169" i="95"/>
  <c r="O103" i="62"/>
  <c r="O70" i="62"/>
  <c r="O123" i="62"/>
  <c r="O163" i="62"/>
  <c r="O195" i="62"/>
  <c r="F220" i="58"/>
  <c r="O190" i="71"/>
  <c r="O120" i="71"/>
  <c r="O172" i="71"/>
  <c r="O148" i="71"/>
  <c r="O177" i="71"/>
  <c r="O198" i="71"/>
  <c r="O169" i="71"/>
  <c r="O141" i="71"/>
  <c r="O197" i="71"/>
  <c r="O97" i="90"/>
  <c r="O107" i="71"/>
  <c r="J25" i="16"/>
  <c r="O49" i="71"/>
  <c r="J22" i="85"/>
  <c r="M16" i="85"/>
  <c r="O34" i="71"/>
  <c r="O206" i="71"/>
  <c r="O106" i="71"/>
  <c r="O181" i="71"/>
  <c r="O91" i="71"/>
  <c r="O41" i="71"/>
  <c r="O121" i="71"/>
  <c r="O110" i="71"/>
  <c r="O116" i="90"/>
  <c r="O211" i="71"/>
  <c r="O73" i="68"/>
  <c r="J18" i="83"/>
  <c r="J24" i="83"/>
  <c r="O35" i="20"/>
  <c r="O101" i="20"/>
  <c r="O110" i="43"/>
  <c r="J224" i="43"/>
  <c r="O184" i="43"/>
  <c r="O70" i="43"/>
  <c r="O105" i="43"/>
  <c r="O63" i="43"/>
  <c r="O123" i="43"/>
  <c r="O75" i="43"/>
  <c r="O112" i="43"/>
  <c r="O153" i="43"/>
  <c r="O26" i="43"/>
  <c r="J229" i="43"/>
  <c r="O34" i="43"/>
  <c r="O201" i="43"/>
  <c r="O164" i="43"/>
  <c r="O120" i="43"/>
  <c r="O147" i="43"/>
  <c r="O176" i="43"/>
  <c r="O186" i="43"/>
  <c r="O178" i="71"/>
  <c r="O202" i="43"/>
  <c r="F220" i="47"/>
  <c r="F220" i="32"/>
  <c r="O97" i="71"/>
  <c r="M16" i="104"/>
  <c r="O115" i="71"/>
  <c r="J26" i="85"/>
  <c r="J21" i="85"/>
  <c r="O94" i="20"/>
  <c r="M16" i="120"/>
  <c r="O166" i="71"/>
  <c r="O156" i="71"/>
  <c r="O142" i="71"/>
  <c r="O175" i="71"/>
  <c r="O30" i="71"/>
  <c r="O145" i="71"/>
  <c r="O210" i="71"/>
  <c r="O134" i="71"/>
  <c r="J233" i="71"/>
  <c r="O205" i="71"/>
  <c r="O103" i="71"/>
  <c r="O122" i="71"/>
  <c r="O180" i="71"/>
  <c r="O157" i="71"/>
  <c r="O137" i="71"/>
  <c r="O173" i="71"/>
  <c r="O178" i="68"/>
  <c r="O116" i="119"/>
  <c r="O58" i="90"/>
  <c r="O157" i="177"/>
  <c r="O72" i="177"/>
  <c r="O51" i="177"/>
  <c r="O178" i="177"/>
  <c r="O154" i="177"/>
  <c r="O210" i="177"/>
  <c r="O106" i="177"/>
  <c r="O65" i="177"/>
  <c r="O171" i="177"/>
  <c r="O196" i="177"/>
  <c r="O92" i="177"/>
  <c r="O147" i="177"/>
  <c r="O185" i="177"/>
  <c r="O155" i="177"/>
  <c r="O71" i="177"/>
  <c r="O146" i="177"/>
  <c r="O59" i="177"/>
  <c r="O111" i="177"/>
  <c r="O150" i="177"/>
  <c r="O36" i="71"/>
  <c r="O98" i="90"/>
  <c r="O43" i="68"/>
  <c r="O55" i="90"/>
  <c r="O71" i="43"/>
  <c r="O98" i="95"/>
  <c r="O166" i="177"/>
  <c r="O47" i="46"/>
  <c r="O62" i="46"/>
  <c r="O142" i="46"/>
  <c r="O198" i="46"/>
  <c r="O128" i="46"/>
  <c r="O58" i="71"/>
  <c r="O154" i="71"/>
  <c r="O57" i="71"/>
  <c r="O202" i="71"/>
  <c r="O98" i="71"/>
  <c r="O102" i="71"/>
  <c r="O207" i="71"/>
  <c r="O171" i="71"/>
  <c r="J232" i="71"/>
  <c r="O38" i="71"/>
  <c r="I213" i="54"/>
  <c r="J188" i="54" s="1"/>
  <c r="O166" i="65"/>
  <c r="O181" i="177"/>
  <c r="O31" i="177"/>
  <c r="O138" i="177"/>
  <c r="J22" i="83"/>
  <c r="J20" i="83"/>
  <c r="O55" i="71"/>
  <c r="O72" i="43"/>
  <c r="O82" i="43"/>
  <c r="O193" i="43"/>
  <c r="O104" i="43"/>
  <c r="O145" i="43"/>
  <c r="O81" i="43"/>
  <c r="O132" i="43"/>
  <c r="O45" i="43"/>
  <c r="O53" i="43"/>
  <c r="O87" i="43"/>
  <c r="O33" i="43"/>
  <c r="O32" i="43"/>
  <c r="O103" i="43"/>
  <c r="O102" i="43"/>
  <c r="O208" i="43"/>
  <c r="O188" i="43"/>
  <c r="O178" i="43"/>
  <c r="I241" i="72"/>
  <c r="O26" i="90"/>
  <c r="O32" i="71"/>
  <c r="F220" i="55"/>
  <c r="J25" i="104"/>
  <c r="J16" i="104"/>
  <c r="J20" i="85"/>
  <c r="F220" i="164"/>
  <c r="J23" i="120"/>
  <c r="F220" i="84"/>
  <c r="O70" i="71"/>
  <c r="F220" i="174"/>
  <c r="F220" i="14"/>
  <c r="O46" i="71"/>
  <c r="O205" i="68"/>
  <c r="O63" i="65"/>
  <c r="O138" i="71"/>
  <c r="O94" i="71"/>
  <c r="O95" i="71"/>
  <c r="O42" i="71"/>
  <c r="O43" i="71"/>
  <c r="I241" i="71"/>
  <c r="O87" i="71"/>
  <c r="O56" i="71"/>
  <c r="O81" i="71"/>
  <c r="O143" i="71"/>
  <c r="O209" i="71"/>
  <c r="O50" i="71"/>
  <c r="O151" i="141"/>
  <c r="O128" i="177"/>
  <c r="O153" i="177"/>
  <c r="O38" i="177"/>
  <c r="O44" i="177"/>
  <c r="O50" i="177"/>
  <c r="O183" i="177"/>
  <c r="O48" i="177"/>
  <c r="O137" i="177"/>
  <c r="O134" i="177"/>
  <c r="O145" i="177"/>
  <c r="O173" i="177"/>
  <c r="O34" i="177"/>
  <c r="O82" i="177"/>
  <c r="O121" i="177"/>
  <c r="O156" i="177"/>
  <c r="J230" i="177"/>
  <c r="O43" i="177"/>
  <c r="O61" i="177"/>
  <c r="O102" i="177"/>
  <c r="O163" i="177"/>
  <c r="O152" i="71"/>
  <c r="O211" i="90"/>
  <c r="I213" i="90"/>
  <c r="J111" i="90" s="1"/>
  <c r="O162" i="177"/>
  <c r="O179" i="43"/>
  <c r="I213" i="50"/>
  <c r="J105" i="50" s="1"/>
  <c r="O161" i="65"/>
  <c r="O107" i="65"/>
  <c r="O129" i="84"/>
  <c r="O40" i="84"/>
  <c r="O210" i="84"/>
  <c r="O110" i="84"/>
  <c r="O83" i="84"/>
  <c r="O128" i="84"/>
  <c r="O152" i="84"/>
  <c r="O140" i="84"/>
  <c r="O63" i="84"/>
  <c r="O163" i="84"/>
  <c r="O95" i="84"/>
  <c r="O157" i="84"/>
  <c r="O44" i="84"/>
  <c r="O196" i="84"/>
  <c r="J229" i="84"/>
  <c r="O170" i="84"/>
  <c r="O115" i="84"/>
  <c r="O77" i="84"/>
  <c r="O176" i="84"/>
  <c r="O64" i="84"/>
  <c r="O92" i="84"/>
  <c r="O211" i="84"/>
  <c r="O41" i="84"/>
  <c r="J232" i="84"/>
  <c r="O82" i="84"/>
  <c r="O91" i="84"/>
  <c r="O74" i="84"/>
  <c r="O200" i="84"/>
  <c r="O141" i="84"/>
  <c r="O191" i="84"/>
  <c r="O120" i="84"/>
  <c r="J225" i="84"/>
  <c r="O180" i="84"/>
  <c r="O31" i="84"/>
  <c r="O87" i="84"/>
  <c r="O158" i="84"/>
  <c r="O153" i="84"/>
  <c r="O71" i="84"/>
  <c r="O145" i="84"/>
  <c r="O206" i="84"/>
  <c r="O61" i="84"/>
  <c r="O30" i="84"/>
  <c r="O160" i="84"/>
  <c r="O137" i="84"/>
  <c r="O42" i="84"/>
  <c r="O57" i="84"/>
  <c r="O62" i="84"/>
  <c r="O75" i="84"/>
  <c r="O187" i="84"/>
  <c r="O78" i="84"/>
  <c r="O119" i="84"/>
  <c r="O179" i="84"/>
  <c r="O189" i="84"/>
  <c r="O122" i="84"/>
  <c r="O55" i="84"/>
  <c r="O175" i="84"/>
  <c r="O93" i="84"/>
  <c r="O51" i="84"/>
  <c r="O50" i="84"/>
  <c r="O88" i="84"/>
  <c r="I241" i="84"/>
  <c r="O156" i="84"/>
  <c r="O48" i="84"/>
  <c r="O142" i="84"/>
  <c r="O174" i="84"/>
  <c r="O123" i="84"/>
  <c r="O136" i="84"/>
  <c r="O173" i="84"/>
  <c r="O197" i="84"/>
  <c r="O134" i="84"/>
  <c r="O165" i="84"/>
  <c r="J224" i="84"/>
  <c r="O46" i="84"/>
  <c r="O65" i="84"/>
  <c r="O59" i="84"/>
  <c r="O161" i="84"/>
  <c r="O121" i="84"/>
  <c r="O171" i="84"/>
  <c r="O69" i="84"/>
  <c r="O130" i="84"/>
  <c r="O188" i="84"/>
  <c r="J228" i="84"/>
  <c r="O102" i="84"/>
  <c r="O208" i="84"/>
  <c r="J230" i="84"/>
  <c r="O132" i="84"/>
  <c r="O97" i="84"/>
  <c r="O172" i="84"/>
  <c r="M18" i="84"/>
  <c r="O96" i="84"/>
  <c r="O58" i="84"/>
  <c r="O101" i="84"/>
  <c r="O52" i="84"/>
  <c r="O37" i="84"/>
  <c r="O209" i="84"/>
  <c r="O106" i="84"/>
  <c r="O192" i="84"/>
  <c r="O112" i="84"/>
  <c r="O90" i="84"/>
  <c r="O207" i="84"/>
  <c r="O182" i="84"/>
  <c r="O79" i="84"/>
  <c r="J227" i="84"/>
  <c r="J226" i="84"/>
  <c r="O89" i="84"/>
  <c r="O146" i="84"/>
  <c r="O186" i="84"/>
  <c r="O198" i="84"/>
  <c r="O81" i="84"/>
  <c r="O178" i="84"/>
  <c r="O113" i="84"/>
  <c r="O49" i="84"/>
  <c r="O70" i="84"/>
  <c r="O177" i="84"/>
  <c r="O190" i="84"/>
  <c r="O34" i="84"/>
  <c r="O104" i="84"/>
  <c r="O199" i="84"/>
  <c r="O201" i="84"/>
  <c r="O148" i="84"/>
  <c r="O103" i="84"/>
  <c r="O162" i="84"/>
  <c r="O183" i="84"/>
  <c r="O33" i="84"/>
  <c r="O73" i="84"/>
  <c r="O184" i="84"/>
  <c r="O205" i="84"/>
  <c r="O80" i="84"/>
  <c r="J233" i="84"/>
  <c r="O169" i="84"/>
  <c r="O155" i="84"/>
  <c r="O193" i="84"/>
  <c r="O194" i="84"/>
  <c r="O35" i="84"/>
  <c r="O151" i="84"/>
  <c r="O164" i="84"/>
  <c r="O124" i="62"/>
  <c r="O69" i="71"/>
  <c r="O74" i="71"/>
  <c r="O79" i="71"/>
  <c r="O59" i="71"/>
  <c r="O112" i="71"/>
  <c r="O164" i="71"/>
  <c r="O104" i="71"/>
  <c r="O160" i="71"/>
  <c r="O33" i="71"/>
  <c r="O35" i="71"/>
  <c r="O201" i="71"/>
  <c r="O158" i="71"/>
  <c r="O132" i="71"/>
  <c r="O53" i="71"/>
  <c r="O155" i="71"/>
  <c r="O48" i="71"/>
  <c r="O82" i="71"/>
  <c r="O93" i="71"/>
  <c r="J18" i="120"/>
  <c r="O51" i="71"/>
  <c r="O136" i="71"/>
  <c r="O183" i="71"/>
  <c r="M18" i="71"/>
  <c r="O188" i="71"/>
  <c r="O187" i="71"/>
  <c r="O54" i="71"/>
  <c r="O40" i="71"/>
  <c r="O132" i="90"/>
  <c r="O72" i="71"/>
  <c r="F243" i="92"/>
  <c r="J23" i="83"/>
  <c r="F220" i="98"/>
  <c r="O116" i="71"/>
  <c r="O116" i="68"/>
  <c r="O194" i="71"/>
  <c r="O136" i="43"/>
  <c r="O134" i="43"/>
  <c r="O154" i="43"/>
  <c r="O76" i="43"/>
  <c r="O199" i="43"/>
  <c r="O182" i="43"/>
  <c r="O69" i="43"/>
  <c r="O130" i="43"/>
  <c r="O183" i="43"/>
  <c r="O94" i="43"/>
  <c r="O210" i="43"/>
  <c r="J230" i="43"/>
  <c r="O52" i="43"/>
  <c r="O162" i="43"/>
  <c r="O57" i="43"/>
  <c r="O64" i="43"/>
  <c r="O192" i="43"/>
  <c r="O95" i="43"/>
  <c r="O66" i="71"/>
  <c r="O70" i="68"/>
  <c r="J19" i="104"/>
  <c r="J17" i="120"/>
  <c r="O39" i="20"/>
  <c r="O187" i="43"/>
  <c r="O84" i="71"/>
  <c r="O26" i="20"/>
  <c r="O176" i="71"/>
  <c r="O185" i="71"/>
  <c r="O129" i="71"/>
  <c r="O186" i="71"/>
  <c r="O75" i="71"/>
  <c r="O111" i="71"/>
  <c r="J228" i="71"/>
  <c r="O192" i="71"/>
  <c r="O77" i="71"/>
  <c r="O101" i="71"/>
  <c r="O78" i="71"/>
  <c r="J229" i="71"/>
  <c r="O179" i="71"/>
  <c r="O30" i="177"/>
  <c r="O87" i="177"/>
  <c r="O46" i="177"/>
  <c r="O95" i="177"/>
  <c r="O177" i="177"/>
  <c r="O201" i="177"/>
  <c r="O96" i="177"/>
  <c r="O151" i="177"/>
  <c r="O90" i="177"/>
  <c r="O77" i="177"/>
  <c r="O194" i="177"/>
  <c r="O187" i="177"/>
  <c r="O81" i="177"/>
  <c r="O114" i="177"/>
  <c r="O52" i="177"/>
  <c r="O140" i="177"/>
  <c r="O188" i="177"/>
  <c r="O131" i="177"/>
  <c r="J228" i="177"/>
  <c r="O104" i="177"/>
  <c r="O59" i="65"/>
  <c r="O135" i="71"/>
  <c r="O113" i="90"/>
  <c r="O40" i="65"/>
  <c r="O208" i="20"/>
  <c r="O135" i="95"/>
  <c r="O94" i="84"/>
  <c r="O98" i="84"/>
  <c r="I213" i="79"/>
  <c r="I220" i="79" s="1"/>
  <c r="F243" i="79"/>
  <c r="O34" i="20"/>
  <c r="O46" i="20"/>
  <c r="I242" i="20"/>
  <c r="O47" i="20"/>
  <c r="O52" i="20"/>
  <c r="O174" i="20"/>
  <c r="O189" i="20"/>
  <c r="O56" i="20"/>
  <c r="O31" i="20"/>
  <c r="O77" i="20"/>
  <c r="O38" i="20"/>
  <c r="O49" i="20"/>
  <c r="I241" i="20"/>
  <c r="O202" i="20"/>
  <c r="O66" i="20"/>
  <c r="O166" i="20"/>
  <c r="O112" i="85"/>
  <c r="O89" i="85"/>
  <c r="O71" i="85"/>
  <c r="O162" i="85"/>
  <c r="O128" i="85"/>
  <c r="O166" i="85"/>
  <c r="O26" i="85"/>
  <c r="O115" i="85"/>
  <c r="O39" i="85"/>
  <c r="O41" i="85"/>
  <c r="O74" i="85"/>
  <c r="O83" i="85"/>
  <c r="O173" i="85"/>
  <c r="O157" i="85"/>
  <c r="O210" i="85"/>
  <c r="O55" i="85"/>
  <c r="O197" i="85"/>
  <c r="J225" i="85"/>
  <c r="O90" i="85"/>
  <c r="O200" i="85"/>
  <c r="O130" i="85"/>
  <c r="O175" i="85"/>
  <c r="O65" i="85"/>
  <c r="O111" i="85"/>
  <c r="O95" i="85"/>
  <c r="O147" i="85"/>
  <c r="O181" i="85"/>
  <c r="O88" i="85"/>
  <c r="O96" i="85"/>
  <c r="O72" i="85"/>
  <c r="O43" i="85"/>
  <c r="O142" i="85"/>
  <c r="O49" i="85"/>
  <c r="O34" i="85"/>
  <c r="O172" i="85"/>
  <c r="O206" i="85"/>
  <c r="O196" i="85"/>
  <c r="O122" i="85"/>
  <c r="O183" i="85"/>
  <c r="M18" i="85"/>
  <c r="O209" i="85"/>
  <c r="O194" i="85"/>
  <c r="O152" i="85"/>
  <c r="O105" i="85"/>
  <c r="O141" i="85"/>
  <c r="O87" i="85"/>
  <c r="O114" i="85"/>
  <c r="O180" i="85"/>
  <c r="O79" i="85"/>
  <c r="J230" i="85"/>
  <c r="J227" i="85"/>
  <c r="O91" i="85"/>
  <c r="O161" i="85"/>
  <c r="O205" i="85"/>
  <c r="O208" i="85"/>
  <c r="O135" i="85"/>
  <c r="O164" i="85"/>
  <c r="O137" i="85"/>
  <c r="O153" i="85"/>
  <c r="O32" i="85"/>
  <c r="O93" i="85"/>
  <c r="O46" i="85"/>
  <c r="O158" i="85"/>
  <c r="O37" i="85"/>
  <c r="O73" i="85"/>
  <c r="O129" i="85"/>
  <c r="O148" i="85"/>
  <c r="O151" i="85"/>
  <c r="O179" i="85"/>
  <c r="O69" i="85"/>
  <c r="O82" i="85"/>
  <c r="O190" i="85"/>
  <c r="O207" i="85"/>
  <c r="O150" i="85"/>
  <c r="O193" i="85"/>
  <c r="O36" i="85"/>
  <c r="O38" i="85"/>
  <c r="O92" i="85"/>
  <c r="O136" i="85"/>
  <c r="O78" i="85"/>
  <c r="O45" i="85"/>
  <c r="J228" i="85"/>
  <c r="O76" i="85"/>
  <c r="O184" i="85"/>
  <c r="O185" i="85"/>
  <c r="O70" i="85"/>
  <c r="O154" i="85"/>
  <c r="O178" i="85"/>
  <c r="O52" i="85"/>
  <c r="O102" i="85"/>
  <c r="O119" i="85"/>
  <c r="O177" i="85"/>
  <c r="O54" i="85"/>
  <c r="J232" i="85"/>
  <c r="O174" i="85"/>
  <c r="O140" i="85"/>
  <c r="O171" i="85"/>
  <c r="O131" i="85"/>
  <c r="O113" i="85"/>
  <c r="O31" i="85"/>
  <c r="O42" i="85"/>
  <c r="O94" i="85"/>
  <c r="J224" i="85"/>
  <c r="O50" i="85"/>
  <c r="O121" i="85"/>
  <c r="O123" i="85"/>
  <c r="O64" i="85"/>
  <c r="O201" i="85"/>
  <c r="O35" i="85"/>
  <c r="O138" i="85"/>
  <c r="O77" i="85"/>
  <c r="O176" i="85"/>
  <c r="J226" i="85"/>
  <c r="O134" i="85"/>
  <c r="O160" i="85"/>
  <c r="O51" i="85"/>
  <c r="O101" i="85"/>
  <c r="O186" i="85"/>
  <c r="O110" i="85"/>
  <c r="O57" i="85"/>
  <c r="O163" i="85"/>
  <c r="O60" i="85"/>
  <c r="O48" i="85"/>
  <c r="O62" i="85"/>
  <c r="O189" i="85"/>
  <c r="O61" i="85"/>
  <c r="O81" i="85"/>
  <c r="O59" i="85"/>
  <c r="O30" i="85"/>
  <c r="O156" i="85"/>
  <c r="O169" i="85"/>
  <c r="O53" i="85"/>
  <c r="J229" i="85"/>
  <c r="O40" i="85"/>
  <c r="O199" i="85"/>
  <c r="O106" i="85"/>
  <c r="O80" i="85"/>
  <c r="O97" i="85"/>
  <c r="J233" i="85"/>
  <c r="O155" i="85"/>
  <c r="O47" i="85"/>
  <c r="O58" i="85"/>
  <c r="O165" i="85"/>
  <c r="O116" i="85"/>
  <c r="O66" i="85"/>
  <c r="O191" i="85"/>
  <c r="O56" i="85"/>
  <c r="O146" i="85"/>
  <c r="O44" i="85"/>
  <c r="O132" i="85"/>
  <c r="O63" i="85"/>
  <c r="O33" i="85"/>
  <c r="O103" i="85"/>
  <c r="O195" i="85"/>
  <c r="O198" i="85"/>
  <c r="O98" i="85"/>
  <c r="O124" i="85"/>
  <c r="O170" i="85"/>
  <c r="O107" i="85"/>
  <c r="O188" i="85"/>
  <c r="O143" i="85"/>
  <c r="O104" i="85"/>
  <c r="L18" i="97"/>
  <c r="P16" i="195" s="1"/>
  <c r="I213" i="72"/>
  <c r="J197" i="72" s="1"/>
  <c r="L23" i="97"/>
  <c r="P21" i="195" s="1"/>
  <c r="O32" i="178"/>
  <c r="O102" i="119"/>
  <c r="O81" i="119"/>
  <c r="O194" i="178"/>
  <c r="O62" i="178"/>
  <c r="M16" i="16"/>
  <c r="J22" i="16"/>
  <c r="O146" i="27"/>
  <c r="J226" i="27"/>
  <c r="O61" i="27"/>
  <c r="O207" i="27"/>
  <c r="J230" i="27"/>
  <c r="O65" i="27"/>
  <c r="O104" i="27"/>
  <c r="O102" i="27"/>
  <c r="O89" i="27"/>
  <c r="O111" i="27"/>
  <c r="O92" i="27"/>
  <c r="O112" i="27"/>
  <c r="O51" i="27"/>
  <c r="O63" i="27"/>
  <c r="O198" i="27"/>
  <c r="O128" i="27"/>
  <c r="O173" i="27"/>
  <c r="O158" i="27"/>
  <c r="O192" i="27"/>
  <c r="O186" i="27"/>
  <c r="O120" i="119"/>
  <c r="O63" i="119"/>
  <c r="O66" i="142"/>
  <c r="O184" i="104"/>
  <c r="O124" i="15"/>
  <c r="O70" i="119"/>
  <c r="O34" i="1"/>
  <c r="O176" i="55"/>
  <c r="O111" i="65"/>
  <c r="O135" i="65"/>
  <c r="O197" i="65"/>
  <c r="O201" i="65"/>
  <c r="O116" i="65"/>
  <c r="O110" i="65"/>
  <c r="O189" i="65"/>
  <c r="J230" i="65"/>
  <c r="O210" i="65"/>
  <c r="O35" i="65"/>
  <c r="O173" i="65"/>
  <c r="O42" i="65"/>
  <c r="O78" i="65"/>
  <c r="O101" i="65"/>
  <c r="O56" i="65"/>
  <c r="O136" i="65"/>
  <c r="O143" i="65"/>
  <c r="O186" i="65"/>
  <c r="O60" i="65"/>
  <c r="J233" i="65"/>
  <c r="O131" i="65"/>
  <c r="O105" i="65"/>
  <c r="O121" i="65"/>
  <c r="O158" i="65"/>
  <c r="O73" i="65"/>
  <c r="O38" i="65"/>
  <c r="O72" i="65"/>
  <c r="O102" i="65"/>
  <c r="O164" i="65"/>
  <c r="O180" i="65"/>
  <c r="O195" i="65"/>
  <c r="O199" i="65"/>
  <c r="O184" i="65"/>
  <c r="O181" i="65"/>
  <c r="O50" i="65"/>
  <c r="O74" i="65"/>
  <c r="O104" i="65"/>
  <c r="O157" i="65"/>
  <c r="O196" i="65"/>
  <c r="O175" i="65"/>
  <c r="O191" i="65"/>
  <c r="O87" i="65"/>
  <c r="O200" i="65"/>
  <c r="O148" i="65"/>
  <c r="O82" i="65"/>
  <c r="O58" i="65"/>
  <c r="O49" i="65"/>
  <c r="O97" i="65"/>
  <c r="J225" i="65"/>
  <c r="O106" i="65"/>
  <c r="O54" i="65"/>
  <c r="O41" i="65"/>
  <c r="O65" i="65"/>
  <c r="O57" i="65"/>
  <c r="O153" i="65"/>
  <c r="M18" i="65"/>
  <c r="O39" i="65"/>
  <c r="O75" i="65"/>
  <c r="O176" i="65"/>
  <c r="O145" i="65"/>
  <c r="O62" i="65"/>
  <c r="O141" i="65"/>
  <c r="O51" i="65"/>
  <c r="O112" i="65"/>
  <c r="O61" i="65"/>
  <c r="O88" i="65"/>
  <c r="J226" i="65"/>
  <c r="J224" i="65"/>
  <c r="O205" i="65"/>
  <c r="O206" i="65"/>
  <c r="O90" i="65"/>
  <c r="J227" i="65"/>
  <c r="O95" i="65"/>
  <c r="O55" i="65"/>
  <c r="O165" i="65"/>
  <c r="O185" i="65"/>
  <c r="O129" i="65"/>
  <c r="O150" i="65"/>
  <c r="O115" i="65"/>
  <c r="O188" i="65"/>
  <c r="O91" i="65"/>
  <c r="O171" i="65"/>
  <c r="O177" i="65"/>
  <c r="O44" i="65"/>
  <c r="O79" i="65"/>
  <c r="O174" i="65"/>
  <c r="O194" i="65"/>
  <c r="O71" i="65"/>
  <c r="O155" i="65"/>
  <c r="O162" i="65"/>
  <c r="O92" i="65"/>
  <c r="O123" i="65"/>
  <c r="O134" i="65"/>
  <c r="O77" i="65"/>
  <c r="O33" i="65"/>
  <c r="O30" i="65"/>
  <c r="O130" i="65"/>
  <c r="O160" i="65"/>
  <c r="J232" i="65"/>
  <c r="O80" i="65"/>
  <c r="O183" i="65"/>
  <c r="O147" i="65"/>
  <c r="O114" i="65"/>
  <c r="O178" i="65"/>
  <c r="O190" i="65"/>
  <c r="O122" i="65"/>
  <c r="O163" i="65"/>
  <c r="O170" i="65"/>
  <c r="O103" i="65"/>
  <c r="O169" i="65"/>
  <c r="O151" i="65"/>
  <c r="O208" i="65"/>
  <c r="J228" i="65"/>
  <c r="O89" i="65"/>
  <c r="O64" i="65"/>
  <c r="O182" i="65"/>
  <c r="O83" i="65"/>
  <c r="O53" i="65"/>
  <c r="O187" i="65"/>
  <c r="O34" i="65"/>
  <c r="O156" i="65"/>
  <c r="O172" i="65"/>
  <c r="O128" i="65"/>
  <c r="O179" i="65"/>
  <c r="O198" i="65"/>
  <c r="O31" i="65"/>
  <c r="O142" i="65"/>
  <c r="O37" i="65"/>
  <c r="O69" i="65"/>
  <c r="O120" i="65"/>
  <c r="O119" i="65"/>
  <c r="O113" i="65"/>
  <c r="O137" i="65"/>
  <c r="O81" i="65"/>
  <c r="O52" i="65"/>
  <c r="O93" i="65"/>
  <c r="O96" i="65"/>
  <c r="O192" i="65"/>
  <c r="O193" i="65"/>
  <c r="O45" i="65"/>
  <c r="O76" i="65"/>
  <c r="O146" i="65"/>
  <c r="O209" i="65"/>
  <c r="O46" i="65"/>
  <c r="O132" i="65"/>
  <c r="J229" i="65"/>
  <c r="O154" i="65"/>
  <c r="O94" i="65"/>
  <c r="O47" i="65"/>
  <c r="O207" i="65"/>
  <c r="O138" i="65"/>
  <c r="O151" i="1"/>
  <c r="O43" i="65"/>
  <c r="O84" i="27"/>
  <c r="O211" i="65"/>
  <c r="F220" i="86"/>
  <c r="F220" i="62"/>
  <c r="O26" i="119"/>
  <c r="O152" i="27"/>
  <c r="J17" i="16"/>
  <c r="J26" i="16"/>
  <c r="I213" i="177"/>
  <c r="J52" i="177" s="1"/>
  <c r="O105" i="27"/>
  <c r="O147" i="27"/>
  <c r="O74" i="27"/>
  <c r="O122" i="27"/>
  <c r="O31" i="27"/>
  <c r="O165" i="27"/>
  <c r="O94" i="27"/>
  <c r="O34" i="27"/>
  <c r="O154" i="27"/>
  <c r="O120" i="27"/>
  <c r="O138" i="27"/>
  <c r="O38" i="27"/>
  <c r="O97" i="27"/>
  <c r="O188" i="27"/>
  <c r="O130" i="27"/>
  <c r="O121" i="27"/>
  <c r="O49" i="27"/>
  <c r="O107" i="119"/>
  <c r="O166" i="119"/>
  <c r="I213" i="87"/>
  <c r="J112" i="87" s="1"/>
  <c r="O116" i="31"/>
  <c r="O152" i="31"/>
  <c r="O210" i="31"/>
  <c r="O161" i="31"/>
  <c r="O140" i="31"/>
  <c r="O176" i="31"/>
  <c r="O128" i="31"/>
  <c r="O146" i="31"/>
  <c r="O101" i="31"/>
  <c r="O84" i="31"/>
  <c r="J17" i="1"/>
  <c r="J22" i="1"/>
  <c r="J19" i="1"/>
  <c r="J26" i="1"/>
  <c r="J25" i="1"/>
  <c r="J23" i="1"/>
  <c r="J20" i="1"/>
  <c r="J18" i="1"/>
  <c r="J21" i="1"/>
  <c r="J16" i="1"/>
  <c r="J24" i="1"/>
  <c r="M16" i="1"/>
  <c r="O26" i="1"/>
  <c r="F243" i="47"/>
  <c r="J19" i="16"/>
  <c r="O132" i="119"/>
  <c r="O134" i="27"/>
  <c r="O143" i="27"/>
  <c r="O72" i="27"/>
  <c r="O140" i="27"/>
  <c r="J21" i="89"/>
  <c r="J17" i="89"/>
  <c r="J25" i="89"/>
  <c r="J16" i="89"/>
  <c r="J20" i="89"/>
  <c r="J18" i="89"/>
  <c r="J22" i="89"/>
  <c r="J24" i="89"/>
  <c r="J26" i="89"/>
  <c r="M16" i="89"/>
  <c r="J23" i="89"/>
  <c r="J19" i="89"/>
  <c r="O183" i="27"/>
  <c r="O148" i="27"/>
  <c r="J16" i="16"/>
  <c r="J21" i="16"/>
  <c r="I213" i="65"/>
  <c r="J146" i="65" s="1"/>
  <c r="O76" i="27"/>
  <c r="O179" i="27"/>
  <c r="J227" i="27"/>
  <c r="O114" i="27"/>
  <c r="O54" i="27"/>
  <c r="O193" i="27"/>
  <c r="J233" i="27"/>
  <c r="O201" i="27"/>
  <c r="O47" i="27"/>
  <c r="O75" i="27"/>
  <c r="O113" i="27"/>
  <c r="O163" i="27"/>
  <c r="O169" i="27"/>
  <c r="O90" i="27"/>
  <c r="O106" i="27"/>
  <c r="O64" i="27"/>
  <c r="I213" i="1"/>
  <c r="J112" i="1" s="1"/>
  <c r="O190" i="27"/>
  <c r="F220" i="68"/>
  <c r="O201" i="119"/>
  <c r="O87" i="119"/>
  <c r="O43" i="27"/>
  <c r="O170" i="119"/>
  <c r="O82" i="27"/>
  <c r="O202" i="90"/>
  <c r="O83" i="104"/>
  <c r="O115" i="55"/>
  <c r="O116" i="1"/>
  <c r="O98" i="65"/>
  <c r="I213" i="42"/>
  <c r="J39" i="42" s="1"/>
  <c r="J18" i="16"/>
  <c r="O43" i="178"/>
  <c r="O62" i="27"/>
  <c r="O153" i="27"/>
  <c r="O202" i="27"/>
  <c r="O107" i="27"/>
  <c r="J224" i="27"/>
  <c r="J228" i="27"/>
  <c r="O164" i="27"/>
  <c r="O132" i="27"/>
  <c r="O52" i="27"/>
  <c r="O33" i="27"/>
  <c r="O195" i="27"/>
  <c r="O45" i="27"/>
  <c r="O157" i="27"/>
  <c r="O81" i="27"/>
  <c r="M18" i="27"/>
  <c r="O30" i="27"/>
  <c r="O199" i="27"/>
  <c r="O136" i="27"/>
  <c r="O53" i="27"/>
  <c r="O174" i="27"/>
  <c r="O151" i="27"/>
  <c r="O60" i="119"/>
  <c r="O210" i="141"/>
  <c r="O158" i="141"/>
  <c r="O129" i="27"/>
  <c r="O120" i="90"/>
  <c r="J21" i="165"/>
  <c r="J25" i="165"/>
  <c r="J23" i="165"/>
  <c r="J26" i="165"/>
  <c r="J18" i="165"/>
  <c r="J17" i="165"/>
  <c r="J24" i="165"/>
  <c r="J22" i="165"/>
  <c r="J16" i="165"/>
  <c r="J20" i="165"/>
  <c r="M16" i="165"/>
  <c r="J19" i="165"/>
  <c r="O166" i="55"/>
  <c r="O191" i="95"/>
  <c r="O55" i="95"/>
  <c r="J232" i="95"/>
  <c r="O34" i="95"/>
  <c r="O105" i="95"/>
  <c r="O137" i="95"/>
  <c r="J233" i="95"/>
  <c r="O142" i="95"/>
  <c r="O78" i="95"/>
  <c r="O120" i="95"/>
  <c r="O96" i="95"/>
  <c r="O65" i="95"/>
  <c r="I241" i="95"/>
  <c r="O71" i="95"/>
  <c r="J228" i="95"/>
  <c r="O87" i="95"/>
  <c r="O111" i="95"/>
  <c r="O37" i="95"/>
  <c r="O89" i="95"/>
  <c r="O155" i="95"/>
  <c r="O95" i="95"/>
  <c r="O30" i="95"/>
  <c r="O75" i="95"/>
  <c r="O119" i="95"/>
  <c r="O69" i="95"/>
  <c r="O58" i="95"/>
  <c r="O101" i="95"/>
  <c r="O147" i="95"/>
  <c r="O194" i="95"/>
  <c r="O206" i="95"/>
  <c r="O176" i="95"/>
  <c r="O90" i="95"/>
  <c r="O189" i="95"/>
  <c r="O47" i="95"/>
  <c r="O115" i="95"/>
  <c r="O54" i="95"/>
  <c r="J227" i="95"/>
  <c r="J229" i="95"/>
  <c r="O197" i="95"/>
  <c r="O92" i="95"/>
  <c r="O61" i="95"/>
  <c r="O102" i="95"/>
  <c r="O174" i="95"/>
  <c r="O143" i="95"/>
  <c r="O158" i="95"/>
  <c r="O175" i="95"/>
  <c r="O121" i="95"/>
  <c r="O79" i="95"/>
  <c r="O60" i="95"/>
  <c r="O45" i="95"/>
  <c r="O198" i="95"/>
  <c r="J224" i="95"/>
  <c r="O112" i="95"/>
  <c r="O131" i="95"/>
  <c r="O196" i="95"/>
  <c r="O128" i="95"/>
  <c r="O53" i="95"/>
  <c r="O123" i="95"/>
  <c r="O44" i="95"/>
  <c r="O164" i="95"/>
  <c r="O113" i="95"/>
  <c r="O163" i="95"/>
  <c r="O40" i="95"/>
  <c r="O179" i="95"/>
  <c r="O94" i="95"/>
  <c r="O152" i="95"/>
  <c r="O103" i="95"/>
  <c r="O156" i="95"/>
  <c r="O49" i="95"/>
  <c r="O151" i="95"/>
  <c r="O141" i="95"/>
  <c r="O184" i="95"/>
  <c r="O157" i="95"/>
  <c r="O42" i="95"/>
  <c r="O122" i="95"/>
  <c r="O208" i="95"/>
  <c r="O154" i="95"/>
  <c r="O88" i="95"/>
  <c r="O41" i="95"/>
  <c r="O190" i="95"/>
  <c r="O106" i="95"/>
  <c r="O56" i="95"/>
  <c r="O193" i="95"/>
  <c r="O160" i="95"/>
  <c r="O83" i="95"/>
  <c r="O59" i="95"/>
  <c r="J226" i="95"/>
  <c r="M18" i="95"/>
  <c r="O50" i="95"/>
  <c r="O153" i="95"/>
  <c r="O134" i="95"/>
  <c r="O32" i="95"/>
  <c r="O33" i="95"/>
  <c r="O97" i="95"/>
  <c r="O186" i="95"/>
  <c r="O74" i="95"/>
  <c r="O146" i="95"/>
  <c r="O148" i="95"/>
  <c r="O209" i="95"/>
  <c r="O52" i="95"/>
  <c r="O104" i="95"/>
  <c r="O195" i="95"/>
  <c r="J230" i="95"/>
  <c r="O183" i="95"/>
  <c r="O210" i="95"/>
  <c r="O36" i="95"/>
  <c r="O51" i="95"/>
  <c r="O72" i="95"/>
  <c r="O187" i="95"/>
  <c r="O172" i="95"/>
  <c r="O132" i="95"/>
  <c r="J225" i="95"/>
  <c r="O136" i="95"/>
  <c r="O63" i="95"/>
  <c r="O199" i="95"/>
  <c r="O107" i="95"/>
  <c r="O64" i="95"/>
  <c r="O81" i="95"/>
  <c r="O43" i="95"/>
  <c r="O62" i="95"/>
  <c r="O170" i="95"/>
  <c r="O70" i="95"/>
  <c r="O57" i="95"/>
  <c r="O31" i="95"/>
  <c r="O178" i="95"/>
  <c r="O180" i="95"/>
  <c r="O161" i="95"/>
  <c r="O129" i="95"/>
  <c r="O162" i="95"/>
  <c r="O76" i="95"/>
  <c r="O201" i="95"/>
  <c r="O93" i="95"/>
  <c r="O138" i="95"/>
  <c r="O80" i="95"/>
  <c r="O35" i="95"/>
  <c r="O46" i="95"/>
  <c r="O110" i="95"/>
  <c r="O82" i="95"/>
  <c r="O39" i="95"/>
  <c r="O177" i="95"/>
  <c r="O48" i="95"/>
  <c r="O185" i="95"/>
  <c r="O124" i="95"/>
  <c r="O91" i="95"/>
  <c r="O171" i="95"/>
  <c r="O73" i="95"/>
  <c r="O38" i="95"/>
  <c r="O165" i="95"/>
  <c r="O77" i="95"/>
  <c r="O205" i="95"/>
  <c r="O114" i="95"/>
  <c r="O182" i="95"/>
  <c r="O84" i="1"/>
  <c r="O211" i="27"/>
  <c r="O124" i="65"/>
  <c r="F243" i="31"/>
  <c r="O166" i="31"/>
  <c r="O202" i="95"/>
  <c r="J23" i="16"/>
  <c r="O191" i="27"/>
  <c r="O42" i="27"/>
  <c r="O152" i="178"/>
  <c r="I213" i="24"/>
  <c r="J98" i="24" s="1"/>
  <c r="I213" i="47"/>
  <c r="J24" i="16"/>
  <c r="O135" i="27"/>
  <c r="O193" i="119"/>
  <c r="O116" i="27"/>
  <c r="O123" i="27"/>
  <c r="O209" i="27"/>
  <c r="O48" i="27"/>
  <c r="O32" i="27"/>
  <c r="O96" i="27"/>
  <c r="O155" i="27"/>
  <c r="O196" i="27"/>
  <c r="O197" i="27"/>
  <c r="O101" i="27"/>
  <c r="O50" i="27"/>
  <c r="O71" i="27"/>
  <c r="J229" i="27"/>
  <c r="O142" i="27"/>
  <c r="O119" i="27"/>
  <c r="O172" i="27"/>
  <c r="O95" i="27"/>
  <c r="O40" i="27"/>
  <c r="I213" i="84"/>
  <c r="J128" i="84" s="1"/>
  <c r="O176" i="27"/>
  <c r="O131" i="27"/>
  <c r="O174" i="119"/>
  <c r="O56" i="119"/>
  <c r="O66" i="104"/>
  <c r="O166" i="90"/>
  <c r="O185" i="1"/>
  <c r="O61" i="1"/>
  <c r="O157" i="1"/>
  <c r="O79" i="1"/>
  <c r="O186" i="1"/>
  <c r="O104" i="1"/>
  <c r="O42" i="1"/>
  <c r="O169" i="1"/>
  <c r="O56" i="1"/>
  <c r="O65" i="1"/>
  <c r="O53" i="1"/>
  <c r="O49" i="1"/>
  <c r="O209" i="1"/>
  <c r="O208" i="1"/>
  <c r="O187" i="1"/>
  <c r="O92" i="1"/>
  <c r="M18" i="1"/>
  <c r="O198" i="1"/>
  <c r="O90" i="1"/>
  <c r="O62" i="1"/>
  <c r="O175" i="1"/>
  <c r="O52" i="1"/>
  <c r="O76" i="1"/>
  <c r="O129" i="1"/>
  <c r="O30" i="1"/>
  <c r="J233" i="1"/>
  <c r="O177" i="1"/>
  <c r="O148" i="1"/>
  <c r="O178" i="1"/>
  <c r="O130" i="1"/>
  <c r="O75" i="1"/>
  <c r="O181" i="1"/>
  <c r="O78" i="1"/>
  <c r="J226" i="1"/>
  <c r="O120" i="1"/>
  <c r="O160" i="1"/>
  <c r="O32" i="1"/>
  <c r="J224" i="1"/>
  <c r="O170" i="1"/>
  <c r="O132" i="1"/>
  <c r="O142" i="1"/>
  <c r="O50" i="1"/>
  <c r="O37" i="1"/>
  <c r="O197" i="1"/>
  <c r="J227" i="1"/>
  <c r="O64" i="1"/>
  <c r="O89" i="1"/>
  <c r="O156" i="1"/>
  <c r="O44" i="1"/>
  <c r="O51" i="1"/>
  <c r="O114" i="1"/>
  <c r="O70" i="1"/>
  <c r="O180" i="1"/>
  <c r="O184" i="1"/>
  <c r="O163" i="1"/>
  <c r="O205" i="1"/>
  <c r="O71" i="1"/>
  <c r="O141" i="1"/>
  <c r="O191" i="1"/>
  <c r="O179" i="1"/>
  <c r="O113" i="1"/>
  <c r="O165" i="1"/>
  <c r="O162" i="1"/>
  <c r="O134" i="1"/>
  <c r="O171" i="1"/>
  <c r="O161" i="1"/>
  <c r="O155" i="1"/>
  <c r="O174" i="1"/>
  <c r="O69" i="1"/>
  <c r="O123" i="1"/>
  <c r="O88" i="1"/>
  <c r="O150" i="1"/>
  <c r="O73" i="1"/>
  <c r="O207" i="1"/>
  <c r="O192" i="1"/>
  <c r="J228" i="1"/>
  <c r="O158" i="1"/>
  <c r="O83" i="1"/>
  <c r="O121" i="1"/>
  <c r="O190" i="1"/>
  <c r="O173" i="1"/>
  <c r="O183" i="1"/>
  <c r="O182" i="1"/>
  <c r="O200" i="1"/>
  <c r="O93" i="1"/>
  <c r="O39" i="1"/>
  <c r="O97" i="1"/>
  <c r="O210" i="1"/>
  <c r="O47" i="1"/>
  <c r="O105" i="1"/>
  <c r="O74" i="1"/>
  <c r="O59" i="1"/>
  <c r="O154" i="1"/>
  <c r="O33" i="1"/>
  <c r="O176" i="1"/>
  <c r="O72" i="1"/>
  <c r="O195" i="1"/>
  <c r="O188" i="1"/>
  <c r="O40" i="1"/>
  <c r="O153" i="1"/>
  <c r="J230" i="1"/>
  <c r="O152" i="1"/>
  <c r="O45" i="1"/>
  <c r="O82" i="1"/>
  <c r="O35" i="1"/>
  <c r="O36" i="1"/>
  <c r="O131" i="1"/>
  <c r="O146" i="1"/>
  <c r="O63" i="1"/>
  <c r="O110" i="1"/>
  <c r="O143" i="1"/>
  <c r="O193" i="1"/>
  <c r="O194" i="1"/>
  <c r="O48" i="1"/>
  <c r="O57" i="1"/>
  <c r="O147" i="1"/>
  <c r="J229" i="1"/>
  <c r="O101" i="1"/>
  <c r="J225" i="1"/>
  <c r="O122" i="1"/>
  <c r="O199" i="1"/>
  <c r="O135" i="1"/>
  <c r="O31" i="1"/>
  <c r="O136" i="1"/>
  <c r="O172" i="1"/>
  <c r="O112" i="1"/>
  <c r="O115" i="1"/>
  <c r="O189" i="1"/>
  <c r="O58" i="1"/>
  <c r="O96" i="1"/>
  <c r="O103" i="1"/>
  <c r="O138" i="1"/>
  <c r="O80" i="1"/>
  <c r="O128" i="1"/>
  <c r="O43" i="1"/>
  <c r="O164" i="1"/>
  <c r="O94" i="1"/>
  <c r="O46" i="1"/>
  <c r="O137" i="1"/>
  <c r="O201" i="1"/>
  <c r="O206" i="1"/>
  <c r="O111" i="1"/>
  <c r="O102" i="1"/>
  <c r="O41" i="1"/>
  <c r="O145" i="1"/>
  <c r="O55" i="1"/>
  <c r="O196" i="1"/>
  <c r="O60" i="1"/>
  <c r="O140" i="1"/>
  <c r="I241" i="1"/>
  <c r="O87" i="1"/>
  <c r="J232" i="1"/>
  <c r="O81" i="1"/>
  <c r="O95" i="1"/>
  <c r="O84" i="92"/>
  <c r="O140" i="95"/>
  <c r="O119" i="1"/>
  <c r="F220" i="63"/>
  <c r="F220" i="64"/>
  <c r="I213" i="120"/>
  <c r="J58" i="120" s="1"/>
  <c r="O171" i="27"/>
  <c r="O124" i="27"/>
  <c r="O87" i="27"/>
  <c r="O83" i="27"/>
  <c r="O44" i="27"/>
  <c r="O181" i="27"/>
  <c r="O41" i="27"/>
  <c r="I241" i="27"/>
  <c r="O110" i="27"/>
  <c r="O88" i="27"/>
  <c r="O200" i="27"/>
  <c r="O58" i="27"/>
  <c r="O177" i="27"/>
  <c r="O170" i="27"/>
  <c r="O79" i="27"/>
  <c r="O184" i="27"/>
  <c r="O73" i="27"/>
  <c r="O141" i="27"/>
  <c r="O161" i="178"/>
  <c r="O156" i="178"/>
  <c r="O124" i="119"/>
  <c r="O174" i="141"/>
  <c r="O59" i="27"/>
  <c r="O114" i="141"/>
  <c r="O66" i="118"/>
  <c r="O199" i="141"/>
  <c r="O98" i="119"/>
  <c r="O124" i="141"/>
  <c r="O129" i="55"/>
  <c r="O89" i="55"/>
  <c r="O91" i="55"/>
  <c r="O43" i="55"/>
  <c r="O151" i="55"/>
  <c r="O47" i="55"/>
  <c r="O36" i="55"/>
  <c r="O71" i="55"/>
  <c r="O94" i="55"/>
  <c r="O81" i="55"/>
  <c r="J225" i="55"/>
  <c r="J233" i="55"/>
  <c r="O123" i="55"/>
  <c r="O102" i="55"/>
  <c r="O69" i="55"/>
  <c r="J228" i="55"/>
  <c r="O141" i="55"/>
  <c r="O48" i="55"/>
  <c r="O194" i="55"/>
  <c r="O72" i="55"/>
  <c r="O61" i="55"/>
  <c r="O161" i="55"/>
  <c r="O177" i="55"/>
  <c r="O140" i="55"/>
  <c r="O119" i="55"/>
  <c r="O190" i="55"/>
  <c r="O200" i="55"/>
  <c r="O185" i="55"/>
  <c r="O189" i="55"/>
  <c r="O38" i="55"/>
  <c r="O55" i="55"/>
  <c r="O40" i="55"/>
  <c r="O173" i="55"/>
  <c r="O46" i="55"/>
  <c r="O101" i="55"/>
  <c r="O110" i="55"/>
  <c r="O54" i="55"/>
  <c r="O78" i="55"/>
  <c r="O143" i="55"/>
  <c r="O155" i="55"/>
  <c r="O70" i="55"/>
  <c r="O138" i="55"/>
  <c r="O169" i="55"/>
  <c r="O37" i="55"/>
  <c r="O196" i="55"/>
  <c r="O58" i="55"/>
  <c r="O174" i="55"/>
  <c r="O50" i="55"/>
  <c r="J224" i="55"/>
  <c r="O136" i="55"/>
  <c r="O79" i="55"/>
  <c r="O44" i="55"/>
  <c r="O97" i="55"/>
  <c r="O39" i="55"/>
  <c r="O147" i="55"/>
  <c r="O122" i="55"/>
  <c r="O76" i="55"/>
  <c r="O51" i="55"/>
  <c r="O146" i="55"/>
  <c r="O170" i="55"/>
  <c r="O182" i="55"/>
  <c r="O150" i="55"/>
  <c r="O184" i="55"/>
  <c r="O74" i="55"/>
  <c r="O112" i="55"/>
  <c r="O197" i="55"/>
  <c r="O41" i="55"/>
  <c r="O178" i="55"/>
  <c r="O193" i="55"/>
  <c r="O187" i="55"/>
  <c r="O33" i="55"/>
  <c r="O130" i="55"/>
  <c r="O77" i="55"/>
  <c r="O114" i="55"/>
  <c r="O80" i="55"/>
  <c r="O53" i="55"/>
  <c r="O152" i="55"/>
  <c r="J232" i="55"/>
  <c r="O75" i="55"/>
  <c r="O42" i="55"/>
  <c r="M18" i="55"/>
  <c r="O93" i="55"/>
  <c r="O120" i="55"/>
  <c r="O35" i="55"/>
  <c r="O175" i="55"/>
  <c r="O34" i="55"/>
  <c r="O95" i="55"/>
  <c r="O207" i="55"/>
  <c r="O160" i="55"/>
  <c r="O82" i="55"/>
  <c r="J227" i="55"/>
  <c r="O90" i="55"/>
  <c r="O145" i="55"/>
  <c r="O205" i="55"/>
  <c r="O87" i="55"/>
  <c r="O210" i="55"/>
  <c r="O188" i="55"/>
  <c r="O198" i="55"/>
  <c r="O64" i="55"/>
  <c r="O57" i="55"/>
  <c r="O92" i="55"/>
  <c r="O209" i="55"/>
  <c r="O30" i="55"/>
  <c r="I241" i="55"/>
  <c r="O206" i="55"/>
  <c r="O142" i="55"/>
  <c r="O208" i="55"/>
  <c r="O128" i="55"/>
  <c r="O111" i="55"/>
  <c r="J226" i="55"/>
  <c r="O180" i="55"/>
  <c r="O181" i="55"/>
  <c r="O135" i="55"/>
  <c r="O179" i="55"/>
  <c r="O186" i="55"/>
  <c r="O45" i="55"/>
  <c r="O156" i="55"/>
  <c r="O65" i="55"/>
  <c r="O62" i="55"/>
  <c r="O106" i="55"/>
  <c r="O60" i="55"/>
  <c r="O52" i="55"/>
  <c r="O73" i="55"/>
  <c r="O162" i="55"/>
  <c r="O105" i="55"/>
  <c r="O153" i="55"/>
  <c r="O31" i="55"/>
  <c r="O164" i="55"/>
  <c r="O83" i="55"/>
  <c r="O49" i="55"/>
  <c r="O63" i="55"/>
  <c r="O154" i="55"/>
  <c r="O183" i="55"/>
  <c r="O201" i="55"/>
  <c r="O113" i="55"/>
  <c r="O88" i="55"/>
  <c r="O163" i="55"/>
  <c r="O148" i="55"/>
  <c r="O59" i="55"/>
  <c r="J230" i="55"/>
  <c r="O171" i="55"/>
  <c r="O192" i="55"/>
  <c r="O158" i="55"/>
  <c r="O137" i="55"/>
  <c r="O132" i="55"/>
  <c r="O96" i="55"/>
  <c r="O32" i="55"/>
  <c r="O172" i="55"/>
  <c r="O195" i="55"/>
  <c r="O199" i="55"/>
  <c r="J229" i="55"/>
  <c r="O157" i="55"/>
  <c r="O131" i="55"/>
  <c r="O56" i="55"/>
  <c r="O134" i="55"/>
  <c r="O165" i="55"/>
  <c r="O191" i="55"/>
  <c r="O39" i="92"/>
  <c r="O65" i="92"/>
  <c r="O147" i="92"/>
  <c r="O194" i="92"/>
  <c r="O157" i="92"/>
  <c r="O33" i="92"/>
  <c r="O103" i="92"/>
  <c r="O171" i="92"/>
  <c r="O31" i="92"/>
  <c r="O75" i="92"/>
  <c r="O173" i="92"/>
  <c r="O71" i="92"/>
  <c r="O49" i="92"/>
  <c r="O170" i="92"/>
  <c r="O66" i="1"/>
  <c r="J19" i="150"/>
  <c r="J26" i="150"/>
  <c r="J25" i="150"/>
  <c r="J17" i="150"/>
  <c r="J18" i="150"/>
  <c r="J20" i="150"/>
  <c r="M16" i="150"/>
  <c r="J21" i="150"/>
  <c r="J24" i="150"/>
  <c r="J16" i="150"/>
  <c r="J22" i="150"/>
  <c r="J23" i="150"/>
  <c r="O211" i="95"/>
  <c r="O116" i="55"/>
  <c r="M20" i="72"/>
  <c r="F243" i="72"/>
  <c r="M20" i="79"/>
  <c r="I242" i="79"/>
  <c r="F243" i="37"/>
  <c r="M20" i="37"/>
  <c r="I242" i="37"/>
  <c r="M20" i="85"/>
  <c r="I241" i="85"/>
  <c r="I242" i="85"/>
  <c r="F243" i="85"/>
  <c r="O170" i="20"/>
  <c r="O157" i="20"/>
  <c r="O65" i="20"/>
  <c r="O153" i="20"/>
  <c r="O164" i="20"/>
  <c r="J230" i="20"/>
  <c r="O171" i="20"/>
  <c r="O70" i="20"/>
  <c r="O160" i="20"/>
  <c r="O195" i="20"/>
  <c r="O177" i="20"/>
  <c r="O151" i="20"/>
  <c r="O140" i="20"/>
  <c r="O209" i="20"/>
  <c r="O43" i="20"/>
  <c r="O165" i="20"/>
  <c r="O90" i="20"/>
  <c r="O76" i="20"/>
  <c r="O190" i="20"/>
  <c r="M18" i="20"/>
  <c r="O161" i="20"/>
  <c r="J229" i="20"/>
  <c r="O184" i="20"/>
  <c r="O72" i="20"/>
  <c r="O207" i="20"/>
  <c r="O32" i="20"/>
  <c r="O135" i="20"/>
  <c r="O95" i="20"/>
  <c r="O147" i="20"/>
  <c r="O57" i="20"/>
  <c r="O178" i="20"/>
  <c r="O59" i="20"/>
  <c r="O92" i="20"/>
  <c r="O114" i="20"/>
  <c r="O176" i="20"/>
  <c r="O191" i="20"/>
  <c r="O179" i="20"/>
  <c r="O69" i="20"/>
  <c r="O134" i="20"/>
  <c r="O158" i="20"/>
  <c r="O120" i="20"/>
  <c r="O111" i="20"/>
  <c r="O186" i="20"/>
  <c r="O64" i="20"/>
  <c r="O79" i="20"/>
  <c r="O169" i="20"/>
  <c r="O197" i="20"/>
  <c r="O175" i="20"/>
  <c r="O131" i="20"/>
  <c r="O40" i="20"/>
  <c r="O48" i="20"/>
  <c r="J228" i="20"/>
  <c r="J233" i="20"/>
  <c r="O87" i="20"/>
  <c r="O198" i="20"/>
  <c r="O163" i="20"/>
  <c r="O115" i="20"/>
  <c r="O75" i="20"/>
  <c r="O83" i="20"/>
  <c r="O112" i="20"/>
  <c r="O33" i="20"/>
  <c r="O96" i="20"/>
  <c r="O89" i="20"/>
  <c r="J226" i="20"/>
  <c r="O141" i="20"/>
  <c r="O73" i="20"/>
  <c r="O156" i="20"/>
  <c r="O143" i="20"/>
  <c r="O128" i="20"/>
  <c r="O36" i="20"/>
  <c r="O193" i="20"/>
  <c r="J225" i="20"/>
  <c r="O44" i="20"/>
  <c r="O45" i="20"/>
  <c r="O210" i="20"/>
  <c r="O194" i="20"/>
  <c r="O97" i="20"/>
  <c r="O148" i="20"/>
  <c r="O192" i="20"/>
  <c r="O113" i="20"/>
  <c r="O182" i="20"/>
  <c r="O63" i="20"/>
  <c r="O102" i="20"/>
  <c r="O185" i="20"/>
  <c r="O146" i="20"/>
  <c r="O137" i="20"/>
  <c r="O180" i="20"/>
  <c r="O81" i="20"/>
  <c r="O54" i="20"/>
  <c r="O188" i="20"/>
  <c r="O82" i="20"/>
  <c r="O61" i="20"/>
  <c r="O138" i="20"/>
  <c r="O187" i="20"/>
  <c r="O30" i="20"/>
  <c r="O150" i="20"/>
  <c r="O121" i="20"/>
  <c r="O173" i="20"/>
  <c r="J227" i="20"/>
  <c r="O201" i="20"/>
  <c r="O74" i="20"/>
  <c r="J224" i="20"/>
  <c r="O162" i="20"/>
  <c r="O88" i="20"/>
  <c r="O105" i="20"/>
  <c r="O37" i="20"/>
  <c r="O62" i="20"/>
  <c r="O206" i="20"/>
  <c r="O152" i="20"/>
  <c r="O154" i="20"/>
  <c r="O93" i="20"/>
  <c r="O50" i="20"/>
  <c r="J232" i="20"/>
  <c r="O41" i="20"/>
  <c r="O145" i="20"/>
  <c r="O196" i="20"/>
  <c r="O142" i="20"/>
  <c r="O205" i="20"/>
  <c r="O129" i="20"/>
  <c r="O123" i="20"/>
  <c r="O130" i="20"/>
  <c r="O124" i="20"/>
  <c r="O80" i="20"/>
  <c r="O136" i="20"/>
  <c r="O122" i="20"/>
  <c r="O78" i="20"/>
  <c r="O58" i="20"/>
  <c r="O172" i="20"/>
  <c r="O119" i="20"/>
  <c r="O71" i="20"/>
  <c r="O60" i="20"/>
  <c r="O51" i="20"/>
  <c r="O199" i="20"/>
  <c r="O200" i="20"/>
  <c r="O110" i="20"/>
  <c r="O183" i="20"/>
  <c r="O55" i="20"/>
  <c r="O211" i="20"/>
  <c r="O132" i="20"/>
  <c r="O84" i="20"/>
  <c r="O103" i="20"/>
  <c r="O181" i="20"/>
  <c r="O104" i="20"/>
  <c r="O106" i="20"/>
  <c r="O155" i="20"/>
  <c r="O116" i="20"/>
  <c r="O98" i="20"/>
  <c r="L21" i="97"/>
  <c r="P19" i="195" s="1"/>
  <c r="I242" i="102"/>
  <c r="M20" i="102"/>
  <c r="L19" i="97"/>
  <c r="P17" i="195" s="1"/>
  <c r="F243" i="102"/>
  <c r="I213" i="19"/>
  <c r="J37" i="19" s="1"/>
  <c r="O152" i="19"/>
  <c r="O137" i="19"/>
  <c r="O175" i="19"/>
  <c r="O120" i="19"/>
  <c r="O69" i="19"/>
  <c r="O64" i="19"/>
  <c r="O147" i="19"/>
  <c r="O58" i="19"/>
  <c r="O187" i="19"/>
  <c r="O33" i="19"/>
  <c r="O65" i="19"/>
  <c r="O93" i="19"/>
  <c r="O59" i="19"/>
  <c r="O46" i="19"/>
  <c r="O105" i="19"/>
  <c r="M20" i="19"/>
  <c r="F243" i="19"/>
  <c r="O84" i="19"/>
  <c r="O202" i="19"/>
  <c r="M20" i="145"/>
  <c r="I242" i="145"/>
  <c r="J26" i="54"/>
  <c r="J21" i="54"/>
  <c r="J19" i="54"/>
  <c r="M16" i="54"/>
  <c r="J22" i="54"/>
  <c r="J20" i="54"/>
  <c r="J24" i="54"/>
  <c r="J18" i="54"/>
  <c r="J17" i="54"/>
  <c r="J23" i="54"/>
  <c r="J16" i="54"/>
  <c r="J25" i="54"/>
  <c r="J21" i="65"/>
  <c r="J22" i="65"/>
  <c r="J23" i="65"/>
  <c r="J16" i="65"/>
  <c r="O26" i="65"/>
  <c r="J26" i="65"/>
  <c r="J25" i="65"/>
  <c r="M16" i="65"/>
  <c r="J18" i="65"/>
  <c r="J17" i="65"/>
  <c r="J20" i="65"/>
  <c r="J19" i="65"/>
  <c r="J24" i="65"/>
  <c r="O98" i="68"/>
  <c r="I213" i="64"/>
  <c r="J112" i="64" s="1"/>
  <c r="O134" i="66"/>
  <c r="O166" i="54"/>
  <c r="I213" i="15"/>
  <c r="J80" i="15" s="1"/>
  <c r="O208" i="68"/>
  <c r="J21" i="120"/>
  <c r="J26" i="120"/>
  <c r="F220" i="145"/>
  <c r="O197" i="178"/>
  <c r="J20" i="62"/>
  <c r="J25" i="62"/>
  <c r="J18" i="62"/>
  <c r="J17" i="62"/>
  <c r="J22" i="62"/>
  <c r="J19" i="62"/>
  <c r="J26" i="62"/>
  <c r="J16" i="62"/>
  <c r="M16" i="62"/>
  <c r="J24" i="62"/>
  <c r="J21" i="62"/>
  <c r="J23" i="62"/>
  <c r="O182" i="68"/>
  <c r="O124" i="68"/>
  <c r="J19" i="43"/>
  <c r="J16" i="43"/>
  <c r="J26" i="43"/>
  <c r="J24" i="43"/>
  <c r="J25" i="43"/>
  <c r="M16" i="43"/>
  <c r="J20" i="43"/>
  <c r="J22" i="43"/>
  <c r="J18" i="43"/>
  <c r="J23" i="43"/>
  <c r="J21" i="43"/>
  <c r="J17" i="43"/>
  <c r="O32" i="68"/>
  <c r="O199" i="68"/>
  <c r="O116" i="141"/>
  <c r="O176" i="119"/>
  <c r="O77" i="119"/>
  <c r="O89" i="119"/>
  <c r="O49" i="119"/>
  <c r="O191" i="119"/>
  <c r="O114" i="119"/>
  <c r="O150" i="119"/>
  <c r="O64" i="119"/>
  <c r="O46" i="119"/>
  <c r="O196" i="119"/>
  <c r="O48" i="119"/>
  <c r="O130" i="119"/>
  <c r="O38" i="119"/>
  <c r="O52" i="119"/>
  <c r="J225" i="119"/>
  <c r="I241" i="119"/>
  <c r="O75" i="119"/>
  <c r="O105" i="119"/>
  <c r="O158" i="119"/>
  <c r="O123" i="119"/>
  <c r="O206" i="119"/>
  <c r="O80" i="119"/>
  <c r="O115" i="119"/>
  <c r="O40" i="119"/>
  <c r="J226" i="119"/>
  <c r="O192" i="119"/>
  <c r="O152" i="119"/>
  <c r="O59" i="119"/>
  <c r="O210" i="119"/>
  <c r="O208" i="119"/>
  <c r="O69" i="119"/>
  <c r="O199" i="119"/>
  <c r="O136" i="119"/>
  <c r="O195" i="119"/>
  <c r="O39" i="119"/>
  <c r="O137" i="119"/>
  <c r="J230" i="119"/>
  <c r="O186" i="119"/>
  <c r="J232" i="119"/>
  <c r="O165" i="119"/>
  <c r="O164" i="119"/>
  <c r="O145" i="119"/>
  <c r="O111" i="119"/>
  <c r="O73" i="119"/>
  <c r="O179" i="119"/>
  <c r="O148" i="119"/>
  <c r="O43" i="119"/>
  <c r="O94" i="119"/>
  <c r="O182" i="119"/>
  <c r="O103" i="119"/>
  <c r="O35" i="119"/>
  <c r="O134" i="119"/>
  <c r="O34" i="119"/>
  <c r="O79" i="119"/>
  <c r="O71" i="119"/>
  <c r="J229" i="119"/>
  <c r="O190" i="119"/>
  <c r="J224" i="119"/>
  <c r="O163" i="119"/>
  <c r="J233" i="119"/>
  <c r="O188" i="119"/>
  <c r="O97" i="119"/>
  <c r="O31" i="119"/>
  <c r="O198" i="119"/>
  <c r="O92" i="119"/>
  <c r="O207" i="119"/>
  <c r="O187" i="119"/>
  <c r="O37" i="119"/>
  <c r="O175" i="119"/>
  <c r="J228" i="119"/>
  <c r="O110" i="119"/>
  <c r="O88" i="119"/>
  <c r="O82" i="119"/>
  <c r="O121" i="119"/>
  <c r="O154" i="119"/>
  <c r="O194" i="119"/>
  <c r="O162" i="119"/>
  <c r="O57" i="119"/>
  <c r="O173" i="119"/>
  <c r="O32" i="119"/>
  <c r="O47" i="119"/>
  <c r="O58" i="119"/>
  <c r="O169" i="119"/>
  <c r="O135" i="119"/>
  <c r="O96" i="119"/>
  <c r="J227" i="119"/>
  <c r="O146" i="119"/>
  <c r="O156" i="119"/>
  <c r="O142" i="119"/>
  <c r="O78" i="119"/>
  <c r="O183" i="119"/>
  <c r="O141" i="119"/>
  <c r="O131" i="119"/>
  <c r="O72" i="119"/>
  <c r="O90" i="119"/>
  <c r="O101" i="119"/>
  <c r="O143" i="119"/>
  <c r="O76" i="119"/>
  <c r="O53" i="119"/>
  <c r="O93" i="119"/>
  <c r="O51" i="119"/>
  <c r="O205" i="119"/>
  <c r="O138" i="119"/>
  <c r="O55" i="119"/>
  <c r="O36" i="119"/>
  <c r="M18" i="119"/>
  <c r="O122" i="119"/>
  <c r="O177" i="119"/>
  <c r="O185" i="119"/>
  <c r="O151" i="119"/>
  <c r="O54" i="119"/>
  <c r="O140" i="119"/>
  <c r="O83" i="119"/>
  <c r="O189" i="119"/>
  <c r="O112" i="119"/>
  <c r="O180" i="119"/>
  <c r="O42" i="119"/>
  <c r="O209" i="119"/>
  <c r="O62" i="119"/>
  <c r="O181" i="119"/>
  <c r="O200" i="119"/>
  <c r="O65" i="119"/>
  <c r="O50" i="119"/>
  <c r="O33" i="119"/>
  <c r="O61" i="119"/>
  <c r="O155" i="119"/>
  <c r="O157" i="119"/>
  <c r="O153" i="119"/>
  <c r="O171" i="119"/>
  <c r="O104" i="119"/>
  <c r="O147" i="119"/>
  <c r="O129" i="119"/>
  <c r="O30" i="119"/>
  <c r="O44" i="119"/>
  <c r="O172" i="119"/>
  <c r="O45" i="119"/>
  <c r="O161" i="119"/>
  <c r="O41" i="119"/>
  <c r="O119" i="119"/>
  <c r="O211" i="119"/>
  <c r="O160" i="119"/>
  <c r="O91" i="119"/>
  <c r="O184" i="119"/>
  <c r="O75" i="104"/>
  <c r="O202" i="141"/>
  <c r="M16" i="103"/>
  <c r="J23" i="103"/>
  <c r="J26" i="103"/>
  <c r="J18" i="103"/>
  <c r="J22" i="103"/>
  <c r="J21" i="103"/>
  <c r="J19" i="103"/>
  <c r="J25" i="103"/>
  <c r="J24" i="103"/>
  <c r="J16" i="103"/>
  <c r="J17" i="103"/>
  <c r="J20" i="103"/>
  <c r="O66" i="119"/>
  <c r="O211" i="118"/>
  <c r="O69" i="68"/>
  <c r="O166" i="141"/>
  <c r="J23" i="50"/>
  <c r="J18" i="50"/>
  <c r="J26" i="50"/>
  <c r="J25" i="50"/>
  <c r="M16" i="50"/>
  <c r="J24" i="50"/>
  <c r="J20" i="50"/>
  <c r="J22" i="50"/>
  <c r="J19" i="50"/>
  <c r="J16" i="50"/>
  <c r="J21" i="50"/>
  <c r="O26" i="50"/>
  <c r="J17" i="50"/>
  <c r="J21" i="84"/>
  <c r="O26" i="84"/>
  <c r="J24" i="84"/>
  <c r="J22" i="84"/>
  <c r="J23" i="84"/>
  <c r="J26" i="84"/>
  <c r="J19" i="84"/>
  <c r="J17" i="84"/>
  <c r="J16" i="84"/>
  <c r="J18" i="84"/>
  <c r="J25" i="84"/>
  <c r="J20" i="84"/>
  <c r="M16" i="84"/>
  <c r="O116" i="66"/>
  <c r="I213" i="89"/>
  <c r="I220" i="89" s="1"/>
  <c r="O110" i="68"/>
  <c r="O107" i="66"/>
  <c r="O166" i="66"/>
  <c r="O84" i="68"/>
  <c r="O84" i="178"/>
  <c r="I213" i="102"/>
  <c r="J63" i="102" s="1"/>
  <c r="I213" i="141"/>
  <c r="J54" i="141" s="1"/>
  <c r="J25" i="120"/>
  <c r="O134" i="178"/>
  <c r="O202" i="118"/>
  <c r="O185" i="118"/>
  <c r="J227" i="118"/>
  <c r="O63" i="118"/>
  <c r="O123" i="118"/>
  <c r="J232" i="118"/>
  <c r="O182" i="118"/>
  <c r="O40" i="118"/>
  <c r="O181" i="118"/>
  <c r="O81" i="118"/>
  <c r="O46" i="118"/>
  <c r="O177" i="118"/>
  <c r="O32" i="118"/>
  <c r="O179" i="118"/>
  <c r="I241" i="118"/>
  <c r="O162" i="118"/>
  <c r="O36" i="118"/>
  <c r="O54" i="118"/>
  <c r="O180" i="118"/>
  <c r="O170" i="118"/>
  <c r="O95" i="118"/>
  <c r="O38" i="118"/>
  <c r="O153" i="118"/>
  <c r="M18" i="118"/>
  <c r="J225" i="118"/>
  <c r="O112" i="118"/>
  <c r="O76" i="118"/>
  <c r="O161" i="118"/>
  <c r="O138" i="118"/>
  <c r="O175" i="118"/>
  <c r="O201" i="118"/>
  <c r="O52" i="118"/>
  <c r="O150" i="118"/>
  <c r="J229" i="118"/>
  <c r="O193" i="118"/>
  <c r="O35" i="118"/>
  <c r="O199" i="118"/>
  <c r="O198" i="118"/>
  <c r="O39" i="118"/>
  <c r="O136" i="118"/>
  <c r="O115" i="118"/>
  <c r="O62" i="118"/>
  <c r="O151" i="118"/>
  <c r="O89" i="118"/>
  <c r="O96" i="118"/>
  <c r="O189" i="118"/>
  <c r="O55" i="118"/>
  <c r="O73" i="118"/>
  <c r="O59" i="118"/>
  <c r="O156" i="118"/>
  <c r="O200" i="118"/>
  <c r="O57" i="118"/>
  <c r="O102" i="118"/>
  <c r="O51" i="118"/>
  <c r="O188" i="118"/>
  <c r="O47" i="118"/>
  <c r="O110" i="118"/>
  <c r="O104" i="118"/>
  <c r="O30" i="118"/>
  <c r="O137" i="118"/>
  <c r="O114" i="118"/>
  <c r="O191" i="118"/>
  <c r="O87" i="118"/>
  <c r="O140" i="118"/>
  <c r="O31" i="118"/>
  <c r="O83" i="118"/>
  <c r="O194" i="118"/>
  <c r="O147" i="118"/>
  <c r="O164" i="118"/>
  <c r="O90" i="118"/>
  <c r="O70" i="118"/>
  <c r="O192" i="118"/>
  <c r="O209" i="118"/>
  <c r="O120" i="118"/>
  <c r="O64" i="118"/>
  <c r="O186" i="118"/>
  <c r="O146" i="118"/>
  <c r="O208" i="118"/>
  <c r="O37" i="118"/>
  <c r="O103" i="118"/>
  <c r="O91" i="118"/>
  <c r="O119" i="118"/>
  <c r="O92" i="118"/>
  <c r="O45" i="118"/>
  <c r="O187" i="118"/>
  <c r="O158" i="118"/>
  <c r="O79" i="118"/>
  <c r="O69" i="118"/>
  <c r="O105" i="118"/>
  <c r="J228" i="118"/>
  <c r="O75" i="118"/>
  <c r="J233" i="118"/>
  <c r="O190" i="118"/>
  <c r="O183" i="118"/>
  <c r="O44" i="118"/>
  <c r="O56" i="118"/>
  <c r="O33" i="118"/>
  <c r="O178" i="118"/>
  <c r="O134" i="118"/>
  <c r="O106" i="118"/>
  <c r="O113" i="118"/>
  <c r="O48" i="118"/>
  <c r="O148" i="118"/>
  <c r="O152" i="118"/>
  <c r="O71" i="118"/>
  <c r="J230" i="118"/>
  <c r="O163" i="118"/>
  <c r="O210" i="118"/>
  <c r="O53" i="118"/>
  <c r="O157" i="118"/>
  <c r="O160" i="118"/>
  <c r="O145" i="118"/>
  <c r="O172" i="118"/>
  <c r="O184" i="118"/>
  <c r="O82" i="118"/>
  <c r="O122" i="118"/>
  <c r="O130" i="118"/>
  <c r="J224" i="118"/>
  <c r="O176" i="118"/>
  <c r="O165" i="118"/>
  <c r="O93" i="118"/>
  <c r="O77" i="118"/>
  <c r="O97" i="118"/>
  <c r="O50" i="118"/>
  <c r="O80" i="118"/>
  <c r="O155" i="118"/>
  <c r="O173" i="118"/>
  <c r="O65" i="118"/>
  <c r="O128" i="118"/>
  <c r="O205" i="118"/>
  <c r="O169" i="118"/>
  <c r="O72" i="118"/>
  <c r="O60" i="118"/>
  <c r="O49" i="118"/>
  <c r="O174" i="118"/>
  <c r="O135" i="118"/>
  <c r="O207" i="118"/>
  <c r="O131" i="118"/>
  <c r="O41" i="118"/>
  <c r="O171" i="118"/>
  <c r="O121" i="118"/>
  <c r="O206" i="118"/>
  <c r="O129" i="118"/>
  <c r="O196" i="118"/>
  <c r="O124" i="118"/>
  <c r="O197" i="118"/>
  <c r="O34" i="118"/>
  <c r="O43" i="118"/>
  <c r="O74" i="118"/>
  <c r="O101" i="118"/>
  <c r="O195" i="118"/>
  <c r="O141" i="118"/>
  <c r="O78" i="118"/>
  <c r="O88" i="118"/>
  <c r="O58" i="118"/>
  <c r="O154" i="118"/>
  <c r="J226" i="118"/>
  <c r="O142" i="118"/>
  <c r="O111" i="118"/>
  <c r="O115" i="141"/>
  <c r="O201" i="141"/>
  <c r="O196" i="141"/>
  <c r="O207" i="141"/>
  <c r="O191" i="141"/>
  <c r="O169" i="141"/>
  <c r="O171" i="141"/>
  <c r="O195" i="141"/>
  <c r="O92" i="141"/>
  <c r="J227" i="141"/>
  <c r="O89" i="141"/>
  <c r="J225" i="141"/>
  <c r="J226" i="141"/>
  <c r="O62" i="141"/>
  <c r="O61" i="141"/>
  <c r="O180" i="141"/>
  <c r="J228" i="141"/>
  <c r="O178" i="141"/>
  <c r="O56" i="141"/>
  <c r="O33" i="141"/>
  <c r="O209" i="141"/>
  <c r="O129" i="141"/>
  <c r="O94" i="141"/>
  <c r="O156" i="141"/>
  <c r="O134" i="141"/>
  <c r="O57" i="141"/>
  <c r="O46" i="141"/>
  <c r="O47" i="141"/>
  <c r="O45" i="141"/>
  <c r="O198" i="141"/>
  <c r="O55" i="141"/>
  <c r="O95" i="141"/>
  <c r="O81" i="141"/>
  <c r="O80" i="141"/>
  <c r="O165" i="141"/>
  <c r="J229" i="141"/>
  <c r="J230" i="141"/>
  <c r="O176" i="141"/>
  <c r="O111" i="141"/>
  <c r="O181" i="141"/>
  <c r="O30" i="141"/>
  <c r="O79" i="141"/>
  <c r="O123" i="141"/>
  <c r="O83" i="141"/>
  <c r="O49" i="141"/>
  <c r="O147" i="141"/>
  <c r="O72" i="141"/>
  <c r="O160" i="141"/>
  <c r="O43" i="141"/>
  <c r="O153" i="141"/>
  <c r="O154" i="141"/>
  <c r="O70" i="141"/>
  <c r="O44" i="141"/>
  <c r="O113" i="141"/>
  <c r="O37" i="141"/>
  <c r="J233" i="141"/>
  <c r="O200" i="141"/>
  <c r="O64" i="141"/>
  <c r="O186" i="141"/>
  <c r="O141" i="141"/>
  <c r="J224" i="141"/>
  <c r="O42" i="141"/>
  <c r="O135" i="141"/>
  <c r="O34" i="141"/>
  <c r="O63" i="141"/>
  <c r="O77" i="141"/>
  <c r="O193" i="141"/>
  <c r="O38" i="141"/>
  <c r="O112" i="141"/>
  <c r="O74" i="141"/>
  <c r="O152" i="141"/>
  <c r="O31" i="141"/>
  <c r="O39" i="141"/>
  <c r="O172" i="141"/>
  <c r="O35" i="141"/>
  <c r="O161" i="141"/>
  <c r="O58" i="141"/>
  <c r="O97" i="141"/>
  <c r="O137" i="141"/>
  <c r="O103" i="141"/>
  <c r="O130" i="141"/>
  <c r="O101" i="141"/>
  <c r="O71" i="141"/>
  <c r="O91" i="141"/>
  <c r="O76" i="141"/>
  <c r="O50" i="141"/>
  <c r="J232" i="141"/>
  <c r="O197" i="141"/>
  <c r="O192" i="141"/>
  <c r="O163" i="141"/>
  <c r="O87" i="141"/>
  <c r="O32" i="141"/>
  <c r="O59" i="141"/>
  <c r="O138" i="141"/>
  <c r="O179" i="141"/>
  <c r="O78" i="141"/>
  <c r="O173" i="141"/>
  <c r="M18" i="141"/>
  <c r="O36" i="141"/>
  <c r="O65" i="141"/>
  <c r="O102" i="141"/>
  <c r="O194" i="141"/>
  <c r="O40" i="141"/>
  <c r="O162" i="141"/>
  <c r="O73" i="141"/>
  <c r="O187" i="141"/>
  <c r="O75" i="141"/>
  <c r="O177" i="141"/>
  <c r="O54" i="141"/>
  <c r="I241" i="141"/>
  <c r="O157" i="141"/>
  <c r="O182" i="141"/>
  <c r="O132" i="141"/>
  <c r="O110" i="141"/>
  <c r="O88" i="141"/>
  <c r="O175" i="141"/>
  <c r="O104" i="141"/>
  <c r="O122" i="141"/>
  <c r="O184" i="141"/>
  <c r="O190" i="141"/>
  <c r="O93" i="141"/>
  <c r="O106" i="141"/>
  <c r="O148" i="141"/>
  <c r="O208" i="141"/>
  <c r="O185" i="141"/>
  <c r="O205" i="141"/>
  <c r="O136" i="141"/>
  <c r="O143" i="141"/>
  <c r="O48" i="141"/>
  <c r="O189" i="141"/>
  <c r="O53" i="141"/>
  <c r="O131" i="141"/>
  <c r="O60" i="141"/>
  <c r="O188" i="141"/>
  <c r="O51" i="141"/>
  <c r="O107" i="141"/>
  <c r="O69" i="141"/>
  <c r="O52" i="141"/>
  <c r="O41" i="141"/>
  <c r="O90" i="141"/>
  <c r="O150" i="141"/>
  <c r="O105" i="141"/>
  <c r="O119" i="141"/>
  <c r="O121" i="141"/>
  <c r="O145" i="141"/>
  <c r="O206" i="141"/>
  <c r="O164" i="141"/>
  <c r="O146" i="141"/>
  <c r="O82" i="141"/>
  <c r="O140" i="141"/>
  <c r="O183" i="141"/>
  <c r="J25" i="14"/>
  <c r="J18" i="14"/>
  <c r="J17" i="14"/>
  <c r="J23" i="14"/>
  <c r="J24" i="14"/>
  <c r="O26" i="14"/>
  <c r="J16" i="14"/>
  <c r="J26" i="14"/>
  <c r="J19" i="14"/>
  <c r="J20" i="14"/>
  <c r="J22" i="14"/>
  <c r="J21" i="14"/>
  <c r="M16" i="14"/>
  <c r="J18" i="28"/>
  <c r="J22" i="28"/>
  <c r="J23" i="28"/>
  <c r="J24" i="28"/>
  <c r="J19" i="28"/>
  <c r="J20" i="28"/>
  <c r="J16" i="28"/>
  <c r="O26" i="28"/>
  <c r="M16" i="28"/>
  <c r="J17" i="28"/>
  <c r="J26" i="28"/>
  <c r="J25" i="28"/>
  <c r="J21" i="28"/>
  <c r="O113" i="119"/>
  <c r="O42" i="118"/>
  <c r="O39" i="68"/>
  <c r="O71" i="104"/>
  <c r="O189" i="104"/>
  <c r="O179" i="104"/>
  <c r="O37" i="104"/>
  <c r="J225" i="104"/>
  <c r="O190" i="104"/>
  <c r="J226" i="104"/>
  <c r="J227" i="104"/>
  <c r="O121" i="104"/>
  <c r="J224" i="104"/>
  <c r="O94" i="104"/>
  <c r="O95" i="104"/>
  <c r="M18" i="104"/>
  <c r="J229" i="104"/>
  <c r="O153" i="104"/>
  <c r="O40" i="104"/>
  <c r="O150" i="104"/>
  <c r="O56" i="104"/>
  <c r="O194" i="104"/>
  <c r="O47" i="104"/>
  <c r="O157" i="104"/>
  <c r="J228" i="104"/>
  <c r="O59" i="104"/>
  <c r="O123" i="104"/>
  <c r="J233" i="104"/>
  <c r="O31" i="104"/>
  <c r="O137" i="104"/>
  <c r="O205" i="104"/>
  <c r="O46" i="104"/>
  <c r="O93" i="104"/>
  <c r="O192" i="104"/>
  <c r="O33" i="104"/>
  <c r="O151" i="104"/>
  <c r="O76" i="104"/>
  <c r="O163" i="104"/>
  <c r="O164" i="104"/>
  <c r="O134" i="104"/>
  <c r="O50" i="104"/>
  <c r="O73" i="104"/>
  <c r="O171" i="104"/>
  <c r="O42" i="104"/>
  <c r="O30" i="104"/>
  <c r="O135" i="104"/>
  <c r="O193" i="104"/>
  <c r="O161" i="104"/>
  <c r="O74" i="104"/>
  <c r="O104" i="104"/>
  <c r="O110" i="104"/>
  <c r="O128" i="104"/>
  <c r="O43" i="104"/>
  <c r="O78" i="104"/>
  <c r="O82" i="104"/>
  <c r="O48" i="104"/>
  <c r="O177" i="104"/>
  <c r="O200" i="104"/>
  <c r="O140" i="104"/>
  <c r="O39" i="104"/>
  <c r="O96" i="104"/>
  <c r="O158" i="104"/>
  <c r="I241" i="104"/>
  <c r="O51" i="104"/>
  <c r="O210" i="104"/>
  <c r="O112" i="104"/>
  <c r="O138" i="104"/>
  <c r="O91" i="104"/>
  <c r="J232" i="104"/>
  <c r="O58" i="104"/>
  <c r="O70" i="104"/>
  <c r="O170" i="104"/>
  <c r="J230" i="104"/>
  <c r="O64" i="104"/>
  <c r="O102" i="104"/>
  <c r="O131" i="104"/>
  <c r="O142" i="104"/>
  <c r="O183" i="104"/>
  <c r="O63" i="104"/>
  <c r="O41" i="104"/>
  <c r="O62" i="104"/>
  <c r="O160" i="104"/>
  <c r="O186" i="104"/>
  <c r="O113" i="104"/>
  <c r="O36" i="104"/>
  <c r="O181" i="104"/>
  <c r="O148" i="104"/>
  <c r="O201" i="104"/>
  <c r="O52" i="104"/>
  <c r="O119" i="104"/>
  <c r="O185" i="104"/>
  <c r="O55" i="104"/>
  <c r="O60" i="104"/>
  <c r="O34" i="104"/>
  <c r="O38" i="104"/>
  <c r="O111" i="104"/>
  <c r="O143" i="104"/>
  <c r="O196" i="104"/>
  <c r="O146" i="104"/>
  <c r="O65" i="104"/>
  <c r="O80" i="104"/>
  <c r="O49" i="104"/>
  <c r="O97" i="104"/>
  <c r="O175" i="104"/>
  <c r="O114" i="104"/>
  <c r="O197" i="104"/>
  <c r="O32" i="104"/>
  <c r="O72" i="104"/>
  <c r="O199" i="104"/>
  <c r="O130" i="104"/>
  <c r="O206" i="104"/>
  <c r="O178" i="104"/>
  <c r="O81" i="104"/>
  <c r="O198" i="104"/>
  <c r="O174" i="104"/>
  <c r="O89" i="104"/>
  <c r="O155" i="104"/>
  <c r="O35" i="104"/>
  <c r="O45" i="104"/>
  <c r="O182" i="104"/>
  <c r="O207" i="104"/>
  <c r="O103" i="104"/>
  <c r="O77" i="104"/>
  <c r="O147" i="104"/>
  <c r="O69" i="104"/>
  <c r="O145" i="104"/>
  <c r="O106" i="104"/>
  <c r="O120" i="104"/>
  <c r="O92" i="104"/>
  <c r="O44" i="104"/>
  <c r="O105" i="104"/>
  <c r="O165" i="104"/>
  <c r="O209" i="104"/>
  <c r="O156" i="104"/>
  <c r="O53" i="104"/>
  <c r="O88" i="104"/>
  <c r="O173" i="104"/>
  <c r="O162" i="104"/>
  <c r="O90" i="104"/>
  <c r="O54" i="104"/>
  <c r="F220" i="24"/>
  <c r="O120" i="141"/>
  <c r="J16" i="47"/>
  <c r="M16" i="47"/>
  <c r="J18" i="47"/>
  <c r="J22" i="47"/>
  <c r="J17" i="47"/>
  <c r="J19" i="47"/>
  <c r="J23" i="47"/>
  <c r="J21" i="47"/>
  <c r="J24" i="47"/>
  <c r="J20" i="47"/>
  <c r="J26" i="47"/>
  <c r="J25" i="47"/>
  <c r="O74" i="119"/>
  <c r="O195" i="104"/>
  <c r="O202" i="119"/>
  <c r="O136" i="104"/>
  <c r="J19" i="106"/>
  <c r="J22" i="106"/>
  <c r="J26" i="106"/>
  <c r="J24" i="106"/>
  <c r="J17" i="106"/>
  <c r="J21" i="106"/>
  <c r="J25" i="106"/>
  <c r="J23" i="106"/>
  <c r="J18" i="106"/>
  <c r="J16" i="106"/>
  <c r="M16" i="106"/>
  <c r="J20" i="106"/>
  <c r="O26" i="19"/>
  <c r="M16" i="19"/>
  <c r="J23" i="19"/>
  <c r="J20" i="19"/>
  <c r="J21" i="19"/>
  <c r="J17" i="19"/>
  <c r="J26" i="19"/>
  <c r="J16" i="19"/>
  <c r="J19" i="19"/>
  <c r="J22" i="19"/>
  <c r="J24" i="19"/>
  <c r="J25" i="19"/>
  <c r="J18" i="19"/>
  <c r="J20" i="27"/>
  <c r="J16" i="27"/>
  <c r="J25" i="27"/>
  <c r="J26" i="27"/>
  <c r="J22" i="27"/>
  <c r="J19" i="27"/>
  <c r="M16" i="27"/>
  <c r="J21" i="27"/>
  <c r="J18" i="27"/>
  <c r="J24" i="27"/>
  <c r="J17" i="27"/>
  <c r="J23" i="27"/>
  <c r="F243" i="141"/>
  <c r="O84" i="66"/>
  <c r="I213" i="157"/>
  <c r="J205" i="157" s="1"/>
  <c r="I213" i="175"/>
  <c r="J122" i="175" s="1"/>
  <c r="O89" i="66"/>
  <c r="O66" i="54"/>
  <c r="O45" i="178"/>
  <c r="I213" i="119"/>
  <c r="J75" i="119" s="1"/>
  <c r="O37" i="54"/>
  <c r="O92" i="66"/>
  <c r="O199" i="178"/>
  <c r="O45" i="66"/>
  <c r="O166" i="68"/>
  <c r="J20" i="120"/>
  <c r="O34" i="15"/>
  <c r="O94" i="15"/>
  <c r="O102" i="15"/>
  <c r="O110" i="15"/>
  <c r="O175" i="15"/>
  <c r="O115" i="15"/>
  <c r="O43" i="15"/>
  <c r="O142" i="15"/>
  <c r="O104" i="15"/>
  <c r="O42" i="15"/>
  <c r="O89" i="15"/>
  <c r="O170" i="15"/>
  <c r="O101" i="15"/>
  <c r="O154" i="15"/>
  <c r="O165" i="15"/>
  <c r="O122" i="15"/>
  <c r="O66" i="90"/>
  <c r="O107" i="118"/>
  <c r="O178" i="119"/>
  <c r="O66" i="66"/>
  <c r="O163" i="68"/>
  <c r="J226" i="68"/>
  <c r="O114" i="68"/>
  <c r="O171" i="68"/>
  <c r="O46" i="68"/>
  <c r="O207" i="68"/>
  <c r="O91" i="68"/>
  <c r="O197" i="68"/>
  <c r="O185" i="68"/>
  <c r="O195" i="68"/>
  <c r="O101" i="68"/>
  <c r="O183" i="68"/>
  <c r="J233" i="68"/>
  <c r="O103" i="68"/>
  <c r="O93" i="68"/>
  <c r="O62" i="68"/>
  <c r="O130" i="68"/>
  <c r="O165" i="68"/>
  <c r="O58" i="68"/>
  <c r="O81" i="68"/>
  <c r="O82" i="68"/>
  <c r="O169" i="68"/>
  <c r="O176" i="68"/>
  <c r="O200" i="68"/>
  <c r="O189" i="68"/>
  <c r="O136" i="68"/>
  <c r="O48" i="68"/>
  <c r="O191" i="68"/>
  <c r="O36" i="68"/>
  <c r="O151" i="68"/>
  <c r="O137" i="68"/>
  <c r="O210" i="68"/>
  <c r="O129" i="68"/>
  <c r="O79" i="68"/>
  <c r="O111" i="68"/>
  <c r="O83" i="68"/>
  <c r="J229" i="68"/>
  <c r="O97" i="68"/>
  <c r="O44" i="68"/>
  <c r="O47" i="68"/>
  <c r="O209" i="68"/>
  <c r="J227" i="68"/>
  <c r="O201" i="68"/>
  <c r="O50" i="68"/>
  <c r="O177" i="68"/>
  <c r="O152" i="68"/>
  <c r="O52" i="68"/>
  <c r="O41" i="68"/>
  <c r="O31" i="68"/>
  <c r="O40" i="68"/>
  <c r="J228" i="68"/>
  <c r="J224" i="68"/>
  <c r="O154" i="68"/>
  <c r="O141" i="68"/>
  <c r="O184" i="68"/>
  <c r="O112" i="68"/>
  <c r="J230" i="68"/>
  <c r="O181" i="68"/>
  <c r="J232" i="68"/>
  <c r="O90" i="68"/>
  <c r="O172" i="68"/>
  <c r="O138" i="68"/>
  <c r="O102" i="68"/>
  <c r="O128" i="68"/>
  <c r="O105" i="68"/>
  <c r="O179" i="68"/>
  <c r="O71" i="68"/>
  <c r="O160" i="68"/>
  <c r="O77" i="68"/>
  <c r="O155" i="68"/>
  <c r="O33" i="68"/>
  <c r="O75" i="68"/>
  <c r="O145" i="68"/>
  <c r="O194" i="68"/>
  <c r="O59" i="68"/>
  <c r="O131" i="68"/>
  <c r="O147" i="68"/>
  <c r="O156" i="68"/>
  <c r="O123" i="68"/>
  <c r="O88" i="68"/>
  <c r="O65" i="68"/>
  <c r="O186" i="68"/>
  <c r="O119" i="68"/>
  <c r="J225" i="68"/>
  <c r="O187" i="68"/>
  <c r="O175" i="68"/>
  <c r="M18" i="68"/>
  <c r="O78" i="68"/>
  <c r="O64" i="68"/>
  <c r="O56" i="68"/>
  <c r="O206" i="68"/>
  <c r="O198" i="68"/>
  <c r="O61" i="68"/>
  <c r="O87" i="68"/>
  <c r="O146" i="68"/>
  <c r="O54" i="68"/>
  <c r="O120" i="68"/>
  <c r="O148" i="68"/>
  <c r="O72" i="68"/>
  <c r="O162" i="68"/>
  <c r="O37" i="68"/>
  <c r="O74" i="68"/>
  <c r="O132" i="68"/>
  <c r="O94" i="68"/>
  <c r="O193" i="68"/>
  <c r="O196" i="68"/>
  <c r="O76" i="68"/>
  <c r="O190" i="68"/>
  <c r="O34" i="68"/>
  <c r="O142" i="68"/>
  <c r="O157" i="68"/>
  <c r="O104" i="68"/>
  <c r="O164" i="68"/>
  <c r="O49" i="68"/>
  <c r="O80" i="68"/>
  <c r="O135" i="68"/>
  <c r="O122" i="68"/>
  <c r="O95" i="68"/>
  <c r="O30" i="68"/>
  <c r="O192" i="68"/>
  <c r="O158" i="68"/>
  <c r="O150" i="68"/>
  <c r="O153" i="68"/>
  <c r="O113" i="68"/>
  <c r="O188" i="68"/>
  <c r="O92" i="68"/>
  <c r="O63" i="68"/>
  <c r="O161" i="68"/>
  <c r="O134" i="68"/>
  <c r="O180" i="68"/>
  <c r="O173" i="68"/>
  <c r="O143" i="68"/>
  <c r="O174" i="68"/>
  <c r="O96" i="68"/>
  <c r="O170" i="68"/>
  <c r="O89" i="68"/>
  <c r="O55" i="68"/>
  <c r="O106" i="68"/>
  <c r="O38" i="68"/>
  <c r="O33" i="54"/>
  <c r="I213" i="27"/>
  <c r="J81" i="27" s="1"/>
  <c r="I213" i="49"/>
  <c r="J165" i="49" s="1"/>
  <c r="O35" i="68"/>
  <c r="O178" i="178"/>
  <c r="J16" i="120"/>
  <c r="J24" i="120"/>
  <c r="F220" i="118"/>
  <c r="O83" i="178"/>
  <c r="O107" i="54"/>
  <c r="F243" i="68"/>
  <c r="O95" i="119"/>
  <c r="O124" i="104"/>
  <c r="O74" i="90"/>
  <c r="O72" i="90"/>
  <c r="O135" i="90"/>
  <c r="J232" i="90"/>
  <c r="O103" i="90"/>
  <c r="O138" i="90"/>
  <c r="O62" i="90"/>
  <c r="O50" i="90"/>
  <c r="O49" i="90"/>
  <c r="O153" i="90"/>
  <c r="O176" i="90"/>
  <c r="O136" i="90"/>
  <c r="O106" i="90"/>
  <c r="O34" i="90"/>
  <c r="O77" i="90"/>
  <c r="O201" i="90"/>
  <c r="O111" i="90"/>
  <c r="O56" i="90"/>
  <c r="O170" i="90"/>
  <c r="J229" i="90"/>
  <c r="O175" i="90"/>
  <c r="O177" i="90"/>
  <c r="O45" i="90"/>
  <c r="O47" i="90"/>
  <c r="O33" i="90"/>
  <c r="O191" i="90"/>
  <c r="O131" i="90"/>
  <c r="O88" i="90"/>
  <c r="O95" i="90"/>
  <c r="O76" i="90"/>
  <c r="J228" i="90"/>
  <c r="O165" i="90"/>
  <c r="J226" i="90"/>
  <c r="J227" i="90"/>
  <c r="O188" i="90"/>
  <c r="O48" i="90"/>
  <c r="O199" i="90"/>
  <c r="O105" i="90"/>
  <c r="J225" i="90"/>
  <c r="O102" i="90"/>
  <c r="O104" i="90"/>
  <c r="O140" i="90"/>
  <c r="O172" i="90"/>
  <c r="O142" i="90"/>
  <c r="O152" i="90"/>
  <c r="O181" i="90"/>
  <c r="O36" i="90"/>
  <c r="O146" i="90"/>
  <c r="O206" i="90"/>
  <c r="O94" i="90"/>
  <c r="O79" i="90"/>
  <c r="O93" i="90"/>
  <c r="O180" i="90"/>
  <c r="O63" i="90"/>
  <c r="O64" i="90"/>
  <c r="O173" i="90"/>
  <c r="O145" i="90"/>
  <c r="O42" i="90"/>
  <c r="J230" i="90"/>
  <c r="O112" i="90"/>
  <c r="O151" i="90"/>
  <c r="O35" i="90"/>
  <c r="O185" i="90"/>
  <c r="O61" i="90"/>
  <c r="O101" i="90"/>
  <c r="O80" i="90"/>
  <c r="O60" i="90"/>
  <c r="O123" i="90"/>
  <c r="O114" i="90"/>
  <c r="O171" i="90"/>
  <c r="O198" i="90"/>
  <c r="O59" i="90"/>
  <c r="O147" i="90"/>
  <c r="O192" i="90"/>
  <c r="O205" i="90"/>
  <c r="O189" i="90"/>
  <c r="O157" i="90"/>
  <c r="O71" i="90"/>
  <c r="O46" i="90"/>
  <c r="M18" i="90"/>
  <c r="O75" i="90"/>
  <c r="O41" i="90"/>
  <c r="O209" i="90"/>
  <c r="O169" i="90"/>
  <c r="O37" i="90"/>
  <c r="O150" i="90"/>
  <c r="O91" i="90"/>
  <c r="O69" i="90"/>
  <c r="O57" i="90"/>
  <c r="O40" i="90"/>
  <c r="O184" i="90"/>
  <c r="O122" i="90"/>
  <c r="O51" i="90"/>
  <c r="O81" i="90"/>
  <c r="O130" i="90"/>
  <c r="J233" i="90"/>
  <c r="O154" i="90"/>
  <c r="O156" i="90"/>
  <c r="O92" i="90"/>
  <c r="O190" i="90"/>
  <c r="O65" i="90"/>
  <c r="O78" i="90"/>
  <c r="O38" i="90"/>
  <c r="O52" i="90"/>
  <c r="O164" i="90"/>
  <c r="O200" i="90"/>
  <c r="O53" i="90"/>
  <c r="O179" i="90"/>
  <c r="O121" i="90"/>
  <c r="O148" i="90"/>
  <c r="O141" i="90"/>
  <c r="O54" i="90"/>
  <c r="O143" i="90"/>
  <c r="O82" i="90"/>
  <c r="O70" i="90"/>
  <c r="O161" i="90"/>
  <c r="O196" i="90"/>
  <c r="O129" i="90"/>
  <c r="O87" i="90"/>
  <c r="I241" i="90"/>
  <c r="O183" i="90"/>
  <c r="O83" i="90"/>
  <c r="O73" i="90"/>
  <c r="O134" i="90"/>
  <c r="O115" i="90"/>
  <c r="O194" i="90"/>
  <c r="O155" i="90"/>
  <c r="O187" i="90"/>
  <c r="O210" i="90"/>
  <c r="O32" i="90"/>
  <c r="O31" i="90"/>
  <c r="O128" i="90"/>
  <c r="O193" i="90"/>
  <c r="O89" i="90"/>
  <c r="J224" i="90"/>
  <c r="O119" i="90"/>
  <c r="O178" i="90"/>
  <c r="O160" i="90"/>
  <c r="O195" i="90"/>
  <c r="O44" i="90"/>
  <c r="O163" i="90"/>
  <c r="O158" i="90"/>
  <c r="O208" i="90"/>
  <c r="O182" i="90"/>
  <c r="O137" i="90"/>
  <c r="O30" i="90"/>
  <c r="O186" i="90"/>
  <c r="O39" i="90"/>
  <c r="O197" i="90"/>
  <c r="O96" i="90"/>
  <c r="O174" i="90"/>
  <c r="O162" i="90"/>
  <c r="O90" i="90"/>
  <c r="O169" i="104"/>
  <c r="O84" i="119"/>
  <c r="O142" i="141"/>
  <c r="O124" i="90"/>
  <c r="O66" i="141"/>
  <c r="O202" i="68"/>
  <c r="I213" i="104"/>
  <c r="J93" i="104" s="1"/>
  <c r="O60" i="68"/>
  <c r="O66" i="68"/>
  <c r="O26" i="120"/>
  <c r="F243" i="120"/>
  <c r="O53" i="68"/>
  <c r="O116" i="118"/>
  <c r="O211" i="141"/>
  <c r="F243" i="119"/>
  <c r="O106" i="119"/>
  <c r="O202" i="15"/>
  <c r="O122" i="104"/>
  <c r="O42" i="68"/>
  <c r="O98" i="141"/>
  <c r="O107" i="104"/>
  <c r="L25" i="97"/>
  <c r="P23" i="195" s="1"/>
  <c r="O79" i="155"/>
  <c r="O71" i="155"/>
  <c r="O140" i="155"/>
  <c r="J224" i="155"/>
  <c r="O132" i="155"/>
  <c r="O90" i="155"/>
  <c r="O163" i="155"/>
  <c r="O181" i="155"/>
  <c r="O177" i="155"/>
  <c r="O119" i="155"/>
  <c r="O187" i="155"/>
  <c r="O34" i="155"/>
  <c r="O137" i="155"/>
  <c r="O157" i="155"/>
  <c r="J229" i="155"/>
  <c r="O186" i="155"/>
  <c r="O192" i="155"/>
  <c r="O32" i="155"/>
  <c r="O42" i="155"/>
  <c r="O197" i="155"/>
  <c r="O97" i="155"/>
  <c r="O128" i="155"/>
  <c r="O55" i="155"/>
  <c r="O76" i="155"/>
  <c r="O148" i="155"/>
  <c r="O96" i="155"/>
  <c r="O111" i="155"/>
  <c r="O83" i="155"/>
  <c r="O33" i="155"/>
  <c r="O155" i="155"/>
  <c r="O105" i="155"/>
  <c r="O198" i="155"/>
  <c r="O138" i="155"/>
  <c r="O48" i="155"/>
  <c r="O162" i="155"/>
  <c r="O37" i="155"/>
  <c r="O47" i="155"/>
  <c r="O52" i="155"/>
  <c r="O190" i="155"/>
  <c r="O205" i="155"/>
  <c r="O72" i="155"/>
  <c r="O115" i="155"/>
  <c r="O53" i="155"/>
  <c r="O95" i="155"/>
  <c r="O200" i="155"/>
  <c r="O176" i="155"/>
  <c r="O92" i="155"/>
  <c r="J230" i="155"/>
  <c r="J227" i="155"/>
  <c r="O165" i="155"/>
  <c r="O106" i="155"/>
  <c r="O62" i="155"/>
  <c r="O103" i="155"/>
  <c r="O178" i="155"/>
  <c r="O54" i="155"/>
  <c r="O161" i="155"/>
  <c r="O51" i="155"/>
  <c r="O145" i="155"/>
  <c r="M18" i="155"/>
  <c r="O87" i="155"/>
  <c r="J233" i="155"/>
  <c r="O193" i="155"/>
  <c r="O89" i="155"/>
  <c r="O188" i="155"/>
  <c r="O80" i="155"/>
  <c r="O49" i="155"/>
  <c r="O58" i="155"/>
  <c r="O110" i="155"/>
  <c r="O189" i="155"/>
  <c r="O173" i="155"/>
  <c r="O171" i="155"/>
  <c r="O93" i="155"/>
  <c r="O45" i="155"/>
  <c r="J226" i="155"/>
  <c r="O208" i="155"/>
  <c r="O120" i="155"/>
  <c r="O135" i="155"/>
  <c r="O194" i="155"/>
  <c r="O170" i="155"/>
  <c r="O136" i="155"/>
  <c r="J232" i="155"/>
  <c r="O30" i="155"/>
  <c r="O146" i="155"/>
  <c r="O122" i="155"/>
  <c r="O150" i="155"/>
  <c r="O88" i="155"/>
  <c r="O164" i="155"/>
  <c r="O201" i="155"/>
  <c r="O63" i="155"/>
  <c r="O60" i="155"/>
  <c r="O114" i="155"/>
  <c r="O121" i="155"/>
  <c r="J225" i="155"/>
  <c r="O65" i="155"/>
  <c r="O77" i="155"/>
  <c r="O38" i="155"/>
  <c r="I241" i="155"/>
  <c r="O74" i="155"/>
  <c r="O26" i="155"/>
  <c r="O94" i="155"/>
  <c r="O130" i="155"/>
  <c r="O152" i="155"/>
  <c r="O69" i="155"/>
  <c r="O36" i="155"/>
  <c r="O184" i="155"/>
  <c r="O40" i="155"/>
  <c r="O57" i="155"/>
  <c r="O73" i="155"/>
  <c r="O56" i="155"/>
  <c r="J228" i="155"/>
  <c r="O113" i="155"/>
  <c r="O91" i="155"/>
  <c r="O160" i="155"/>
  <c r="O59" i="155"/>
  <c r="O134" i="155"/>
  <c r="O102" i="155"/>
  <c r="O153" i="155"/>
  <c r="O156" i="155"/>
  <c r="O61" i="155"/>
  <c r="O82" i="155"/>
  <c r="O41" i="155"/>
  <c r="O112" i="155"/>
  <c r="O129" i="155"/>
  <c r="O196" i="155"/>
  <c r="O131" i="155"/>
  <c r="O169" i="155"/>
  <c r="O143" i="155"/>
  <c r="O81" i="155"/>
  <c r="O179" i="155"/>
  <c r="O195" i="155"/>
  <c r="O210" i="155"/>
  <c r="O39" i="155"/>
  <c r="O64" i="155"/>
  <c r="O43" i="155"/>
  <c r="O46" i="155"/>
  <c r="O174" i="155"/>
  <c r="O116" i="155"/>
  <c r="O98" i="155"/>
  <c r="O206" i="155"/>
  <c r="O31" i="155"/>
  <c r="O141" i="155"/>
  <c r="O175" i="155"/>
  <c r="O70" i="155"/>
  <c r="O158" i="155"/>
  <c r="O35" i="155"/>
  <c r="O207" i="155"/>
  <c r="O199" i="155"/>
  <c r="J20" i="38"/>
  <c r="J16" i="38"/>
  <c r="J23" i="38"/>
  <c r="J21" i="38"/>
  <c r="J17" i="38"/>
  <c r="J24" i="38"/>
  <c r="M16" i="38"/>
  <c r="O26" i="38"/>
  <c r="J26" i="38"/>
  <c r="J22" i="38"/>
  <c r="J19" i="38"/>
  <c r="J25" i="38"/>
  <c r="J18" i="38"/>
  <c r="J20" i="94"/>
  <c r="J18" i="94"/>
  <c r="J21" i="94"/>
  <c r="J23" i="94"/>
  <c r="J17" i="94"/>
  <c r="J22" i="94"/>
  <c r="J19" i="94"/>
  <c r="J25" i="94"/>
  <c r="J26" i="94"/>
  <c r="J24" i="94"/>
  <c r="J16" i="94"/>
  <c r="M16" i="94"/>
  <c r="O26" i="94"/>
  <c r="O51" i="178"/>
  <c r="I213" i="68"/>
  <c r="O79" i="178"/>
  <c r="O124" i="178"/>
  <c r="O123" i="155"/>
  <c r="I213" i="98"/>
  <c r="I220" i="98" s="1"/>
  <c r="O66" i="60"/>
  <c r="F243" i="49"/>
  <c r="F243" i="43"/>
  <c r="O78" i="155"/>
  <c r="O88" i="49"/>
  <c r="O170" i="178"/>
  <c r="O112" i="178"/>
  <c r="O111" i="178"/>
  <c r="I213" i="133"/>
  <c r="I220" i="133" s="1"/>
  <c r="O129" i="178"/>
  <c r="O209" i="155"/>
  <c r="O189" i="178"/>
  <c r="O120" i="178"/>
  <c r="J17" i="64"/>
  <c r="J21" i="64"/>
  <c r="J19" i="64"/>
  <c r="M16" i="64"/>
  <c r="J22" i="64"/>
  <c r="J25" i="64"/>
  <c r="J24" i="64"/>
  <c r="J20" i="64"/>
  <c r="J18" i="64"/>
  <c r="O26" i="64"/>
  <c r="J16" i="64"/>
  <c r="J26" i="64"/>
  <c r="J23" i="64"/>
  <c r="J230" i="178"/>
  <c r="J228" i="178"/>
  <c r="J232" i="178"/>
  <c r="J227" i="178"/>
  <c r="O40" i="178"/>
  <c r="J233" i="178"/>
  <c r="O162" i="178"/>
  <c r="O155" i="178"/>
  <c r="J224" i="178"/>
  <c r="O143" i="178"/>
  <c r="I241" i="178"/>
  <c r="I243" i="178" s="1"/>
  <c r="O31" i="178"/>
  <c r="J229" i="178"/>
  <c r="M18" i="178"/>
  <c r="J226" i="178"/>
  <c r="J225" i="178"/>
  <c r="O115" i="178"/>
  <c r="O146" i="178"/>
  <c r="O137" i="178"/>
  <c r="O72" i="178"/>
  <c r="O205" i="178"/>
  <c r="O172" i="178"/>
  <c r="O36" i="178"/>
  <c r="O206" i="178"/>
  <c r="O52" i="178"/>
  <c r="O123" i="178"/>
  <c r="O102" i="178"/>
  <c r="O164" i="178"/>
  <c r="O185" i="178"/>
  <c r="O184" i="178"/>
  <c r="O193" i="178"/>
  <c r="O177" i="178"/>
  <c r="O148" i="178"/>
  <c r="O122" i="178"/>
  <c r="O188" i="178"/>
  <c r="O47" i="178"/>
  <c r="O153" i="178"/>
  <c r="O61" i="178"/>
  <c r="O201" i="178"/>
  <c r="O210" i="178"/>
  <c r="O176" i="178"/>
  <c r="O110" i="178"/>
  <c r="O192" i="178"/>
  <c r="O169" i="178"/>
  <c r="O39" i="178"/>
  <c r="O113" i="178"/>
  <c r="O136" i="178"/>
  <c r="O64" i="178"/>
  <c r="O92" i="178"/>
  <c r="O140" i="178"/>
  <c r="O114" i="178"/>
  <c r="O80" i="178"/>
  <c r="O101" i="178"/>
  <c r="O158" i="178"/>
  <c r="O196" i="178"/>
  <c r="O157" i="178"/>
  <c r="O103" i="178"/>
  <c r="O63" i="178"/>
  <c r="O190" i="178"/>
  <c r="O175" i="178"/>
  <c r="O94" i="178"/>
  <c r="O82" i="178"/>
  <c r="O56" i="178"/>
  <c r="O93" i="178"/>
  <c r="O195" i="178"/>
  <c r="O75" i="178"/>
  <c r="O76" i="178"/>
  <c r="O171" i="178"/>
  <c r="O150" i="178"/>
  <c r="O119" i="178"/>
  <c r="O71" i="178"/>
  <c r="O179" i="178"/>
  <c r="O208" i="178"/>
  <c r="O48" i="178"/>
  <c r="O187" i="178"/>
  <c r="O180" i="178"/>
  <c r="O38" i="178"/>
  <c r="O55" i="178"/>
  <c r="O200" i="178"/>
  <c r="O191" i="178"/>
  <c r="O132" i="178"/>
  <c r="O174" i="178"/>
  <c r="O135" i="178"/>
  <c r="O145" i="178"/>
  <c r="O198" i="178"/>
  <c r="O44" i="178"/>
  <c r="O60" i="178"/>
  <c r="O182" i="178"/>
  <c r="O69" i="178"/>
  <c r="O65" i="178"/>
  <c r="I213" i="58"/>
  <c r="I220" i="58" s="1"/>
  <c r="O84" i="165"/>
  <c r="I213" i="165"/>
  <c r="I213" i="28"/>
  <c r="O151" i="155"/>
  <c r="J25" i="55"/>
  <c r="J16" i="55"/>
  <c r="J18" i="55"/>
  <c r="J23" i="55"/>
  <c r="J19" i="55"/>
  <c r="J22" i="55"/>
  <c r="J26" i="55"/>
  <c r="J20" i="55"/>
  <c r="M16" i="55"/>
  <c r="O26" i="55"/>
  <c r="J24" i="55"/>
  <c r="J17" i="55"/>
  <c r="J21" i="55"/>
  <c r="I213" i="92"/>
  <c r="O166" i="49"/>
  <c r="O89" i="178"/>
  <c r="I213" i="63"/>
  <c r="I220" i="63" s="1"/>
  <c r="I213" i="39"/>
  <c r="I220" i="39" s="1"/>
  <c r="O104" i="178"/>
  <c r="O87" i="178"/>
  <c r="O107" i="178"/>
  <c r="O186" i="178"/>
  <c r="O183" i="178"/>
  <c r="J18" i="63"/>
  <c r="J16" i="63"/>
  <c r="J26" i="63"/>
  <c r="M16" i="63"/>
  <c r="J20" i="63"/>
  <c r="J25" i="63"/>
  <c r="J21" i="63"/>
  <c r="J24" i="63"/>
  <c r="J23" i="63"/>
  <c r="J19" i="63"/>
  <c r="J22" i="63"/>
  <c r="O26" i="63"/>
  <c r="J17" i="63"/>
  <c r="O102" i="49"/>
  <c r="O124" i="152"/>
  <c r="I213" i="152"/>
  <c r="O26" i="49"/>
  <c r="I213" i="164"/>
  <c r="I220" i="164" s="1"/>
  <c r="O191" i="155"/>
  <c r="O107" i="155"/>
  <c r="O154" i="155"/>
  <c r="I213" i="83"/>
  <c r="O75" i="155"/>
  <c r="O131" i="178"/>
  <c r="M20" i="63"/>
  <c r="I242" i="63"/>
  <c r="O165" i="178"/>
  <c r="I213" i="106"/>
  <c r="L26" i="97"/>
  <c r="P24" i="195" s="1"/>
  <c r="O142" i="178"/>
  <c r="O211" i="178"/>
  <c r="O147" i="178"/>
  <c r="O202" i="49"/>
  <c r="I213" i="53"/>
  <c r="O183" i="155"/>
  <c r="O33" i="178"/>
  <c r="O44" i="155"/>
  <c r="I213" i="32"/>
  <c r="O35" i="178"/>
  <c r="O77" i="178"/>
  <c r="O194" i="49"/>
  <c r="J16" i="118"/>
  <c r="J22" i="118"/>
  <c r="J19" i="118"/>
  <c r="J21" i="118"/>
  <c r="J23" i="118"/>
  <c r="J26" i="118"/>
  <c r="J18" i="118"/>
  <c r="J17" i="118"/>
  <c r="J24" i="118"/>
  <c r="J20" i="118"/>
  <c r="M16" i="118"/>
  <c r="J25" i="118"/>
  <c r="O26" i="118"/>
  <c r="I213" i="37"/>
  <c r="O50" i="178"/>
  <c r="J16" i="164"/>
  <c r="O26" i="164"/>
  <c r="M16" i="164"/>
  <c r="J17" i="164"/>
  <c r="J22" i="164"/>
  <c r="J25" i="164"/>
  <c r="J24" i="164"/>
  <c r="J26" i="164"/>
  <c r="J20" i="164"/>
  <c r="J23" i="164"/>
  <c r="J19" i="164"/>
  <c r="J18" i="164"/>
  <c r="J21" i="164"/>
  <c r="F243" i="63"/>
  <c r="O124" i="49"/>
  <c r="O91" i="178"/>
  <c r="O154" i="178"/>
  <c r="O105" i="178"/>
  <c r="I213" i="118"/>
  <c r="I220" i="118" s="1"/>
  <c r="O142" i="155"/>
  <c r="O104" i="155"/>
  <c r="O180" i="155"/>
  <c r="O98" i="178"/>
  <c r="J21" i="58"/>
  <c r="J26" i="58"/>
  <c r="J18" i="58"/>
  <c r="J25" i="58"/>
  <c r="M16" i="58"/>
  <c r="O26" i="58"/>
  <c r="J19" i="58"/>
  <c r="J24" i="58"/>
  <c r="J23" i="58"/>
  <c r="J22" i="58"/>
  <c r="J16" i="58"/>
  <c r="J20" i="58"/>
  <c r="J17" i="58"/>
  <c r="O96" i="178"/>
  <c r="O107" i="49"/>
  <c r="O111" i="54"/>
  <c r="O48" i="54"/>
  <c r="M18" i="54"/>
  <c r="O105" i="54"/>
  <c r="O114" i="54"/>
  <c r="O161" i="54"/>
  <c r="O190" i="54"/>
  <c r="O104" i="54"/>
  <c r="O82" i="54"/>
  <c r="O187" i="54"/>
  <c r="O170" i="54"/>
  <c r="O122" i="54"/>
  <c r="O188" i="54"/>
  <c r="J230" i="54"/>
  <c r="O83" i="54"/>
  <c r="O60" i="54"/>
  <c r="O183" i="54"/>
  <c r="O205" i="54"/>
  <c r="O138" i="54"/>
  <c r="O129" i="54"/>
  <c r="O80" i="54"/>
  <c r="J233" i="54"/>
  <c r="O93" i="54"/>
  <c r="O151" i="54"/>
  <c r="O31" i="54"/>
  <c r="O196" i="54"/>
  <c r="O95" i="54"/>
  <c r="O50" i="54"/>
  <c r="O199" i="54"/>
  <c r="O115" i="54"/>
  <c r="O121" i="54"/>
  <c r="O89" i="54"/>
  <c r="O172" i="54"/>
  <c r="O30" i="54"/>
  <c r="O88" i="54"/>
  <c r="O49" i="54"/>
  <c r="O193" i="54"/>
  <c r="J228" i="54"/>
  <c r="O113" i="54"/>
  <c r="O140" i="54"/>
  <c r="O59" i="54"/>
  <c r="O189" i="54"/>
  <c r="O194" i="54"/>
  <c r="O173" i="54"/>
  <c r="O134" i="54"/>
  <c r="J224" i="54"/>
  <c r="O91" i="54"/>
  <c r="O65" i="54"/>
  <c r="I241" i="54"/>
  <c r="O200" i="54"/>
  <c r="O157" i="54"/>
  <c r="O201" i="54"/>
  <c r="O186" i="54"/>
  <c r="O77" i="54"/>
  <c r="J225" i="54"/>
  <c r="O81" i="54"/>
  <c r="O34" i="54"/>
  <c r="O35" i="54"/>
  <c r="O163" i="54"/>
  <c r="O110" i="54"/>
  <c r="J226" i="54"/>
  <c r="O45" i="54"/>
  <c r="O158" i="54"/>
  <c r="O70" i="54"/>
  <c r="O169" i="54"/>
  <c r="O69" i="54"/>
  <c r="O143" i="54"/>
  <c r="O128" i="54"/>
  <c r="O145" i="54"/>
  <c r="O150" i="54"/>
  <c r="J227" i="54"/>
  <c r="O175" i="54"/>
  <c r="O97" i="54"/>
  <c r="O197" i="54"/>
  <c r="O184" i="54"/>
  <c r="O46" i="54"/>
  <c r="O76" i="54"/>
  <c r="O64" i="54"/>
  <c r="O41" i="54"/>
  <c r="O72" i="54"/>
  <c r="O148" i="54"/>
  <c r="O153" i="54"/>
  <c r="O162" i="54"/>
  <c r="O195" i="54"/>
  <c r="O137" i="54"/>
  <c r="O40" i="54"/>
  <c r="O44" i="54"/>
  <c r="O192" i="54"/>
  <c r="O92" i="54"/>
  <c r="O182" i="54"/>
  <c r="O87" i="54"/>
  <c r="O146" i="54"/>
  <c r="O120" i="54"/>
  <c r="O103" i="54"/>
  <c r="O54" i="54"/>
  <c r="O102" i="54"/>
  <c r="O53" i="54"/>
  <c r="O180" i="54"/>
  <c r="O160" i="54"/>
  <c r="O112" i="54"/>
  <c r="O78" i="54"/>
  <c r="O179" i="54"/>
  <c r="O141" i="54"/>
  <c r="O147" i="54"/>
  <c r="J229" i="54"/>
  <c r="O142" i="54"/>
  <c r="O207" i="54"/>
  <c r="O210" i="54"/>
  <c r="O191" i="54"/>
  <c r="O164" i="54"/>
  <c r="O165" i="54"/>
  <c r="O58" i="54"/>
  <c r="O136" i="54"/>
  <c r="O94" i="54"/>
  <c r="O52" i="54"/>
  <c r="O206" i="54"/>
  <c r="O43" i="54"/>
  <c r="O209" i="54"/>
  <c r="O135" i="54"/>
  <c r="O181" i="54"/>
  <c r="O185" i="54"/>
  <c r="O47" i="54"/>
  <c r="O63" i="54"/>
  <c r="O155" i="54"/>
  <c r="O38" i="54"/>
  <c r="O154" i="54"/>
  <c r="O36" i="54"/>
  <c r="O176" i="54"/>
  <c r="J232" i="54"/>
  <c r="O132" i="54"/>
  <c r="O71" i="54"/>
  <c r="O96" i="54"/>
  <c r="O42" i="54"/>
  <c r="O171" i="54"/>
  <c r="O101" i="54"/>
  <c r="O39" i="54"/>
  <c r="O75" i="54"/>
  <c r="O62" i="54"/>
  <c r="O208" i="54"/>
  <c r="O119" i="54"/>
  <c r="O211" i="54"/>
  <c r="O51" i="54"/>
  <c r="O32" i="54"/>
  <c r="O90" i="54"/>
  <c r="O26" i="54"/>
  <c r="O116" i="54"/>
  <c r="O156" i="54"/>
  <c r="O152" i="54"/>
  <c r="O123" i="54"/>
  <c r="O131" i="54"/>
  <c r="O202" i="54"/>
  <c r="O124" i="54"/>
  <c r="O73" i="54"/>
  <c r="O177" i="54"/>
  <c r="O98" i="54"/>
  <c r="O178" i="54"/>
  <c r="O174" i="54"/>
  <c r="O198" i="54"/>
  <c r="O55" i="54"/>
  <c r="O79" i="54"/>
  <c r="O61" i="54"/>
  <c r="O130" i="54"/>
  <c r="O74" i="54"/>
  <c r="O56" i="54"/>
  <c r="O88" i="178"/>
  <c r="I213" i="178"/>
  <c r="O49" i="178"/>
  <c r="J22" i="53"/>
  <c r="J23" i="53"/>
  <c r="O26" i="53"/>
  <c r="J25" i="53"/>
  <c r="J26" i="53"/>
  <c r="J20" i="53"/>
  <c r="J21" i="53"/>
  <c r="J19" i="53"/>
  <c r="J18" i="53"/>
  <c r="J17" i="53"/>
  <c r="J24" i="53"/>
  <c r="J16" i="53"/>
  <c r="M16" i="53"/>
  <c r="I242" i="155"/>
  <c r="M20" i="155"/>
  <c r="I213" i="14"/>
  <c r="F243" i="58"/>
  <c r="O34" i="178"/>
  <c r="O84" i="155"/>
  <c r="J161" i="167"/>
  <c r="J143" i="167"/>
  <c r="J54" i="167"/>
  <c r="J174" i="167"/>
  <c r="J51" i="167"/>
  <c r="J102" i="167"/>
  <c r="J121" i="167"/>
  <c r="J178" i="167"/>
  <c r="J130" i="167"/>
  <c r="J80" i="167"/>
  <c r="J129" i="167"/>
  <c r="J63" i="167"/>
  <c r="J190" i="167"/>
  <c r="J194" i="167"/>
  <c r="J33" i="167"/>
  <c r="I220" i="167"/>
  <c r="J82" i="167"/>
  <c r="J148" i="167"/>
  <c r="J60" i="167"/>
  <c r="J49" i="167"/>
  <c r="J142" i="167"/>
  <c r="J65" i="167"/>
  <c r="J56" i="167"/>
  <c r="J171" i="167"/>
  <c r="J84" i="167"/>
  <c r="J37" i="167"/>
  <c r="J181" i="167"/>
  <c r="J189" i="167"/>
  <c r="J59" i="167"/>
  <c r="J73" i="167"/>
  <c r="J107" i="167"/>
  <c r="J112" i="167"/>
  <c r="J153" i="167"/>
  <c r="J209" i="167"/>
  <c r="J122" i="167"/>
  <c r="J183" i="167"/>
  <c r="J180" i="167"/>
  <c r="J158" i="167"/>
  <c r="J210" i="167"/>
  <c r="J208" i="167"/>
  <c r="J213" i="167"/>
  <c r="J166" i="167"/>
  <c r="J196" i="167"/>
  <c r="J30" i="167"/>
  <c r="J72" i="167"/>
  <c r="J165" i="167"/>
  <c r="J169" i="167"/>
  <c r="J35" i="167"/>
  <c r="J177" i="167"/>
  <c r="J140" i="167"/>
  <c r="J207" i="167"/>
  <c r="J199" i="167"/>
  <c r="J205" i="167"/>
  <c r="J69" i="167"/>
  <c r="J186" i="167"/>
  <c r="J91" i="167"/>
  <c r="J206" i="167"/>
  <c r="J123" i="167"/>
  <c r="J134" i="167"/>
  <c r="J116" i="167"/>
  <c r="J31" i="167"/>
  <c r="J44" i="167"/>
  <c r="J62" i="167"/>
  <c r="J152" i="167"/>
  <c r="J90" i="167"/>
  <c r="J92" i="167"/>
  <c r="J38" i="167"/>
  <c r="J41" i="167"/>
  <c r="J48" i="167"/>
  <c r="J105" i="167"/>
  <c r="J96" i="167"/>
  <c r="J79" i="167"/>
  <c r="J88" i="167"/>
  <c r="J157" i="167"/>
  <c r="J94" i="167"/>
  <c r="J42" i="167"/>
  <c r="J119" i="167"/>
  <c r="J115" i="167"/>
  <c r="J179" i="167"/>
  <c r="J50" i="167"/>
  <c r="J211" i="167"/>
  <c r="J61" i="167"/>
  <c r="J74" i="167"/>
  <c r="O213" i="167"/>
  <c r="J202" i="167"/>
  <c r="J40" i="167"/>
  <c r="J58" i="167"/>
  <c r="J188" i="167"/>
  <c r="J57" i="167"/>
  <c r="J145" i="167"/>
  <c r="J98" i="167"/>
  <c r="J36" i="167"/>
  <c r="J81" i="167"/>
  <c r="J151" i="167"/>
  <c r="J43" i="167"/>
  <c r="J87" i="167"/>
  <c r="J198" i="167"/>
  <c r="J184" i="167"/>
  <c r="J138" i="167"/>
  <c r="J78" i="167"/>
  <c r="J55" i="167"/>
  <c r="J131" i="167"/>
  <c r="J103" i="167"/>
  <c r="J101" i="167"/>
  <c r="J70" i="167"/>
  <c r="J52" i="167"/>
  <c r="J185" i="167"/>
  <c r="J47" i="167"/>
  <c r="J32" i="167"/>
  <c r="J176" i="167"/>
  <c r="J193" i="167"/>
  <c r="J160" i="167"/>
  <c r="J150" i="167"/>
  <c r="J173" i="167"/>
  <c r="J164" i="167"/>
  <c r="J111" i="167"/>
  <c r="J156" i="167"/>
  <c r="J154" i="167"/>
  <c r="J93" i="167"/>
  <c r="J114" i="167"/>
  <c r="J155" i="167"/>
  <c r="J76" i="167"/>
  <c r="J136" i="167"/>
  <c r="J83" i="167"/>
  <c r="J95" i="167"/>
  <c r="J120" i="167"/>
  <c r="J39" i="167"/>
  <c r="J66" i="167"/>
  <c r="J195" i="167"/>
  <c r="J141" i="167"/>
  <c r="J46" i="167"/>
  <c r="J162" i="167"/>
  <c r="J135" i="167"/>
  <c r="J146" i="167"/>
  <c r="J64" i="167"/>
  <c r="J200" i="167"/>
  <c r="J163" i="167"/>
  <c r="J172" i="167"/>
  <c r="J132" i="167"/>
  <c r="J89" i="167"/>
  <c r="J77" i="167"/>
  <c r="J45" i="167"/>
  <c r="J170" i="167"/>
  <c r="J34" i="167"/>
  <c r="J113" i="167"/>
  <c r="J147" i="167"/>
  <c r="J197" i="167"/>
  <c r="J124" i="167"/>
  <c r="J201" i="167"/>
  <c r="J191" i="167"/>
  <c r="M17" i="167"/>
  <c r="J110" i="167"/>
  <c r="J75" i="167"/>
  <c r="J71" i="167"/>
  <c r="J106" i="167"/>
  <c r="J192" i="167"/>
  <c r="J97" i="167"/>
  <c r="J104" i="167"/>
  <c r="J182" i="167"/>
  <c r="J53" i="167"/>
  <c r="J175" i="167"/>
  <c r="J137" i="167"/>
  <c r="J187" i="167"/>
  <c r="J128" i="167"/>
  <c r="I213" i="20"/>
  <c r="I213" i="71"/>
  <c r="I220" i="71" s="1"/>
  <c r="O166" i="178"/>
  <c r="J26" i="98"/>
  <c r="J24" i="98"/>
  <c r="J23" i="98"/>
  <c r="J19" i="98"/>
  <c r="M16" i="98"/>
  <c r="J18" i="98"/>
  <c r="J17" i="98"/>
  <c r="J21" i="98"/>
  <c r="J25" i="98"/>
  <c r="J22" i="98"/>
  <c r="J16" i="98"/>
  <c r="O26" i="98"/>
  <c r="J20" i="98"/>
  <c r="O37" i="178"/>
  <c r="O185" i="155"/>
  <c r="F243" i="155"/>
  <c r="O182" i="66"/>
  <c r="J226" i="66"/>
  <c r="O82" i="66"/>
  <c r="O177" i="66"/>
  <c r="M18" i="66"/>
  <c r="J232" i="66"/>
  <c r="J225" i="66"/>
  <c r="O69" i="66"/>
  <c r="O115" i="66"/>
  <c r="O54" i="66"/>
  <c r="O56" i="66"/>
  <c r="O140" i="66"/>
  <c r="O31" i="66"/>
  <c r="O39" i="66"/>
  <c r="O72" i="66"/>
  <c r="O88" i="66"/>
  <c r="O38" i="66"/>
  <c r="J227" i="66"/>
  <c r="O160" i="66"/>
  <c r="O185" i="66"/>
  <c r="O42" i="66"/>
  <c r="I241" i="66"/>
  <c r="I243" i="66" s="1"/>
  <c r="O55" i="66"/>
  <c r="O59" i="66"/>
  <c r="O81" i="66"/>
  <c r="O138" i="66"/>
  <c r="O47" i="66"/>
  <c r="J229" i="66"/>
  <c r="O157" i="66"/>
  <c r="O200" i="66"/>
  <c r="O110" i="66"/>
  <c r="O90" i="66"/>
  <c r="O62" i="66"/>
  <c r="O113" i="66"/>
  <c r="J233" i="66"/>
  <c r="O147" i="66"/>
  <c r="O35" i="66"/>
  <c r="O50" i="66"/>
  <c r="O189" i="66"/>
  <c r="O179" i="66"/>
  <c r="O74" i="66"/>
  <c r="J224" i="66"/>
  <c r="O137" i="66"/>
  <c r="O162" i="66"/>
  <c r="O97" i="66"/>
  <c r="O169" i="66"/>
  <c r="O178" i="66"/>
  <c r="O105" i="66"/>
  <c r="O142" i="66"/>
  <c r="O36" i="66"/>
  <c r="O75" i="66"/>
  <c r="J228" i="66"/>
  <c r="O176" i="66"/>
  <c r="O156" i="66"/>
  <c r="O158" i="66"/>
  <c r="O70" i="66"/>
  <c r="O114" i="66"/>
  <c r="O201" i="66"/>
  <c r="O121" i="66"/>
  <c r="O141" i="66"/>
  <c r="O193" i="66"/>
  <c r="O151" i="66"/>
  <c r="O180" i="66"/>
  <c r="O131" i="66"/>
  <c r="O78" i="66"/>
  <c r="O130" i="66"/>
  <c r="O153" i="66"/>
  <c r="O143" i="66"/>
  <c r="O34" i="66"/>
  <c r="O119" i="66"/>
  <c r="O63" i="66"/>
  <c r="O41" i="66"/>
  <c r="O46" i="66"/>
  <c r="O132" i="66"/>
  <c r="O95" i="66"/>
  <c r="O161" i="66"/>
  <c r="O136" i="66"/>
  <c r="O209" i="66"/>
  <c r="O30" i="66"/>
  <c r="O53" i="66"/>
  <c r="O174" i="66"/>
  <c r="O190" i="66"/>
  <c r="O191" i="66"/>
  <c r="O128" i="66"/>
  <c r="O171" i="66"/>
  <c r="O155" i="66"/>
  <c r="O79" i="66"/>
  <c r="O173" i="66"/>
  <c r="O57" i="66"/>
  <c r="O186" i="66"/>
  <c r="O64" i="66"/>
  <c r="O65" i="66"/>
  <c r="O120" i="66"/>
  <c r="O102" i="66"/>
  <c r="O172" i="66"/>
  <c r="O195" i="66"/>
  <c r="O43" i="66"/>
  <c r="O49" i="66"/>
  <c r="O33" i="66"/>
  <c r="O48" i="66"/>
  <c r="O197" i="66"/>
  <c r="O122" i="66"/>
  <c r="O87" i="66"/>
  <c r="O184" i="66"/>
  <c r="O152" i="66"/>
  <c r="O175" i="66"/>
  <c r="O198" i="66"/>
  <c r="O73" i="66"/>
  <c r="O199" i="66"/>
  <c r="O192" i="66"/>
  <c r="O83" i="66"/>
  <c r="J230" i="66"/>
  <c r="O187" i="66"/>
  <c r="O106" i="66"/>
  <c r="O210" i="66"/>
  <c r="O94" i="66"/>
  <c r="O146" i="66"/>
  <c r="O44" i="66"/>
  <c r="O164" i="66"/>
  <c r="O165" i="66"/>
  <c r="O76" i="66"/>
  <c r="O91" i="66"/>
  <c r="O207" i="66"/>
  <c r="O150" i="66"/>
  <c r="O208" i="66"/>
  <c r="O112" i="66"/>
  <c r="O170" i="66"/>
  <c r="O206" i="66"/>
  <c r="O32" i="66"/>
  <c r="O37" i="66"/>
  <c r="O183" i="66"/>
  <c r="O154" i="66"/>
  <c r="O211" i="66"/>
  <c r="O52" i="66"/>
  <c r="O40" i="66"/>
  <c r="O205" i="66"/>
  <c r="O101" i="66"/>
  <c r="O188" i="66"/>
  <c r="O60" i="66"/>
  <c r="O61" i="66"/>
  <c r="O196" i="66"/>
  <c r="O71" i="66"/>
  <c r="O123" i="66"/>
  <c r="O145" i="66"/>
  <c r="O181" i="66"/>
  <c r="O129" i="66"/>
  <c r="O124" i="66"/>
  <c r="O148" i="66"/>
  <c r="O93" i="66"/>
  <c r="O194" i="66"/>
  <c r="O104" i="66"/>
  <c r="O103" i="66"/>
  <c r="O111" i="66"/>
  <c r="O135" i="66"/>
  <c r="O163" i="66"/>
  <c r="O51" i="66"/>
  <c r="O181" i="178"/>
  <c r="O121" i="178"/>
  <c r="O46" i="178"/>
  <c r="O81" i="178"/>
  <c r="O84" i="49"/>
  <c r="I213" i="94"/>
  <c r="I213" i="62"/>
  <c r="O141" i="178"/>
  <c r="J21" i="66"/>
  <c r="J16" i="66"/>
  <c r="O26" i="66"/>
  <c r="J20" i="66"/>
  <c r="J25" i="66"/>
  <c r="J26" i="66"/>
  <c r="J23" i="66"/>
  <c r="M16" i="66"/>
  <c r="J17" i="66"/>
  <c r="J18" i="66"/>
  <c r="J22" i="66"/>
  <c r="J24" i="66"/>
  <c r="J19" i="66"/>
  <c r="O55" i="49"/>
  <c r="O151" i="49"/>
  <c r="O134" i="49"/>
  <c r="J225" i="49"/>
  <c r="O197" i="49"/>
  <c r="O131" i="49"/>
  <c r="O155" i="49"/>
  <c r="O35" i="49"/>
  <c r="O62" i="49"/>
  <c r="O56" i="49"/>
  <c r="O137" i="49"/>
  <c r="O72" i="49"/>
  <c r="O113" i="49"/>
  <c r="O115" i="49"/>
  <c r="O186" i="49"/>
  <c r="O46" i="49"/>
  <c r="O181" i="49"/>
  <c r="O91" i="49"/>
  <c r="O158" i="49"/>
  <c r="O110" i="49"/>
  <c r="O51" i="49"/>
  <c r="O178" i="49"/>
  <c r="O148" i="49"/>
  <c r="O37" i="49"/>
  <c r="O89" i="49"/>
  <c r="O61" i="49"/>
  <c r="O114" i="49"/>
  <c r="O146" i="49"/>
  <c r="O101" i="49"/>
  <c r="O140" i="49"/>
  <c r="O198" i="49"/>
  <c r="O179" i="49"/>
  <c r="O96" i="49"/>
  <c r="O162" i="49"/>
  <c r="O200" i="49"/>
  <c r="O78" i="49"/>
  <c r="O45" i="49"/>
  <c r="O187" i="49"/>
  <c r="O39" i="49"/>
  <c r="O41" i="49"/>
  <c r="O132" i="49"/>
  <c r="O76" i="49"/>
  <c r="O69" i="49"/>
  <c r="O176" i="49"/>
  <c r="O207" i="49"/>
  <c r="J226" i="49"/>
  <c r="O130" i="49"/>
  <c r="O70" i="49"/>
  <c r="O150" i="49"/>
  <c r="O121" i="49"/>
  <c r="O112" i="49"/>
  <c r="J232" i="49"/>
  <c r="O57" i="49"/>
  <c r="O165" i="49"/>
  <c r="O63" i="49"/>
  <c r="O50" i="49"/>
  <c r="O120" i="49"/>
  <c r="J230" i="49"/>
  <c r="O65" i="49"/>
  <c r="O54" i="49"/>
  <c r="O64" i="49"/>
  <c r="O49" i="49"/>
  <c r="O188" i="49"/>
  <c r="O152" i="49"/>
  <c r="O94" i="49"/>
  <c r="O143" i="49"/>
  <c r="O82" i="49"/>
  <c r="O206" i="49"/>
  <c r="J228" i="49"/>
  <c r="O174" i="49"/>
  <c r="O173" i="49"/>
  <c r="O119" i="49"/>
  <c r="O184" i="49"/>
  <c r="O161" i="49"/>
  <c r="O32" i="49"/>
  <c r="O164" i="49"/>
  <c r="O145" i="49"/>
  <c r="O170" i="49"/>
  <c r="O180" i="49"/>
  <c r="I241" i="49"/>
  <c r="O93" i="49"/>
  <c r="O196" i="49"/>
  <c r="O43" i="49"/>
  <c r="O189" i="49"/>
  <c r="O163" i="49"/>
  <c r="O190" i="49"/>
  <c r="O195" i="49"/>
  <c r="O172" i="49"/>
  <c r="O128" i="49"/>
  <c r="O106" i="49"/>
  <c r="O30" i="49"/>
  <c r="O31" i="49"/>
  <c r="J224" i="49"/>
  <c r="O33" i="49"/>
  <c r="O129" i="49"/>
  <c r="O169" i="49"/>
  <c r="O183" i="49"/>
  <c r="O191" i="49"/>
  <c r="M18" i="49"/>
  <c r="O193" i="49"/>
  <c r="O157" i="49"/>
  <c r="O81" i="49"/>
  <c r="O73" i="49"/>
  <c r="O105" i="49"/>
  <c r="O79" i="49"/>
  <c r="O192" i="49"/>
  <c r="O44" i="49"/>
  <c r="O154" i="49"/>
  <c r="O59" i="49"/>
  <c r="O210" i="49"/>
  <c r="O74" i="49"/>
  <c r="O104" i="49"/>
  <c r="O209" i="49"/>
  <c r="O160" i="49"/>
  <c r="J229" i="49"/>
  <c r="O38" i="49"/>
  <c r="O53" i="49"/>
  <c r="O116" i="49"/>
  <c r="O153" i="49"/>
  <c r="O97" i="49"/>
  <c r="O92" i="49"/>
  <c r="O138" i="49"/>
  <c r="O48" i="49"/>
  <c r="O182" i="49"/>
  <c r="O75" i="49"/>
  <c r="O47" i="49"/>
  <c r="O111" i="49"/>
  <c r="O185" i="49"/>
  <c r="J233" i="49"/>
  <c r="O80" i="49"/>
  <c r="O177" i="49"/>
  <c r="O135" i="49"/>
  <c r="O90" i="49"/>
  <c r="O208" i="49"/>
  <c r="O205" i="49"/>
  <c r="J227" i="49"/>
  <c r="O201" i="49"/>
  <c r="O40" i="49"/>
  <c r="O58" i="49"/>
  <c r="O211" i="49"/>
  <c r="O36" i="49"/>
  <c r="O71" i="49"/>
  <c r="O199" i="49"/>
  <c r="O95" i="49"/>
  <c r="O156" i="49"/>
  <c r="O142" i="49"/>
  <c r="O83" i="49"/>
  <c r="O103" i="49"/>
  <c r="O171" i="49"/>
  <c r="O87" i="49"/>
  <c r="O60" i="49"/>
  <c r="O42" i="49"/>
  <c r="O123" i="49"/>
  <c r="O141" i="49"/>
  <c r="O77" i="49"/>
  <c r="O122" i="49"/>
  <c r="O175" i="49"/>
  <c r="O136" i="49"/>
  <c r="O147" i="49"/>
  <c r="O52" i="49"/>
  <c r="M20" i="43"/>
  <c r="I242" i="43"/>
  <c r="O207" i="178"/>
  <c r="O30" i="178"/>
  <c r="F243" i="54"/>
  <c r="I213" i="145"/>
  <c r="I213" i="60"/>
  <c r="O73" i="178"/>
  <c r="F243" i="66"/>
  <c r="I213" i="174"/>
  <c r="O202" i="178"/>
  <c r="O172" i="155"/>
  <c r="O209" i="178"/>
  <c r="J22" i="71"/>
  <c r="J17" i="71"/>
  <c r="J16" i="71"/>
  <c r="J19" i="71"/>
  <c r="J20" i="71"/>
  <c r="J25" i="71"/>
  <c r="J23" i="71"/>
  <c r="J21" i="71"/>
  <c r="J24" i="71"/>
  <c r="J26" i="71"/>
  <c r="M16" i="71"/>
  <c r="O26" i="71"/>
  <c r="J18" i="71"/>
  <c r="O66" i="49"/>
  <c r="O128" i="178"/>
  <c r="I213" i="66"/>
  <c r="I220" i="66" s="1"/>
  <c r="O58" i="178"/>
  <c r="O57" i="178"/>
  <c r="O202" i="66"/>
  <c r="O90" i="178"/>
  <c r="O173" i="178"/>
  <c r="O147" i="155"/>
  <c r="O106" i="178"/>
  <c r="O59" i="178"/>
  <c r="F243" i="178"/>
  <c r="I213" i="156"/>
  <c r="O95" i="178"/>
  <c r="O166" i="155"/>
  <c r="O26" i="46"/>
  <c r="J21" i="46"/>
  <c r="M16" i="46"/>
  <c r="J25" i="46"/>
  <c r="J24" i="46"/>
  <c r="J23" i="46"/>
  <c r="J22" i="46"/>
  <c r="J20" i="46"/>
  <c r="J16" i="46"/>
  <c r="J17" i="46"/>
  <c r="J18" i="46"/>
  <c r="J26" i="46"/>
  <c r="J19" i="46"/>
  <c r="O66" i="155"/>
  <c r="O26" i="32"/>
  <c r="J22" i="32"/>
  <c r="J20" i="32"/>
  <c r="J19" i="32"/>
  <c r="J17" i="32"/>
  <c r="J25" i="32"/>
  <c r="J26" i="32"/>
  <c r="J21" i="32"/>
  <c r="J16" i="32"/>
  <c r="J18" i="32"/>
  <c r="M16" i="32"/>
  <c r="J24" i="32"/>
  <c r="J23" i="32"/>
  <c r="O151" i="178"/>
  <c r="I213" i="55"/>
  <c r="J22" i="133"/>
  <c r="J26" i="133"/>
  <c r="J21" i="133"/>
  <c r="J19" i="133"/>
  <c r="J18" i="133"/>
  <c r="J17" i="133"/>
  <c r="O26" i="133"/>
  <c r="J24" i="133"/>
  <c r="J25" i="133"/>
  <c r="J16" i="133"/>
  <c r="J23" i="133"/>
  <c r="J20" i="133"/>
  <c r="M16" i="133"/>
  <c r="O42" i="178"/>
  <c r="O124" i="155"/>
  <c r="O84" i="103"/>
  <c r="I213" i="103"/>
  <c r="J18" i="178"/>
  <c r="O26" i="178"/>
  <c r="J17" i="178"/>
  <c r="J25" i="178"/>
  <c r="J21" i="178"/>
  <c r="M16" i="178"/>
  <c r="J20" i="178"/>
  <c r="J16" i="178"/>
  <c r="J24" i="178"/>
  <c r="J19" i="178"/>
  <c r="J23" i="178"/>
  <c r="J22" i="178"/>
  <c r="J26" i="178"/>
  <c r="O66" i="178"/>
  <c r="O41" i="178"/>
  <c r="O182" i="155"/>
  <c r="O78" i="178"/>
  <c r="O50" i="155"/>
  <c r="O70" i="178"/>
  <c r="I241" i="43"/>
  <c r="I213" i="43"/>
  <c r="O54" i="178"/>
  <c r="O160" i="178"/>
  <c r="L20" i="97"/>
  <c r="O138" i="178"/>
  <c r="O53" i="178"/>
  <c r="O116" i="178"/>
  <c r="O163" i="178"/>
  <c r="O202" i="155"/>
  <c r="O124" i="38"/>
  <c r="I213" i="38"/>
  <c r="I220" i="38" s="1"/>
  <c r="O34" i="49"/>
  <c r="J20" i="156"/>
  <c r="J23" i="156"/>
  <c r="J17" i="156"/>
  <c r="J18" i="156"/>
  <c r="O26" i="156"/>
  <c r="J25" i="156"/>
  <c r="J22" i="156"/>
  <c r="M16" i="156"/>
  <c r="J21" i="156"/>
  <c r="J16" i="156"/>
  <c r="J19" i="156"/>
  <c r="J24" i="156"/>
  <c r="J26" i="156"/>
  <c r="I243" i="167"/>
  <c r="O97" i="178"/>
  <c r="I213" i="46"/>
  <c r="I220" i="46" s="1"/>
  <c r="I213" i="85"/>
  <c r="O130" i="178"/>
  <c r="O80" i="66"/>
  <c r="I213" i="25"/>
  <c r="F243" i="113"/>
  <c r="O57" i="113"/>
  <c r="Q177" i="97"/>
  <c r="Q89" i="97"/>
  <c r="O161" i="113"/>
  <c r="O140" i="113"/>
  <c r="O116" i="113"/>
  <c r="O39" i="113"/>
  <c r="O189" i="113"/>
  <c r="O150" i="113"/>
  <c r="J19" i="113"/>
  <c r="J21" i="113"/>
  <c r="J24" i="113"/>
  <c r="J16" i="113"/>
  <c r="J17" i="113"/>
  <c r="J20" i="113"/>
  <c r="M16" i="113"/>
  <c r="J18" i="113"/>
  <c r="J26" i="113"/>
  <c r="J25" i="113"/>
  <c r="J22" i="113"/>
  <c r="J23" i="113"/>
  <c r="O26" i="113"/>
  <c r="O106" i="113"/>
  <c r="O147" i="113"/>
  <c r="L24" i="97"/>
  <c r="O69" i="113"/>
  <c r="Q144" i="97"/>
  <c r="O48" i="113"/>
  <c r="O41" i="113"/>
  <c r="Q142" i="97"/>
  <c r="Q152" i="97"/>
  <c r="O142" i="113"/>
  <c r="Q173" i="97"/>
  <c r="O61" i="113"/>
  <c r="O122" i="113"/>
  <c r="O137" i="113"/>
  <c r="O103" i="113"/>
  <c r="J233" i="113"/>
  <c r="O132" i="113"/>
  <c r="O37" i="113"/>
  <c r="O138" i="113"/>
  <c r="O36" i="113"/>
  <c r="O64" i="113"/>
  <c r="O135" i="113"/>
  <c r="O128" i="113"/>
  <c r="J226" i="113"/>
  <c r="O89" i="113"/>
  <c r="O169" i="113"/>
  <c r="O42" i="113"/>
  <c r="O198" i="113"/>
  <c r="O83" i="113"/>
  <c r="O114" i="113"/>
  <c r="O194" i="113"/>
  <c r="O74" i="113"/>
  <c r="O75" i="113"/>
  <c r="O165" i="113"/>
  <c r="O130" i="113"/>
  <c r="O173" i="113"/>
  <c r="O162" i="113"/>
  <c r="O190" i="113"/>
  <c r="O50" i="113"/>
  <c r="O102" i="113"/>
  <c r="O181" i="113"/>
  <c r="M18" i="113"/>
  <c r="O38" i="113"/>
  <c r="J232" i="113"/>
  <c r="O111" i="113"/>
  <c r="I241" i="113"/>
  <c r="O163" i="113"/>
  <c r="O154" i="113"/>
  <c r="O95" i="113"/>
  <c r="J228" i="113"/>
  <c r="O177" i="113"/>
  <c r="J227" i="113"/>
  <c r="O180" i="113"/>
  <c r="O208" i="113"/>
  <c r="O43" i="113"/>
  <c r="O101" i="113"/>
  <c r="O88" i="113"/>
  <c r="O176" i="113"/>
  <c r="O49" i="113"/>
  <c r="O185" i="113"/>
  <c r="O58" i="113"/>
  <c r="J224" i="113"/>
  <c r="O157" i="113"/>
  <c r="O45" i="113"/>
  <c r="J225" i="113"/>
  <c r="O31" i="113"/>
  <c r="O121" i="113"/>
  <c r="O97" i="113"/>
  <c r="O47" i="113"/>
  <c r="O146" i="113"/>
  <c r="O172" i="113"/>
  <c r="O96" i="113"/>
  <c r="J230" i="113"/>
  <c r="O113" i="113"/>
  <c r="O80" i="113"/>
  <c r="O178" i="113"/>
  <c r="O78" i="113"/>
  <c r="O209" i="113"/>
  <c r="O129" i="113"/>
  <c r="O192" i="113"/>
  <c r="O63" i="113"/>
  <c r="O143" i="113"/>
  <c r="O110" i="113"/>
  <c r="O62" i="113"/>
  <c r="O200" i="113"/>
  <c r="O93" i="113"/>
  <c r="O33" i="113"/>
  <c r="O65" i="113"/>
  <c r="O184" i="113"/>
  <c r="O196" i="113"/>
  <c r="J229" i="113"/>
  <c r="O206" i="113"/>
  <c r="O77" i="113"/>
  <c r="O54" i="113"/>
  <c r="O170" i="113"/>
  <c r="O156" i="113"/>
  <c r="O153" i="113"/>
  <c r="O141" i="113"/>
  <c r="O134" i="113"/>
  <c r="O145" i="113"/>
  <c r="O53" i="113"/>
  <c r="O115" i="113"/>
  <c r="O174" i="113"/>
  <c r="O119" i="113"/>
  <c r="O187" i="113"/>
  <c r="O199" i="113"/>
  <c r="O94" i="113"/>
  <c r="O40" i="113"/>
  <c r="O131" i="113"/>
  <c r="O105" i="113"/>
  <c r="O197" i="113"/>
  <c r="O136" i="113"/>
  <c r="O52" i="113"/>
  <c r="O195" i="113"/>
  <c r="O90" i="113"/>
  <c r="O60" i="113"/>
  <c r="O71" i="113"/>
  <c r="O160" i="113"/>
  <c r="O183" i="113"/>
  <c r="O210" i="113"/>
  <c r="O79" i="113"/>
  <c r="O120" i="113"/>
  <c r="O81" i="113"/>
  <c r="O148" i="113"/>
  <c r="O56" i="113"/>
  <c r="O73" i="113"/>
  <c r="O158" i="113"/>
  <c r="O164" i="113"/>
  <c r="O87" i="113"/>
  <c r="O55" i="113"/>
  <c r="Q34" i="97"/>
  <c r="O82" i="113"/>
  <c r="O51" i="113"/>
  <c r="Q154" i="97"/>
  <c r="O92" i="113"/>
  <c r="Q207" i="97"/>
  <c r="O104" i="113"/>
  <c r="O44" i="113"/>
  <c r="O207" i="113"/>
  <c r="O123" i="113"/>
  <c r="O124" i="113"/>
  <c r="O175" i="113"/>
  <c r="O72" i="113"/>
  <c r="O30" i="113"/>
  <c r="O155" i="113"/>
  <c r="F243" i="97"/>
  <c r="F245" i="97" s="1"/>
  <c r="O112" i="113"/>
  <c r="O201" i="113"/>
  <c r="O70" i="113"/>
  <c r="O205" i="113"/>
  <c r="O35" i="113"/>
  <c r="M20" i="113"/>
  <c r="I242" i="113"/>
  <c r="O34" i="113"/>
  <c r="O179" i="113"/>
  <c r="O46" i="113"/>
  <c r="O66" i="113"/>
  <c r="Q153" i="97"/>
  <c r="G222" i="97" l="1"/>
  <c r="L71" i="97"/>
  <c r="P69" i="194" s="1"/>
  <c r="S32" i="97"/>
  <c r="P22" i="194"/>
  <c r="P22" i="195"/>
  <c r="P18" i="194"/>
  <c r="P18" i="195"/>
  <c r="P17" i="193"/>
  <c r="P17" i="194"/>
  <c r="P19" i="193"/>
  <c r="P19" i="194"/>
  <c r="P16" i="193"/>
  <c r="P16" i="194"/>
  <c r="P24" i="193"/>
  <c r="P24" i="194"/>
  <c r="P20" i="193"/>
  <c r="P20" i="194"/>
  <c r="P23" i="193"/>
  <c r="P23" i="194"/>
  <c r="P21" i="193"/>
  <c r="P21" i="194"/>
  <c r="P18" i="192"/>
  <c r="P18" i="193"/>
  <c r="P22" i="192"/>
  <c r="P22" i="193"/>
  <c r="P19" i="191"/>
  <c r="P19" i="192"/>
  <c r="P24" i="191"/>
  <c r="P24" i="192"/>
  <c r="P20" i="191"/>
  <c r="P20" i="192"/>
  <c r="P17" i="191"/>
  <c r="P17" i="192"/>
  <c r="P16" i="191"/>
  <c r="P16" i="192"/>
  <c r="P23" i="191"/>
  <c r="P23" i="192"/>
  <c r="P21" i="191"/>
  <c r="P21" i="192"/>
  <c r="P18" i="190"/>
  <c r="P18" i="191"/>
  <c r="P22" i="190"/>
  <c r="P22" i="191"/>
  <c r="P17" i="189"/>
  <c r="P17" i="190"/>
  <c r="P19" i="189"/>
  <c r="P19" i="190"/>
  <c r="P16" i="189"/>
  <c r="P16" i="190"/>
  <c r="P20" i="189"/>
  <c r="P20" i="190"/>
  <c r="P23" i="189"/>
  <c r="P23" i="190"/>
  <c r="P21" i="189"/>
  <c r="P21" i="190"/>
  <c r="P24" i="189"/>
  <c r="P24" i="190"/>
  <c r="P18" i="188"/>
  <c r="P18" i="189"/>
  <c r="P22" i="188"/>
  <c r="P22" i="189"/>
  <c r="P24" i="186"/>
  <c r="P24" i="188"/>
  <c r="P17" i="186"/>
  <c r="P17" i="188"/>
  <c r="P19" i="186"/>
  <c r="P19" i="188"/>
  <c r="P16" i="186"/>
  <c r="P16" i="188"/>
  <c r="P20" i="186"/>
  <c r="P20" i="188"/>
  <c r="P23" i="186"/>
  <c r="P23" i="188"/>
  <c r="P21" i="186"/>
  <c r="P21" i="188"/>
  <c r="P18" i="185"/>
  <c r="P18" i="186"/>
  <c r="P22" i="185"/>
  <c r="P22" i="186"/>
  <c r="P17" i="184"/>
  <c r="P17" i="185"/>
  <c r="P19" i="184"/>
  <c r="P19" i="185"/>
  <c r="P16" i="184"/>
  <c r="P16" i="185"/>
  <c r="P24" i="184"/>
  <c r="P24" i="185"/>
  <c r="P20" i="184"/>
  <c r="P20" i="185"/>
  <c r="P23" i="184"/>
  <c r="P23" i="185"/>
  <c r="P21" i="184"/>
  <c r="P21" i="185"/>
  <c r="L181" i="97"/>
  <c r="P179" i="65" s="1"/>
  <c r="L186" i="97"/>
  <c r="L183" i="97"/>
  <c r="L182" i="97"/>
  <c r="L52" i="97"/>
  <c r="P18" i="183"/>
  <c r="P18" i="184"/>
  <c r="P22" i="183"/>
  <c r="P22" i="184"/>
  <c r="P17" i="181"/>
  <c r="P17" i="183"/>
  <c r="P19" i="181"/>
  <c r="P19" i="183"/>
  <c r="P23" i="181"/>
  <c r="P23" i="183"/>
  <c r="P21" i="181"/>
  <c r="P21" i="183"/>
  <c r="P24" i="181"/>
  <c r="P24" i="183"/>
  <c r="P16" i="181"/>
  <c r="P16" i="183"/>
  <c r="P20" i="181"/>
  <c r="P20" i="183"/>
  <c r="L51" i="97"/>
  <c r="L55" i="97"/>
  <c r="L57" i="97"/>
  <c r="L50" i="97"/>
  <c r="J16" i="97"/>
  <c r="J15" i="97"/>
  <c r="J17" i="97"/>
  <c r="J14" i="97"/>
  <c r="L171" i="97"/>
  <c r="L200" i="97"/>
  <c r="I213" i="155"/>
  <c r="J200" i="155" s="1"/>
  <c r="J33" i="47"/>
  <c r="J41" i="47"/>
  <c r="J49" i="47"/>
  <c r="J57" i="47"/>
  <c r="J65" i="47"/>
  <c r="J75" i="47"/>
  <c r="J83" i="47"/>
  <c r="J93" i="47"/>
  <c r="J103" i="47"/>
  <c r="J113" i="47"/>
  <c r="J123" i="47"/>
  <c r="J135" i="47"/>
  <c r="J145" i="47"/>
  <c r="J154" i="47"/>
  <c r="J163" i="47"/>
  <c r="J173" i="47"/>
  <c r="J181" i="47"/>
  <c r="J189" i="47"/>
  <c r="J197" i="47"/>
  <c r="J207" i="47"/>
  <c r="J52" i="47"/>
  <c r="J70" i="47"/>
  <c r="J106" i="47"/>
  <c r="J116" i="47"/>
  <c r="J129" i="47"/>
  <c r="J157" i="47"/>
  <c r="J192" i="47"/>
  <c r="J45" i="47"/>
  <c r="J71" i="47"/>
  <c r="J79" i="47"/>
  <c r="J107" i="47"/>
  <c r="J158" i="47"/>
  <c r="J177" i="47"/>
  <c r="J201" i="47"/>
  <c r="J38" i="47"/>
  <c r="J46" i="47"/>
  <c r="J54" i="47"/>
  <c r="J80" i="47"/>
  <c r="J98" i="47"/>
  <c r="J131" i="47"/>
  <c r="J151" i="47"/>
  <c r="J170" i="47"/>
  <c r="J186" i="47"/>
  <c r="J202" i="47"/>
  <c r="J55" i="47"/>
  <c r="J73" i="47"/>
  <c r="J81" i="47"/>
  <c r="J152" i="47"/>
  <c r="J195" i="47"/>
  <c r="J56" i="47"/>
  <c r="J134" i="47"/>
  <c r="J188" i="47"/>
  <c r="J34" i="47"/>
  <c r="J42" i="47"/>
  <c r="J50" i="47"/>
  <c r="J58" i="47"/>
  <c r="J66" i="47"/>
  <c r="J76" i="47"/>
  <c r="J84" i="47"/>
  <c r="J94" i="47"/>
  <c r="J104" i="47"/>
  <c r="J114" i="47"/>
  <c r="J124" i="47"/>
  <c r="J136" i="47"/>
  <c r="J146" i="47"/>
  <c r="J155" i="47"/>
  <c r="J164" i="47"/>
  <c r="J174" i="47"/>
  <c r="J182" i="47"/>
  <c r="J190" i="47"/>
  <c r="J198" i="47"/>
  <c r="J208" i="47"/>
  <c r="J44" i="47"/>
  <c r="J78" i="47"/>
  <c r="J138" i="47"/>
  <c r="J166" i="47"/>
  <c r="J184" i="47"/>
  <c r="J53" i="47"/>
  <c r="J97" i="47"/>
  <c r="J119" i="47"/>
  <c r="J140" i="47"/>
  <c r="J150" i="47"/>
  <c r="J169" i="47"/>
  <c r="J211" i="47"/>
  <c r="J30" i="47"/>
  <c r="J72" i="47"/>
  <c r="J110" i="47"/>
  <c r="J141" i="47"/>
  <c r="J160" i="47"/>
  <c r="J178" i="47"/>
  <c r="J194" i="47"/>
  <c r="J31" i="47"/>
  <c r="J39" i="47"/>
  <c r="J63" i="47"/>
  <c r="J101" i="47"/>
  <c r="J121" i="47"/>
  <c r="J142" i="47"/>
  <c r="J187" i="47"/>
  <c r="J32" i="47"/>
  <c r="J74" i="47"/>
  <c r="J92" i="47"/>
  <c r="J102" i="47"/>
  <c r="J112" i="47"/>
  <c r="J122" i="47"/>
  <c r="J143" i="47"/>
  <c r="J153" i="47"/>
  <c r="J162" i="47"/>
  <c r="J180" i="47"/>
  <c r="J196" i="47"/>
  <c r="J35" i="47"/>
  <c r="J43" i="47"/>
  <c r="J51" i="47"/>
  <c r="J59" i="47"/>
  <c r="J69" i="47"/>
  <c r="J77" i="47"/>
  <c r="J87" i="47"/>
  <c r="J95" i="47"/>
  <c r="J105" i="47"/>
  <c r="J115" i="47"/>
  <c r="J128" i="47"/>
  <c r="J137" i="47"/>
  <c r="J147" i="47"/>
  <c r="J156" i="47"/>
  <c r="J165" i="47"/>
  <c r="J175" i="47"/>
  <c r="J183" i="47"/>
  <c r="J191" i="47"/>
  <c r="J199" i="47"/>
  <c r="J209" i="47"/>
  <c r="J36" i="47"/>
  <c r="J60" i="47"/>
  <c r="J88" i="47"/>
  <c r="J96" i="47"/>
  <c r="J148" i="47"/>
  <c r="J176" i="47"/>
  <c r="J200" i="47"/>
  <c r="J210" i="47"/>
  <c r="J37" i="47"/>
  <c r="J61" i="47"/>
  <c r="J89" i="47"/>
  <c r="J130" i="47"/>
  <c r="J185" i="47"/>
  <c r="J193" i="47"/>
  <c r="J62" i="47"/>
  <c r="J90" i="47"/>
  <c r="J120" i="47"/>
  <c r="J213" i="47"/>
  <c r="J47" i="47"/>
  <c r="J91" i="47"/>
  <c r="J111" i="47"/>
  <c r="J132" i="47"/>
  <c r="J161" i="47"/>
  <c r="J171" i="47"/>
  <c r="J179" i="47"/>
  <c r="J205" i="47"/>
  <c r="J40" i="47"/>
  <c r="J48" i="47"/>
  <c r="J64" i="47"/>
  <c r="J82" i="47"/>
  <c r="J172" i="47"/>
  <c r="J206" i="47"/>
  <c r="O211" i="155"/>
  <c r="H220" i="155"/>
  <c r="P22" i="180"/>
  <c r="P22" i="181"/>
  <c r="P18" i="180"/>
  <c r="P18" i="181"/>
  <c r="F222" i="97"/>
  <c r="J103" i="54"/>
  <c r="J82" i="54"/>
  <c r="J193" i="87"/>
  <c r="J104" i="54"/>
  <c r="J87" i="54"/>
  <c r="I243" i="58"/>
  <c r="J151" i="54"/>
  <c r="J136" i="54"/>
  <c r="J206" i="54"/>
  <c r="J174" i="54"/>
  <c r="J147" i="54"/>
  <c r="J37" i="54"/>
  <c r="J153" i="54"/>
  <c r="J51" i="54"/>
  <c r="J110" i="54"/>
  <c r="J123" i="54"/>
  <c r="J124" i="87"/>
  <c r="I243" i="94"/>
  <c r="J196" i="54"/>
  <c r="J41" i="54"/>
  <c r="P17" i="175"/>
  <c r="P17" i="180"/>
  <c r="P21" i="156"/>
  <c r="P21" i="180"/>
  <c r="P19" i="141"/>
  <c r="P19" i="180"/>
  <c r="P20" i="141"/>
  <c r="P20" i="180"/>
  <c r="P23" i="155"/>
  <c r="P23" i="180"/>
  <c r="P16" i="83"/>
  <c r="P16" i="180"/>
  <c r="P24" i="155"/>
  <c r="P24" i="180"/>
  <c r="I243" i="39"/>
  <c r="J142" i="16"/>
  <c r="I243" i="32"/>
  <c r="J123" i="87"/>
  <c r="J171" i="16"/>
  <c r="J58" i="16"/>
  <c r="I243" i="157"/>
  <c r="L211" i="97"/>
  <c r="L172" i="97"/>
  <c r="J152" i="16"/>
  <c r="J74" i="27"/>
  <c r="J132" i="86"/>
  <c r="J61" i="16"/>
  <c r="J130" i="158"/>
  <c r="J103" i="113"/>
  <c r="J147" i="16"/>
  <c r="J106" i="158"/>
  <c r="I243" i="158"/>
  <c r="I243" i="14"/>
  <c r="J84" i="86"/>
  <c r="I243" i="103"/>
  <c r="J34" i="27"/>
  <c r="J41" i="27"/>
  <c r="J180" i="27"/>
  <c r="J150" i="27"/>
  <c r="J60" i="27"/>
  <c r="J78" i="65"/>
  <c r="J213" i="27"/>
  <c r="J36" i="27"/>
  <c r="J72" i="27"/>
  <c r="J110" i="27"/>
  <c r="J172" i="27"/>
  <c r="J196" i="120"/>
  <c r="J173" i="86"/>
  <c r="J196" i="113"/>
  <c r="J115" i="113"/>
  <c r="J119" i="158"/>
  <c r="I243" i="50"/>
  <c r="J186" i="86"/>
  <c r="J114" i="50"/>
  <c r="J190" i="86"/>
  <c r="I243" i="145"/>
  <c r="J103" i="79"/>
  <c r="J150" i="158"/>
  <c r="J180" i="158"/>
  <c r="J116" i="86"/>
  <c r="J94" i="113"/>
  <c r="J113" i="113"/>
  <c r="J174" i="158"/>
  <c r="J121" i="113"/>
  <c r="J151" i="113"/>
  <c r="J62" i="113"/>
  <c r="J170" i="113"/>
  <c r="J157" i="113"/>
  <c r="J57" i="113"/>
  <c r="J192" i="113"/>
  <c r="J63" i="113"/>
  <c r="J155" i="113"/>
  <c r="J80" i="113"/>
  <c r="J136" i="113"/>
  <c r="J143" i="113"/>
  <c r="J46" i="113"/>
  <c r="J171" i="113"/>
  <c r="J41" i="113"/>
  <c r="J101" i="113"/>
  <c r="J153" i="113"/>
  <c r="J49" i="113"/>
  <c r="J175" i="113"/>
  <c r="J47" i="113"/>
  <c r="J75" i="113"/>
  <c r="J43" i="113"/>
  <c r="J83" i="113"/>
  <c r="J45" i="113"/>
  <c r="J206" i="113"/>
  <c r="J122" i="113"/>
  <c r="O213" i="113"/>
  <c r="J92" i="113"/>
  <c r="J104" i="113"/>
  <c r="J211" i="113"/>
  <c r="J201" i="113"/>
  <c r="J106" i="113"/>
  <c r="J164" i="113"/>
  <c r="J141" i="113"/>
  <c r="J93" i="113"/>
  <c r="J197" i="113"/>
  <c r="J191" i="113"/>
  <c r="J35" i="79"/>
  <c r="J135" i="27"/>
  <c r="J75" i="27"/>
  <c r="J146" i="27"/>
  <c r="J79" i="27"/>
  <c r="J46" i="27"/>
  <c r="J165" i="27"/>
  <c r="J54" i="27"/>
  <c r="J77" i="27"/>
  <c r="J101" i="27"/>
  <c r="J31" i="27"/>
  <c r="J132" i="120"/>
  <c r="J91" i="50"/>
  <c r="J80" i="27"/>
  <c r="J32" i="27"/>
  <c r="J173" i="27"/>
  <c r="J35" i="27"/>
  <c r="J208" i="27"/>
  <c r="J176" i="27"/>
  <c r="J45" i="27"/>
  <c r="J55" i="27"/>
  <c r="J87" i="27"/>
  <c r="J66" i="27"/>
  <c r="J183" i="120"/>
  <c r="J182" i="27"/>
  <c r="J158" i="27"/>
  <c r="J121" i="27"/>
  <c r="J202" i="27"/>
  <c r="J37" i="27"/>
  <c r="J96" i="27"/>
  <c r="J207" i="27"/>
  <c r="J113" i="27"/>
  <c r="J187" i="27"/>
  <c r="J98" i="27"/>
  <c r="J56" i="50"/>
  <c r="J50" i="79"/>
  <c r="J210" i="79"/>
  <c r="I243" i="42"/>
  <c r="J138" i="50"/>
  <c r="J72" i="50"/>
  <c r="J162" i="50"/>
  <c r="J194" i="50"/>
  <c r="J57" i="79"/>
  <c r="J129" i="79"/>
  <c r="M17" i="50"/>
  <c r="J70" i="50"/>
  <c r="J179" i="50"/>
  <c r="J96" i="50"/>
  <c r="J161" i="79"/>
  <c r="J97" i="79"/>
  <c r="M17" i="47"/>
  <c r="J164" i="50"/>
  <c r="J119" i="50"/>
  <c r="J193" i="50"/>
  <c r="J54" i="50"/>
  <c r="J35" i="65"/>
  <c r="J80" i="104"/>
  <c r="I243" i="28"/>
  <c r="J59" i="16"/>
  <c r="J200" i="16"/>
  <c r="J40" i="54"/>
  <c r="J92" i="54"/>
  <c r="J208" i="54"/>
  <c r="J165" i="54"/>
  <c r="J64" i="54"/>
  <c r="J186" i="54"/>
  <c r="J96" i="87"/>
  <c r="J121" i="16"/>
  <c r="J189" i="16"/>
  <c r="J111" i="54"/>
  <c r="J200" i="54"/>
  <c r="J81" i="54"/>
  <c r="J98" i="54"/>
  <c r="J65" i="54"/>
  <c r="J198" i="64"/>
  <c r="J179" i="16"/>
  <c r="J174" i="16"/>
  <c r="J73" i="54"/>
  <c r="J143" i="54"/>
  <c r="J30" i="54"/>
  <c r="J55" i="54"/>
  <c r="J122" i="54"/>
  <c r="I243" i="24"/>
  <c r="I243" i="64"/>
  <c r="J199" i="64"/>
  <c r="J129" i="16"/>
  <c r="J106" i="54"/>
  <c r="J59" i="54"/>
  <c r="J69" i="54"/>
  <c r="J163" i="54"/>
  <c r="J74" i="54"/>
  <c r="J146" i="1"/>
  <c r="J39" i="87"/>
  <c r="J181" i="16"/>
  <c r="J98" i="16"/>
  <c r="J138" i="54"/>
  <c r="J115" i="54"/>
  <c r="J183" i="54"/>
  <c r="J199" i="54"/>
  <c r="J70" i="54"/>
  <c r="J120" i="90"/>
  <c r="J205" i="142"/>
  <c r="J135" i="87"/>
  <c r="J78" i="72"/>
  <c r="J129" i="113"/>
  <c r="J162" i="113"/>
  <c r="J184" i="113"/>
  <c r="J181" i="113"/>
  <c r="J132" i="113"/>
  <c r="J156" i="113"/>
  <c r="J58" i="113"/>
  <c r="J69" i="113"/>
  <c r="J160" i="113"/>
  <c r="J59" i="113"/>
  <c r="I220" i="113"/>
  <c r="J110" i="113"/>
  <c r="J32" i="113"/>
  <c r="J134" i="113"/>
  <c r="J96" i="113"/>
  <c r="J70" i="113"/>
  <c r="J187" i="113"/>
  <c r="J146" i="113"/>
  <c r="J88" i="113"/>
  <c r="J95" i="113"/>
  <c r="J173" i="113"/>
  <c r="J188" i="113"/>
  <c r="J135" i="95"/>
  <c r="J96" i="16"/>
  <c r="J192" i="16"/>
  <c r="J106" i="16"/>
  <c r="J35" i="16"/>
  <c r="J207" i="16"/>
  <c r="J213" i="16"/>
  <c r="J205" i="16"/>
  <c r="J197" i="16"/>
  <c r="J113" i="16"/>
  <c r="J105" i="113"/>
  <c r="J186" i="113"/>
  <c r="J169" i="113"/>
  <c r="J137" i="113"/>
  <c r="J54" i="113"/>
  <c r="J40" i="113"/>
  <c r="J102" i="113"/>
  <c r="J185" i="113"/>
  <c r="J202" i="113"/>
  <c r="J123" i="113"/>
  <c r="J194" i="113"/>
  <c r="J174" i="113"/>
  <c r="J51" i="113"/>
  <c r="J183" i="113"/>
  <c r="J97" i="113"/>
  <c r="J37" i="113"/>
  <c r="J53" i="113"/>
  <c r="J190" i="113"/>
  <c r="J84" i="113"/>
  <c r="J90" i="113"/>
  <c r="J161" i="113"/>
  <c r="J142" i="113"/>
  <c r="J56" i="113"/>
  <c r="J72" i="113"/>
  <c r="J182" i="113"/>
  <c r="J44" i="113"/>
  <c r="J128" i="113"/>
  <c r="J147" i="113"/>
  <c r="J39" i="113"/>
  <c r="J213" i="113"/>
  <c r="J60" i="113"/>
  <c r="J30" i="113"/>
  <c r="J124" i="113"/>
  <c r="J35" i="113"/>
  <c r="J119" i="113"/>
  <c r="J89" i="113"/>
  <c r="J71" i="113"/>
  <c r="J111" i="113"/>
  <c r="J165" i="113"/>
  <c r="J163" i="113"/>
  <c r="J193" i="113"/>
  <c r="J196" i="16"/>
  <c r="J193" i="16"/>
  <c r="J90" i="16"/>
  <c r="J50" i="16"/>
  <c r="J137" i="16"/>
  <c r="J163" i="16"/>
  <c r="J79" i="16"/>
  <c r="J160" i="16"/>
  <c r="J208" i="16"/>
  <c r="J190" i="16"/>
  <c r="J87" i="16"/>
  <c r="J202" i="16"/>
  <c r="J93" i="16"/>
  <c r="J187" i="16"/>
  <c r="J134" i="16"/>
  <c r="J211" i="16"/>
  <c r="J147" i="31"/>
  <c r="J49" i="54"/>
  <c r="J179" i="54"/>
  <c r="J102" i="54"/>
  <c r="J60" i="54"/>
  <c r="J184" i="54"/>
  <c r="J91" i="54"/>
  <c r="J162" i="54"/>
  <c r="J181" i="54"/>
  <c r="J77" i="54"/>
  <c r="J114" i="54"/>
  <c r="J94" i="54"/>
  <c r="J88" i="54"/>
  <c r="J192" i="54"/>
  <c r="J130" i="54"/>
  <c r="J97" i="54"/>
  <c r="J31" i="54"/>
  <c r="J194" i="54"/>
  <c r="J146" i="54"/>
  <c r="J140" i="54"/>
  <c r="J47" i="54"/>
  <c r="J148" i="54"/>
  <c r="J39" i="54"/>
  <c r="J71" i="54"/>
  <c r="J145" i="54"/>
  <c r="J58" i="54"/>
  <c r="J157" i="54"/>
  <c r="J193" i="54"/>
  <c r="J121" i="54"/>
  <c r="J195" i="54"/>
  <c r="J89" i="54"/>
  <c r="J57" i="54"/>
  <c r="J201" i="54"/>
  <c r="J156" i="54"/>
  <c r="J182" i="54"/>
  <c r="J83" i="54"/>
  <c r="J189" i="54"/>
  <c r="J53" i="54"/>
  <c r="J198" i="54"/>
  <c r="J178" i="54"/>
  <c r="J78" i="54"/>
  <c r="J190" i="54"/>
  <c r="J69" i="15"/>
  <c r="I243" i="25"/>
  <c r="J129" i="142"/>
  <c r="J208" i="87"/>
  <c r="J166" i="87"/>
  <c r="J74" i="87"/>
  <c r="J98" i="87"/>
  <c r="J199" i="87"/>
  <c r="J186" i="87"/>
  <c r="J140" i="87"/>
  <c r="J76" i="113"/>
  <c r="J61" i="113"/>
  <c r="J199" i="113"/>
  <c r="J98" i="113"/>
  <c r="J74" i="113"/>
  <c r="J150" i="113"/>
  <c r="J210" i="113"/>
  <c r="J48" i="113"/>
  <c r="J207" i="113"/>
  <c r="J120" i="113"/>
  <c r="J148" i="113"/>
  <c r="J198" i="113"/>
  <c r="J66" i="113"/>
  <c r="J180" i="113"/>
  <c r="J140" i="113"/>
  <c r="J78" i="113"/>
  <c r="J176" i="113"/>
  <c r="J177" i="113"/>
  <c r="J179" i="113"/>
  <c r="J195" i="113"/>
  <c r="J114" i="113"/>
  <c r="J158" i="113"/>
  <c r="J36" i="113"/>
  <c r="J145" i="113"/>
  <c r="J200" i="113"/>
  <c r="J42" i="113"/>
  <c r="J152" i="113"/>
  <c r="J50" i="113"/>
  <c r="J31" i="113"/>
  <c r="J154" i="113"/>
  <c r="J52" i="113"/>
  <c r="J130" i="113"/>
  <c r="J209" i="113"/>
  <c r="J208" i="113"/>
  <c r="J131" i="113"/>
  <c r="J112" i="113"/>
  <c r="J107" i="113"/>
  <c r="J79" i="113"/>
  <c r="J166" i="113"/>
  <c r="J116" i="113"/>
  <c r="J64" i="113"/>
  <c r="J182" i="95"/>
  <c r="J141" i="16"/>
  <c r="J40" i="16"/>
  <c r="O213" i="16"/>
  <c r="J63" i="16"/>
  <c r="J170" i="16"/>
  <c r="J155" i="16"/>
  <c r="J104" i="16"/>
  <c r="J209" i="16"/>
  <c r="J65" i="16"/>
  <c r="J164" i="16"/>
  <c r="J89" i="16"/>
  <c r="J97" i="16"/>
  <c r="J180" i="16"/>
  <c r="J176" i="16"/>
  <c r="J47" i="16"/>
  <c r="J131" i="54"/>
  <c r="J36" i="54"/>
  <c r="J80" i="54"/>
  <c r="J56" i="54"/>
  <c r="J112" i="54"/>
  <c r="J62" i="54"/>
  <c r="J90" i="54"/>
  <c r="J160" i="54"/>
  <c r="J187" i="54"/>
  <c r="J63" i="54"/>
  <c r="J46" i="54"/>
  <c r="J166" i="54"/>
  <c r="J128" i="54"/>
  <c r="J35" i="54"/>
  <c r="J207" i="54"/>
  <c r="J171" i="54"/>
  <c r="J44" i="54"/>
  <c r="J61" i="54"/>
  <c r="J34" i="54"/>
  <c r="J161" i="54"/>
  <c r="J75" i="54"/>
  <c r="J105" i="54"/>
  <c r="J72" i="54"/>
  <c r="J124" i="54"/>
  <c r="J33" i="54"/>
  <c r="J169" i="54"/>
  <c r="J152" i="54"/>
  <c r="J202" i="54"/>
  <c r="J76" i="54"/>
  <c r="J197" i="54"/>
  <c r="J120" i="54"/>
  <c r="J213" i="54"/>
  <c r="J84" i="54"/>
  <c r="J116" i="54"/>
  <c r="J180" i="54"/>
  <c r="J45" i="54"/>
  <c r="J142" i="54"/>
  <c r="J137" i="54"/>
  <c r="J119" i="54"/>
  <c r="J141" i="54"/>
  <c r="J107" i="54"/>
  <c r="J58" i="87"/>
  <c r="J200" i="87"/>
  <c r="J162" i="87"/>
  <c r="J92" i="87"/>
  <c r="J120" i="87"/>
  <c r="J50" i="87"/>
  <c r="J38" i="113"/>
  <c r="J91" i="113"/>
  <c r="J33" i="113"/>
  <c r="J135" i="113"/>
  <c r="J189" i="113"/>
  <c r="J87" i="113"/>
  <c r="J55" i="113"/>
  <c r="J34" i="113"/>
  <c r="J178" i="113"/>
  <c r="J77" i="113"/>
  <c r="J138" i="113"/>
  <c r="J172" i="113"/>
  <c r="J65" i="113"/>
  <c r="M17" i="113"/>
  <c r="J81" i="113"/>
  <c r="J82" i="113"/>
  <c r="J73" i="113"/>
  <c r="J205" i="113"/>
  <c r="J73" i="16"/>
  <c r="J195" i="16"/>
  <c r="J41" i="16"/>
  <c r="J77" i="16"/>
  <c r="J156" i="16"/>
  <c r="J52" i="16"/>
  <c r="J164" i="54"/>
  <c r="J95" i="54"/>
  <c r="J134" i="54"/>
  <c r="J48" i="54"/>
  <c r="J177" i="54"/>
  <c r="J170" i="54"/>
  <c r="J158" i="54"/>
  <c r="J210" i="54"/>
  <c r="J52" i="54"/>
  <c r="J176" i="54"/>
  <c r="J96" i="54"/>
  <c r="J79" i="54"/>
  <c r="J93" i="54"/>
  <c r="I220" i="54"/>
  <c r="J150" i="54"/>
  <c r="O213" i="54"/>
  <c r="J32" i="54"/>
  <c r="J185" i="54"/>
  <c r="J43" i="54"/>
  <c r="J38" i="54"/>
  <c r="J154" i="54"/>
  <c r="J155" i="54"/>
  <c r="J132" i="54"/>
  <c r="J54" i="54"/>
  <c r="J129" i="54"/>
  <c r="J211" i="54"/>
  <c r="J173" i="54"/>
  <c r="J175" i="54"/>
  <c r="J66" i="54"/>
  <c r="J135" i="54"/>
  <c r="J191" i="54"/>
  <c r="J42" i="54"/>
  <c r="J113" i="54"/>
  <c r="M17" i="54"/>
  <c r="J209" i="54"/>
  <c r="J172" i="54"/>
  <c r="J101" i="54"/>
  <c r="J50" i="54"/>
  <c r="J205" i="54"/>
  <c r="J33" i="87"/>
  <c r="J143" i="87"/>
  <c r="J81" i="87"/>
  <c r="J75" i="87"/>
  <c r="J54" i="87"/>
  <c r="J209" i="87"/>
  <c r="J152" i="87"/>
  <c r="J73" i="95"/>
  <c r="O213" i="79"/>
  <c r="J123" i="79"/>
  <c r="J148" i="79"/>
  <c r="J69" i="79"/>
  <c r="J56" i="72"/>
  <c r="J160" i="90"/>
  <c r="J65" i="87"/>
  <c r="J205" i="87"/>
  <c r="J141" i="87"/>
  <c r="J91" i="87"/>
  <c r="J195" i="87"/>
  <c r="J134" i="87"/>
  <c r="J104" i="87"/>
  <c r="J165" i="87"/>
  <c r="J163" i="87"/>
  <c r="J93" i="87"/>
  <c r="J80" i="87"/>
  <c r="J190" i="87"/>
  <c r="J169" i="87"/>
  <c r="J180" i="87"/>
  <c r="J71" i="50"/>
  <c r="J195" i="50"/>
  <c r="J30" i="50"/>
  <c r="J157" i="50"/>
  <c r="J78" i="50"/>
  <c r="J165" i="50"/>
  <c r="J44" i="50"/>
  <c r="J84" i="50"/>
  <c r="J213" i="79"/>
  <c r="J194" i="87"/>
  <c r="J51" i="87"/>
  <c r="J45" i="87"/>
  <c r="J112" i="50"/>
  <c r="J153" i="79"/>
  <c r="J37" i="79"/>
  <c r="J107" i="79"/>
  <c r="J205" i="79"/>
  <c r="J115" i="157"/>
  <c r="I243" i="65"/>
  <c r="J142" i="87"/>
  <c r="J136" i="87"/>
  <c r="J76" i="87"/>
  <c r="J176" i="87"/>
  <c r="J158" i="87"/>
  <c r="J181" i="87"/>
  <c r="J161" i="87"/>
  <c r="J182" i="87"/>
  <c r="J83" i="87"/>
  <c r="J84" i="87"/>
  <c r="J59" i="87"/>
  <c r="J192" i="87"/>
  <c r="J189" i="50"/>
  <c r="J34" i="50"/>
  <c r="J178" i="50"/>
  <c r="J155" i="50"/>
  <c r="J59" i="50"/>
  <c r="J209" i="50"/>
  <c r="J77" i="50"/>
  <c r="J114" i="79"/>
  <c r="J153" i="87"/>
  <c r="J90" i="87"/>
  <c r="J191" i="87"/>
  <c r="J69" i="87"/>
  <c r="J94" i="50"/>
  <c r="J64" i="50"/>
  <c r="J207" i="50"/>
  <c r="J182" i="50"/>
  <c r="J65" i="79"/>
  <c r="J34" i="79"/>
  <c r="J177" i="79"/>
  <c r="J152" i="79"/>
  <c r="J51" i="157"/>
  <c r="J78" i="87"/>
  <c r="J147" i="87"/>
  <c r="J72" i="87"/>
  <c r="J37" i="87"/>
  <c r="J60" i="87"/>
  <c r="J44" i="87"/>
  <c r="J185" i="87"/>
  <c r="J145" i="87"/>
  <c r="M17" i="87"/>
  <c r="J73" i="87"/>
  <c r="J102" i="87"/>
  <c r="O213" i="87"/>
  <c r="J56" i="87"/>
  <c r="J41" i="50"/>
  <c r="J205" i="50"/>
  <c r="J40" i="50"/>
  <c r="J46" i="50"/>
  <c r="J210" i="50"/>
  <c r="J58" i="50"/>
  <c r="J185" i="50"/>
  <c r="J88" i="50"/>
  <c r="J36" i="87"/>
  <c r="J107" i="87"/>
  <c r="J157" i="87"/>
  <c r="J172" i="87"/>
  <c r="J187" i="87"/>
  <c r="J61" i="87"/>
  <c r="J77" i="87"/>
  <c r="J120" i="79"/>
  <c r="J91" i="79"/>
  <c r="J208" i="79"/>
  <c r="J146" i="79"/>
  <c r="J185" i="157"/>
  <c r="I243" i="98"/>
  <c r="J48" i="141"/>
  <c r="I243" i="133"/>
  <c r="J178" i="87"/>
  <c r="J89" i="87"/>
  <c r="J110" i="87"/>
  <c r="J53" i="87"/>
  <c r="J174" i="87"/>
  <c r="J210" i="87"/>
  <c r="J177" i="87"/>
  <c r="J150" i="87"/>
  <c r="J35" i="87"/>
  <c r="J156" i="87"/>
  <c r="J119" i="87"/>
  <c r="J137" i="50"/>
  <c r="J136" i="50"/>
  <c r="J110" i="50"/>
  <c r="J102" i="50"/>
  <c r="J211" i="50"/>
  <c r="J62" i="50"/>
  <c r="J131" i="50"/>
  <c r="J196" i="50"/>
  <c r="J30" i="79"/>
  <c r="J92" i="79"/>
  <c r="J175" i="50"/>
  <c r="J141" i="50"/>
  <c r="J193" i="79"/>
  <c r="J187" i="79"/>
  <c r="J42" i="79"/>
  <c r="J169" i="79"/>
  <c r="J114" i="87"/>
  <c r="J87" i="87"/>
  <c r="J103" i="87"/>
  <c r="J206" i="87"/>
  <c r="J131" i="87"/>
  <c r="J63" i="87"/>
  <c r="J40" i="87"/>
  <c r="J171" i="87"/>
  <c r="J197" i="87"/>
  <c r="J121" i="87"/>
  <c r="J64" i="87"/>
  <c r="J123" i="50"/>
  <c r="J93" i="50"/>
  <c r="J163" i="50"/>
  <c r="O213" i="50"/>
  <c r="J106" i="50"/>
  <c r="J107" i="50"/>
  <c r="J82" i="50"/>
  <c r="J200" i="50"/>
  <c r="J157" i="27"/>
  <c r="J57" i="27"/>
  <c r="J174" i="27"/>
  <c r="J64" i="27"/>
  <c r="J199" i="27"/>
  <c r="J40" i="27"/>
  <c r="J115" i="27"/>
  <c r="J88" i="27"/>
  <c r="J107" i="27"/>
  <c r="J97" i="27"/>
  <c r="J141" i="27"/>
  <c r="J178" i="27"/>
  <c r="J196" i="27"/>
  <c r="J128" i="27"/>
  <c r="J111" i="27"/>
  <c r="J78" i="27"/>
  <c r="J61" i="27"/>
  <c r="O213" i="27"/>
  <c r="J69" i="27"/>
  <c r="J195" i="27"/>
  <c r="J56" i="27"/>
  <c r="J140" i="27"/>
  <c r="J143" i="27"/>
  <c r="J59" i="27"/>
  <c r="J156" i="27"/>
  <c r="J70" i="27"/>
  <c r="J152" i="27"/>
  <c r="J151" i="27"/>
  <c r="J33" i="27"/>
  <c r="J205" i="27"/>
  <c r="J102" i="27"/>
  <c r="J123" i="27"/>
  <c r="J30" i="27"/>
  <c r="J44" i="27"/>
  <c r="J124" i="27"/>
  <c r="J114" i="27"/>
  <c r="J175" i="27"/>
  <c r="J155" i="27"/>
  <c r="J94" i="27"/>
  <c r="J189" i="27"/>
  <c r="J104" i="27"/>
  <c r="J47" i="27"/>
  <c r="J170" i="27"/>
  <c r="J153" i="27"/>
  <c r="J209" i="27"/>
  <c r="J138" i="27"/>
  <c r="J106" i="27"/>
  <c r="J65" i="27"/>
  <c r="J181" i="27"/>
  <c r="J166" i="27"/>
  <c r="J105" i="27"/>
  <c r="J200" i="27"/>
  <c r="J192" i="27"/>
  <c r="J103" i="27"/>
  <c r="J184" i="27"/>
  <c r="J163" i="27"/>
  <c r="J194" i="27"/>
  <c r="J43" i="27"/>
  <c r="J193" i="27"/>
  <c r="J160" i="27"/>
  <c r="J84" i="27"/>
  <c r="J53" i="27"/>
  <c r="J122" i="27"/>
  <c r="J134" i="27"/>
  <c r="J137" i="27"/>
  <c r="J132" i="27"/>
  <c r="J145" i="27"/>
  <c r="I220" i="27"/>
  <c r="J49" i="27"/>
  <c r="J177" i="27"/>
  <c r="J89" i="27"/>
  <c r="J147" i="27"/>
  <c r="J39" i="27"/>
  <c r="J82" i="27"/>
  <c r="J119" i="27"/>
  <c r="J91" i="27"/>
  <c r="J120" i="27"/>
  <c r="J185" i="27"/>
  <c r="J129" i="27"/>
  <c r="J51" i="27"/>
  <c r="J50" i="27"/>
  <c r="J164" i="27"/>
  <c r="J130" i="27"/>
  <c r="J90" i="27"/>
  <c r="J58" i="27"/>
  <c r="J71" i="27"/>
  <c r="J63" i="27"/>
  <c r="J73" i="27"/>
  <c r="J198" i="27"/>
  <c r="J83" i="27"/>
  <c r="J188" i="27"/>
  <c r="J183" i="27"/>
  <c r="J52" i="27"/>
  <c r="J93" i="27"/>
  <c r="J201" i="27"/>
  <c r="J92" i="27"/>
  <c r="J161" i="27"/>
  <c r="J171" i="27"/>
  <c r="J186" i="27"/>
  <c r="J210" i="27"/>
  <c r="J95" i="27"/>
  <c r="J197" i="27"/>
  <c r="J62" i="27"/>
  <c r="J42" i="27"/>
  <c r="J162" i="27"/>
  <c r="J112" i="27"/>
  <c r="J136" i="27"/>
  <c r="J116" i="27"/>
  <c r="J131" i="27"/>
  <c r="J179" i="27"/>
  <c r="J48" i="27"/>
  <c r="J142" i="27"/>
  <c r="M17" i="27"/>
  <c r="J190" i="27"/>
  <c r="J211" i="27"/>
  <c r="J154" i="27"/>
  <c r="J38" i="27"/>
  <c r="J206" i="27"/>
  <c r="J76" i="27"/>
  <c r="J169" i="27"/>
  <c r="J191" i="27"/>
  <c r="J148" i="27"/>
  <c r="J104" i="177"/>
  <c r="J176" i="177"/>
  <c r="J42" i="177"/>
  <c r="J177" i="177"/>
  <c r="J37" i="177"/>
  <c r="J65" i="177"/>
  <c r="J200" i="177"/>
  <c r="J197" i="65"/>
  <c r="J148" i="95"/>
  <c r="J198" i="16"/>
  <c r="J60" i="16"/>
  <c r="J46" i="16"/>
  <c r="J173" i="16"/>
  <c r="J107" i="16"/>
  <c r="J101" i="16"/>
  <c r="J150" i="16"/>
  <c r="J175" i="16"/>
  <c r="J185" i="16"/>
  <c r="J103" i="16"/>
  <c r="J30" i="16"/>
  <c r="J74" i="16"/>
  <c r="J95" i="16"/>
  <c r="J71" i="16"/>
  <c r="J115" i="16"/>
  <c r="J162" i="16"/>
  <c r="J102" i="16"/>
  <c r="J182" i="16"/>
  <c r="J112" i="16"/>
  <c r="J77" i="158"/>
  <c r="J200" i="158"/>
  <c r="J123" i="158"/>
  <c r="J41" i="157"/>
  <c r="J180" i="86"/>
  <c r="J98" i="86"/>
  <c r="J40" i="86"/>
  <c r="J199" i="158"/>
  <c r="J78" i="175"/>
  <c r="I220" i="65"/>
  <c r="J166" i="95"/>
  <c r="J111" i="16"/>
  <c r="J39" i="16"/>
  <c r="J62" i="16"/>
  <c r="J124" i="16"/>
  <c r="J84" i="16"/>
  <c r="J75" i="16"/>
  <c r="J131" i="16"/>
  <c r="J169" i="16"/>
  <c r="J119" i="16"/>
  <c r="J146" i="16"/>
  <c r="J122" i="16"/>
  <c r="J191" i="16"/>
  <c r="J80" i="16"/>
  <c r="J81" i="16"/>
  <c r="J36" i="16"/>
  <c r="J183" i="16"/>
  <c r="J116" i="16"/>
  <c r="J110" i="16"/>
  <c r="J48" i="16"/>
  <c r="J51" i="16"/>
  <c r="J34" i="16"/>
  <c r="J40" i="158"/>
  <c r="J202" i="158"/>
  <c r="J40" i="175"/>
  <c r="J31" i="157"/>
  <c r="I243" i="38"/>
  <c r="J129" i="24"/>
  <c r="J183" i="150"/>
  <c r="J69" i="86"/>
  <c r="J175" i="86"/>
  <c r="J136" i="49"/>
  <c r="I243" i="104"/>
  <c r="I243" i="92"/>
  <c r="J179" i="95"/>
  <c r="J166" i="16"/>
  <c r="J151" i="16"/>
  <c r="J66" i="16"/>
  <c r="J145" i="16"/>
  <c r="J64" i="16"/>
  <c r="J43" i="16"/>
  <c r="J69" i="16"/>
  <c r="J53" i="16"/>
  <c r="J72" i="16"/>
  <c r="J157" i="16"/>
  <c r="J148" i="16"/>
  <c r="J49" i="16"/>
  <c r="J45" i="16"/>
  <c r="J42" i="16"/>
  <c r="J70" i="16"/>
  <c r="J114" i="16"/>
  <c r="J82" i="16"/>
  <c r="J56" i="16"/>
  <c r="J154" i="16"/>
  <c r="J78" i="16"/>
  <c r="J31" i="16"/>
  <c r="J129" i="158"/>
  <c r="J96" i="158"/>
  <c r="O213" i="1"/>
  <c r="I243" i="47"/>
  <c r="J192" i="42"/>
  <c r="J82" i="24"/>
  <c r="J136" i="150"/>
  <c r="J34" i="86"/>
  <c r="J91" i="86"/>
  <c r="J82" i="49"/>
  <c r="J141" i="86"/>
  <c r="J145" i="95"/>
  <c r="J94" i="16"/>
  <c r="J33" i="16"/>
  <c r="J88" i="16"/>
  <c r="J128" i="16"/>
  <c r="J91" i="16"/>
  <c r="J186" i="16"/>
  <c r="J194" i="16"/>
  <c r="J178" i="16"/>
  <c r="J55" i="16"/>
  <c r="J165" i="16"/>
  <c r="M17" i="16"/>
  <c r="J210" i="16"/>
  <c r="J136" i="16"/>
  <c r="J120" i="16"/>
  <c r="J153" i="16"/>
  <c r="J54" i="16"/>
  <c r="J138" i="16"/>
  <c r="J140" i="16"/>
  <c r="J57" i="16"/>
  <c r="J199" i="16"/>
  <c r="J201" i="16"/>
  <c r="J191" i="158"/>
  <c r="J146" i="158"/>
  <c r="J138" i="158"/>
  <c r="J200" i="157"/>
  <c r="J123" i="1"/>
  <c r="J151" i="42"/>
  <c r="J71" i="86"/>
  <c r="J177" i="86"/>
  <c r="J76" i="86"/>
  <c r="I220" i="16"/>
  <c r="J38" i="65"/>
  <c r="J141" i="158"/>
  <c r="J32" i="86"/>
  <c r="I243" i="60"/>
  <c r="J181" i="95"/>
  <c r="J130" i="16"/>
  <c r="J105" i="16"/>
  <c r="J135" i="16"/>
  <c r="J158" i="16"/>
  <c r="J92" i="16"/>
  <c r="J188" i="16"/>
  <c r="J172" i="16"/>
  <c r="J83" i="16"/>
  <c r="J143" i="16"/>
  <c r="J37" i="16"/>
  <c r="J38" i="16"/>
  <c r="J76" i="16"/>
  <c r="J123" i="16"/>
  <c r="J177" i="16"/>
  <c r="J184" i="16"/>
  <c r="J161" i="16"/>
  <c r="J32" i="16"/>
  <c r="J44" i="16"/>
  <c r="J206" i="16"/>
  <c r="J206" i="158"/>
  <c r="J74" i="158"/>
  <c r="J72" i="158"/>
  <c r="J113" i="157"/>
  <c r="J76" i="1"/>
  <c r="J213" i="86"/>
  <c r="J165" i="86"/>
  <c r="J50" i="86"/>
  <c r="J172" i="158"/>
  <c r="J61" i="158"/>
  <c r="J89" i="158"/>
  <c r="J206" i="95"/>
  <c r="J88" i="95"/>
  <c r="I220" i="86"/>
  <c r="J163" i="158"/>
  <c r="J181" i="158"/>
  <c r="J158" i="158"/>
  <c r="J76" i="158"/>
  <c r="J37" i="158"/>
  <c r="J48" i="158"/>
  <c r="J64" i="158"/>
  <c r="J165" i="158"/>
  <c r="J113" i="158"/>
  <c r="J189" i="158"/>
  <c r="J213" i="158"/>
  <c r="J187" i="158"/>
  <c r="J94" i="158"/>
  <c r="J132" i="158"/>
  <c r="J182" i="158"/>
  <c r="J87" i="158"/>
  <c r="J81" i="158"/>
  <c r="J51" i="158"/>
  <c r="J134" i="158"/>
  <c r="J70" i="158"/>
  <c r="J34" i="158"/>
  <c r="J110" i="64"/>
  <c r="J166" i="141"/>
  <c r="J40" i="42"/>
  <c r="J114" i="120"/>
  <c r="J71" i="150"/>
  <c r="J104" i="86"/>
  <c r="J198" i="86"/>
  <c r="J36" i="86"/>
  <c r="J189" i="86"/>
  <c r="J130" i="86"/>
  <c r="J146" i="86"/>
  <c r="J170" i="86"/>
  <c r="J193" i="86"/>
  <c r="J79" i="86"/>
  <c r="J166" i="86"/>
  <c r="J154" i="86"/>
  <c r="J95" i="86"/>
  <c r="J49" i="86"/>
  <c r="J83" i="86"/>
  <c r="J122" i="86"/>
  <c r="J60" i="86"/>
  <c r="J182" i="86"/>
  <c r="J208" i="86"/>
  <c r="J52" i="86"/>
  <c r="J112" i="86"/>
  <c r="J115" i="158"/>
  <c r="J47" i="158"/>
  <c r="J209" i="158"/>
  <c r="J157" i="158"/>
  <c r="J195" i="86"/>
  <c r="J148" i="158"/>
  <c r="J32" i="158"/>
  <c r="J97" i="158"/>
  <c r="J93" i="158"/>
  <c r="J119" i="90"/>
  <c r="J210" i="141"/>
  <c r="J182" i="42"/>
  <c r="M17" i="86"/>
  <c r="J87" i="86"/>
  <c r="J162" i="86"/>
  <c r="J140" i="86"/>
  <c r="J163" i="86"/>
  <c r="I243" i="19"/>
  <c r="J53" i="95"/>
  <c r="J98" i="95"/>
  <c r="J82" i="119"/>
  <c r="J35" i="158"/>
  <c r="J196" i="158"/>
  <c r="J31" i="158"/>
  <c r="J197" i="158"/>
  <c r="J63" i="158"/>
  <c r="J53" i="158"/>
  <c r="J175" i="158"/>
  <c r="J62" i="158"/>
  <c r="J207" i="158"/>
  <c r="J184" i="158"/>
  <c r="J166" i="158"/>
  <c r="J30" i="158"/>
  <c r="J105" i="158"/>
  <c r="J83" i="158"/>
  <c r="J41" i="158"/>
  <c r="J56" i="158"/>
  <c r="J171" i="158"/>
  <c r="J147" i="158"/>
  <c r="J177" i="158"/>
  <c r="J186" i="158"/>
  <c r="J137" i="104"/>
  <c r="J48" i="90"/>
  <c r="J190" i="141"/>
  <c r="J103" i="42"/>
  <c r="J54" i="42"/>
  <c r="J148" i="120"/>
  <c r="J190" i="150"/>
  <c r="J134" i="86"/>
  <c r="J123" i="86"/>
  <c r="J153" i="86"/>
  <c r="J110" i="86"/>
  <c r="J78" i="86"/>
  <c r="J179" i="86"/>
  <c r="J64" i="86"/>
  <c r="J53" i="86"/>
  <c r="J161" i="86"/>
  <c r="J131" i="86"/>
  <c r="J72" i="86"/>
  <c r="J37" i="86"/>
  <c r="J58" i="86"/>
  <c r="J70" i="86"/>
  <c r="J63" i="86"/>
  <c r="J176" i="86"/>
  <c r="J137" i="86"/>
  <c r="J121" i="86"/>
  <c r="J43" i="86"/>
  <c r="J152" i="86"/>
  <c r="J71" i="158"/>
  <c r="J43" i="158"/>
  <c r="J210" i="158"/>
  <c r="J92" i="158"/>
  <c r="M17" i="42"/>
  <c r="J136" i="86"/>
  <c r="J56" i="86"/>
  <c r="J143" i="86"/>
  <c r="J124" i="86"/>
  <c r="J157" i="86"/>
  <c r="J54" i="86"/>
  <c r="J103" i="86"/>
  <c r="J81" i="86"/>
  <c r="J148" i="86"/>
  <c r="J196" i="86"/>
  <c r="I243" i="152"/>
  <c r="J110" i="158"/>
  <c r="J80" i="158"/>
  <c r="J120" i="158"/>
  <c r="J42" i="158"/>
  <c r="J113" i="42"/>
  <c r="J160" i="86"/>
  <c r="J174" i="86"/>
  <c r="J194" i="86"/>
  <c r="J147" i="86"/>
  <c r="J206" i="86"/>
  <c r="J192" i="86"/>
  <c r="J66" i="95"/>
  <c r="J95" i="95"/>
  <c r="J89" i="119"/>
  <c r="J45" i="158"/>
  <c r="J170" i="158"/>
  <c r="J60" i="158"/>
  <c r="J36" i="158"/>
  <c r="J128" i="158"/>
  <c r="J84" i="158"/>
  <c r="J91" i="158"/>
  <c r="J161" i="158"/>
  <c r="J145" i="158"/>
  <c r="J122" i="158"/>
  <c r="J136" i="158"/>
  <c r="J152" i="158"/>
  <c r="I220" i="158"/>
  <c r="J193" i="158"/>
  <c r="J131" i="158"/>
  <c r="J75" i="158"/>
  <c r="J38" i="158"/>
  <c r="J114" i="158"/>
  <c r="J52" i="158"/>
  <c r="J49" i="158"/>
  <c r="J153" i="104"/>
  <c r="J49" i="90"/>
  <c r="J189" i="141"/>
  <c r="J196" i="42"/>
  <c r="J140" i="42"/>
  <c r="J105" i="120"/>
  <c r="J96" i="120"/>
  <c r="J94" i="150"/>
  <c r="J88" i="86"/>
  <c r="J51" i="86"/>
  <c r="J151" i="86"/>
  <c r="J188" i="86"/>
  <c r="J42" i="86"/>
  <c r="J66" i="86"/>
  <c r="J119" i="86"/>
  <c r="J61" i="86"/>
  <c r="J93" i="86"/>
  <c r="J41" i="86"/>
  <c r="J205" i="86"/>
  <c r="J191" i="86"/>
  <c r="J57" i="86"/>
  <c r="J183" i="86"/>
  <c r="J48" i="86"/>
  <c r="J101" i="86"/>
  <c r="J145" i="86"/>
  <c r="J113" i="86"/>
  <c r="J73" i="86"/>
  <c r="J202" i="86"/>
  <c r="J154" i="158"/>
  <c r="J192" i="158"/>
  <c r="J69" i="158"/>
  <c r="J59" i="158"/>
  <c r="J162" i="158"/>
  <c r="J200" i="86"/>
  <c r="J185" i="86"/>
  <c r="J150" i="86"/>
  <c r="J74" i="86"/>
  <c r="J59" i="86"/>
  <c r="J46" i="158"/>
  <c r="J137" i="158"/>
  <c r="J82" i="158"/>
  <c r="J201" i="158"/>
  <c r="J33" i="86"/>
  <c r="J115" i="86"/>
  <c r="J210" i="86"/>
  <c r="J44" i="86"/>
  <c r="J178" i="86"/>
  <c r="J104" i="95"/>
  <c r="J140" i="95"/>
  <c r="J135" i="119"/>
  <c r="J185" i="158"/>
  <c r="J194" i="158"/>
  <c r="J142" i="158"/>
  <c r="J39" i="158"/>
  <c r="J103" i="158"/>
  <c r="J188" i="158"/>
  <c r="J33" i="158"/>
  <c r="M17" i="158"/>
  <c r="J211" i="158"/>
  <c r="J179" i="158"/>
  <c r="J153" i="158"/>
  <c r="J135" i="158"/>
  <c r="J178" i="158"/>
  <c r="J198" i="158"/>
  <c r="J57" i="158"/>
  <c r="J183" i="158"/>
  <c r="J104" i="158"/>
  <c r="J111" i="158"/>
  <c r="J66" i="158"/>
  <c r="J116" i="158"/>
  <c r="J143" i="158"/>
  <c r="J121" i="104"/>
  <c r="J47" i="90"/>
  <c r="J165" i="42"/>
  <c r="J93" i="42"/>
  <c r="J111" i="120"/>
  <c r="J50" i="120"/>
  <c r="J185" i="150"/>
  <c r="J80" i="86"/>
  <c r="J197" i="86"/>
  <c r="J172" i="86"/>
  <c r="J55" i="86"/>
  <c r="J114" i="86"/>
  <c r="J187" i="86"/>
  <c r="J107" i="86"/>
  <c r="J31" i="86"/>
  <c r="J92" i="86"/>
  <c r="J201" i="86"/>
  <c r="J46" i="86"/>
  <c r="J211" i="86"/>
  <c r="J65" i="86"/>
  <c r="J39" i="86"/>
  <c r="J164" i="86"/>
  <c r="J45" i="86"/>
  <c r="J106" i="86"/>
  <c r="J209" i="86"/>
  <c r="J135" i="86"/>
  <c r="J94" i="86"/>
  <c r="J102" i="158"/>
  <c r="J44" i="158"/>
  <c r="J55" i="158"/>
  <c r="J208" i="158"/>
  <c r="J129" i="42"/>
  <c r="J35" i="86"/>
  <c r="J171" i="86"/>
  <c r="J96" i="86"/>
  <c r="J82" i="86"/>
  <c r="J155" i="86"/>
  <c r="J169" i="158"/>
  <c r="J155" i="158"/>
  <c r="O213" i="158"/>
  <c r="J156" i="158"/>
  <c r="J190" i="158"/>
  <c r="J164" i="158"/>
  <c r="J176" i="158"/>
  <c r="J95" i="158"/>
  <c r="J46" i="104"/>
  <c r="J138" i="86"/>
  <c r="O213" i="86"/>
  <c r="J128" i="86"/>
  <c r="J97" i="86"/>
  <c r="J89" i="86"/>
  <c r="J80" i="95"/>
  <c r="J93" i="95"/>
  <c r="J128" i="119"/>
  <c r="J107" i="158"/>
  <c r="J54" i="158"/>
  <c r="J90" i="158"/>
  <c r="J173" i="158"/>
  <c r="J195" i="158"/>
  <c r="J78" i="158"/>
  <c r="J112" i="158"/>
  <c r="J205" i="158"/>
  <c r="J151" i="158"/>
  <c r="J50" i="158"/>
  <c r="J121" i="158"/>
  <c r="J88" i="158"/>
  <c r="J79" i="158"/>
  <c r="J140" i="158"/>
  <c r="J65" i="158"/>
  <c r="J101" i="158"/>
  <c r="J98" i="158"/>
  <c r="J124" i="158"/>
  <c r="J160" i="158"/>
  <c r="J73" i="158"/>
  <c r="J187" i="104"/>
  <c r="J97" i="72"/>
  <c r="J145" i="42"/>
  <c r="J47" i="42"/>
  <c r="J164" i="89"/>
  <c r="J35" i="120"/>
  <c r="J73" i="150"/>
  <c r="J156" i="86"/>
  <c r="J62" i="86"/>
  <c r="J142" i="86"/>
  <c r="J90" i="86"/>
  <c r="J207" i="86"/>
  <c r="J184" i="86"/>
  <c r="J102" i="86"/>
  <c r="J111" i="86"/>
  <c r="J77" i="86"/>
  <c r="J158" i="86"/>
  <c r="J199" i="86"/>
  <c r="J181" i="86"/>
  <c r="J75" i="86"/>
  <c r="J30" i="86"/>
  <c r="J38" i="86"/>
  <c r="J47" i="86"/>
  <c r="J129" i="86"/>
  <c r="J169" i="86"/>
  <c r="J120" i="86"/>
  <c r="I220" i="90"/>
  <c r="M17" i="90"/>
  <c r="J210" i="90"/>
  <c r="J173" i="90"/>
  <c r="J145" i="90"/>
  <c r="J152" i="90"/>
  <c r="J104" i="90"/>
  <c r="J79" i="90"/>
  <c r="J81" i="90"/>
  <c r="J175" i="90"/>
  <c r="J34" i="90"/>
  <c r="J166" i="90"/>
  <c r="J143" i="90"/>
  <c r="J201" i="90"/>
  <c r="J141" i="90"/>
  <c r="J78" i="90"/>
  <c r="J187" i="90"/>
  <c r="J165" i="90"/>
  <c r="J121" i="90"/>
  <c r="J198" i="90"/>
  <c r="J50" i="90"/>
  <c r="J142" i="90"/>
  <c r="J61" i="90"/>
  <c r="J196" i="90"/>
  <c r="J44" i="90"/>
  <c r="J87" i="90"/>
  <c r="J189" i="90"/>
  <c r="J105" i="90"/>
  <c r="J195" i="90"/>
  <c r="J75" i="90"/>
  <c r="J186" i="90"/>
  <c r="J150" i="90"/>
  <c r="J69" i="90"/>
  <c r="J124" i="90"/>
  <c r="J107" i="90"/>
  <c r="J146" i="90"/>
  <c r="J129" i="90"/>
  <c r="J208" i="90"/>
  <c r="J193" i="90"/>
  <c r="J188" i="90"/>
  <c r="J66" i="90"/>
  <c r="J77" i="90"/>
  <c r="J63" i="90"/>
  <c r="J122" i="90"/>
  <c r="O213" i="90"/>
  <c r="J202" i="90"/>
  <c r="J200" i="90"/>
  <c r="J42" i="90"/>
  <c r="J183" i="90"/>
  <c r="J71" i="90"/>
  <c r="J94" i="90"/>
  <c r="J45" i="90"/>
  <c r="J123" i="90"/>
  <c r="J76" i="90"/>
  <c r="J39" i="90"/>
  <c r="J156" i="90"/>
  <c r="J132" i="90"/>
  <c r="J177" i="90"/>
  <c r="J32" i="90"/>
  <c r="J176" i="90"/>
  <c r="J115" i="90"/>
  <c r="J178" i="90"/>
  <c r="J103" i="90"/>
  <c r="J199" i="90"/>
  <c r="J182" i="90"/>
  <c r="J128" i="90"/>
  <c r="J60" i="90"/>
  <c r="J179" i="90"/>
  <c r="J134" i="90"/>
  <c r="J130" i="90"/>
  <c r="J62" i="90"/>
  <c r="J162" i="90"/>
  <c r="J83" i="90"/>
  <c r="J30" i="90"/>
  <c r="J206" i="90"/>
  <c r="J131" i="90"/>
  <c r="J191" i="90"/>
  <c r="J36" i="90"/>
  <c r="J38" i="90"/>
  <c r="J174" i="90"/>
  <c r="J43" i="90"/>
  <c r="J116" i="90"/>
  <c r="J35" i="90"/>
  <c r="J56" i="90"/>
  <c r="J46" i="90"/>
  <c r="J205" i="90"/>
  <c r="J157" i="90"/>
  <c r="J88" i="90"/>
  <c r="J211" i="90"/>
  <c r="J112" i="90"/>
  <c r="J92" i="90"/>
  <c r="J80" i="90"/>
  <c r="J207" i="90"/>
  <c r="J95" i="90"/>
  <c r="J33" i="90"/>
  <c r="J73" i="90"/>
  <c r="J135" i="90"/>
  <c r="J209" i="90"/>
  <c r="J84" i="90"/>
  <c r="J74" i="90"/>
  <c r="J41" i="90"/>
  <c r="J102" i="90"/>
  <c r="J93" i="90"/>
  <c r="J213" i="95"/>
  <c r="J211" i="95"/>
  <c r="J39" i="95"/>
  <c r="J55" i="95"/>
  <c r="J205" i="95"/>
  <c r="J41" i="95"/>
  <c r="J201" i="95"/>
  <c r="J112" i="95"/>
  <c r="J75" i="175"/>
  <c r="J114" i="72"/>
  <c r="J61" i="72"/>
  <c r="J163" i="90"/>
  <c r="J96" i="90"/>
  <c r="J184" i="90"/>
  <c r="J52" i="90"/>
  <c r="J170" i="90"/>
  <c r="J181" i="150"/>
  <c r="J59" i="150"/>
  <c r="J169" i="150"/>
  <c r="J189" i="177"/>
  <c r="J49" i="177"/>
  <c r="J95" i="177"/>
  <c r="J93" i="177"/>
  <c r="M17" i="177"/>
  <c r="J151" i="177"/>
  <c r="J55" i="177"/>
  <c r="J132" i="177"/>
  <c r="J54" i="177"/>
  <c r="J192" i="177"/>
  <c r="J164" i="177"/>
  <c r="J170" i="177"/>
  <c r="J195" i="177"/>
  <c r="J207" i="177"/>
  <c r="J61" i="177"/>
  <c r="J162" i="177"/>
  <c r="J143" i="177"/>
  <c r="J213" i="177"/>
  <c r="J53" i="177"/>
  <c r="J136" i="177"/>
  <c r="J196" i="177"/>
  <c r="J179" i="177"/>
  <c r="J77" i="177"/>
  <c r="J178" i="177"/>
  <c r="J44" i="177"/>
  <c r="J57" i="177"/>
  <c r="J153" i="177"/>
  <c r="J128" i="177"/>
  <c r="J138" i="177"/>
  <c r="J73" i="177"/>
  <c r="J190" i="177"/>
  <c r="J113" i="177"/>
  <c r="J91" i="177"/>
  <c r="J110" i="177"/>
  <c r="J63" i="177"/>
  <c r="J145" i="177"/>
  <c r="J121" i="177"/>
  <c r="I220" i="177"/>
  <c r="J41" i="177"/>
  <c r="J75" i="177"/>
  <c r="I243" i="31"/>
  <c r="J124" i="95"/>
  <c r="J155" i="95"/>
  <c r="J143" i="95"/>
  <c r="J82" i="95"/>
  <c r="J30" i="95"/>
  <c r="J97" i="95"/>
  <c r="J38" i="95"/>
  <c r="J111" i="95"/>
  <c r="J121" i="95"/>
  <c r="J193" i="95"/>
  <c r="J196" i="95"/>
  <c r="J162" i="95"/>
  <c r="J132" i="95"/>
  <c r="J163" i="95"/>
  <c r="J151" i="95"/>
  <c r="J59" i="95"/>
  <c r="J137" i="95"/>
  <c r="J103" i="95"/>
  <c r="J129" i="95"/>
  <c r="J129" i="119"/>
  <c r="J70" i="177"/>
  <c r="J39" i="177"/>
  <c r="J188" i="177"/>
  <c r="J119" i="175"/>
  <c r="J147" i="175"/>
  <c r="J141" i="1"/>
  <c r="J134" i="72"/>
  <c r="J142" i="72"/>
  <c r="J188" i="72"/>
  <c r="J137" i="90"/>
  <c r="J164" i="90"/>
  <c r="J106" i="90"/>
  <c r="J136" i="90"/>
  <c r="J90" i="90"/>
  <c r="J172" i="90"/>
  <c r="J161" i="90"/>
  <c r="J138" i="90"/>
  <c r="J42" i="150"/>
  <c r="J164" i="150"/>
  <c r="J188" i="150"/>
  <c r="J153" i="150"/>
  <c r="J173" i="150"/>
  <c r="J53" i="150"/>
  <c r="J202" i="150"/>
  <c r="J148" i="150"/>
  <c r="J138" i="95"/>
  <c r="J189" i="95"/>
  <c r="J114" i="95"/>
  <c r="J91" i="95"/>
  <c r="J171" i="95"/>
  <c r="J195" i="95"/>
  <c r="J157" i="95"/>
  <c r="J170" i="95"/>
  <c r="J58" i="95"/>
  <c r="J130" i="175"/>
  <c r="J155" i="72"/>
  <c r="J51" i="90"/>
  <c r="J114" i="90"/>
  <c r="J72" i="90"/>
  <c r="J210" i="150"/>
  <c r="J192" i="150"/>
  <c r="J163" i="150"/>
  <c r="J114" i="150"/>
  <c r="I243" i="89"/>
  <c r="P20" i="145"/>
  <c r="P20" i="120"/>
  <c r="J115" i="95"/>
  <c r="J186" i="95"/>
  <c r="J122" i="95"/>
  <c r="J187" i="95"/>
  <c r="J198" i="95"/>
  <c r="J134" i="95"/>
  <c r="J208" i="95"/>
  <c r="J185" i="95"/>
  <c r="J96" i="95"/>
  <c r="J72" i="95"/>
  <c r="J192" i="95"/>
  <c r="J180" i="95"/>
  <c r="M17" i="95"/>
  <c r="J199" i="95"/>
  <c r="J165" i="95"/>
  <c r="J36" i="95"/>
  <c r="J77" i="95"/>
  <c r="J47" i="95"/>
  <c r="J146" i="95"/>
  <c r="J45" i="177"/>
  <c r="J156" i="177"/>
  <c r="J83" i="177"/>
  <c r="J181" i="175"/>
  <c r="J72" i="175"/>
  <c r="J181" i="1"/>
  <c r="J77" i="1"/>
  <c r="J140" i="72"/>
  <c r="J65" i="72"/>
  <c r="J194" i="90"/>
  <c r="J171" i="90"/>
  <c r="J151" i="90"/>
  <c r="J40" i="90"/>
  <c r="J98" i="90"/>
  <c r="J70" i="90"/>
  <c r="J155" i="90"/>
  <c r="J82" i="90"/>
  <c r="J49" i="150"/>
  <c r="J170" i="150"/>
  <c r="J98" i="150"/>
  <c r="J115" i="150"/>
  <c r="J156" i="150"/>
  <c r="J132" i="150"/>
  <c r="J64" i="150"/>
  <c r="J75" i="150"/>
  <c r="I220" i="72"/>
  <c r="J174" i="72"/>
  <c r="J193" i="72"/>
  <c r="J33" i="72"/>
  <c r="J107" i="72"/>
  <c r="J105" i="72"/>
  <c r="J131" i="72"/>
  <c r="J59" i="72"/>
  <c r="J46" i="72"/>
  <c r="J136" i="72"/>
  <c r="J156" i="72"/>
  <c r="J81" i="72"/>
  <c r="J106" i="72"/>
  <c r="J71" i="72"/>
  <c r="J143" i="72"/>
  <c r="J88" i="72"/>
  <c r="J121" i="72"/>
  <c r="J196" i="72"/>
  <c r="J110" i="72"/>
  <c r="J210" i="72"/>
  <c r="J64" i="72"/>
  <c r="J111" i="72"/>
  <c r="J41" i="72"/>
  <c r="J169" i="72"/>
  <c r="J80" i="72"/>
  <c r="J185" i="72"/>
  <c r="J36" i="72"/>
  <c r="J191" i="72"/>
  <c r="J206" i="72"/>
  <c r="M17" i="72"/>
  <c r="J70" i="72"/>
  <c r="J62" i="72"/>
  <c r="J124" i="72"/>
  <c r="J43" i="72"/>
  <c r="J158" i="72"/>
  <c r="J213" i="72"/>
  <c r="J35" i="72"/>
  <c r="J63" i="72"/>
  <c r="J83" i="95"/>
  <c r="J207" i="95"/>
  <c r="J161" i="95"/>
  <c r="J123" i="95"/>
  <c r="J75" i="95"/>
  <c r="J37" i="95"/>
  <c r="J130" i="95"/>
  <c r="J120" i="95"/>
  <c r="J184" i="95"/>
  <c r="J78" i="95"/>
  <c r="J31" i="95"/>
  <c r="J49" i="95"/>
  <c r="J81" i="95"/>
  <c r="J33" i="95"/>
  <c r="J194" i="175"/>
  <c r="J162" i="175"/>
  <c r="J60" i="72"/>
  <c r="J47" i="72"/>
  <c r="J91" i="90"/>
  <c r="J31" i="90"/>
  <c r="J113" i="90"/>
  <c r="J147" i="90"/>
  <c r="J65" i="90"/>
  <c r="J54" i="90"/>
  <c r="J181" i="90"/>
  <c r="J93" i="119"/>
  <c r="J208" i="119"/>
  <c r="J180" i="119"/>
  <c r="J77" i="119"/>
  <c r="J81" i="119"/>
  <c r="J50" i="119"/>
  <c r="J178" i="119"/>
  <c r="J56" i="119"/>
  <c r="J207" i="119"/>
  <c r="J198" i="119"/>
  <c r="J91" i="119"/>
  <c r="J72" i="119"/>
  <c r="J175" i="89"/>
  <c r="J94" i="89"/>
  <c r="J110" i="89"/>
  <c r="J57" i="89"/>
  <c r="J124" i="89"/>
  <c r="M17" i="89"/>
  <c r="J45" i="89"/>
  <c r="J73" i="89"/>
  <c r="J61" i="24"/>
  <c r="J188" i="24"/>
  <c r="J184" i="24"/>
  <c r="J132" i="24"/>
  <c r="J57" i="24"/>
  <c r="J53" i="24"/>
  <c r="J124" i="24"/>
  <c r="J43" i="24"/>
  <c r="I220" i="142"/>
  <c r="J137" i="142"/>
  <c r="J66" i="142"/>
  <c r="J32" i="142"/>
  <c r="J193" i="142"/>
  <c r="J80" i="142"/>
  <c r="J135" i="142"/>
  <c r="J192" i="142"/>
  <c r="J54" i="95"/>
  <c r="J64" i="95"/>
  <c r="J131" i="95"/>
  <c r="J106" i="95"/>
  <c r="J90" i="95"/>
  <c r="J50" i="95"/>
  <c r="J136" i="95"/>
  <c r="J46" i="95"/>
  <c r="J69" i="95"/>
  <c r="J60" i="95"/>
  <c r="J57" i="95"/>
  <c r="J152" i="95"/>
  <c r="J119" i="95"/>
  <c r="J44" i="95"/>
  <c r="J147" i="95"/>
  <c r="J172" i="95"/>
  <c r="J105" i="95"/>
  <c r="J173" i="95"/>
  <c r="J206" i="119"/>
  <c r="O213" i="177"/>
  <c r="J71" i="177"/>
  <c r="J103" i="177"/>
  <c r="J196" i="175"/>
  <c r="J78" i="19"/>
  <c r="J202" i="72"/>
  <c r="J172" i="72"/>
  <c r="J79" i="72"/>
  <c r="J197" i="90"/>
  <c r="J190" i="90"/>
  <c r="J59" i="90"/>
  <c r="J97" i="90"/>
  <c r="J110" i="90"/>
  <c r="J55" i="90"/>
  <c r="J185" i="90"/>
  <c r="J169" i="90"/>
  <c r="J92" i="89"/>
  <c r="J213" i="150"/>
  <c r="J131" i="150"/>
  <c r="J87" i="150"/>
  <c r="J128" i="150"/>
  <c r="J175" i="150"/>
  <c r="J47" i="150"/>
  <c r="J199" i="150"/>
  <c r="J157" i="150"/>
  <c r="I243" i="83"/>
  <c r="J30" i="84"/>
  <c r="J188" i="175"/>
  <c r="J116" i="175"/>
  <c r="J88" i="175"/>
  <c r="J184" i="175"/>
  <c r="J111" i="175"/>
  <c r="J161" i="175"/>
  <c r="J148" i="175"/>
  <c r="J95" i="175"/>
  <c r="J37" i="175"/>
  <c r="J153" i="175"/>
  <c r="J145" i="175"/>
  <c r="J59" i="175"/>
  <c r="J110" i="175"/>
  <c r="J73" i="175"/>
  <c r="J103" i="175"/>
  <c r="J195" i="175"/>
  <c r="J176" i="175"/>
  <c r="J91" i="175"/>
  <c r="J48" i="175"/>
  <c r="J113" i="175"/>
  <c r="J70" i="175"/>
  <c r="J55" i="175"/>
  <c r="J160" i="175"/>
  <c r="J182" i="175"/>
  <c r="J89" i="175"/>
  <c r="J61" i="175"/>
  <c r="I220" i="95"/>
  <c r="J164" i="95"/>
  <c r="J70" i="95"/>
  <c r="J84" i="95"/>
  <c r="J176" i="95"/>
  <c r="J202" i="95"/>
  <c r="J102" i="95"/>
  <c r="J153" i="95"/>
  <c r="J61" i="95"/>
  <c r="J65" i="95"/>
  <c r="J142" i="95"/>
  <c r="J209" i="95"/>
  <c r="J76" i="95"/>
  <c r="J42" i="95"/>
  <c r="J128" i="95"/>
  <c r="J35" i="95"/>
  <c r="J177" i="95"/>
  <c r="J113" i="95"/>
  <c r="J146" i="150"/>
  <c r="J60" i="150"/>
  <c r="J160" i="150"/>
  <c r="J63" i="1"/>
  <c r="J151" i="1"/>
  <c r="J171" i="1"/>
  <c r="J178" i="1"/>
  <c r="J45" i="1"/>
  <c r="J44" i="1"/>
  <c r="J97" i="1"/>
  <c r="J95" i="1"/>
  <c r="J208" i="1"/>
  <c r="J33" i="1"/>
  <c r="J39" i="1"/>
  <c r="J83" i="1"/>
  <c r="J158" i="1"/>
  <c r="M17" i="1"/>
  <c r="J198" i="1"/>
  <c r="J129" i="1"/>
  <c r="J112" i="31"/>
  <c r="J106" i="31"/>
  <c r="J130" i="31"/>
  <c r="J57" i="31"/>
  <c r="J198" i="31"/>
  <c r="J182" i="31"/>
  <c r="J194" i="31"/>
  <c r="J37" i="31"/>
  <c r="J119" i="31"/>
  <c r="J69" i="31"/>
  <c r="J179" i="31"/>
  <c r="J56" i="95"/>
  <c r="J156" i="95"/>
  <c r="J200" i="95"/>
  <c r="J178" i="95"/>
  <c r="J43" i="95"/>
  <c r="J48" i="95"/>
  <c r="J158" i="95"/>
  <c r="J101" i="95"/>
  <c r="J32" i="95"/>
  <c r="J174" i="95"/>
  <c r="J175" i="95"/>
  <c r="J141" i="95"/>
  <c r="J197" i="95"/>
  <c r="J116" i="95"/>
  <c r="J191" i="95"/>
  <c r="O213" i="95"/>
  <c r="J62" i="95"/>
  <c r="J71" i="95"/>
  <c r="J94" i="95"/>
  <c r="J113" i="119"/>
  <c r="J161" i="177"/>
  <c r="J201" i="177"/>
  <c r="J131" i="177"/>
  <c r="J210" i="31"/>
  <c r="J57" i="175"/>
  <c r="J150" i="1"/>
  <c r="J186" i="72"/>
  <c r="J104" i="72"/>
  <c r="J176" i="72"/>
  <c r="J213" i="90"/>
  <c r="J64" i="90"/>
  <c r="J154" i="90"/>
  <c r="J89" i="90"/>
  <c r="J101" i="90"/>
  <c r="J37" i="90"/>
  <c r="J57" i="90"/>
  <c r="J171" i="89"/>
  <c r="J36" i="150"/>
  <c r="J74" i="150"/>
  <c r="J209" i="150"/>
  <c r="J113" i="150"/>
  <c r="J65" i="150"/>
  <c r="J35" i="150"/>
  <c r="J165" i="150"/>
  <c r="J201" i="150"/>
  <c r="J110" i="150"/>
  <c r="J150" i="150"/>
  <c r="J89" i="150"/>
  <c r="J93" i="150"/>
  <c r="J66" i="150"/>
  <c r="J57" i="150"/>
  <c r="J186" i="150"/>
  <c r="J205" i="150"/>
  <c r="J41" i="150"/>
  <c r="J50" i="150"/>
  <c r="J172" i="150"/>
  <c r="J63" i="150"/>
  <c r="J138" i="150"/>
  <c r="J34" i="150"/>
  <c r="J56" i="150"/>
  <c r="J134" i="150"/>
  <c r="J152" i="150"/>
  <c r="J137" i="150"/>
  <c r="J196" i="150"/>
  <c r="J44" i="150"/>
  <c r="J102" i="150"/>
  <c r="J141" i="150"/>
  <c r="J158" i="150"/>
  <c r="J103" i="150"/>
  <c r="M17" i="150"/>
  <c r="J77" i="150"/>
  <c r="J177" i="150"/>
  <c r="J193" i="150"/>
  <c r="J70" i="150"/>
  <c r="J171" i="150"/>
  <c r="J92" i="150"/>
  <c r="J206" i="150"/>
  <c r="J123" i="150"/>
  <c r="J46" i="150"/>
  <c r="J187" i="150"/>
  <c r="J211" i="150"/>
  <c r="J72" i="150"/>
  <c r="J122" i="150"/>
  <c r="J130" i="150"/>
  <c r="J79" i="150"/>
  <c r="J31" i="150"/>
  <c r="J37" i="150"/>
  <c r="J83" i="150"/>
  <c r="J116" i="150"/>
  <c r="J182" i="150"/>
  <c r="J120" i="150"/>
  <c r="J54" i="150"/>
  <c r="J189" i="150"/>
  <c r="J147" i="150"/>
  <c r="J30" i="150"/>
  <c r="J39" i="150"/>
  <c r="J195" i="150"/>
  <c r="J119" i="150"/>
  <c r="J111" i="150"/>
  <c r="J107" i="150"/>
  <c r="J124" i="150"/>
  <c r="J154" i="150"/>
  <c r="J155" i="150"/>
  <c r="J198" i="150"/>
  <c r="J191" i="150"/>
  <c r="J97" i="150"/>
  <c r="J33" i="150"/>
  <c r="J145" i="150"/>
  <c r="J194" i="150"/>
  <c r="J48" i="150"/>
  <c r="J61" i="150"/>
  <c r="J178" i="150"/>
  <c r="J40" i="150"/>
  <c r="J55" i="150"/>
  <c r="J101" i="150"/>
  <c r="J90" i="150"/>
  <c r="J96" i="150"/>
  <c r="J95" i="150"/>
  <c r="J140" i="150"/>
  <c r="J121" i="150"/>
  <c r="J208" i="150"/>
  <c r="J197" i="150"/>
  <c r="J176" i="150"/>
  <c r="J45" i="150"/>
  <c r="J91" i="150"/>
  <c r="J76" i="150"/>
  <c r="I220" i="150"/>
  <c r="J106" i="150"/>
  <c r="J207" i="150"/>
  <c r="J162" i="150"/>
  <c r="J105" i="150"/>
  <c r="J82" i="150"/>
  <c r="J78" i="150"/>
  <c r="J69" i="150"/>
  <c r="J43" i="150"/>
  <c r="J112" i="150"/>
  <c r="J200" i="150"/>
  <c r="O213" i="150"/>
  <c r="J38" i="150"/>
  <c r="J62" i="150"/>
  <c r="J104" i="150"/>
  <c r="J80" i="150"/>
  <c r="J88" i="150"/>
  <c r="J151" i="150"/>
  <c r="J52" i="150"/>
  <c r="J142" i="150"/>
  <c r="J58" i="150"/>
  <c r="J51" i="95"/>
  <c r="J107" i="95"/>
  <c r="J40" i="95"/>
  <c r="J30" i="72"/>
  <c r="J140" i="90"/>
  <c r="J166" i="150"/>
  <c r="J180" i="150"/>
  <c r="J174" i="150"/>
  <c r="J81" i="150"/>
  <c r="J184" i="150"/>
  <c r="J169" i="19"/>
  <c r="J130" i="19"/>
  <c r="J135" i="19"/>
  <c r="J36" i="19"/>
  <c r="J188" i="19"/>
  <c r="J54" i="19"/>
  <c r="J166" i="19"/>
  <c r="J112" i="19"/>
  <c r="J194" i="95"/>
  <c r="J160" i="95"/>
  <c r="J89" i="95"/>
  <c r="J79" i="95"/>
  <c r="J45" i="95"/>
  <c r="J154" i="95"/>
  <c r="J190" i="95"/>
  <c r="J63" i="95"/>
  <c r="J210" i="95"/>
  <c r="J92" i="95"/>
  <c r="J183" i="95"/>
  <c r="J110" i="95"/>
  <c r="J188" i="95"/>
  <c r="J87" i="95"/>
  <c r="J34" i="95"/>
  <c r="J169" i="95"/>
  <c r="J52" i="95"/>
  <c r="J150" i="95"/>
  <c r="J88" i="119"/>
  <c r="J155" i="177"/>
  <c r="J182" i="177"/>
  <c r="J80" i="177"/>
  <c r="J65" i="31"/>
  <c r="J210" i="175"/>
  <c r="J65" i="175"/>
  <c r="J55" i="1"/>
  <c r="J176" i="19"/>
  <c r="J208" i="72"/>
  <c r="J147" i="72"/>
  <c r="J53" i="90"/>
  <c r="J158" i="90"/>
  <c r="J58" i="90"/>
  <c r="J192" i="90"/>
  <c r="J180" i="90"/>
  <c r="J148" i="90"/>
  <c r="J153" i="90"/>
  <c r="J36" i="24"/>
  <c r="J179" i="150"/>
  <c r="J32" i="150"/>
  <c r="J51" i="150"/>
  <c r="J129" i="150"/>
  <c r="J135" i="150"/>
  <c r="J143" i="150"/>
  <c r="J161" i="150"/>
  <c r="P20" i="60"/>
  <c r="P20" i="142"/>
  <c r="P20" i="19"/>
  <c r="P20" i="24"/>
  <c r="P20" i="66"/>
  <c r="P20" i="159"/>
  <c r="P20" i="135"/>
  <c r="P20" i="46"/>
  <c r="P20" i="103"/>
  <c r="P20" i="32"/>
  <c r="P20" i="53"/>
  <c r="P20" i="155"/>
  <c r="P20" i="16"/>
  <c r="P20" i="15"/>
  <c r="P20" i="157"/>
  <c r="P20" i="94"/>
  <c r="P20" i="50"/>
  <c r="P20" i="68"/>
  <c r="P20" i="1"/>
  <c r="P20" i="55"/>
  <c r="P20" i="49"/>
  <c r="P20" i="165"/>
  <c r="P20" i="33"/>
  <c r="P20" i="152"/>
  <c r="P20" i="89"/>
  <c r="P20" i="106"/>
  <c r="P20" i="72"/>
  <c r="P20" i="92"/>
  <c r="P20" i="86"/>
  <c r="P20" i="63"/>
  <c r="P20" i="79"/>
  <c r="P20" i="111"/>
  <c r="P20" i="27"/>
  <c r="P20" i="98"/>
  <c r="P20" i="64"/>
  <c r="P20" i="83"/>
  <c r="P20" i="113"/>
  <c r="P20" i="65"/>
  <c r="P20" i="62"/>
  <c r="P20" i="87"/>
  <c r="P20" i="133"/>
  <c r="P20" i="37"/>
  <c r="P20" i="119"/>
  <c r="P20" i="90"/>
  <c r="P20" i="20"/>
  <c r="P20" i="58"/>
  <c r="P20" i="175"/>
  <c r="P20" i="158"/>
  <c r="P20" i="102"/>
  <c r="P20" i="156"/>
  <c r="P20" i="95"/>
  <c r="P20" i="85"/>
  <c r="P20" i="54"/>
  <c r="P20" i="84"/>
  <c r="P20" i="164"/>
  <c r="P20" i="25"/>
  <c r="P20" i="14"/>
  <c r="P20" i="31"/>
  <c r="P20" i="104"/>
  <c r="P20" i="178"/>
  <c r="P20" i="150"/>
  <c r="P20" i="174"/>
  <c r="P20" i="177"/>
  <c r="P20" i="39"/>
  <c r="P20" i="21"/>
  <c r="P20" i="42"/>
  <c r="P20" i="28"/>
  <c r="P20" i="38"/>
  <c r="P20" i="47"/>
  <c r="P20" i="43"/>
  <c r="P20" i="71"/>
  <c r="P20" i="118"/>
  <c r="P20" i="136"/>
  <c r="P20" i="57"/>
  <c r="P20" i="167"/>
  <c r="J138" i="79"/>
  <c r="J96" i="79"/>
  <c r="J156" i="79"/>
  <c r="J76" i="79"/>
  <c r="J171" i="79"/>
  <c r="J47" i="79"/>
  <c r="J151" i="79"/>
  <c r="J111" i="79"/>
  <c r="J142" i="79"/>
  <c r="J39" i="79"/>
  <c r="J55" i="119"/>
  <c r="J30" i="119"/>
  <c r="J57" i="119"/>
  <c r="J205" i="119"/>
  <c r="J43" i="119"/>
  <c r="J38" i="119"/>
  <c r="J160" i="119"/>
  <c r="J69" i="119"/>
  <c r="J213" i="119"/>
  <c r="J49" i="119"/>
  <c r="J72" i="31"/>
  <c r="J32" i="31"/>
  <c r="J101" i="31"/>
  <c r="J48" i="31"/>
  <c r="J81" i="31"/>
  <c r="J56" i="31"/>
  <c r="J75" i="31"/>
  <c r="J150" i="31"/>
  <c r="J155" i="64"/>
  <c r="J90" i="104"/>
  <c r="J147" i="104"/>
  <c r="J105" i="157"/>
  <c r="J188" i="89"/>
  <c r="J59" i="89"/>
  <c r="J140" i="89"/>
  <c r="J38" i="89"/>
  <c r="J53" i="120"/>
  <c r="J156" i="120"/>
  <c r="J97" i="120"/>
  <c r="J103" i="120"/>
  <c r="J146" i="120"/>
  <c r="J140" i="142"/>
  <c r="J180" i="142"/>
  <c r="J95" i="142"/>
  <c r="J105" i="142"/>
  <c r="J58" i="142"/>
  <c r="J78" i="49"/>
  <c r="J45" i="50"/>
  <c r="J213" i="50"/>
  <c r="J145" i="50"/>
  <c r="J129" i="50"/>
  <c r="J160" i="50"/>
  <c r="J37" i="50"/>
  <c r="J208" i="50"/>
  <c r="J89" i="50"/>
  <c r="J103" i="50"/>
  <c r="J134" i="50"/>
  <c r="J177" i="50"/>
  <c r="J97" i="50"/>
  <c r="J111" i="50"/>
  <c r="J49" i="50"/>
  <c r="J74" i="50"/>
  <c r="J132" i="50"/>
  <c r="J47" i="50"/>
  <c r="J87" i="50"/>
  <c r="J154" i="50"/>
  <c r="J101" i="50"/>
  <c r="J187" i="119"/>
  <c r="J71" i="31"/>
  <c r="J213" i="15"/>
  <c r="J46" i="120"/>
  <c r="J136" i="79"/>
  <c r="J61" i="79"/>
  <c r="J173" i="79"/>
  <c r="J178" i="79"/>
  <c r="J207" i="79"/>
  <c r="J180" i="79"/>
  <c r="J184" i="79"/>
  <c r="J164" i="79"/>
  <c r="J194" i="79"/>
  <c r="J89" i="79"/>
  <c r="J141" i="79"/>
  <c r="J137" i="119"/>
  <c r="J148" i="119"/>
  <c r="J46" i="119"/>
  <c r="J164" i="119"/>
  <c r="J209" i="119"/>
  <c r="J202" i="119"/>
  <c r="J33" i="119"/>
  <c r="J211" i="119"/>
  <c r="J181" i="119"/>
  <c r="J177" i="119"/>
  <c r="J146" i="119"/>
  <c r="J103" i="31"/>
  <c r="J188" i="31"/>
  <c r="J165" i="31"/>
  <c r="J97" i="31"/>
  <c r="J135" i="31"/>
  <c r="J93" i="31"/>
  <c r="J87" i="31"/>
  <c r="J143" i="31"/>
  <c r="I220" i="120"/>
  <c r="J171" i="64"/>
  <c r="J160" i="104"/>
  <c r="J174" i="104"/>
  <c r="J92" i="157"/>
  <c r="J35" i="157"/>
  <c r="J150" i="15"/>
  <c r="J42" i="89"/>
  <c r="J98" i="89"/>
  <c r="J77" i="89"/>
  <c r="J46" i="89"/>
  <c r="I243" i="53"/>
  <c r="J102" i="120"/>
  <c r="J123" i="120"/>
  <c r="J41" i="120"/>
  <c r="J173" i="120"/>
  <c r="J74" i="120"/>
  <c r="J72" i="142"/>
  <c r="J209" i="142"/>
  <c r="J211" i="142"/>
  <c r="J138" i="142"/>
  <c r="J151" i="142"/>
  <c r="J147" i="50"/>
  <c r="J183" i="50"/>
  <c r="J32" i="50"/>
  <c r="J36" i="50"/>
  <c r="J98" i="50"/>
  <c r="J76" i="50"/>
  <c r="J150" i="50"/>
  <c r="J166" i="50"/>
  <c r="J35" i="50"/>
  <c r="J113" i="50"/>
  <c r="J69" i="50"/>
  <c r="J90" i="50"/>
  <c r="J172" i="50"/>
  <c r="J80" i="50"/>
  <c r="J120" i="50"/>
  <c r="J104" i="50"/>
  <c r="J121" i="50"/>
  <c r="J81" i="50"/>
  <c r="J83" i="50"/>
  <c r="J63" i="50"/>
  <c r="J173" i="50"/>
  <c r="J51" i="119"/>
  <c r="J185" i="119"/>
  <c r="J207" i="31"/>
  <c r="J171" i="31"/>
  <c r="J113" i="31"/>
  <c r="J76" i="120"/>
  <c r="J154" i="142"/>
  <c r="J60" i="142"/>
  <c r="J105" i="79"/>
  <c r="J137" i="79"/>
  <c r="J47" i="119"/>
  <c r="J37" i="119"/>
  <c r="J201" i="119"/>
  <c r="J199" i="31"/>
  <c r="J156" i="31"/>
  <c r="J94" i="31"/>
  <c r="J120" i="64"/>
  <c r="J171" i="120"/>
  <c r="J206" i="120"/>
  <c r="J39" i="120"/>
  <c r="J66" i="120"/>
  <c r="J193" i="120"/>
  <c r="J124" i="142"/>
  <c r="J131" i="142"/>
  <c r="J39" i="142"/>
  <c r="J78" i="142"/>
  <c r="J113" i="142"/>
  <c r="I220" i="50"/>
  <c r="J130" i="50"/>
  <c r="J52" i="50"/>
  <c r="J42" i="50"/>
  <c r="J60" i="50"/>
  <c r="J31" i="50"/>
  <c r="J48" i="50"/>
  <c r="J187" i="50"/>
  <c r="J169" i="50"/>
  <c r="J116" i="50"/>
  <c r="J191" i="50"/>
  <c r="J188" i="50"/>
  <c r="J202" i="50"/>
  <c r="J65" i="50"/>
  <c r="J192" i="50"/>
  <c r="J199" i="50"/>
  <c r="J201" i="50"/>
  <c r="J53" i="50"/>
  <c r="J33" i="50"/>
  <c r="J206" i="50"/>
  <c r="J92" i="50"/>
  <c r="J61" i="50"/>
  <c r="J197" i="119"/>
  <c r="J34" i="119"/>
  <c r="J97" i="119"/>
  <c r="J143" i="119"/>
  <c r="J112" i="119"/>
  <c r="J74" i="31"/>
  <c r="J49" i="120"/>
  <c r="J194" i="120"/>
  <c r="J156" i="142"/>
  <c r="J192" i="79"/>
  <c r="J80" i="79"/>
  <c r="J83" i="119"/>
  <c r="J103" i="119"/>
  <c r="J186" i="119"/>
  <c r="J184" i="119"/>
  <c r="J174" i="31"/>
  <c r="J138" i="31"/>
  <c r="J32" i="104"/>
  <c r="J181" i="104"/>
  <c r="J158" i="15"/>
  <c r="J157" i="89"/>
  <c r="J31" i="79"/>
  <c r="J128" i="79"/>
  <c r="J94" i="79"/>
  <c r="J53" i="79"/>
  <c r="J155" i="79"/>
  <c r="J195" i="79"/>
  <c r="J36" i="79"/>
  <c r="J73" i="79"/>
  <c r="J188" i="79"/>
  <c r="J33" i="79"/>
  <c r="J210" i="119"/>
  <c r="J90" i="119"/>
  <c r="M17" i="119"/>
  <c r="J199" i="119"/>
  <c r="J32" i="119"/>
  <c r="J87" i="119"/>
  <c r="J107" i="119"/>
  <c r="J59" i="119"/>
  <c r="J138" i="119"/>
  <c r="J200" i="119"/>
  <c r="J84" i="31"/>
  <c r="J120" i="31"/>
  <c r="J152" i="31"/>
  <c r="J79" i="31"/>
  <c r="J190" i="31"/>
  <c r="J73" i="31"/>
  <c r="J189" i="31"/>
  <c r="J154" i="31"/>
  <c r="J161" i="64"/>
  <c r="J124" i="64"/>
  <c r="J69" i="104"/>
  <c r="J96" i="104"/>
  <c r="J97" i="104"/>
  <c r="J155" i="157"/>
  <c r="J74" i="89"/>
  <c r="J120" i="89"/>
  <c r="J89" i="89"/>
  <c r="J136" i="89"/>
  <c r="J166" i="120"/>
  <c r="J87" i="120"/>
  <c r="J71" i="120"/>
  <c r="J113" i="120"/>
  <c r="J131" i="120"/>
  <c r="J200" i="142"/>
  <c r="J104" i="142"/>
  <c r="J162" i="142"/>
  <c r="J122" i="142"/>
  <c r="J207" i="142"/>
  <c r="J158" i="50"/>
  <c r="J198" i="50"/>
  <c r="J122" i="50"/>
  <c r="J115" i="50"/>
  <c r="J170" i="50"/>
  <c r="J75" i="50"/>
  <c r="J181" i="50"/>
  <c r="J156" i="50"/>
  <c r="J57" i="50"/>
  <c r="J152" i="50"/>
  <c r="J174" i="50"/>
  <c r="J140" i="50"/>
  <c r="J135" i="50"/>
  <c r="J128" i="50"/>
  <c r="J43" i="50"/>
  <c r="J39" i="50"/>
  <c r="J143" i="50"/>
  <c r="J186" i="50"/>
  <c r="J95" i="50"/>
  <c r="J176" i="50"/>
  <c r="J147" i="119"/>
  <c r="J122" i="119"/>
  <c r="J174" i="119"/>
  <c r="J36" i="31"/>
  <c r="I220" i="31"/>
  <c r="J88" i="31"/>
  <c r="J197" i="120"/>
  <c r="J177" i="142"/>
  <c r="J84" i="142"/>
  <c r="M17" i="79"/>
  <c r="J60" i="79"/>
  <c r="J83" i="79"/>
  <c r="J40" i="79"/>
  <c r="J198" i="79"/>
  <c r="J160" i="79"/>
  <c r="O213" i="119"/>
  <c r="J116" i="119"/>
  <c r="J104" i="119"/>
  <c r="J163" i="31"/>
  <c r="J196" i="31"/>
  <c r="J47" i="31"/>
  <c r="J163" i="64"/>
  <c r="J156" i="89"/>
  <c r="J184" i="89"/>
  <c r="J62" i="79"/>
  <c r="J122" i="79"/>
  <c r="J145" i="79"/>
  <c r="J44" i="79"/>
  <c r="J132" i="79"/>
  <c r="J147" i="79"/>
  <c r="J158" i="79"/>
  <c r="J130" i="79"/>
  <c r="J181" i="79"/>
  <c r="J202" i="79"/>
  <c r="J36" i="119"/>
  <c r="J79" i="119"/>
  <c r="J123" i="119"/>
  <c r="J130" i="119"/>
  <c r="J156" i="119"/>
  <c r="J166" i="119"/>
  <c r="J134" i="119"/>
  <c r="J183" i="119"/>
  <c r="J176" i="119"/>
  <c r="J140" i="31"/>
  <c r="J115" i="31"/>
  <c r="J201" i="31"/>
  <c r="J83" i="31"/>
  <c r="J166" i="31"/>
  <c r="J90" i="31"/>
  <c r="M17" i="31"/>
  <c r="J93" i="64"/>
  <c r="J196" i="64"/>
  <c r="I220" i="47"/>
  <c r="O213" i="47"/>
  <c r="J165" i="104"/>
  <c r="J196" i="104"/>
  <c r="J39" i="157"/>
  <c r="J135" i="89"/>
  <c r="J87" i="89"/>
  <c r="J200" i="89"/>
  <c r="J75" i="89"/>
  <c r="J119" i="120"/>
  <c r="J83" i="120"/>
  <c r="J31" i="120"/>
  <c r="J65" i="120"/>
  <c r="J162" i="120"/>
  <c r="J57" i="142"/>
  <c r="J38" i="142"/>
  <c r="J63" i="142"/>
  <c r="J181" i="142"/>
  <c r="J90" i="142"/>
  <c r="J156" i="49"/>
  <c r="J151" i="50"/>
  <c r="J180" i="50"/>
  <c r="J50" i="50"/>
  <c r="J73" i="50"/>
  <c r="J153" i="50"/>
  <c r="J142" i="50"/>
  <c r="J197" i="50"/>
  <c r="J66" i="50"/>
  <c r="J171" i="50"/>
  <c r="J161" i="50"/>
  <c r="J51" i="50"/>
  <c r="J190" i="50"/>
  <c r="J79" i="50"/>
  <c r="J146" i="50"/>
  <c r="J184" i="50"/>
  <c r="J38" i="50"/>
  <c r="J55" i="50"/>
  <c r="J124" i="50"/>
  <c r="J148" i="50"/>
  <c r="I243" i="20"/>
  <c r="J81" i="79"/>
  <c r="J113" i="79"/>
  <c r="J56" i="79"/>
  <c r="J143" i="79"/>
  <c r="J185" i="79"/>
  <c r="J163" i="79"/>
  <c r="J59" i="79"/>
  <c r="J154" i="79"/>
  <c r="J98" i="79"/>
  <c r="J46" i="79"/>
  <c r="J101" i="79"/>
  <c r="J172" i="79"/>
  <c r="J93" i="79"/>
  <c r="J78" i="79"/>
  <c r="J162" i="79"/>
  <c r="J199" i="79"/>
  <c r="J110" i="79"/>
  <c r="J104" i="79"/>
  <c r="J77" i="79"/>
  <c r="J55" i="79"/>
  <c r="J71" i="79"/>
  <c r="J70" i="79"/>
  <c r="J179" i="79"/>
  <c r="J45" i="79"/>
  <c r="J196" i="79"/>
  <c r="J124" i="79"/>
  <c r="J116" i="79"/>
  <c r="J170" i="79"/>
  <c r="J119" i="79"/>
  <c r="J115" i="79"/>
  <c r="J201" i="79"/>
  <c r="J209" i="79"/>
  <c r="J175" i="79"/>
  <c r="J95" i="79"/>
  <c r="J51" i="79"/>
  <c r="J189" i="79"/>
  <c r="J182" i="79"/>
  <c r="J48" i="79"/>
  <c r="J134" i="79"/>
  <c r="P16" i="98"/>
  <c r="J64" i="79"/>
  <c r="J157" i="79"/>
  <c r="J63" i="79"/>
  <c r="J135" i="79"/>
  <c r="J38" i="79"/>
  <c r="J66" i="79"/>
  <c r="J150" i="79"/>
  <c r="J75" i="79"/>
  <c r="J52" i="79"/>
  <c r="J82" i="79"/>
  <c r="J211" i="79"/>
  <c r="J206" i="79"/>
  <c r="J197" i="79"/>
  <c r="J106" i="79"/>
  <c r="J174" i="79"/>
  <c r="J88" i="79"/>
  <c r="J183" i="79"/>
  <c r="J72" i="79"/>
  <c r="J84" i="79"/>
  <c r="J140" i="79"/>
  <c r="J176" i="79"/>
  <c r="J190" i="79"/>
  <c r="J41" i="79"/>
  <c r="J49" i="79"/>
  <c r="J90" i="79"/>
  <c r="J58" i="79"/>
  <c r="J131" i="79"/>
  <c r="J165" i="79"/>
  <c r="J166" i="79"/>
  <c r="J74" i="79"/>
  <c r="J191" i="79"/>
  <c r="J112" i="79"/>
  <c r="J102" i="79"/>
  <c r="J79" i="79"/>
  <c r="J186" i="79"/>
  <c r="J200" i="79"/>
  <c r="J43" i="79"/>
  <c r="J121" i="79"/>
  <c r="J32" i="79"/>
  <c r="J54" i="79"/>
  <c r="J87" i="79"/>
  <c r="P16" i="47"/>
  <c r="P16" i="164"/>
  <c r="L209" i="97"/>
  <c r="P207" i="195" s="1"/>
  <c r="P16" i="133"/>
  <c r="P16" i="19"/>
  <c r="P16" i="177"/>
  <c r="P16" i="89"/>
  <c r="P16" i="175"/>
  <c r="P16" i="142"/>
  <c r="I243" i="72"/>
  <c r="J158" i="31"/>
  <c r="J43" i="31"/>
  <c r="J51" i="31"/>
  <c r="J49" i="31"/>
  <c r="J209" i="31"/>
  <c r="J64" i="31"/>
  <c r="J134" i="31"/>
  <c r="J80" i="31"/>
  <c r="J50" i="31"/>
  <c r="J122" i="31"/>
  <c r="J175" i="31"/>
  <c r="J187" i="31"/>
  <c r="J157" i="31"/>
  <c r="J142" i="31"/>
  <c r="J107" i="31"/>
  <c r="J148" i="31"/>
  <c r="J137" i="31"/>
  <c r="J92" i="31"/>
  <c r="J44" i="31"/>
  <c r="J151" i="31"/>
  <c r="J186" i="31"/>
  <c r="J40" i="157"/>
  <c r="J190" i="157"/>
  <c r="J175" i="157"/>
  <c r="J30" i="157"/>
  <c r="J205" i="102"/>
  <c r="J162" i="42"/>
  <c r="J178" i="42"/>
  <c r="J153" i="42"/>
  <c r="J41" i="42"/>
  <c r="J72" i="42"/>
  <c r="J55" i="42"/>
  <c r="J193" i="42"/>
  <c r="J186" i="120"/>
  <c r="J47" i="120"/>
  <c r="J73" i="120"/>
  <c r="J55" i="120"/>
  <c r="J140" i="120"/>
  <c r="J44" i="120"/>
  <c r="J209" i="120"/>
  <c r="J90" i="120"/>
  <c r="J106" i="120"/>
  <c r="J63" i="120"/>
  <c r="J163" i="120"/>
  <c r="J93" i="120"/>
  <c r="J70" i="120"/>
  <c r="J38" i="120"/>
  <c r="J104" i="120"/>
  <c r="J54" i="120"/>
  <c r="J201" i="120"/>
  <c r="J77" i="120"/>
  <c r="J172" i="120"/>
  <c r="J177" i="120"/>
  <c r="J120" i="142"/>
  <c r="J98" i="142"/>
  <c r="J30" i="142"/>
  <c r="J44" i="142"/>
  <c r="J145" i="142"/>
  <c r="J31" i="142"/>
  <c r="J128" i="142"/>
  <c r="J152" i="142"/>
  <c r="J89" i="142"/>
  <c r="J182" i="142"/>
  <c r="J173" i="142"/>
  <c r="J97" i="142"/>
  <c r="J103" i="142"/>
  <c r="M17" i="142"/>
  <c r="J188" i="142"/>
  <c r="J132" i="142"/>
  <c r="J50" i="142"/>
  <c r="J33" i="142"/>
  <c r="J136" i="142"/>
  <c r="J201" i="142"/>
  <c r="I243" i="177"/>
  <c r="J62" i="31"/>
  <c r="J184" i="31"/>
  <c r="J141" i="31"/>
  <c r="J35" i="31"/>
  <c r="J170" i="31"/>
  <c r="J63" i="31"/>
  <c r="J178" i="31"/>
  <c r="J58" i="31"/>
  <c r="J40" i="31"/>
  <c r="O213" i="31"/>
  <c r="J176" i="31"/>
  <c r="J164" i="31"/>
  <c r="J45" i="31"/>
  <c r="J128" i="31"/>
  <c r="J206" i="31"/>
  <c r="J33" i="31"/>
  <c r="J34" i="31"/>
  <c r="J46" i="31"/>
  <c r="J181" i="31"/>
  <c r="J52" i="31"/>
  <c r="J42" i="31"/>
  <c r="M17" i="157"/>
  <c r="J72" i="157"/>
  <c r="J170" i="157"/>
  <c r="J60" i="157"/>
  <c r="J142" i="42"/>
  <c r="J184" i="42"/>
  <c r="J209" i="42"/>
  <c r="J158" i="42"/>
  <c r="J171" i="42"/>
  <c r="J137" i="42"/>
  <c r="J69" i="42"/>
  <c r="M17" i="120"/>
  <c r="J81" i="120"/>
  <c r="J101" i="120"/>
  <c r="J34" i="120"/>
  <c r="J180" i="120"/>
  <c r="J59" i="120"/>
  <c r="J151" i="120"/>
  <c r="J198" i="120"/>
  <c r="J75" i="120"/>
  <c r="J84" i="120"/>
  <c r="J116" i="120"/>
  <c r="J36" i="120"/>
  <c r="J33" i="120"/>
  <c r="J82" i="120"/>
  <c r="J141" i="120"/>
  <c r="J142" i="120"/>
  <c r="J213" i="120"/>
  <c r="O213" i="120"/>
  <c r="J57" i="120"/>
  <c r="J135" i="120"/>
  <c r="J206" i="142"/>
  <c r="J213" i="142"/>
  <c r="J170" i="142"/>
  <c r="J91" i="142"/>
  <c r="J93" i="142"/>
  <c r="J187" i="142"/>
  <c r="J65" i="142"/>
  <c r="J142" i="142"/>
  <c r="J35" i="142"/>
  <c r="J61" i="142"/>
  <c r="J189" i="142"/>
  <c r="J163" i="142"/>
  <c r="J54" i="142"/>
  <c r="J81" i="142"/>
  <c r="J87" i="142"/>
  <c r="J71" i="142"/>
  <c r="J148" i="142"/>
  <c r="J46" i="142"/>
  <c r="J69" i="142"/>
  <c r="J153" i="142"/>
  <c r="J180" i="31"/>
  <c r="J102" i="31"/>
  <c r="J66" i="31"/>
  <c r="J55" i="31"/>
  <c r="J177" i="31"/>
  <c r="J132" i="31"/>
  <c r="J183" i="31"/>
  <c r="J202" i="31"/>
  <c r="J31" i="31"/>
  <c r="J200" i="31"/>
  <c r="J82" i="31"/>
  <c r="J105" i="31"/>
  <c r="J38" i="31"/>
  <c r="J110" i="31"/>
  <c r="J70" i="31"/>
  <c r="J95" i="31"/>
  <c r="J193" i="31"/>
  <c r="J161" i="31"/>
  <c r="J53" i="31"/>
  <c r="J169" i="31"/>
  <c r="J54" i="157"/>
  <c r="J57" i="157"/>
  <c r="J136" i="157"/>
  <c r="J173" i="157"/>
  <c r="J164" i="42"/>
  <c r="J189" i="42"/>
  <c r="J89" i="42"/>
  <c r="J121" i="42"/>
  <c r="J80" i="42"/>
  <c r="J152" i="42"/>
  <c r="J65" i="42"/>
  <c r="J45" i="42"/>
  <c r="J61" i="120"/>
  <c r="J169" i="120"/>
  <c r="J184" i="120"/>
  <c r="J160" i="120"/>
  <c r="J122" i="120"/>
  <c r="J60" i="120"/>
  <c r="J158" i="120"/>
  <c r="J161" i="120"/>
  <c r="J69" i="120"/>
  <c r="J178" i="120"/>
  <c r="J72" i="120"/>
  <c r="J181" i="120"/>
  <c r="J107" i="120"/>
  <c r="J80" i="120"/>
  <c r="J174" i="120"/>
  <c r="J207" i="120"/>
  <c r="J52" i="120"/>
  <c r="J192" i="120"/>
  <c r="J134" i="120"/>
  <c r="J136" i="120"/>
  <c r="J98" i="120"/>
  <c r="J174" i="142"/>
  <c r="J82" i="142"/>
  <c r="J53" i="142"/>
  <c r="J47" i="142"/>
  <c r="J45" i="142"/>
  <c r="J160" i="142"/>
  <c r="J114" i="142"/>
  <c r="J150" i="142"/>
  <c r="J161" i="142"/>
  <c r="J102" i="142"/>
  <c r="J76" i="142"/>
  <c r="J147" i="142"/>
  <c r="J64" i="142"/>
  <c r="J172" i="142"/>
  <c r="J106" i="142"/>
  <c r="J55" i="142"/>
  <c r="J42" i="142"/>
  <c r="J143" i="142"/>
  <c r="J165" i="142"/>
  <c r="J194" i="142"/>
  <c r="J211" i="31"/>
  <c r="J197" i="31"/>
  <c r="J77" i="31"/>
  <c r="J129" i="31"/>
  <c r="J153" i="31"/>
  <c r="J192" i="31"/>
  <c r="J172" i="31"/>
  <c r="J61" i="31"/>
  <c r="J39" i="31"/>
  <c r="J173" i="31"/>
  <c r="J145" i="31"/>
  <c r="J146" i="31"/>
  <c r="J98" i="31"/>
  <c r="J104" i="31"/>
  <c r="J91" i="31"/>
  <c r="J124" i="31"/>
  <c r="J116" i="31"/>
  <c r="J205" i="31"/>
  <c r="J114" i="31"/>
  <c r="J76" i="31"/>
  <c r="J70" i="157"/>
  <c r="J154" i="157"/>
  <c r="J110" i="157"/>
  <c r="J210" i="42"/>
  <c r="J112" i="42"/>
  <c r="J119" i="42"/>
  <c r="J81" i="42"/>
  <c r="J136" i="42"/>
  <c r="J97" i="42"/>
  <c r="J87" i="42"/>
  <c r="J146" i="42"/>
  <c r="J176" i="120"/>
  <c r="J182" i="120"/>
  <c r="J94" i="120"/>
  <c r="J152" i="120"/>
  <c r="J124" i="120"/>
  <c r="J121" i="120"/>
  <c r="J190" i="120"/>
  <c r="J147" i="120"/>
  <c r="J48" i="120"/>
  <c r="J92" i="120"/>
  <c r="J42" i="120"/>
  <c r="J145" i="120"/>
  <c r="J189" i="120"/>
  <c r="J153" i="120"/>
  <c r="J45" i="120"/>
  <c r="J40" i="120"/>
  <c r="J91" i="120"/>
  <c r="J115" i="120"/>
  <c r="J32" i="120"/>
  <c r="J154" i="120"/>
  <c r="J77" i="142"/>
  <c r="J186" i="142"/>
  <c r="J157" i="142"/>
  <c r="J88" i="142"/>
  <c r="J56" i="142"/>
  <c r="J59" i="142"/>
  <c r="J43" i="142"/>
  <c r="J52" i="142"/>
  <c r="J208" i="142"/>
  <c r="J185" i="142"/>
  <c r="J134" i="142"/>
  <c r="J62" i="142"/>
  <c r="J175" i="142"/>
  <c r="J41" i="142"/>
  <c r="J74" i="142"/>
  <c r="J121" i="142"/>
  <c r="J49" i="142"/>
  <c r="J210" i="142"/>
  <c r="J146" i="142"/>
  <c r="J158" i="142"/>
  <c r="J123" i="142"/>
  <c r="J185" i="31"/>
  <c r="J121" i="31"/>
  <c r="J160" i="31"/>
  <c r="J208" i="31"/>
  <c r="J155" i="31"/>
  <c r="J54" i="31"/>
  <c r="J195" i="31"/>
  <c r="J111" i="31"/>
  <c r="J191" i="31"/>
  <c r="J131" i="31"/>
  <c r="J89" i="31"/>
  <c r="J30" i="31"/>
  <c r="J162" i="31"/>
  <c r="J96" i="31"/>
  <c r="J123" i="31"/>
  <c r="J60" i="31"/>
  <c r="J213" i="31"/>
  <c r="J136" i="31"/>
  <c r="J41" i="31"/>
  <c r="J78" i="31"/>
  <c r="J123" i="157"/>
  <c r="J174" i="157"/>
  <c r="J106" i="157"/>
  <c r="J158" i="157"/>
  <c r="J88" i="42"/>
  <c r="J183" i="42"/>
  <c r="J70" i="42"/>
  <c r="J179" i="42"/>
  <c r="J58" i="42"/>
  <c r="J160" i="42"/>
  <c r="J163" i="42"/>
  <c r="J94" i="42"/>
  <c r="J150" i="120"/>
  <c r="J112" i="120"/>
  <c r="J51" i="120"/>
  <c r="J110" i="120"/>
  <c r="J78" i="120"/>
  <c r="J137" i="120"/>
  <c r="J211" i="120"/>
  <c r="J56" i="120"/>
  <c r="J185" i="120"/>
  <c r="J191" i="120"/>
  <c r="J187" i="120"/>
  <c r="J37" i="120"/>
  <c r="J175" i="120"/>
  <c r="J205" i="120"/>
  <c r="J88" i="120"/>
  <c r="J210" i="120"/>
  <c r="J143" i="120"/>
  <c r="J64" i="120"/>
  <c r="J188" i="120"/>
  <c r="J155" i="120"/>
  <c r="J128" i="120"/>
  <c r="J79" i="142"/>
  <c r="J184" i="142"/>
  <c r="J171" i="142"/>
  <c r="J75" i="142"/>
  <c r="J110" i="142"/>
  <c r="J116" i="142"/>
  <c r="J48" i="142"/>
  <c r="J101" i="142"/>
  <c r="J73" i="142"/>
  <c r="J107" i="142"/>
  <c r="J169" i="142"/>
  <c r="J119" i="142"/>
  <c r="J190" i="142"/>
  <c r="J70" i="142"/>
  <c r="J37" i="142"/>
  <c r="J94" i="142"/>
  <c r="J40" i="142"/>
  <c r="J195" i="142"/>
  <c r="J141" i="142"/>
  <c r="J115" i="142"/>
  <c r="O213" i="142"/>
  <c r="J213" i="42"/>
  <c r="J154" i="42"/>
  <c r="J116" i="42"/>
  <c r="J61" i="42"/>
  <c r="J52" i="42"/>
  <c r="J114" i="42"/>
  <c r="J195" i="42"/>
  <c r="J138" i="42"/>
  <c r="J199" i="120"/>
  <c r="J157" i="120"/>
  <c r="J79" i="120"/>
  <c r="J62" i="120"/>
  <c r="J130" i="120"/>
  <c r="J95" i="120"/>
  <c r="J129" i="120"/>
  <c r="J202" i="120"/>
  <c r="J170" i="120"/>
  <c r="J165" i="120"/>
  <c r="J89" i="120"/>
  <c r="J164" i="120"/>
  <c r="J200" i="120"/>
  <c r="J120" i="120"/>
  <c r="J195" i="120"/>
  <c r="J179" i="120"/>
  <c r="J138" i="120"/>
  <c r="J208" i="120"/>
  <c r="J43" i="120"/>
  <c r="J178" i="142"/>
  <c r="J34" i="142"/>
  <c r="J197" i="142"/>
  <c r="J198" i="142"/>
  <c r="J155" i="142"/>
  <c r="J83" i="142"/>
  <c r="J191" i="142"/>
  <c r="J130" i="142"/>
  <c r="J199" i="142"/>
  <c r="J36" i="142"/>
  <c r="J92" i="142"/>
  <c r="J164" i="142"/>
  <c r="J112" i="142"/>
  <c r="J183" i="142"/>
  <c r="J51" i="142"/>
  <c r="J196" i="142"/>
  <c r="J176" i="142"/>
  <c r="J179" i="142"/>
  <c r="J96" i="142"/>
  <c r="J166" i="142"/>
  <c r="J111" i="142"/>
  <c r="P16" i="102"/>
  <c r="P16" i="145"/>
  <c r="P16" i="106"/>
  <c r="P16" i="21"/>
  <c r="P16" i="111"/>
  <c r="P16" i="174"/>
  <c r="P16" i="157"/>
  <c r="P21" i="152"/>
  <c r="P16" i="58"/>
  <c r="P16" i="28"/>
  <c r="P16" i="84"/>
  <c r="P16" i="55"/>
  <c r="P16" i="71"/>
  <c r="L41" i="97"/>
  <c r="P39" i="195" s="1"/>
  <c r="P16" i="60"/>
  <c r="P16" i="120"/>
  <c r="P16" i="79"/>
  <c r="P16" i="37"/>
  <c r="P16" i="72"/>
  <c r="P16" i="156"/>
  <c r="P16" i="103"/>
  <c r="P16" i="24"/>
  <c r="P21" i="19"/>
  <c r="P21" i="135"/>
  <c r="P21" i="136"/>
  <c r="P21" i="175"/>
  <c r="J61" i="84"/>
  <c r="J76" i="84"/>
  <c r="J152" i="84"/>
  <c r="J57" i="84"/>
  <c r="J156" i="84"/>
  <c r="J71" i="84"/>
  <c r="J123" i="84"/>
  <c r="J186" i="84"/>
  <c r="J154" i="84"/>
  <c r="J192" i="84"/>
  <c r="J145" i="84"/>
  <c r="J96" i="84"/>
  <c r="J199" i="84"/>
  <c r="J132" i="84"/>
  <c r="J95" i="84"/>
  <c r="J176" i="84"/>
  <c r="J143" i="84"/>
  <c r="J175" i="84"/>
  <c r="J112" i="84"/>
  <c r="J198" i="84"/>
  <c r="J196" i="84"/>
  <c r="J101" i="84"/>
  <c r="J62" i="84"/>
  <c r="J55" i="84"/>
  <c r="J138" i="84"/>
  <c r="J153" i="84"/>
  <c r="J106" i="84"/>
  <c r="J97" i="84"/>
  <c r="J102" i="84"/>
  <c r="J210" i="84"/>
  <c r="J211" i="84"/>
  <c r="J38" i="84"/>
  <c r="J129" i="84"/>
  <c r="J183" i="84"/>
  <c r="J88" i="84"/>
  <c r="J173" i="84"/>
  <c r="J58" i="84"/>
  <c r="J53" i="84"/>
  <c r="J35" i="84"/>
  <c r="J92" i="84"/>
  <c r="J83" i="84"/>
  <c r="J170" i="84"/>
  <c r="J197" i="84"/>
  <c r="J189" i="84"/>
  <c r="J114" i="84"/>
  <c r="J160" i="84"/>
  <c r="J77" i="84"/>
  <c r="J166" i="84"/>
  <c r="O213" i="84"/>
  <c r="J190" i="84"/>
  <c r="J45" i="84"/>
  <c r="J56" i="84"/>
  <c r="J136" i="84"/>
  <c r="J193" i="84"/>
  <c r="M17" i="84"/>
  <c r="J164" i="84"/>
  <c r="J172" i="84"/>
  <c r="J130" i="84"/>
  <c r="J140" i="84"/>
  <c r="J213" i="84"/>
  <c r="J179" i="84"/>
  <c r="J31" i="84"/>
  <c r="J113" i="84"/>
  <c r="J157" i="84"/>
  <c r="J54" i="84"/>
  <c r="J184" i="84"/>
  <c r="J165" i="84"/>
  <c r="J202" i="84"/>
  <c r="J134" i="84"/>
  <c r="J44" i="84"/>
  <c r="J187" i="84"/>
  <c r="J59" i="84"/>
  <c r="J63" i="84"/>
  <c r="J111" i="84"/>
  <c r="J150" i="84"/>
  <c r="J121" i="84"/>
  <c r="J115" i="84"/>
  <c r="I243" i="71"/>
  <c r="J98" i="1"/>
  <c r="J194" i="1"/>
  <c r="J32" i="1"/>
  <c r="J164" i="1"/>
  <c r="J51" i="1"/>
  <c r="J74" i="1"/>
  <c r="J188" i="1"/>
  <c r="J189" i="1"/>
  <c r="J136" i="1"/>
  <c r="J172" i="1"/>
  <c r="J179" i="1"/>
  <c r="J174" i="1"/>
  <c r="J121" i="19"/>
  <c r="J145" i="19"/>
  <c r="J162" i="19"/>
  <c r="J80" i="19"/>
  <c r="I220" i="24"/>
  <c r="J140" i="24"/>
  <c r="J210" i="24"/>
  <c r="J37" i="24"/>
  <c r="J166" i="24"/>
  <c r="J194" i="84"/>
  <c r="J206" i="141"/>
  <c r="J174" i="141"/>
  <c r="J175" i="141"/>
  <c r="J178" i="141"/>
  <c r="J194" i="141"/>
  <c r="J65" i="141"/>
  <c r="J80" i="141"/>
  <c r="J102" i="141"/>
  <c r="J123" i="141"/>
  <c r="J70" i="141"/>
  <c r="J104" i="141"/>
  <c r="J57" i="141"/>
  <c r="J122" i="141"/>
  <c r="J79" i="141"/>
  <c r="J93" i="141"/>
  <c r="J32" i="141"/>
  <c r="J60" i="141"/>
  <c r="J163" i="141"/>
  <c r="J63" i="141"/>
  <c r="J170" i="141"/>
  <c r="J43" i="141"/>
  <c r="J37" i="141"/>
  <c r="J52" i="141"/>
  <c r="J176" i="141"/>
  <c r="J38" i="141"/>
  <c r="J164" i="141"/>
  <c r="J97" i="141"/>
  <c r="J124" i="141"/>
  <c r="J160" i="141"/>
  <c r="J152" i="141"/>
  <c r="J146" i="141"/>
  <c r="J136" i="141"/>
  <c r="J172" i="141"/>
  <c r="J62" i="141"/>
  <c r="J36" i="141"/>
  <c r="J82" i="141"/>
  <c r="J213" i="141"/>
  <c r="J197" i="141"/>
  <c r="J42" i="141"/>
  <c r="J90" i="141"/>
  <c r="J94" i="141"/>
  <c r="J105" i="141"/>
  <c r="J40" i="141"/>
  <c r="J183" i="141"/>
  <c r="J138" i="141"/>
  <c r="J132" i="141"/>
  <c r="J103" i="141"/>
  <c r="J124" i="84"/>
  <c r="J95" i="19"/>
  <c r="J175" i="19"/>
  <c r="J41" i="19"/>
  <c r="J122" i="19"/>
  <c r="J128" i="19"/>
  <c r="J192" i="19"/>
  <c r="J196" i="19"/>
  <c r="J66" i="19"/>
  <c r="J101" i="19"/>
  <c r="J58" i="19"/>
  <c r="J148" i="19"/>
  <c r="J158" i="19"/>
  <c r="J137" i="19"/>
  <c r="J202" i="19"/>
  <c r="J39" i="19"/>
  <c r="J114" i="19"/>
  <c r="J31" i="19"/>
  <c r="J174" i="19"/>
  <c r="J47" i="19"/>
  <c r="J110" i="19"/>
  <c r="J61" i="19"/>
  <c r="J53" i="19"/>
  <c r="J147" i="19"/>
  <c r="J83" i="19"/>
  <c r="J119" i="19"/>
  <c r="J142" i="19"/>
  <c r="J146" i="19"/>
  <c r="J141" i="19"/>
  <c r="J213" i="19"/>
  <c r="J45" i="19"/>
  <c r="J152" i="19"/>
  <c r="J211" i="19"/>
  <c r="J94" i="19"/>
  <c r="J34" i="19"/>
  <c r="J138" i="19"/>
  <c r="J186" i="19"/>
  <c r="J160" i="19"/>
  <c r="J150" i="19"/>
  <c r="J191" i="19"/>
  <c r="J132" i="19"/>
  <c r="J165" i="19"/>
  <c r="J210" i="19"/>
  <c r="J30" i="19"/>
  <c r="J173" i="19"/>
  <c r="J161" i="19"/>
  <c r="J183" i="19"/>
  <c r="J124" i="19"/>
  <c r="J87" i="19"/>
  <c r="J153" i="19"/>
  <c r="J182" i="19"/>
  <c r="J88" i="19"/>
  <c r="J156" i="19"/>
  <c r="J40" i="19"/>
  <c r="J56" i="19"/>
  <c r="J190" i="19"/>
  <c r="J199" i="19"/>
  <c r="J172" i="19"/>
  <c r="J77" i="19"/>
  <c r="J74" i="19"/>
  <c r="J63" i="19"/>
  <c r="J131" i="19"/>
  <c r="J104" i="19"/>
  <c r="O213" i="19"/>
  <c r="J184" i="19"/>
  <c r="J69" i="19"/>
  <c r="J115" i="19"/>
  <c r="J116" i="19"/>
  <c r="J180" i="19"/>
  <c r="J71" i="19"/>
  <c r="J46" i="19"/>
  <c r="J84" i="19"/>
  <c r="J89" i="19"/>
  <c r="J76" i="19"/>
  <c r="J97" i="19"/>
  <c r="J164" i="19"/>
  <c r="J38" i="19"/>
  <c r="J73" i="19"/>
  <c r="J59" i="19"/>
  <c r="J143" i="19"/>
  <c r="J57" i="19"/>
  <c r="J35" i="19"/>
  <c r="J206" i="19"/>
  <c r="J50" i="19"/>
  <c r="J42" i="19"/>
  <c r="J65" i="19"/>
  <c r="J163" i="19"/>
  <c r="J179" i="19"/>
  <c r="J64" i="19"/>
  <c r="J81" i="19"/>
  <c r="J75" i="19"/>
  <c r="J33" i="19"/>
  <c r="J70" i="19"/>
  <c r="J171" i="19"/>
  <c r="J43" i="19"/>
  <c r="J120" i="19"/>
  <c r="J154" i="19"/>
  <c r="J113" i="19"/>
  <c r="J177" i="19"/>
  <c r="J208" i="19"/>
  <c r="J136" i="19"/>
  <c r="J92" i="19"/>
  <c r="J194" i="19"/>
  <c r="J193" i="19"/>
  <c r="J178" i="19"/>
  <c r="J129" i="19"/>
  <c r="J107" i="19"/>
  <c r="J207" i="19"/>
  <c r="J103" i="19"/>
  <c r="J205" i="19"/>
  <c r="J200" i="19"/>
  <c r="J102" i="19"/>
  <c r="J170" i="19"/>
  <c r="J48" i="19"/>
  <c r="J185" i="19"/>
  <c r="M17" i="19"/>
  <c r="J189" i="19"/>
  <c r="J49" i="19"/>
  <c r="J195" i="19"/>
  <c r="J134" i="19"/>
  <c r="J60" i="19"/>
  <c r="J55" i="19"/>
  <c r="J79" i="19"/>
  <c r="J140" i="19"/>
  <c r="J202" i="24"/>
  <c r="J103" i="24"/>
  <c r="J148" i="24"/>
  <c r="J180" i="24"/>
  <c r="J92" i="24"/>
  <c r="J62" i="24"/>
  <c r="J175" i="24"/>
  <c r="J208" i="24"/>
  <c r="J160" i="24"/>
  <c r="J31" i="24"/>
  <c r="J40" i="24"/>
  <c r="J136" i="24"/>
  <c r="J191" i="24"/>
  <c r="J128" i="24"/>
  <c r="J150" i="24"/>
  <c r="J66" i="24"/>
  <c r="J35" i="24"/>
  <c r="J122" i="24"/>
  <c r="J137" i="24"/>
  <c r="J70" i="24"/>
  <c r="J94" i="24"/>
  <c r="J199" i="24"/>
  <c r="J46" i="24"/>
  <c r="J120" i="24"/>
  <c r="J115" i="24"/>
  <c r="J73" i="24"/>
  <c r="J79" i="24"/>
  <c r="J112" i="24"/>
  <c r="J201" i="24"/>
  <c r="J93" i="24"/>
  <c r="J88" i="24"/>
  <c r="J52" i="24"/>
  <c r="J164" i="24"/>
  <c r="J155" i="24"/>
  <c r="J185" i="24"/>
  <c r="J183" i="24"/>
  <c r="J131" i="24"/>
  <c r="J138" i="24"/>
  <c r="J54" i="24"/>
  <c r="J170" i="24"/>
  <c r="J142" i="24"/>
  <c r="J101" i="24"/>
  <c r="J89" i="24"/>
  <c r="J69" i="24"/>
  <c r="J64" i="24"/>
  <c r="J154" i="24"/>
  <c r="J200" i="24"/>
  <c r="J193" i="24"/>
  <c r="J123" i="24"/>
  <c r="J90" i="24"/>
  <c r="J63" i="24"/>
  <c r="J176" i="24"/>
  <c r="J161" i="24"/>
  <c r="J196" i="24"/>
  <c r="J158" i="24"/>
  <c r="J179" i="24"/>
  <c r="J143" i="24"/>
  <c r="J194" i="24"/>
  <c r="J174" i="24"/>
  <c r="J151" i="24"/>
  <c r="J211" i="24"/>
  <c r="J197" i="24"/>
  <c r="J121" i="24"/>
  <c r="J34" i="24"/>
  <c r="J163" i="24"/>
  <c r="J42" i="24"/>
  <c r="J145" i="24"/>
  <c r="J102" i="24"/>
  <c r="J186" i="24"/>
  <c r="J106" i="24"/>
  <c r="J49" i="24"/>
  <c r="J209" i="24"/>
  <c r="M17" i="24"/>
  <c r="J116" i="24"/>
  <c r="J65" i="24"/>
  <c r="J105" i="24"/>
  <c r="J181" i="24"/>
  <c r="J178" i="24"/>
  <c r="J110" i="24"/>
  <c r="J76" i="24"/>
  <c r="J48" i="24"/>
  <c r="J111" i="24"/>
  <c r="J95" i="24"/>
  <c r="J195" i="24"/>
  <c r="J75" i="24"/>
  <c r="J33" i="24"/>
  <c r="J146" i="24"/>
  <c r="J72" i="24"/>
  <c r="J157" i="24"/>
  <c r="J56" i="24"/>
  <c r="J172" i="24"/>
  <c r="J205" i="24"/>
  <c r="J192" i="24"/>
  <c r="J207" i="24"/>
  <c r="J165" i="24"/>
  <c r="J171" i="24"/>
  <c r="J119" i="24"/>
  <c r="J173" i="24"/>
  <c r="J91" i="24"/>
  <c r="J156" i="24"/>
  <c r="J190" i="24"/>
  <c r="J96" i="24"/>
  <c r="J113" i="24"/>
  <c r="J177" i="24"/>
  <c r="J50" i="24"/>
  <c r="J78" i="24"/>
  <c r="J141" i="24"/>
  <c r="J87" i="24"/>
  <c r="J30" i="24"/>
  <c r="J169" i="24"/>
  <c r="J147" i="24"/>
  <c r="J45" i="24"/>
  <c r="J39" i="24"/>
  <c r="J153" i="24"/>
  <c r="J47" i="24"/>
  <c r="J32" i="24"/>
  <c r="J213" i="24"/>
  <c r="J130" i="24"/>
  <c r="J162" i="24"/>
  <c r="J44" i="24"/>
  <c r="J182" i="24"/>
  <c r="J84" i="104"/>
  <c r="J192" i="104"/>
  <c r="J157" i="104"/>
  <c r="J205" i="104"/>
  <c r="J71" i="1"/>
  <c r="J130" i="1"/>
  <c r="J105" i="1"/>
  <c r="J107" i="1"/>
  <c r="J210" i="1"/>
  <c r="J106" i="1"/>
  <c r="J183" i="1"/>
  <c r="J87" i="1"/>
  <c r="J65" i="1"/>
  <c r="J145" i="1"/>
  <c r="J193" i="1"/>
  <c r="J62" i="1"/>
  <c r="J201" i="19"/>
  <c r="J197" i="19"/>
  <c r="J187" i="19"/>
  <c r="J181" i="19"/>
  <c r="J198" i="19"/>
  <c r="J134" i="141"/>
  <c r="J76" i="141"/>
  <c r="J58" i="24"/>
  <c r="J77" i="24"/>
  <c r="J55" i="24"/>
  <c r="J107" i="24"/>
  <c r="J38" i="24"/>
  <c r="J84" i="49"/>
  <c r="J110" i="84"/>
  <c r="J34" i="84"/>
  <c r="J141" i="84"/>
  <c r="J87" i="84"/>
  <c r="J134" i="104"/>
  <c r="J78" i="104"/>
  <c r="J177" i="104"/>
  <c r="J104" i="104"/>
  <c r="J49" i="104"/>
  <c r="J56" i="1"/>
  <c r="J57" i="1"/>
  <c r="J36" i="1"/>
  <c r="J92" i="1"/>
  <c r="J176" i="1"/>
  <c r="J160" i="1"/>
  <c r="J102" i="1"/>
  <c r="J121" i="1"/>
  <c r="J205" i="1"/>
  <c r="J197" i="1"/>
  <c r="J155" i="1"/>
  <c r="J50" i="1"/>
  <c r="J52" i="19"/>
  <c r="J93" i="19"/>
  <c r="J96" i="19"/>
  <c r="J62" i="19"/>
  <c r="J98" i="19"/>
  <c r="J69" i="141"/>
  <c r="J88" i="141"/>
  <c r="J206" i="24"/>
  <c r="J51" i="24"/>
  <c r="J189" i="24"/>
  <c r="J152" i="24"/>
  <c r="J198" i="24"/>
  <c r="J152" i="49"/>
  <c r="J135" i="49"/>
  <c r="J89" i="84"/>
  <c r="J182" i="84"/>
  <c r="J36" i="84"/>
  <c r="J107" i="84"/>
  <c r="J152" i="104"/>
  <c r="J88" i="104"/>
  <c r="J73" i="104"/>
  <c r="J50" i="104"/>
  <c r="J145" i="104"/>
  <c r="J40" i="1"/>
  <c r="J165" i="1"/>
  <c r="J186" i="1"/>
  <c r="J163" i="1"/>
  <c r="J48" i="1"/>
  <c r="J119" i="1"/>
  <c r="J103" i="1"/>
  <c r="J148" i="1"/>
  <c r="J177" i="1"/>
  <c r="J43" i="1"/>
  <c r="J78" i="1"/>
  <c r="J32" i="19"/>
  <c r="J209" i="19"/>
  <c r="J44" i="19"/>
  <c r="J90" i="19"/>
  <c r="J157" i="19"/>
  <c r="J119" i="141"/>
  <c r="J155" i="141"/>
  <c r="O213" i="24"/>
  <c r="J84" i="24"/>
  <c r="J74" i="24"/>
  <c r="J187" i="24"/>
  <c r="J114" i="24"/>
  <c r="J31" i="49"/>
  <c r="J171" i="84"/>
  <c r="J91" i="84"/>
  <c r="J33" i="84"/>
  <c r="J163" i="84"/>
  <c r="J31" i="1"/>
  <c r="J169" i="1"/>
  <c r="J206" i="1"/>
  <c r="J140" i="1"/>
  <c r="J185" i="1"/>
  <c r="J196" i="1"/>
  <c r="I220" i="1"/>
  <c r="J200" i="1"/>
  <c r="J104" i="1"/>
  <c r="J30" i="1"/>
  <c r="J69" i="1"/>
  <c r="J184" i="1"/>
  <c r="J115" i="1"/>
  <c r="J209" i="1"/>
  <c r="J202" i="1"/>
  <c r="J114" i="1"/>
  <c r="J161" i="1"/>
  <c r="J128" i="1"/>
  <c r="J84" i="1"/>
  <c r="J54" i="1"/>
  <c r="J46" i="1"/>
  <c r="J96" i="1"/>
  <c r="J110" i="1"/>
  <c r="J72" i="1"/>
  <c r="J170" i="1"/>
  <c r="J124" i="1"/>
  <c r="J199" i="1"/>
  <c r="J195" i="1"/>
  <c r="J116" i="1"/>
  <c r="J187" i="1"/>
  <c r="J35" i="1"/>
  <c r="J134" i="1"/>
  <c r="J173" i="1"/>
  <c r="J190" i="1"/>
  <c r="J162" i="1"/>
  <c r="J93" i="1"/>
  <c r="J191" i="1"/>
  <c r="J131" i="1"/>
  <c r="J91" i="1"/>
  <c r="J53" i="1"/>
  <c r="J66" i="1"/>
  <c r="J101" i="1"/>
  <c r="J88" i="1"/>
  <c r="J147" i="1"/>
  <c r="J34" i="1"/>
  <c r="J180" i="1"/>
  <c r="J49" i="1"/>
  <c r="J42" i="1"/>
  <c r="J111" i="1"/>
  <c r="J38" i="1"/>
  <c r="J137" i="1"/>
  <c r="J113" i="1"/>
  <c r="J211" i="1"/>
  <c r="J192" i="1"/>
  <c r="J90" i="1"/>
  <c r="J182" i="1"/>
  <c r="J73" i="1"/>
  <c r="J37" i="1"/>
  <c r="J61" i="1"/>
  <c r="J135" i="1"/>
  <c r="J138" i="1"/>
  <c r="J94" i="1"/>
  <c r="J82" i="1"/>
  <c r="J52" i="1"/>
  <c r="J70" i="1"/>
  <c r="J58" i="1"/>
  <c r="J47" i="1"/>
  <c r="J132" i="1"/>
  <c r="J122" i="1"/>
  <c r="J81" i="1"/>
  <c r="J154" i="1"/>
  <c r="J59" i="1"/>
  <c r="J75" i="1"/>
  <c r="J120" i="1"/>
  <c r="J143" i="1"/>
  <c r="J156" i="1"/>
  <c r="J152" i="1"/>
  <c r="J79" i="1"/>
  <c r="J80" i="1"/>
  <c r="J105" i="19"/>
  <c r="J91" i="19"/>
  <c r="J72" i="19"/>
  <c r="J123" i="19"/>
  <c r="I220" i="19"/>
  <c r="J82" i="19"/>
  <c r="J165" i="141"/>
  <c r="J153" i="141"/>
  <c r="J134" i="24"/>
  <c r="J41" i="24"/>
  <c r="J83" i="24"/>
  <c r="J59" i="24"/>
  <c r="J80" i="24"/>
  <c r="J43" i="84"/>
  <c r="J186" i="49"/>
  <c r="J106" i="49"/>
  <c r="J111" i="49"/>
  <c r="J98" i="49"/>
  <c r="J169" i="49"/>
  <c r="J76" i="49"/>
  <c r="J97" i="49"/>
  <c r="J114" i="49"/>
  <c r="J77" i="49"/>
  <c r="J80" i="49"/>
  <c r="J142" i="49"/>
  <c r="J41" i="49"/>
  <c r="J113" i="49"/>
  <c r="J184" i="49"/>
  <c r="J163" i="49"/>
  <c r="J46" i="49"/>
  <c r="J65" i="49"/>
  <c r="J30" i="49"/>
  <c r="J42" i="49"/>
  <c r="J193" i="49"/>
  <c r="J49" i="49"/>
  <c r="J209" i="49"/>
  <c r="J148" i="49"/>
  <c r="J138" i="49"/>
  <c r="J116" i="49"/>
  <c r="J141" i="49"/>
  <c r="J161" i="49"/>
  <c r="J208" i="49"/>
  <c r="J72" i="49"/>
  <c r="J140" i="49"/>
  <c r="J69" i="49"/>
  <c r="J200" i="49"/>
  <c r="J48" i="84"/>
  <c r="J42" i="84"/>
  <c r="J146" i="84"/>
  <c r="I243" i="27"/>
  <c r="J93" i="84"/>
  <c r="J131" i="84"/>
  <c r="J185" i="84"/>
  <c r="J162" i="104"/>
  <c r="J210" i="104"/>
  <c r="J77" i="104"/>
  <c r="J55" i="104"/>
  <c r="J201" i="1"/>
  <c r="J142" i="1"/>
  <c r="J175" i="1"/>
  <c r="J213" i="1"/>
  <c r="J89" i="1"/>
  <c r="J157" i="1"/>
  <c r="J41" i="1"/>
  <c r="J64" i="1"/>
  <c r="J207" i="1"/>
  <c r="J166" i="1"/>
  <c r="J60" i="1"/>
  <c r="J153" i="1"/>
  <c r="J106" i="19"/>
  <c r="J155" i="19"/>
  <c r="J51" i="19"/>
  <c r="J151" i="19"/>
  <c r="J111" i="19"/>
  <c r="J30" i="141"/>
  <c r="J135" i="24"/>
  <c r="J71" i="24"/>
  <c r="J104" i="24"/>
  <c r="J60" i="24"/>
  <c r="J81" i="24"/>
  <c r="J97" i="24"/>
  <c r="J164" i="49"/>
  <c r="J46" i="84"/>
  <c r="J205" i="84"/>
  <c r="I243" i="84"/>
  <c r="P21" i="16"/>
  <c r="P21" i="92"/>
  <c r="P21" i="42"/>
  <c r="P23" i="135"/>
  <c r="P21" i="120"/>
  <c r="P21" i="53"/>
  <c r="P21" i="49"/>
  <c r="P23" i="20"/>
  <c r="P23" i="165"/>
  <c r="P23" i="150"/>
  <c r="P23" i="90"/>
  <c r="P23" i="98"/>
  <c r="P21" i="94"/>
  <c r="P21" i="68"/>
  <c r="P21" i="63"/>
  <c r="P21" i="60"/>
  <c r="P21" i="165"/>
  <c r="P21" i="21"/>
  <c r="P21" i="62"/>
  <c r="P16" i="62"/>
  <c r="P16" i="33"/>
  <c r="P16" i="15"/>
  <c r="P16" i="27"/>
  <c r="P16" i="136"/>
  <c r="P16" i="94"/>
  <c r="P16" i="118"/>
  <c r="P16" i="49"/>
  <c r="P16" i="57"/>
  <c r="P16" i="167"/>
  <c r="P21" i="33"/>
  <c r="P21" i="27"/>
  <c r="P21" i="90"/>
  <c r="P21" i="159"/>
  <c r="P21" i="55"/>
  <c r="P21" i="39"/>
  <c r="P21" i="20"/>
  <c r="P21" i="66"/>
  <c r="P21" i="85"/>
  <c r="P21" i="98"/>
  <c r="P16" i="92"/>
  <c r="P16" i="64"/>
  <c r="P16" i="178"/>
  <c r="P16" i="86"/>
  <c r="P16" i="119"/>
  <c r="P16" i="68"/>
  <c r="P16" i="150"/>
  <c r="P16" i="85"/>
  <c r="P16" i="113"/>
  <c r="P16" i="50"/>
  <c r="P21" i="111"/>
  <c r="P21" i="167"/>
  <c r="P21" i="54"/>
  <c r="P21" i="47"/>
  <c r="P21" i="142"/>
  <c r="P21" i="25"/>
  <c r="P21" i="32"/>
  <c r="P21" i="43"/>
  <c r="P21" i="84"/>
  <c r="P21" i="150"/>
  <c r="P21" i="164"/>
  <c r="P21" i="102"/>
  <c r="P21" i="89"/>
  <c r="P16" i="31"/>
  <c r="P16" i="65"/>
  <c r="P16" i="159"/>
  <c r="P16" i="66"/>
  <c r="P16" i="135"/>
  <c r="P16" i="1"/>
  <c r="P16" i="158"/>
  <c r="P16" i="43"/>
  <c r="P16" i="152"/>
  <c r="P21" i="57"/>
  <c r="P21" i="31"/>
  <c r="P21" i="83"/>
  <c r="P21" i="28"/>
  <c r="P21" i="24"/>
  <c r="P21" i="86"/>
  <c r="P21" i="177"/>
  <c r="P21" i="119"/>
  <c r="P21" i="133"/>
  <c r="P21" i="50"/>
  <c r="P21" i="65"/>
  <c r="P21" i="58"/>
  <c r="P21" i="15"/>
  <c r="P21" i="118"/>
  <c r="P21" i="14"/>
  <c r="P16" i="155"/>
  <c r="P16" i="87"/>
  <c r="P16" i="141"/>
  <c r="P16" i="39"/>
  <c r="P16" i="53"/>
  <c r="P16" i="20"/>
  <c r="P16" i="165"/>
  <c r="P16" i="25"/>
  <c r="P16" i="46"/>
  <c r="P21" i="103"/>
  <c r="P21" i="71"/>
  <c r="P21" i="72"/>
  <c r="P21" i="113"/>
  <c r="P21" i="157"/>
  <c r="P21" i="87"/>
  <c r="P21" i="104"/>
  <c r="P21" i="37"/>
  <c r="P16" i="63"/>
  <c r="P16" i="95"/>
  <c r="P16" i="90"/>
  <c r="P16" i="16"/>
  <c r="P16" i="38"/>
  <c r="P16" i="32"/>
  <c r="P16" i="54"/>
  <c r="P16" i="104"/>
  <c r="P16" i="42"/>
  <c r="P16" i="14"/>
  <c r="P21" i="155"/>
  <c r="P21" i="46"/>
  <c r="P21" i="79"/>
  <c r="P21" i="174"/>
  <c r="P21" i="1"/>
  <c r="P21" i="145"/>
  <c r="P21" i="106"/>
  <c r="P21" i="178"/>
  <c r="P21" i="141"/>
  <c r="P21" i="158"/>
  <c r="P21" i="38"/>
  <c r="P21" i="64"/>
  <c r="P21" i="95"/>
  <c r="P17" i="89"/>
  <c r="P23" i="21"/>
  <c r="P23" i="62"/>
  <c r="P23" i="14"/>
  <c r="P23" i="136"/>
  <c r="P23" i="175"/>
  <c r="P23" i="142"/>
  <c r="P23" i="31"/>
  <c r="P17" i="178"/>
  <c r="J66" i="72"/>
  <c r="J187" i="72"/>
  <c r="J40" i="72"/>
  <c r="J209" i="72"/>
  <c r="J49" i="72"/>
  <c r="J175" i="72"/>
  <c r="O213" i="72"/>
  <c r="J183" i="72"/>
  <c r="J184" i="72"/>
  <c r="J119" i="72"/>
  <c r="J120" i="72"/>
  <c r="J160" i="72"/>
  <c r="J146" i="72"/>
  <c r="J77" i="72"/>
  <c r="J141" i="72"/>
  <c r="J55" i="72"/>
  <c r="J132" i="72"/>
  <c r="J154" i="72"/>
  <c r="J32" i="72"/>
  <c r="J130" i="72"/>
  <c r="P17" i="21"/>
  <c r="J37" i="72"/>
  <c r="J76" i="72"/>
  <c r="J157" i="72"/>
  <c r="J182" i="72"/>
  <c r="J89" i="72"/>
  <c r="J84" i="72"/>
  <c r="J44" i="72"/>
  <c r="J50" i="72"/>
  <c r="J151" i="72"/>
  <c r="J137" i="72"/>
  <c r="J45" i="72"/>
  <c r="J135" i="72"/>
  <c r="J129" i="72"/>
  <c r="J173" i="72"/>
  <c r="J200" i="72"/>
  <c r="J95" i="72"/>
  <c r="J179" i="72"/>
  <c r="J150" i="72"/>
  <c r="J54" i="72"/>
  <c r="J195" i="72"/>
  <c r="J103" i="72"/>
  <c r="P17" i="95"/>
  <c r="P17" i="62"/>
  <c r="J145" i="72"/>
  <c r="J153" i="72"/>
  <c r="J72" i="72"/>
  <c r="J165" i="72"/>
  <c r="J199" i="72"/>
  <c r="J74" i="72"/>
  <c r="J42" i="72"/>
  <c r="J171" i="72"/>
  <c r="J57" i="72"/>
  <c r="J207" i="72"/>
  <c r="J90" i="72"/>
  <c r="J152" i="72"/>
  <c r="J115" i="72"/>
  <c r="J31" i="72"/>
  <c r="J82" i="72"/>
  <c r="J98" i="72"/>
  <c r="J201" i="72"/>
  <c r="J166" i="72"/>
  <c r="J83" i="72"/>
  <c r="J211" i="72"/>
  <c r="J181" i="72"/>
  <c r="P17" i="20"/>
  <c r="J73" i="72"/>
  <c r="J75" i="72"/>
  <c r="J102" i="72"/>
  <c r="J39" i="72"/>
  <c r="J177" i="72"/>
  <c r="J69" i="72"/>
  <c r="J162" i="72"/>
  <c r="J192" i="72"/>
  <c r="J53" i="72"/>
  <c r="J138" i="72"/>
  <c r="J205" i="72"/>
  <c r="J93" i="72"/>
  <c r="J178" i="72"/>
  <c r="J112" i="72"/>
  <c r="J163" i="72"/>
  <c r="J91" i="72"/>
  <c r="J58" i="72"/>
  <c r="J198" i="72"/>
  <c r="J123" i="72"/>
  <c r="J51" i="72"/>
  <c r="J170" i="72"/>
  <c r="P17" i="157"/>
  <c r="J38" i="72"/>
  <c r="J128" i="72"/>
  <c r="J189" i="72"/>
  <c r="J94" i="72"/>
  <c r="J87" i="72"/>
  <c r="J194" i="72"/>
  <c r="J161" i="72"/>
  <c r="J34" i="72"/>
  <c r="J96" i="72"/>
  <c r="J122" i="72"/>
  <c r="J101" i="72"/>
  <c r="J190" i="72"/>
  <c r="J113" i="72"/>
  <c r="J48" i="72"/>
  <c r="J164" i="72"/>
  <c r="J180" i="72"/>
  <c r="J116" i="72"/>
  <c r="J52" i="72"/>
  <c r="J148" i="72"/>
  <c r="J92" i="72"/>
  <c r="P17" i="94"/>
  <c r="J114" i="65"/>
  <c r="J175" i="65"/>
  <c r="J184" i="15"/>
  <c r="J142" i="65"/>
  <c r="J198" i="65"/>
  <c r="J74" i="65"/>
  <c r="J201" i="65"/>
  <c r="J101" i="65"/>
  <c r="J72" i="15"/>
  <c r="J52" i="15"/>
  <c r="J157" i="15"/>
  <c r="J169" i="15"/>
  <c r="I220" i="15"/>
  <c r="J32" i="15"/>
  <c r="J156" i="15"/>
  <c r="J151" i="15"/>
  <c r="J175" i="15"/>
  <c r="J66" i="15"/>
  <c r="J112" i="15"/>
  <c r="J211" i="15"/>
  <c r="J153" i="15"/>
  <c r="J202" i="15"/>
  <c r="J37" i="15"/>
  <c r="J142" i="15"/>
  <c r="J176" i="15"/>
  <c r="J113" i="15"/>
  <c r="J138" i="15"/>
  <c r="J148" i="15"/>
  <c r="J104" i="15"/>
  <c r="J33" i="15"/>
  <c r="J171" i="15"/>
  <c r="J36" i="15"/>
  <c r="J154" i="15"/>
  <c r="J83" i="15"/>
  <c r="M17" i="15"/>
  <c r="J136" i="15"/>
  <c r="J147" i="15"/>
  <c r="J45" i="15"/>
  <c r="J92" i="15"/>
  <c r="J54" i="15"/>
  <c r="J161" i="15"/>
  <c r="J59" i="15"/>
  <c r="J141" i="15"/>
  <c r="J122" i="15"/>
  <c r="J191" i="15"/>
  <c r="J196" i="15"/>
  <c r="J87" i="15"/>
  <c r="J110" i="15"/>
  <c r="J182" i="15"/>
  <c r="J209" i="15"/>
  <c r="J103" i="15"/>
  <c r="J56" i="15"/>
  <c r="J178" i="15"/>
  <c r="J200" i="15"/>
  <c r="J143" i="15"/>
  <c r="J81" i="15"/>
  <c r="J31" i="15"/>
  <c r="J77" i="15"/>
  <c r="J90" i="15"/>
  <c r="J173" i="15"/>
  <c r="J121" i="15"/>
  <c r="J155" i="15"/>
  <c r="J123" i="15"/>
  <c r="J128" i="15"/>
  <c r="J119" i="15"/>
  <c r="J134" i="15"/>
  <c r="J197" i="15"/>
  <c r="J120" i="15"/>
  <c r="J107" i="15"/>
  <c r="J140" i="15"/>
  <c r="J179" i="15"/>
  <c r="J46" i="15"/>
  <c r="J115" i="15"/>
  <c r="J163" i="15"/>
  <c r="J65" i="15"/>
  <c r="J97" i="15"/>
  <c r="J34" i="15"/>
  <c r="O213" i="15"/>
  <c r="J114" i="15"/>
  <c r="J106" i="15"/>
  <c r="J38" i="15"/>
  <c r="J95" i="15"/>
  <c r="J187" i="15"/>
  <c r="J51" i="15"/>
  <c r="J166" i="15"/>
  <c r="J165" i="15"/>
  <c r="J194" i="15"/>
  <c r="J131" i="15"/>
  <c r="J73" i="15"/>
  <c r="J62" i="15"/>
  <c r="J40" i="15"/>
  <c r="J129" i="15"/>
  <c r="J94" i="15"/>
  <c r="J75" i="15"/>
  <c r="J111" i="15"/>
  <c r="J58" i="15"/>
  <c r="J152" i="15"/>
  <c r="J183" i="15"/>
  <c r="J47" i="15"/>
  <c r="J57" i="15"/>
  <c r="J185" i="15"/>
  <c r="J201" i="15"/>
  <c r="J190" i="15"/>
  <c r="J41" i="15"/>
  <c r="J164" i="15"/>
  <c r="J74" i="15"/>
  <c r="J181" i="15"/>
  <c r="J174" i="15"/>
  <c r="J105" i="15"/>
  <c r="J192" i="15"/>
  <c r="J76" i="15"/>
  <c r="J145" i="15"/>
  <c r="J91" i="15"/>
  <c r="J162" i="15"/>
  <c r="J50" i="15"/>
  <c r="J70" i="15"/>
  <c r="J71" i="15"/>
  <c r="J93" i="15"/>
  <c r="J210" i="15"/>
  <c r="J102" i="15"/>
  <c r="J78" i="15"/>
  <c r="J186" i="15"/>
  <c r="J30" i="15"/>
  <c r="J135" i="15"/>
  <c r="J96" i="15"/>
  <c r="J55" i="15"/>
  <c r="J124" i="15"/>
  <c r="J79" i="15"/>
  <c r="J198" i="15"/>
  <c r="J132" i="15"/>
  <c r="J53" i="15"/>
  <c r="J189" i="15"/>
  <c r="J160" i="15"/>
  <c r="J188" i="15"/>
  <c r="J89" i="15"/>
  <c r="J206" i="15"/>
  <c r="J84" i="15"/>
  <c r="J88" i="15"/>
  <c r="J49" i="15"/>
  <c r="J30" i="65"/>
  <c r="J63" i="15"/>
  <c r="J73" i="65"/>
  <c r="J129" i="65"/>
  <c r="J32" i="65"/>
  <c r="J187" i="65"/>
  <c r="J104" i="65"/>
  <c r="J82" i="15"/>
  <c r="J64" i="15"/>
  <c r="J208" i="15"/>
  <c r="J43" i="15"/>
  <c r="J60" i="15"/>
  <c r="J190" i="65"/>
  <c r="J148" i="65"/>
  <c r="J43" i="65"/>
  <c r="J119" i="65"/>
  <c r="J207" i="15"/>
  <c r="J35" i="15"/>
  <c r="J146" i="15"/>
  <c r="J130" i="15"/>
  <c r="J193" i="15"/>
  <c r="J138" i="65"/>
  <c r="J77" i="65"/>
  <c r="J88" i="65"/>
  <c r="J153" i="65"/>
  <c r="J169" i="65"/>
  <c r="J95" i="65"/>
  <c r="J137" i="65"/>
  <c r="J210" i="65"/>
  <c r="J145" i="65"/>
  <c r="J102" i="65"/>
  <c r="J213" i="65"/>
  <c r="J96" i="65"/>
  <c r="J31" i="65"/>
  <c r="J56" i="65"/>
  <c r="J206" i="65"/>
  <c r="J171" i="65"/>
  <c r="J183" i="65"/>
  <c r="J34" i="65"/>
  <c r="J105" i="65"/>
  <c r="J194" i="65"/>
  <c r="J71" i="65"/>
  <c r="J162" i="65"/>
  <c r="J202" i="65"/>
  <c r="J66" i="65"/>
  <c r="M17" i="65"/>
  <c r="J124" i="65"/>
  <c r="J184" i="65"/>
  <c r="J65" i="65"/>
  <c r="J61" i="65"/>
  <c r="J211" i="65"/>
  <c r="J141" i="65"/>
  <c r="J191" i="65"/>
  <c r="J70" i="65"/>
  <c r="J97" i="65"/>
  <c r="J50" i="65"/>
  <c r="J208" i="65"/>
  <c r="J205" i="65"/>
  <c r="J177" i="65"/>
  <c r="J64" i="65"/>
  <c r="J115" i="65"/>
  <c r="J113" i="65"/>
  <c r="J89" i="65"/>
  <c r="J135" i="65"/>
  <c r="J44" i="65"/>
  <c r="J130" i="65"/>
  <c r="J186" i="65"/>
  <c r="J103" i="65"/>
  <c r="J75" i="65"/>
  <c r="J134" i="65"/>
  <c r="J87" i="65"/>
  <c r="J84" i="65"/>
  <c r="J79" i="65"/>
  <c r="J47" i="65"/>
  <c r="J179" i="65"/>
  <c r="J106" i="65"/>
  <c r="J196" i="65"/>
  <c r="J195" i="65"/>
  <c r="J161" i="65"/>
  <c r="J58" i="65"/>
  <c r="J45" i="65"/>
  <c r="J176" i="65"/>
  <c r="J57" i="65"/>
  <c r="J188" i="65"/>
  <c r="J59" i="65"/>
  <c r="J165" i="65"/>
  <c r="J90" i="65"/>
  <c r="J36" i="65"/>
  <c r="J156" i="65"/>
  <c r="J172" i="65"/>
  <c r="J185" i="65"/>
  <c r="J207" i="65"/>
  <c r="J107" i="65"/>
  <c r="J53" i="65"/>
  <c r="J154" i="65"/>
  <c r="J132" i="65"/>
  <c r="J163" i="65"/>
  <c r="J49" i="65"/>
  <c r="J46" i="65"/>
  <c r="J81" i="65"/>
  <c r="J80" i="65"/>
  <c r="J199" i="65"/>
  <c r="O213" i="65"/>
  <c r="J158" i="65"/>
  <c r="J131" i="65"/>
  <c r="J54" i="65"/>
  <c r="J112" i="65"/>
  <c r="J178" i="65"/>
  <c r="J192" i="65"/>
  <c r="J123" i="65"/>
  <c r="J76" i="65"/>
  <c r="J152" i="65"/>
  <c r="J136" i="65"/>
  <c r="J166" i="65"/>
  <c r="J164" i="65"/>
  <c r="J150" i="65"/>
  <c r="J160" i="65"/>
  <c r="J193" i="65"/>
  <c r="J182" i="65"/>
  <c r="J48" i="65"/>
  <c r="J200" i="65"/>
  <c r="J62" i="65"/>
  <c r="J82" i="65"/>
  <c r="J40" i="65"/>
  <c r="J51" i="65"/>
  <c r="J174" i="65"/>
  <c r="J180" i="65"/>
  <c r="J55" i="65"/>
  <c r="J181" i="65"/>
  <c r="J94" i="65"/>
  <c r="J121" i="65"/>
  <c r="J63" i="65"/>
  <c r="J83" i="65"/>
  <c r="J98" i="65"/>
  <c r="J42" i="65"/>
  <c r="J151" i="65"/>
  <c r="J173" i="65"/>
  <c r="J72" i="65"/>
  <c r="J128" i="65"/>
  <c r="J91" i="65"/>
  <c r="J116" i="65"/>
  <c r="J110" i="65"/>
  <c r="J93" i="65"/>
  <c r="J157" i="65"/>
  <c r="J33" i="65"/>
  <c r="J195" i="15"/>
  <c r="J37" i="65"/>
  <c r="J170" i="65"/>
  <c r="J143" i="65"/>
  <c r="J209" i="65"/>
  <c r="J147" i="65"/>
  <c r="J116" i="15"/>
  <c r="J199" i="15"/>
  <c r="J180" i="15"/>
  <c r="J170" i="15"/>
  <c r="J177" i="15"/>
  <c r="J52" i="65"/>
  <c r="J137" i="15"/>
  <c r="J155" i="65"/>
  <c r="J120" i="65"/>
  <c r="J111" i="65"/>
  <c r="J69" i="65"/>
  <c r="J140" i="65"/>
  <c r="J101" i="15"/>
  <c r="J48" i="15"/>
  <c r="J61" i="15"/>
  <c r="J39" i="15"/>
  <c r="J122" i="65"/>
  <c r="J44" i="15"/>
  <c r="J41" i="65"/>
  <c r="J39" i="65"/>
  <c r="J92" i="65"/>
  <c r="J60" i="65"/>
  <c r="J189" i="65"/>
  <c r="J98" i="15"/>
  <c r="J205" i="15"/>
  <c r="J42" i="15"/>
  <c r="J172" i="15"/>
  <c r="I243" i="55"/>
  <c r="I243" i="95"/>
  <c r="J174" i="177"/>
  <c r="J60" i="177"/>
  <c r="J152" i="177"/>
  <c r="J58" i="177"/>
  <c r="J180" i="177"/>
  <c r="J124" i="177"/>
  <c r="J47" i="177"/>
  <c r="J90" i="177"/>
  <c r="J115" i="177"/>
  <c r="J94" i="177"/>
  <c r="J183" i="177"/>
  <c r="J33" i="177"/>
  <c r="J66" i="177"/>
  <c r="J74" i="177"/>
  <c r="J82" i="177"/>
  <c r="J187" i="177"/>
  <c r="J185" i="177"/>
  <c r="J208" i="177"/>
  <c r="J69" i="177"/>
  <c r="J96" i="177"/>
  <c r="J147" i="177"/>
  <c r="J42" i="64"/>
  <c r="J206" i="64"/>
  <c r="J46" i="64"/>
  <c r="J33" i="64"/>
  <c r="J132" i="175"/>
  <c r="J64" i="175"/>
  <c r="J185" i="175"/>
  <c r="J94" i="175"/>
  <c r="J76" i="175"/>
  <c r="J205" i="175"/>
  <c r="J106" i="175"/>
  <c r="J87" i="175"/>
  <c r="J206" i="175"/>
  <c r="J201" i="175"/>
  <c r="J101" i="175"/>
  <c r="O213" i="175"/>
  <c r="J128" i="175"/>
  <c r="J209" i="175"/>
  <c r="J102" i="175"/>
  <c r="J171" i="175"/>
  <c r="J83" i="175"/>
  <c r="J135" i="175"/>
  <c r="I220" i="175"/>
  <c r="J138" i="175"/>
  <c r="J60" i="175"/>
  <c r="J184" i="141"/>
  <c r="J147" i="141"/>
  <c r="J98" i="141"/>
  <c r="J201" i="141"/>
  <c r="J207" i="141"/>
  <c r="J74" i="141"/>
  <c r="J116" i="141"/>
  <c r="J72" i="141"/>
  <c r="J89" i="141"/>
  <c r="J61" i="141"/>
  <c r="J171" i="141"/>
  <c r="J73" i="141"/>
  <c r="J141" i="141"/>
  <c r="M17" i="141"/>
  <c r="J59" i="141"/>
  <c r="J66" i="141"/>
  <c r="J179" i="141"/>
  <c r="J46" i="141"/>
  <c r="J169" i="141"/>
  <c r="O213" i="141"/>
  <c r="J182" i="141"/>
  <c r="J95" i="42"/>
  <c r="J132" i="42"/>
  <c r="J123" i="42"/>
  <c r="J92" i="42"/>
  <c r="J169" i="42"/>
  <c r="J90" i="42"/>
  <c r="J43" i="42"/>
  <c r="J64" i="42"/>
  <c r="J185" i="42"/>
  <c r="J48" i="42"/>
  <c r="J211" i="42"/>
  <c r="J57" i="42"/>
  <c r="J49" i="42"/>
  <c r="J200" i="42"/>
  <c r="J59" i="42"/>
  <c r="J44" i="42"/>
  <c r="J122" i="42"/>
  <c r="J104" i="42"/>
  <c r="J157" i="42"/>
  <c r="J76" i="42"/>
  <c r="J177" i="175"/>
  <c r="J200" i="175"/>
  <c r="J143" i="175"/>
  <c r="J158" i="175"/>
  <c r="J173" i="175"/>
  <c r="J52" i="175"/>
  <c r="J154" i="175"/>
  <c r="J152" i="175"/>
  <c r="I220" i="42"/>
  <c r="J171" i="177"/>
  <c r="J97" i="177"/>
  <c r="J181" i="177"/>
  <c r="J157" i="177"/>
  <c r="J112" i="177"/>
  <c r="J120" i="177"/>
  <c r="J209" i="177"/>
  <c r="J40" i="177"/>
  <c r="J130" i="177"/>
  <c r="J154" i="177"/>
  <c r="J191" i="177"/>
  <c r="J51" i="177"/>
  <c r="J114" i="177"/>
  <c r="J106" i="177"/>
  <c r="J59" i="177"/>
  <c r="J123" i="177"/>
  <c r="J35" i="177"/>
  <c r="J50" i="177"/>
  <c r="J43" i="177"/>
  <c r="J79" i="177"/>
  <c r="J198" i="177"/>
  <c r="J179" i="64"/>
  <c r="J35" i="64"/>
  <c r="J89" i="64"/>
  <c r="J95" i="64"/>
  <c r="J62" i="175"/>
  <c r="J31" i="175"/>
  <c r="J77" i="175"/>
  <c r="J104" i="175"/>
  <c r="J136" i="175"/>
  <c r="J42" i="175"/>
  <c r="J211" i="175"/>
  <c r="J105" i="175"/>
  <c r="J187" i="175"/>
  <c r="J146" i="175"/>
  <c r="J193" i="175"/>
  <c r="J84" i="175"/>
  <c r="J198" i="175"/>
  <c r="J140" i="175"/>
  <c r="J45" i="175"/>
  <c r="J41" i="175"/>
  <c r="J131" i="175"/>
  <c r="J33" i="175"/>
  <c r="J56" i="175"/>
  <c r="J157" i="175"/>
  <c r="J33" i="141"/>
  <c r="J95" i="141"/>
  <c r="J181" i="141"/>
  <c r="J58" i="141"/>
  <c r="J173" i="141"/>
  <c r="J187" i="141"/>
  <c r="J41" i="141"/>
  <c r="J45" i="141"/>
  <c r="J111" i="141"/>
  <c r="J81" i="141"/>
  <c r="J202" i="141"/>
  <c r="J198" i="141"/>
  <c r="J77" i="141"/>
  <c r="J92" i="141"/>
  <c r="J120" i="141"/>
  <c r="J114" i="141"/>
  <c r="J84" i="141"/>
  <c r="J145" i="141"/>
  <c r="J107" i="141"/>
  <c r="J137" i="141"/>
  <c r="J208" i="141"/>
  <c r="J177" i="42"/>
  <c r="J156" i="42"/>
  <c r="J31" i="42"/>
  <c r="J84" i="42"/>
  <c r="J172" i="42"/>
  <c r="J186" i="42"/>
  <c r="J62" i="42"/>
  <c r="J96" i="42"/>
  <c r="J175" i="42"/>
  <c r="J106" i="42"/>
  <c r="O213" i="42"/>
  <c r="J206" i="42"/>
  <c r="J35" i="42"/>
  <c r="J32" i="42"/>
  <c r="J188" i="42"/>
  <c r="J53" i="42"/>
  <c r="J120" i="42"/>
  <c r="J207" i="42"/>
  <c r="J130" i="42"/>
  <c r="J128" i="42"/>
  <c r="J197" i="175"/>
  <c r="J92" i="175"/>
  <c r="J180" i="175"/>
  <c r="J74" i="175"/>
  <c r="J39" i="175"/>
  <c r="J92" i="177"/>
  <c r="J169" i="177"/>
  <c r="J111" i="177"/>
  <c r="J202" i="177"/>
  <c r="J72" i="177"/>
  <c r="J140" i="177"/>
  <c r="J62" i="177"/>
  <c r="J197" i="177"/>
  <c r="J76" i="177"/>
  <c r="J184" i="177"/>
  <c r="J88" i="177"/>
  <c r="J142" i="177"/>
  <c r="J146" i="177"/>
  <c r="J46" i="177"/>
  <c r="J210" i="177"/>
  <c r="J134" i="177"/>
  <c r="J206" i="177"/>
  <c r="J64" i="177"/>
  <c r="J98" i="177"/>
  <c r="J105" i="177"/>
  <c r="J193" i="64"/>
  <c r="J31" i="64"/>
  <c r="J96" i="64"/>
  <c r="J145" i="64"/>
  <c r="M17" i="175"/>
  <c r="J44" i="175"/>
  <c r="J172" i="175"/>
  <c r="J164" i="175"/>
  <c r="J115" i="175"/>
  <c r="J169" i="175"/>
  <c r="J81" i="175"/>
  <c r="J66" i="175"/>
  <c r="J155" i="175"/>
  <c r="J54" i="175"/>
  <c r="J151" i="175"/>
  <c r="J120" i="175"/>
  <c r="J114" i="175"/>
  <c r="J50" i="175"/>
  <c r="J183" i="175"/>
  <c r="J53" i="175"/>
  <c r="J43" i="175"/>
  <c r="J46" i="175"/>
  <c r="J142" i="175"/>
  <c r="J134" i="175"/>
  <c r="J179" i="175"/>
  <c r="I220" i="141"/>
  <c r="J101" i="141"/>
  <c r="J157" i="141"/>
  <c r="J191" i="141"/>
  <c r="J47" i="141"/>
  <c r="J53" i="141"/>
  <c r="J150" i="141"/>
  <c r="J200" i="141"/>
  <c r="J188" i="141"/>
  <c r="J158" i="141"/>
  <c r="J142" i="141"/>
  <c r="J196" i="141"/>
  <c r="J78" i="141"/>
  <c r="J195" i="141"/>
  <c r="J56" i="141"/>
  <c r="J87" i="141"/>
  <c r="J180" i="141"/>
  <c r="J113" i="141"/>
  <c r="J156" i="141"/>
  <c r="J44" i="141"/>
  <c r="J186" i="141"/>
  <c r="J177" i="141"/>
  <c r="J208" i="42"/>
  <c r="J197" i="42"/>
  <c r="J78" i="42"/>
  <c r="J33" i="42"/>
  <c r="J34" i="42"/>
  <c r="J107" i="42"/>
  <c r="J82" i="42"/>
  <c r="J147" i="42"/>
  <c r="J91" i="42"/>
  <c r="J79" i="42"/>
  <c r="J51" i="42"/>
  <c r="J60" i="42"/>
  <c r="J201" i="42"/>
  <c r="J110" i="42"/>
  <c r="J176" i="42"/>
  <c r="J71" i="42"/>
  <c r="J111" i="42"/>
  <c r="J190" i="42"/>
  <c r="J102" i="42"/>
  <c r="J148" i="42"/>
  <c r="J115" i="42"/>
  <c r="J150" i="175"/>
  <c r="J129" i="175"/>
  <c r="J137" i="175"/>
  <c r="J36" i="177"/>
  <c r="J166" i="177"/>
  <c r="J163" i="177"/>
  <c r="J150" i="177"/>
  <c r="J165" i="177"/>
  <c r="J172" i="177"/>
  <c r="J81" i="177"/>
  <c r="J194" i="177"/>
  <c r="J30" i="177"/>
  <c r="J205" i="177"/>
  <c r="J175" i="177"/>
  <c r="J148" i="177"/>
  <c r="J102" i="177"/>
  <c r="J135" i="177"/>
  <c r="J101" i="177"/>
  <c r="J38" i="177"/>
  <c r="J122" i="177"/>
  <c r="J129" i="177"/>
  <c r="J141" i="177"/>
  <c r="J32" i="177"/>
  <c r="J116" i="64"/>
  <c r="J142" i="64"/>
  <c r="J81" i="64"/>
  <c r="J207" i="64"/>
  <c r="J107" i="175"/>
  <c r="J208" i="175"/>
  <c r="J30" i="175"/>
  <c r="J189" i="175"/>
  <c r="J199" i="175"/>
  <c r="J58" i="175"/>
  <c r="J163" i="175"/>
  <c r="J82" i="175"/>
  <c r="J156" i="175"/>
  <c r="J170" i="175"/>
  <c r="J191" i="175"/>
  <c r="J97" i="175"/>
  <c r="J192" i="175"/>
  <c r="J141" i="175"/>
  <c r="J98" i="175"/>
  <c r="J47" i="175"/>
  <c r="J51" i="175"/>
  <c r="J63" i="175"/>
  <c r="J80" i="175"/>
  <c r="J35" i="175"/>
  <c r="J112" i="175"/>
  <c r="J71" i="141"/>
  <c r="J211" i="141"/>
  <c r="J39" i="141"/>
  <c r="J121" i="141"/>
  <c r="J162" i="141"/>
  <c r="J154" i="141"/>
  <c r="J49" i="141"/>
  <c r="J151" i="141"/>
  <c r="J185" i="141"/>
  <c r="J140" i="141"/>
  <c r="J31" i="141"/>
  <c r="J135" i="141"/>
  <c r="J205" i="141"/>
  <c r="J75" i="141"/>
  <c r="J55" i="141"/>
  <c r="J128" i="141"/>
  <c r="J35" i="141"/>
  <c r="J130" i="141"/>
  <c r="J193" i="141"/>
  <c r="J124" i="42"/>
  <c r="J191" i="42"/>
  <c r="J98" i="42"/>
  <c r="J74" i="42"/>
  <c r="J155" i="42"/>
  <c r="J150" i="42"/>
  <c r="J30" i="42"/>
  <c r="J141" i="42"/>
  <c r="J66" i="42"/>
  <c r="J50" i="42"/>
  <c r="J134" i="42"/>
  <c r="J101" i="42"/>
  <c r="J36" i="42"/>
  <c r="J143" i="42"/>
  <c r="J205" i="42"/>
  <c r="J77" i="42"/>
  <c r="J63" i="42"/>
  <c r="J199" i="42"/>
  <c r="J83" i="42"/>
  <c r="J180" i="42"/>
  <c r="J198" i="42"/>
  <c r="I243" i="1"/>
  <c r="I220" i="84"/>
  <c r="J50" i="84"/>
  <c r="J103" i="84"/>
  <c r="J79" i="84"/>
  <c r="J151" i="84"/>
  <c r="J178" i="84"/>
  <c r="J90" i="84"/>
  <c r="J206" i="84"/>
  <c r="J74" i="84"/>
  <c r="J47" i="84"/>
  <c r="J73" i="84"/>
  <c r="J135" i="84"/>
  <c r="J122" i="84"/>
  <c r="J105" i="84"/>
  <c r="J174" i="84"/>
  <c r="J70" i="84"/>
  <c r="J39" i="84"/>
  <c r="J98" i="84"/>
  <c r="J169" i="84"/>
  <c r="J120" i="84"/>
  <c r="J177" i="84"/>
  <c r="J142" i="84"/>
  <c r="J32" i="84"/>
  <c r="J208" i="84"/>
  <c r="J158" i="84"/>
  <c r="J195" i="84"/>
  <c r="J75" i="84"/>
  <c r="J207" i="84"/>
  <c r="J64" i="84"/>
  <c r="J65" i="84"/>
  <c r="J161" i="84"/>
  <c r="J82" i="84"/>
  <c r="J78" i="84"/>
  <c r="J37" i="84"/>
  <c r="J49" i="84"/>
  <c r="J66" i="84"/>
  <c r="J60" i="84"/>
  <c r="J180" i="84"/>
  <c r="J41" i="84"/>
  <c r="J191" i="84"/>
  <c r="J72" i="84"/>
  <c r="J69" i="84"/>
  <c r="J84" i="84"/>
  <c r="J181" i="84"/>
  <c r="J155" i="84"/>
  <c r="J162" i="84"/>
  <c r="J104" i="84"/>
  <c r="J116" i="84"/>
  <c r="J81" i="84"/>
  <c r="J209" i="84"/>
  <c r="J147" i="84"/>
  <c r="J148" i="84"/>
  <c r="J52" i="84"/>
  <c r="J201" i="84"/>
  <c r="J200" i="84"/>
  <c r="J51" i="84"/>
  <c r="J188" i="84"/>
  <c r="J40" i="84"/>
  <c r="J119" i="84"/>
  <c r="J94" i="84"/>
  <c r="J80" i="84"/>
  <c r="J137" i="84"/>
  <c r="J71" i="175"/>
  <c r="J34" i="175"/>
  <c r="J124" i="175"/>
  <c r="J165" i="175"/>
  <c r="J186" i="175"/>
  <c r="J31" i="177"/>
  <c r="J173" i="177"/>
  <c r="J137" i="177"/>
  <c r="J78" i="177"/>
  <c r="J116" i="177"/>
  <c r="J186" i="177"/>
  <c r="J211" i="177"/>
  <c r="J199" i="177"/>
  <c r="J48" i="177"/>
  <c r="J119" i="177"/>
  <c r="J34" i="177"/>
  <c r="J84" i="177"/>
  <c r="J56" i="177"/>
  <c r="J158" i="177"/>
  <c r="J89" i="177"/>
  <c r="J87" i="177"/>
  <c r="J160" i="177"/>
  <c r="J107" i="177"/>
  <c r="J193" i="177"/>
  <c r="J88" i="64"/>
  <c r="J48" i="64"/>
  <c r="J83" i="64"/>
  <c r="J97" i="64"/>
  <c r="J178" i="175"/>
  <c r="J32" i="175"/>
  <c r="J121" i="175"/>
  <c r="J202" i="175"/>
  <c r="J190" i="175"/>
  <c r="J96" i="175"/>
  <c r="J38" i="175"/>
  <c r="J166" i="175"/>
  <c r="J90" i="175"/>
  <c r="J213" i="175"/>
  <c r="J207" i="175"/>
  <c r="J69" i="175"/>
  <c r="J36" i="175"/>
  <c r="J175" i="175"/>
  <c r="J123" i="175"/>
  <c r="J79" i="175"/>
  <c r="J174" i="175"/>
  <c r="J93" i="175"/>
  <c r="J49" i="175"/>
  <c r="J64" i="141"/>
  <c r="J91" i="141"/>
  <c r="J192" i="141"/>
  <c r="J110" i="141"/>
  <c r="J106" i="141"/>
  <c r="J131" i="141"/>
  <c r="J34" i="141"/>
  <c r="J50" i="141"/>
  <c r="J83" i="141"/>
  <c r="J199" i="141"/>
  <c r="J209" i="141"/>
  <c r="J112" i="141"/>
  <c r="J161" i="141"/>
  <c r="J51" i="141"/>
  <c r="J96" i="141"/>
  <c r="J148" i="141"/>
  <c r="J143" i="141"/>
  <c r="J115" i="141"/>
  <c r="J129" i="141"/>
  <c r="J170" i="42"/>
  <c r="J38" i="42"/>
  <c r="J187" i="42"/>
  <c r="J73" i="42"/>
  <c r="J161" i="42"/>
  <c r="J37" i="42"/>
  <c r="J131" i="42"/>
  <c r="J75" i="42"/>
  <c r="J174" i="42"/>
  <c r="J173" i="42"/>
  <c r="J105" i="42"/>
  <c r="J202" i="42"/>
  <c r="J181" i="42"/>
  <c r="J42" i="42"/>
  <c r="J166" i="42"/>
  <c r="J194" i="42"/>
  <c r="J56" i="42"/>
  <c r="J135" i="42"/>
  <c r="J46" i="42"/>
  <c r="J160" i="87"/>
  <c r="J71" i="87"/>
  <c r="J95" i="87"/>
  <c r="J151" i="87"/>
  <c r="J66" i="87"/>
  <c r="J170" i="87"/>
  <c r="J189" i="87"/>
  <c r="J132" i="87"/>
  <c r="J49" i="87"/>
  <c r="J34" i="87"/>
  <c r="J105" i="87"/>
  <c r="J207" i="87"/>
  <c r="J116" i="87"/>
  <c r="J146" i="87"/>
  <c r="J46" i="87"/>
  <c r="J111" i="87"/>
  <c r="J130" i="87"/>
  <c r="J38" i="87"/>
  <c r="J137" i="87"/>
  <c r="J41" i="87"/>
  <c r="J155" i="87"/>
  <c r="J47" i="87"/>
  <c r="J97" i="87"/>
  <c r="J188" i="87"/>
  <c r="J115" i="87"/>
  <c r="J113" i="87"/>
  <c r="J88" i="87"/>
  <c r="J202" i="87"/>
  <c r="J164" i="87"/>
  <c r="J42" i="87"/>
  <c r="J57" i="87"/>
  <c r="J184" i="87"/>
  <c r="J129" i="87"/>
  <c r="J30" i="87"/>
  <c r="J31" i="87"/>
  <c r="J175" i="87"/>
  <c r="J106" i="87"/>
  <c r="J196" i="87"/>
  <c r="J213" i="87"/>
  <c r="J128" i="87"/>
  <c r="J55" i="87"/>
  <c r="J82" i="87"/>
  <c r="J70" i="87"/>
  <c r="J122" i="87"/>
  <c r="J179" i="87"/>
  <c r="J52" i="87"/>
  <c r="J138" i="87"/>
  <c r="I220" i="87"/>
  <c r="J62" i="87"/>
  <c r="J173" i="87"/>
  <c r="J94" i="87"/>
  <c r="J183" i="87"/>
  <c r="J43" i="87"/>
  <c r="J201" i="87"/>
  <c r="J154" i="87"/>
  <c r="J48" i="87"/>
  <c r="J101" i="87"/>
  <c r="J198" i="87"/>
  <c r="J148" i="87"/>
  <c r="J211" i="87"/>
  <c r="J79" i="87"/>
  <c r="J32" i="87"/>
  <c r="P17" i="63"/>
  <c r="P17" i="150"/>
  <c r="P17" i="174"/>
  <c r="P17" i="15"/>
  <c r="P24" i="38"/>
  <c r="P17" i="37"/>
  <c r="P17" i="90"/>
  <c r="P17" i="1"/>
  <c r="P23" i="92"/>
  <c r="P23" i="164"/>
  <c r="P17" i="25"/>
  <c r="P17" i="43"/>
  <c r="P17" i="92"/>
  <c r="P17" i="19"/>
  <c r="P23" i="64"/>
  <c r="P23" i="43"/>
  <c r="P23" i="57"/>
  <c r="P17" i="85"/>
  <c r="P17" i="55"/>
  <c r="P17" i="71"/>
  <c r="P17" i="58"/>
  <c r="P23" i="111"/>
  <c r="P23" i="103"/>
  <c r="P23" i="33"/>
  <c r="P23" i="49"/>
  <c r="P17" i="72"/>
  <c r="P17" i="113"/>
  <c r="P17" i="33"/>
  <c r="P23" i="19"/>
  <c r="P23" i="66"/>
  <c r="P23" i="133"/>
  <c r="I243" i="79"/>
  <c r="P17" i="84"/>
  <c r="P17" i="27"/>
  <c r="P17" i="98"/>
  <c r="P17" i="141"/>
  <c r="P19" i="118"/>
  <c r="P19" i="133"/>
  <c r="P17" i="28"/>
  <c r="P17" i="24"/>
  <c r="P17" i="83"/>
  <c r="P17" i="104"/>
  <c r="P17" i="87"/>
  <c r="P17" i="65"/>
  <c r="P17" i="31"/>
  <c r="P17" i="111"/>
  <c r="P17" i="118"/>
  <c r="P17" i="145"/>
  <c r="P17" i="42"/>
  <c r="P17" i="66"/>
  <c r="P17" i="79"/>
  <c r="P17" i="53"/>
  <c r="P17" i="158"/>
  <c r="P17" i="47"/>
  <c r="P17" i="32"/>
  <c r="P17" i="156"/>
  <c r="P17" i="142"/>
  <c r="I243" i="37"/>
  <c r="P17" i="49"/>
  <c r="P17" i="135"/>
  <c r="P17" i="164"/>
  <c r="P17" i="86"/>
  <c r="P17" i="39"/>
  <c r="P17" i="120"/>
  <c r="P17" i="106"/>
  <c r="P17" i="54"/>
  <c r="P17" i="133"/>
  <c r="P17" i="38"/>
  <c r="P17" i="50"/>
  <c r="P17" i="64"/>
  <c r="P17" i="46"/>
  <c r="P17" i="167"/>
  <c r="P17" i="177"/>
  <c r="P17" i="152"/>
  <c r="P17" i="57"/>
  <c r="P17" i="155"/>
  <c r="P19" i="157"/>
  <c r="P17" i="16"/>
  <c r="P17" i="60"/>
  <c r="P17" i="119"/>
  <c r="P17" i="159"/>
  <c r="P17" i="136"/>
  <c r="P17" i="14"/>
  <c r="P17" i="103"/>
  <c r="P17" i="68"/>
  <c r="P17" i="102"/>
  <c r="P17" i="165"/>
  <c r="P19" i="135"/>
  <c r="P19" i="14"/>
  <c r="I243" i="85"/>
  <c r="P19" i="27"/>
  <c r="P19" i="175"/>
  <c r="P19" i="21"/>
  <c r="P19" i="159"/>
  <c r="P19" i="106"/>
  <c r="P19" i="53"/>
  <c r="P24" i="159"/>
  <c r="M17" i="102"/>
  <c r="J137" i="102"/>
  <c r="J87" i="102"/>
  <c r="J187" i="102"/>
  <c r="J177" i="102"/>
  <c r="J34" i="102"/>
  <c r="J48" i="102"/>
  <c r="J200" i="102"/>
  <c r="J114" i="102"/>
  <c r="J142" i="102"/>
  <c r="P19" i="136"/>
  <c r="P24" i="79"/>
  <c r="P19" i="95"/>
  <c r="P19" i="102"/>
  <c r="P19" i="84"/>
  <c r="P19" i="33"/>
  <c r="P19" i="39"/>
  <c r="P19" i="71"/>
  <c r="P19" i="94"/>
  <c r="P19" i="87"/>
  <c r="P19" i="167"/>
  <c r="P19" i="145"/>
  <c r="P19" i="49"/>
  <c r="J175" i="102"/>
  <c r="J166" i="102"/>
  <c r="J44" i="102"/>
  <c r="J157" i="102"/>
  <c r="P24" i="92"/>
  <c r="P19" i="90"/>
  <c r="P19" i="20"/>
  <c r="P19" i="113"/>
  <c r="P19" i="57"/>
  <c r="P19" i="60"/>
  <c r="P19" i="25"/>
  <c r="P19" i="55"/>
  <c r="P19" i="158"/>
  <c r="P19" i="83"/>
  <c r="J207" i="102"/>
  <c r="J120" i="102"/>
  <c r="J94" i="102"/>
  <c r="J161" i="102"/>
  <c r="P19" i="42"/>
  <c r="P19" i="64"/>
  <c r="P24" i="47"/>
  <c r="P19" i="111"/>
  <c r="P24" i="136"/>
  <c r="P19" i="156"/>
  <c r="P19" i="16"/>
  <c r="P19" i="1"/>
  <c r="P19" i="63"/>
  <c r="P19" i="79"/>
  <c r="P19" i="85"/>
  <c r="P19" i="155"/>
  <c r="P19" i="142"/>
  <c r="P19" i="24"/>
  <c r="J90" i="102"/>
  <c r="J188" i="102"/>
  <c r="J96" i="102"/>
  <c r="J56" i="102"/>
  <c r="P24" i="15"/>
  <c r="P19" i="164"/>
  <c r="P19" i="38"/>
  <c r="P19" i="152"/>
  <c r="P19" i="119"/>
  <c r="P19" i="43"/>
  <c r="P19" i="58"/>
  <c r="P19" i="150"/>
  <c r="P19" i="86"/>
  <c r="P19" i="66"/>
  <c r="P24" i="158"/>
  <c r="P19" i="28"/>
  <c r="P19" i="65"/>
  <c r="P19" i="92"/>
  <c r="P19" i="54"/>
  <c r="P19" i="37"/>
  <c r="P19" i="178"/>
  <c r="P19" i="98"/>
  <c r="I243" i="102"/>
  <c r="J148" i="102"/>
  <c r="J179" i="102"/>
  <c r="J186" i="102"/>
  <c r="J30" i="102"/>
  <c r="P19" i="72"/>
  <c r="P19" i="32"/>
  <c r="P19" i="46"/>
  <c r="P19" i="120"/>
  <c r="P19" i="15"/>
  <c r="P19" i="104"/>
  <c r="P19" i="174"/>
  <c r="P19" i="165"/>
  <c r="P24" i="21"/>
  <c r="P24" i="42"/>
  <c r="P19" i="47"/>
  <c r="P19" i="103"/>
  <c r="P19" i="177"/>
  <c r="P19" i="62"/>
  <c r="P19" i="19"/>
  <c r="P19" i="31"/>
  <c r="P19" i="68"/>
  <c r="P19" i="50"/>
  <c r="P19" i="89"/>
  <c r="J209" i="102"/>
  <c r="J134" i="102"/>
  <c r="J43" i="102"/>
  <c r="J73" i="102"/>
  <c r="L126" i="97"/>
  <c r="P124" i="195" s="1"/>
  <c r="P23" i="157"/>
  <c r="P23" i="53"/>
  <c r="P23" i="159"/>
  <c r="P23" i="84"/>
  <c r="P23" i="177"/>
  <c r="P23" i="39"/>
  <c r="P23" i="42"/>
  <c r="P23" i="68"/>
  <c r="P23" i="25"/>
  <c r="P23" i="46"/>
  <c r="P23" i="63"/>
  <c r="P23" i="118"/>
  <c r="P23" i="38"/>
  <c r="P23" i="85"/>
  <c r="P23" i="47"/>
  <c r="P23" i="94"/>
  <c r="P23" i="167"/>
  <c r="P23" i="86"/>
  <c r="P23" i="120"/>
  <c r="P23" i="113"/>
  <c r="P23" i="27"/>
  <c r="P23" i="24"/>
  <c r="P23" i="95"/>
  <c r="P23" i="50"/>
  <c r="P23" i="158"/>
  <c r="P23" i="156"/>
  <c r="P23" i="60"/>
  <c r="P23" i="55"/>
  <c r="P23" i="152"/>
  <c r="P23" i="174"/>
  <c r="P23" i="1"/>
  <c r="P23" i="104"/>
  <c r="P23" i="28"/>
  <c r="P23" i="83"/>
  <c r="P23" i="16"/>
  <c r="P23" i="87"/>
  <c r="P23" i="89"/>
  <c r="P23" i="72"/>
  <c r="P23" i="102"/>
  <c r="P23" i="37"/>
  <c r="P23" i="106"/>
  <c r="P23" i="119"/>
  <c r="P23" i="71"/>
  <c r="J119" i="104"/>
  <c r="J123" i="104"/>
  <c r="J31" i="104"/>
  <c r="J33" i="104"/>
  <c r="J169" i="104"/>
  <c r="J201" i="104"/>
  <c r="J164" i="104"/>
  <c r="J75" i="104"/>
  <c r="J163" i="104"/>
  <c r="J74" i="104"/>
  <c r="J63" i="104"/>
  <c r="J72" i="104"/>
  <c r="J102" i="104"/>
  <c r="J106" i="104"/>
  <c r="J176" i="104"/>
  <c r="J103" i="104"/>
  <c r="J36" i="104"/>
  <c r="M17" i="104"/>
  <c r="J40" i="104"/>
  <c r="J56" i="104"/>
  <c r="J54" i="104"/>
  <c r="J184" i="104"/>
  <c r="J59" i="104"/>
  <c r="J195" i="104"/>
  <c r="J151" i="104"/>
  <c r="J170" i="104"/>
  <c r="J182" i="104"/>
  <c r="J112" i="104"/>
  <c r="J155" i="104"/>
  <c r="J87" i="104"/>
  <c r="J179" i="104"/>
  <c r="J140" i="104"/>
  <c r="J211" i="104"/>
  <c r="J186" i="104"/>
  <c r="J48" i="104"/>
  <c r="L48" i="97"/>
  <c r="P46" i="195" s="1"/>
  <c r="L160" i="97"/>
  <c r="P158" i="195" s="1"/>
  <c r="P24" i="55"/>
  <c r="P24" i="39"/>
  <c r="P24" i="31"/>
  <c r="P24" i="37"/>
  <c r="P24" i="20"/>
  <c r="P24" i="58"/>
  <c r="P24" i="102"/>
  <c r="P24" i="84"/>
  <c r="P24" i="175"/>
  <c r="P24" i="24"/>
  <c r="P24" i="43"/>
  <c r="P24" i="65"/>
  <c r="P24" i="16"/>
  <c r="P24" i="64"/>
  <c r="P24" i="86"/>
  <c r="P24" i="164"/>
  <c r="P24" i="165"/>
  <c r="P24" i="141"/>
  <c r="P24" i="71"/>
  <c r="P24" i="27"/>
  <c r="P24" i="106"/>
  <c r="P24" i="46"/>
  <c r="P24" i="111"/>
  <c r="P24" i="119"/>
  <c r="P24" i="66"/>
  <c r="P24" i="90"/>
  <c r="P24" i="89"/>
  <c r="P24" i="113"/>
  <c r="P24" i="167"/>
  <c r="P24" i="145"/>
  <c r="P24" i="19"/>
  <c r="P24" i="53"/>
  <c r="P24" i="62"/>
  <c r="P24" i="60"/>
  <c r="P24" i="1"/>
  <c r="P24" i="94"/>
  <c r="P24" i="178"/>
  <c r="P24" i="142"/>
  <c r="P24" i="57"/>
  <c r="P24" i="14"/>
  <c r="P24" i="150"/>
  <c r="P24" i="72"/>
  <c r="P24" i="68"/>
  <c r="P24" i="156"/>
  <c r="P24" i="50"/>
  <c r="P24" i="157"/>
  <c r="P24" i="28"/>
  <c r="P24" i="63"/>
  <c r="P24" i="54"/>
  <c r="P24" i="103"/>
  <c r="P24" i="83"/>
  <c r="P24" i="49"/>
  <c r="P24" i="32"/>
  <c r="P24" i="33"/>
  <c r="P24" i="98"/>
  <c r="P24" i="118"/>
  <c r="P24" i="87"/>
  <c r="P24" i="25"/>
  <c r="P24" i="177"/>
  <c r="P24" i="95"/>
  <c r="P24" i="85"/>
  <c r="P24" i="135"/>
  <c r="P24" i="174"/>
  <c r="P24" i="120"/>
  <c r="P24" i="104"/>
  <c r="P24" i="152"/>
  <c r="P24" i="133"/>
  <c r="J146" i="64"/>
  <c r="J180" i="64"/>
  <c r="J147" i="64"/>
  <c r="J130" i="64"/>
  <c r="J132" i="64"/>
  <c r="M17" i="64"/>
  <c r="J63" i="64"/>
  <c r="J56" i="64"/>
  <c r="J158" i="64"/>
  <c r="J136" i="64"/>
  <c r="J181" i="157"/>
  <c r="J208" i="157"/>
  <c r="J146" i="157"/>
  <c r="J53" i="157"/>
  <c r="J36" i="157"/>
  <c r="J90" i="157"/>
  <c r="J61" i="157"/>
  <c r="J143" i="157"/>
  <c r="J130" i="157"/>
  <c r="J165" i="102"/>
  <c r="J184" i="102"/>
  <c r="J156" i="102"/>
  <c r="J97" i="102"/>
  <c r="J106" i="102"/>
  <c r="J104" i="102"/>
  <c r="J160" i="102"/>
  <c r="J37" i="102"/>
  <c r="J194" i="102"/>
  <c r="J82" i="89"/>
  <c r="J141" i="89"/>
  <c r="J148" i="89"/>
  <c r="J186" i="89"/>
  <c r="J36" i="89"/>
  <c r="J201" i="89"/>
  <c r="J143" i="89"/>
  <c r="J39" i="89"/>
  <c r="J197" i="89"/>
  <c r="J183" i="49"/>
  <c r="J37" i="49"/>
  <c r="J180" i="49"/>
  <c r="J171" i="49"/>
  <c r="J92" i="49"/>
  <c r="J35" i="49"/>
  <c r="J103" i="49"/>
  <c r="J181" i="49"/>
  <c r="J81" i="49"/>
  <c r="J33" i="49"/>
  <c r="I220" i="157"/>
  <c r="J189" i="157"/>
  <c r="J71" i="157"/>
  <c r="J161" i="157"/>
  <c r="J82" i="157"/>
  <c r="J182" i="157"/>
  <c r="J58" i="157"/>
  <c r="J83" i="157"/>
  <c r="J34" i="157"/>
  <c r="J93" i="157"/>
  <c r="J138" i="157"/>
  <c r="J62" i="157"/>
  <c r="J147" i="157"/>
  <c r="J207" i="157"/>
  <c r="J184" i="157"/>
  <c r="J48" i="157"/>
  <c r="J65" i="157"/>
  <c r="J43" i="157"/>
  <c r="J49" i="157"/>
  <c r="J45" i="157"/>
  <c r="J213" i="157"/>
  <c r="J69" i="157"/>
  <c r="J77" i="157"/>
  <c r="J121" i="157"/>
  <c r="J102" i="157"/>
  <c r="J111" i="157"/>
  <c r="J50" i="157"/>
  <c r="J56" i="157"/>
  <c r="J192" i="157"/>
  <c r="J75" i="157"/>
  <c r="J156" i="157"/>
  <c r="J152" i="157"/>
  <c r="J180" i="157"/>
  <c r="J91" i="157"/>
  <c r="J197" i="157"/>
  <c r="J124" i="157"/>
  <c r="J191" i="157"/>
  <c r="J141" i="157"/>
  <c r="J59" i="157"/>
  <c r="J157" i="157"/>
  <c r="J164" i="157"/>
  <c r="J88" i="157"/>
  <c r="J44" i="157"/>
  <c r="J104" i="157"/>
  <c r="O213" i="157"/>
  <c r="J148" i="157"/>
  <c r="J84" i="157"/>
  <c r="J183" i="157"/>
  <c r="J95" i="157"/>
  <c r="J78" i="157"/>
  <c r="J122" i="157"/>
  <c r="J165" i="157"/>
  <c r="J52" i="157"/>
  <c r="J55" i="157"/>
  <c r="J193" i="157"/>
  <c r="J209" i="157"/>
  <c r="J163" i="157"/>
  <c r="J162" i="157"/>
  <c r="J176" i="157"/>
  <c r="J89" i="157"/>
  <c r="J201" i="157"/>
  <c r="J79" i="157"/>
  <c r="J116" i="157"/>
  <c r="J188" i="157"/>
  <c r="J196" i="157"/>
  <c r="J98" i="157"/>
  <c r="J128" i="157"/>
  <c r="J211" i="157"/>
  <c r="J74" i="157"/>
  <c r="J73" i="157"/>
  <c r="J135" i="157"/>
  <c r="J101" i="157"/>
  <c r="J178" i="157"/>
  <c r="J112" i="157"/>
  <c r="J38" i="157"/>
  <c r="J151" i="157"/>
  <c r="J194" i="157"/>
  <c r="J63" i="157"/>
  <c r="J150" i="157"/>
  <c r="J145" i="157"/>
  <c r="J142" i="157"/>
  <c r="J132" i="157"/>
  <c r="J97" i="157"/>
  <c r="O213" i="89"/>
  <c r="J202" i="89"/>
  <c r="J37" i="89"/>
  <c r="J199" i="89"/>
  <c r="J205" i="89"/>
  <c r="J163" i="89"/>
  <c r="J64" i="89"/>
  <c r="J53" i="89"/>
  <c r="J96" i="89"/>
  <c r="J71" i="89"/>
  <c r="J88" i="89"/>
  <c r="J34" i="89"/>
  <c r="J119" i="89"/>
  <c r="J61" i="89"/>
  <c r="J66" i="89"/>
  <c r="J211" i="89"/>
  <c r="J130" i="89"/>
  <c r="J51" i="89"/>
  <c r="J129" i="89"/>
  <c r="J134" i="89"/>
  <c r="J102" i="89"/>
  <c r="J131" i="89"/>
  <c r="J104" i="89"/>
  <c r="J206" i="89"/>
  <c r="J52" i="89"/>
  <c r="J121" i="89"/>
  <c r="J146" i="89"/>
  <c r="J114" i="89"/>
  <c r="J35" i="89"/>
  <c r="J90" i="89"/>
  <c r="J101" i="89"/>
  <c r="J31" i="89"/>
  <c r="J84" i="89"/>
  <c r="J195" i="89"/>
  <c r="J50" i="89"/>
  <c r="J83" i="89"/>
  <c r="J192" i="89"/>
  <c r="J81" i="89"/>
  <c r="J54" i="89"/>
  <c r="J190" i="89"/>
  <c r="J106" i="89"/>
  <c r="J56" i="89"/>
  <c r="J132" i="89"/>
  <c r="J180" i="89"/>
  <c r="J41" i="89"/>
  <c r="J145" i="89"/>
  <c r="J193" i="89"/>
  <c r="J160" i="89"/>
  <c r="J123" i="89"/>
  <c r="J176" i="89"/>
  <c r="J161" i="89"/>
  <c r="J150" i="89"/>
  <c r="J138" i="89"/>
  <c r="J213" i="89"/>
  <c r="J111" i="89"/>
  <c r="J48" i="89"/>
  <c r="J166" i="89"/>
  <c r="J151" i="89"/>
  <c r="J183" i="89"/>
  <c r="J147" i="89"/>
  <c r="J177" i="89"/>
  <c r="J142" i="89"/>
  <c r="J194" i="89"/>
  <c r="J32" i="89"/>
  <c r="J43" i="89"/>
  <c r="J113" i="89"/>
  <c r="J207" i="89"/>
  <c r="J72" i="89"/>
  <c r="J115" i="89"/>
  <c r="J122" i="89"/>
  <c r="J155" i="89"/>
  <c r="J58" i="89"/>
  <c r="J154" i="89"/>
  <c r="J65" i="89"/>
  <c r="J63" i="89"/>
  <c r="J173" i="89"/>
  <c r="J40" i="89"/>
  <c r="J60" i="89"/>
  <c r="J70" i="89"/>
  <c r="J93" i="89"/>
  <c r="J198" i="89"/>
  <c r="J33" i="89"/>
  <c r="I220" i="102"/>
  <c r="J54" i="64"/>
  <c r="J164" i="64"/>
  <c r="J150" i="64"/>
  <c r="J157" i="64"/>
  <c r="J119" i="64"/>
  <c r="J58" i="64"/>
  <c r="J153" i="64"/>
  <c r="J169" i="64"/>
  <c r="J194" i="64"/>
  <c r="J195" i="157"/>
  <c r="J119" i="157"/>
  <c r="J33" i="157"/>
  <c r="J171" i="157"/>
  <c r="J131" i="157"/>
  <c r="J153" i="157"/>
  <c r="J66" i="157"/>
  <c r="J87" i="157"/>
  <c r="J137" i="157"/>
  <c r="J210" i="157"/>
  <c r="O213" i="102"/>
  <c r="J197" i="102"/>
  <c r="J124" i="102"/>
  <c r="J83" i="102"/>
  <c r="J93" i="102"/>
  <c r="J172" i="102"/>
  <c r="J182" i="102"/>
  <c r="J107" i="102"/>
  <c r="J210" i="102"/>
  <c r="J170" i="102"/>
  <c r="J174" i="102"/>
  <c r="J107" i="89"/>
  <c r="J153" i="89"/>
  <c r="J30" i="89"/>
  <c r="J137" i="89"/>
  <c r="J181" i="89"/>
  <c r="J47" i="89"/>
  <c r="J191" i="89"/>
  <c r="J105" i="89"/>
  <c r="J55" i="89"/>
  <c r="J165" i="89"/>
  <c r="J80" i="89"/>
  <c r="J63" i="49"/>
  <c r="J213" i="49"/>
  <c r="J64" i="49"/>
  <c r="J155" i="49"/>
  <c r="J73" i="49"/>
  <c r="O213" i="49"/>
  <c r="J122" i="49"/>
  <c r="J157" i="49"/>
  <c r="J143" i="49"/>
  <c r="J121" i="49"/>
  <c r="I220" i="64"/>
  <c r="J178" i="64"/>
  <c r="J55" i="64"/>
  <c r="J175" i="64"/>
  <c r="J187" i="64"/>
  <c r="J195" i="64"/>
  <c r="J213" i="64"/>
  <c r="J197" i="64"/>
  <c r="J43" i="64"/>
  <c r="J82" i="64"/>
  <c r="J91" i="64"/>
  <c r="J185" i="64"/>
  <c r="J57" i="64"/>
  <c r="J115" i="64"/>
  <c r="J211" i="64"/>
  <c r="J104" i="64"/>
  <c r="J122" i="64"/>
  <c r="J32" i="64"/>
  <c r="J137" i="64"/>
  <c r="J201" i="64"/>
  <c r="J30" i="64"/>
  <c r="J210" i="64"/>
  <c r="J65" i="64"/>
  <c r="J189" i="64"/>
  <c r="J76" i="64"/>
  <c r="J176" i="64"/>
  <c r="J177" i="64"/>
  <c r="J128" i="64"/>
  <c r="J41" i="64"/>
  <c r="J50" i="64"/>
  <c r="J172" i="64"/>
  <c r="J191" i="64"/>
  <c r="J188" i="64"/>
  <c r="J77" i="64"/>
  <c r="J78" i="64"/>
  <c r="J162" i="64"/>
  <c r="J92" i="64"/>
  <c r="J170" i="64"/>
  <c r="J205" i="64"/>
  <c r="J192" i="64"/>
  <c r="J36" i="64"/>
  <c r="J72" i="64"/>
  <c r="J160" i="64"/>
  <c r="J75" i="64"/>
  <c r="J64" i="64"/>
  <c r="J49" i="64"/>
  <c r="J154" i="64"/>
  <c r="J113" i="64"/>
  <c r="J165" i="64"/>
  <c r="J140" i="64"/>
  <c r="J166" i="64"/>
  <c r="J45" i="64"/>
  <c r="J148" i="64"/>
  <c r="J71" i="64"/>
  <c r="J152" i="64"/>
  <c r="J173" i="64"/>
  <c r="J98" i="64"/>
  <c r="J131" i="64"/>
  <c r="J102" i="64"/>
  <c r="J44" i="64"/>
  <c r="J135" i="64"/>
  <c r="J94" i="64"/>
  <c r="J80" i="64"/>
  <c r="J200" i="64"/>
  <c r="J181" i="64"/>
  <c r="J70" i="64"/>
  <c r="J101" i="64"/>
  <c r="J174" i="64"/>
  <c r="J51" i="64"/>
  <c r="J87" i="64"/>
  <c r="J129" i="64"/>
  <c r="J186" i="64"/>
  <c r="J90" i="64"/>
  <c r="J183" i="64"/>
  <c r="J53" i="64"/>
  <c r="J60" i="64"/>
  <c r="J134" i="64"/>
  <c r="J202" i="64"/>
  <c r="J66" i="64"/>
  <c r="J151" i="64"/>
  <c r="J62" i="64"/>
  <c r="J39" i="64"/>
  <c r="J190" i="64"/>
  <c r="J52" i="64"/>
  <c r="J37" i="64"/>
  <c r="J129" i="157"/>
  <c r="J134" i="157"/>
  <c r="J180" i="102"/>
  <c r="J163" i="102"/>
  <c r="J59" i="102"/>
  <c r="J129" i="102"/>
  <c r="J116" i="102"/>
  <c r="J154" i="102"/>
  <c r="J146" i="102"/>
  <c r="J105" i="102"/>
  <c r="J77" i="102"/>
  <c r="J62" i="102"/>
  <c r="J152" i="89"/>
  <c r="J97" i="89"/>
  <c r="J69" i="89"/>
  <c r="J78" i="89"/>
  <c r="J182" i="89"/>
  <c r="J44" i="89"/>
  <c r="J187" i="89"/>
  <c r="J76" i="89"/>
  <c r="J49" i="89"/>
  <c r="J95" i="89"/>
  <c r="J172" i="89"/>
  <c r="P23" i="15"/>
  <c r="P23" i="58"/>
  <c r="P23" i="54"/>
  <c r="P23" i="32"/>
  <c r="P23" i="145"/>
  <c r="P23" i="178"/>
  <c r="P23" i="65"/>
  <c r="P23" i="79"/>
  <c r="P23" i="141"/>
  <c r="I220" i="104"/>
  <c r="J83" i="104"/>
  <c r="J47" i="104"/>
  <c r="J190" i="104"/>
  <c r="J45" i="104"/>
  <c r="J115" i="104"/>
  <c r="J122" i="104"/>
  <c r="J180" i="104"/>
  <c r="J91" i="104"/>
  <c r="J124" i="104"/>
  <c r="J111" i="104"/>
  <c r="J154" i="104"/>
  <c r="J172" i="104"/>
  <c r="J44" i="104"/>
  <c r="J178" i="104"/>
  <c r="J213" i="104"/>
  <c r="J43" i="104"/>
  <c r="J206" i="104"/>
  <c r="J199" i="104"/>
  <c r="J98" i="104"/>
  <c r="J136" i="104"/>
  <c r="J194" i="104"/>
  <c r="J107" i="104"/>
  <c r="J120" i="104"/>
  <c r="J38" i="104"/>
  <c r="J76" i="104"/>
  <c r="J71" i="104"/>
  <c r="J189" i="104"/>
  <c r="J148" i="104"/>
  <c r="J105" i="104"/>
  <c r="J62" i="104"/>
  <c r="J101" i="104"/>
  <c r="J188" i="104"/>
  <c r="J173" i="104"/>
  <c r="J191" i="104"/>
  <c r="J64" i="104"/>
  <c r="O213" i="104"/>
  <c r="J141" i="104"/>
  <c r="J94" i="104"/>
  <c r="J161" i="104"/>
  <c r="J130" i="104"/>
  <c r="J114" i="104"/>
  <c r="J198" i="104"/>
  <c r="J116" i="104"/>
  <c r="J128" i="104"/>
  <c r="J202" i="104"/>
  <c r="J52" i="104"/>
  <c r="J65" i="104"/>
  <c r="J166" i="104"/>
  <c r="J58" i="104"/>
  <c r="J138" i="104"/>
  <c r="J89" i="104"/>
  <c r="J42" i="104"/>
  <c r="J81" i="104"/>
  <c r="J34" i="104"/>
  <c r="J208" i="104"/>
  <c r="J175" i="104"/>
  <c r="J113" i="104"/>
  <c r="J185" i="104"/>
  <c r="J183" i="104"/>
  <c r="J150" i="104"/>
  <c r="J131" i="104"/>
  <c r="J61" i="104"/>
  <c r="J70" i="104"/>
  <c r="J35" i="104"/>
  <c r="J92" i="104"/>
  <c r="J41" i="104"/>
  <c r="J156" i="104"/>
  <c r="J197" i="104"/>
  <c r="J158" i="104"/>
  <c r="J82" i="104"/>
  <c r="J171" i="104"/>
  <c r="J143" i="104"/>
  <c r="J57" i="104"/>
  <c r="J79" i="104"/>
  <c r="J30" i="104"/>
  <c r="J146" i="104"/>
  <c r="J95" i="104"/>
  <c r="J110" i="104"/>
  <c r="J135" i="104"/>
  <c r="J66" i="104"/>
  <c r="J193" i="104"/>
  <c r="J174" i="49"/>
  <c r="J177" i="49"/>
  <c r="J71" i="49"/>
  <c r="J182" i="49"/>
  <c r="J55" i="49"/>
  <c r="J61" i="49"/>
  <c r="J195" i="49"/>
  <c r="J48" i="49"/>
  <c r="J40" i="49"/>
  <c r="J59" i="49"/>
  <c r="J147" i="49"/>
  <c r="J60" i="49"/>
  <c r="J207" i="49"/>
  <c r="J145" i="49"/>
  <c r="J45" i="49"/>
  <c r="J134" i="49"/>
  <c r="J93" i="49"/>
  <c r="J91" i="49"/>
  <c r="J83" i="49"/>
  <c r="J199" i="49"/>
  <c r="J173" i="49"/>
  <c r="J39" i="49"/>
  <c r="J211" i="49"/>
  <c r="J178" i="49"/>
  <c r="J137" i="49"/>
  <c r="J190" i="49"/>
  <c r="J101" i="49"/>
  <c r="J202" i="49"/>
  <c r="J56" i="49"/>
  <c r="J151" i="49"/>
  <c r="J54" i="49"/>
  <c r="J120" i="49"/>
  <c r="J43" i="49"/>
  <c r="J158" i="49"/>
  <c r="J179" i="49"/>
  <c r="J197" i="49"/>
  <c r="J185" i="49"/>
  <c r="J34" i="49"/>
  <c r="J123" i="49"/>
  <c r="J44" i="49"/>
  <c r="J132" i="49"/>
  <c r="J87" i="49"/>
  <c r="J154" i="49"/>
  <c r="J191" i="49"/>
  <c r="J70" i="49"/>
  <c r="J36" i="49"/>
  <c r="J130" i="49"/>
  <c r="J38" i="49"/>
  <c r="J129" i="49"/>
  <c r="J160" i="49"/>
  <c r="J189" i="49"/>
  <c r="J187" i="49"/>
  <c r="J188" i="49"/>
  <c r="J102" i="49"/>
  <c r="J175" i="49"/>
  <c r="J75" i="49"/>
  <c r="J47" i="49"/>
  <c r="J96" i="49"/>
  <c r="J62" i="49"/>
  <c r="J52" i="49"/>
  <c r="J206" i="49"/>
  <c r="J176" i="49"/>
  <c r="J107" i="49"/>
  <c r="J194" i="49"/>
  <c r="J50" i="49"/>
  <c r="J74" i="49"/>
  <c r="J79" i="49"/>
  <c r="J170" i="49"/>
  <c r="J131" i="49"/>
  <c r="J115" i="49"/>
  <c r="J172" i="49"/>
  <c r="J94" i="49"/>
  <c r="J110" i="49"/>
  <c r="J150" i="49"/>
  <c r="J124" i="49"/>
  <c r="J192" i="49"/>
  <c r="J162" i="49"/>
  <c r="J196" i="49"/>
  <c r="J88" i="49"/>
  <c r="J104" i="49"/>
  <c r="J210" i="49"/>
  <c r="I220" i="49"/>
  <c r="J169" i="119"/>
  <c r="J40" i="119"/>
  <c r="J119" i="119"/>
  <c r="J136" i="119"/>
  <c r="J65" i="119"/>
  <c r="J66" i="119"/>
  <c r="J44" i="119"/>
  <c r="J71" i="119"/>
  <c r="J196" i="119"/>
  <c r="J84" i="119"/>
  <c r="J106" i="119"/>
  <c r="J95" i="119"/>
  <c r="J175" i="119"/>
  <c r="J54" i="119"/>
  <c r="J76" i="119"/>
  <c r="J189" i="119"/>
  <c r="J48" i="119"/>
  <c r="J151" i="119"/>
  <c r="J157" i="119"/>
  <c r="J35" i="119"/>
  <c r="J192" i="119"/>
  <c r="J96" i="119"/>
  <c r="J145" i="119"/>
  <c r="J80" i="119"/>
  <c r="J150" i="119"/>
  <c r="J63" i="119"/>
  <c r="J98" i="119"/>
  <c r="J45" i="119"/>
  <c r="J155" i="119"/>
  <c r="J92" i="119"/>
  <c r="J179" i="119"/>
  <c r="J114" i="119"/>
  <c r="J105" i="119"/>
  <c r="J110" i="119"/>
  <c r="J142" i="119"/>
  <c r="J153" i="119"/>
  <c r="J152" i="119"/>
  <c r="J41" i="119"/>
  <c r="J73" i="119"/>
  <c r="J162" i="119"/>
  <c r="J31" i="119"/>
  <c r="J171" i="119"/>
  <c r="J163" i="119"/>
  <c r="J188" i="119"/>
  <c r="J120" i="119"/>
  <c r="J39" i="119"/>
  <c r="J172" i="119"/>
  <c r="J102" i="119"/>
  <c r="J193" i="119"/>
  <c r="J131" i="119"/>
  <c r="J161" i="119"/>
  <c r="J190" i="119"/>
  <c r="J61" i="119"/>
  <c r="J154" i="119"/>
  <c r="J194" i="119"/>
  <c r="J115" i="119"/>
  <c r="J52" i="119"/>
  <c r="J111" i="119"/>
  <c r="J121" i="119"/>
  <c r="J78" i="119"/>
  <c r="I220" i="119"/>
  <c r="J53" i="119"/>
  <c r="J173" i="119"/>
  <c r="J140" i="119"/>
  <c r="J165" i="119"/>
  <c r="J42" i="119"/>
  <c r="J191" i="119"/>
  <c r="J195" i="119"/>
  <c r="J182" i="119"/>
  <c r="J170" i="119"/>
  <c r="J101" i="119"/>
  <c r="J124" i="119"/>
  <c r="J94" i="119"/>
  <c r="J64" i="119"/>
  <c r="J74" i="119"/>
  <c r="J58" i="119"/>
  <c r="J132" i="119"/>
  <c r="J62" i="119"/>
  <c r="J70" i="119"/>
  <c r="J158" i="119"/>
  <c r="J60" i="119"/>
  <c r="J141" i="119"/>
  <c r="I243" i="119"/>
  <c r="J88" i="102"/>
  <c r="J79" i="102"/>
  <c r="J199" i="102"/>
  <c r="J65" i="102"/>
  <c r="J140" i="102"/>
  <c r="J153" i="102"/>
  <c r="J95" i="102"/>
  <c r="J196" i="102"/>
  <c r="J152" i="102"/>
  <c r="J138" i="102"/>
  <c r="J40" i="102"/>
  <c r="J66" i="102"/>
  <c r="J92" i="102"/>
  <c r="J57" i="102"/>
  <c r="J178" i="102"/>
  <c r="J111" i="102"/>
  <c r="J169" i="102"/>
  <c r="J102" i="102"/>
  <c r="J121" i="102"/>
  <c r="J208" i="102"/>
  <c r="J80" i="102"/>
  <c r="J75" i="102"/>
  <c r="J46" i="102"/>
  <c r="J64" i="102"/>
  <c r="J61" i="102"/>
  <c r="J147" i="102"/>
  <c r="J181" i="102"/>
  <c r="J60" i="102"/>
  <c r="J54" i="102"/>
  <c r="J78" i="102"/>
  <c r="J110" i="102"/>
  <c r="J213" i="102"/>
  <c r="J101" i="102"/>
  <c r="J84" i="102"/>
  <c r="J32" i="102"/>
  <c r="J141" i="102"/>
  <c r="J113" i="102"/>
  <c r="J201" i="102"/>
  <c r="J136" i="102"/>
  <c r="J41" i="102"/>
  <c r="J33" i="102"/>
  <c r="J193" i="102"/>
  <c r="J130" i="102"/>
  <c r="J192" i="102"/>
  <c r="J39" i="102"/>
  <c r="J38" i="102"/>
  <c r="J122" i="102"/>
  <c r="J72" i="102"/>
  <c r="J55" i="102"/>
  <c r="J47" i="102"/>
  <c r="J74" i="102"/>
  <c r="J191" i="102"/>
  <c r="J173" i="102"/>
  <c r="J91" i="102"/>
  <c r="J82" i="102"/>
  <c r="J211" i="102"/>
  <c r="J123" i="102"/>
  <c r="J50" i="102"/>
  <c r="J51" i="102"/>
  <c r="J189" i="102"/>
  <c r="J195" i="102"/>
  <c r="J145" i="102"/>
  <c r="J132" i="102"/>
  <c r="J52" i="102"/>
  <c r="J164" i="102"/>
  <c r="J198" i="102"/>
  <c r="J35" i="102"/>
  <c r="J135" i="102"/>
  <c r="J150" i="102"/>
  <c r="J176" i="102"/>
  <c r="J151" i="102"/>
  <c r="J158" i="102"/>
  <c r="J119" i="102"/>
  <c r="J103" i="102"/>
  <c r="J98" i="102"/>
  <c r="J89" i="102"/>
  <c r="J81" i="102"/>
  <c r="J49" i="102"/>
  <c r="J185" i="102"/>
  <c r="J36" i="102"/>
  <c r="J53" i="102"/>
  <c r="J114" i="64"/>
  <c r="J34" i="64"/>
  <c r="J103" i="64"/>
  <c r="J141" i="64"/>
  <c r="J209" i="64"/>
  <c r="J156" i="64"/>
  <c r="J123" i="64"/>
  <c r="J187" i="157"/>
  <c r="J37" i="157"/>
  <c r="J46" i="157"/>
  <c r="J76" i="157"/>
  <c r="J107" i="157"/>
  <c r="J169" i="157"/>
  <c r="J94" i="157"/>
  <c r="J177" i="157"/>
  <c r="J84" i="64"/>
  <c r="J208" i="64"/>
  <c r="J111" i="64"/>
  <c r="J74" i="64"/>
  <c r="J69" i="64"/>
  <c r="J143" i="64"/>
  <c r="J38" i="64"/>
  <c r="J107" i="64"/>
  <c r="J106" i="64"/>
  <c r="J59" i="64"/>
  <c r="J142" i="104"/>
  <c r="J39" i="104"/>
  <c r="J53" i="104"/>
  <c r="J132" i="104"/>
  <c r="J209" i="104"/>
  <c r="J51" i="104"/>
  <c r="J129" i="104"/>
  <c r="J207" i="104"/>
  <c r="J200" i="104"/>
  <c r="J60" i="104"/>
  <c r="J37" i="104"/>
  <c r="J103" i="157"/>
  <c r="J114" i="157"/>
  <c r="J140" i="157"/>
  <c r="J120" i="157"/>
  <c r="J32" i="157"/>
  <c r="J179" i="157"/>
  <c r="J172" i="157"/>
  <c r="J160" i="157"/>
  <c r="J186" i="157"/>
  <c r="J47" i="157"/>
  <c r="J69" i="102"/>
  <c r="J143" i="102"/>
  <c r="J42" i="102"/>
  <c r="J128" i="102"/>
  <c r="J155" i="102"/>
  <c r="J131" i="102"/>
  <c r="J70" i="102"/>
  <c r="J162" i="102"/>
  <c r="J206" i="102"/>
  <c r="J45" i="102"/>
  <c r="J79" i="89"/>
  <c r="J162" i="89"/>
  <c r="J91" i="89"/>
  <c r="J185" i="89"/>
  <c r="J62" i="89"/>
  <c r="J178" i="89"/>
  <c r="J112" i="89"/>
  <c r="J179" i="89"/>
  <c r="J116" i="89"/>
  <c r="J196" i="89"/>
  <c r="J95" i="49"/>
  <c r="J66" i="49"/>
  <c r="J128" i="49"/>
  <c r="J53" i="49"/>
  <c r="J166" i="49"/>
  <c r="J32" i="49"/>
  <c r="J112" i="49"/>
  <c r="J119" i="49"/>
  <c r="M17" i="49"/>
  <c r="J105" i="49"/>
  <c r="J61" i="64"/>
  <c r="J184" i="64"/>
  <c r="J79" i="64"/>
  <c r="J121" i="64"/>
  <c r="O213" i="64"/>
  <c r="J182" i="64"/>
  <c r="J47" i="64"/>
  <c r="J73" i="64"/>
  <c r="J40" i="64"/>
  <c r="J105" i="64"/>
  <c r="J138" i="64"/>
  <c r="J206" i="157"/>
  <c r="J199" i="157"/>
  <c r="J96" i="157"/>
  <c r="J166" i="157"/>
  <c r="J64" i="157"/>
  <c r="J80" i="157"/>
  <c r="J198" i="157"/>
  <c r="J81" i="157"/>
  <c r="J42" i="157"/>
  <c r="J202" i="157"/>
  <c r="J58" i="102"/>
  <c r="J76" i="102"/>
  <c r="J115" i="102"/>
  <c r="J190" i="102"/>
  <c r="J171" i="102"/>
  <c r="J112" i="102"/>
  <c r="J183" i="102"/>
  <c r="J31" i="102"/>
  <c r="J202" i="102"/>
  <c r="J71" i="102"/>
  <c r="J174" i="89"/>
  <c r="J128" i="89"/>
  <c r="J189" i="89"/>
  <c r="J208" i="89"/>
  <c r="J210" i="89"/>
  <c r="J169" i="89"/>
  <c r="J170" i="89"/>
  <c r="J209" i="89"/>
  <c r="J103" i="89"/>
  <c r="J158" i="89"/>
  <c r="J90" i="49"/>
  <c r="J198" i="49"/>
  <c r="J201" i="49"/>
  <c r="J58" i="49"/>
  <c r="J57" i="49"/>
  <c r="J146" i="49"/>
  <c r="J89" i="49"/>
  <c r="J205" i="49"/>
  <c r="J51" i="49"/>
  <c r="J153" i="49"/>
  <c r="I243" i="90"/>
  <c r="I243" i="118"/>
  <c r="I243" i="68"/>
  <c r="I243" i="141"/>
  <c r="L168" i="97"/>
  <c r="P166" i="195" s="1"/>
  <c r="L204" i="97"/>
  <c r="P202" i="195" s="1"/>
  <c r="J35" i="32"/>
  <c r="J193" i="32"/>
  <c r="J52" i="32"/>
  <c r="J184" i="32"/>
  <c r="J177" i="32"/>
  <c r="J106" i="32"/>
  <c r="J114" i="32"/>
  <c r="J124" i="32"/>
  <c r="J63" i="32"/>
  <c r="J87" i="32"/>
  <c r="J66" i="32"/>
  <c r="J104" i="32"/>
  <c r="J73" i="32"/>
  <c r="J122" i="32"/>
  <c r="J196" i="32"/>
  <c r="J77" i="32"/>
  <c r="J150" i="32"/>
  <c r="J195" i="32"/>
  <c r="J206" i="32"/>
  <c r="J103" i="32"/>
  <c r="J156" i="32"/>
  <c r="J198" i="32"/>
  <c r="J185" i="32"/>
  <c r="J105" i="32"/>
  <c r="J166" i="32"/>
  <c r="J121" i="32"/>
  <c r="J78" i="32"/>
  <c r="J98" i="32"/>
  <c r="J169" i="32"/>
  <c r="J58" i="32"/>
  <c r="J148" i="32"/>
  <c r="J153" i="32"/>
  <c r="J75" i="32"/>
  <c r="J65" i="32"/>
  <c r="J208" i="32"/>
  <c r="J95" i="32"/>
  <c r="J131" i="32"/>
  <c r="J213" i="32"/>
  <c r="J60" i="32"/>
  <c r="J91" i="32"/>
  <c r="J173" i="32"/>
  <c r="J81" i="32"/>
  <c r="J101" i="32"/>
  <c r="J186" i="32"/>
  <c r="J157" i="32"/>
  <c r="J187" i="32"/>
  <c r="J161" i="32"/>
  <c r="J39" i="32"/>
  <c r="J164" i="32"/>
  <c r="J111" i="32"/>
  <c r="J182" i="32"/>
  <c r="J123" i="32"/>
  <c r="J211" i="32"/>
  <c r="J174" i="32"/>
  <c r="J142" i="32"/>
  <c r="J54" i="32"/>
  <c r="J38" i="32"/>
  <c r="J172" i="32"/>
  <c r="J200" i="32"/>
  <c r="J135" i="32"/>
  <c r="J41" i="32"/>
  <c r="J132" i="32"/>
  <c r="J76" i="32"/>
  <c r="J112" i="32"/>
  <c r="J56" i="32"/>
  <c r="J130" i="32"/>
  <c r="M17" i="32"/>
  <c r="J102" i="32"/>
  <c r="J119" i="32"/>
  <c r="J90" i="32"/>
  <c r="J197" i="32"/>
  <c r="J183" i="32"/>
  <c r="J137" i="32"/>
  <c r="J42" i="32"/>
  <c r="J136" i="32"/>
  <c r="J30" i="32"/>
  <c r="J45" i="32"/>
  <c r="J207" i="32"/>
  <c r="J79" i="32"/>
  <c r="J93" i="32"/>
  <c r="J33" i="32"/>
  <c r="J146" i="32"/>
  <c r="J44" i="32"/>
  <c r="J37" i="32"/>
  <c r="J175" i="32"/>
  <c r="J59" i="32"/>
  <c r="J120" i="32"/>
  <c r="J43" i="32"/>
  <c r="J190" i="32"/>
  <c r="J140" i="32"/>
  <c r="J31" i="32"/>
  <c r="J143" i="32"/>
  <c r="J32" i="32"/>
  <c r="J176" i="32"/>
  <c r="J71" i="32"/>
  <c r="J201" i="32"/>
  <c r="J80" i="32"/>
  <c r="J84" i="32"/>
  <c r="J53" i="32"/>
  <c r="J46" i="32"/>
  <c r="J36" i="32"/>
  <c r="J151" i="32"/>
  <c r="J134" i="32"/>
  <c r="J113" i="32"/>
  <c r="J89" i="32"/>
  <c r="J64" i="32"/>
  <c r="J107" i="32"/>
  <c r="J51" i="32"/>
  <c r="J115" i="32"/>
  <c r="J178" i="32"/>
  <c r="J191" i="32"/>
  <c r="J48" i="32"/>
  <c r="J205" i="32"/>
  <c r="J96" i="32"/>
  <c r="J138" i="32"/>
  <c r="J49" i="32"/>
  <c r="J62" i="32"/>
  <c r="J160" i="32"/>
  <c r="J72" i="32"/>
  <c r="J189" i="32"/>
  <c r="J147" i="32"/>
  <c r="J180" i="32"/>
  <c r="J202" i="32"/>
  <c r="J155" i="32"/>
  <c r="J141" i="32"/>
  <c r="J163" i="32"/>
  <c r="J116" i="32"/>
  <c r="J61" i="32"/>
  <c r="J192" i="32"/>
  <c r="J179" i="32"/>
  <c r="J69" i="32"/>
  <c r="J210" i="32"/>
  <c r="J92" i="32"/>
  <c r="J97" i="32"/>
  <c r="J154" i="32"/>
  <c r="J209" i="32"/>
  <c r="J94" i="32"/>
  <c r="J82" i="32"/>
  <c r="J170" i="32"/>
  <c r="J194" i="32"/>
  <c r="J70" i="32"/>
  <c r="J188" i="32"/>
  <c r="J88" i="32"/>
  <c r="J83" i="32"/>
  <c r="J110" i="32"/>
  <c r="J181" i="32"/>
  <c r="J55" i="32"/>
  <c r="J158" i="32"/>
  <c r="O213" i="32"/>
  <c r="J165" i="32"/>
  <c r="J128" i="32"/>
  <c r="J171" i="32"/>
  <c r="J47" i="32"/>
  <c r="J50" i="32"/>
  <c r="J145" i="32"/>
  <c r="J162" i="32"/>
  <c r="J152" i="32"/>
  <c r="J199" i="32"/>
  <c r="J34" i="32"/>
  <c r="J129" i="32"/>
  <c r="J74" i="32"/>
  <c r="J40" i="32"/>
  <c r="J57" i="32"/>
  <c r="L154" i="97"/>
  <c r="P152" i="195" s="1"/>
  <c r="J208" i="178"/>
  <c r="J202" i="178"/>
  <c r="J198" i="178"/>
  <c r="J194" i="178"/>
  <c r="J190" i="178"/>
  <c r="J186" i="178"/>
  <c r="J182" i="178"/>
  <c r="J178" i="178"/>
  <c r="J174" i="178"/>
  <c r="J170" i="178"/>
  <c r="J123" i="178"/>
  <c r="J119" i="178"/>
  <c r="J106" i="178"/>
  <c r="J102" i="178"/>
  <c r="J63" i="178"/>
  <c r="J59" i="178"/>
  <c r="J55" i="178"/>
  <c r="J51" i="178"/>
  <c r="J47" i="178"/>
  <c r="J43" i="178"/>
  <c r="J39" i="178"/>
  <c r="J35" i="178"/>
  <c r="J31" i="178"/>
  <c r="J213" i="178"/>
  <c r="J163" i="178"/>
  <c r="J158" i="178"/>
  <c r="J154" i="178"/>
  <c r="J150" i="178"/>
  <c r="J145" i="178"/>
  <c r="J140" i="178"/>
  <c r="J135" i="178"/>
  <c r="J130" i="178"/>
  <c r="J116" i="178"/>
  <c r="J112" i="178"/>
  <c r="J95" i="178"/>
  <c r="J91" i="178"/>
  <c r="J87" i="178"/>
  <c r="J81" i="178"/>
  <c r="J77" i="178"/>
  <c r="J73" i="178"/>
  <c r="J69" i="178"/>
  <c r="J166" i="178"/>
  <c r="J162" i="178"/>
  <c r="J157" i="178"/>
  <c r="J153" i="178"/>
  <c r="J148" i="178"/>
  <c r="J143" i="178"/>
  <c r="J138" i="178"/>
  <c r="J134" i="178"/>
  <c r="J129" i="178"/>
  <c r="J115" i="178"/>
  <c r="J111" i="178"/>
  <c r="J98" i="178"/>
  <c r="J94" i="178"/>
  <c r="J90" i="178"/>
  <c r="J84" i="178"/>
  <c r="J80" i="178"/>
  <c r="J76" i="178"/>
  <c r="J72" i="178"/>
  <c r="O213" i="178"/>
  <c r="J207" i="178"/>
  <c r="J199" i="178"/>
  <c r="J192" i="178"/>
  <c r="J173" i="178"/>
  <c r="J151" i="178"/>
  <c r="J142" i="178"/>
  <c r="J124" i="178"/>
  <c r="J97" i="178"/>
  <c r="J70" i="178"/>
  <c r="J54" i="178"/>
  <c r="J48" i="178"/>
  <c r="J41" i="178"/>
  <c r="J206" i="178"/>
  <c r="J185" i="178"/>
  <c r="J179" i="178"/>
  <c r="J172" i="178"/>
  <c r="J164" i="178"/>
  <c r="J156" i="178"/>
  <c r="J114" i="178"/>
  <c r="J105" i="178"/>
  <c r="J82" i="178"/>
  <c r="J75" i="178"/>
  <c r="J66" i="178"/>
  <c r="J60" i="178"/>
  <c r="J53" i="178"/>
  <c r="J34" i="178"/>
  <c r="J197" i="178"/>
  <c r="J191" i="178"/>
  <c r="J184" i="178"/>
  <c r="J141" i="178"/>
  <c r="J132" i="178"/>
  <c r="J122" i="178"/>
  <c r="J104" i="178"/>
  <c r="J96" i="178"/>
  <c r="J89" i="178"/>
  <c r="J65" i="178"/>
  <c r="J46" i="178"/>
  <c r="J40" i="178"/>
  <c r="J33" i="178"/>
  <c r="J211" i="178"/>
  <c r="J205" i="178"/>
  <c r="J196" i="178"/>
  <c r="J177" i="178"/>
  <c r="J171" i="178"/>
  <c r="J155" i="178"/>
  <c r="J147" i="178"/>
  <c r="J121" i="178"/>
  <c r="J113" i="178"/>
  <c r="J74" i="178"/>
  <c r="J58" i="178"/>
  <c r="J52" i="178"/>
  <c r="J45" i="178"/>
  <c r="J201" i="178"/>
  <c r="J188" i="178"/>
  <c r="J146" i="178"/>
  <c r="J93" i="178"/>
  <c r="J50" i="178"/>
  <c r="J37" i="178"/>
  <c r="J200" i="178"/>
  <c r="J175" i="178"/>
  <c r="J160" i="178"/>
  <c r="J110" i="178"/>
  <c r="J78" i="178"/>
  <c r="J62" i="178"/>
  <c r="J49" i="178"/>
  <c r="J187" i="178"/>
  <c r="J128" i="178"/>
  <c r="J107" i="178"/>
  <c r="J92" i="178"/>
  <c r="J61" i="178"/>
  <c r="J36" i="178"/>
  <c r="J195" i="178"/>
  <c r="J169" i="178"/>
  <c r="J137" i="178"/>
  <c r="J120" i="178"/>
  <c r="J44" i="178"/>
  <c r="J101" i="178"/>
  <c r="J71" i="178"/>
  <c r="J193" i="178"/>
  <c r="J165" i="178"/>
  <c r="J136" i="178"/>
  <c r="J42" i="178"/>
  <c r="J189" i="178"/>
  <c r="J161" i="178"/>
  <c r="J131" i="178"/>
  <c r="J64" i="178"/>
  <c r="J38" i="178"/>
  <c r="M17" i="178"/>
  <c r="J210" i="178"/>
  <c r="J183" i="178"/>
  <c r="J88" i="178"/>
  <c r="J57" i="178"/>
  <c r="J32" i="178"/>
  <c r="J181" i="178"/>
  <c r="J56" i="178"/>
  <c r="J180" i="178"/>
  <c r="J176" i="178"/>
  <c r="J103" i="178"/>
  <c r="J83" i="178"/>
  <c r="J209" i="178"/>
  <c r="J152" i="178"/>
  <c r="J79" i="178"/>
  <c r="J30" i="178"/>
  <c r="L43" i="97"/>
  <c r="P41" i="195" s="1"/>
  <c r="L89" i="97"/>
  <c r="P87" i="195" s="1"/>
  <c r="L32" i="97"/>
  <c r="P30" i="195" s="1"/>
  <c r="I243" i="54"/>
  <c r="J163" i="152"/>
  <c r="J172" i="152"/>
  <c r="J166" i="152"/>
  <c r="J71" i="152"/>
  <c r="J80" i="152"/>
  <c r="J194" i="152"/>
  <c r="J141" i="152"/>
  <c r="J162" i="152"/>
  <c r="J192" i="152"/>
  <c r="J105" i="152"/>
  <c r="J128" i="152"/>
  <c r="J43" i="152"/>
  <c r="J179" i="152"/>
  <c r="J131" i="152"/>
  <c r="J198" i="152"/>
  <c r="J161" i="152"/>
  <c r="J148" i="152"/>
  <c r="J70" i="152"/>
  <c r="J60" i="152"/>
  <c r="J147" i="152"/>
  <c r="J178" i="152"/>
  <c r="J98" i="152"/>
  <c r="J171" i="152"/>
  <c r="J160" i="152"/>
  <c r="J93" i="152"/>
  <c r="J135" i="152"/>
  <c r="J138" i="152"/>
  <c r="J36" i="152"/>
  <c r="J111" i="152"/>
  <c r="J175" i="152"/>
  <c r="J89" i="152"/>
  <c r="J207" i="152"/>
  <c r="J155" i="152"/>
  <c r="O213" i="152"/>
  <c r="J84" i="152"/>
  <c r="J199" i="152"/>
  <c r="J106" i="152"/>
  <c r="J177" i="152"/>
  <c r="J114" i="152"/>
  <c r="J153" i="152"/>
  <c r="J151" i="152"/>
  <c r="J184" i="152"/>
  <c r="J79" i="152"/>
  <c r="J54" i="152"/>
  <c r="J51" i="152"/>
  <c r="J77" i="152"/>
  <c r="J42" i="152"/>
  <c r="J196" i="152"/>
  <c r="J103" i="152"/>
  <c r="J69" i="152"/>
  <c r="J91" i="152"/>
  <c r="J200" i="152"/>
  <c r="J101" i="152"/>
  <c r="M17" i="152"/>
  <c r="J143" i="152"/>
  <c r="J45" i="152"/>
  <c r="J49" i="152"/>
  <c r="J180" i="152"/>
  <c r="J88" i="152"/>
  <c r="J186" i="152"/>
  <c r="J116" i="152"/>
  <c r="J156" i="152"/>
  <c r="J202" i="152"/>
  <c r="J34" i="152"/>
  <c r="J209" i="152"/>
  <c r="J38" i="152"/>
  <c r="J169" i="152"/>
  <c r="J30" i="152"/>
  <c r="J119" i="152"/>
  <c r="J47" i="152"/>
  <c r="J66" i="152"/>
  <c r="J81" i="152"/>
  <c r="J210" i="152"/>
  <c r="J83" i="152"/>
  <c r="J95" i="152"/>
  <c r="J157" i="152"/>
  <c r="J165" i="152"/>
  <c r="J94" i="152"/>
  <c r="J211" i="152"/>
  <c r="J61" i="152"/>
  <c r="J120" i="152"/>
  <c r="J52" i="152"/>
  <c r="J152" i="152"/>
  <c r="J39" i="152"/>
  <c r="J121" i="152"/>
  <c r="J195" i="152"/>
  <c r="J173" i="152"/>
  <c r="J74" i="152"/>
  <c r="J110" i="152"/>
  <c r="J78" i="152"/>
  <c r="J53" i="152"/>
  <c r="J37" i="152"/>
  <c r="J32" i="152"/>
  <c r="J59" i="152"/>
  <c r="J182" i="152"/>
  <c r="J76" i="152"/>
  <c r="J129" i="152"/>
  <c r="J146" i="152"/>
  <c r="J104" i="152"/>
  <c r="J145" i="152"/>
  <c r="J107" i="152"/>
  <c r="J33" i="152"/>
  <c r="J72" i="152"/>
  <c r="J63" i="152"/>
  <c r="J142" i="152"/>
  <c r="J191" i="152"/>
  <c r="J123" i="152"/>
  <c r="J113" i="152"/>
  <c r="J201" i="152"/>
  <c r="J115" i="152"/>
  <c r="J176" i="152"/>
  <c r="J190" i="152"/>
  <c r="J189" i="152"/>
  <c r="J122" i="152"/>
  <c r="J158" i="152"/>
  <c r="J87" i="152"/>
  <c r="J154" i="152"/>
  <c r="J187" i="152"/>
  <c r="J197" i="152"/>
  <c r="J134" i="152"/>
  <c r="J44" i="152"/>
  <c r="J40" i="152"/>
  <c r="J188" i="152"/>
  <c r="J112" i="152"/>
  <c r="J185" i="152"/>
  <c r="J140" i="152"/>
  <c r="J50" i="152"/>
  <c r="J213" i="152"/>
  <c r="J206" i="152"/>
  <c r="J58" i="152"/>
  <c r="J57" i="152"/>
  <c r="J48" i="152"/>
  <c r="J62" i="152"/>
  <c r="J193" i="152"/>
  <c r="J174" i="152"/>
  <c r="J181" i="152"/>
  <c r="J92" i="152"/>
  <c r="J73" i="152"/>
  <c r="J56" i="152"/>
  <c r="J164" i="152"/>
  <c r="J130" i="152"/>
  <c r="J55" i="152"/>
  <c r="J96" i="152"/>
  <c r="J64" i="152"/>
  <c r="J205" i="152"/>
  <c r="J136" i="152"/>
  <c r="J65" i="152"/>
  <c r="J170" i="152"/>
  <c r="J137" i="152"/>
  <c r="J75" i="152"/>
  <c r="J90" i="152"/>
  <c r="J82" i="152"/>
  <c r="J102" i="152"/>
  <c r="J41" i="152"/>
  <c r="J208" i="152"/>
  <c r="J35" i="152"/>
  <c r="J183" i="152"/>
  <c r="J132" i="152"/>
  <c r="J124" i="152"/>
  <c r="J31" i="152"/>
  <c r="J46" i="152"/>
  <c r="J150" i="152"/>
  <c r="J97" i="152"/>
  <c r="I220" i="152"/>
  <c r="J163" i="38"/>
  <c r="J34" i="38"/>
  <c r="J112" i="38"/>
  <c r="J185" i="38"/>
  <c r="J81" i="38"/>
  <c r="J91" i="38"/>
  <c r="J72" i="38"/>
  <c r="J73" i="38"/>
  <c r="J113" i="38"/>
  <c r="J78" i="38"/>
  <c r="J48" i="38"/>
  <c r="J182" i="38"/>
  <c r="J45" i="38"/>
  <c r="J165" i="38"/>
  <c r="J102" i="38"/>
  <c r="J61" i="38"/>
  <c r="J59" i="38"/>
  <c r="J162" i="38"/>
  <c r="J207" i="38"/>
  <c r="J154" i="38"/>
  <c r="J44" i="38"/>
  <c r="J65" i="38"/>
  <c r="J183" i="38"/>
  <c r="J176" i="38"/>
  <c r="J101" i="38"/>
  <c r="J150" i="38"/>
  <c r="J186" i="38"/>
  <c r="J156" i="38"/>
  <c r="J194" i="38"/>
  <c r="J95" i="38"/>
  <c r="J169" i="38"/>
  <c r="J97" i="38"/>
  <c r="J137" i="38"/>
  <c r="J198" i="38"/>
  <c r="J189" i="38"/>
  <c r="J195" i="38"/>
  <c r="J157" i="38"/>
  <c r="J202" i="38"/>
  <c r="J87" i="38"/>
  <c r="J211" i="38"/>
  <c r="J209" i="38"/>
  <c r="J177" i="38"/>
  <c r="J178" i="38"/>
  <c r="J77" i="38"/>
  <c r="J171" i="38"/>
  <c r="J153" i="38"/>
  <c r="J128" i="38"/>
  <c r="J90" i="38"/>
  <c r="J42" i="38"/>
  <c r="J75" i="38"/>
  <c r="J130" i="38"/>
  <c r="J79" i="38"/>
  <c r="J134" i="38"/>
  <c r="J57" i="38"/>
  <c r="J93" i="38"/>
  <c r="J53" i="38"/>
  <c r="O213" i="38"/>
  <c r="J121" i="38"/>
  <c r="J141" i="38"/>
  <c r="J180" i="38"/>
  <c r="J129" i="38"/>
  <c r="J160" i="38"/>
  <c r="J170" i="38"/>
  <c r="J123" i="38"/>
  <c r="J196" i="38"/>
  <c r="J39" i="38"/>
  <c r="J188" i="38"/>
  <c r="J142" i="38"/>
  <c r="J88" i="38"/>
  <c r="J32" i="38"/>
  <c r="J148" i="38"/>
  <c r="J74" i="38"/>
  <c r="M17" i="38"/>
  <c r="J122" i="38"/>
  <c r="J155" i="38"/>
  <c r="J161" i="38"/>
  <c r="J49" i="38"/>
  <c r="J83" i="38"/>
  <c r="J143" i="38"/>
  <c r="J70" i="38"/>
  <c r="J58" i="38"/>
  <c r="J199" i="38"/>
  <c r="J213" i="38"/>
  <c r="J173" i="38"/>
  <c r="J51" i="38"/>
  <c r="J131" i="38"/>
  <c r="J120" i="38"/>
  <c r="J52" i="38"/>
  <c r="J46" i="38"/>
  <c r="J94" i="38"/>
  <c r="J64" i="38"/>
  <c r="J80" i="38"/>
  <c r="J105" i="38"/>
  <c r="J76" i="38"/>
  <c r="J164" i="38"/>
  <c r="J66" i="38"/>
  <c r="J179" i="38"/>
  <c r="J92" i="38"/>
  <c r="J111" i="38"/>
  <c r="J138" i="38"/>
  <c r="J192" i="38"/>
  <c r="J205" i="38"/>
  <c r="J71" i="38"/>
  <c r="J69" i="38"/>
  <c r="J31" i="38"/>
  <c r="J36" i="38"/>
  <c r="J107" i="38"/>
  <c r="J136" i="38"/>
  <c r="J200" i="38"/>
  <c r="J210" i="38"/>
  <c r="J208" i="38"/>
  <c r="J132" i="38"/>
  <c r="J119" i="38"/>
  <c r="J124" i="38"/>
  <c r="J55" i="38"/>
  <c r="J158" i="38"/>
  <c r="J181" i="38"/>
  <c r="J98" i="38"/>
  <c r="J47" i="38"/>
  <c r="J115" i="38"/>
  <c r="J104" i="38"/>
  <c r="J174" i="38"/>
  <c r="J145" i="38"/>
  <c r="J33" i="38"/>
  <c r="J191" i="38"/>
  <c r="J190" i="38"/>
  <c r="J43" i="38"/>
  <c r="J38" i="38"/>
  <c r="J84" i="38"/>
  <c r="J82" i="38"/>
  <c r="J89" i="38"/>
  <c r="J166" i="38"/>
  <c r="J184" i="38"/>
  <c r="J147" i="38"/>
  <c r="J54" i="38"/>
  <c r="J135" i="38"/>
  <c r="J35" i="38"/>
  <c r="J62" i="38"/>
  <c r="J187" i="38"/>
  <c r="J103" i="38"/>
  <c r="J63" i="38"/>
  <c r="J41" i="38"/>
  <c r="J193" i="38"/>
  <c r="J40" i="38"/>
  <c r="J114" i="38"/>
  <c r="J140" i="38"/>
  <c r="J60" i="38"/>
  <c r="J106" i="38"/>
  <c r="J96" i="38"/>
  <c r="J197" i="38"/>
  <c r="J201" i="38"/>
  <c r="J50" i="38"/>
  <c r="J206" i="38"/>
  <c r="J146" i="38"/>
  <c r="J110" i="38"/>
  <c r="J172" i="38"/>
  <c r="J152" i="38"/>
  <c r="J175" i="38"/>
  <c r="J56" i="38"/>
  <c r="J151" i="38"/>
  <c r="J37" i="38"/>
  <c r="J116" i="38"/>
  <c r="J30" i="38"/>
  <c r="L59" i="97"/>
  <c r="P57" i="195" s="1"/>
  <c r="L36" i="97"/>
  <c r="P34" i="195" s="1"/>
  <c r="L144" i="97"/>
  <c r="P142" i="195" s="1"/>
  <c r="J188" i="103"/>
  <c r="J132" i="103"/>
  <c r="J164" i="103"/>
  <c r="J205" i="103"/>
  <c r="J42" i="103"/>
  <c r="J174" i="103"/>
  <c r="J199" i="103"/>
  <c r="J83" i="103"/>
  <c r="J152" i="103"/>
  <c r="J79" i="103"/>
  <c r="J210" i="103"/>
  <c r="J56" i="103"/>
  <c r="J124" i="103"/>
  <c r="J177" i="103"/>
  <c r="J112" i="103"/>
  <c r="J130" i="103"/>
  <c r="J95" i="103"/>
  <c r="J180" i="103"/>
  <c r="J50" i="103"/>
  <c r="J46" i="103"/>
  <c r="J115" i="103"/>
  <c r="J60" i="103"/>
  <c r="J173" i="103"/>
  <c r="J136" i="103"/>
  <c r="J179" i="103"/>
  <c r="J182" i="103"/>
  <c r="J186" i="103"/>
  <c r="J201" i="103"/>
  <c r="J76" i="103"/>
  <c r="J183" i="103"/>
  <c r="J37" i="103"/>
  <c r="J200" i="103"/>
  <c r="J160" i="103"/>
  <c r="J123" i="103"/>
  <c r="J63" i="103"/>
  <c r="J62" i="103"/>
  <c r="J104" i="103"/>
  <c r="J171" i="103"/>
  <c r="J82" i="103"/>
  <c r="J113" i="103"/>
  <c r="J137" i="103"/>
  <c r="J121" i="103"/>
  <c r="J111" i="103"/>
  <c r="J54" i="103"/>
  <c r="J181" i="103"/>
  <c r="J169" i="103"/>
  <c r="J143" i="103"/>
  <c r="J155" i="103"/>
  <c r="J110" i="103"/>
  <c r="J116" i="103"/>
  <c r="J44" i="103"/>
  <c r="J64" i="103"/>
  <c r="J80" i="103"/>
  <c r="J128" i="103"/>
  <c r="J73" i="103"/>
  <c r="M17" i="103"/>
  <c r="J207" i="103"/>
  <c r="J51" i="103"/>
  <c r="J142" i="103"/>
  <c r="J202" i="103"/>
  <c r="J135" i="103"/>
  <c r="J97" i="103"/>
  <c r="J150" i="103"/>
  <c r="J158" i="103"/>
  <c r="J129" i="103"/>
  <c r="J197" i="103"/>
  <c r="J70" i="103"/>
  <c r="J213" i="103"/>
  <c r="J184" i="103"/>
  <c r="J114" i="103"/>
  <c r="J187" i="103"/>
  <c r="J49" i="103"/>
  <c r="J78" i="103"/>
  <c r="J55" i="103"/>
  <c r="J101" i="103"/>
  <c r="J36" i="103"/>
  <c r="J40" i="103"/>
  <c r="J161" i="103"/>
  <c r="J38" i="103"/>
  <c r="J59" i="103"/>
  <c r="J31" i="103"/>
  <c r="J156" i="103"/>
  <c r="J209" i="103"/>
  <c r="J75" i="103"/>
  <c r="J172" i="103"/>
  <c r="J33" i="103"/>
  <c r="J165" i="103"/>
  <c r="J61" i="103"/>
  <c r="O213" i="103"/>
  <c r="J154" i="103"/>
  <c r="J196" i="103"/>
  <c r="J91" i="103"/>
  <c r="J48" i="103"/>
  <c r="J162" i="103"/>
  <c r="I220" i="103"/>
  <c r="J43" i="103"/>
  <c r="J45" i="103"/>
  <c r="J88" i="103"/>
  <c r="J72" i="103"/>
  <c r="J69" i="103"/>
  <c r="J119" i="103"/>
  <c r="J148" i="103"/>
  <c r="J53" i="103"/>
  <c r="J94" i="103"/>
  <c r="J194" i="103"/>
  <c r="J103" i="103"/>
  <c r="J105" i="103"/>
  <c r="J195" i="103"/>
  <c r="J81" i="103"/>
  <c r="J206" i="103"/>
  <c r="J92" i="103"/>
  <c r="J193" i="103"/>
  <c r="J34" i="103"/>
  <c r="J58" i="103"/>
  <c r="J147" i="103"/>
  <c r="J198" i="103"/>
  <c r="J93" i="103"/>
  <c r="J98" i="103"/>
  <c r="J189" i="103"/>
  <c r="J41" i="103"/>
  <c r="J170" i="103"/>
  <c r="J30" i="103"/>
  <c r="J145" i="103"/>
  <c r="J89" i="103"/>
  <c r="J185" i="103"/>
  <c r="J96" i="103"/>
  <c r="J131" i="103"/>
  <c r="J153" i="103"/>
  <c r="J52" i="103"/>
  <c r="J87" i="103"/>
  <c r="J151" i="103"/>
  <c r="J211" i="103"/>
  <c r="J176" i="103"/>
  <c r="J140" i="103"/>
  <c r="J35" i="103"/>
  <c r="J191" i="103"/>
  <c r="J106" i="103"/>
  <c r="J120" i="103"/>
  <c r="J47" i="103"/>
  <c r="J166" i="103"/>
  <c r="J141" i="103"/>
  <c r="J66" i="103"/>
  <c r="J71" i="103"/>
  <c r="J39" i="103"/>
  <c r="J65" i="103"/>
  <c r="J190" i="103"/>
  <c r="J102" i="103"/>
  <c r="J157" i="103"/>
  <c r="J90" i="103"/>
  <c r="J122" i="103"/>
  <c r="J107" i="103"/>
  <c r="J163" i="103"/>
  <c r="J32" i="103"/>
  <c r="J208" i="103"/>
  <c r="J178" i="103"/>
  <c r="J138" i="103"/>
  <c r="J77" i="103"/>
  <c r="J74" i="103"/>
  <c r="J146" i="103"/>
  <c r="J192" i="103"/>
  <c r="J57" i="103"/>
  <c r="J134" i="103"/>
  <c r="J175" i="103"/>
  <c r="J84" i="103"/>
  <c r="J41" i="66"/>
  <c r="J200" i="66"/>
  <c r="J98" i="66"/>
  <c r="J40" i="66"/>
  <c r="J83" i="66"/>
  <c r="J155" i="66"/>
  <c r="J101" i="66"/>
  <c r="J91" i="66"/>
  <c r="J201" i="66"/>
  <c r="J81" i="66"/>
  <c r="J79" i="66"/>
  <c r="J184" i="66"/>
  <c r="J178" i="66"/>
  <c r="J207" i="66"/>
  <c r="J175" i="66"/>
  <c r="J42" i="66"/>
  <c r="J30" i="66"/>
  <c r="J72" i="66"/>
  <c r="J145" i="66"/>
  <c r="J137" i="66"/>
  <c r="J31" i="66"/>
  <c r="J34" i="66"/>
  <c r="J53" i="66"/>
  <c r="J182" i="66"/>
  <c r="J151" i="66"/>
  <c r="J194" i="66"/>
  <c r="J153" i="66"/>
  <c r="J122" i="66"/>
  <c r="J150" i="66"/>
  <c r="J120" i="66"/>
  <c r="J49" i="66"/>
  <c r="J185" i="66"/>
  <c r="J146" i="66"/>
  <c r="J202" i="66"/>
  <c r="J59" i="66"/>
  <c r="J107" i="66"/>
  <c r="J74" i="66"/>
  <c r="J69" i="66"/>
  <c r="J57" i="66"/>
  <c r="J73" i="66"/>
  <c r="J170" i="66"/>
  <c r="J176" i="66"/>
  <c r="J102" i="66"/>
  <c r="J162" i="66"/>
  <c r="M17" i="66"/>
  <c r="J47" i="66"/>
  <c r="J198" i="66"/>
  <c r="J116" i="66"/>
  <c r="J154" i="66"/>
  <c r="J135" i="66"/>
  <c r="J80" i="66"/>
  <c r="J104" i="66"/>
  <c r="J196" i="66"/>
  <c r="J43" i="66"/>
  <c r="J70" i="66"/>
  <c r="J38" i="66"/>
  <c r="J36" i="66"/>
  <c r="J208" i="66"/>
  <c r="J169" i="66"/>
  <c r="J147" i="66"/>
  <c r="J190" i="66"/>
  <c r="J157" i="66"/>
  <c r="J181" i="66"/>
  <c r="J166" i="66"/>
  <c r="J46" i="66"/>
  <c r="J44" i="66"/>
  <c r="J158" i="66"/>
  <c r="J165" i="66"/>
  <c r="J129" i="66"/>
  <c r="J95" i="66"/>
  <c r="J84" i="66"/>
  <c r="J197" i="66"/>
  <c r="J96" i="66"/>
  <c r="J192" i="66"/>
  <c r="J160" i="66"/>
  <c r="J134" i="66"/>
  <c r="J37" i="66"/>
  <c r="J71" i="66"/>
  <c r="J138" i="66"/>
  <c r="J121" i="66"/>
  <c r="J75" i="66"/>
  <c r="J183" i="66"/>
  <c r="J35" i="66"/>
  <c r="O213" i="66"/>
  <c r="J115" i="66"/>
  <c r="J66" i="66"/>
  <c r="J193" i="66"/>
  <c r="J209" i="66"/>
  <c r="J93" i="66"/>
  <c r="J114" i="66"/>
  <c r="J164" i="66"/>
  <c r="J124" i="66"/>
  <c r="J152" i="66"/>
  <c r="J148" i="66"/>
  <c r="J39" i="66"/>
  <c r="J55" i="66"/>
  <c r="J113" i="66"/>
  <c r="J140" i="66"/>
  <c r="J136" i="66"/>
  <c r="J63" i="66"/>
  <c r="J50" i="66"/>
  <c r="J211" i="66"/>
  <c r="J143" i="66"/>
  <c r="J180" i="66"/>
  <c r="J89" i="66"/>
  <c r="J76" i="66"/>
  <c r="J123" i="66"/>
  <c r="J82" i="66"/>
  <c r="J188" i="66"/>
  <c r="J87" i="66"/>
  <c r="J213" i="66"/>
  <c r="J119" i="66"/>
  <c r="J163" i="66"/>
  <c r="J206" i="66"/>
  <c r="J199" i="66"/>
  <c r="J131" i="66"/>
  <c r="J56" i="66"/>
  <c r="J210" i="66"/>
  <c r="J141" i="66"/>
  <c r="J61" i="66"/>
  <c r="J54" i="66"/>
  <c r="J48" i="66"/>
  <c r="J130" i="66"/>
  <c r="J156" i="66"/>
  <c r="J189" i="66"/>
  <c r="J45" i="66"/>
  <c r="J174" i="66"/>
  <c r="J128" i="66"/>
  <c r="J97" i="66"/>
  <c r="J187" i="66"/>
  <c r="J173" i="66"/>
  <c r="J103" i="66"/>
  <c r="J112" i="66"/>
  <c r="J171" i="66"/>
  <c r="J106" i="66"/>
  <c r="J51" i="66"/>
  <c r="J191" i="66"/>
  <c r="J65" i="66"/>
  <c r="J111" i="66"/>
  <c r="J32" i="66"/>
  <c r="J33" i="66"/>
  <c r="J64" i="66"/>
  <c r="J105" i="66"/>
  <c r="J60" i="66"/>
  <c r="J161" i="66"/>
  <c r="J205" i="66"/>
  <c r="J78" i="66"/>
  <c r="J92" i="66"/>
  <c r="J186" i="66"/>
  <c r="J177" i="66"/>
  <c r="J110" i="66"/>
  <c r="J90" i="66"/>
  <c r="J52" i="66"/>
  <c r="J62" i="66"/>
  <c r="J88" i="66"/>
  <c r="J172" i="66"/>
  <c r="J142" i="66"/>
  <c r="J58" i="66"/>
  <c r="J132" i="66"/>
  <c r="J195" i="66"/>
  <c r="J179" i="66"/>
  <c r="J94" i="66"/>
  <c r="J77" i="66"/>
  <c r="I243" i="43"/>
  <c r="J73" i="94"/>
  <c r="J49" i="94"/>
  <c r="J174" i="94"/>
  <c r="J146" i="94"/>
  <c r="J113" i="94"/>
  <c r="J130" i="94"/>
  <c r="J87" i="94"/>
  <c r="J30" i="94"/>
  <c r="J172" i="94"/>
  <c r="J91" i="94"/>
  <c r="J66" i="94"/>
  <c r="J72" i="94"/>
  <c r="J35" i="94"/>
  <c r="J47" i="94"/>
  <c r="J195" i="94"/>
  <c r="J165" i="94"/>
  <c r="J48" i="94"/>
  <c r="J211" i="94"/>
  <c r="J33" i="94"/>
  <c r="J181" i="94"/>
  <c r="J184" i="94"/>
  <c r="J169" i="94"/>
  <c r="J97" i="94"/>
  <c r="J64" i="94"/>
  <c r="J43" i="94"/>
  <c r="J208" i="94"/>
  <c r="J187" i="94"/>
  <c r="J116" i="94"/>
  <c r="J76" i="94"/>
  <c r="J191" i="94"/>
  <c r="J151" i="94"/>
  <c r="J175" i="94"/>
  <c r="J131" i="94"/>
  <c r="J124" i="94"/>
  <c r="J96" i="94"/>
  <c r="J81" i="94"/>
  <c r="J177" i="94"/>
  <c r="J54" i="94"/>
  <c r="J44" i="94"/>
  <c r="J136" i="94"/>
  <c r="J107" i="94"/>
  <c r="J84" i="94"/>
  <c r="J213" i="94"/>
  <c r="J186" i="94"/>
  <c r="J160" i="94"/>
  <c r="J114" i="94"/>
  <c r="J71" i="94"/>
  <c r="J199" i="94"/>
  <c r="J179" i="94"/>
  <c r="J92" i="94"/>
  <c r="J52" i="94"/>
  <c r="J56" i="94"/>
  <c r="J36" i="94"/>
  <c r="J32" i="94"/>
  <c r="J190" i="94"/>
  <c r="J183" i="94"/>
  <c r="J104" i="94"/>
  <c r="J74" i="94"/>
  <c r="J80" i="94"/>
  <c r="J83" i="94"/>
  <c r="J39" i="94"/>
  <c r="J196" i="94"/>
  <c r="J143" i="94"/>
  <c r="J111" i="94"/>
  <c r="J79" i="94"/>
  <c r="M17" i="94"/>
  <c r="O213" i="94"/>
  <c r="J103" i="94"/>
  <c r="J60" i="94"/>
  <c r="J178" i="94"/>
  <c r="J198" i="94"/>
  <c r="J161" i="94"/>
  <c r="J156" i="94"/>
  <c r="J132" i="94"/>
  <c r="J101" i="94"/>
  <c r="J142" i="94"/>
  <c r="J209" i="94"/>
  <c r="J121" i="94"/>
  <c r="J138" i="94"/>
  <c r="J78" i="94"/>
  <c r="J106" i="94"/>
  <c r="J75" i="94"/>
  <c r="J51" i="94"/>
  <c r="J176" i="94"/>
  <c r="J157" i="94"/>
  <c r="J53" i="94"/>
  <c r="J201" i="94"/>
  <c r="J137" i="94"/>
  <c r="J93" i="94"/>
  <c r="J206" i="94"/>
  <c r="J185" i="94"/>
  <c r="J189" i="94"/>
  <c r="J148" i="94"/>
  <c r="J162" i="94"/>
  <c r="J119" i="94"/>
  <c r="J152" i="94"/>
  <c r="J141" i="94"/>
  <c r="J63" i="94"/>
  <c r="J57" i="94"/>
  <c r="J164" i="94"/>
  <c r="J135" i="94"/>
  <c r="J155" i="94"/>
  <c r="J31" i="94"/>
  <c r="J105" i="94"/>
  <c r="J128" i="94"/>
  <c r="J166" i="94"/>
  <c r="J207" i="94"/>
  <c r="J173" i="94"/>
  <c r="J70" i="94"/>
  <c r="J147" i="94"/>
  <c r="J202" i="94"/>
  <c r="J94" i="94"/>
  <c r="J194" i="94"/>
  <c r="J41" i="94"/>
  <c r="J180" i="94"/>
  <c r="J112" i="94"/>
  <c r="J65" i="94"/>
  <c r="J95" i="94"/>
  <c r="J170" i="94"/>
  <c r="J59" i="94"/>
  <c r="J123" i="94"/>
  <c r="J98" i="94"/>
  <c r="J150" i="94"/>
  <c r="J120" i="94"/>
  <c r="J77" i="94"/>
  <c r="J200" i="94"/>
  <c r="J50" i="94"/>
  <c r="J55" i="94"/>
  <c r="J129" i="94"/>
  <c r="J40" i="94"/>
  <c r="J69" i="94"/>
  <c r="J110" i="94"/>
  <c r="J90" i="94"/>
  <c r="J122" i="94"/>
  <c r="J188" i="94"/>
  <c r="J45" i="94"/>
  <c r="J82" i="94"/>
  <c r="J145" i="94"/>
  <c r="J58" i="94"/>
  <c r="J192" i="94"/>
  <c r="J154" i="94"/>
  <c r="J171" i="94"/>
  <c r="J61" i="94"/>
  <c r="J102" i="94"/>
  <c r="J34" i="94"/>
  <c r="J182" i="94"/>
  <c r="J88" i="94"/>
  <c r="J134" i="94"/>
  <c r="J205" i="94"/>
  <c r="J163" i="94"/>
  <c r="J46" i="94"/>
  <c r="J42" i="94"/>
  <c r="J158" i="94"/>
  <c r="J37" i="94"/>
  <c r="J62" i="94"/>
  <c r="J38" i="94"/>
  <c r="J193" i="94"/>
  <c r="J89" i="94"/>
  <c r="J140" i="94"/>
  <c r="J197" i="94"/>
  <c r="J115" i="94"/>
  <c r="J153" i="94"/>
  <c r="J210" i="94"/>
  <c r="J129" i="71"/>
  <c r="O213" i="71"/>
  <c r="J213" i="71"/>
  <c r="J40" i="71"/>
  <c r="J93" i="71"/>
  <c r="J140" i="71"/>
  <c r="J146" i="71"/>
  <c r="J135" i="71"/>
  <c r="J195" i="71"/>
  <c r="J79" i="71"/>
  <c r="J183" i="71"/>
  <c r="J94" i="71"/>
  <c r="J173" i="71"/>
  <c r="J64" i="71"/>
  <c r="J163" i="71"/>
  <c r="J52" i="71"/>
  <c r="J42" i="71"/>
  <c r="J209" i="71"/>
  <c r="J56" i="71"/>
  <c r="J66" i="71"/>
  <c r="J137" i="71"/>
  <c r="J81" i="71"/>
  <c r="J51" i="71"/>
  <c r="J176" i="71"/>
  <c r="J105" i="71"/>
  <c r="J205" i="71"/>
  <c r="J101" i="71"/>
  <c r="J166" i="71"/>
  <c r="J113" i="71"/>
  <c r="J180" i="71"/>
  <c r="J211" i="71"/>
  <c r="J192" i="71"/>
  <c r="J38" i="71"/>
  <c r="J49" i="71"/>
  <c r="J119" i="71"/>
  <c r="J104" i="71"/>
  <c r="J53" i="71"/>
  <c r="J60" i="71"/>
  <c r="J128" i="71"/>
  <c r="J114" i="71"/>
  <c r="J197" i="71"/>
  <c r="J115" i="71"/>
  <c r="M17" i="71"/>
  <c r="J130" i="71"/>
  <c r="J36" i="71"/>
  <c r="J106" i="71"/>
  <c r="J157" i="71"/>
  <c r="J74" i="71"/>
  <c r="J138" i="71"/>
  <c r="J70" i="71"/>
  <c r="J153" i="71"/>
  <c r="J89" i="71"/>
  <c r="J208" i="71"/>
  <c r="J72" i="71"/>
  <c r="J107" i="71"/>
  <c r="J169" i="71"/>
  <c r="J84" i="71"/>
  <c r="J73" i="71"/>
  <c r="J92" i="71"/>
  <c r="J151" i="71"/>
  <c r="J122" i="71"/>
  <c r="J170" i="71"/>
  <c r="J98" i="71"/>
  <c r="J185" i="71"/>
  <c r="J39" i="71"/>
  <c r="J199" i="71"/>
  <c r="J83" i="71"/>
  <c r="J177" i="71"/>
  <c r="J88" i="71"/>
  <c r="J132" i="71"/>
  <c r="J48" i="71"/>
  <c r="J120" i="71"/>
  <c r="J134" i="71"/>
  <c r="J165" i="71"/>
  <c r="J103" i="71"/>
  <c r="J82" i="71"/>
  <c r="J77" i="71"/>
  <c r="J202" i="71"/>
  <c r="J78" i="71"/>
  <c r="J142" i="71"/>
  <c r="J156" i="71"/>
  <c r="J65" i="71"/>
  <c r="J143" i="71"/>
  <c r="J80" i="71"/>
  <c r="J164" i="71"/>
  <c r="J31" i="71"/>
  <c r="J181" i="71"/>
  <c r="J46" i="71"/>
  <c r="J200" i="71"/>
  <c r="J34" i="71"/>
  <c r="J33" i="71"/>
  <c r="J30" i="71"/>
  <c r="J91" i="71"/>
  <c r="J102" i="71"/>
  <c r="J186" i="71"/>
  <c r="J136" i="71"/>
  <c r="J32" i="71"/>
  <c r="J172" i="71"/>
  <c r="J131" i="71"/>
  <c r="J55" i="71"/>
  <c r="J179" i="71"/>
  <c r="J162" i="71"/>
  <c r="J123" i="71"/>
  <c r="J210" i="71"/>
  <c r="J111" i="71"/>
  <c r="J148" i="71"/>
  <c r="J87" i="71"/>
  <c r="J190" i="71"/>
  <c r="J206" i="71"/>
  <c r="J207" i="71"/>
  <c r="J96" i="71"/>
  <c r="J154" i="71"/>
  <c r="J201" i="71"/>
  <c r="J54" i="71"/>
  <c r="J178" i="71"/>
  <c r="J155" i="71"/>
  <c r="J95" i="71"/>
  <c r="J62" i="71"/>
  <c r="J43" i="71"/>
  <c r="J174" i="71"/>
  <c r="J184" i="71"/>
  <c r="J158" i="71"/>
  <c r="J193" i="71"/>
  <c r="J58" i="71"/>
  <c r="J175" i="71"/>
  <c r="J75" i="71"/>
  <c r="J69" i="71"/>
  <c r="J141" i="71"/>
  <c r="J112" i="71"/>
  <c r="J188" i="71"/>
  <c r="J189" i="71"/>
  <c r="J124" i="71"/>
  <c r="J57" i="71"/>
  <c r="J194" i="71"/>
  <c r="J187" i="71"/>
  <c r="J110" i="71"/>
  <c r="J97" i="71"/>
  <c r="J147" i="71"/>
  <c r="J59" i="71"/>
  <c r="J150" i="71"/>
  <c r="J145" i="71"/>
  <c r="J160" i="71"/>
  <c r="J50" i="71"/>
  <c r="J41" i="71"/>
  <c r="J47" i="71"/>
  <c r="J116" i="71"/>
  <c r="J90" i="71"/>
  <c r="J61" i="71"/>
  <c r="J152" i="71"/>
  <c r="J63" i="71"/>
  <c r="J198" i="71"/>
  <c r="J191" i="71"/>
  <c r="J196" i="71"/>
  <c r="J161" i="71"/>
  <c r="J71" i="71"/>
  <c r="J182" i="71"/>
  <c r="J171" i="71"/>
  <c r="J37" i="71"/>
  <c r="J121" i="71"/>
  <c r="J35" i="71"/>
  <c r="J45" i="71"/>
  <c r="J76" i="71"/>
  <c r="J44" i="71"/>
  <c r="J115" i="83"/>
  <c r="J130" i="83"/>
  <c r="J84" i="83"/>
  <c r="J45" i="83"/>
  <c r="J195" i="83"/>
  <c r="J103" i="83"/>
  <c r="J190" i="83"/>
  <c r="J132" i="83"/>
  <c r="J56" i="83"/>
  <c r="J164" i="83"/>
  <c r="J51" i="83"/>
  <c r="J177" i="83"/>
  <c r="J110" i="83"/>
  <c r="J61" i="83"/>
  <c r="J96" i="83"/>
  <c r="J50" i="83"/>
  <c r="J76" i="83"/>
  <c r="J147" i="83"/>
  <c r="J202" i="83"/>
  <c r="J47" i="83"/>
  <c r="J66" i="83"/>
  <c r="J181" i="83"/>
  <c r="J89" i="83"/>
  <c r="J33" i="83"/>
  <c r="J150" i="83"/>
  <c r="J91" i="83"/>
  <c r="J59" i="83"/>
  <c r="J187" i="83"/>
  <c r="J189" i="83"/>
  <c r="J95" i="83"/>
  <c r="J38" i="83"/>
  <c r="J77" i="83"/>
  <c r="J98" i="83"/>
  <c r="J200" i="83"/>
  <c r="J37" i="83"/>
  <c r="J82" i="83"/>
  <c r="J154" i="83"/>
  <c r="J102" i="83"/>
  <c r="J136" i="83"/>
  <c r="J97" i="83"/>
  <c r="J211" i="83"/>
  <c r="J55" i="83"/>
  <c r="J34" i="83"/>
  <c r="J205" i="83"/>
  <c r="J146" i="83"/>
  <c r="J88" i="83"/>
  <c r="J182" i="83"/>
  <c r="J81" i="83"/>
  <c r="J191" i="83"/>
  <c r="J163" i="83"/>
  <c r="J119" i="83"/>
  <c r="J64" i="83"/>
  <c r="J101" i="83"/>
  <c r="J173" i="83"/>
  <c r="J197" i="83"/>
  <c r="J75" i="83"/>
  <c r="J36" i="83"/>
  <c r="J199" i="83"/>
  <c r="J128" i="83"/>
  <c r="J106" i="83"/>
  <c r="J186" i="83"/>
  <c r="J49" i="83"/>
  <c r="J201" i="83"/>
  <c r="J213" i="83"/>
  <c r="J194" i="83"/>
  <c r="J170" i="83"/>
  <c r="J151" i="83"/>
  <c r="J120" i="83"/>
  <c r="J46" i="83"/>
  <c r="J134" i="83"/>
  <c r="J124" i="83"/>
  <c r="J184" i="83"/>
  <c r="J57" i="83"/>
  <c r="J131" i="83"/>
  <c r="J171" i="83"/>
  <c r="J80" i="83"/>
  <c r="J176" i="83"/>
  <c r="J83" i="83"/>
  <c r="J140" i="83"/>
  <c r="J179" i="83"/>
  <c r="J78" i="83"/>
  <c r="J43" i="83"/>
  <c r="J73" i="83"/>
  <c r="J74" i="83"/>
  <c r="J175" i="83"/>
  <c r="J122" i="83"/>
  <c r="J209" i="83"/>
  <c r="J183" i="83"/>
  <c r="J165" i="83"/>
  <c r="J137" i="83"/>
  <c r="J105" i="83"/>
  <c r="J35" i="83"/>
  <c r="J60" i="83"/>
  <c r="M17" i="83"/>
  <c r="J196" i="83"/>
  <c r="J169" i="83"/>
  <c r="J112" i="83"/>
  <c r="J31" i="83"/>
  <c r="J113" i="83"/>
  <c r="J162" i="83"/>
  <c r="O213" i="83"/>
  <c r="J141" i="83"/>
  <c r="J107" i="83"/>
  <c r="J152" i="83"/>
  <c r="J62" i="83"/>
  <c r="J180" i="83"/>
  <c r="J185" i="83"/>
  <c r="J198" i="83"/>
  <c r="J158" i="83"/>
  <c r="J93" i="83"/>
  <c r="J174" i="83"/>
  <c r="J206" i="83"/>
  <c r="J160" i="83"/>
  <c r="J208" i="83"/>
  <c r="J188" i="83"/>
  <c r="J30" i="83"/>
  <c r="J153" i="83"/>
  <c r="J166" i="83"/>
  <c r="J63" i="83"/>
  <c r="J90" i="83"/>
  <c r="J178" i="83"/>
  <c r="J41" i="83"/>
  <c r="J148" i="83"/>
  <c r="J111" i="83"/>
  <c r="J138" i="83"/>
  <c r="J155" i="83"/>
  <c r="J161" i="83"/>
  <c r="J94" i="83"/>
  <c r="J44" i="83"/>
  <c r="J72" i="83"/>
  <c r="J121" i="83"/>
  <c r="J143" i="83"/>
  <c r="J193" i="83"/>
  <c r="J48" i="83"/>
  <c r="J52" i="83"/>
  <c r="J104" i="83"/>
  <c r="J135" i="83"/>
  <c r="J32" i="83"/>
  <c r="J87" i="83"/>
  <c r="J54" i="83"/>
  <c r="J210" i="83"/>
  <c r="J142" i="83"/>
  <c r="J79" i="83"/>
  <c r="J172" i="83"/>
  <c r="J40" i="83"/>
  <c r="J70" i="83"/>
  <c r="J69" i="83"/>
  <c r="J145" i="83"/>
  <c r="J114" i="83"/>
  <c r="J39" i="83"/>
  <c r="J65" i="83"/>
  <c r="J207" i="83"/>
  <c r="J71" i="83"/>
  <c r="J157" i="83"/>
  <c r="J129" i="83"/>
  <c r="J192" i="83"/>
  <c r="J92" i="83"/>
  <c r="J42" i="83"/>
  <c r="J156" i="83"/>
  <c r="J123" i="83"/>
  <c r="J58" i="83"/>
  <c r="J116" i="83"/>
  <c r="J53" i="83"/>
  <c r="I220" i="83"/>
  <c r="J146" i="164"/>
  <c r="J71" i="164"/>
  <c r="J152" i="164"/>
  <c r="J98" i="164"/>
  <c r="J199" i="164"/>
  <c r="J112" i="164"/>
  <c r="J191" i="164"/>
  <c r="M17" i="164"/>
  <c r="J155" i="164"/>
  <c r="J185" i="164"/>
  <c r="J124" i="164"/>
  <c r="J49" i="164"/>
  <c r="J175" i="164"/>
  <c r="J136" i="164"/>
  <c r="J111" i="164"/>
  <c r="J119" i="164"/>
  <c r="J179" i="164"/>
  <c r="J208" i="164"/>
  <c r="J173" i="164"/>
  <c r="J77" i="164"/>
  <c r="O213" i="164"/>
  <c r="J174" i="164"/>
  <c r="J209" i="164"/>
  <c r="J44" i="164"/>
  <c r="J163" i="164"/>
  <c r="J156" i="164"/>
  <c r="J107" i="164"/>
  <c r="J194" i="164"/>
  <c r="J37" i="164"/>
  <c r="J131" i="164"/>
  <c r="J130" i="164"/>
  <c r="J91" i="164"/>
  <c r="J115" i="164"/>
  <c r="J33" i="164"/>
  <c r="J53" i="164"/>
  <c r="J202" i="164"/>
  <c r="J50" i="164"/>
  <c r="J154" i="164"/>
  <c r="J36" i="164"/>
  <c r="J34" i="164"/>
  <c r="J89" i="164"/>
  <c r="J213" i="164"/>
  <c r="J105" i="164"/>
  <c r="J74" i="164"/>
  <c r="J186" i="164"/>
  <c r="J48" i="164"/>
  <c r="J96" i="164"/>
  <c r="J93" i="164"/>
  <c r="J122" i="164"/>
  <c r="J59" i="164"/>
  <c r="J129" i="164"/>
  <c r="J189" i="164"/>
  <c r="J196" i="164"/>
  <c r="J135" i="164"/>
  <c r="J138" i="164"/>
  <c r="J104" i="164"/>
  <c r="J176" i="164"/>
  <c r="J39" i="164"/>
  <c r="J54" i="164"/>
  <c r="J158" i="164"/>
  <c r="J153" i="164"/>
  <c r="J141" i="164"/>
  <c r="J207" i="164"/>
  <c r="J30" i="164"/>
  <c r="J90" i="164"/>
  <c r="J128" i="164"/>
  <c r="J193" i="164"/>
  <c r="J150" i="164"/>
  <c r="J64" i="164"/>
  <c r="J187" i="164"/>
  <c r="J188" i="164"/>
  <c r="J200" i="164"/>
  <c r="J56" i="164"/>
  <c r="J148" i="164"/>
  <c r="J180" i="164"/>
  <c r="J88" i="164"/>
  <c r="J170" i="164"/>
  <c r="J181" i="164"/>
  <c r="J192" i="164"/>
  <c r="J160" i="164"/>
  <c r="J121" i="164"/>
  <c r="J143" i="164"/>
  <c r="J62" i="164"/>
  <c r="J58" i="164"/>
  <c r="J106" i="164"/>
  <c r="J81" i="164"/>
  <c r="J140" i="164"/>
  <c r="J132" i="164"/>
  <c r="J61" i="164"/>
  <c r="J147" i="164"/>
  <c r="J177" i="164"/>
  <c r="J110" i="164"/>
  <c r="J198" i="164"/>
  <c r="J42" i="164"/>
  <c r="J101" i="164"/>
  <c r="J165" i="164"/>
  <c r="J65" i="164"/>
  <c r="J164" i="164"/>
  <c r="J40" i="164"/>
  <c r="J103" i="164"/>
  <c r="J45" i="164"/>
  <c r="J123" i="164"/>
  <c r="J95" i="164"/>
  <c r="J66" i="164"/>
  <c r="J63" i="164"/>
  <c r="J43" i="164"/>
  <c r="J184" i="164"/>
  <c r="J113" i="164"/>
  <c r="J201" i="164"/>
  <c r="J51" i="164"/>
  <c r="J55" i="164"/>
  <c r="J84" i="164"/>
  <c r="J145" i="164"/>
  <c r="J162" i="164"/>
  <c r="J182" i="164"/>
  <c r="J82" i="164"/>
  <c r="J161" i="164"/>
  <c r="J83" i="164"/>
  <c r="J102" i="164"/>
  <c r="J35" i="164"/>
  <c r="J169" i="164"/>
  <c r="J76" i="164"/>
  <c r="J172" i="164"/>
  <c r="J38" i="164"/>
  <c r="J72" i="164"/>
  <c r="J69" i="164"/>
  <c r="J142" i="164"/>
  <c r="J52" i="164"/>
  <c r="J41" i="164"/>
  <c r="J31" i="164"/>
  <c r="J80" i="164"/>
  <c r="J151" i="164"/>
  <c r="J134" i="164"/>
  <c r="J211" i="164"/>
  <c r="J183" i="164"/>
  <c r="J70" i="164"/>
  <c r="J78" i="164"/>
  <c r="J32" i="164"/>
  <c r="J205" i="164"/>
  <c r="J171" i="164"/>
  <c r="J79" i="164"/>
  <c r="J73" i="164"/>
  <c r="J46" i="164"/>
  <c r="J60" i="164"/>
  <c r="J75" i="164"/>
  <c r="J206" i="164"/>
  <c r="J190" i="164"/>
  <c r="J197" i="164"/>
  <c r="J114" i="164"/>
  <c r="J47" i="164"/>
  <c r="J87" i="164"/>
  <c r="J116" i="164"/>
  <c r="J157" i="164"/>
  <c r="J97" i="164"/>
  <c r="J120" i="164"/>
  <c r="J195" i="164"/>
  <c r="J166" i="164"/>
  <c r="J94" i="164"/>
  <c r="J57" i="164"/>
  <c r="J92" i="164"/>
  <c r="J137" i="164"/>
  <c r="J178" i="164"/>
  <c r="J210" i="164"/>
  <c r="J121" i="39"/>
  <c r="J190" i="39"/>
  <c r="J54" i="39"/>
  <c r="J47" i="39"/>
  <c r="J45" i="39"/>
  <c r="J61" i="39"/>
  <c r="J98" i="39"/>
  <c r="J160" i="39"/>
  <c r="J155" i="39"/>
  <c r="J44" i="39"/>
  <c r="J39" i="39"/>
  <c r="J35" i="39"/>
  <c r="J187" i="39"/>
  <c r="J132" i="39"/>
  <c r="J152" i="39"/>
  <c r="J65" i="39"/>
  <c r="J51" i="39"/>
  <c r="J192" i="39"/>
  <c r="J78" i="39"/>
  <c r="J165" i="39"/>
  <c r="J189" i="39"/>
  <c r="J34" i="39"/>
  <c r="J46" i="39"/>
  <c r="J194" i="39"/>
  <c r="J116" i="39"/>
  <c r="J31" i="39"/>
  <c r="J105" i="39"/>
  <c r="J163" i="39"/>
  <c r="J188" i="39"/>
  <c r="J186" i="39"/>
  <c r="J74" i="39"/>
  <c r="J175" i="39"/>
  <c r="J201" i="39"/>
  <c r="J176" i="39"/>
  <c r="J79" i="39"/>
  <c r="J191" i="39"/>
  <c r="J145" i="39"/>
  <c r="J104" i="39"/>
  <c r="J42" i="39"/>
  <c r="J213" i="39"/>
  <c r="J97" i="39"/>
  <c r="J103" i="39"/>
  <c r="J83" i="39"/>
  <c r="J210" i="39"/>
  <c r="J174" i="39"/>
  <c r="J87" i="39"/>
  <c r="J101" i="39"/>
  <c r="J115" i="39"/>
  <c r="J43" i="39"/>
  <c r="J173" i="39"/>
  <c r="J178" i="39"/>
  <c r="J181" i="39"/>
  <c r="J211" i="39"/>
  <c r="J158" i="39"/>
  <c r="J56" i="39"/>
  <c r="J177" i="39"/>
  <c r="J80" i="39"/>
  <c r="J96" i="39"/>
  <c r="J71" i="39"/>
  <c r="J169" i="39"/>
  <c r="M17" i="39"/>
  <c r="J119" i="39"/>
  <c r="J141" i="39"/>
  <c r="J140" i="39"/>
  <c r="J50" i="39"/>
  <c r="J123" i="39"/>
  <c r="J49" i="39"/>
  <c r="J164" i="39"/>
  <c r="J208" i="39"/>
  <c r="J193" i="39"/>
  <c r="J95" i="39"/>
  <c r="J130" i="39"/>
  <c r="J207" i="39"/>
  <c r="J62" i="39"/>
  <c r="O213" i="39"/>
  <c r="J122" i="39"/>
  <c r="J183" i="39"/>
  <c r="J153" i="39"/>
  <c r="J209" i="39"/>
  <c r="J60" i="39"/>
  <c r="J205" i="39"/>
  <c r="J107" i="39"/>
  <c r="J114" i="39"/>
  <c r="J185" i="39"/>
  <c r="J170" i="39"/>
  <c r="J172" i="39"/>
  <c r="J84" i="39"/>
  <c r="J146" i="39"/>
  <c r="J69" i="39"/>
  <c r="J124" i="39"/>
  <c r="J202" i="39"/>
  <c r="J41" i="39"/>
  <c r="J88" i="39"/>
  <c r="J195" i="39"/>
  <c r="J59" i="39"/>
  <c r="J33" i="39"/>
  <c r="J206" i="39"/>
  <c r="J52" i="39"/>
  <c r="J179" i="39"/>
  <c r="J102" i="39"/>
  <c r="J89" i="39"/>
  <c r="J200" i="39"/>
  <c r="J72" i="39"/>
  <c r="J162" i="39"/>
  <c r="J93" i="39"/>
  <c r="J171" i="39"/>
  <c r="J138" i="39"/>
  <c r="J180" i="39"/>
  <c r="J66" i="39"/>
  <c r="J110" i="39"/>
  <c r="J196" i="39"/>
  <c r="J134" i="39"/>
  <c r="J32" i="39"/>
  <c r="J77" i="39"/>
  <c r="J129" i="39"/>
  <c r="J38" i="39"/>
  <c r="J150" i="39"/>
  <c r="J136" i="39"/>
  <c r="J57" i="39"/>
  <c r="J156" i="39"/>
  <c r="J128" i="39"/>
  <c r="J30" i="39"/>
  <c r="J40" i="39"/>
  <c r="J142" i="39"/>
  <c r="J48" i="39"/>
  <c r="J81" i="39"/>
  <c r="J197" i="39"/>
  <c r="J137" i="39"/>
  <c r="J75" i="39"/>
  <c r="J36" i="39"/>
  <c r="J64" i="39"/>
  <c r="J55" i="39"/>
  <c r="J154" i="39"/>
  <c r="J120" i="39"/>
  <c r="J184" i="39"/>
  <c r="J166" i="39"/>
  <c r="J148" i="39"/>
  <c r="J131" i="39"/>
  <c r="J143" i="39"/>
  <c r="J53" i="39"/>
  <c r="J112" i="39"/>
  <c r="J63" i="39"/>
  <c r="J90" i="39"/>
  <c r="J92" i="39"/>
  <c r="J199" i="39"/>
  <c r="J73" i="39"/>
  <c r="J82" i="39"/>
  <c r="J182" i="39"/>
  <c r="J198" i="39"/>
  <c r="J76" i="39"/>
  <c r="J58" i="39"/>
  <c r="J111" i="39"/>
  <c r="J37" i="39"/>
  <c r="J94" i="39"/>
  <c r="J161" i="39"/>
  <c r="J70" i="39"/>
  <c r="J157" i="39"/>
  <c r="J113" i="39"/>
  <c r="J147" i="39"/>
  <c r="J135" i="39"/>
  <c r="J106" i="39"/>
  <c r="J91" i="39"/>
  <c r="J151" i="39"/>
  <c r="J89" i="63"/>
  <c r="J48" i="63"/>
  <c r="J151" i="63"/>
  <c r="J87" i="63"/>
  <c r="J45" i="63"/>
  <c r="J162" i="63"/>
  <c r="J76" i="63"/>
  <c r="J181" i="63"/>
  <c r="J70" i="63"/>
  <c r="J111" i="63"/>
  <c r="J141" i="63"/>
  <c r="J75" i="63"/>
  <c r="J198" i="63"/>
  <c r="J148" i="63"/>
  <c r="J179" i="63"/>
  <c r="J206" i="63"/>
  <c r="J199" i="63"/>
  <c r="J131" i="63"/>
  <c r="J90" i="63"/>
  <c r="J65" i="63"/>
  <c r="J153" i="63"/>
  <c r="J73" i="63"/>
  <c r="J152" i="63"/>
  <c r="J142" i="63"/>
  <c r="J64" i="63"/>
  <c r="J209" i="63"/>
  <c r="J130" i="63"/>
  <c r="J171" i="63"/>
  <c r="J122" i="63"/>
  <c r="J54" i="63"/>
  <c r="J193" i="63"/>
  <c r="J132" i="63"/>
  <c r="J208" i="63"/>
  <c r="J145" i="63"/>
  <c r="J128" i="63"/>
  <c r="J63" i="63"/>
  <c r="J51" i="63"/>
  <c r="J155" i="63"/>
  <c r="J36" i="63"/>
  <c r="J205" i="63"/>
  <c r="J57" i="63"/>
  <c r="J197" i="63"/>
  <c r="J47" i="63"/>
  <c r="J121" i="63"/>
  <c r="J105" i="63"/>
  <c r="J44" i="63"/>
  <c r="J158" i="63"/>
  <c r="J52" i="63"/>
  <c r="J115" i="63"/>
  <c r="J103" i="63"/>
  <c r="J31" i="63"/>
  <c r="J166" i="63"/>
  <c r="J94" i="63"/>
  <c r="J161" i="63"/>
  <c r="J135" i="63"/>
  <c r="J78" i="63"/>
  <c r="J177" i="63"/>
  <c r="J178" i="63"/>
  <c r="J61" i="63"/>
  <c r="J41" i="63"/>
  <c r="J120" i="63"/>
  <c r="J83" i="63"/>
  <c r="J37" i="63"/>
  <c r="J163" i="63"/>
  <c r="J77" i="63"/>
  <c r="J113" i="63"/>
  <c r="J137" i="63"/>
  <c r="J93" i="63"/>
  <c r="J49" i="63"/>
  <c r="J72" i="63"/>
  <c r="J97" i="63"/>
  <c r="J186" i="63"/>
  <c r="J53" i="63"/>
  <c r="J35" i="63"/>
  <c r="J59" i="63"/>
  <c r="J42" i="63"/>
  <c r="J84" i="63"/>
  <c r="J101" i="63"/>
  <c r="J71" i="63"/>
  <c r="J129" i="63"/>
  <c r="J33" i="63"/>
  <c r="J176" i="63"/>
  <c r="J185" i="63"/>
  <c r="J195" i="63"/>
  <c r="J30" i="63"/>
  <c r="J202" i="63"/>
  <c r="J80" i="63"/>
  <c r="J196" i="63"/>
  <c r="J134" i="63"/>
  <c r="J136" i="63"/>
  <c r="J55" i="63"/>
  <c r="J66" i="63"/>
  <c r="J182" i="63"/>
  <c r="J110" i="63"/>
  <c r="J32" i="63"/>
  <c r="J107" i="63"/>
  <c r="J112" i="63"/>
  <c r="J165" i="63"/>
  <c r="J88" i="63"/>
  <c r="J74" i="63"/>
  <c r="J40" i="63"/>
  <c r="J188" i="63"/>
  <c r="J92" i="63"/>
  <c r="J174" i="63"/>
  <c r="J180" i="63"/>
  <c r="J192" i="63"/>
  <c r="J116" i="63"/>
  <c r="J187" i="63"/>
  <c r="J170" i="63"/>
  <c r="J191" i="63"/>
  <c r="J156" i="63"/>
  <c r="J210" i="63"/>
  <c r="J200" i="63"/>
  <c r="J175" i="63"/>
  <c r="J194" i="63"/>
  <c r="J147" i="63"/>
  <c r="J164" i="63"/>
  <c r="J102" i="63"/>
  <c r="J60" i="63"/>
  <c r="J95" i="63"/>
  <c r="J114" i="63"/>
  <c r="J62" i="63"/>
  <c r="J211" i="63"/>
  <c r="J183" i="63"/>
  <c r="J207" i="63"/>
  <c r="J146" i="63"/>
  <c r="J169" i="63"/>
  <c r="J98" i="63"/>
  <c r="J123" i="63"/>
  <c r="J69" i="63"/>
  <c r="J189" i="63"/>
  <c r="J150" i="63"/>
  <c r="J201" i="63"/>
  <c r="J119" i="63"/>
  <c r="J79" i="63"/>
  <c r="J140" i="63"/>
  <c r="J157" i="63"/>
  <c r="J138" i="63"/>
  <c r="J143" i="63"/>
  <c r="J160" i="63"/>
  <c r="O213" i="63"/>
  <c r="J43" i="63"/>
  <c r="J106" i="63"/>
  <c r="J56" i="63"/>
  <c r="J91" i="63"/>
  <c r="J184" i="63"/>
  <c r="J81" i="63"/>
  <c r="J50" i="63"/>
  <c r="J172" i="63"/>
  <c r="J38" i="63"/>
  <c r="J124" i="63"/>
  <c r="J46" i="63"/>
  <c r="J213" i="63"/>
  <c r="J39" i="63"/>
  <c r="J96" i="63"/>
  <c r="J190" i="63"/>
  <c r="J58" i="63"/>
  <c r="J82" i="63"/>
  <c r="J173" i="63"/>
  <c r="J154" i="63"/>
  <c r="J104" i="63"/>
  <c r="M17" i="63"/>
  <c r="J34" i="63"/>
  <c r="I220" i="94"/>
  <c r="L184" i="97"/>
  <c r="P182" i="195" s="1"/>
  <c r="L46" i="97"/>
  <c r="P44" i="195" s="1"/>
  <c r="L78" i="97"/>
  <c r="P76" i="195" s="1"/>
  <c r="L188" i="97"/>
  <c r="P186" i="195" s="1"/>
  <c r="L203" i="97"/>
  <c r="P201" i="195" s="1"/>
  <c r="O213" i="85"/>
  <c r="J142" i="85"/>
  <c r="J181" i="85"/>
  <c r="J55" i="85"/>
  <c r="J132" i="85"/>
  <c r="J191" i="85"/>
  <c r="J131" i="85"/>
  <c r="J80" i="85"/>
  <c r="J200" i="85"/>
  <c r="J154" i="85"/>
  <c r="J105" i="85"/>
  <c r="J134" i="85"/>
  <c r="J130" i="85"/>
  <c r="J69" i="85"/>
  <c r="J72" i="85"/>
  <c r="J78" i="85"/>
  <c r="J166" i="85"/>
  <c r="J77" i="85"/>
  <c r="J60" i="85"/>
  <c r="J135" i="85"/>
  <c r="J54" i="85"/>
  <c r="J153" i="85"/>
  <c r="J122" i="85"/>
  <c r="J36" i="85"/>
  <c r="J138" i="85"/>
  <c r="J73" i="85"/>
  <c r="J106" i="85"/>
  <c r="J156" i="85"/>
  <c r="J114" i="85"/>
  <c r="J206" i="85"/>
  <c r="J87" i="85"/>
  <c r="J50" i="85"/>
  <c r="J160" i="85"/>
  <c r="J113" i="85"/>
  <c r="J31" i="85"/>
  <c r="J75" i="85"/>
  <c r="J178" i="85"/>
  <c r="J98" i="85"/>
  <c r="J183" i="85"/>
  <c r="J64" i="85"/>
  <c r="J146" i="85"/>
  <c r="J95" i="85"/>
  <c r="J196" i="85"/>
  <c r="J34" i="85"/>
  <c r="J41" i="85"/>
  <c r="J184" i="85"/>
  <c r="J147" i="85"/>
  <c r="J180" i="85"/>
  <c r="J174" i="85"/>
  <c r="J155" i="85"/>
  <c r="J209" i="85"/>
  <c r="J45" i="85"/>
  <c r="J170" i="85"/>
  <c r="J40" i="85"/>
  <c r="J208" i="85"/>
  <c r="J81" i="85"/>
  <c r="J84" i="85"/>
  <c r="J136" i="85"/>
  <c r="J173" i="85"/>
  <c r="J32" i="85"/>
  <c r="J30" i="85"/>
  <c r="J71" i="85"/>
  <c r="J46" i="85"/>
  <c r="J43" i="85"/>
  <c r="J179" i="85"/>
  <c r="J48" i="85"/>
  <c r="J187" i="85"/>
  <c r="J186" i="85"/>
  <c r="J163" i="85"/>
  <c r="J210" i="85"/>
  <c r="J96" i="85"/>
  <c r="J83" i="85"/>
  <c r="J51" i="85"/>
  <c r="J104" i="85"/>
  <c r="J88" i="85"/>
  <c r="J182" i="85"/>
  <c r="J140" i="85"/>
  <c r="J172" i="85"/>
  <c r="J33" i="85"/>
  <c r="J59" i="85"/>
  <c r="J37" i="85"/>
  <c r="J102" i="85"/>
  <c r="J115" i="85"/>
  <c r="J110" i="85"/>
  <c r="J76" i="85"/>
  <c r="J90" i="85"/>
  <c r="J101" i="85"/>
  <c r="J175" i="85"/>
  <c r="J201" i="85"/>
  <c r="J52" i="85"/>
  <c r="J128" i="85"/>
  <c r="J57" i="85"/>
  <c r="J152" i="85"/>
  <c r="J190" i="85"/>
  <c r="J165" i="85"/>
  <c r="J137" i="85"/>
  <c r="J94" i="85"/>
  <c r="J111" i="85"/>
  <c r="J189" i="85"/>
  <c r="J70" i="85"/>
  <c r="J56" i="85"/>
  <c r="J161" i="85"/>
  <c r="J47" i="85"/>
  <c r="J151" i="85"/>
  <c r="J169" i="85"/>
  <c r="J74" i="85"/>
  <c r="J157" i="85"/>
  <c r="J211" i="85"/>
  <c r="J97" i="85"/>
  <c r="J205" i="85"/>
  <c r="J193" i="85"/>
  <c r="J197" i="85"/>
  <c r="J121" i="85"/>
  <c r="M17" i="85"/>
  <c r="J91" i="85"/>
  <c r="J123" i="85"/>
  <c r="J188" i="85"/>
  <c r="J107" i="85"/>
  <c r="J103" i="85"/>
  <c r="J44" i="85"/>
  <c r="J82" i="85"/>
  <c r="J148" i="85"/>
  <c r="J150" i="85"/>
  <c r="J162" i="85"/>
  <c r="J120" i="85"/>
  <c r="J66" i="85"/>
  <c r="J35" i="85"/>
  <c r="J164" i="85"/>
  <c r="J202" i="85"/>
  <c r="J89" i="85"/>
  <c r="J192" i="85"/>
  <c r="J171" i="85"/>
  <c r="J119" i="85"/>
  <c r="J116" i="85"/>
  <c r="J39" i="85"/>
  <c r="J62" i="85"/>
  <c r="J63" i="85"/>
  <c r="J199" i="85"/>
  <c r="J93" i="85"/>
  <c r="J207" i="85"/>
  <c r="J145" i="85"/>
  <c r="J177" i="85"/>
  <c r="J124" i="85"/>
  <c r="J79" i="85"/>
  <c r="J176" i="85"/>
  <c r="J194" i="85"/>
  <c r="J129" i="85"/>
  <c r="J53" i="85"/>
  <c r="J198" i="85"/>
  <c r="J38" i="85"/>
  <c r="J49" i="85"/>
  <c r="J158" i="85"/>
  <c r="J58" i="85"/>
  <c r="J213" i="85"/>
  <c r="J143" i="85"/>
  <c r="J195" i="85"/>
  <c r="J61" i="85"/>
  <c r="J141" i="85"/>
  <c r="J92" i="85"/>
  <c r="J65" i="85"/>
  <c r="J185" i="85"/>
  <c r="J112" i="85"/>
  <c r="J42" i="85"/>
  <c r="I220" i="85"/>
  <c r="P18" i="178"/>
  <c r="P18" i="155"/>
  <c r="P18" i="46"/>
  <c r="P18" i="142"/>
  <c r="P18" i="159"/>
  <c r="P18" i="27"/>
  <c r="P18" i="62"/>
  <c r="P18" i="167"/>
  <c r="P18" i="15"/>
  <c r="P18" i="39"/>
  <c r="P18" i="92"/>
  <c r="P18" i="60"/>
  <c r="P18" i="118"/>
  <c r="P18" i="21"/>
  <c r="P18" i="113"/>
  <c r="P18" i="25"/>
  <c r="P18" i="177"/>
  <c r="P18" i="145"/>
  <c r="P18" i="50"/>
  <c r="P18" i="95"/>
  <c r="P18" i="43"/>
  <c r="P18" i="33"/>
  <c r="P18" i="57"/>
  <c r="P18" i="55"/>
  <c r="P18" i="150"/>
  <c r="P18" i="58"/>
  <c r="P18" i="66"/>
  <c r="P18" i="90"/>
  <c r="P18" i="86"/>
  <c r="P18" i="133"/>
  <c r="P18" i="24"/>
  <c r="P18" i="54"/>
  <c r="P18" i="98"/>
  <c r="P18" i="165"/>
  <c r="P18" i="31"/>
  <c r="P18" i="53"/>
  <c r="P18" i="16"/>
  <c r="P18" i="38"/>
  <c r="P18" i="152"/>
  <c r="P18" i="87"/>
  <c r="P18" i="42"/>
  <c r="P18" i="47"/>
  <c r="P18" i="64"/>
  <c r="P18" i="157"/>
  <c r="P18" i="104"/>
  <c r="P18" i="63"/>
  <c r="P18" i="49"/>
  <c r="P18" i="71"/>
  <c r="P18" i="136"/>
  <c r="P18" i="79"/>
  <c r="P18" i="164"/>
  <c r="P18" i="20"/>
  <c r="P18" i="119"/>
  <c r="P18" i="28"/>
  <c r="P18" i="72"/>
  <c r="P18" i="89"/>
  <c r="P18" i="65"/>
  <c r="P18" i="156"/>
  <c r="P18" i="141"/>
  <c r="P18" i="94"/>
  <c r="P18" i="85"/>
  <c r="P18" i="111"/>
  <c r="P18" i="83"/>
  <c r="P18" i="1"/>
  <c r="P18" i="106"/>
  <c r="P18" i="174"/>
  <c r="P18" i="158"/>
  <c r="P18" i="14"/>
  <c r="P18" i="32"/>
  <c r="P18" i="175"/>
  <c r="P18" i="102"/>
  <c r="P18" i="68"/>
  <c r="P18" i="103"/>
  <c r="P18" i="135"/>
  <c r="P18" i="19"/>
  <c r="P18" i="120"/>
  <c r="P18" i="84"/>
  <c r="P18" i="37"/>
  <c r="J76" i="20"/>
  <c r="J171" i="20"/>
  <c r="J58" i="20"/>
  <c r="J95" i="20"/>
  <c r="J194" i="20"/>
  <c r="J96" i="20"/>
  <c r="J176" i="20"/>
  <c r="J201" i="20"/>
  <c r="J40" i="20"/>
  <c r="J94" i="20"/>
  <c r="J69" i="20"/>
  <c r="J34" i="20"/>
  <c r="J38" i="20"/>
  <c r="J97" i="20"/>
  <c r="J55" i="20"/>
  <c r="J157" i="20"/>
  <c r="J146" i="20"/>
  <c r="J200" i="20"/>
  <c r="J39" i="20"/>
  <c r="J63" i="20"/>
  <c r="J163" i="20"/>
  <c r="J184" i="20"/>
  <c r="J141" i="20"/>
  <c r="J105" i="20"/>
  <c r="J152" i="20"/>
  <c r="J115" i="20"/>
  <c r="J80" i="20"/>
  <c r="J202" i="20"/>
  <c r="J64" i="20"/>
  <c r="J50" i="20"/>
  <c r="J156" i="20"/>
  <c r="J134" i="20"/>
  <c r="J73" i="20"/>
  <c r="J107" i="20"/>
  <c r="J74" i="20"/>
  <c r="J59" i="20"/>
  <c r="J52" i="20"/>
  <c r="J192" i="20"/>
  <c r="J89" i="20"/>
  <c r="J130" i="20"/>
  <c r="J131" i="20"/>
  <c r="J122" i="20"/>
  <c r="J66" i="20"/>
  <c r="J37" i="20"/>
  <c r="J84" i="20"/>
  <c r="J123" i="20"/>
  <c r="J124" i="20"/>
  <c r="J57" i="20"/>
  <c r="J136" i="20"/>
  <c r="J92" i="20"/>
  <c r="J71" i="20"/>
  <c r="J49" i="20"/>
  <c r="J190" i="20"/>
  <c r="J104" i="20"/>
  <c r="J142" i="20"/>
  <c r="J164" i="20"/>
  <c r="J154" i="20"/>
  <c r="J112" i="20"/>
  <c r="J211" i="20"/>
  <c r="J102" i="20"/>
  <c r="J132" i="20"/>
  <c r="J191" i="20"/>
  <c r="J174" i="20"/>
  <c r="J177" i="20"/>
  <c r="J75" i="20"/>
  <c r="J213" i="20"/>
  <c r="J183" i="20"/>
  <c r="J173" i="20"/>
  <c r="J83" i="20"/>
  <c r="J147" i="20"/>
  <c r="J61" i="20"/>
  <c r="J198" i="20"/>
  <c r="J79" i="20"/>
  <c r="J185" i="20"/>
  <c r="J48" i="20"/>
  <c r="J161" i="20"/>
  <c r="J135" i="20"/>
  <c r="J120" i="20"/>
  <c r="J196" i="20"/>
  <c r="J72" i="20"/>
  <c r="J172" i="20"/>
  <c r="J175" i="20"/>
  <c r="J113" i="20"/>
  <c r="J114" i="20"/>
  <c r="J188" i="20"/>
  <c r="J128" i="20"/>
  <c r="J197" i="20"/>
  <c r="J162" i="20"/>
  <c r="J129" i="20"/>
  <c r="J81" i="20"/>
  <c r="J199" i="20"/>
  <c r="J145" i="20"/>
  <c r="J206" i="20"/>
  <c r="J119" i="20"/>
  <c r="J45" i="20"/>
  <c r="J137" i="20"/>
  <c r="J78" i="20"/>
  <c r="J90" i="20"/>
  <c r="J193" i="20"/>
  <c r="J110" i="20"/>
  <c r="J77" i="20"/>
  <c r="J82" i="20"/>
  <c r="J47" i="20"/>
  <c r="J111" i="20"/>
  <c r="J155" i="20"/>
  <c r="J42" i="20"/>
  <c r="J209" i="20"/>
  <c r="J165" i="20"/>
  <c r="J207" i="20"/>
  <c r="J46" i="20"/>
  <c r="J101" i="20"/>
  <c r="J210" i="20"/>
  <c r="J160" i="20"/>
  <c r="J98" i="20"/>
  <c r="J53" i="20"/>
  <c r="J121" i="20"/>
  <c r="J87" i="20"/>
  <c r="J62" i="20"/>
  <c r="J41" i="20"/>
  <c r="J187" i="20"/>
  <c r="J158" i="20"/>
  <c r="J151" i="20"/>
  <c r="J186" i="20"/>
  <c r="J170" i="20"/>
  <c r="J143" i="20"/>
  <c r="J116" i="20"/>
  <c r="J88" i="20"/>
  <c r="J56" i="20"/>
  <c r="J36" i="20"/>
  <c r="J140" i="20"/>
  <c r="J43" i="20"/>
  <c r="J178" i="20"/>
  <c r="J35" i="20"/>
  <c r="J181" i="20"/>
  <c r="J31" i="20"/>
  <c r="J32" i="20"/>
  <c r="J91" i="20"/>
  <c r="J208" i="20"/>
  <c r="J106" i="20"/>
  <c r="J30" i="20"/>
  <c r="J54" i="20"/>
  <c r="J205" i="20"/>
  <c r="J189" i="20"/>
  <c r="J148" i="20"/>
  <c r="J103" i="20"/>
  <c r="J93" i="20"/>
  <c r="J182" i="20"/>
  <c r="J166" i="20"/>
  <c r="M17" i="20"/>
  <c r="J60" i="20"/>
  <c r="J33" i="20"/>
  <c r="J153" i="20"/>
  <c r="J70" i="20"/>
  <c r="J195" i="20"/>
  <c r="J180" i="20"/>
  <c r="J179" i="20"/>
  <c r="J51" i="20"/>
  <c r="O213" i="20"/>
  <c r="J169" i="20"/>
  <c r="J150" i="20"/>
  <c r="J44" i="20"/>
  <c r="J138" i="20"/>
  <c r="J65" i="20"/>
  <c r="I220" i="20"/>
  <c r="J152" i="106"/>
  <c r="J32" i="106"/>
  <c r="J75" i="106"/>
  <c r="J182" i="106"/>
  <c r="J66" i="106"/>
  <c r="J83" i="106"/>
  <c r="J198" i="106"/>
  <c r="J33" i="106"/>
  <c r="J138" i="106"/>
  <c r="J60" i="106"/>
  <c r="J104" i="106"/>
  <c r="J71" i="106"/>
  <c r="J134" i="106"/>
  <c r="J76" i="106"/>
  <c r="J81" i="106"/>
  <c r="J80" i="106"/>
  <c r="J52" i="106"/>
  <c r="J51" i="106"/>
  <c r="J190" i="106"/>
  <c r="J58" i="106"/>
  <c r="J122" i="106"/>
  <c r="J162" i="106"/>
  <c r="J156" i="106"/>
  <c r="J213" i="106"/>
  <c r="J147" i="106"/>
  <c r="J78" i="106"/>
  <c r="J170" i="106"/>
  <c r="J157" i="106"/>
  <c r="J158" i="106"/>
  <c r="J72" i="106"/>
  <c r="J165" i="106"/>
  <c r="J173" i="106"/>
  <c r="J35" i="106"/>
  <c r="J39" i="106"/>
  <c r="J88" i="106"/>
  <c r="J200" i="106"/>
  <c r="J202" i="106"/>
  <c r="J63" i="106"/>
  <c r="J106" i="106"/>
  <c r="J64" i="106"/>
  <c r="J121" i="106"/>
  <c r="J46" i="106"/>
  <c r="J210" i="106"/>
  <c r="J176" i="106"/>
  <c r="O213" i="106"/>
  <c r="J169" i="106"/>
  <c r="J98" i="106"/>
  <c r="J93" i="106"/>
  <c r="J82" i="106"/>
  <c r="J107" i="106"/>
  <c r="J57" i="106"/>
  <c r="J101" i="106"/>
  <c r="J114" i="106"/>
  <c r="J132" i="106"/>
  <c r="J40" i="106"/>
  <c r="M17" i="106"/>
  <c r="J124" i="106"/>
  <c r="J44" i="106"/>
  <c r="J103" i="106"/>
  <c r="J54" i="106"/>
  <c r="J48" i="106"/>
  <c r="J97" i="106"/>
  <c r="J34" i="106"/>
  <c r="J164" i="106"/>
  <c r="J89" i="106"/>
  <c r="J84" i="106"/>
  <c r="J105" i="106"/>
  <c r="J95" i="106"/>
  <c r="J61" i="106"/>
  <c r="J90" i="106"/>
  <c r="J73" i="106"/>
  <c r="J50" i="106"/>
  <c r="J120" i="106"/>
  <c r="J38" i="106"/>
  <c r="J70" i="106"/>
  <c r="J119" i="106"/>
  <c r="J160" i="106"/>
  <c r="J94" i="106"/>
  <c r="J123" i="106"/>
  <c r="J181" i="106"/>
  <c r="J79" i="106"/>
  <c r="J143" i="106"/>
  <c r="J59" i="106"/>
  <c r="J115" i="106"/>
  <c r="J153" i="106"/>
  <c r="J175" i="106"/>
  <c r="J135" i="106"/>
  <c r="J129" i="106"/>
  <c r="J177" i="106"/>
  <c r="J77" i="106"/>
  <c r="J183" i="106"/>
  <c r="J136" i="106"/>
  <c r="J74" i="106"/>
  <c r="J184" i="106"/>
  <c r="J102" i="106"/>
  <c r="J148" i="106"/>
  <c r="J131" i="106"/>
  <c r="J56" i="106"/>
  <c r="J112" i="106"/>
  <c r="J53" i="106"/>
  <c r="J193" i="106"/>
  <c r="J206" i="106"/>
  <c r="J208" i="106"/>
  <c r="J145" i="106"/>
  <c r="J191" i="106"/>
  <c r="J36" i="106"/>
  <c r="J141" i="106"/>
  <c r="J209" i="106"/>
  <c r="J178" i="106"/>
  <c r="J201" i="106"/>
  <c r="J172" i="106"/>
  <c r="J55" i="106"/>
  <c r="J195" i="106"/>
  <c r="J188" i="106"/>
  <c r="J192" i="106"/>
  <c r="J110" i="106"/>
  <c r="J166" i="106"/>
  <c r="J186" i="106"/>
  <c r="J137" i="106"/>
  <c r="J43" i="106"/>
  <c r="J87" i="106"/>
  <c r="J199" i="106"/>
  <c r="J30" i="106"/>
  <c r="J140" i="106"/>
  <c r="J142" i="106"/>
  <c r="J151" i="106"/>
  <c r="J91" i="106"/>
  <c r="J163" i="106"/>
  <c r="J69" i="106"/>
  <c r="J150" i="106"/>
  <c r="J197" i="106"/>
  <c r="J196" i="106"/>
  <c r="J189" i="106"/>
  <c r="J92" i="106"/>
  <c r="J180" i="106"/>
  <c r="J111" i="106"/>
  <c r="J185" i="106"/>
  <c r="J41" i="106"/>
  <c r="J65" i="106"/>
  <c r="J96" i="106"/>
  <c r="J207" i="106"/>
  <c r="J187" i="106"/>
  <c r="J49" i="106"/>
  <c r="I220" i="106"/>
  <c r="J174" i="106"/>
  <c r="J113" i="106"/>
  <c r="J211" i="106"/>
  <c r="J31" i="106"/>
  <c r="J154" i="106"/>
  <c r="J130" i="106"/>
  <c r="J146" i="106"/>
  <c r="J128" i="106"/>
  <c r="J45" i="106"/>
  <c r="J194" i="106"/>
  <c r="J37" i="106"/>
  <c r="J116" i="106"/>
  <c r="J171" i="106"/>
  <c r="J62" i="106"/>
  <c r="J179" i="106"/>
  <c r="J155" i="106"/>
  <c r="J42" i="106"/>
  <c r="J161" i="106"/>
  <c r="J205" i="106"/>
  <c r="J47" i="106"/>
  <c r="J33" i="14"/>
  <c r="J143" i="14"/>
  <c r="J52" i="14"/>
  <c r="J147" i="14"/>
  <c r="J136" i="14"/>
  <c r="J38" i="14"/>
  <c r="J172" i="14"/>
  <c r="J78" i="14"/>
  <c r="J193" i="14"/>
  <c r="J103" i="14"/>
  <c r="J46" i="14"/>
  <c r="J145" i="14"/>
  <c r="J174" i="14"/>
  <c r="J205" i="14"/>
  <c r="J134" i="14"/>
  <c r="J138" i="14"/>
  <c r="J79" i="14"/>
  <c r="J164" i="14"/>
  <c r="J93" i="14"/>
  <c r="J198" i="14"/>
  <c r="J87" i="14"/>
  <c r="J74" i="14"/>
  <c r="J140" i="14"/>
  <c r="J188" i="14"/>
  <c r="J83" i="14"/>
  <c r="J56" i="14"/>
  <c r="J186" i="14"/>
  <c r="J104" i="14"/>
  <c r="J72" i="14"/>
  <c r="J65" i="14"/>
  <c r="J181" i="14"/>
  <c r="J88" i="14"/>
  <c r="J182" i="14"/>
  <c r="J55" i="14"/>
  <c r="J175" i="14"/>
  <c r="J73" i="14"/>
  <c r="J207" i="14"/>
  <c r="J115" i="14"/>
  <c r="J31" i="14"/>
  <c r="J146" i="14"/>
  <c r="J81" i="14"/>
  <c r="J180" i="14"/>
  <c r="J90" i="14"/>
  <c r="J129" i="14"/>
  <c r="J39" i="14"/>
  <c r="J43" i="14"/>
  <c r="J61" i="14"/>
  <c r="J53" i="14"/>
  <c r="J107" i="14"/>
  <c r="J121" i="14"/>
  <c r="J202" i="14"/>
  <c r="J189" i="14"/>
  <c r="J82" i="14"/>
  <c r="J40" i="14"/>
  <c r="J75" i="14"/>
  <c r="J62" i="14"/>
  <c r="J106" i="14"/>
  <c r="J157" i="14"/>
  <c r="J209" i="14"/>
  <c r="J158" i="14"/>
  <c r="J102" i="14"/>
  <c r="J213" i="14"/>
  <c r="J131" i="14"/>
  <c r="J34" i="14"/>
  <c r="J91" i="14"/>
  <c r="J208" i="14"/>
  <c r="J112" i="14"/>
  <c r="J60" i="14"/>
  <c r="J156" i="14"/>
  <c r="J63" i="14"/>
  <c r="J183" i="14"/>
  <c r="J123" i="14"/>
  <c r="J36" i="14"/>
  <c r="J201" i="14"/>
  <c r="J210" i="14"/>
  <c r="J116" i="14"/>
  <c r="J150" i="14"/>
  <c r="J84" i="14"/>
  <c r="J54" i="14"/>
  <c r="J170" i="14"/>
  <c r="J192" i="14"/>
  <c r="J105" i="14"/>
  <c r="J141" i="14"/>
  <c r="J197" i="14"/>
  <c r="J155" i="14"/>
  <c r="J173" i="14"/>
  <c r="J70" i="14"/>
  <c r="O213" i="14"/>
  <c r="J135" i="14"/>
  <c r="J194" i="14"/>
  <c r="J50" i="14"/>
  <c r="J142" i="14"/>
  <c r="J51" i="14"/>
  <c r="J171" i="14"/>
  <c r="J69" i="14"/>
  <c r="J130" i="14"/>
  <c r="J41" i="14"/>
  <c r="J153" i="14"/>
  <c r="J96" i="14"/>
  <c r="J190" i="14"/>
  <c r="J98" i="14"/>
  <c r="J49" i="14"/>
  <c r="J162" i="14"/>
  <c r="J71" i="14"/>
  <c r="J80" i="14"/>
  <c r="J113" i="14"/>
  <c r="J44" i="14"/>
  <c r="J48" i="14"/>
  <c r="J76" i="14"/>
  <c r="J47" i="14"/>
  <c r="J184" i="14"/>
  <c r="J165" i="14"/>
  <c r="J178" i="14"/>
  <c r="J166" i="14"/>
  <c r="J42" i="14"/>
  <c r="J110" i="14"/>
  <c r="J160" i="14"/>
  <c r="I220" i="14"/>
  <c r="J163" i="14"/>
  <c r="J101" i="14"/>
  <c r="J92" i="14"/>
  <c r="J64" i="14"/>
  <c r="J97" i="14"/>
  <c r="J206" i="14"/>
  <c r="J30" i="14"/>
  <c r="J122" i="14"/>
  <c r="J37" i="14"/>
  <c r="J148" i="14"/>
  <c r="J200" i="14"/>
  <c r="J111" i="14"/>
  <c r="J59" i="14"/>
  <c r="J179" i="14"/>
  <c r="J77" i="14"/>
  <c r="J176" i="14"/>
  <c r="J120" i="14"/>
  <c r="J35" i="14"/>
  <c r="J151" i="14"/>
  <c r="J114" i="14"/>
  <c r="J124" i="14"/>
  <c r="M17" i="14"/>
  <c r="J57" i="14"/>
  <c r="J137" i="14"/>
  <c r="J177" i="14"/>
  <c r="J191" i="14"/>
  <c r="J185" i="14"/>
  <c r="J152" i="14"/>
  <c r="J95" i="14"/>
  <c r="J211" i="14"/>
  <c r="J119" i="14"/>
  <c r="J32" i="14"/>
  <c r="J161" i="14"/>
  <c r="J66" i="14"/>
  <c r="J187" i="14"/>
  <c r="J199" i="14"/>
  <c r="J128" i="14"/>
  <c r="J132" i="14"/>
  <c r="J58" i="14"/>
  <c r="J169" i="14"/>
  <c r="J195" i="14"/>
  <c r="J94" i="14"/>
  <c r="J196" i="14"/>
  <c r="J45" i="14"/>
  <c r="J89" i="14"/>
  <c r="J154" i="14"/>
  <c r="J208" i="53"/>
  <c r="J115" i="53"/>
  <c r="J119" i="53"/>
  <c r="J56" i="53"/>
  <c r="J152" i="53"/>
  <c r="J65" i="53"/>
  <c r="J61" i="53"/>
  <c r="J113" i="53"/>
  <c r="J154" i="53"/>
  <c r="J199" i="53"/>
  <c r="J95" i="53"/>
  <c r="J76" i="53"/>
  <c r="J44" i="53"/>
  <c r="J202" i="53"/>
  <c r="J42" i="53"/>
  <c r="J197" i="53"/>
  <c r="J175" i="53"/>
  <c r="J151" i="53"/>
  <c r="J30" i="53"/>
  <c r="J178" i="53"/>
  <c r="J98" i="53"/>
  <c r="J130" i="53"/>
  <c r="J160" i="53"/>
  <c r="J193" i="53"/>
  <c r="J189" i="53"/>
  <c r="J107" i="53"/>
  <c r="J36" i="53"/>
  <c r="J88" i="53"/>
  <c r="J64" i="53"/>
  <c r="J58" i="53"/>
  <c r="J70" i="53"/>
  <c r="J143" i="53"/>
  <c r="J46" i="53"/>
  <c r="J148" i="53"/>
  <c r="J32" i="53"/>
  <c r="J155" i="53"/>
  <c r="J90" i="53"/>
  <c r="J77" i="53"/>
  <c r="J137" i="53"/>
  <c r="J145" i="53"/>
  <c r="J140" i="53"/>
  <c r="J195" i="53"/>
  <c r="J157" i="53"/>
  <c r="J106" i="53"/>
  <c r="J179" i="53"/>
  <c r="J211" i="53"/>
  <c r="J92" i="53"/>
  <c r="J209" i="53"/>
  <c r="J60" i="53"/>
  <c r="J96" i="53"/>
  <c r="J87" i="53"/>
  <c r="J120" i="53"/>
  <c r="J78" i="53"/>
  <c r="J59" i="53"/>
  <c r="J43" i="53"/>
  <c r="J41" i="53"/>
  <c r="J84" i="53"/>
  <c r="J150" i="53"/>
  <c r="J163" i="53"/>
  <c r="J114" i="53"/>
  <c r="J102" i="53"/>
  <c r="J169" i="53"/>
  <c r="J49" i="53"/>
  <c r="J198" i="53"/>
  <c r="J190" i="53"/>
  <c r="J80" i="53"/>
  <c r="J94" i="53"/>
  <c r="J123" i="53"/>
  <c r="J138" i="53"/>
  <c r="J33" i="53"/>
  <c r="J129" i="53"/>
  <c r="J45" i="53"/>
  <c r="J191" i="53"/>
  <c r="J89" i="53"/>
  <c r="J51" i="53"/>
  <c r="J97" i="53"/>
  <c r="J110" i="53"/>
  <c r="J134" i="53"/>
  <c r="J205" i="53"/>
  <c r="J54" i="53"/>
  <c r="J104" i="53"/>
  <c r="J187" i="53"/>
  <c r="J147" i="53"/>
  <c r="J164" i="53"/>
  <c r="J57" i="53"/>
  <c r="J121" i="53"/>
  <c r="J71" i="53"/>
  <c r="J194" i="53"/>
  <c r="J172" i="53"/>
  <c r="J206" i="53"/>
  <c r="J180" i="53"/>
  <c r="J73" i="53"/>
  <c r="J69" i="53"/>
  <c r="J173" i="53"/>
  <c r="J170" i="53"/>
  <c r="J177" i="53"/>
  <c r="J185" i="53"/>
  <c r="J213" i="53"/>
  <c r="J122" i="53"/>
  <c r="J40" i="53"/>
  <c r="J162" i="53"/>
  <c r="J52" i="53"/>
  <c r="J135" i="53"/>
  <c r="J188" i="53"/>
  <c r="J182" i="53"/>
  <c r="J62" i="53"/>
  <c r="J83" i="53"/>
  <c r="J200" i="53"/>
  <c r="J161" i="53"/>
  <c r="J75" i="53"/>
  <c r="J105" i="53"/>
  <c r="J156" i="53"/>
  <c r="J142" i="53"/>
  <c r="J158" i="53"/>
  <c r="J116" i="53"/>
  <c r="J38" i="53"/>
  <c r="J63" i="53"/>
  <c r="J35" i="53"/>
  <c r="J91" i="53"/>
  <c r="J34" i="53"/>
  <c r="J201" i="53"/>
  <c r="J210" i="53"/>
  <c r="J79" i="53"/>
  <c r="J74" i="53"/>
  <c r="J186" i="53"/>
  <c r="J31" i="53"/>
  <c r="J171" i="53"/>
  <c r="J37" i="53"/>
  <c r="J176" i="53"/>
  <c r="J124" i="53"/>
  <c r="J174" i="53"/>
  <c r="J128" i="53"/>
  <c r="J55" i="53"/>
  <c r="J103" i="53"/>
  <c r="J141" i="53"/>
  <c r="M17" i="53"/>
  <c r="J146" i="53"/>
  <c r="J112" i="53"/>
  <c r="J131" i="53"/>
  <c r="J66" i="53"/>
  <c r="J207" i="53"/>
  <c r="J50" i="53"/>
  <c r="J82" i="53"/>
  <c r="J111" i="53"/>
  <c r="J192" i="53"/>
  <c r="J196" i="53"/>
  <c r="J93" i="53"/>
  <c r="J53" i="53"/>
  <c r="J184" i="53"/>
  <c r="J181" i="53"/>
  <c r="J47" i="53"/>
  <c r="J72" i="53"/>
  <c r="J101" i="53"/>
  <c r="J81" i="53"/>
  <c r="J132" i="53"/>
  <c r="J48" i="53"/>
  <c r="J166" i="53"/>
  <c r="J39" i="53"/>
  <c r="J183" i="53"/>
  <c r="J153" i="53"/>
  <c r="O213" i="53"/>
  <c r="J165" i="53"/>
  <c r="J136" i="53"/>
  <c r="J161" i="133"/>
  <c r="J106" i="133"/>
  <c r="J110" i="133"/>
  <c r="J54" i="133"/>
  <c r="J169" i="133"/>
  <c r="J142" i="133"/>
  <c r="J58" i="133"/>
  <c r="J174" i="133"/>
  <c r="J97" i="133"/>
  <c r="J107" i="133"/>
  <c r="J38" i="133"/>
  <c r="J52" i="133"/>
  <c r="J124" i="133"/>
  <c r="J175" i="133"/>
  <c r="O213" i="133"/>
  <c r="J75" i="133"/>
  <c r="J165" i="133"/>
  <c r="J156" i="133"/>
  <c r="J150" i="133"/>
  <c r="J78" i="133"/>
  <c r="J136" i="133"/>
  <c r="J33" i="133"/>
  <c r="J77" i="133"/>
  <c r="J197" i="133"/>
  <c r="J135" i="133"/>
  <c r="J115" i="133"/>
  <c r="J207" i="133"/>
  <c r="J49" i="133"/>
  <c r="J71" i="133"/>
  <c r="J66" i="133"/>
  <c r="J210" i="133"/>
  <c r="J36" i="133"/>
  <c r="J95" i="133"/>
  <c r="J131" i="133"/>
  <c r="J32" i="133"/>
  <c r="J141" i="133"/>
  <c r="J170" i="133"/>
  <c r="J114" i="133"/>
  <c r="J180" i="133"/>
  <c r="J119" i="133"/>
  <c r="J104" i="133"/>
  <c r="J181" i="133"/>
  <c r="J65" i="133"/>
  <c r="J138" i="133"/>
  <c r="J147" i="133"/>
  <c r="J41" i="133"/>
  <c r="J30" i="133"/>
  <c r="J90" i="133"/>
  <c r="J199" i="133"/>
  <c r="J72" i="133"/>
  <c r="J202" i="133"/>
  <c r="J111" i="133"/>
  <c r="J34" i="133"/>
  <c r="J146" i="133"/>
  <c r="J166" i="133"/>
  <c r="J155" i="133"/>
  <c r="J39" i="133"/>
  <c r="J128" i="133"/>
  <c r="J37" i="133"/>
  <c r="J102" i="133"/>
  <c r="J89" i="133"/>
  <c r="J42" i="133"/>
  <c r="J185" i="133"/>
  <c r="J59" i="133"/>
  <c r="J200" i="133"/>
  <c r="J82" i="133"/>
  <c r="J189" i="133"/>
  <c r="J205" i="133"/>
  <c r="J184" i="133"/>
  <c r="J172" i="133"/>
  <c r="J51" i="133"/>
  <c r="J153" i="133"/>
  <c r="J123" i="133"/>
  <c r="J196" i="133"/>
  <c r="J96" i="133"/>
  <c r="J74" i="133"/>
  <c r="J186" i="133"/>
  <c r="J187" i="133"/>
  <c r="J69" i="133"/>
  <c r="J73" i="133"/>
  <c r="J198" i="133"/>
  <c r="J61" i="133"/>
  <c r="J157" i="133"/>
  <c r="J201" i="133"/>
  <c r="J145" i="133"/>
  <c r="J35" i="133"/>
  <c r="J81" i="133"/>
  <c r="J83" i="133"/>
  <c r="J137" i="133"/>
  <c r="J101" i="133"/>
  <c r="J195" i="133"/>
  <c r="J48" i="133"/>
  <c r="J50" i="133"/>
  <c r="J76" i="133"/>
  <c r="J182" i="133"/>
  <c r="J87" i="133"/>
  <c r="J91" i="133"/>
  <c r="J79" i="133"/>
  <c r="J43" i="133"/>
  <c r="J88" i="133"/>
  <c r="J208" i="133"/>
  <c r="J60" i="133"/>
  <c r="J209" i="133"/>
  <c r="J163" i="133"/>
  <c r="J46" i="133"/>
  <c r="M17" i="133"/>
  <c r="J176" i="133"/>
  <c r="J64" i="133"/>
  <c r="J190" i="133"/>
  <c r="J154" i="133"/>
  <c r="J158" i="133"/>
  <c r="J122" i="133"/>
  <c r="J206" i="133"/>
  <c r="J160" i="133"/>
  <c r="J132" i="133"/>
  <c r="J140" i="133"/>
  <c r="J183" i="133"/>
  <c r="J188" i="133"/>
  <c r="J213" i="133"/>
  <c r="J211" i="133"/>
  <c r="J194" i="133"/>
  <c r="J120" i="133"/>
  <c r="J113" i="133"/>
  <c r="J177" i="133"/>
  <c r="J179" i="133"/>
  <c r="J162" i="133"/>
  <c r="J121" i="133"/>
  <c r="J94" i="133"/>
  <c r="J47" i="133"/>
  <c r="J152" i="133"/>
  <c r="J31" i="133"/>
  <c r="J53" i="133"/>
  <c r="J178" i="133"/>
  <c r="J63" i="133"/>
  <c r="J57" i="133"/>
  <c r="J80" i="133"/>
  <c r="J103" i="133"/>
  <c r="J112" i="133"/>
  <c r="J56" i="133"/>
  <c r="J45" i="133"/>
  <c r="J93" i="133"/>
  <c r="J116" i="133"/>
  <c r="J92" i="133"/>
  <c r="J55" i="133"/>
  <c r="J98" i="133"/>
  <c r="J70" i="133"/>
  <c r="J191" i="133"/>
  <c r="J148" i="133"/>
  <c r="J44" i="133"/>
  <c r="J134" i="133"/>
  <c r="J173" i="133"/>
  <c r="J143" i="133"/>
  <c r="J171" i="133"/>
  <c r="J62" i="133"/>
  <c r="J40" i="133"/>
  <c r="J151" i="133"/>
  <c r="J105" i="133"/>
  <c r="J129" i="133"/>
  <c r="J130" i="133"/>
  <c r="J192" i="133"/>
  <c r="J193" i="133"/>
  <c r="J164" i="133"/>
  <c r="J84" i="133"/>
  <c r="J96" i="55"/>
  <c r="J160" i="55"/>
  <c r="J66" i="55"/>
  <c r="J205" i="55"/>
  <c r="J172" i="55"/>
  <c r="J177" i="55"/>
  <c r="J119" i="55"/>
  <c r="J146" i="55"/>
  <c r="J44" i="55"/>
  <c r="J116" i="55"/>
  <c r="M17" i="55"/>
  <c r="J208" i="55"/>
  <c r="J145" i="55"/>
  <c r="J59" i="55"/>
  <c r="J154" i="55"/>
  <c r="J34" i="55"/>
  <c r="J162" i="55"/>
  <c r="J40" i="55"/>
  <c r="J42" i="55"/>
  <c r="J171" i="55"/>
  <c r="J153" i="55"/>
  <c r="J62" i="55"/>
  <c r="J88" i="55"/>
  <c r="J38" i="55"/>
  <c r="J142" i="55"/>
  <c r="J78" i="55"/>
  <c r="J151" i="55"/>
  <c r="J50" i="55"/>
  <c r="J169" i="55"/>
  <c r="J55" i="55"/>
  <c r="J152" i="55"/>
  <c r="J31" i="55"/>
  <c r="J134" i="55"/>
  <c r="J213" i="55"/>
  <c r="J87" i="55"/>
  <c r="J97" i="55"/>
  <c r="J182" i="55"/>
  <c r="J173" i="55"/>
  <c r="J98" i="55"/>
  <c r="J39" i="55"/>
  <c r="J46" i="55"/>
  <c r="J70" i="55"/>
  <c r="J60" i="55"/>
  <c r="J190" i="55"/>
  <c r="J186" i="55"/>
  <c r="J198" i="55"/>
  <c r="J43" i="55"/>
  <c r="J58" i="55"/>
  <c r="J121" i="55"/>
  <c r="J200" i="55"/>
  <c r="J112" i="55"/>
  <c r="J122" i="55"/>
  <c r="J191" i="55"/>
  <c r="J165" i="55"/>
  <c r="J64" i="55"/>
  <c r="J95" i="55"/>
  <c r="J63" i="55"/>
  <c r="J103" i="55"/>
  <c r="J193" i="55"/>
  <c r="J37" i="55"/>
  <c r="J156" i="55"/>
  <c r="J137" i="55"/>
  <c r="J196" i="55"/>
  <c r="J36" i="55"/>
  <c r="J192" i="55"/>
  <c r="J120" i="55"/>
  <c r="J52" i="55"/>
  <c r="J161" i="55"/>
  <c r="J199" i="55"/>
  <c r="J81" i="55"/>
  <c r="O213" i="55"/>
  <c r="J92" i="55"/>
  <c r="J128" i="55"/>
  <c r="J183" i="55"/>
  <c r="J105" i="55"/>
  <c r="J197" i="55"/>
  <c r="J35" i="55"/>
  <c r="J136" i="55"/>
  <c r="J174" i="55"/>
  <c r="J69" i="55"/>
  <c r="J90" i="55"/>
  <c r="J61" i="55"/>
  <c r="J175" i="55"/>
  <c r="J189" i="55"/>
  <c r="J187" i="55"/>
  <c r="J166" i="55"/>
  <c r="J104" i="55"/>
  <c r="J82" i="55"/>
  <c r="J76" i="55"/>
  <c r="J148" i="55"/>
  <c r="J71" i="55"/>
  <c r="J184" i="55"/>
  <c r="J51" i="55"/>
  <c r="J33" i="55"/>
  <c r="J124" i="55"/>
  <c r="J147" i="55"/>
  <c r="J180" i="55"/>
  <c r="J141" i="55"/>
  <c r="J115" i="55"/>
  <c r="J123" i="55"/>
  <c r="J89" i="55"/>
  <c r="J194" i="55"/>
  <c r="J48" i="55"/>
  <c r="J102" i="55"/>
  <c r="J158" i="55"/>
  <c r="J135" i="55"/>
  <c r="J75" i="55"/>
  <c r="J143" i="55"/>
  <c r="J206" i="55"/>
  <c r="J170" i="55"/>
  <c r="J202" i="55"/>
  <c r="J80" i="55"/>
  <c r="J140" i="55"/>
  <c r="J130" i="55"/>
  <c r="J45" i="55"/>
  <c r="J83" i="55"/>
  <c r="J179" i="55"/>
  <c r="J107" i="55"/>
  <c r="J209" i="55"/>
  <c r="J30" i="55"/>
  <c r="J211" i="55"/>
  <c r="J188" i="55"/>
  <c r="J185" i="55"/>
  <c r="J32" i="55"/>
  <c r="J155" i="55"/>
  <c r="J132" i="55"/>
  <c r="J47" i="55"/>
  <c r="J91" i="55"/>
  <c r="J49" i="55"/>
  <c r="J201" i="55"/>
  <c r="J72" i="55"/>
  <c r="J157" i="55"/>
  <c r="J181" i="55"/>
  <c r="J164" i="55"/>
  <c r="J101" i="55"/>
  <c r="J84" i="55"/>
  <c r="J73" i="55"/>
  <c r="J210" i="55"/>
  <c r="J178" i="55"/>
  <c r="J41" i="55"/>
  <c r="J54" i="55"/>
  <c r="J79" i="55"/>
  <c r="J110" i="55"/>
  <c r="J113" i="55"/>
  <c r="J94" i="55"/>
  <c r="J53" i="55"/>
  <c r="J195" i="55"/>
  <c r="J111" i="55"/>
  <c r="J129" i="55"/>
  <c r="J176" i="55"/>
  <c r="J114" i="55"/>
  <c r="J163" i="55"/>
  <c r="J106" i="55"/>
  <c r="J77" i="55"/>
  <c r="J131" i="55"/>
  <c r="J57" i="55"/>
  <c r="J74" i="55"/>
  <c r="J150" i="55"/>
  <c r="J56" i="55"/>
  <c r="J65" i="55"/>
  <c r="J138" i="55"/>
  <c r="J207" i="55"/>
  <c r="J93" i="55"/>
  <c r="J124" i="174"/>
  <c r="J186" i="174"/>
  <c r="J62" i="174"/>
  <c r="J206" i="174"/>
  <c r="J40" i="174"/>
  <c r="J47" i="174"/>
  <c r="J72" i="174"/>
  <c r="J155" i="174"/>
  <c r="J97" i="174"/>
  <c r="J76" i="174"/>
  <c r="J87" i="174"/>
  <c r="J197" i="174"/>
  <c r="J145" i="174"/>
  <c r="J158" i="174"/>
  <c r="J115" i="174"/>
  <c r="J187" i="174"/>
  <c r="J205" i="174"/>
  <c r="J103" i="174"/>
  <c r="J146" i="174"/>
  <c r="J181" i="174"/>
  <c r="J189" i="174"/>
  <c r="J196" i="174"/>
  <c r="J140" i="174"/>
  <c r="J120" i="174"/>
  <c r="J82" i="174"/>
  <c r="J60" i="174"/>
  <c r="J153" i="174"/>
  <c r="J71" i="174"/>
  <c r="J163" i="174"/>
  <c r="J161" i="174"/>
  <c r="J135" i="174"/>
  <c r="J58" i="174"/>
  <c r="J179" i="174"/>
  <c r="J123" i="174"/>
  <c r="J111" i="174"/>
  <c r="J91" i="174"/>
  <c r="J80" i="174"/>
  <c r="J209" i="174"/>
  <c r="J64" i="174"/>
  <c r="J59" i="174"/>
  <c r="J191" i="174"/>
  <c r="J63" i="174"/>
  <c r="J54" i="174"/>
  <c r="J174" i="174"/>
  <c r="J210" i="174"/>
  <c r="J194" i="174"/>
  <c r="J65" i="174"/>
  <c r="J128" i="174"/>
  <c r="J134" i="174"/>
  <c r="J176" i="174"/>
  <c r="J137" i="174"/>
  <c r="J105" i="174"/>
  <c r="J131" i="174"/>
  <c r="J164" i="174"/>
  <c r="J94" i="174"/>
  <c r="J113" i="174"/>
  <c r="J166" i="174"/>
  <c r="J43" i="174"/>
  <c r="J152" i="174"/>
  <c r="J184" i="174"/>
  <c r="J207" i="174"/>
  <c r="J116" i="174"/>
  <c r="J130" i="174"/>
  <c r="J193" i="174"/>
  <c r="J45" i="174"/>
  <c r="J93" i="174"/>
  <c r="J172" i="174"/>
  <c r="J84" i="174"/>
  <c r="J148" i="174"/>
  <c r="J39" i="174"/>
  <c r="J38" i="174"/>
  <c r="J150" i="174"/>
  <c r="J173" i="174"/>
  <c r="J171" i="174"/>
  <c r="J192" i="174"/>
  <c r="J119" i="174"/>
  <c r="J78" i="174"/>
  <c r="J49" i="174"/>
  <c r="J136" i="174"/>
  <c r="J183" i="174"/>
  <c r="J52" i="174"/>
  <c r="J96" i="174"/>
  <c r="J56" i="174"/>
  <c r="J77" i="174"/>
  <c r="J31" i="174"/>
  <c r="J200" i="174"/>
  <c r="J34" i="174"/>
  <c r="J175" i="174"/>
  <c r="J154" i="174"/>
  <c r="J169" i="174"/>
  <c r="J142" i="174"/>
  <c r="J107" i="174"/>
  <c r="J188" i="174"/>
  <c r="J51" i="174"/>
  <c r="J143" i="174"/>
  <c r="J141" i="174"/>
  <c r="J48" i="174"/>
  <c r="J195" i="174"/>
  <c r="J102" i="174"/>
  <c r="J74" i="174"/>
  <c r="J41" i="174"/>
  <c r="J122" i="174"/>
  <c r="O213" i="174"/>
  <c r="J180" i="174"/>
  <c r="J178" i="174"/>
  <c r="J185" i="174"/>
  <c r="J147" i="174"/>
  <c r="J110" i="174"/>
  <c r="J75" i="174"/>
  <c r="J73" i="174"/>
  <c r="J208" i="174"/>
  <c r="J81" i="174"/>
  <c r="J213" i="174"/>
  <c r="J138" i="174"/>
  <c r="J90" i="174"/>
  <c r="J30" i="174"/>
  <c r="J182" i="174"/>
  <c r="J36" i="174"/>
  <c r="J83" i="174"/>
  <c r="J95" i="174"/>
  <c r="J106" i="174"/>
  <c r="M17" i="174"/>
  <c r="J202" i="174"/>
  <c r="J79" i="174"/>
  <c r="J61" i="174"/>
  <c r="J92" i="174"/>
  <c r="J101" i="174"/>
  <c r="J66" i="174"/>
  <c r="J211" i="174"/>
  <c r="J114" i="174"/>
  <c r="J98" i="174"/>
  <c r="J37" i="174"/>
  <c r="J190" i="174"/>
  <c r="J33" i="174"/>
  <c r="J88" i="174"/>
  <c r="J132" i="174"/>
  <c r="J151" i="174"/>
  <c r="J165" i="174"/>
  <c r="J32" i="174"/>
  <c r="J46" i="174"/>
  <c r="J35" i="174"/>
  <c r="J160" i="174"/>
  <c r="J50" i="174"/>
  <c r="J112" i="174"/>
  <c r="J89" i="174"/>
  <c r="J162" i="174"/>
  <c r="J57" i="174"/>
  <c r="J129" i="174"/>
  <c r="J199" i="174"/>
  <c r="J53" i="174"/>
  <c r="J69" i="174"/>
  <c r="J121" i="174"/>
  <c r="J156" i="174"/>
  <c r="J42" i="174"/>
  <c r="J198" i="174"/>
  <c r="J104" i="174"/>
  <c r="J157" i="174"/>
  <c r="J177" i="174"/>
  <c r="J170" i="174"/>
  <c r="J44" i="174"/>
  <c r="J201" i="174"/>
  <c r="J70" i="174"/>
  <c r="J55" i="174"/>
  <c r="I220" i="174"/>
  <c r="L195" i="97"/>
  <c r="P193" i="195" s="1"/>
  <c r="L163" i="97"/>
  <c r="P161" i="195" s="1"/>
  <c r="L94" i="97"/>
  <c r="P92" i="195" s="1"/>
  <c r="J113" i="46"/>
  <c r="J62" i="46"/>
  <c r="J183" i="46"/>
  <c r="J92" i="46"/>
  <c r="J162" i="46"/>
  <c r="J151" i="46"/>
  <c r="J199" i="46"/>
  <c r="J178" i="46"/>
  <c r="J41" i="46"/>
  <c r="M17" i="46"/>
  <c r="J121" i="46"/>
  <c r="J207" i="46"/>
  <c r="J60" i="46"/>
  <c r="J213" i="46"/>
  <c r="J33" i="46"/>
  <c r="J172" i="46"/>
  <c r="J54" i="46"/>
  <c r="J55" i="46"/>
  <c r="J79" i="46"/>
  <c r="J104" i="46"/>
  <c r="J211" i="46"/>
  <c r="J98" i="46"/>
  <c r="J186" i="46"/>
  <c r="J173" i="46"/>
  <c r="J142" i="46"/>
  <c r="J195" i="46"/>
  <c r="J49" i="46"/>
  <c r="J161" i="46"/>
  <c r="J179" i="46"/>
  <c r="J146" i="46"/>
  <c r="J157" i="46"/>
  <c r="J181" i="46"/>
  <c r="J206" i="46"/>
  <c r="J200" i="46"/>
  <c r="J188" i="46"/>
  <c r="J42" i="46"/>
  <c r="J141" i="46"/>
  <c r="J112" i="46"/>
  <c r="J155" i="46"/>
  <c r="J88" i="46"/>
  <c r="J53" i="46"/>
  <c r="J32" i="46"/>
  <c r="J43" i="46"/>
  <c r="J48" i="46"/>
  <c r="J38" i="46"/>
  <c r="J111" i="46"/>
  <c r="J169" i="46"/>
  <c r="J165" i="46"/>
  <c r="J194" i="46"/>
  <c r="J102" i="46"/>
  <c r="J193" i="46"/>
  <c r="J135" i="46"/>
  <c r="J70" i="46"/>
  <c r="J107" i="46"/>
  <c r="J196" i="46"/>
  <c r="J171" i="46"/>
  <c r="J89" i="46"/>
  <c r="J64" i="46"/>
  <c r="J83" i="46"/>
  <c r="J147" i="46"/>
  <c r="J39" i="46"/>
  <c r="J44" i="46"/>
  <c r="J87" i="46"/>
  <c r="J61" i="46"/>
  <c r="J73" i="46"/>
  <c r="J114" i="46"/>
  <c r="J45" i="46"/>
  <c r="J187" i="46"/>
  <c r="J47" i="46"/>
  <c r="J208" i="46"/>
  <c r="J170" i="46"/>
  <c r="J94" i="46"/>
  <c r="J35" i="46"/>
  <c r="J184" i="46"/>
  <c r="J116" i="46"/>
  <c r="J156" i="46"/>
  <c r="J202" i="46"/>
  <c r="J46" i="46"/>
  <c r="J34" i="46"/>
  <c r="J95" i="46"/>
  <c r="J143" i="46"/>
  <c r="J176" i="46"/>
  <c r="J192" i="46"/>
  <c r="J189" i="46"/>
  <c r="J120" i="46"/>
  <c r="J57" i="46"/>
  <c r="J75" i="46"/>
  <c r="J129" i="46"/>
  <c r="J101" i="46"/>
  <c r="J96" i="46"/>
  <c r="J50" i="46"/>
  <c r="J164" i="46"/>
  <c r="J30" i="46"/>
  <c r="J185" i="46"/>
  <c r="J205" i="46"/>
  <c r="J76" i="46"/>
  <c r="J163" i="46"/>
  <c r="J174" i="46"/>
  <c r="J97" i="46"/>
  <c r="J136" i="46"/>
  <c r="J180" i="46"/>
  <c r="J36" i="46"/>
  <c r="J134" i="46"/>
  <c r="J124" i="46"/>
  <c r="J132" i="46"/>
  <c r="J166" i="46"/>
  <c r="J81" i="46"/>
  <c r="J123" i="46"/>
  <c r="J59" i="46"/>
  <c r="J160" i="46"/>
  <c r="J93" i="46"/>
  <c r="J130" i="46"/>
  <c r="J103" i="46"/>
  <c r="J84" i="46"/>
  <c r="J63" i="46"/>
  <c r="J78" i="46"/>
  <c r="J197" i="46"/>
  <c r="J191" i="46"/>
  <c r="J65" i="46"/>
  <c r="J119" i="46"/>
  <c r="J158" i="46"/>
  <c r="J201" i="46"/>
  <c r="J74" i="46"/>
  <c r="J190" i="46"/>
  <c r="J154" i="46"/>
  <c r="J31" i="46"/>
  <c r="J69" i="46"/>
  <c r="J80" i="46"/>
  <c r="J106" i="46"/>
  <c r="J128" i="46"/>
  <c r="J148" i="46"/>
  <c r="J153" i="46"/>
  <c r="J71" i="46"/>
  <c r="J52" i="46"/>
  <c r="J137" i="46"/>
  <c r="J37" i="46"/>
  <c r="J51" i="46"/>
  <c r="J82" i="46"/>
  <c r="J72" i="46"/>
  <c r="J209" i="46"/>
  <c r="J105" i="46"/>
  <c r="J110" i="46"/>
  <c r="J131" i="46"/>
  <c r="J182" i="46"/>
  <c r="J145" i="46"/>
  <c r="J58" i="46"/>
  <c r="J40" i="46"/>
  <c r="J138" i="46"/>
  <c r="J210" i="46"/>
  <c r="J140" i="46"/>
  <c r="J115" i="46"/>
  <c r="J90" i="46"/>
  <c r="J66" i="46"/>
  <c r="J177" i="46"/>
  <c r="J152" i="46"/>
  <c r="J77" i="46"/>
  <c r="J91" i="46"/>
  <c r="J150" i="46"/>
  <c r="J56" i="46"/>
  <c r="O213" i="46"/>
  <c r="J198" i="46"/>
  <c r="J122" i="46"/>
  <c r="J175" i="46"/>
  <c r="I220" i="32"/>
  <c r="J54" i="62"/>
  <c r="J94" i="62"/>
  <c r="J169" i="62"/>
  <c r="J145" i="62"/>
  <c r="J83" i="62"/>
  <c r="J131" i="62"/>
  <c r="J190" i="62"/>
  <c r="J119" i="62"/>
  <c r="J210" i="62"/>
  <c r="J34" i="62"/>
  <c r="J102" i="62"/>
  <c r="J164" i="62"/>
  <c r="J63" i="62"/>
  <c r="J162" i="62"/>
  <c r="J121" i="62"/>
  <c r="J44" i="62"/>
  <c r="J36" i="62"/>
  <c r="J188" i="62"/>
  <c r="J166" i="62"/>
  <c r="J53" i="62"/>
  <c r="I220" i="62"/>
  <c r="J33" i="62"/>
  <c r="J191" i="62"/>
  <c r="J97" i="62"/>
  <c r="J112" i="62"/>
  <c r="J74" i="62"/>
  <c r="J98" i="62"/>
  <c r="J175" i="62"/>
  <c r="J95" i="62"/>
  <c r="J110" i="62"/>
  <c r="J106" i="62"/>
  <c r="J208" i="62"/>
  <c r="J143" i="62"/>
  <c r="J122" i="62"/>
  <c r="J209" i="62"/>
  <c r="J58" i="62"/>
  <c r="O213" i="62"/>
  <c r="J64" i="62"/>
  <c r="J90" i="62"/>
  <c r="J173" i="62"/>
  <c r="J147" i="62"/>
  <c r="J156" i="62"/>
  <c r="J71" i="62"/>
  <c r="J75" i="62"/>
  <c r="J82" i="62"/>
  <c r="J69" i="62"/>
  <c r="J37" i="62"/>
  <c r="J62" i="62"/>
  <c r="J80" i="62"/>
  <c r="J101" i="62"/>
  <c r="J70" i="62"/>
  <c r="J52" i="62"/>
  <c r="J192" i="62"/>
  <c r="J193" i="62"/>
  <c r="J124" i="62"/>
  <c r="J129" i="62"/>
  <c r="J35" i="62"/>
  <c r="J187" i="62"/>
  <c r="J132" i="62"/>
  <c r="J105" i="62"/>
  <c r="J136" i="62"/>
  <c r="J73" i="62"/>
  <c r="J202" i="62"/>
  <c r="J79" i="62"/>
  <c r="J152" i="62"/>
  <c r="J197" i="62"/>
  <c r="J88" i="62"/>
  <c r="J41" i="62"/>
  <c r="J50" i="62"/>
  <c r="J180" i="62"/>
  <c r="J43" i="62"/>
  <c r="J154" i="62"/>
  <c r="J184" i="62"/>
  <c r="J104" i="62"/>
  <c r="J81" i="62"/>
  <c r="J48" i="62"/>
  <c r="J42" i="62"/>
  <c r="J140" i="62"/>
  <c r="J128" i="62"/>
  <c r="J141" i="62"/>
  <c r="J174" i="62"/>
  <c r="J161" i="62"/>
  <c r="J84" i="62"/>
  <c r="J148" i="62"/>
  <c r="M17" i="62"/>
  <c r="J198" i="62"/>
  <c r="J66" i="62"/>
  <c r="J103" i="62"/>
  <c r="J146" i="62"/>
  <c r="J205" i="62"/>
  <c r="J183" i="62"/>
  <c r="J185" i="62"/>
  <c r="J158" i="62"/>
  <c r="J195" i="62"/>
  <c r="J120" i="62"/>
  <c r="J171" i="62"/>
  <c r="J30" i="62"/>
  <c r="J182" i="62"/>
  <c r="J123" i="62"/>
  <c r="J57" i="62"/>
  <c r="J49" i="62"/>
  <c r="J130" i="62"/>
  <c r="J59" i="62"/>
  <c r="J72" i="62"/>
  <c r="J32" i="62"/>
  <c r="J115" i="62"/>
  <c r="J47" i="62"/>
  <c r="J178" i="62"/>
  <c r="J92" i="62"/>
  <c r="J186" i="62"/>
  <c r="J116" i="62"/>
  <c r="J201" i="62"/>
  <c r="J172" i="62"/>
  <c r="J65" i="62"/>
  <c r="J61" i="62"/>
  <c r="J196" i="62"/>
  <c r="J114" i="62"/>
  <c r="J194" i="62"/>
  <c r="J39" i="62"/>
  <c r="J211" i="62"/>
  <c r="J151" i="62"/>
  <c r="J176" i="62"/>
  <c r="J199" i="62"/>
  <c r="J160" i="62"/>
  <c r="J135" i="62"/>
  <c r="J153" i="62"/>
  <c r="J137" i="62"/>
  <c r="J179" i="62"/>
  <c r="J60" i="62"/>
  <c r="J89" i="62"/>
  <c r="J134" i="62"/>
  <c r="J113" i="62"/>
  <c r="J76" i="62"/>
  <c r="J157" i="62"/>
  <c r="J51" i="62"/>
  <c r="J150" i="62"/>
  <c r="J207" i="62"/>
  <c r="J213" i="62"/>
  <c r="J165" i="62"/>
  <c r="J163" i="62"/>
  <c r="J138" i="62"/>
  <c r="J200" i="62"/>
  <c r="J31" i="62"/>
  <c r="J155" i="62"/>
  <c r="J177" i="62"/>
  <c r="J55" i="62"/>
  <c r="J206" i="62"/>
  <c r="J87" i="62"/>
  <c r="J78" i="62"/>
  <c r="J170" i="62"/>
  <c r="J46" i="62"/>
  <c r="J40" i="62"/>
  <c r="J142" i="62"/>
  <c r="J77" i="62"/>
  <c r="J111" i="62"/>
  <c r="J189" i="62"/>
  <c r="J56" i="62"/>
  <c r="J38" i="62"/>
  <c r="J45" i="62"/>
  <c r="J96" i="62"/>
  <c r="J107" i="62"/>
  <c r="J181" i="62"/>
  <c r="J91" i="62"/>
  <c r="J93" i="62"/>
  <c r="J95" i="92"/>
  <c r="J71" i="92"/>
  <c r="J104" i="92"/>
  <c r="J88" i="92"/>
  <c r="J81" i="92"/>
  <c r="J172" i="92"/>
  <c r="J132" i="92"/>
  <c r="J38" i="92"/>
  <c r="J181" i="92"/>
  <c r="J83" i="92"/>
  <c r="J131" i="92"/>
  <c r="J92" i="92"/>
  <c r="J63" i="92"/>
  <c r="J72" i="92"/>
  <c r="J209" i="92"/>
  <c r="J187" i="92"/>
  <c r="J32" i="92"/>
  <c r="J54" i="92"/>
  <c r="J121" i="92"/>
  <c r="J177" i="92"/>
  <c r="J116" i="92"/>
  <c r="J192" i="92"/>
  <c r="J76" i="92"/>
  <c r="J160" i="92"/>
  <c r="J60" i="92"/>
  <c r="J208" i="92"/>
  <c r="J73" i="92"/>
  <c r="J166" i="92"/>
  <c r="J205" i="92"/>
  <c r="J57" i="92"/>
  <c r="J48" i="92"/>
  <c r="J49" i="92"/>
  <c r="J102" i="92"/>
  <c r="J45" i="92"/>
  <c r="J35" i="92"/>
  <c r="J130" i="92"/>
  <c r="J135" i="92"/>
  <c r="J101" i="92"/>
  <c r="J140" i="92"/>
  <c r="J107" i="92"/>
  <c r="J152" i="92"/>
  <c r="J50" i="92"/>
  <c r="J78" i="92"/>
  <c r="J128" i="92"/>
  <c r="J188" i="92"/>
  <c r="J179" i="92"/>
  <c r="J199" i="92"/>
  <c r="J61" i="92"/>
  <c r="J153" i="92"/>
  <c r="J193" i="92"/>
  <c r="J141" i="92"/>
  <c r="J106" i="92"/>
  <c r="J87" i="92"/>
  <c r="J138" i="92"/>
  <c r="J137" i="92"/>
  <c r="J206" i="92"/>
  <c r="J174" i="92"/>
  <c r="J94" i="92"/>
  <c r="J178" i="92"/>
  <c r="J119" i="92"/>
  <c r="J41" i="92"/>
  <c r="J56" i="92"/>
  <c r="J182" i="92"/>
  <c r="J52" i="92"/>
  <c r="J114" i="92"/>
  <c r="J110" i="92"/>
  <c r="J65" i="92"/>
  <c r="J142" i="92"/>
  <c r="J186" i="92"/>
  <c r="J80" i="92"/>
  <c r="J136" i="92"/>
  <c r="J66" i="92"/>
  <c r="J170" i="92"/>
  <c r="J39" i="92"/>
  <c r="J211" i="92"/>
  <c r="J171" i="92"/>
  <c r="J184" i="92"/>
  <c r="J163" i="92"/>
  <c r="J43" i="92"/>
  <c r="J124" i="92"/>
  <c r="J77" i="92"/>
  <c r="J158" i="92"/>
  <c r="J70" i="92"/>
  <c r="J201" i="92"/>
  <c r="J143" i="92"/>
  <c r="J36" i="92"/>
  <c r="J105" i="92"/>
  <c r="J33" i="92"/>
  <c r="J40" i="92"/>
  <c r="J173" i="92"/>
  <c r="J194" i="92"/>
  <c r="J134" i="92"/>
  <c r="J115" i="92"/>
  <c r="J180" i="92"/>
  <c r="J103" i="92"/>
  <c r="J190" i="92"/>
  <c r="J156" i="92"/>
  <c r="J129" i="92"/>
  <c r="J198" i="92"/>
  <c r="J69" i="92"/>
  <c r="J165" i="92"/>
  <c r="J154" i="92"/>
  <c r="J93" i="92"/>
  <c r="J175" i="92"/>
  <c r="J195" i="92"/>
  <c r="J151" i="92"/>
  <c r="J185" i="92"/>
  <c r="J84" i="92"/>
  <c r="J82" i="92"/>
  <c r="J51" i="92"/>
  <c r="J75" i="92"/>
  <c r="J123" i="92"/>
  <c r="J53" i="92"/>
  <c r="M17" i="92"/>
  <c r="J42" i="92"/>
  <c r="J169" i="92"/>
  <c r="J96" i="92"/>
  <c r="J122" i="92"/>
  <c r="J202" i="92"/>
  <c r="J46" i="92"/>
  <c r="J59" i="92"/>
  <c r="O213" i="92"/>
  <c r="J196" i="92"/>
  <c r="J213" i="92"/>
  <c r="J197" i="92"/>
  <c r="J79" i="92"/>
  <c r="J162" i="92"/>
  <c r="J161" i="92"/>
  <c r="J30" i="92"/>
  <c r="J155" i="92"/>
  <c r="J55" i="92"/>
  <c r="J97" i="92"/>
  <c r="J207" i="92"/>
  <c r="J189" i="92"/>
  <c r="J91" i="92"/>
  <c r="J145" i="92"/>
  <c r="J74" i="92"/>
  <c r="J200" i="92"/>
  <c r="J64" i="92"/>
  <c r="J146" i="92"/>
  <c r="J62" i="92"/>
  <c r="J176" i="92"/>
  <c r="J150" i="92"/>
  <c r="J47" i="92"/>
  <c r="J34" i="92"/>
  <c r="J90" i="92"/>
  <c r="J98" i="92"/>
  <c r="J37" i="92"/>
  <c r="J148" i="92"/>
  <c r="J164" i="92"/>
  <c r="J111" i="92"/>
  <c r="J58" i="92"/>
  <c r="J112" i="92"/>
  <c r="J31" i="92"/>
  <c r="J120" i="92"/>
  <c r="I220" i="92"/>
  <c r="J210" i="92"/>
  <c r="J147" i="92"/>
  <c r="J44" i="92"/>
  <c r="J191" i="92"/>
  <c r="J113" i="92"/>
  <c r="J157" i="92"/>
  <c r="J89" i="92"/>
  <c r="J183" i="92"/>
  <c r="J186" i="165"/>
  <c r="J110" i="165"/>
  <c r="J198" i="165"/>
  <c r="J63" i="165"/>
  <c r="J192" i="165"/>
  <c r="J77" i="165"/>
  <c r="J199" i="165"/>
  <c r="J134" i="165"/>
  <c r="J84" i="165"/>
  <c r="J181" i="165"/>
  <c r="J163" i="165"/>
  <c r="J43" i="165"/>
  <c r="J62" i="165"/>
  <c r="J135" i="165"/>
  <c r="J130" i="165"/>
  <c r="J189" i="165"/>
  <c r="J205" i="165"/>
  <c r="J48" i="165"/>
  <c r="J157" i="165"/>
  <c r="J128" i="165"/>
  <c r="J190" i="165"/>
  <c r="J60" i="165"/>
  <c r="O213" i="165"/>
  <c r="J59" i="165"/>
  <c r="J183" i="165"/>
  <c r="J80" i="165"/>
  <c r="J90" i="165"/>
  <c r="J75" i="165"/>
  <c r="J102" i="165"/>
  <c r="J97" i="165"/>
  <c r="J170" i="165"/>
  <c r="J41" i="165"/>
  <c r="J114" i="165"/>
  <c r="J211" i="165"/>
  <c r="J31" i="165"/>
  <c r="J188" i="165"/>
  <c r="J120" i="165"/>
  <c r="J123" i="165"/>
  <c r="J106" i="165"/>
  <c r="J55" i="165"/>
  <c r="J76" i="165"/>
  <c r="J74" i="165"/>
  <c r="J30" i="165"/>
  <c r="J39" i="165"/>
  <c r="J50" i="165"/>
  <c r="J182" i="165"/>
  <c r="J153" i="165"/>
  <c r="J146" i="165"/>
  <c r="J113" i="165"/>
  <c r="J132" i="165"/>
  <c r="J101" i="165"/>
  <c r="J93" i="165"/>
  <c r="J187" i="165"/>
  <c r="J143" i="165"/>
  <c r="J209" i="165"/>
  <c r="J185" i="165"/>
  <c r="J140" i="165"/>
  <c r="J155" i="165"/>
  <c r="J194" i="165"/>
  <c r="J165" i="165"/>
  <c r="J174" i="165"/>
  <c r="J200" i="165"/>
  <c r="J213" i="165"/>
  <c r="J92" i="165"/>
  <c r="J116" i="165"/>
  <c r="J164" i="165"/>
  <c r="J138" i="165"/>
  <c r="J142" i="165"/>
  <c r="J45" i="165"/>
  <c r="J54" i="165"/>
  <c r="J175" i="165"/>
  <c r="J156" i="165"/>
  <c r="J179" i="165"/>
  <c r="J112" i="165"/>
  <c r="J195" i="165"/>
  <c r="J34" i="165"/>
  <c r="J161" i="165"/>
  <c r="J197" i="165"/>
  <c r="J150" i="165"/>
  <c r="J37" i="165"/>
  <c r="J137" i="165"/>
  <c r="J71" i="165"/>
  <c r="J66" i="165"/>
  <c r="J154" i="165"/>
  <c r="J180" i="165"/>
  <c r="J96" i="165"/>
  <c r="J38" i="165"/>
  <c r="J145" i="165"/>
  <c r="J98" i="165"/>
  <c r="J53" i="165"/>
  <c r="J83" i="165"/>
  <c r="J202" i="165"/>
  <c r="J58" i="165"/>
  <c r="J40" i="165"/>
  <c r="J208" i="165"/>
  <c r="J49" i="165"/>
  <c r="J52" i="165"/>
  <c r="J44" i="165"/>
  <c r="I220" i="165"/>
  <c r="J88" i="165"/>
  <c r="J105" i="165"/>
  <c r="J72" i="165"/>
  <c r="J210" i="165"/>
  <c r="J115" i="165"/>
  <c r="J173" i="165"/>
  <c r="J65" i="165"/>
  <c r="J193" i="165"/>
  <c r="M17" i="165"/>
  <c r="J51" i="165"/>
  <c r="J148" i="165"/>
  <c r="J119" i="165"/>
  <c r="J169" i="165"/>
  <c r="J151" i="165"/>
  <c r="J69" i="165"/>
  <c r="J46" i="165"/>
  <c r="J89" i="165"/>
  <c r="J176" i="165"/>
  <c r="J73" i="165"/>
  <c r="J196" i="165"/>
  <c r="J32" i="165"/>
  <c r="J184" i="165"/>
  <c r="J104" i="165"/>
  <c r="J124" i="165"/>
  <c r="J103" i="165"/>
  <c r="J82" i="165"/>
  <c r="J78" i="165"/>
  <c r="J141" i="165"/>
  <c r="J42" i="165"/>
  <c r="J207" i="165"/>
  <c r="J36" i="165"/>
  <c r="J121" i="165"/>
  <c r="J95" i="165"/>
  <c r="J35" i="165"/>
  <c r="J201" i="165"/>
  <c r="J152" i="165"/>
  <c r="J47" i="165"/>
  <c r="J91" i="165"/>
  <c r="J107" i="165"/>
  <c r="J79" i="165"/>
  <c r="J158" i="165"/>
  <c r="J178" i="165"/>
  <c r="J206" i="165"/>
  <c r="J172" i="165"/>
  <c r="J33" i="165"/>
  <c r="J87" i="165"/>
  <c r="J129" i="165"/>
  <c r="J177" i="165"/>
  <c r="J171" i="165"/>
  <c r="J64" i="165"/>
  <c r="J122" i="165"/>
  <c r="J57" i="165"/>
  <c r="J131" i="165"/>
  <c r="J166" i="165"/>
  <c r="J191" i="165"/>
  <c r="J162" i="165"/>
  <c r="J61" i="165"/>
  <c r="J94" i="165"/>
  <c r="J70" i="165"/>
  <c r="J56" i="165"/>
  <c r="J81" i="165"/>
  <c r="J111" i="165"/>
  <c r="J147" i="165"/>
  <c r="J136" i="165"/>
  <c r="J160" i="165"/>
  <c r="J121" i="68"/>
  <c r="J46" i="68"/>
  <c r="J62" i="68"/>
  <c r="J196" i="68"/>
  <c r="J187" i="68"/>
  <c r="J141" i="68"/>
  <c r="J177" i="68"/>
  <c r="J161" i="68"/>
  <c r="J183" i="68"/>
  <c r="J106" i="68"/>
  <c r="J202" i="68"/>
  <c r="J80" i="68"/>
  <c r="J66" i="68"/>
  <c r="J60" i="68"/>
  <c r="M17" i="68"/>
  <c r="J110" i="68"/>
  <c r="J94" i="68"/>
  <c r="J73" i="68"/>
  <c r="J74" i="68"/>
  <c r="J206" i="68"/>
  <c r="J158" i="68"/>
  <c r="J128" i="68"/>
  <c r="J52" i="68"/>
  <c r="J34" i="68"/>
  <c r="J97" i="68"/>
  <c r="J55" i="68"/>
  <c r="J190" i="68"/>
  <c r="J171" i="68"/>
  <c r="J116" i="68"/>
  <c r="J36" i="68"/>
  <c r="J119" i="68"/>
  <c r="J102" i="68"/>
  <c r="J40" i="68"/>
  <c r="J83" i="68"/>
  <c r="J157" i="68"/>
  <c r="J181" i="68"/>
  <c r="J41" i="68"/>
  <c r="J178" i="68"/>
  <c r="J104" i="68"/>
  <c r="J137" i="68"/>
  <c r="J131" i="68"/>
  <c r="J75" i="68"/>
  <c r="J30" i="68"/>
  <c r="J210" i="68"/>
  <c r="J192" i="68"/>
  <c r="J135" i="68"/>
  <c r="J38" i="68"/>
  <c r="J186" i="68"/>
  <c r="J31" i="68"/>
  <c r="J123" i="68"/>
  <c r="J81" i="68"/>
  <c r="J35" i="68"/>
  <c r="J45" i="68"/>
  <c r="J47" i="68"/>
  <c r="J193" i="68"/>
  <c r="J98" i="68"/>
  <c r="J78" i="68"/>
  <c r="J33" i="68"/>
  <c r="J115" i="68"/>
  <c r="J77" i="68"/>
  <c r="J209" i="68"/>
  <c r="J120" i="68"/>
  <c r="J155" i="68"/>
  <c r="J179" i="68"/>
  <c r="J138" i="68"/>
  <c r="J208" i="68"/>
  <c r="J32" i="68"/>
  <c r="J93" i="68"/>
  <c r="J189" i="68"/>
  <c r="J175" i="68"/>
  <c r="J107" i="68"/>
  <c r="J92" i="68"/>
  <c r="J114" i="68"/>
  <c r="J176" i="68"/>
  <c r="J72" i="68"/>
  <c r="J166" i="68"/>
  <c r="J163" i="68"/>
  <c r="J65" i="68"/>
  <c r="J112" i="68"/>
  <c r="J49" i="68"/>
  <c r="J182" i="68"/>
  <c r="J146" i="68"/>
  <c r="J152" i="68"/>
  <c r="J37" i="68"/>
  <c r="J53" i="68"/>
  <c r="J129" i="68"/>
  <c r="O213" i="68"/>
  <c r="J143" i="68"/>
  <c r="J169" i="68"/>
  <c r="J197" i="68"/>
  <c r="J211" i="68"/>
  <c r="J198" i="68"/>
  <c r="J140" i="68"/>
  <c r="J39" i="68"/>
  <c r="J130" i="68"/>
  <c r="J69" i="68"/>
  <c r="J91" i="68"/>
  <c r="J82" i="68"/>
  <c r="J95" i="68"/>
  <c r="J89" i="68"/>
  <c r="J61" i="68"/>
  <c r="J88" i="68"/>
  <c r="J173" i="68"/>
  <c r="J188" i="68"/>
  <c r="J194" i="68"/>
  <c r="J142" i="68"/>
  <c r="J63" i="68"/>
  <c r="J105" i="68"/>
  <c r="J124" i="68"/>
  <c r="J48" i="68"/>
  <c r="J153" i="68"/>
  <c r="J200" i="68"/>
  <c r="J160" i="68"/>
  <c r="J201" i="68"/>
  <c r="J136" i="68"/>
  <c r="J42" i="68"/>
  <c r="J191" i="68"/>
  <c r="J132" i="68"/>
  <c r="J213" i="68"/>
  <c r="J101" i="68"/>
  <c r="J199" i="68"/>
  <c r="J172" i="68"/>
  <c r="J64" i="68"/>
  <c r="J79" i="68"/>
  <c r="J56" i="68"/>
  <c r="J57" i="68"/>
  <c r="J51" i="68"/>
  <c r="J162" i="68"/>
  <c r="J44" i="68"/>
  <c r="J122" i="68"/>
  <c r="J205" i="68"/>
  <c r="J87" i="68"/>
  <c r="J165" i="68"/>
  <c r="J58" i="68"/>
  <c r="J150" i="68"/>
  <c r="J154" i="68"/>
  <c r="J54" i="68"/>
  <c r="J148" i="68"/>
  <c r="J111" i="68"/>
  <c r="J180" i="68"/>
  <c r="J103" i="68"/>
  <c r="J43" i="68"/>
  <c r="J164" i="68"/>
  <c r="J76" i="68"/>
  <c r="J113" i="68"/>
  <c r="J185" i="68"/>
  <c r="J170" i="68"/>
  <c r="J96" i="68"/>
  <c r="J147" i="68"/>
  <c r="J70" i="68"/>
  <c r="J151" i="68"/>
  <c r="J156" i="68"/>
  <c r="J84" i="68"/>
  <c r="J59" i="68"/>
  <c r="J145" i="68"/>
  <c r="J195" i="68"/>
  <c r="J174" i="68"/>
  <c r="J134" i="68"/>
  <c r="J184" i="68"/>
  <c r="J50" i="68"/>
  <c r="J71" i="68"/>
  <c r="J90" i="68"/>
  <c r="J207" i="68"/>
  <c r="I220" i="68"/>
  <c r="J121" i="156"/>
  <c r="J41" i="156"/>
  <c r="J194" i="156"/>
  <c r="J102" i="156"/>
  <c r="J112" i="156"/>
  <c r="J39" i="156"/>
  <c r="J151" i="156"/>
  <c r="J89" i="156"/>
  <c r="J98" i="156"/>
  <c r="J206" i="156"/>
  <c r="J65" i="156"/>
  <c r="J106" i="156"/>
  <c r="J213" i="156"/>
  <c r="J77" i="156"/>
  <c r="J175" i="156"/>
  <c r="J184" i="156"/>
  <c r="J182" i="156"/>
  <c r="J116" i="156"/>
  <c r="J31" i="156"/>
  <c r="J157" i="156"/>
  <c r="J114" i="156"/>
  <c r="J132" i="156"/>
  <c r="J190" i="156"/>
  <c r="J50" i="156"/>
  <c r="J70" i="156"/>
  <c r="J134" i="156"/>
  <c r="J210" i="156"/>
  <c r="J111" i="156"/>
  <c r="J52" i="156"/>
  <c r="J201" i="156"/>
  <c r="J123" i="156"/>
  <c r="J153" i="156"/>
  <c r="J103" i="156"/>
  <c r="J137" i="156"/>
  <c r="J101" i="156"/>
  <c r="J188" i="156"/>
  <c r="J38" i="156"/>
  <c r="J152" i="156"/>
  <c r="J33" i="156"/>
  <c r="J150" i="156"/>
  <c r="J81" i="156"/>
  <c r="J202" i="156"/>
  <c r="J36" i="156"/>
  <c r="J44" i="156"/>
  <c r="J96" i="156"/>
  <c r="J155" i="156"/>
  <c r="J164" i="156"/>
  <c r="J80" i="156"/>
  <c r="J209" i="156"/>
  <c r="J76" i="156"/>
  <c r="J199" i="156"/>
  <c r="J91" i="156"/>
  <c r="J87" i="156"/>
  <c r="J122" i="156"/>
  <c r="J192" i="156"/>
  <c r="J84" i="156"/>
  <c r="J147" i="156"/>
  <c r="J47" i="156"/>
  <c r="J54" i="156"/>
  <c r="J90" i="156"/>
  <c r="J187" i="156"/>
  <c r="J171" i="156"/>
  <c r="J56" i="156"/>
  <c r="J48" i="156"/>
  <c r="J186" i="156"/>
  <c r="J119" i="156"/>
  <c r="J35" i="156"/>
  <c r="J107" i="156"/>
  <c r="J129" i="156"/>
  <c r="J74" i="156"/>
  <c r="J173" i="156"/>
  <c r="J160" i="156"/>
  <c r="J176" i="156"/>
  <c r="J57" i="156"/>
  <c r="J105" i="156"/>
  <c r="J191" i="156"/>
  <c r="J179" i="156"/>
  <c r="J211" i="156"/>
  <c r="J163" i="156"/>
  <c r="J156" i="156"/>
  <c r="J34" i="156"/>
  <c r="J113" i="156"/>
  <c r="J104" i="156"/>
  <c r="J128" i="156"/>
  <c r="J166" i="156"/>
  <c r="J141" i="156"/>
  <c r="J169" i="156"/>
  <c r="J161" i="156"/>
  <c r="J180" i="156"/>
  <c r="J69" i="156"/>
  <c r="J40" i="156"/>
  <c r="J124" i="156"/>
  <c r="J183" i="156"/>
  <c r="J60" i="156"/>
  <c r="J45" i="156"/>
  <c r="J88" i="156"/>
  <c r="J62" i="156"/>
  <c r="J73" i="156"/>
  <c r="J61" i="156"/>
  <c r="J55" i="156"/>
  <c r="J92" i="156"/>
  <c r="J42" i="156"/>
  <c r="J177" i="156"/>
  <c r="J83" i="156"/>
  <c r="J130" i="156"/>
  <c r="J95" i="156"/>
  <c r="J66" i="156"/>
  <c r="J158" i="156"/>
  <c r="J181" i="156"/>
  <c r="J75" i="156"/>
  <c r="J172" i="156"/>
  <c r="J82" i="156"/>
  <c r="J154" i="156"/>
  <c r="J79" i="156"/>
  <c r="J200" i="156"/>
  <c r="J78" i="156"/>
  <c r="J120" i="156"/>
  <c r="J138" i="156"/>
  <c r="J207" i="156"/>
  <c r="J72" i="156"/>
  <c r="J193" i="156"/>
  <c r="J185" i="156"/>
  <c r="J53" i="156"/>
  <c r="J197" i="156"/>
  <c r="J43" i="156"/>
  <c r="J64" i="156"/>
  <c r="J174" i="156"/>
  <c r="J205" i="156"/>
  <c r="J71" i="156"/>
  <c r="J51" i="156"/>
  <c r="J143" i="156"/>
  <c r="J115" i="156"/>
  <c r="J94" i="156"/>
  <c r="J195" i="156"/>
  <c r="J97" i="156"/>
  <c r="J208" i="156"/>
  <c r="J145" i="156"/>
  <c r="J30" i="156"/>
  <c r="J178" i="156"/>
  <c r="J46" i="156"/>
  <c r="J196" i="156"/>
  <c r="J63" i="156"/>
  <c r="J135" i="156"/>
  <c r="M17" i="156"/>
  <c r="J136" i="156"/>
  <c r="J189" i="156"/>
  <c r="J140" i="156"/>
  <c r="J148" i="156"/>
  <c r="J110" i="156"/>
  <c r="J131" i="156"/>
  <c r="J32" i="156"/>
  <c r="J142" i="156"/>
  <c r="J59" i="156"/>
  <c r="J170" i="156"/>
  <c r="J49" i="156"/>
  <c r="O213" i="156"/>
  <c r="J93" i="156"/>
  <c r="J146" i="156"/>
  <c r="J165" i="156"/>
  <c r="J58" i="156"/>
  <c r="J198" i="156"/>
  <c r="J37" i="156"/>
  <c r="J162" i="156"/>
  <c r="J106" i="60"/>
  <c r="J79" i="60"/>
  <c r="J208" i="60"/>
  <c r="J180" i="60"/>
  <c r="J148" i="60"/>
  <c r="J48" i="60"/>
  <c r="J211" i="60"/>
  <c r="M17" i="60"/>
  <c r="J189" i="60"/>
  <c r="J152" i="60"/>
  <c r="J197" i="60"/>
  <c r="J55" i="60"/>
  <c r="J185" i="60"/>
  <c r="J59" i="60"/>
  <c r="J162" i="60"/>
  <c r="J40" i="60"/>
  <c r="J164" i="60"/>
  <c r="J145" i="60"/>
  <c r="J53" i="60"/>
  <c r="J105" i="60"/>
  <c r="J37" i="60"/>
  <c r="J186" i="60"/>
  <c r="J136" i="60"/>
  <c r="J104" i="60"/>
  <c r="J69" i="60"/>
  <c r="J165" i="60"/>
  <c r="J141" i="60"/>
  <c r="J140" i="60"/>
  <c r="J112" i="60"/>
  <c r="J74" i="60"/>
  <c r="J46" i="60"/>
  <c r="J92" i="60"/>
  <c r="J34" i="60"/>
  <c r="J96" i="60"/>
  <c r="J196" i="60"/>
  <c r="J78" i="60"/>
  <c r="J101" i="60"/>
  <c r="J194" i="60"/>
  <c r="J107" i="60"/>
  <c r="J45" i="60"/>
  <c r="J176" i="60"/>
  <c r="J153" i="60"/>
  <c r="J111" i="60"/>
  <c r="J56" i="60"/>
  <c r="J35" i="60"/>
  <c r="O213" i="60"/>
  <c r="J89" i="60"/>
  <c r="J60" i="60"/>
  <c r="J63" i="60"/>
  <c r="J38" i="60"/>
  <c r="J193" i="60"/>
  <c r="J87" i="60"/>
  <c r="J137" i="60"/>
  <c r="J192" i="60"/>
  <c r="J132" i="60"/>
  <c r="J51" i="60"/>
  <c r="J123" i="60"/>
  <c r="J171" i="60"/>
  <c r="J130" i="60"/>
  <c r="J187" i="60"/>
  <c r="J57" i="60"/>
  <c r="J98" i="60"/>
  <c r="J73" i="60"/>
  <c r="J41" i="60"/>
  <c r="J174" i="60"/>
  <c r="J151" i="60"/>
  <c r="J206" i="60"/>
  <c r="J170" i="60"/>
  <c r="J183" i="60"/>
  <c r="J154" i="60"/>
  <c r="J119" i="60"/>
  <c r="J131" i="60"/>
  <c r="J181" i="60"/>
  <c r="J47" i="60"/>
  <c r="J177" i="60"/>
  <c r="J88" i="60"/>
  <c r="J163" i="60"/>
  <c r="J94" i="60"/>
  <c r="J190" i="60"/>
  <c r="J155" i="60"/>
  <c r="J175" i="60"/>
  <c r="J146" i="60"/>
  <c r="J113" i="60"/>
  <c r="J77" i="60"/>
  <c r="J213" i="60"/>
  <c r="J178" i="60"/>
  <c r="J80" i="60"/>
  <c r="J54" i="60"/>
  <c r="J210" i="60"/>
  <c r="J32" i="60"/>
  <c r="J195" i="60"/>
  <c r="J72" i="60"/>
  <c r="J201" i="60"/>
  <c r="J66" i="60"/>
  <c r="J128" i="60"/>
  <c r="J39" i="60"/>
  <c r="J169" i="60"/>
  <c r="J52" i="60"/>
  <c r="J81" i="60"/>
  <c r="J65" i="60"/>
  <c r="J90" i="60"/>
  <c r="J182" i="60"/>
  <c r="J143" i="60"/>
  <c r="J134" i="60"/>
  <c r="J70" i="60"/>
  <c r="J50" i="60"/>
  <c r="J184" i="60"/>
  <c r="J129" i="60"/>
  <c r="J84" i="60"/>
  <c r="J33" i="60"/>
  <c r="J150" i="60"/>
  <c r="J124" i="60"/>
  <c r="J82" i="60"/>
  <c r="J188" i="60"/>
  <c r="J62" i="60"/>
  <c r="J172" i="60"/>
  <c r="J76" i="60"/>
  <c r="J200" i="60"/>
  <c r="J75" i="60"/>
  <c r="J209" i="60"/>
  <c r="J61" i="60"/>
  <c r="J138" i="60"/>
  <c r="J135" i="60"/>
  <c r="J161" i="60"/>
  <c r="J43" i="60"/>
  <c r="J71" i="60"/>
  <c r="J95" i="60"/>
  <c r="J121" i="60"/>
  <c r="J30" i="60"/>
  <c r="J115" i="60"/>
  <c r="J205" i="60"/>
  <c r="J42" i="60"/>
  <c r="J49" i="60"/>
  <c r="J97" i="60"/>
  <c r="J36" i="60"/>
  <c r="J160" i="60"/>
  <c r="J102" i="60"/>
  <c r="J93" i="60"/>
  <c r="J44" i="60"/>
  <c r="J110" i="60"/>
  <c r="J120" i="60"/>
  <c r="J198" i="60"/>
  <c r="J179" i="60"/>
  <c r="J157" i="60"/>
  <c r="J142" i="60"/>
  <c r="J64" i="60"/>
  <c r="J207" i="60"/>
  <c r="J166" i="60"/>
  <c r="J158" i="60"/>
  <c r="J58" i="60"/>
  <c r="J114" i="60"/>
  <c r="J83" i="60"/>
  <c r="J191" i="60"/>
  <c r="J116" i="60"/>
  <c r="J31" i="60"/>
  <c r="J91" i="60"/>
  <c r="J199" i="60"/>
  <c r="J103" i="60"/>
  <c r="J156" i="60"/>
  <c r="J173" i="60"/>
  <c r="J202" i="60"/>
  <c r="J122" i="60"/>
  <c r="J147" i="60"/>
  <c r="I220" i="60"/>
  <c r="L53" i="97"/>
  <c r="L166" i="97"/>
  <c r="P164" i="195" s="1"/>
  <c r="L86" i="97"/>
  <c r="L61" i="97"/>
  <c r="P59" i="195" s="1"/>
  <c r="J199" i="25"/>
  <c r="J123" i="25"/>
  <c r="J102" i="25"/>
  <c r="J153" i="25"/>
  <c r="J196" i="25"/>
  <c r="J155" i="25"/>
  <c r="J213" i="25"/>
  <c r="J193" i="25"/>
  <c r="J56" i="25"/>
  <c r="J45" i="25"/>
  <c r="J122" i="25"/>
  <c r="J141" i="25"/>
  <c r="J33" i="25"/>
  <c r="J187" i="25"/>
  <c r="J129" i="25"/>
  <c r="J157" i="25"/>
  <c r="J156" i="25"/>
  <c r="J134" i="25"/>
  <c r="J143" i="25"/>
  <c r="J58" i="25"/>
  <c r="J205" i="25"/>
  <c r="J164" i="25"/>
  <c r="J79" i="25"/>
  <c r="J54" i="25"/>
  <c r="J136" i="25"/>
  <c r="J74" i="25"/>
  <c r="J64" i="25"/>
  <c r="J142" i="25"/>
  <c r="J44" i="25"/>
  <c r="J172" i="25"/>
  <c r="J147" i="25"/>
  <c r="J207" i="25"/>
  <c r="J81" i="25"/>
  <c r="J82" i="25"/>
  <c r="J182" i="25"/>
  <c r="J195" i="25"/>
  <c r="J135" i="25"/>
  <c r="J120" i="25"/>
  <c r="J169" i="25"/>
  <c r="J138" i="25"/>
  <c r="J47" i="25"/>
  <c r="J174" i="25"/>
  <c r="J105" i="25"/>
  <c r="J184" i="25"/>
  <c r="J93" i="25"/>
  <c r="J148" i="25"/>
  <c r="J46" i="25"/>
  <c r="J88" i="25"/>
  <c r="J165" i="25"/>
  <c r="J106" i="25"/>
  <c r="J36" i="25"/>
  <c r="J206" i="25"/>
  <c r="J42" i="25"/>
  <c r="J34" i="25"/>
  <c r="J91" i="25"/>
  <c r="J150" i="25"/>
  <c r="J188" i="25"/>
  <c r="J170" i="25"/>
  <c r="J94" i="25"/>
  <c r="O213" i="25"/>
  <c r="J89" i="25"/>
  <c r="J119" i="25"/>
  <c r="J96" i="25"/>
  <c r="J113" i="25"/>
  <c r="J73" i="25"/>
  <c r="J83" i="25"/>
  <c r="J60" i="25"/>
  <c r="J77" i="25"/>
  <c r="J95" i="25"/>
  <c r="J53" i="25"/>
  <c r="J111" i="25"/>
  <c r="J87" i="25"/>
  <c r="J30" i="25"/>
  <c r="J131" i="25"/>
  <c r="J166" i="25"/>
  <c r="J178" i="25"/>
  <c r="J177" i="25"/>
  <c r="J103" i="25"/>
  <c r="J31" i="25"/>
  <c r="J32" i="25"/>
  <c r="J107" i="25"/>
  <c r="J124" i="25"/>
  <c r="J65" i="25"/>
  <c r="J179" i="25"/>
  <c r="J201" i="25"/>
  <c r="J186" i="25"/>
  <c r="J128" i="25"/>
  <c r="J181" i="25"/>
  <c r="J173" i="25"/>
  <c r="J171" i="25"/>
  <c r="J39" i="25"/>
  <c r="J62" i="25"/>
  <c r="J48" i="25"/>
  <c r="J175" i="25"/>
  <c r="J209" i="25"/>
  <c r="J55" i="25"/>
  <c r="J49" i="25"/>
  <c r="J97" i="25"/>
  <c r="J76" i="25"/>
  <c r="J114" i="25"/>
  <c r="J70" i="25"/>
  <c r="J61" i="25"/>
  <c r="J69" i="25"/>
  <c r="J137" i="25"/>
  <c r="J38" i="25"/>
  <c r="J98" i="25"/>
  <c r="J104" i="25"/>
  <c r="J191" i="25"/>
  <c r="J115" i="25"/>
  <c r="J162" i="25"/>
  <c r="J121" i="25"/>
  <c r="J59" i="25"/>
  <c r="J130" i="25"/>
  <c r="M17" i="25"/>
  <c r="J35" i="25"/>
  <c r="J132" i="25"/>
  <c r="J158" i="25"/>
  <c r="J52" i="25"/>
  <c r="J200" i="25"/>
  <c r="J66" i="25"/>
  <c r="J84" i="25"/>
  <c r="J190" i="25"/>
  <c r="J51" i="25"/>
  <c r="J101" i="25"/>
  <c r="J40" i="25"/>
  <c r="J80" i="25"/>
  <c r="J192" i="25"/>
  <c r="J72" i="25"/>
  <c r="J41" i="25"/>
  <c r="J112" i="25"/>
  <c r="J71" i="25"/>
  <c r="J208" i="25"/>
  <c r="J154" i="25"/>
  <c r="J146" i="25"/>
  <c r="J183" i="25"/>
  <c r="J140" i="25"/>
  <c r="J163" i="25"/>
  <c r="J92" i="25"/>
  <c r="J197" i="25"/>
  <c r="J211" i="25"/>
  <c r="J152" i="25"/>
  <c r="J90" i="25"/>
  <c r="J176" i="25"/>
  <c r="J202" i="25"/>
  <c r="J194" i="25"/>
  <c r="J198" i="25"/>
  <c r="J180" i="25"/>
  <c r="J78" i="25"/>
  <c r="J145" i="25"/>
  <c r="J185" i="25"/>
  <c r="J151" i="25"/>
  <c r="J116" i="25"/>
  <c r="J160" i="25"/>
  <c r="J210" i="25"/>
  <c r="J43" i="25"/>
  <c r="J110" i="25"/>
  <c r="J161" i="25"/>
  <c r="J50" i="25"/>
  <c r="J63" i="25"/>
  <c r="J37" i="25"/>
  <c r="J189" i="25"/>
  <c r="J75" i="25"/>
  <c r="J57" i="25"/>
  <c r="I220" i="25"/>
  <c r="I220" i="156"/>
  <c r="I220" i="178"/>
  <c r="J174" i="145"/>
  <c r="J94" i="145"/>
  <c r="O213" i="145"/>
  <c r="J153" i="145"/>
  <c r="J74" i="145"/>
  <c r="J187" i="145"/>
  <c r="J111" i="145"/>
  <c r="J39" i="145"/>
  <c r="J110" i="145"/>
  <c r="J185" i="145"/>
  <c r="J62" i="145"/>
  <c r="J140" i="145"/>
  <c r="J98" i="145"/>
  <c r="J130" i="145"/>
  <c r="J89" i="145"/>
  <c r="J59" i="145"/>
  <c r="J194" i="145"/>
  <c r="M17" i="145"/>
  <c r="J115" i="145"/>
  <c r="J45" i="145"/>
  <c r="J58" i="145"/>
  <c r="J152" i="145"/>
  <c r="J128" i="145"/>
  <c r="J44" i="145"/>
  <c r="J75" i="145"/>
  <c r="J92" i="145"/>
  <c r="J213" i="145"/>
  <c r="J154" i="145"/>
  <c r="J54" i="145"/>
  <c r="J82" i="145"/>
  <c r="J199" i="145"/>
  <c r="J160" i="145"/>
  <c r="J193" i="145"/>
  <c r="J164" i="145"/>
  <c r="J84" i="145"/>
  <c r="J143" i="145"/>
  <c r="J64" i="145"/>
  <c r="J179" i="145"/>
  <c r="J101" i="145"/>
  <c r="J31" i="145"/>
  <c r="J95" i="145"/>
  <c r="J173" i="145"/>
  <c r="J51" i="145"/>
  <c r="J123" i="145"/>
  <c r="J207" i="145"/>
  <c r="J87" i="145"/>
  <c r="J96" i="145"/>
  <c r="J60" i="145"/>
  <c r="J33" i="145"/>
  <c r="J169" i="145"/>
  <c r="J177" i="145"/>
  <c r="J43" i="145"/>
  <c r="J188" i="145"/>
  <c r="J73" i="145"/>
  <c r="J197" i="145"/>
  <c r="J210" i="145"/>
  <c r="J83" i="145"/>
  <c r="J114" i="145"/>
  <c r="J145" i="145"/>
  <c r="J189" i="145"/>
  <c r="J72" i="145"/>
  <c r="J34" i="145"/>
  <c r="J47" i="145"/>
  <c r="J36" i="145"/>
  <c r="J53" i="145"/>
  <c r="J155" i="145"/>
  <c r="J76" i="145"/>
  <c r="J206" i="145"/>
  <c r="J134" i="145"/>
  <c r="J56" i="145"/>
  <c r="J171" i="145"/>
  <c r="J91" i="145"/>
  <c r="J200" i="145"/>
  <c r="J79" i="145"/>
  <c r="J157" i="145"/>
  <c r="J37" i="145"/>
  <c r="J106" i="145"/>
  <c r="J192" i="145"/>
  <c r="J71" i="145"/>
  <c r="J69" i="145"/>
  <c r="J35" i="145"/>
  <c r="J201" i="145"/>
  <c r="J138" i="145"/>
  <c r="J97" i="145"/>
  <c r="J202" i="145"/>
  <c r="J208" i="145"/>
  <c r="J112" i="145"/>
  <c r="J175" i="145"/>
  <c r="J77" i="145"/>
  <c r="J181" i="145"/>
  <c r="J148" i="145"/>
  <c r="J172" i="145"/>
  <c r="J55" i="145"/>
  <c r="J93" i="145"/>
  <c r="J135" i="145"/>
  <c r="J80" i="145"/>
  <c r="J162" i="145"/>
  <c r="J129" i="145"/>
  <c r="J116" i="145"/>
  <c r="J103" i="145"/>
  <c r="J146" i="145"/>
  <c r="J66" i="145"/>
  <c r="J196" i="145"/>
  <c r="J122" i="145"/>
  <c r="J48" i="145"/>
  <c r="J161" i="145"/>
  <c r="J81" i="145"/>
  <c r="J186" i="145"/>
  <c r="J65" i="145"/>
  <c r="J141" i="145"/>
  <c r="J211" i="145"/>
  <c r="J90" i="145"/>
  <c r="J178" i="145"/>
  <c r="J57" i="145"/>
  <c r="J41" i="145"/>
  <c r="J209" i="145"/>
  <c r="J176" i="145"/>
  <c r="J105" i="145"/>
  <c r="J166" i="145"/>
  <c r="J163" i="145"/>
  <c r="J136" i="145"/>
  <c r="J40" i="145"/>
  <c r="J52" i="145"/>
  <c r="J165" i="145"/>
  <c r="J147" i="145"/>
  <c r="J42" i="145"/>
  <c r="J132" i="145"/>
  <c r="J170" i="145"/>
  <c r="J119" i="145"/>
  <c r="J104" i="145"/>
  <c r="J121" i="145"/>
  <c r="J156" i="145"/>
  <c r="J88" i="145"/>
  <c r="J198" i="145"/>
  <c r="J124" i="145"/>
  <c r="J50" i="145"/>
  <c r="J180" i="145"/>
  <c r="J102" i="145"/>
  <c r="J32" i="145"/>
  <c r="J142" i="145"/>
  <c r="J63" i="145"/>
  <c r="J158" i="145"/>
  <c r="J38" i="145"/>
  <c r="J107" i="145"/>
  <c r="J184" i="145"/>
  <c r="J61" i="145"/>
  <c r="J150" i="145"/>
  <c r="J30" i="145"/>
  <c r="J183" i="145"/>
  <c r="J151" i="145"/>
  <c r="J113" i="145"/>
  <c r="J46" i="145"/>
  <c r="J137" i="145"/>
  <c r="J131" i="145"/>
  <c r="J190" i="145"/>
  <c r="J205" i="145"/>
  <c r="J49" i="145"/>
  <c r="J191" i="145"/>
  <c r="J182" i="145"/>
  <c r="J195" i="145"/>
  <c r="J78" i="145"/>
  <c r="J120" i="145"/>
  <c r="J70" i="145"/>
  <c r="I220" i="145"/>
  <c r="I243" i="49"/>
  <c r="I220" i="53"/>
  <c r="J210" i="118"/>
  <c r="J96" i="118"/>
  <c r="J71" i="118"/>
  <c r="J39" i="118"/>
  <c r="J38" i="118"/>
  <c r="J172" i="118"/>
  <c r="J155" i="118"/>
  <c r="J111" i="118"/>
  <c r="J198" i="118"/>
  <c r="J177" i="118"/>
  <c r="J165" i="118"/>
  <c r="J160" i="118"/>
  <c r="J122" i="118"/>
  <c r="J192" i="118"/>
  <c r="J43" i="118"/>
  <c r="J113" i="118"/>
  <c r="J94" i="118"/>
  <c r="J77" i="118"/>
  <c r="J140" i="118"/>
  <c r="J116" i="118"/>
  <c r="J191" i="118"/>
  <c r="J181" i="118"/>
  <c r="J97" i="118"/>
  <c r="J169" i="118"/>
  <c r="O213" i="118"/>
  <c r="J87" i="118"/>
  <c r="J123" i="118"/>
  <c r="J146" i="118"/>
  <c r="J208" i="118"/>
  <c r="J163" i="118"/>
  <c r="J143" i="118"/>
  <c r="J211" i="118"/>
  <c r="J82" i="118"/>
  <c r="J70" i="118"/>
  <c r="J105" i="118"/>
  <c r="J134" i="118"/>
  <c r="J196" i="118"/>
  <c r="J124" i="118"/>
  <c r="J72" i="118"/>
  <c r="J120" i="118"/>
  <c r="J63" i="118"/>
  <c r="J83" i="118"/>
  <c r="J184" i="118"/>
  <c r="J61" i="118"/>
  <c r="J58" i="118"/>
  <c r="J60" i="118"/>
  <c r="J107" i="118"/>
  <c r="J128" i="118"/>
  <c r="J164" i="118"/>
  <c r="J95" i="118"/>
  <c r="J90" i="118"/>
  <c r="J79" i="118"/>
  <c r="J33" i="118"/>
  <c r="J183" i="118"/>
  <c r="J101" i="118"/>
  <c r="J50" i="118"/>
  <c r="J201" i="118"/>
  <c r="J175" i="118"/>
  <c r="J157" i="118"/>
  <c r="J137" i="118"/>
  <c r="J57" i="118"/>
  <c r="J45" i="118"/>
  <c r="J93" i="118"/>
  <c r="J36" i="118"/>
  <c r="J98" i="118"/>
  <c r="J150" i="118"/>
  <c r="J115" i="118"/>
  <c r="J52" i="118"/>
  <c r="J49" i="118"/>
  <c r="J81" i="118"/>
  <c r="J112" i="118"/>
  <c r="J92" i="118"/>
  <c r="J76" i="118"/>
  <c r="J110" i="118"/>
  <c r="J179" i="118"/>
  <c r="J187" i="118"/>
  <c r="J31" i="118"/>
  <c r="J182" i="118"/>
  <c r="J48" i="118"/>
  <c r="J91" i="118"/>
  <c r="J197" i="118"/>
  <c r="J46" i="118"/>
  <c r="J121" i="118"/>
  <c r="J102" i="118"/>
  <c r="J62" i="118"/>
  <c r="J65" i="118"/>
  <c r="J73" i="118"/>
  <c r="J35" i="118"/>
  <c r="J173" i="118"/>
  <c r="J69" i="118"/>
  <c r="J166" i="118"/>
  <c r="J132" i="118"/>
  <c r="J130" i="118"/>
  <c r="J84" i="118"/>
  <c r="J40" i="118"/>
  <c r="J131" i="118"/>
  <c r="J161" i="118"/>
  <c r="J54" i="118"/>
  <c r="J162" i="118"/>
  <c r="J88" i="118"/>
  <c r="J135" i="118"/>
  <c r="J34" i="118"/>
  <c r="J193" i="118"/>
  <c r="J141" i="118"/>
  <c r="J156" i="118"/>
  <c r="J171" i="118"/>
  <c r="J138" i="118"/>
  <c r="J30" i="118"/>
  <c r="J64" i="118"/>
  <c r="M17" i="118"/>
  <c r="J186" i="118"/>
  <c r="J180" i="118"/>
  <c r="J154" i="118"/>
  <c r="J207" i="118"/>
  <c r="J142" i="118"/>
  <c r="J153" i="118"/>
  <c r="J78" i="118"/>
  <c r="J42" i="118"/>
  <c r="J47" i="118"/>
  <c r="J206" i="118"/>
  <c r="J80" i="118"/>
  <c r="J59" i="118"/>
  <c r="J185" i="118"/>
  <c r="J55" i="118"/>
  <c r="J74" i="118"/>
  <c r="J104" i="118"/>
  <c r="J103" i="118"/>
  <c r="J178" i="118"/>
  <c r="J56" i="118"/>
  <c r="J32" i="118"/>
  <c r="J51" i="118"/>
  <c r="J202" i="118"/>
  <c r="J75" i="118"/>
  <c r="J158" i="118"/>
  <c r="J188" i="118"/>
  <c r="J41" i="118"/>
  <c r="J194" i="118"/>
  <c r="J200" i="118"/>
  <c r="J199" i="118"/>
  <c r="J119" i="118"/>
  <c r="J190" i="118"/>
  <c r="J129" i="118"/>
  <c r="J176" i="118"/>
  <c r="J89" i="118"/>
  <c r="J170" i="118"/>
  <c r="J145" i="118"/>
  <c r="J106" i="118"/>
  <c r="J195" i="118"/>
  <c r="J66" i="118"/>
  <c r="J147" i="118"/>
  <c r="J37" i="118"/>
  <c r="J213" i="118"/>
  <c r="J205" i="118"/>
  <c r="J44" i="118"/>
  <c r="J209" i="118"/>
  <c r="J189" i="118"/>
  <c r="J151" i="118"/>
  <c r="J136" i="118"/>
  <c r="J53" i="118"/>
  <c r="J174" i="118"/>
  <c r="J152" i="118"/>
  <c r="J148" i="118"/>
  <c r="J114" i="118"/>
  <c r="I243" i="63"/>
  <c r="J171" i="28"/>
  <c r="J205" i="28"/>
  <c r="J152" i="28"/>
  <c r="J210" i="28"/>
  <c r="J114" i="28"/>
  <c r="J45" i="28"/>
  <c r="J78" i="28"/>
  <c r="J172" i="28"/>
  <c r="J83" i="28"/>
  <c r="J202" i="28"/>
  <c r="J102" i="28"/>
  <c r="J161" i="28"/>
  <c r="J124" i="28"/>
  <c r="J131" i="28"/>
  <c r="J194" i="28"/>
  <c r="I220" i="28"/>
  <c r="J141" i="28"/>
  <c r="J190" i="28"/>
  <c r="J193" i="28"/>
  <c r="J37" i="28"/>
  <c r="J94" i="28"/>
  <c r="J53" i="28"/>
  <c r="J185" i="28"/>
  <c r="J119" i="28"/>
  <c r="J33" i="28"/>
  <c r="J132" i="28"/>
  <c r="J143" i="28"/>
  <c r="J186" i="28"/>
  <c r="J101" i="28"/>
  <c r="J208" i="28"/>
  <c r="J90" i="28"/>
  <c r="J199" i="28"/>
  <c r="J153" i="28"/>
  <c r="J112" i="28"/>
  <c r="J116" i="28"/>
  <c r="J138" i="28"/>
  <c r="J93" i="28"/>
  <c r="J48" i="28"/>
  <c r="J91" i="28"/>
  <c r="J84" i="28"/>
  <c r="J76" i="28"/>
  <c r="J134" i="28"/>
  <c r="J74" i="28"/>
  <c r="J164" i="28"/>
  <c r="J63" i="28"/>
  <c r="J181" i="28"/>
  <c r="J121" i="28"/>
  <c r="J77" i="28"/>
  <c r="J206" i="28"/>
  <c r="J41" i="28"/>
  <c r="J57" i="28"/>
  <c r="J136" i="28"/>
  <c r="J54" i="28"/>
  <c r="J142" i="28"/>
  <c r="J97" i="28"/>
  <c r="J89" i="28"/>
  <c r="J151" i="28"/>
  <c r="J107" i="28"/>
  <c r="J184" i="28"/>
  <c r="J183" i="28"/>
  <c r="J174" i="28"/>
  <c r="J47" i="28"/>
  <c r="J61" i="28"/>
  <c r="J98" i="28"/>
  <c r="J75" i="28"/>
  <c r="J179" i="28"/>
  <c r="J163" i="28"/>
  <c r="J113" i="28"/>
  <c r="J35" i="28"/>
  <c r="J69" i="28"/>
  <c r="J162" i="28"/>
  <c r="J44" i="28"/>
  <c r="J46" i="28"/>
  <c r="J36" i="28"/>
  <c r="J40" i="28"/>
  <c r="J80" i="28"/>
  <c r="J187" i="28"/>
  <c r="J128" i="28"/>
  <c r="J50" i="28"/>
  <c r="M17" i="28"/>
  <c r="J155" i="28"/>
  <c r="J191" i="28"/>
  <c r="J188" i="28"/>
  <c r="J123" i="28"/>
  <c r="J71" i="28"/>
  <c r="J209" i="28"/>
  <c r="J110" i="28"/>
  <c r="J92" i="28"/>
  <c r="J31" i="28"/>
  <c r="J169" i="28"/>
  <c r="J60" i="28"/>
  <c r="J87" i="28"/>
  <c r="J198" i="28"/>
  <c r="J65" i="28"/>
  <c r="J180" i="28"/>
  <c r="J39" i="28"/>
  <c r="J178" i="28"/>
  <c r="J96" i="28"/>
  <c r="J56" i="28"/>
  <c r="J146" i="28"/>
  <c r="J156" i="28"/>
  <c r="J195" i="28"/>
  <c r="J192" i="28"/>
  <c r="J176" i="28"/>
  <c r="J140" i="28"/>
  <c r="J49" i="28"/>
  <c r="J213" i="28"/>
  <c r="O213" i="28"/>
  <c r="J88" i="28"/>
  <c r="J200" i="28"/>
  <c r="J201" i="28"/>
  <c r="J106" i="28"/>
  <c r="J51" i="28"/>
  <c r="J70" i="28"/>
  <c r="J58" i="28"/>
  <c r="J154" i="28"/>
  <c r="J103" i="28"/>
  <c r="J111" i="28"/>
  <c r="J211" i="28"/>
  <c r="J104" i="28"/>
  <c r="J64" i="28"/>
  <c r="J150" i="28"/>
  <c r="J130" i="28"/>
  <c r="J207" i="28"/>
  <c r="J30" i="28"/>
  <c r="J196" i="28"/>
  <c r="J55" i="28"/>
  <c r="J38" i="28"/>
  <c r="J122" i="28"/>
  <c r="J137" i="28"/>
  <c r="J158" i="28"/>
  <c r="J59" i="28"/>
  <c r="J170" i="28"/>
  <c r="J173" i="28"/>
  <c r="J66" i="28"/>
  <c r="J105" i="28"/>
  <c r="J197" i="28"/>
  <c r="J145" i="28"/>
  <c r="J43" i="28"/>
  <c r="J135" i="28"/>
  <c r="J148" i="28"/>
  <c r="J82" i="28"/>
  <c r="J165" i="28"/>
  <c r="J115" i="28"/>
  <c r="J52" i="28"/>
  <c r="J166" i="28"/>
  <c r="J42" i="28"/>
  <c r="J95" i="28"/>
  <c r="J175" i="28"/>
  <c r="J129" i="28"/>
  <c r="J120" i="28"/>
  <c r="J157" i="28"/>
  <c r="J62" i="28"/>
  <c r="J147" i="28"/>
  <c r="J160" i="28"/>
  <c r="J32" i="28"/>
  <c r="J177" i="28"/>
  <c r="J34" i="28"/>
  <c r="J189" i="28"/>
  <c r="J182" i="28"/>
  <c r="J79" i="28"/>
  <c r="J72" i="28"/>
  <c r="J81" i="28"/>
  <c r="J73" i="28"/>
  <c r="M17" i="98"/>
  <c r="J121" i="98"/>
  <c r="J46" i="98"/>
  <c r="J87" i="98"/>
  <c r="J181" i="98"/>
  <c r="J158" i="98"/>
  <c r="J135" i="98"/>
  <c r="J186" i="98"/>
  <c r="J96" i="98"/>
  <c r="J64" i="98"/>
  <c r="J41" i="98"/>
  <c r="J131" i="98"/>
  <c r="J60" i="98"/>
  <c r="J196" i="98"/>
  <c r="J206" i="98"/>
  <c r="J161" i="98"/>
  <c r="J71" i="98"/>
  <c r="J88" i="98"/>
  <c r="J154" i="98"/>
  <c r="J177" i="98"/>
  <c r="J194" i="98"/>
  <c r="J213" i="98"/>
  <c r="J50" i="98"/>
  <c r="J44" i="98"/>
  <c r="J78" i="98"/>
  <c r="J157" i="98"/>
  <c r="J38" i="98"/>
  <c r="J45" i="98"/>
  <c r="J104" i="98"/>
  <c r="J33" i="98"/>
  <c r="J62" i="98"/>
  <c r="J65" i="98"/>
  <c r="J207" i="98"/>
  <c r="J171" i="98"/>
  <c r="J134" i="98"/>
  <c r="J82" i="98"/>
  <c r="J153" i="98"/>
  <c r="J123" i="98"/>
  <c r="J112" i="98"/>
  <c r="J48" i="98"/>
  <c r="J136" i="98"/>
  <c r="J160" i="98"/>
  <c r="J151" i="98"/>
  <c r="J55" i="98"/>
  <c r="J137" i="98"/>
  <c r="J35" i="98"/>
  <c r="J166" i="98"/>
  <c r="J97" i="98"/>
  <c r="J102" i="98"/>
  <c r="J143" i="98"/>
  <c r="J101" i="98"/>
  <c r="J175" i="98"/>
  <c r="J89" i="98"/>
  <c r="J39" i="98"/>
  <c r="J197" i="98"/>
  <c r="J201" i="98"/>
  <c r="J147" i="98"/>
  <c r="J156" i="98"/>
  <c r="J32" i="98"/>
  <c r="J37" i="98"/>
  <c r="J91" i="98"/>
  <c r="J76" i="98"/>
  <c r="J92" i="98"/>
  <c r="J74" i="98"/>
  <c r="J42" i="98"/>
  <c r="J182" i="98"/>
  <c r="J141" i="98"/>
  <c r="J120" i="98"/>
  <c r="J138" i="98"/>
  <c r="J59" i="98"/>
  <c r="J90" i="98"/>
  <c r="J173" i="98"/>
  <c r="J163" i="98"/>
  <c r="J40" i="98"/>
  <c r="J185" i="98"/>
  <c r="J36" i="98"/>
  <c r="J95" i="98"/>
  <c r="J75" i="98"/>
  <c r="J43" i="98"/>
  <c r="J211" i="98"/>
  <c r="J70" i="98"/>
  <c r="J30" i="98"/>
  <c r="J115" i="98"/>
  <c r="J183" i="98"/>
  <c r="J179" i="98"/>
  <c r="J103" i="98"/>
  <c r="J66" i="98"/>
  <c r="J140" i="98"/>
  <c r="J164" i="98"/>
  <c r="J162" i="98"/>
  <c r="J111" i="98"/>
  <c r="J165" i="98"/>
  <c r="J77" i="98"/>
  <c r="J105" i="98"/>
  <c r="J191" i="98"/>
  <c r="J51" i="98"/>
  <c r="J73" i="98"/>
  <c r="J150" i="98"/>
  <c r="J174" i="98"/>
  <c r="J94" i="98"/>
  <c r="J107" i="98"/>
  <c r="J53" i="98"/>
  <c r="J49" i="98"/>
  <c r="J83" i="98"/>
  <c r="J210" i="98"/>
  <c r="J63" i="98"/>
  <c r="J54" i="98"/>
  <c r="J188" i="98"/>
  <c r="J132" i="98"/>
  <c r="J130" i="98"/>
  <c r="J69" i="98"/>
  <c r="J200" i="98"/>
  <c r="J34" i="98"/>
  <c r="J113" i="98"/>
  <c r="J128" i="98"/>
  <c r="J129" i="98"/>
  <c r="J146" i="98"/>
  <c r="J31" i="98"/>
  <c r="J189" i="98"/>
  <c r="J93" i="98"/>
  <c r="J195" i="98"/>
  <c r="J198" i="98"/>
  <c r="J72" i="98"/>
  <c r="J58" i="98"/>
  <c r="J190" i="98"/>
  <c r="J106" i="98"/>
  <c r="J208" i="98"/>
  <c r="J199" i="98"/>
  <c r="J124" i="98"/>
  <c r="J155" i="98"/>
  <c r="J209" i="98"/>
  <c r="J184" i="98"/>
  <c r="J84" i="98"/>
  <c r="J52" i="98"/>
  <c r="J114" i="98"/>
  <c r="J145" i="98"/>
  <c r="J122" i="98"/>
  <c r="J148" i="98"/>
  <c r="J187" i="98"/>
  <c r="J192" i="98"/>
  <c r="J176" i="98"/>
  <c r="J170" i="98"/>
  <c r="J169" i="98"/>
  <c r="J61" i="98"/>
  <c r="J80" i="98"/>
  <c r="O213" i="98"/>
  <c r="J81" i="98"/>
  <c r="J56" i="98"/>
  <c r="J193" i="98"/>
  <c r="J57" i="98"/>
  <c r="J180" i="98"/>
  <c r="J98" i="98"/>
  <c r="J142" i="98"/>
  <c r="J152" i="98"/>
  <c r="J47" i="98"/>
  <c r="J178" i="98"/>
  <c r="J110" i="98"/>
  <c r="J202" i="98"/>
  <c r="J119" i="98"/>
  <c r="J79" i="98"/>
  <c r="J116" i="98"/>
  <c r="J205" i="98"/>
  <c r="J172" i="98"/>
  <c r="J208" i="37"/>
  <c r="J188" i="37"/>
  <c r="J63" i="37"/>
  <c r="J141" i="37"/>
  <c r="J93" i="37"/>
  <c r="J124" i="37"/>
  <c r="J97" i="37"/>
  <c r="J195" i="37"/>
  <c r="J175" i="37"/>
  <c r="J197" i="37"/>
  <c r="J71" i="37"/>
  <c r="J32" i="37"/>
  <c r="J40" i="37"/>
  <c r="J169" i="37"/>
  <c r="J206" i="37"/>
  <c r="J166" i="37"/>
  <c r="J82" i="37"/>
  <c r="J38" i="37"/>
  <c r="J80" i="37"/>
  <c r="J147" i="37"/>
  <c r="J33" i="37"/>
  <c r="J182" i="37"/>
  <c r="J58" i="37"/>
  <c r="J151" i="37"/>
  <c r="J30" i="37"/>
  <c r="J130" i="37"/>
  <c r="J164" i="37"/>
  <c r="J76" i="37"/>
  <c r="J113" i="37"/>
  <c r="J200" i="37"/>
  <c r="J61" i="37"/>
  <c r="J137" i="37"/>
  <c r="J60" i="37"/>
  <c r="J92" i="37"/>
  <c r="J31" i="37"/>
  <c r="J181" i="37"/>
  <c r="J62" i="37"/>
  <c r="J156" i="37"/>
  <c r="J44" i="37"/>
  <c r="J73" i="37"/>
  <c r="J98" i="37"/>
  <c r="J50" i="37"/>
  <c r="J173" i="37"/>
  <c r="J136" i="37"/>
  <c r="J201" i="37"/>
  <c r="J105" i="37"/>
  <c r="J74" i="37"/>
  <c r="J114" i="37"/>
  <c r="J43" i="37"/>
  <c r="J53" i="37"/>
  <c r="J87" i="37"/>
  <c r="J79" i="37"/>
  <c r="J184" i="37"/>
  <c r="J66" i="37"/>
  <c r="J39" i="37"/>
  <c r="J69" i="37"/>
  <c r="J189" i="37"/>
  <c r="J89" i="37"/>
  <c r="J155" i="37"/>
  <c r="J48" i="37"/>
  <c r="J135" i="37"/>
  <c r="J111" i="37"/>
  <c r="J150" i="37"/>
  <c r="J194" i="37"/>
  <c r="J180" i="37"/>
  <c r="J192" i="37"/>
  <c r="J177" i="37"/>
  <c r="J199" i="37"/>
  <c r="J128" i="37"/>
  <c r="O213" i="37"/>
  <c r="J110" i="37"/>
  <c r="J122" i="37"/>
  <c r="J172" i="37"/>
  <c r="J131" i="37"/>
  <c r="J49" i="37"/>
  <c r="J81" i="37"/>
  <c r="J107" i="37"/>
  <c r="J52" i="37"/>
  <c r="J121" i="37"/>
  <c r="J78" i="37"/>
  <c r="J65" i="37"/>
  <c r="J185" i="37"/>
  <c r="J72" i="37"/>
  <c r="J59" i="37"/>
  <c r="J101" i="37"/>
  <c r="J152" i="37"/>
  <c r="J178" i="37"/>
  <c r="J205" i="37"/>
  <c r="J120" i="37"/>
  <c r="J37" i="37"/>
  <c r="J183" i="37"/>
  <c r="J191" i="37"/>
  <c r="J132" i="37"/>
  <c r="J213" i="37"/>
  <c r="J171" i="37"/>
  <c r="J165" i="37"/>
  <c r="J95" i="37"/>
  <c r="J162" i="37"/>
  <c r="J158" i="37"/>
  <c r="J190" i="37"/>
  <c r="J142" i="37"/>
  <c r="J45" i="37"/>
  <c r="J102" i="37"/>
  <c r="J146" i="37"/>
  <c r="J170" i="37"/>
  <c r="J179" i="37"/>
  <c r="J88" i="37"/>
  <c r="J54" i="37"/>
  <c r="J104" i="37"/>
  <c r="J103" i="37"/>
  <c r="J115" i="37"/>
  <c r="J51" i="37"/>
  <c r="J91" i="37"/>
  <c r="J36" i="37"/>
  <c r="J46" i="37"/>
  <c r="J90" i="37"/>
  <c r="J83" i="37"/>
  <c r="J57" i="37"/>
  <c r="J112" i="37"/>
  <c r="J84" i="37"/>
  <c r="J94" i="37"/>
  <c r="J55" i="37"/>
  <c r="J207" i="37"/>
  <c r="J34" i="37"/>
  <c r="J187" i="37"/>
  <c r="J64" i="37"/>
  <c r="J143" i="37"/>
  <c r="J163" i="37"/>
  <c r="J148" i="37"/>
  <c r="J140" i="37"/>
  <c r="J209" i="37"/>
  <c r="J176" i="37"/>
  <c r="J96" i="37"/>
  <c r="J56" i="37"/>
  <c r="J106" i="37"/>
  <c r="J41" i="37"/>
  <c r="J161" i="37"/>
  <c r="J153" i="37"/>
  <c r="J138" i="37"/>
  <c r="J129" i="37"/>
  <c r="J47" i="37"/>
  <c r="J210" i="37"/>
  <c r="J211" i="37"/>
  <c r="J75" i="37"/>
  <c r="J134" i="37"/>
  <c r="J186" i="37"/>
  <c r="J154" i="37"/>
  <c r="J35" i="37"/>
  <c r="J116" i="37"/>
  <c r="J70" i="37"/>
  <c r="J198" i="37"/>
  <c r="J42" i="37"/>
  <c r="J193" i="37"/>
  <c r="J77" i="37"/>
  <c r="J123" i="37"/>
  <c r="J145" i="37"/>
  <c r="J202" i="37"/>
  <c r="J160" i="37"/>
  <c r="J157" i="37"/>
  <c r="M17" i="37"/>
  <c r="J119" i="37"/>
  <c r="J174" i="37"/>
  <c r="J196" i="37"/>
  <c r="I220" i="37"/>
  <c r="L149" i="97"/>
  <c r="P147" i="195" s="1"/>
  <c r="L153" i="97"/>
  <c r="P151" i="195" s="1"/>
  <c r="L190" i="97"/>
  <c r="P188" i="195" s="1"/>
  <c r="L207" i="97"/>
  <c r="P205" i="195" s="1"/>
  <c r="L157" i="97"/>
  <c r="P155" i="195" s="1"/>
  <c r="J63" i="43"/>
  <c r="J38" i="43"/>
  <c r="J193" i="43"/>
  <c r="J209" i="43"/>
  <c r="J187" i="43"/>
  <c r="J192" i="43"/>
  <c r="J172" i="43"/>
  <c r="J91" i="43"/>
  <c r="J51" i="43"/>
  <c r="J164" i="43"/>
  <c r="J141" i="43"/>
  <c r="J48" i="43"/>
  <c r="J186" i="43"/>
  <c r="J97" i="43"/>
  <c r="J49" i="43"/>
  <c r="J169" i="43"/>
  <c r="J115" i="43"/>
  <c r="J188" i="43"/>
  <c r="J72" i="43"/>
  <c r="J57" i="43"/>
  <c r="J69" i="43"/>
  <c r="J130" i="43"/>
  <c r="J132" i="43"/>
  <c r="J94" i="43"/>
  <c r="J124" i="43"/>
  <c r="J90" i="43"/>
  <c r="M17" i="43"/>
  <c r="J105" i="43"/>
  <c r="J176" i="43"/>
  <c r="J211" i="43"/>
  <c r="J136" i="43"/>
  <c r="J84" i="43"/>
  <c r="J112" i="43"/>
  <c r="J34" i="43"/>
  <c r="J43" i="43"/>
  <c r="J79" i="43"/>
  <c r="J40" i="43"/>
  <c r="J183" i="43"/>
  <c r="J154" i="43"/>
  <c r="J119" i="43"/>
  <c r="J137" i="43"/>
  <c r="J110" i="43"/>
  <c r="J98" i="43"/>
  <c r="J59" i="43"/>
  <c r="J191" i="43"/>
  <c r="J151" i="43"/>
  <c r="J64" i="43"/>
  <c r="J205" i="43"/>
  <c r="J128" i="43"/>
  <c r="J93" i="43"/>
  <c r="J197" i="43"/>
  <c r="J148" i="43"/>
  <c r="J150" i="43"/>
  <c r="J46" i="43"/>
  <c r="J88" i="43"/>
  <c r="J123" i="43"/>
  <c r="J156" i="43"/>
  <c r="J58" i="43"/>
  <c r="J101" i="43"/>
  <c r="J78" i="43"/>
  <c r="J207" i="43"/>
  <c r="J104" i="43"/>
  <c r="J202" i="43"/>
  <c r="J145" i="43"/>
  <c r="J71" i="43"/>
  <c r="J92" i="43"/>
  <c r="J163" i="43"/>
  <c r="J190" i="43"/>
  <c r="J178" i="43"/>
  <c r="J103" i="43"/>
  <c r="J76" i="43"/>
  <c r="J42" i="43"/>
  <c r="J61" i="43"/>
  <c r="J36" i="43"/>
  <c r="J199" i="43"/>
  <c r="J160" i="43"/>
  <c r="J75" i="43"/>
  <c r="J52" i="43"/>
  <c r="J165" i="43"/>
  <c r="J111" i="43"/>
  <c r="J37" i="43"/>
  <c r="J177" i="43"/>
  <c r="J81" i="43"/>
  <c r="J50" i="43"/>
  <c r="J56" i="43"/>
  <c r="J179" i="43"/>
  <c r="J201" i="43"/>
  <c r="J170" i="43"/>
  <c r="J95" i="43"/>
  <c r="I220" i="43"/>
  <c r="J147" i="43"/>
  <c r="J65" i="43"/>
  <c r="J33" i="43"/>
  <c r="J107" i="43"/>
  <c r="O213" i="43"/>
  <c r="J175" i="43"/>
  <c r="J138" i="43"/>
  <c r="J47" i="43"/>
  <c r="J157" i="43"/>
  <c r="J155" i="43"/>
  <c r="J66" i="43"/>
  <c r="J80" i="43"/>
  <c r="J161" i="43"/>
  <c r="J196" i="43"/>
  <c r="J32" i="43"/>
  <c r="J195" i="43"/>
  <c r="J200" i="43"/>
  <c r="J181" i="43"/>
  <c r="J142" i="43"/>
  <c r="J83" i="43"/>
  <c r="J60" i="43"/>
  <c r="J174" i="43"/>
  <c r="J120" i="43"/>
  <c r="J53" i="43"/>
  <c r="J210" i="43"/>
  <c r="J134" i="43"/>
  <c r="J77" i="43"/>
  <c r="J180" i="43"/>
  <c r="J166" i="43"/>
  <c r="J206" i="43"/>
  <c r="J82" i="43"/>
  <c r="J106" i="43"/>
  <c r="J39" i="43"/>
  <c r="J35" i="43"/>
  <c r="J121" i="43"/>
  <c r="J182" i="43"/>
  <c r="J153" i="43"/>
  <c r="J87" i="43"/>
  <c r="J131" i="43"/>
  <c r="J152" i="43"/>
  <c r="J173" i="43"/>
  <c r="J135" i="43"/>
  <c r="J114" i="43"/>
  <c r="J143" i="43"/>
  <c r="J74" i="43"/>
  <c r="J184" i="43"/>
  <c r="J96" i="43"/>
  <c r="J45" i="43"/>
  <c r="J70" i="43"/>
  <c r="J44" i="43"/>
  <c r="J55" i="43"/>
  <c r="J30" i="43"/>
  <c r="J185" i="43"/>
  <c r="J89" i="43"/>
  <c r="J41" i="43"/>
  <c r="J162" i="43"/>
  <c r="J129" i="43"/>
  <c r="J54" i="43"/>
  <c r="J158" i="43"/>
  <c r="J113" i="43"/>
  <c r="J208" i="43"/>
  <c r="J171" i="43"/>
  <c r="J213" i="43"/>
  <c r="J194" i="43"/>
  <c r="J116" i="43"/>
  <c r="J102" i="43"/>
  <c r="J198" i="43"/>
  <c r="J189" i="43"/>
  <c r="J62" i="43"/>
  <c r="J122" i="43"/>
  <c r="J140" i="43"/>
  <c r="J73" i="43"/>
  <c r="J146" i="43"/>
  <c r="J31" i="43"/>
  <c r="I243" i="155"/>
  <c r="I220" i="55"/>
  <c r="J111" i="58"/>
  <c r="J104" i="58"/>
  <c r="J114" i="58"/>
  <c r="J115" i="58"/>
  <c r="J195" i="58"/>
  <c r="J87" i="58"/>
  <c r="J113" i="58"/>
  <c r="J71" i="58"/>
  <c r="J53" i="58"/>
  <c r="J93" i="58"/>
  <c r="J89" i="58"/>
  <c r="J151" i="58"/>
  <c r="J192" i="58"/>
  <c r="J142" i="58"/>
  <c r="J193" i="58"/>
  <c r="J158" i="58"/>
  <c r="J64" i="58"/>
  <c r="J205" i="58"/>
  <c r="J200" i="58"/>
  <c r="J208" i="58"/>
  <c r="J140" i="58"/>
  <c r="J164" i="58"/>
  <c r="J150" i="58"/>
  <c r="J34" i="58"/>
  <c r="J106" i="58"/>
  <c r="J172" i="58"/>
  <c r="J75" i="58"/>
  <c r="J92" i="58"/>
  <c r="J173" i="58"/>
  <c r="J210" i="58"/>
  <c r="J31" i="58"/>
  <c r="J194" i="58"/>
  <c r="J47" i="58"/>
  <c r="J129" i="58"/>
  <c r="J62" i="58"/>
  <c r="J130" i="58"/>
  <c r="J157" i="58"/>
  <c r="J152" i="58"/>
  <c r="J44" i="58"/>
  <c r="J91" i="58"/>
  <c r="J81" i="58"/>
  <c r="J51" i="58"/>
  <c r="J202" i="58"/>
  <c r="J178" i="58"/>
  <c r="J174" i="58"/>
  <c r="J138" i="58"/>
  <c r="J70" i="58"/>
  <c r="J48" i="58"/>
  <c r="J201" i="58"/>
  <c r="J52" i="58"/>
  <c r="J60" i="58"/>
  <c r="J137" i="58"/>
  <c r="J124" i="58"/>
  <c r="J197" i="58"/>
  <c r="J213" i="58"/>
  <c r="J179" i="58"/>
  <c r="J69" i="58"/>
  <c r="J122" i="58"/>
  <c r="J128" i="58"/>
  <c r="J141" i="58"/>
  <c r="J183" i="58"/>
  <c r="J77" i="58"/>
  <c r="J54" i="58"/>
  <c r="J121" i="58"/>
  <c r="J79" i="58"/>
  <c r="J61" i="58"/>
  <c r="J198" i="58"/>
  <c r="J185" i="58"/>
  <c r="J148" i="58"/>
  <c r="J180" i="58"/>
  <c r="J120" i="58"/>
  <c r="J184" i="58"/>
  <c r="O213" i="58"/>
  <c r="J74" i="58"/>
  <c r="J132" i="58"/>
  <c r="J90" i="58"/>
  <c r="J110" i="58"/>
  <c r="J146" i="58"/>
  <c r="J182" i="58"/>
  <c r="J153" i="58"/>
  <c r="J57" i="58"/>
  <c r="J187" i="58"/>
  <c r="J59" i="58"/>
  <c r="J136" i="58"/>
  <c r="J49" i="58"/>
  <c r="J37" i="58"/>
  <c r="J134" i="58"/>
  <c r="J30" i="58"/>
  <c r="J163" i="58"/>
  <c r="J191" i="58"/>
  <c r="J186" i="58"/>
  <c r="J207" i="58"/>
  <c r="J58" i="58"/>
  <c r="J189" i="58"/>
  <c r="J95" i="58"/>
  <c r="J97" i="58"/>
  <c r="J181" i="58"/>
  <c r="J50" i="58"/>
  <c r="J123" i="58"/>
  <c r="J73" i="58"/>
  <c r="J83" i="58"/>
  <c r="J78" i="58"/>
  <c r="J46" i="58"/>
  <c r="J101" i="58"/>
  <c r="J105" i="58"/>
  <c r="J35" i="58"/>
  <c r="J169" i="58"/>
  <c r="J161" i="58"/>
  <c r="J170" i="58"/>
  <c r="J76" i="58"/>
  <c r="J196" i="58"/>
  <c r="J107" i="58"/>
  <c r="J88" i="58"/>
  <c r="J33" i="58"/>
  <c r="J145" i="58"/>
  <c r="J112" i="58"/>
  <c r="J39" i="58"/>
  <c r="J80" i="58"/>
  <c r="J177" i="58"/>
  <c r="J188" i="58"/>
  <c r="J209" i="58"/>
  <c r="J41" i="58"/>
  <c r="J84" i="58"/>
  <c r="J94" i="58"/>
  <c r="J116" i="58"/>
  <c r="J66" i="58"/>
  <c r="J38" i="58"/>
  <c r="J82" i="58"/>
  <c r="J96" i="58"/>
  <c r="J143" i="58"/>
  <c r="J131" i="58"/>
  <c r="J55" i="58"/>
  <c r="J190" i="58"/>
  <c r="J162" i="58"/>
  <c r="M17" i="58"/>
  <c r="J165" i="58"/>
  <c r="J160" i="58"/>
  <c r="J147" i="58"/>
  <c r="J103" i="58"/>
  <c r="J176" i="58"/>
  <c r="J45" i="58"/>
  <c r="J206" i="58"/>
  <c r="J199" i="58"/>
  <c r="J42" i="58"/>
  <c r="J65" i="58"/>
  <c r="J56" i="58"/>
  <c r="J32" i="58"/>
  <c r="J175" i="58"/>
  <c r="J156" i="58"/>
  <c r="J63" i="58"/>
  <c r="J135" i="58"/>
  <c r="J155" i="58"/>
  <c r="J36" i="58"/>
  <c r="J166" i="58"/>
  <c r="J72" i="58"/>
  <c r="J40" i="58"/>
  <c r="J98" i="58"/>
  <c r="J171" i="58"/>
  <c r="J154" i="58"/>
  <c r="J43" i="58"/>
  <c r="J102" i="58"/>
  <c r="J119" i="58"/>
  <c r="J211" i="58"/>
  <c r="L37" i="97"/>
  <c r="L193" i="97"/>
  <c r="L34" i="97"/>
  <c r="L173" i="97"/>
  <c r="L142" i="97"/>
  <c r="P22" i="177"/>
  <c r="P22" i="174"/>
  <c r="P22" i="113"/>
  <c r="P22" i="42"/>
  <c r="P22" i="175"/>
  <c r="P22" i="16"/>
  <c r="P22" i="63"/>
  <c r="P22" i="89"/>
  <c r="P22" i="46"/>
  <c r="P22" i="167"/>
  <c r="P22" i="106"/>
  <c r="P22" i="133"/>
  <c r="P22" i="79"/>
  <c r="P22" i="49"/>
  <c r="P22" i="37"/>
  <c r="P22" i="1"/>
  <c r="P22" i="84"/>
  <c r="P22" i="102"/>
  <c r="P22" i="68"/>
  <c r="P22" i="136"/>
  <c r="P22" i="19"/>
  <c r="P22" i="27"/>
  <c r="P22" i="94"/>
  <c r="P22" i="33"/>
  <c r="P22" i="83"/>
  <c r="P22" i="38"/>
  <c r="P22" i="62"/>
  <c r="P22" i="58"/>
  <c r="P22" i="92"/>
  <c r="P22" i="164"/>
  <c r="P22" i="159"/>
  <c r="P22" i="86"/>
  <c r="P22" i="157"/>
  <c r="P22" i="111"/>
  <c r="P22" i="119"/>
  <c r="P22" i="104"/>
  <c r="P22" i="65"/>
  <c r="P22" i="28"/>
  <c r="P22" i="66"/>
  <c r="P22" i="178"/>
  <c r="P22" i="53"/>
  <c r="P22" i="50"/>
  <c r="P22" i="142"/>
  <c r="P22" i="54"/>
  <c r="P22" i="120"/>
  <c r="P22" i="118"/>
  <c r="P22" i="60"/>
  <c r="P22" i="152"/>
  <c r="P22" i="145"/>
  <c r="P22" i="85"/>
  <c r="P22" i="14"/>
  <c r="P22" i="25"/>
  <c r="P22" i="31"/>
  <c r="P22" i="32"/>
  <c r="P22" i="43"/>
  <c r="P22" i="103"/>
  <c r="P22" i="90"/>
  <c r="P22" i="87"/>
  <c r="P22" i="95"/>
  <c r="P22" i="98"/>
  <c r="P22" i="47"/>
  <c r="P22" i="24"/>
  <c r="P22" i="71"/>
  <c r="P22" i="165"/>
  <c r="P22" i="72"/>
  <c r="P22" i="21"/>
  <c r="P22" i="20"/>
  <c r="P22" i="64"/>
  <c r="P22" i="141"/>
  <c r="P22" i="39"/>
  <c r="P22" i="55"/>
  <c r="P22" i="155"/>
  <c r="P22" i="158"/>
  <c r="P22" i="156"/>
  <c r="P22" i="135"/>
  <c r="P22" i="15"/>
  <c r="P22" i="150"/>
  <c r="P22" i="57"/>
  <c r="L177" i="97"/>
  <c r="P175" i="195" s="1"/>
  <c r="O22" i="97"/>
  <c r="I244" i="97"/>
  <c r="L108" i="97"/>
  <c r="L191" i="97"/>
  <c r="L109" i="97"/>
  <c r="J232" i="97"/>
  <c r="J21" i="97"/>
  <c r="J18" i="97"/>
  <c r="J27" i="97"/>
  <c r="J19" i="97"/>
  <c r="J24" i="97"/>
  <c r="O18" i="97"/>
  <c r="J26" i="97"/>
  <c r="J23" i="97"/>
  <c r="J20" i="97"/>
  <c r="J22" i="97"/>
  <c r="J28" i="97"/>
  <c r="J25" i="97"/>
  <c r="P69" i="79"/>
  <c r="P69" i="83"/>
  <c r="P69" i="177"/>
  <c r="P69" i="174"/>
  <c r="P69" i="31"/>
  <c r="P69" i="65"/>
  <c r="P69" i="165"/>
  <c r="P69" i="102"/>
  <c r="P69" i="54"/>
  <c r="P69" i="27"/>
  <c r="P69" i="68"/>
  <c r="P69" i="57"/>
  <c r="P69" i="20"/>
  <c r="P69" i="50"/>
  <c r="P69" i="92"/>
  <c r="P69" i="152"/>
  <c r="P69" i="58"/>
  <c r="P69" i="133"/>
  <c r="P69" i="95"/>
  <c r="P69" i="39"/>
  <c r="P69" i="142"/>
  <c r="P69" i="158"/>
  <c r="P69" i="53"/>
  <c r="P69" i="113"/>
  <c r="P69" i="135"/>
  <c r="P69" i="64"/>
  <c r="P69" i="103"/>
  <c r="P69" i="15"/>
  <c r="P69" i="90"/>
  <c r="P69" i="155"/>
  <c r="P69" i="21"/>
  <c r="P69" i="37"/>
  <c r="P69" i="150"/>
  <c r="P69" i="43"/>
  <c r="P69" i="47"/>
  <c r="P69" i="136"/>
  <c r="P69" i="86"/>
  <c r="P69" i="19"/>
  <c r="P69" i="118"/>
  <c r="P69" i="175"/>
  <c r="P69" i="60"/>
  <c r="P69" i="159"/>
  <c r="P69" i="63"/>
  <c r="P69" i="62"/>
  <c r="P69" i="32"/>
  <c r="P69" i="38"/>
  <c r="P69" i="46"/>
  <c r="P69" i="71"/>
  <c r="P69" i="156"/>
  <c r="P69" i="28"/>
  <c r="P69" i="104"/>
  <c r="P69" i="14"/>
  <c r="P69" i="98"/>
  <c r="P69" i="120"/>
  <c r="P69" i="42"/>
  <c r="P69" i="111"/>
  <c r="P69" i="85"/>
  <c r="P69" i="25"/>
  <c r="P69" i="55"/>
  <c r="P69" i="94"/>
  <c r="P69" i="16"/>
  <c r="P69" i="49"/>
  <c r="P69" i="87"/>
  <c r="P69" i="141"/>
  <c r="P69" i="178"/>
  <c r="P69" i="1"/>
  <c r="P69" i="157"/>
  <c r="P69" i="106"/>
  <c r="P69" i="84"/>
  <c r="P69" i="89"/>
  <c r="P69" i="72"/>
  <c r="P69" i="33"/>
  <c r="P69" i="164"/>
  <c r="P69" i="119"/>
  <c r="P69" i="145"/>
  <c r="P69" i="167"/>
  <c r="P69" i="66"/>
  <c r="P69" i="24"/>
  <c r="I243" i="113"/>
  <c r="L114" i="97"/>
  <c r="S153" i="97"/>
  <c r="S173" i="97"/>
  <c r="S207" i="97"/>
  <c r="S144" i="97"/>
  <c r="S132" i="97"/>
  <c r="S215" i="97"/>
  <c r="S175" i="97"/>
  <c r="S154" i="97"/>
  <c r="S152" i="97"/>
  <c r="S179" i="97"/>
  <c r="S142" i="97"/>
  <c r="S103" i="97"/>
  <c r="S134" i="97"/>
  <c r="S131" i="97"/>
  <c r="J235" i="97"/>
  <c r="S133" i="97"/>
  <c r="J227" i="97"/>
  <c r="J230" i="97"/>
  <c r="J234" i="97"/>
  <c r="S177" i="97"/>
  <c r="S155" i="97"/>
  <c r="S121" i="97"/>
  <c r="I243" i="97"/>
  <c r="S156" i="97"/>
  <c r="S34" i="97"/>
  <c r="S58" i="97"/>
  <c r="S171" i="97"/>
  <c r="J228" i="97"/>
  <c r="J229" i="97"/>
  <c r="S130" i="97"/>
  <c r="S112" i="97"/>
  <c r="S89" i="97"/>
  <c r="S143" i="97"/>
  <c r="S33" i="97"/>
  <c r="S145" i="97"/>
  <c r="O20" i="97"/>
  <c r="S181" i="97"/>
  <c r="L45" i="97"/>
  <c r="L79" i="97"/>
  <c r="L196" i="97"/>
  <c r="L147" i="97"/>
  <c r="L123" i="97"/>
  <c r="L91" i="97"/>
  <c r="L180" i="97"/>
  <c r="L66" i="97"/>
  <c r="L98" i="97"/>
  <c r="L139" i="97"/>
  <c r="L179" i="97"/>
  <c r="L178" i="97"/>
  <c r="L174" i="97"/>
  <c r="L76" i="97"/>
  <c r="L80" i="97"/>
  <c r="L105" i="97"/>
  <c r="L65" i="97"/>
  <c r="L155" i="97"/>
  <c r="L85" i="97"/>
  <c r="L175" i="97"/>
  <c r="L194" i="97"/>
  <c r="L167" i="97"/>
  <c r="L198" i="97"/>
  <c r="L140" i="97"/>
  <c r="L136" i="97"/>
  <c r="L156" i="97"/>
  <c r="L39" i="97"/>
  <c r="L134" i="97"/>
  <c r="L95" i="97"/>
  <c r="L97" i="97"/>
  <c r="L64" i="97"/>
  <c r="L35" i="97"/>
  <c r="L131" i="97"/>
  <c r="L47" i="97"/>
  <c r="L164" i="97"/>
  <c r="L132" i="97"/>
  <c r="L176" i="97"/>
  <c r="L90" i="97"/>
  <c r="L82" i="97"/>
  <c r="L137" i="97"/>
  <c r="L124" i="97"/>
  <c r="L113" i="97"/>
  <c r="L165" i="97"/>
  <c r="L33" i="97"/>
  <c r="L115" i="97"/>
  <c r="L103" i="97"/>
  <c r="L112" i="97"/>
  <c r="L208" i="97"/>
  <c r="L63" i="97"/>
  <c r="L38" i="97"/>
  <c r="L99" i="97"/>
  <c r="L60" i="97"/>
  <c r="L81" i="97"/>
  <c r="L49" i="97"/>
  <c r="L159" i="97"/>
  <c r="L44" i="97"/>
  <c r="L187" i="97"/>
  <c r="L145" i="97"/>
  <c r="L192" i="97"/>
  <c r="L96" i="97"/>
  <c r="L148" i="97"/>
  <c r="L56" i="97"/>
  <c r="L212" i="97"/>
  <c r="L150" i="97"/>
  <c r="L117" i="97"/>
  <c r="L116" i="97"/>
  <c r="L158" i="97"/>
  <c r="L104" i="97"/>
  <c r="L77" i="97"/>
  <c r="L40" i="97"/>
  <c r="L210" i="97"/>
  <c r="L202" i="97"/>
  <c r="L143" i="97"/>
  <c r="J231" i="97"/>
  <c r="L130" i="97"/>
  <c r="L42" i="97"/>
  <c r="L75" i="97"/>
  <c r="L83" i="97"/>
  <c r="L107" i="97"/>
  <c r="L133" i="97"/>
  <c r="L213" i="97"/>
  <c r="L122" i="97"/>
  <c r="L92" i="97"/>
  <c r="L197" i="97"/>
  <c r="L189" i="97"/>
  <c r="L201" i="97"/>
  <c r="L121" i="97"/>
  <c r="L58" i="97"/>
  <c r="L185" i="97"/>
  <c r="L54" i="97"/>
  <c r="L199" i="97"/>
  <c r="J233" i="97"/>
  <c r="L62" i="97"/>
  <c r="L73" i="97"/>
  <c r="L162" i="97"/>
  <c r="L138" i="97"/>
  <c r="J226" i="97"/>
  <c r="L28" i="97"/>
  <c r="L152" i="97"/>
  <c r="L72" i="97"/>
  <c r="L74" i="97"/>
  <c r="L125" i="97"/>
  <c r="L106" i="97"/>
  <c r="L118" i="97"/>
  <c r="L84" i="97"/>
  <c r="L93" i="97"/>
  <c r="L100" i="97"/>
  <c r="P69" i="181" l="1"/>
  <c r="P69" i="180"/>
  <c r="P179" i="79"/>
  <c r="P179" i="135"/>
  <c r="P69" i="184"/>
  <c r="P69" i="183"/>
  <c r="P69" i="186"/>
  <c r="P69" i="189"/>
  <c r="P69" i="191"/>
  <c r="P69" i="193"/>
  <c r="P69" i="185"/>
  <c r="P69" i="188"/>
  <c r="P69" i="190"/>
  <c r="P69" i="192"/>
  <c r="P69" i="195"/>
  <c r="P179" i="118"/>
  <c r="P179" i="68"/>
  <c r="P179" i="55"/>
  <c r="P189" i="194"/>
  <c r="P189" i="195"/>
  <c r="P140" i="194"/>
  <c r="P140" i="195"/>
  <c r="P32" i="194"/>
  <c r="P32" i="195"/>
  <c r="P170" i="194"/>
  <c r="P170" i="195"/>
  <c r="P169" i="194"/>
  <c r="P169" i="195"/>
  <c r="P49" i="194"/>
  <c r="P49" i="195"/>
  <c r="P60" i="194"/>
  <c r="P60" i="195"/>
  <c r="P187" i="194"/>
  <c r="P187" i="195"/>
  <c r="P141" i="194"/>
  <c r="P141" i="195"/>
  <c r="P185" i="194"/>
  <c r="P185" i="195"/>
  <c r="P61" i="194"/>
  <c r="P61" i="195"/>
  <c r="P174" i="194"/>
  <c r="P174" i="195"/>
  <c r="P134" i="194"/>
  <c r="P134" i="195"/>
  <c r="P96" i="194"/>
  <c r="P96" i="195"/>
  <c r="P116" i="194"/>
  <c r="P116" i="195"/>
  <c r="P70" i="194"/>
  <c r="P70" i="195"/>
  <c r="P136" i="194"/>
  <c r="P136" i="195"/>
  <c r="P56" i="194"/>
  <c r="P56" i="195"/>
  <c r="P195" i="194"/>
  <c r="P195" i="195"/>
  <c r="P131" i="194"/>
  <c r="P131" i="195"/>
  <c r="P40" i="194"/>
  <c r="P40" i="195"/>
  <c r="P200" i="194"/>
  <c r="P200" i="195"/>
  <c r="P102" i="194"/>
  <c r="P102" i="195"/>
  <c r="P148" i="194"/>
  <c r="P148" i="195"/>
  <c r="P94" i="194"/>
  <c r="P94" i="195"/>
  <c r="P42" i="194"/>
  <c r="P42" i="195"/>
  <c r="P58" i="194"/>
  <c r="P58" i="195"/>
  <c r="P206" i="194"/>
  <c r="P206" i="195"/>
  <c r="P31" i="194"/>
  <c r="P31" i="195"/>
  <c r="P135" i="194"/>
  <c r="P135" i="195"/>
  <c r="P130" i="194"/>
  <c r="P130" i="195"/>
  <c r="P33" i="194"/>
  <c r="P33" i="195"/>
  <c r="P132" i="194"/>
  <c r="P132" i="195"/>
  <c r="P138" i="194"/>
  <c r="P138" i="195"/>
  <c r="P173" i="194"/>
  <c r="P173" i="195"/>
  <c r="P103" i="194"/>
  <c r="P103" i="195"/>
  <c r="P176" i="194"/>
  <c r="P176" i="195"/>
  <c r="P64" i="194"/>
  <c r="P64" i="195"/>
  <c r="P145" i="194"/>
  <c r="P145" i="195"/>
  <c r="P106" i="194"/>
  <c r="P106" i="195"/>
  <c r="P171" i="194"/>
  <c r="P171" i="195"/>
  <c r="P191" i="194"/>
  <c r="P191" i="195"/>
  <c r="P51" i="194"/>
  <c r="P51" i="195"/>
  <c r="P209" i="194"/>
  <c r="P209" i="195"/>
  <c r="P48" i="194"/>
  <c r="P48" i="195"/>
  <c r="P50" i="194"/>
  <c r="P50" i="195"/>
  <c r="P181" i="194"/>
  <c r="P181" i="195"/>
  <c r="P82" i="194"/>
  <c r="P82" i="195"/>
  <c r="P211" i="194"/>
  <c r="P211" i="195"/>
  <c r="P75" i="194"/>
  <c r="P75" i="195"/>
  <c r="P146" i="194"/>
  <c r="P146" i="195"/>
  <c r="P122" i="194"/>
  <c r="P122" i="195"/>
  <c r="P93" i="194"/>
  <c r="P93" i="195"/>
  <c r="P63" i="194"/>
  <c r="P63" i="195"/>
  <c r="P121" i="194"/>
  <c r="P121" i="195"/>
  <c r="P98" i="194"/>
  <c r="P98" i="195"/>
  <c r="P104" i="194"/>
  <c r="P104" i="195"/>
  <c r="P150" i="194"/>
  <c r="P150" i="195"/>
  <c r="P160" i="194"/>
  <c r="P160" i="195"/>
  <c r="P197" i="194"/>
  <c r="P197" i="195"/>
  <c r="P119" i="194"/>
  <c r="P119" i="195"/>
  <c r="P90" i="194"/>
  <c r="P90" i="195"/>
  <c r="P105" i="194"/>
  <c r="P105" i="195"/>
  <c r="P128" i="194"/>
  <c r="P128" i="195"/>
  <c r="P208" i="194"/>
  <c r="P208" i="195"/>
  <c r="P156" i="194"/>
  <c r="P156" i="195"/>
  <c r="P210" i="194"/>
  <c r="P210" i="195"/>
  <c r="P190" i="194"/>
  <c r="P190" i="195"/>
  <c r="P157" i="194"/>
  <c r="P157" i="195"/>
  <c r="P97" i="194"/>
  <c r="P97" i="195"/>
  <c r="P110" i="194"/>
  <c r="P110" i="195"/>
  <c r="P163" i="194"/>
  <c r="P163" i="195"/>
  <c r="P80" i="194"/>
  <c r="P80" i="195"/>
  <c r="P162" i="194"/>
  <c r="P162" i="195"/>
  <c r="P62" i="194"/>
  <c r="P62" i="195"/>
  <c r="P37" i="194"/>
  <c r="P37" i="195"/>
  <c r="P196" i="194"/>
  <c r="P196" i="195"/>
  <c r="P83" i="194"/>
  <c r="P83" i="195"/>
  <c r="P78" i="194"/>
  <c r="P78" i="195"/>
  <c r="P177" i="194"/>
  <c r="P177" i="195"/>
  <c r="P178" i="194"/>
  <c r="P178" i="195"/>
  <c r="P194" i="194"/>
  <c r="P194" i="195"/>
  <c r="P35" i="194"/>
  <c r="P35" i="195"/>
  <c r="P55" i="194"/>
  <c r="P55" i="195"/>
  <c r="P180" i="194"/>
  <c r="P180" i="195"/>
  <c r="P184" i="194"/>
  <c r="P184" i="195"/>
  <c r="P72" i="194"/>
  <c r="P72" i="195"/>
  <c r="P183" i="194"/>
  <c r="P183" i="195"/>
  <c r="P73" i="194"/>
  <c r="P73" i="195"/>
  <c r="P115" i="194"/>
  <c r="P115" i="195"/>
  <c r="P79" i="194"/>
  <c r="P79" i="195"/>
  <c r="P113" i="194"/>
  <c r="P113" i="195"/>
  <c r="P129" i="194"/>
  <c r="P129" i="195"/>
  <c r="P192" i="194"/>
  <c r="P192" i="195"/>
  <c r="P172" i="194"/>
  <c r="P172" i="195"/>
  <c r="P43" i="194"/>
  <c r="P43" i="195"/>
  <c r="P91" i="194"/>
  <c r="P91" i="195"/>
  <c r="P123" i="194"/>
  <c r="P123" i="195"/>
  <c r="P26" i="194"/>
  <c r="P26" i="195"/>
  <c r="P71" i="194"/>
  <c r="P71" i="195"/>
  <c r="P52" i="194"/>
  <c r="P52" i="195"/>
  <c r="P199" i="194"/>
  <c r="P199" i="195"/>
  <c r="P120" i="194"/>
  <c r="P120" i="195"/>
  <c r="P81" i="194"/>
  <c r="P81" i="195"/>
  <c r="P38" i="194"/>
  <c r="P38" i="195"/>
  <c r="P114" i="194"/>
  <c r="P114" i="195"/>
  <c r="P54" i="194"/>
  <c r="P54" i="195"/>
  <c r="P143" i="194"/>
  <c r="P143" i="195"/>
  <c r="P47" i="194"/>
  <c r="P47" i="195"/>
  <c r="P36" i="194"/>
  <c r="P36" i="195"/>
  <c r="P101" i="194"/>
  <c r="P101" i="195"/>
  <c r="P111" i="194"/>
  <c r="P111" i="195"/>
  <c r="P88" i="194"/>
  <c r="P88" i="195"/>
  <c r="P45" i="194"/>
  <c r="P45" i="195"/>
  <c r="P95" i="194"/>
  <c r="P95" i="195"/>
  <c r="P154" i="194"/>
  <c r="P154" i="195"/>
  <c r="P165" i="194"/>
  <c r="P165" i="195"/>
  <c r="P153" i="194"/>
  <c r="P153" i="195"/>
  <c r="P74" i="194"/>
  <c r="P74" i="195"/>
  <c r="P137" i="194"/>
  <c r="P137" i="195"/>
  <c r="P89" i="194"/>
  <c r="P89" i="195"/>
  <c r="P77" i="194"/>
  <c r="P77" i="195"/>
  <c r="P112" i="194"/>
  <c r="P112" i="195"/>
  <c r="P107" i="194"/>
  <c r="P107" i="195"/>
  <c r="P84" i="194"/>
  <c r="P84" i="195"/>
  <c r="P198" i="194"/>
  <c r="P198" i="195"/>
  <c r="P53" i="194"/>
  <c r="P53" i="195"/>
  <c r="P179" i="194"/>
  <c r="P179" i="195"/>
  <c r="P151" i="193"/>
  <c r="P151" i="194"/>
  <c r="P76" i="193"/>
  <c r="P76" i="194"/>
  <c r="P142" i="193"/>
  <c r="P142" i="194"/>
  <c r="P87" i="193"/>
  <c r="P87" i="194"/>
  <c r="P166" i="193"/>
  <c r="P166" i="194"/>
  <c r="P46" i="193"/>
  <c r="P46" i="194"/>
  <c r="P124" i="193"/>
  <c r="P124" i="194"/>
  <c r="P188" i="193"/>
  <c r="P188" i="194"/>
  <c r="P59" i="193"/>
  <c r="P59" i="194"/>
  <c r="P193" i="193"/>
  <c r="P193" i="194"/>
  <c r="P186" i="193"/>
  <c r="P186" i="194"/>
  <c r="P30" i="193"/>
  <c r="P30" i="194"/>
  <c r="P202" i="193"/>
  <c r="P202" i="194"/>
  <c r="P158" i="193"/>
  <c r="P158" i="194"/>
  <c r="P179" i="85"/>
  <c r="P179" i="42"/>
  <c r="P179" i="145"/>
  <c r="P179" i="177"/>
  <c r="P179" i="111"/>
  <c r="P39" i="193"/>
  <c r="P39" i="194"/>
  <c r="P175" i="193"/>
  <c r="P175" i="194"/>
  <c r="P155" i="193"/>
  <c r="P155" i="194"/>
  <c r="P147" i="193"/>
  <c r="P147" i="194"/>
  <c r="P164" i="193"/>
  <c r="P164" i="194"/>
  <c r="P92" i="193"/>
  <c r="P92" i="194"/>
  <c r="P44" i="193"/>
  <c r="P44" i="194"/>
  <c r="P34" i="193"/>
  <c r="P34" i="194"/>
  <c r="P41" i="193"/>
  <c r="P41" i="194"/>
  <c r="P207" i="193"/>
  <c r="P207" i="194"/>
  <c r="P179" i="49"/>
  <c r="P179" i="142"/>
  <c r="P179" i="150"/>
  <c r="P179" i="24"/>
  <c r="P179" i="119"/>
  <c r="P179" i="83"/>
  <c r="P205" i="193"/>
  <c r="P205" i="194"/>
  <c r="P161" i="193"/>
  <c r="P161" i="194"/>
  <c r="P201" i="193"/>
  <c r="P201" i="194"/>
  <c r="P182" i="193"/>
  <c r="P182" i="194"/>
  <c r="P57" i="193"/>
  <c r="P57" i="194"/>
  <c r="P152" i="193"/>
  <c r="P152" i="194"/>
  <c r="P179" i="46"/>
  <c r="P179" i="20"/>
  <c r="P179" i="133"/>
  <c r="P179" i="159"/>
  <c r="P179" i="158"/>
  <c r="P82" i="192"/>
  <c r="P82" i="193"/>
  <c r="P72" i="192"/>
  <c r="P72" i="193"/>
  <c r="P60" i="192"/>
  <c r="P60" i="193"/>
  <c r="P183" i="192"/>
  <c r="P183" i="193"/>
  <c r="P187" i="192"/>
  <c r="P187" i="193"/>
  <c r="P211" i="192"/>
  <c r="P211" i="193"/>
  <c r="P73" i="192"/>
  <c r="P73" i="193"/>
  <c r="P141" i="192"/>
  <c r="P141" i="193"/>
  <c r="P75" i="192"/>
  <c r="P75" i="193"/>
  <c r="P115" i="192"/>
  <c r="P115" i="193"/>
  <c r="P146" i="192"/>
  <c r="P146" i="193"/>
  <c r="P185" i="192"/>
  <c r="P185" i="193"/>
  <c r="P79" i="192"/>
  <c r="P79" i="193"/>
  <c r="P61" i="192"/>
  <c r="P61" i="193"/>
  <c r="P113" i="192"/>
  <c r="P113" i="193"/>
  <c r="P122" i="192"/>
  <c r="P122" i="193"/>
  <c r="P174" i="192"/>
  <c r="P174" i="193"/>
  <c r="P129" i="192"/>
  <c r="P129" i="193"/>
  <c r="P93" i="192"/>
  <c r="P93" i="193"/>
  <c r="P134" i="192"/>
  <c r="P134" i="193"/>
  <c r="P192" i="192"/>
  <c r="P192" i="193"/>
  <c r="P63" i="192"/>
  <c r="P63" i="193"/>
  <c r="P172" i="192"/>
  <c r="P172" i="193"/>
  <c r="P96" i="192"/>
  <c r="P96" i="193"/>
  <c r="P121" i="192"/>
  <c r="P121" i="193"/>
  <c r="P43" i="192"/>
  <c r="P43" i="193"/>
  <c r="P189" i="192"/>
  <c r="P189" i="193"/>
  <c r="P140" i="192"/>
  <c r="P140" i="193"/>
  <c r="P32" i="192"/>
  <c r="P32" i="193"/>
  <c r="P170" i="192"/>
  <c r="P170" i="193"/>
  <c r="P169" i="192"/>
  <c r="P169" i="193"/>
  <c r="P49" i="192"/>
  <c r="P49" i="193"/>
  <c r="P116" i="192"/>
  <c r="P116" i="193"/>
  <c r="P70" i="192"/>
  <c r="P70" i="193"/>
  <c r="P136" i="192"/>
  <c r="P136" i="193"/>
  <c r="P56" i="192"/>
  <c r="P56" i="193"/>
  <c r="P195" i="192"/>
  <c r="P195" i="193"/>
  <c r="P131" i="192"/>
  <c r="P131" i="193"/>
  <c r="P40" i="192"/>
  <c r="P40" i="193"/>
  <c r="P200" i="192"/>
  <c r="P200" i="193"/>
  <c r="P102" i="192"/>
  <c r="P102" i="193"/>
  <c r="P148" i="192"/>
  <c r="P148" i="193"/>
  <c r="P94" i="192"/>
  <c r="P94" i="193"/>
  <c r="P42" i="192"/>
  <c r="P42" i="193"/>
  <c r="P58" i="192"/>
  <c r="P58" i="193"/>
  <c r="P206" i="192"/>
  <c r="P206" i="193"/>
  <c r="P31" i="192"/>
  <c r="P31" i="193"/>
  <c r="P135" i="192"/>
  <c r="P135" i="193"/>
  <c r="P130" i="192"/>
  <c r="P130" i="193"/>
  <c r="P33" i="192"/>
  <c r="P33" i="193"/>
  <c r="P132" i="192"/>
  <c r="P132" i="193"/>
  <c r="P138" i="192"/>
  <c r="P138" i="193"/>
  <c r="P173" i="192"/>
  <c r="P173" i="193"/>
  <c r="P103" i="192"/>
  <c r="P103" i="193"/>
  <c r="P176" i="192"/>
  <c r="P176" i="193"/>
  <c r="P64" i="192"/>
  <c r="P64" i="193"/>
  <c r="P145" i="192"/>
  <c r="P145" i="193"/>
  <c r="P106" i="192"/>
  <c r="P106" i="193"/>
  <c r="P171" i="192"/>
  <c r="P171" i="193"/>
  <c r="P191" i="192"/>
  <c r="P191" i="193"/>
  <c r="P51" i="192"/>
  <c r="P51" i="193"/>
  <c r="P209" i="192"/>
  <c r="P209" i="193"/>
  <c r="P48" i="192"/>
  <c r="P48" i="193"/>
  <c r="P50" i="192"/>
  <c r="P50" i="193"/>
  <c r="P181" i="192"/>
  <c r="P181" i="193"/>
  <c r="P98" i="192"/>
  <c r="P98" i="193"/>
  <c r="P104" i="192"/>
  <c r="P104" i="193"/>
  <c r="P150" i="192"/>
  <c r="P150" i="193"/>
  <c r="P160" i="192"/>
  <c r="P160" i="193"/>
  <c r="P197" i="192"/>
  <c r="P197" i="193"/>
  <c r="P119" i="192"/>
  <c r="P119" i="193"/>
  <c r="P90" i="192"/>
  <c r="P90" i="193"/>
  <c r="P105" i="192"/>
  <c r="P105" i="193"/>
  <c r="P128" i="192"/>
  <c r="P128" i="193"/>
  <c r="P208" i="192"/>
  <c r="P208" i="193"/>
  <c r="P156" i="192"/>
  <c r="P156" i="193"/>
  <c r="P210" i="192"/>
  <c r="P210" i="193"/>
  <c r="P190" i="192"/>
  <c r="P190" i="193"/>
  <c r="P157" i="192"/>
  <c r="P157" i="193"/>
  <c r="P97" i="192"/>
  <c r="P97" i="193"/>
  <c r="P110" i="192"/>
  <c r="P110" i="193"/>
  <c r="P163" i="192"/>
  <c r="P163" i="193"/>
  <c r="P80" i="192"/>
  <c r="P80" i="193"/>
  <c r="P162" i="192"/>
  <c r="P162" i="193"/>
  <c r="P62" i="192"/>
  <c r="P62" i="193"/>
  <c r="P37" i="192"/>
  <c r="P37" i="193"/>
  <c r="P196" i="192"/>
  <c r="P196" i="193"/>
  <c r="P83" i="192"/>
  <c r="P83" i="193"/>
  <c r="P78" i="192"/>
  <c r="P78" i="193"/>
  <c r="P177" i="192"/>
  <c r="P177" i="193"/>
  <c r="P178" i="192"/>
  <c r="P178" i="193"/>
  <c r="P194" i="192"/>
  <c r="P194" i="193"/>
  <c r="P35" i="192"/>
  <c r="P35" i="193"/>
  <c r="P55" i="192"/>
  <c r="P55" i="193"/>
  <c r="P180" i="192"/>
  <c r="P180" i="193"/>
  <c r="P184" i="192"/>
  <c r="P184" i="193"/>
  <c r="P91" i="192"/>
  <c r="P91" i="193"/>
  <c r="P123" i="192"/>
  <c r="P123" i="193"/>
  <c r="P26" i="192"/>
  <c r="P26" i="193"/>
  <c r="P71" i="192"/>
  <c r="P71" i="193"/>
  <c r="P52" i="192"/>
  <c r="P52" i="193"/>
  <c r="P199" i="192"/>
  <c r="P199" i="193"/>
  <c r="P120" i="192"/>
  <c r="P120" i="193"/>
  <c r="P81" i="192"/>
  <c r="P81" i="193"/>
  <c r="P38" i="192"/>
  <c r="P38" i="193"/>
  <c r="P114" i="192"/>
  <c r="P114" i="193"/>
  <c r="P54" i="192"/>
  <c r="P54" i="193"/>
  <c r="P143" i="192"/>
  <c r="P143" i="193"/>
  <c r="P47" i="192"/>
  <c r="P47" i="193"/>
  <c r="P36" i="192"/>
  <c r="P36" i="193"/>
  <c r="P101" i="192"/>
  <c r="P101" i="193"/>
  <c r="P111" i="192"/>
  <c r="P111" i="193"/>
  <c r="P88" i="192"/>
  <c r="P88" i="193"/>
  <c r="P45" i="192"/>
  <c r="P45" i="193"/>
  <c r="P95" i="192"/>
  <c r="P95" i="193"/>
  <c r="P154" i="192"/>
  <c r="P154" i="193"/>
  <c r="P165" i="192"/>
  <c r="P165" i="193"/>
  <c r="P153" i="192"/>
  <c r="P153" i="193"/>
  <c r="P74" i="192"/>
  <c r="P74" i="193"/>
  <c r="P137" i="192"/>
  <c r="P137" i="193"/>
  <c r="P89" i="192"/>
  <c r="P89" i="193"/>
  <c r="P77" i="192"/>
  <c r="P77" i="193"/>
  <c r="P112" i="192"/>
  <c r="P112" i="193"/>
  <c r="P107" i="192"/>
  <c r="P107" i="193"/>
  <c r="P84" i="192"/>
  <c r="P84" i="193"/>
  <c r="P198" i="192"/>
  <c r="P198" i="193"/>
  <c r="P53" i="192"/>
  <c r="P53" i="193"/>
  <c r="P179" i="192"/>
  <c r="P179" i="193"/>
  <c r="P158" i="191"/>
  <c r="P158" i="192"/>
  <c r="P186" i="191"/>
  <c r="P186" i="192"/>
  <c r="P151" i="191"/>
  <c r="P151" i="192"/>
  <c r="P76" i="191"/>
  <c r="P76" i="192"/>
  <c r="P142" i="191"/>
  <c r="P142" i="192"/>
  <c r="P87" i="191"/>
  <c r="P87" i="192"/>
  <c r="P166" i="191"/>
  <c r="P166" i="192"/>
  <c r="P46" i="191"/>
  <c r="P46" i="192"/>
  <c r="P124" i="191"/>
  <c r="P124" i="192"/>
  <c r="P39" i="191"/>
  <c r="P39" i="192"/>
  <c r="P202" i="191"/>
  <c r="P202" i="192"/>
  <c r="P164" i="191"/>
  <c r="P164" i="192"/>
  <c r="P92" i="191"/>
  <c r="P92" i="192"/>
  <c r="P44" i="191"/>
  <c r="P44" i="192"/>
  <c r="P34" i="191"/>
  <c r="P34" i="192"/>
  <c r="P41" i="191"/>
  <c r="P41" i="192"/>
  <c r="P207" i="191"/>
  <c r="P207" i="192"/>
  <c r="P188" i="191"/>
  <c r="P188" i="192"/>
  <c r="P59" i="191"/>
  <c r="P59" i="192"/>
  <c r="P193" i="191"/>
  <c r="P193" i="192"/>
  <c r="P30" i="191"/>
  <c r="P30" i="192"/>
  <c r="P175" i="191"/>
  <c r="P175" i="192"/>
  <c r="P155" i="191"/>
  <c r="P155" i="192"/>
  <c r="P147" i="191"/>
  <c r="P147" i="192"/>
  <c r="P205" i="191"/>
  <c r="P205" i="192"/>
  <c r="P161" i="191"/>
  <c r="P161" i="192"/>
  <c r="P201" i="191"/>
  <c r="P201" i="192"/>
  <c r="P182" i="191"/>
  <c r="P182" i="192"/>
  <c r="P57" i="191"/>
  <c r="P57" i="192"/>
  <c r="P152" i="191"/>
  <c r="P152" i="192"/>
  <c r="P72" i="190"/>
  <c r="P72" i="191"/>
  <c r="P60" i="190"/>
  <c r="P60" i="191"/>
  <c r="P211" i="190"/>
  <c r="P211" i="191"/>
  <c r="P141" i="190"/>
  <c r="P141" i="191"/>
  <c r="P115" i="190"/>
  <c r="P115" i="191"/>
  <c r="P185" i="190"/>
  <c r="P185" i="191"/>
  <c r="P61" i="190"/>
  <c r="P61" i="191"/>
  <c r="P122" i="190"/>
  <c r="P122" i="191"/>
  <c r="P129" i="190"/>
  <c r="P129" i="191"/>
  <c r="P134" i="190"/>
  <c r="P134" i="191"/>
  <c r="P63" i="190"/>
  <c r="P63" i="191"/>
  <c r="P96" i="190"/>
  <c r="P96" i="191"/>
  <c r="P43" i="190"/>
  <c r="P43" i="191"/>
  <c r="P189" i="190"/>
  <c r="P189" i="191"/>
  <c r="P32" i="190"/>
  <c r="P32" i="191"/>
  <c r="P51" i="190"/>
  <c r="P51" i="191"/>
  <c r="P209" i="190"/>
  <c r="P209" i="191"/>
  <c r="P48" i="190"/>
  <c r="P48" i="191"/>
  <c r="P50" i="190"/>
  <c r="P50" i="191"/>
  <c r="P181" i="190"/>
  <c r="P181" i="191"/>
  <c r="P82" i="190"/>
  <c r="P82" i="191"/>
  <c r="P183" i="190"/>
  <c r="P183" i="191"/>
  <c r="P187" i="190"/>
  <c r="P187" i="191"/>
  <c r="P73" i="190"/>
  <c r="P73" i="191"/>
  <c r="P75" i="190"/>
  <c r="P75" i="191"/>
  <c r="P146" i="190"/>
  <c r="P146" i="191"/>
  <c r="P79" i="190"/>
  <c r="P79" i="191"/>
  <c r="P113" i="190"/>
  <c r="P113" i="191"/>
  <c r="P174" i="190"/>
  <c r="P174" i="191"/>
  <c r="P93" i="190"/>
  <c r="P93" i="191"/>
  <c r="P192" i="190"/>
  <c r="P192" i="191"/>
  <c r="P172" i="190"/>
  <c r="P172" i="191"/>
  <c r="P121" i="190"/>
  <c r="P121" i="191"/>
  <c r="P140" i="190"/>
  <c r="P140" i="191"/>
  <c r="P170" i="190"/>
  <c r="P170" i="191"/>
  <c r="P169" i="190"/>
  <c r="P169" i="191"/>
  <c r="P49" i="190"/>
  <c r="P49" i="191"/>
  <c r="P116" i="190"/>
  <c r="P116" i="191"/>
  <c r="P70" i="190"/>
  <c r="P70" i="191"/>
  <c r="P136" i="190"/>
  <c r="P136" i="191"/>
  <c r="P56" i="190"/>
  <c r="P56" i="191"/>
  <c r="P195" i="190"/>
  <c r="P195" i="191"/>
  <c r="P131" i="190"/>
  <c r="P131" i="191"/>
  <c r="P40" i="190"/>
  <c r="P40" i="191"/>
  <c r="P200" i="190"/>
  <c r="P200" i="191"/>
  <c r="P102" i="190"/>
  <c r="P102" i="191"/>
  <c r="P148" i="190"/>
  <c r="P148" i="191"/>
  <c r="P94" i="190"/>
  <c r="P94" i="191"/>
  <c r="P42" i="190"/>
  <c r="P42" i="191"/>
  <c r="P58" i="190"/>
  <c r="P58" i="191"/>
  <c r="P206" i="190"/>
  <c r="P206" i="191"/>
  <c r="P31" i="190"/>
  <c r="P31" i="191"/>
  <c r="P135" i="190"/>
  <c r="P135" i="191"/>
  <c r="P130" i="190"/>
  <c r="P130" i="191"/>
  <c r="P33" i="190"/>
  <c r="P33" i="191"/>
  <c r="P132" i="190"/>
  <c r="P132" i="191"/>
  <c r="P138" i="190"/>
  <c r="P138" i="191"/>
  <c r="P173" i="190"/>
  <c r="P173" i="191"/>
  <c r="P103" i="190"/>
  <c r="P103" i="191"/>
  <c r="P176" i="190"/>
  <c r="P176" i="191"/>
  <c r="P64" i="190"/>
  <c r="P64" i="191"/>
  <c r="P145" i="190"/>
  <c r="P145" i="191"/>
  <c r="P106" i="190"/>
  <c r="P106" i="191"/>
  <c r="P171" i="190"/>
  <c r="P171" i="191"/>
  <c r="P191" i="190"/>
  <c r="P191" i="191"/>
  <c r="P98" i="190"/>
  <c r="P98" i="191"/>
  <c r="P104" i="190"/>
  <c r="P104" i="191"/>
  <c r="P150" i="190"/>
  <c r="P150" i="191"/>
  <c r="P160" i="190"/>
  <c r="P160" i="191"/>
  <c r="P197" i="190"/>
  <c r="P197" i="191"/>
  <c r="P119" i="190"/>
  <c r="P119" i="191"/>
  <c r="P90" i="190"/>
  <c r="P90" i="191"/>
  <c r="P105" i="190"/>
  <c r="P105" i="191"/>
  <c r="P128" i="190"/>
  <c r="P128" i="191"/>
  <c r="P208" i="190"/>
  <c r="P208" i="191"/>
  <c r="P156" i="190"/>
  <c r="P156" i="191"/>
  <c r="P210" i="190"/>
  <c r="P210" i="191"/>
  <c r="P190" i="190"/>
  <c r="P190" i="191"/>
  <c r="P157" i="190"/>
  <c r="P157" i="191"/>
  <c r="P97" i="190"/>
  <c r="P97" i="191"/>
  <c r="P110" i="190"/>
  <c r="P110" i="191"/>
  <c r="P163" i="190"/>
  <c r="P163" i="191"/>
  <c r="P80" i="190"/>
  <c r="P80" i="191"/>
  <c r="P162" i="190"/>
  <c r="P162" i="191"/>
  <c r="P62" i="190"/>
  <c r="P62" i="191"/>
  <c r="P37" i="190"/>
  <c r="P37" i="191"/>
  <c r="P196" i="190"/>
  <c r="P196" i="191"/>
  <c r="P83" i="190"/>
  <c r="P83" i="191"/>
  <c r="P78" i="190"/>
  <c r="P78" i="191"/>
  <c r="P177" i="190"/>
  <c r="P177" i="191"/>
  <c r="P178" i="190"/>
  <c r="P178" i="191"/>
  <c r="P194" i="190"/>
  <c r="P194" i="191"/>
  <c r="P35" i="190"/>
  <c r="P35" i="191"/>
  <c r="P55" i="190"/>
  <c r="P55" i="191"/>
  <c r="P180" i="190"/>
  <c r="P180" i="191"/>
  <c r="P184" i="190"/>
  <c r="P184" i="191"/>
  <c r="P91" i="190"/>
  <c r="P91" i="191"/>
  <c r="P123" i="190"/>
  <c r="P123" i="191"/>
  <c r="P26" i="190"/>
  <c r="P26" i="191"/>
  <c r="P71" i="190"/>
  <c r="P71" i="191"/>
  <c r="P52" i="190"/>
  <c r="P52" i="191"/>
  <c r="P199" i="190"/>
  <c r="P199" i="191"/>
  <c r="P120" i="190"/>
  <c r="P120" i="191"/>
  <c r="P81" i="190"/>
  <c r="P81" i="191"/>
  <c r="P38" i="190"/>
  <c r="P38" i="191"/>
  <c r="P114" i="190"/>
  <c r="P114" i="191"/>
  <c r="P54" i="190"/>
  <c r="P54" i="191"/>
  <c r="P143" i="190"/>
  <c r="P143" i="191"/>
  <c r="P47" i="190"/>
  <c r="P47" i="191"/>
  <c r="P36" i="190"/>
  <c r="P36" i="191"/>
  <c r="P101" i="190"/>
  <c r="P101" i="191"/>
  <c r="P111" i="190"/>
  <c r="P111" i="191"/>
  <c r="P88" i="190"/>
  <c r="P88" i="191"/>
  <c r="P45" i="190"/>
  <c r="P45" i="191"/>
  <c r="P95" i="190"/>
  <c r="P95" i="191"/>
  <c r="P154" i="190"/>
  <c r="P154" i="191"/>
  <c r="P165" i="190"/>
  <c r="P165" i="191"/>
  <c r="P153" i="190"/>
  <c r="P153" i="191"/>
  <c r="P74" i="190"/>
  <c r="P74" i="191"/>
  <c r="P137" i="190"/>
  <c r="P137" i="191"/>
  <c r="P89" i="190"/>
  <c r="P89" i="191"/>
  <c r="P77" i="190"/>
  <c r="P77" i="191"/>
  <c r="P112" i="190"/>
  <c r="P112" i="191"/>
  <c r="P107" i="190"/>
  <c r="P107" i="191"/>
  <c r="P84" i="190"/>
  <c r="P84" i="191"/>
  <c r="P198" i="190"/>
  <c r="P198" i="191"/>
  <c r="P53" i="190"/>
  <c r="P53" i="191"/>
  <c r="P179" i="191"/>
  <c r="P179" i="165"/>
  <c r="P179" i="98"/>
  <c r="P179" i="15"/>
  <c r="P179" i="54"/>
  <c r="P179" i="95"/>
  <c r="P179" i="174"/>
  <c r="P179" i="94"/>
  <c r="P179" i="86"/>
  <c r="P179" i="89"/>
  <c r="P179" i="32"/>
  <c r="P179" i="103"/>
  <c r="P179" i="155"/>
  <c r="P179" i="43"/>
  <c r="P179" i="167"/>
  <c r="P179" i="84"/>
  <c r="P188" i="189"/>
  <c r="P188" i="190"/>
  <c r="P59" i="189"/>
  <c r="P59" i="190"/>
  <c r="P193" i="189"/>
  <c r="P193" i="190"/>
  <c r="P186" i="189"/>
  <c r="P186" i="190"/>
  <c r="P30" i="189"/>
  <c r="P30" i="190"/>
  <c r="P202" i="189"/>
  <c r="P202" i="190"/>
  <c r="P158" i="189"/>
  <c r="P158" i="190"/>
  <c r="P151" i="189"/>
  <c r="P151" i="190"/>
  <c r="P76" i="189"/>
  <c r="P76" i="190"/>
  <c r="P142" i="189"/>
  <c r="P142" i="190"/>
  <c r="P87" i="189"/>
  <c r="P87" i="190"/>
  <c r="P166" i="189"/>
  <c r="P166" i="190"/>
  <c r="P46" i="189"/>
  <c r="P46" i="190"/>
  <c r="P124" i="189"/>
  <c r="P124" i="190"/>
  <c r="P39" i="189"/>
  <c r="P39" i="190"/>
  <c r="P179" i="189"/>
  <c r="P179" i="190"/>
  <c r="P175" i="189"/>
  <c r="P175" i="190"/>
  <c r="P155" i="189"/>
  <c r="P155" i="190"/>
  <c r="P147" i="189"/>
  <c r="P147" i="190"/>
  <c r="P164" i="189"/>
  <c r="P164" i="190"/>
  <c r="P92" i="189"/>
  <c r="P92" i="190"/>
  <c r="P44" i="189"/>
  <c r="P44" i="190"/>
  <c r="P34" i="189"/>
  <c r="P34" i="190"/>
  <c r="P41" i="189"/>
  <c r="P41" i="190"/>
  <c r="P207" i="189"/>
  <c r="P207" i="190"/>
  <c r="P179" i="50"/>
  <c r="P179" i="113"/>
  <c r="P179" i="60"/>
  <c r="P179" i="136"/>
  <c r="P179" i="71"/>
  <c r="P179" i="64"/>
  <c r="P179" i="164"/>
  <c r="P179" i="63"/>
  <c r="P179" i="27"/>
  <c r="P179" i="28"/>
  <c r="P179" i="92"/>
  <c r="P179" i="178"/>
  <c r="P179" i="53"/>
  <c r="P179" i="38"/>
  <c r="P179" i="90"/>
  <c r="P179" i="1"/>
  <c r="P179" i="156"/>
  <c r="P179" i="106"/>
  <c r="P205" i="189"/>
  <c r="P205" i="190"/>
  <c r="P161" i="189"/>
  <c r="P161" i="190"/>
  <c r="P201" i="189"/>
  <c r="P201" i="190"/>
  <c r="P182" i="189"/>
  <c r="P182" i="190"/>
  <c r="P57" i="189"/>
  <c r="P57" i="190"/>
  <c r="P152" i="189"/>
  <c r="P152" i="190"/>
  <c r="P179" i="181"/>
  <c r="P179" i="37"/>
  <c r="P179" i="72"/>
  <c r="P179" i="157"/>
  <c r="P179" i="14"/>
  <c r="P179" i="175"/>
  <c r="P179" i="104"/>
  <c r="P179" i="19"/>
  <c r="P179" i="16"/>
  <c r="P179" i="141"/>
  <c r="P179" i="33"/>
  <c r="P179" i="102"/>
  <c r="P179" i="39"/>
  <c r="P179" i="87"/>
  <c r="P179" i="47"/>
  <c r="P179" i="31"/>
  <c r="P179" i="120"/>
  <c r="P179" i="57"/>
  <c r="P82" i="188"/>
  <c r="P82" i="189"/>
  <c r="P72" i="188"/>
  <c r="P72" i="189"/>
  <c r="P60" i="188"/>
  <c r="P60" i="189"/>
  <c r="P183" i="188"/>
  <c r="P183" i="189"/>
  <c r="P187" i="188"/>
  <c r="P187" i="189"/>
  <c r="P211" i="188"/>
  <c r="P211" i="189"/>
  <c r="P73" i="188"/>
  <c r="P73" i="189"/>
  <c r="P141" i="188"/>
  <c r="P141" i="189"/>
  <c r="P75" i="188"/>
  <c r="P75" i="189"/>
  <c r="P115" i="188"/>
  <c r="P115" i="189"/>
  <c r="P146" i="188"/>
  <c r="P146" i="189"/>
  <c r="P185" i="188"/>
  <c r="P185" i="189"/>
  <c r="P79" i="188"/>
  <c r="P79" i="189"/>
  <c r="P61" i="188"/>
  <c r="P61" i="189"/>
  <c r="P113" i="188"/>
  <c r="P113" i="189"/>
  <c r="P122" i="188"/>
  <c r="P122" i="189"/>
  <c r="P174" i="188"/>
  <c r="P174" i="189"/>
  <c r="P129" i="188"/>
  <c r="P129" i="189"/>
  <c r="P93" i="188"/>
  <c r="P93" i="189"/>
  <c r="P134" i="188"/>
  <c r="P134" i="189"/>
  <c r="P192" i="188"/>
  <c r="P192" i="189"/>
  <c r="P63" i="188"/>
  <c r="P63" i="189"/>
  <c r="P172" i="188"/>
  <c r="P172" i="189"/>
  <c r="P96" i="188"/>
  <c r="P96" i="189"/>
  <c r="P121" i="188"/>
  <c r="P121" i="189"/>
  <c r="P43" i="188"/>
  <c r="P43" i="189"/>
  <c r="P189" i="188"/>
  <c r="P189" i="189"/>
  <c r="P140" i="188"/>
  <c r="P140" i="189"/>
  <c r="P32" i="188"/>
  <c r="P32" i="189"/>
  <c r="P170" i="188"/>
  <c r="P170" i="189"/>
  <c r="P169" i="188"/>
  <c r="P169" i="189"/>
  <c r="P49" i="188"/>
  <c r="P49" i="189"/>
  <c r="P116" i="188"/>
  <c r="P116" i="189"/>
  <c r="P70" i="188"/>
  <c r="P70" i="189"/>
  <c r="P136" i="188"/>
  <c r="P136" i="189"/>
  <c r="P56" i="188"/>
  <c r="P56" i="189"/>
  <c r="P195" i="188"/>
  <c r="P195" i="189"/>
  <c r="P131" i="188"/>
  <c r="P131" i="189"/>
  <c r="P40" i="188"/>
  <c r="P40" i="189"/>
  <c r="P200" i="188"/>
  <c r="P200" i="189"/>
  <c r="P102" i="188"/>
  <c r="P102" i="189"/>
  <c r="P148" i="188"/>
  <c r="P148" i="189"/>
  <c r="P94" i="188"/>
  <c r="P94" i="189"/>
  <c r="P42" i="188"/>
  <c r="P42" i="189"/>
  <c r="P58" i="188"/>
  <c r="P58" i="189"/>
  <c r="P206" i="188"/>
  <c r="P206" i="189"/>
  <c r="P31" i="188"/>
  <c r="P31" i="189"/>
  <c r="P135" i="188"/>
  <c r="P135" i="189"/>
  <c r="P130" i="188"/>
  <c r="P130" i="189"/>
  <c r="P33" i="188"/>
  <c r="P33" i="189"/>
  <c r="P132" i="188"/>
  <c r="P132" i="189"/>
  <c r="P138" i="188"/>
  <c r="P138" i="189"/>
  <c r="P173" i="188"/>
  <c r="P173" i="189"/>
  <c r="P103" i="188"/>
  <c r="P103" i="189"/>
  <c r="P176" i="188"/>
  <c r="P176" i="189"/>
  <c r="P64" i="188"/>
  <c r="P64" i="189"/>
  <c r="P145" i="188"/>
  <c r="P145" i="189"/>
  <c r="P106" i="188"/>
  <c r="P106" i="189"/>
  <c r="P171" i="188"/>
  <c r="P171" i="189"/>
  <c r="P191" i="188"/>
  <c r="P191" i="189"/>
  <c r="P51" i="188"/>
  <c r="P51" i="189"/>
  <c r="P209" i="188"/>
  <c r="P209" i="189"/>
  <c r="P48" i="188"/>
  <c r="P48" i="189"/>
  <c r="P50" i="188"/>
  <c r="P50" i="189"/>
  <c r="P181" i="188"/>
  <c r="P181" i="189"/>
  <c r="P98" i="188"/>
  <c r="P98" i="189"/>
  <c r="P104" i="188"/>
  <c r="P104" i="189"/>
  <c r="P150" i="188"/>
  <c r="P150" i="189"/>
  <c r="P160" i="188"/>
  <c r="P160" i="189"/>
  <c r="P197" i="188"/>
  <c r="P197" i="189"/>
  <c r="P119" i="188"/>
  <c r="P119" i="189"/>
  <c r="P90" i="188"/>
  <c r="P90" i="189"/>
  <c r="P105" i="188"/>
  <c r="P105" i="189"/>
  <c r="P128" i="188"/>
  <c r="P128" i="189"/>
  <c r="P208" i="188"/>
  <c r="P208" i="189"/>
  <c r="P156" i="188"/>
  <c r="P156" i="189"/>
  <c r="P210" i="188"/>
  <c r="P210" i="189"/>
  <c r="P190" i="188"/>
  <c r="P190" i="189"/>
  <c r="P157" i="188"/>
  <c r="P157" i="189"/>
  <c r="P97" i="188"/>
  <c r="P97" i="189"/>
  <c r="P110" i="188"/>
  <c r="P110" i="189"/>
  <c r="P163" i="188"/>
  <c r="P163" i="189"/>
  <c r="P80" i="188"/>
  <c r="P80" i="189"/>
  <c r="P162" i="188"/>
  <c r="P162" i="189"/>
  <c r="P62" i="188"/>
  <c r="P62" i="189"/>
  <c r="P37" i="188"/>
  <c r="P37" i="189"/>
  <c r="P196" i="188"/>
  <c r="P196" i="189"/>
  <c r="P83" i="188"/>
  <c r="P83" i="189"/>
  <c r="P78" i="188"/>
  <c r="P78" i="189"/>
  <c r="P177" i="188"/>
  <c r="P177" i="189"/>
  <c r="P178" i="188"/>
  <c r="P178" i="189"/>
  <c r="P194" i="188"/>
  <c r="P194" i="189"/>
  <c r="P35" i="188"/>
  <c r="P35" i="189"/>
  <c r="P55" i="188"/>
  <c r="P55" i="189"/>
  <c r="P180" i="188"/>
  <c r="P180" i="189"/>
  <c r="P184" i="188"/>
  <c r="P184" i="189"/>
  <c r="P91" i="188"/>
  <c r="P91" i="189"/>
  <c r="P123" i="188"/>
  <c r="P123" i="189"/>
  <c r="P26" i="188"/>
  <c r="P26" i="189"/>
  <c r="P71" i="188"/>
  <c r="P71" i="189"/>
  <c r="P52" i="188"/>
  <c r="P52" i="189"/>
  <c r="P199" i="188"/>
  <c r="P199" i="189"/>
  <c r="P120" i="188"/>
  <c r="P120" i="189"/>
  <c r="P81" i="188"/>
  <c r="P81" i="189"/>
  <c r="P38" i="188"/>
  <c r="P38" i="189"/>
  <c r="P114" i="188"/>
  <c r="P114" i="189"/>
  <c r="P54" i="188"/>
  <c r="P54" i="189"/>
  <c r="P143" i="188"/>
  <c r="P143" i="189"/>
  <c r="P47" i="188"/>
  <c r="P47" i="189"/>
  <c r="P36" i="188"/>
  <c r="P36" i="189"/>
  <c r="P101" i="188"/>
  <c r="P101" i="189"/>
  <c r="P111" i="188"/>
  <c r="P111" i="189"/>
  <c r="P88" i="188"/>
  <c r="P88" i="189"/>
  <c r="P45" i="188"/>
  <c r="P45" i="189"/>
  <c r="P95" i="188"/>
  <c r="P95" i="189"/>
  <c r="P154" i="188"/>
  <c r="P154" i="189"/>
  <c r="P165" i="188"/>
  <c r="P165" i="189"/>
  <c r="P153" i="188"/>
  <c r="P153" i="189"/>
  <c r="P74" i="188"/>
  <c r="P74" i="189"/>
  <c r="P137" i="188"/>
  <c r="P137" i="189"/>
  <c r="P89" i="188"/>
  <c r="P89" i="189"/>
  <c r="P77" i="188"/>
  <c r="P77" i="189"/>
  <c r="P112" i="188"/>
  <c r="P112" i="189"/>
  <c r="P107" i="188"/>
  <c r="P107" i="189"/>
  <c r="P84" i="188"/>
  <c r="P84" i="189"/>
  <c r="P198" i="188"/>
  <c r="P198" i="189"/>
  <c r="P53" i="188"/>
  <c r="P53" i="189"/>
  <c r="P166" i="186"/>
  <c r="P166" i="188"/>
  <c r="P188" i="186"/>
  <c r="P188" i="188"/>
  <c r="P59" i="186"/>
  <c r="P59" i="188"/>
  <c r="P193" i="186"/>
  <c r="P193" i="188"/>
  <c r="P186" i="186"/>
  <c r="P186" i="188"/>
  <c r="P30" i="186"/>
  <c r="P30" i="188"/>
  <c r="P202" i="186"/>
  <c r="P202" i="188"/>
  <c r="P158" i="186"/>
  <c r="P158" i="188"/>
  <c r="P39" i="186"/>
  <c r="P39" i="188"/>
  <c r="P179" i="183"/>
  <c r="P179" i="188"/>
  <c r="P151" i="186"/>
  <c r="P151" i="188"/>
  <c r="P76" i="186"/>
  <c r="P76" i="188"/>
  <c r="P142" i="186"/>
  <c r="P142" i="188"/>
  <c r="P124" i="186"/>
  <c r="P124" i="188"/>
  <c r="P175" i="186"/>
  <c r="P175" i="188"/>
  <c r="P155" i="186"/>
  <c r="P155" i="188"/>
  <c r="P147" i="186"/>
  <c r="P147" i="188"/>
  <c r="P164" i="186"/>
  <c r="P164" i="188"/>
  <c r="P92" i="186"/>
  <c r="P92" i="188"/>
  <c r="P44" i="186"/>
  <c r="P44" i="188"/>
  <c r="P34" i="186"/>
  <c r="P34" i="188"/>
  <c r="P41" i="186"/>
  <c r="P41" i="188"/>
  <c r="P207" i="186"/>
  <c r="P207" i="188"/>
  <c r="P87" i="186"/>
  <c r="P87" i="188"/>
  <c r="P46" i="186"/>
  <c r="P46" i="188"/>
  <c r="P205" i="186"/>
  <c r="P205" i="188"/>
  <c r="P161" i="186"/>
  <c r="P161" i="188"/>
  <c r="P201" i="186"/>
  <c r="P201" i="188"/>
  <c r="P182" i="186"/>
  <c r="P182" i="188"/>
  <c r="P57" i="186"/>
  <c r="P57" i="188"/>
  <c r="P152" i="186"/>
  <c r="P152" i="188"/>
  <c r="P179" i="66"/>
  <c r="P179" i="62"/>
  <c r="P179" i="21"/>
  <c r="P179" i="152"/>
  <c r="P179" i="58"/>
  <c r="P179" i="25"/>
  <c r="P120" i="185"/>
  <c r="P120" i="186"/>
  <c r="P101" i="185"/>
  <c r="P101" i="186"/>
  <c r="P74" i="185"/>
  <c r="P74" i="186"/>
  <c r="P112" i="185"/>
  <c r="P112" i="186"/>
  <c r="P107" i="185"/>
  <c r="P107" i="186"/>
  <c r="P84" i="185"/>
  <c r="P84" i="186"/>
  <c r="P48" i="185"/>
  <c r="P48" i="186"/>
  <c r="P123" i="185"/>
  <c r="P123" i="186"/>
  <c r="P71" i="185"/>
  <c r="P71" i="186"/>
  <c r="P81" i="185"/>
  <c r="P81" i="186"/>
  <c r="P114" i="185"/>
  <c r="P114" i="186"/>
  <c r="P36" i="185"/>
  <c r="P36" i="186"/>
  <c r="P45" i="185"/>
  <c r="P45" i="186"/>
  <c r="P165" i="185"/>
  <c r="P165" i="186"/>
  <c r="P89" i="185"/>
  <c r="P89" i="186"/>
  <c r="P82" i="185"/>
  <c r="P82" i="186"/>
  <c r="P72" i="185"/>
  <c r="P72" i="186"/>
  <c r="P60" i="185"/>
  <c r="P60" i="186"/>
  <c r="P183" i="185"/>
  <c r="P183" i="186"/>
  <c r="P187" i="185"/>
  <c r="P187" i="186"/>
  <c r="P211" i="185"/>
  <c r="P211" i="186"/>
  <c r="P73" i="185"/>
  <c r="P73" i="186"/>
  <c r="P141" i="185"/>
  <c r="P141" i="186"/>
  <c r="P75" i="185"/>
  <c r="P75" i="186"/>
  <c r="P115" i="185"/>
  <c r="P115" i="186"/>
  <c r="P146" i="185"/>
  <c r="P146" i="186"/>
  <c r="P185" i="185"/>
  <c r="P185" i="186"/>
  <c r="P79" i="185"/>
  <c r="P79" i="186"/>
  <c r="P61" i="185"/>
  <c r="P61" i="186"/>
  <c r="P113" i="185"/>
  <c r="P113" i="186"/>
  <c r="P122" i="185"/>
  <c r="P122" i="186"/>
  <c r="P174" i="185"/>
  <c r="P174" i="186"/>
  <c r="P129" i="185"/>
  <c r="P129" i="186"/>
  <c r="P93" i="185"/>
  <c r="P93" i="186"/>
  <c r="P134" i="185"/>
  <c r="P134" i="186"/>
  <c r="P192" i="185"/>
  <c r="P192" i="186"/>
  <c r="P63" i="185"/>
  <c r="P63" i="186"/>
  <c r="P172" i="185"/>
  <c r="P172" i="186"/>
  <c r="P96" i="185"/>
  <c r="P96" i="186"/>
  <c r="P121" i="185"/>
  <c r="P121" i="186"/>
  <c r="P43" i="185"/>
  <c r="P43" i="186"/>
  <c r="P189" i="185"/>
  <c r="P189" i="186"/>
  <c r="P140" i="185"/>
  <c r="P140" i="186"/>
  <c r="P32" i="185"/>
  <c r="P32" i="186"/>
  <c r="P170" i="185"/>
  <c r="P170" i="186"/>
  <c r="P55" i="185"/>
  <c r="P55" i="186"/>
  <c r="P50" i="185"/>
  <c r="P50" i="186"/>
  <c r="P181" i="185"/>
  <c r="P181" i="186"/>
  <c r="P91" i="185"/>
  <c r="P91" i="186"/>
  <c r="P52" i="185"/>
  <c r="P52" i="186"/>
  <c r="P54" i="185"/>
  <c r="P54" i="186"/>
  <c r="P47" i="185"/>
  <c r="P47" i="186"/>
  <c r="P88" i="185"/>
  <c r="P88" i="186"/>
  <c r="P154" i="185"/>
  <c r="P154" i="186"/>
  <c r="P137" i="185"/>
  <c r="P137" i="186"/>
  <c r="P116" i="185"/>
  <c r="P116" i="186"/>
  <c r="P136" i="185"/>
  <c r="P136" i="186"/>
  <c r="P195" i="185"/>
  <c r="P195" i="186"/>
  <c r="P40" i="185"/>
  <c r="P40" i="186"/>
  <c r="P102" i="185"/>
  <c r="P102" i="186"/>
  <c r="P94" i="185"/>
  <c r="P94" i="186"/>
  <c r="P58" i="185"/>
  <c r="P58" i="186"/>
  <c r="P31" i="185"/>
  <c r="P31" i="186"/>
  <c r="P130" i="185"/>
  <c r="P130" i="186"/>
  <c r="P132" i="185"/>
  <c r="P132" i="186"/>
  <c r="P173" i="185"/>
  <c r="P173" i="186"/>
  <c r="P176" i="185"/>
  <c r="P176" i="186"/>
  <c r="P145" i="185"/>
  <c r="P145" i="186"/>
  <c r="P106" i="185"/>
  <c r="P106" i="186"/>
  <c r="P171" i="185"/>
  <c r="P171" i="186"/>
  <c r="P191" i="185"/>
  <c r="P191" i="186"/>
  <c r="P51" i="185"/>
  <c r="P51" i="186"/>
  <c r="P209" i="185"/>
  <c r="P209" i="186"/>
  <c r="P198" i="185"/>
  <c r="P198" i="186"/>
  <c r="P53" i="185"/>
  <c r="P53" i="186"/>
  <c r="P180" i="185"/>
  <c r="P180" i="186"/>
  <c r="P184" i="185"/>
  <c r="P184" i="186"/>
  <c r="P26" i="185"/>
  <c r="P26" i="186"/>
  <c r="P199" i="185"/>
  <c r="P199" i="186"/>
  <c r="P38" i="185"/>
  <c r="P38" i="186"/>
  <c r="P143" i="185"/>
  <c r="P143" i="186"/>
  <c r="P111" i="185"/>
  <c r="P111" i="186"/>
  <c r="P95" i="185"/>
  <c r="P95" i="186"/>
  <c r="P153" i="185"/>
  <c r="P153" i="186"/>
  <c r="P77" i="185"/>
  <c r="P77" i="186"/>
  <c r="P70" i="185"/>
  <c r="P70" i="186"/>
  <c r="P56" i="185"/>
  <c r="P56" i="186"/>
  <c r="P131" i="185"/>
  <c r="P131" i="186"/>
  <c r="P200" i="185"/>
  <c r="P200" i="186"/>
  <c r="P148" i="185"/>
  <c r="P148" i="186"/>
  <c r="P42" i="185"/>
  <c r="P42" i="186"/>
  <c r="P206" i="185"/>
  <c r="P206" i="186"/>
  <c r="P135" i="185"/>
  <c r="P135" i="186"/>
  <c r="P33" i="185"/>
  <c r="P33" i="186"/>
  <c r="P138" i="185"/>
  <c r="P138" i="186"/>
  <c r="P103" i="185"/>
  <c r="P103" i="186"/>
  <c r="P64" i="185"/>
  <c r="P64" i="186"/>
  <c r="P98" i="185"/>
  <c r="P98" i="186"/>
  <c r="P104" i="185"/>
  <c r="P104" i="186"/>
  <c r="P150" i="185"/>
  <c r="P150" i="186"/>
  <c r="P160" i="185"/>
  <c r="P160" i="186"/>
  <c r="P197" i="185"/>
  <c r="P197" i="186"/>
  <c r="P119" i="185"/>
  <c r="P119" i="186"/>
  <c r="P90" i="185"/>
  <c r="P90" i="186"/>
  <c r="P105" i="185"/>
  <c r="P105" i="186"/>
  <c r="P128" i="185"/>
  <c r="P128" i="186"/>
  <c r="P208" i="185"/>
  <c r="P208" i="186"/>
  <c r="P156" i="185"/>
  <c r="P156" i="186"/>
  <c r="P210" i="185"/>
  <c r="P210" i="186"/>
  <c r="P190" i="185"/>
  <c r="P190" i="186"/>
  <c r="P157" i="185"/>
  <c r="P157" i="186"/>
  <c r="P97" i="185"/>
  <c r="P97" i="186"/>
  <c r="P110" i="185"/>
  <c r="P110" i="186"/>
  <c r="P163" i="185"/>
  <c r="P163" i="186"/>
  <c r="P80" i="185"/>
  <c r="P80" i="186"/>
  <c r="P162" i="185"/>
  <c r="P162" i="186"/>
  <c r="P62" i="185"/>
  <c r="P62" i="186"/>
  <c r="P37" i="185"/>
  <c r="P37" i="186"/>
  <c r="P196" i="185"/>
  <c r="P196" i="186"/>
  <c r="P83" i="185"/>
  <c r="P83" i="186"/>
  <c r="P78" i="185"/>
  <c r="P78" i="186"/>
  <c r="P177" i="185"/>
  <c r="P177" i="186"/>
  <c r="P178" i="185"/>
  <c r="P178" i="186"/>
  <c r="P194" i="185"/>
  <c r="P194" i="186"/>
  <c r="P35" i="185"/>
  <c r="P35" i="186"/>
  <c r="P169" i="185"/>
  <c r="P169" i="186"/>
  <c r="P49" i="185"/>
  <c r="P49" i="186"/>
  <c r="P179" i="180"/>
  <c r="P179" i="186"/>
  <c r="P188" i="184"/>
  <c r="P188" i="185"/>
  <c r="P59" i="184"/>
  <c r="P59" i="185"/>
  <c r="P193" i="184"/>
  <c r="P193" i="185"/>
  <c r="P186" i="184"/>
  <c r="P186" i="185"/>
  <c r="P30" i="184"/>
  <c r="P30" i="185"/>
  <c r="P202" i="184"/>
  <c r="P202" i="185"/>
  <c r="P158" i="184"/>
  <c r="P158" i="185"/>
  <c r="P151" i="184"/>
  <c r="P151" i="185"/>
  <c r="P76" i="184"/>
  <c r="P76" i="185"/>
  <c r="P142" i="184"/>
  <c r="P142" i="185"/>
  <c r="P87" i="184"/>
  <c r="P87" i="185"/>
  <c r="P166" i="184"/>
  <c r="P166" i="185"/>
  <c r="P46" i="184"/>
  <c r="P46" i="185"/>
  <c r="P124" i="184"/>
  <c r="P124" i="185"/>
  <c r="P39" i="184"/>
  <c r="P39" i="185"/>
  <c r="P179" i="184"/>
  <c r="P179" i="185"/>
  <c r="P175" i="184"/>
  <c r="P175" i="185"/>
  <c r="P155" i="184"/>
  <c r="P155" i="185"/>
  <c r="P147" i="184"/>
  <c r="P147" i="185"/>
  <c r="P164" i="184"/>
  <c r="P164" i="185"/>
  <c r="P92" i="184"/>
  <c r="P92" i="185"/>
  <c r="P44" i="184"/>
  <c r="P44" i="185"/>
  <c r="P34" i="184"/>
  <c r="P34" i="185"/>
  <c r="P41" i="184"/>
  <c r="P41" i="185"/>
  <c r="P207" i="184"/>
  <c r="P207" i="185"/>
  <c r="P205" i="184"/>
  <c r="P205" i="185"/>
  <c r="P161" i="184"/>
  <c r="P161" i="185"/>
  <c r="P201" i="184"/>
  <c r="P201" i="185"/>
  <c r="P182" i="184"/>
  <c r="P182" i="185"/>
  <c r="P57" i="184"/>
  <c r="P57" i="185"/>
  <c r="P152" i="184"/>
  <c r="P152" i="185"/>
  <c r="P181" i="184"/>
  <c r="P181" i="183"/>
  <c r="P181" i="19"/>
  <c r="P181" i="175"/>
  <c r="P181" i="14"/>
  <c r="P181" i="54"/>
  <c r="P181" i="159"/>
  <c r="P181" i="1"/>
  <c r="P181" i="64"/>
  <c r="P181" i="133"/>
  <c r="P181" i="72"/>
  <c r="P181" i="174"/>
  <c r="P181" i="38"/>
  <c r="P181" i="47"/>
  <c r="P181" i="32"/>
  <c r="P181" i="87"/>
  <c r="P181" i="102"/>
  <c r="P181" i="164"/>
  <c r="P181" i="15"/>
  <c r="P181" i="135"/>
  <c r="P181" i="178"/>
  <c r="P181" i="31"/>
  <c r="P181" i="42"/>
  <c r="P181" i="106"/>
  <c r="P181" i="119"/>
  <c r="P181" i="21"/>
  <c r="P181" i="68"/>
  <c r="P181" i="156"/>
  <c r="P181" i="83"/>
  <c r="P181" i="27"/>
  <c r="P181" i="25"/>
  <c r="P181" i="145"/>
  <c r="P181" i="98"/>
  <c r="P181" i="60"/>
  <c r="P181" i="111"/>
  <c r="P181" i="85"/>
  <c r="P181" i="63"/>
  <c r="P181" i="152"/>
  <c r="P181" i="55"/>
  <c r="P181" i="155"/>
  <c r="P181" i="165"/>
  <c r="P181" i="49"/>
  <c r="P181" i="90"/>
  <c r="P181" i="39"/>
  <c r="P181" i="177"/>
  <c r="P181" i="20"/>
  <c r="P181" i="37"/>
  <c r="P181" i="141"/>
  <c r="P181" i="50"/>
  <c r="P181" i="71"/>
  <c r="P181" i="136"/>
  <c r="P181" i="118"/>
  <c r="P181" i="89"/>
  <c r="P181" i="46"/>
  <c r="P181" i="58"/>
  <c r="P181" i="95"/>
  <c r="P181" i="33"/>
  <c r="P181" i="53"/>
  <c r="P181" i="79"/>
  <c r="P181" i="181"/>
  <c r="P181" i="167"/>
  <c r="P181" i="16"/>
  <c r="P181" i="120"/>
  <c r="P181" i="92"/>
  <c r="P181" i="150"/>
  <c r="P181" i="157"/>
  <c r="P181" i="104"/>
  <c r="P181" i="62"/>
  <c r="P181" i="57"/>
  <c r="P181" i="84"/>
  <c r="P181" i="158"/>
  <c r="P181" i="142"/>
  <c r="P181" i="28"/>
  <c r="P181" i="113"/>
  <c r="P181" i="65"/>
  <c r="P181" i="43"/>
  <c r="P181" i="66"/>
  <c r="P181" i="94"/>
  <c r="P181" i="24"/>
  <c r="P181" i="86"/>
  <c r="P180" i="65"/>
  <c r="P180" i="177"/>
  <c r="P180" i="14"/>
  <c r="P180" i="89"/>
  <c r="P180" i="15"/>
  <c r="P180" i="120"/>
  <c r="P180" i="31"/>
  <c r="P180" i="152"/>
  <c r="P180" i="38"/>
  <c r="P180" i="103"/>
  <c r="P180" i="20"/>
  <c r="P180" i="141"/>
  <c r="P180" i="178"/>
  <c r="P180" i="42"/>
  <c r="P180" i="156"/>
  <c r="P180" i="159"/>
  <c r="P180" i="174"/>
  <c r="P180" i="142"/>
  <c r="P180" i="64"/>
  <c r="P180" i="183"/>
  <c r="P180" i="63"/>
  <c r="P180" i="85"/>
  <c r="P180" i="119"/>
  <c r="P180" i="155"/>
  <c r="P180" i="49"/>
  <c r="P180" i="33"/>
  <c r="P180" i="32"/>
  <c r="P180" i="55"/>
  <c r="P180" i="71"/>
  <c r="P180" i="133"/>
  <c r="P180" i="21"/>
  <c r="P180" i="19"/>
  <c r="P180" i="145"/>
  <c r="P180" i="25"/>
  <c r="P180" i="136"/>
  <c r="P180" i="83"/>
  <c r="P180" i="28"/>
  <c r="P180" i="57"/>
  <c r="P180" i="106"/>
  <c r="P180" i="184"/>
  <c r="P180" i="180"/>
  <c r="P180" i="84"/>
  <c r="P180" i="68"/>
  <c r="P180" i="164"/>
  <c r="P180" i="158"/>
  <c r="P180" i="102"/>
  <c r="P180" i="150"/>
  <c r="P180" i="24"/>
  <c r="P180" i="50"/>
  <c r="P180" i="66"/>
  <c r="P180" i="60"/>
  <c r="P180" i="46"/>
  <c r="P180" i="98"/>
  <c r="P180" i="157"/>
  <c r="P180" i="87"/>
  <c r="P180" i="92"/>
  <c r="P180" i="62"/>
  <c r="P180" i="90"/>
  <c r="P180" i="39"/>
  <c r="P180" i="111"/>
  <c r="P180" i="165"/>
  <c r="P180" i="181"/>
  <c r="P180" i="175"/>
  <c r="P180" i="1"/>
  <c r="P180" i="94"/>
  <c r="P180" i="54"/>
  <c r="P180" i="95"/>
  <c r="P180" i="113"/>
  <c r="P180" i="79"/>
  <c r="P180" i="27"/>
  <c r="P180" i="16"/>
  <c r="P180" i="43"/>
  <c r="P180" i="53"/>
  <c r="P180" i="58"/>
  <c r="P180" i="86"/>
  <c r="P180" i="104"/>
  <c r="P180" i="47"/>
  <c r="P180" i="118"/>
  <c r="P180" i="167"/>
  <c r="P180" i="135"/>
  <c r="P180" i="72"/>
  <c r="P180" i="37"/>
  <c r="P184" i="184"/>
  <c r="P184" i="37"/>
  <c r="P184" i="20"/>
  <c r="P184" i="72"/>
  <c r="P184" i="43"/>
  <c r="P184" i="60"/>
  <c r="P184" i="71"/>
  <c r="P184" i="21"/>
  <c r="P184" i="49"/>
  <c r="P184" i="64"/>
  <c r="P184" i="119"/>
  <c r="P184" i="157"/>
  <c r="P184" i="14"/>
  <c r="P184" i="1"/>
  <c r="P184" i="98"/>
  <c r="P184" i="55"/>
  <c r="P184" i="150"/>
  <c r="P184" i="63"/>
  <c r="P184" i="111"/>
  <c r="P184" i="42"/>
  <c r="P184" i="181"/>
  <c r="P184" i="28"/>
  <c r="P184" i="158"/>
  <c r="P184" i="66"/>
  <c r="P184" i="86"/>
  <c r="P184" i="167"/>
  <c r="P184" i="38"/>
  <c r="P184" i="159"/>
  <c r="P184" i="89"/>
  <c r="P184" i="31"/>
  <c r="P184" i="87"/>
  <c r="P184" i="47"/>
  <c r="P184" i="54"/>
  <c r="P184" i="113"/>
  <c r="P184" i="135"/>
  <c r="P184" i="118"/>
  <c r="P184" i="46"/>
  <c r="P184" i="104"/>
  <c r="P184" i="85"/>
  <c r="P184" i="16"/>
  <c r="P184" i="15"/>
  <c r="P184" i="177"/>
  <c r="P184" i="65"/>
  <c r="P184" i="183"/>
  <c r="P184" i="178"/>
  <c r="P184" i="95"/>
  <c r="P184" i="19"/>
  <c r="P184" i="142"/>
  <c r="P184" i="102"/>
  <c r="P184" i="39"/>
  <c r="P184" i="156"/>
  <c r="P184" i="106"/>
  <c r="P184" i="165"/>
  <c r="P184" i="83"/>
  <c r="P184" i="32"/>
  <c r="P184" i="164"/>
  <c r="P184" i="53"/>
  <c r="P184" i="174"/>
  <c r="P184" i="141"/>
  <c r="P184" i="94"/>
  <c r="P184" i="24"/>
  <c r="P184" i="155"/>
  <c r="P184" i="90"/>
  <c r="P184" i="175"/>
  <c r="P184" i="180"/>
  <c r="P184" i="152"/>
  <c r="P184" i="25"/>
  <c r="P184" i="68"/>
  <c r="P184" i="92"/>
  <c r="P184" i="103"/>
  <c r="P184" i="136"/>
  <c r="P184" i="57"/>
  <c r="P184" i="50"/>
  <c r="P184" i="84"/>
  <c r="P184" i="62"/>
  <c r="P184" i="145"/>
  <c r="P184" i="120"/>
  <c r="P184" i="58"/>
  <c r="P184" i="27"/>
  <c r="P184" i="79"/>
  <c r="P184" i="33"/>
  <c r="P184" i="133"/>
  <c r="P50" i="184"/>
  <c r="P50" i="180"/>
  <c r="P50" i="155"/>
  <c r="P50" i="174"/>
  <c r="P50" i="42"/>
  <c r="P50" i="43"/>
  <c r="P50" i="94"/>
  <c r="P50" i="103"/>
  <c r="P50" i="165"/>
  <c r="P50" i="84"/>
  <c r="P50" i="102"/>
  <c r="P50" i="31"/>
  <c r="P50" i="47"/>
  <c r="P50" i="106"/>
  <c r="P50" i="133"/>
  <c r="P50" i="150"/>
  <c r="P50" i="27"/>
  <c r="P50" i="156"/>
  <c r="P50" i="111"/>
  <c r="P50" i="20"/>
  <c r="P50" i="68"/>
  <c r="P50" i="64"/>
  <c r="P50" i="181"/>
  <c r="P50" i="63"/>
  <c r="P50" i="60"/>
  <c r="P50" i="58"/>
  <c r="P50" i="175"/>
  <c r="P50" i="136"/>
  <c r="P50" i="98"/>
  <c r="P50" i="66"/>
  <c r="P50" i="87"/>
  <c r="P50" i="158"/>
  <c r="P50" i="178"/>
  <c r="P50" i="15"/>
  <c r="P50" i="14"/>
  <c r="P50" i="89"/>
  <c r="P50" i="53"/>
  <c r="P50" i="39"/>
  <c r="P50" i="85"/>
  <c r="P50" i="16"/>
  <c r="P50" i="135"/>
  <c r="P50" i="33"/>
  <c r="P50" i="28"/>
  <c r="P50" i="54"/>
  <c r="P50" i="177"/>
  <c r="P50" i="55"/>
  <c r="P50" i="152"/>
  <c r="P50" i="32"/>
  <c r="P50" i="142"/>
  <c r="P50" i="24"/>
  <c r="P50" i="141"/>
  <c r="P50" i="57"/>
  <c r="P50" i="92"/>
  <c r="P50" i="21"/>
  <c r="P50" i="25"/>
  <c r="P50" i="65"/>
  <c r="P50" i="38"/>
  <c r="P50" i="113"/>
  <c r="P50" i="71"/>
  <c r="P50" i="157"/>
  <c r="P50" i="86"/>
  <c r="P50" i="79"/>
  <c r="P50" i="183"/>
  <c r="P50" i="37"/>
  <c r="P50" i="145"/>
  <c r="P50" i="119"/>
  <c r="P50" i="46"/>
  <c r="P50" i="19"/>
  <c r="P50" i="90"/>
  <c r="P50" i="1"/>
  <c r="P50" i="95"/>
  <c r="P50" i="104"/>
  <c r="P50" i="167"/>
  <c r="P50" i="164"/>
  <c r="P50" i="62"/>
  <c r="P50" i="120"/>
  <c r="P50" i="50"/>
  <c r="P50" i="118"/>
  <c r="P50" i="159"/>
  <c r="P50" i="49"/>
  <c r="P50" i="72"/>
  <c r="P50" i="83"/>
  <c r="P116" i="183"/>
  <c r="P116" i="184"/>
  <c r="P70" i="183"/>
  <c r="P70" i="184"/>
  <c r="P136" i="183"/>
  <c r="P136" i="184"/>
  <c r="P56" i="183"/>
  <c r="P56" i="184"/>
  <c r="P195" i="183"/>
  <c r="P195" i="184"/>
  <c r="P131" i="183"/>
  <c r="P131" i="184"/>
  <c r="P40" i="183"/>
  <c r="P40" i="184"/>
  <c r="P200" i="183"/>
  <c r="P200" i="184"/>
  <c r="P102" i="183"/>
  <c r="P102" i="184"/>
  <c r="P148" i="183"/>
  <c r="P148" i="184"/>
  <c r="P94" i="183"/>
  <c r="P94" i="184"/>
  <c r="P42" i="183"/>
  <c r="P42" i="184"/>
  <c r="P58" i="183"/>
  <c r="P58" i="184"/>
  <c r="P206" i="183"/>
  <c r="P206" i="184"/>
  <c r="P31" i="183"/>
  <c r="P31" i="184"/>
  <c r="P135" i="183"/>
  <c r="P135" i="184"/>
  <c r="P130" i="183"/>
  <c r="P130" i="184"/>
  <c r="P33" i="183"/>
  <c r="P33" i="184"/>
  <c r="P132" i="183"/>
  <c r="P132" i="184"/>
  <c r="P138" i="183"/>
  <c r="P138" i="184"/>
  <c r="P173" i="183"/>
  <c r="P173" i="184"/>
  <c r="P103" i="183"/>
  <c r="P103" i="184"/>
  <c r="P176" i="183"/>
  <c r="P176" i="184"/>
  <c r="P64" i="183"/>
  <c r="P64" i="184"/>
  <c r="P145" i="183"/>
  <c r="P145" i="184"/>
  <c r="P106" i="183"/>
  <c r="P106" i="184"/>
  <c r="P171" i="183"/>
  <c r="P171" i="184"/>
  <c r="P191" i="183"/>
  <c r="P191" i="184"/>
  <c r="P51" i="183"/>
  <c r="P51" i="184"/>
  <c r="P170" i="183"/>
  <c r="P170" i="184"/>
  <c r="P198" i="183"/>
  <c r="P198" i="184"/>
  <c r="P53" i="183"/>
  <c r="P53" i="184"/>
  <c r="P98" i="183"/>
  <c r="P98" i="184"/>
  <c r="P104" i="183"/>
  <c r="P104" i="184"/>
  <c r="P150" i="183"/>
  <c r="P150" i="184"/>
  <c r="P160" i="183"/>
  <c r="P160" i="184"/>
  <c r="P197" i="183"/>
  <c r="P197" i="184"/>
  <c r="P119" i="183"/>
  <c r="P119" i="184"/>
  <c r="P90" i="183"/>
  <c r="P90" i="184"/>
  <c r="P105" i="183"/>
  <c r="P105" i="184"/>
  <c r="P128" i="183"/>
  <c r="P128" i="184"/>
  <c r="P208" i="183"/>
  <c r="P208" i="184"/>
  <c r="P156" i="183"/>
  <c r="P156" i="184"/>
  <c r="P210" i="183"/>
  <c r="P210" i="184"/>
  <c r="P190" i="183"/>
  <c r="P190" i="184"/>
  <c r="P157" i="183"/>
  <c r="P157" i="184"/>
  <c r="P97" i="183"/>
  <c r="P97" i="184"/>
  <c r="P110" i="183"/>
  <c r="P110" i="184"/>
  <c r="P163" i="183"/>
  <c r="P163" i="184"/>
  <c r="P80" i="183"/>
  <c r="P80" i="184"/>
  <c r="P162" i="183"/>
  <c r="P162" i="184"/>
  <c r="P62" i="183"/>
  <c r="P62" i="184"/>
  <c r="P37" i="183"/>
  <c r="P37" i="184"/>
  <c r="P196" i="183"/>
  <c r="P196" i="184"/>
  <c r="P83" i="183"/>
  <c r="P83" i="184"/>
  <c r="P78" i="183"/>
  <c r="P78" i="184"/>
  <c r="P177" i="183"/>
  <c r="P177" i="184"/>
  <c r="P178" i="183"/>
  <c r="P178" i="184"/>
  <c r="P194" i="183"/>
  <c r="P194" i="184"/>
  <c r="P35" i="183"/>
  <c r="P35" i="184"/>
  <c r="P209" i="183"/>
  <c r="P209" i="184"/>
  <c r="P169" i="183"/>
  <c r="P169" i="184"/>
  <c r="P49" i="183"/>
  <c r="P49" i="184"/>
  <c r="P91" i="183"/>
  <c r="P91" i="184"/>
  <c r="P123" i="183"/>
  <c r="P123" i="184"/>
  <c r="P26" i="183"/>
  <c r="P26" i="184"/>
  <c r="P71" i="183"/>
  <c r="P71" i="184"/>
  <c r="P52" i="183"/>
  <c r="P52" i="184"/>
  <c r="P199" i="183"/>
  <c r="P199" i="184"/>
  <c r="P120" i="183"/>
  <c r="P120" i="184"/>
  <c r="P81" i="183"/>
  <c r="P81" i="184"/>
  <c r="P38" i="183"/>
  <c r="P38" i="184"/>
  <c r="P114" i="183"/>
  <c r="P114" i="184"/>
  <c r="P54" i="183"/>
  <c r="P54" i="184"/>
  <c r="P143" i="183"/>
  <c r="P143" i="184"/>
  <c r="P47" i="183"/>
  <c r="P47" i="184"/>
  <c r="P36" i="183"/>
  <c r="P36" i="184"/>
  <c r="P101" i="183"/>
  <c r="P101" i="184"/>
  <c r="P111" i="183"/>
  <c r="P111" i="184"/>
  <c r="P88" i="183"/>
  <c r="P88" i="184"/>
  <c r="P45" i="183"/>
  <c r="P45" i="184"/>
  <c r="P95" i="183"/>
  <c r="P95" i="184"/>
  <c r="P154" i="183"/>
  <c r="P154" i="184"/>
  <c r="P165" i="183"/>
  <c r="P165" i="184"/>
  <c r="P153" i="183"/>
  <c r="P153" i="184"/>
  <c r="P74" i="183"/>
  <c r="P74" i="184"/>
  <c r="P137" i="183"/>
  <c r="P137" i="184"/>
  <c r="P89" i="183"/>
  <c r="P89" i="184"/>
  <c r="P77" i="183"/>
  <c r="P77" i="184"/>
  <c r="P112" i="183"/>
  <c r="P112" i="184"/>
  <c r="P107" i="183"/>
  <c r="P107" i="184"/>
  <c r="P84" i="183"/>
  <c r="P84" i="184"/>
  <c r="P48" i="183"/>
  <c r="P48" i="184"/>
  <c r="P82" i="183"/>
  <c r="P82" i="184"/>
  <c r="P72" i="183"/>
  <c r="P72" i="184"/>
  <c r="P60" i="183"/>
  <c r="P60" i="184"/>
  <c r="P183" i="183"/>
  <c r="P183" i="184"/>
  <c r="P187" i="183"/>
  <c r="P187" i="184"/>
  <c r="P211" i="183"/>
  <c r="P211" i="184"/>
  <c r="P73" i="183"/>
  <c r="P73" i="184"/>
  <c r="P141" i="183"/>
  <c r="P141" i="184"/>
  <c r="P75" i="183"/>
  <c r="P75" i="184"/>
  <c r="P115" i="183"/>
  <c r="P115" i="184"/>
  <c r="P146" i="183"/>
  <c r="P146" i="184"/>
  <c r="P185" i="183"/>
  <c r="P185" i="184"/>
  <c r="P79" i="183"/>
  <c r="P79" i="184"/>
  <c r="P61" i="183"/>
  <c r="P61" i="184"/>
  <c r="P113" i="183"/>
  <c r="P113" i="184"/>
  <c r="P122" i="183"/>
  <c r="P122" i="184"/>
  <c r="P174" i="183"/>
  <c r="P174" i="184"/>
  <c r="P129" i="183"/>
  <c r="P129" i="184"/>
  <c r="P93" i="183"/>
  <c r="P93" i="184"/>
  <c r="P134" i="183"/>
  <c r="P134" i="184"/>
  <c r="P192" i="183"/>
  <c r="P192" i="184"/>
  <c r="P63" i="183"/>
  <c r="P63" i="184"/>
  <c r="P172" i="183"/>
  <c r="P172" i="184"/>
  <c r="P96" i="183"/>
  <c r="P96" i="184"/>
  <c r="P121" i="183"/>
  <c r="P121" i="184"/>
  <c r="P43" i="183"/>
  <c r="P43" i="184"/>
  <c r="P189" i="183"/>
  <c r="P189" i="184"/>
  <c r="P140" i="183"/>
  <c r="P140" i="184"/>
  <c r="P32" i="183"/>
  <c r="P32" i="184"/>
  <c r="P55" i="183"/>
  <c r="P55" i="184"/>
  <c r="P151" i="181"/>
  <c r="P151" i="183"/>
  <c r="P76" i="181"/>
  <c r="P76" i="183"/>
  <c r="P142" i="181"/>
  <c r="P142" i="183"/>
  <c r="P87" i="181"/>
  <c r="P87" i="183"/>
  <c r="P166" i="181"/>
  <c r="P166" i="183"/>
  <c r="P46" i="181"/>
  <c r="P46" i="183"/>
  <c r="P124" i="181"/>
  <c r="P124" i="183"/>
  <c r="P39" i="181"/>
  <c r="P39" i="183"/>
  <c r="P175" i="72"/>
  <c r="P175" i="183"/>
  <c r="P155" i="181"/>
  <c r="P155" i="183"/>
  <c r="P147" i="181"/>
  <c r="P147" i="183"/>
  <c r="P164" i="181"/>
  <c r="P164" i="183"/>
  <c r="P92" i="181"/>
  <c r="P92" i="183"/>
  <c r="P44" i="181"/>
  <c r="P44" i="183"/>
  <c r="P34" i="181"/>
  <c r="P34" i="183"/>
  <c r="P41" i="181"/>
  <c r="P41" i="183"/>
  <c r="P207" i="181"/>
  <c r="P207" i="183"/>
  <c r="P205" i="181"/>
  <c r="P205" i="183"/>
  <c r="P161" i="181"/>
  <c r="P161" i="183"/>
  <c r="P201" i="181"/>
  <c r="P201" i="183"/>
  <c r="P182" i="181"/>
  <c r="P182" i="183"/>
  <c r="P57" i="181"/>
  <c r="P57" i="183"/>
  <c r="P152" i="181"/>
  <c r="P152" i="183"/>
  <c r="P188" i="181"/>
  <c r="P188" i="183"/>
  <c r="P59" i="181"/>
  <c r="P59" i="183"/>
  <c r="P193" i="181"/>
  <c r="P193" i="183"/>
  <c r="P186" i="181"/>
  <c r="P186" i="183"/>
  <c r="P30" i="181"/>
  <c r="P30" i="183"/>
  <c r="P202" i="181"/>
  <c r="P202" i="183"/>
  <c r="P158" i="181"/>
  <c r="P158" i="183"/>
  <c r="P49" i="181"/>
  <c r="P49" i="33"/>
  <c r="P49" i="152"/>
  <c r="P49" i="60"/>
  <c r="P49" i="85"/>
  <c r="P49" i="43"/>
  <c r="P49" i="68"/>
  <c r="P49" i="15"/>
  <c r="P49" i="32"/>
  <c r="P49" i="53"/>
  <c r="P49" i="25"/>
  <c r="P49" i="157"/>
  <c r="P49" i="31"/>
  <c r="P49" i="16"/>
  <c r="P49" i="27"/>
  <c r="P49" i="63"/>
  <c r="P49" i="58"/>
  <c r="P49" i="46"/>
  <c r="P49" i="21"/>
  <c r="P49" i="19"/>
  <c r="P49" i="175"/>
  <c r="P49" i="142"/>
  <c r="P49" i="119"/>
  <c r="P49" i="95"/>
  <c r="P49" i="174"/>
  <c r="P49" i="145"/>
  <c r="P49" i="135"/>
  <c r="P49" i="94"/>
  <c r="P49" i="165"/>
  <c r="P49" i="66"/>
  <c r="P49" i="83"/>
  <c r="P49" i="177"/>
  <c r="P49" i="62"/>
  <c r="P49" i="155"/>
  <c r="P49" i="84"/>
  <c r="P49" i="180"/>
  <c r="P49" i="98"/>
  <c r="P49" i="38"/>
  <c r="P49" i="150"/>
  <c r="P49" i="1"/>
  <c r="P49" i="156"/>
  <c r="P49" i="54"/>
  <c r="P49" i="136"/>
  <c r="P49" i="92"/>
  <c r="P49" i="164"/>
  <c r="P49" i="50"/>
  <c r="P49" i="14"/>
  <c r="P49" i="159"/>
  <c r="P49" i="55"/>
  <c r="P49" i="20"/>
  <c r="P49" i="89"/>
  <c r="P49" i="118"/>
  <c r="P49" i="72"/>
  <c r="P49" i="103"/>
  <c r="P49" i="79"/>
  <c r="P49" i="87"/>
  <c r="P49" i="104"/>
  <c r="P49" i="28"/>
  <c r="P49" i="158"/>
  <c r="P49" i="71"/>
  <c r="P49" i="90"/>
  <c r="P49" i="113"/>
  <c r="P49" i="120"/>
  <c r="P49" i="47"/>
  <c r="P49" i="111"/>
  <c r="P49" i="106"/>
  <c r="P49" i="133"/>
  <c r="P49" i="86"/>
  <c r="P49" i="167"/>
  <c r="P49" i="37"/>
  <c r="P49" i="64"/>
  <c r="P49" i="42"/>
  <c r="P49" i="57"/>
  <c r="P49" i="102"/>
  <c r="P49" i="65"/>
  <c r="P49" i="39"/>
  <c r="P49" i="141"/>
  <c r="P49" i="178"/>
  <c r="P49" i="24"/>
  <c r="P49" i="49"/>
  <c r="P48" i="174"/>
  <c r="P48" i="53"/>
  <c r="P48" i="120"/>
  <c r="P48" i="24"/>
  <c r="P48" i="136"/>
  <c r="P48" i="58"/>
  <c r="P48" i="33"/>
  <c r="P48" i="25"/>
  <c r="P48" i="157"/>
  <c r="P48" i="72"/>
  <c r="P48" i="55"/>
  <c r="P48" i="159"/>
  <c r="P48" i="71"/>
  <c r="P48" i="28"/>
  <c r="P48" i="102"/>
  <c r="P48" i="43"/>
  <c r="P48" i="142"/>
  <c r="P48" i="84"/>
  <c r="P48" i="63"/>
  <c r="P48" i="94"/>
  <c r="P48" i="133"/>
  <c r="P48" i="177"/>
  <c r="P48" i="167"/>
  <c r="P48" i="111"/>
  <c r="P48" i="15"/>
  <c r="P48" i="60"/>
  <c r="P48" i="98"/>
  <c r="P48" i="65"/>
  <c r="P48" i="79"/>
  <c r="P48" i="150"/>
  <c r="P48" i="64"/>
  <c r="P48" i="119"/>
  <c r="P48" i="87"/>
  <c r="P48" i="85"/>
  <c r="P48" i="165"/>
  <c r="P48" i="38"/>
  <c r="P48" i="21"/>
  <c r="P48" i="113"/>
  <c r="P48" i="83"/>
  <c r="P48" i="180"/>
  <c r="P48" i="164"/>
  <c r="P48" i="46"/>
  <c r="P48" i="19"/>
  <c r="P48" i="49"/>
  <c r="P48" i="158"/>
  <c r="P48" i="57"/>
  <c r="P48" i="106"/>
  <c r="P48" i="104"/>
  <c r="P48" i="103"/>
  <c r="P48" i="145"/>
  <c r="P48" i="141"/>
  <c r="P48" i="86"/>
  <c r="P48" i="95"/>
  <c r="P48" i="62"/>
  <c r="P48" i="27"/>
  <c r="P48" i="89"/>
  <c r="P48" i="175"/>
  <c r="P48" i="181"/>
  <c r="P48" i="16"/>
  <c r="P48" i="32"/>
  <c r="P48" i="152"/>
  <c r="P48" i="92"/>
  <c r="P48" i="54"/>
  <c r="P48" i="118"/>
  <c r="P48" i="156"/>
  <c r="P48" i="47"/>
  <c r="P48" i="50"/>
  <c r="P48" i="178"/>
  <c r="P48" i="42"/>
  <c r="P48" i="68"/>
  <c r="P48" i="14"/>
  <c r="P48" i="155"/>
  <c r="P48" i="1"/>
  <c r="P48" i="37"/>
  <c r="P48" i="66"/>
  <c r="P48" i="31"/>
  <c r="P48" i="39"/>
  <c r="P48" i="20"/>
  <c r="P48" i="90"/>
  <c r="P48" i="135"/>
  <c r="P55" i="142"/>
  <c r="P55" i="55"/>
  <c r="P55" i="106"/>
  <c r="P55" i="103"/>
  <c r="P55" i="25"/>
  <c r="P55" i="33"/>
  <c r="P55" i="95"/>
  <c r="P55" i="111"/>
  <c r="P55" i="62"/>
  <c r="P55" i="175"/>
  <c r="P55" i="37"/>
  <c r="P55" i="178"/>
  <c r="P55" i="136"/>
  <c r="P55" i="141"/>
  <c r="P55" i="63"/>
  <c r="P55" i="84"/>
  <c r="P55" i="159"/>
  <c r="P55" i="83"/>
  <c r="P55" i="85"/>
  <c r="P55" i="66"/>
  <c r="P55" i="165"/>
  <c r="P55" i="164"/>
  <c r="P55" i="65"/>
  <c r="P55" i="119"/>
  <c r="P55" i="177"/>
  <c r="P55" i="87"/>
  <c r="P55" i="167"/>
  <c r="P55" i="47"/>
  <c r="P55" i="94"/>
  <c r="P55" i="135"/>
  <c r="P55" i="174"/>
  <c r="P55" i="71"/>
  <c r="P55" i="58"/>
  <c r="P55" i="24"/>
  <c r="P55" i="157"/>
  <c r="P55" i="155"/>
  <c r="P55" i="31"/>
  <c r="P55" i="42"/>
  <c r="P55" i="43"/>
  <c r="P55" i="104"/>
  <c r="P55" i="38"/>
  <c r="P55" i="156"/>
  <c r="P55" i="16"/>
  <c r="P55" i="57"/>
  <c r="P55" i="60"/>
  <c r="P55" i="14"/>
  <c r="P55" i="68"/>
  <c r="P55" i="19"/>
  <c r="P55" i="86"/>
  <c r="P55" i="1"/>
  <c r="P55" i="89"/>
  <c r="P55" i="32"/>
  <c r="P55" i="120"/>
  <c r="P55" i="180"/>
  <c r="P55" i="145"/>
  <c r="P55" i="118"/>
  <c r="P55" i="39"/>
  <c r="P55" i="181"/>
  <c r="P55" i="90"/>
  <c r="P55" i="27"/>
  <c r="P55" i="133"/>
  <c r="P55" i="21"/>
  <c r="P55" i="79"/>
  <c r="P55" i="53"/>
  <c r="P55" i="102"/>
  <c r="P55" i="20"/>
  <c r="P55" i="49"/>
  <c r="P55" i="113"/>
  <c r="P55" i="46"/>
  <c r="P55" i="158"/>
  <c r="P55" i="15"/>
  <c r="P55" i="72"/>
  <c r="P55" i="150"/>
  <c r="P55" i="152"/>
  <c r="P55" i="92"/>
  <c r="P55" i="54"/>
  <c r="P55" i="98"/>
  <c r="P55" i="50"/>
  <c r="P55" i="28"/>
  <c r="P55" i="64"/>
  <c r="P53" i="177"/>
  <c r="P53" i="20"/>
  <c r="P53" i="119"/>
  <c r="P53" i="55"/>
  <c r="P53" i="103"/>
  <c r="P53" i="174"/>
  <c r="P53" i="47"/>
  <c r="P53" i="58"/>
  <c r="P53" i="33"/>
  <c r="P53" i="89"/>
  <c r="P53" i="178"/>
  <c r="P53" i="49"/>
  <c r="P53" i="79"/>
  <c r="P53" i="156"/>
  <c r="P53" i="57"/>
  <c r="P53" i="39"/>
  <c r="P53" i="164"/>
  <c r="P53" i="180"/>
  <c r="P53" i="54"/>
  <c r="P53" i="152"/>
  <c r="P53" i="16"/>
  <c r="P53" i="135"/>
  <c r="P53" i="150"/>
  <c r="P53" i="141"/>
  <c r="P53" i="32"/>
  <c r="P53" i="142"/>
  <c r="P53" i="68"/>
  <c r="P53" i="83"/>
  <c r="P53" i="71"/>
  <c r="P53" i="145"/>
  <c r="P53" i="24"/>
  <c r="P53" i="106"/>
  <c r="P53" i="104"/>
  <c r="P53" i="94"/>
  <c r="P53" i="181"/>
  <c r="P53" i="90"/>
  <c r="P53" i="118"/>
  <c r="P53" i="167"/>
  <c r="P53" i="31"/>
  <c r="P53" i="165"/>
  <c r="P53" i="136"/>
  <c r="P53" i="37"/>
  <c r="P53" i="25"/>
  <c r="P53" i="15"/>
  <c r="P53" i="19"/>
  <c r="P53" i="92"/>
  <c r="P53" i="63"/>
  <c r="P53" i="157"/>
  <c r="P53" i="46"/>
  <c r="P53" i="14"/>
  <c r="P53" i="102"/>
  <c r="P53" i="155"/>
  <c r="P53" i="43"/>
  <c r="P53" i="21"/>
  <c r="P53" i="85"/>
  <c r="P53" i="86"/>
  <c r="P53" i="133"/>
  <c r="P53" i="113"/>
  <c r="P53" i="175"/>
  <c r="P53" i="62"/>
  <c r="P53" i="98"/>
  <c r="P53" i="87"/>
  <c r="P53" i="1"/>
  <c r="P53" i="72"/>
  <c r="P53" i="95"/>
  <c r="P53" i="53"/>
  <c r="P53" i="65"/>
  <c r="P53" i="84"/>
  <c r="P53" i="111"/>
  <c r="P53" i="64"/>
  <c r="P53" i="120"/>
  <c r="P53" i="38"/>
  <c r="P53" i="27"/>
  <c r="P53" i="50"/>
  <c r="P53" i="28"/>
  <c r="P53" i="66"/>
  <c r="P53" i="158"/>
  <c r="P53" i="159"/>
  <c r="P53" i="42"/>
  <c r="P53" i="60"/>
  <c r="J73" i="155"/>
  <c r="J38" i="155"/>
  <c r="J198" i="155"/>
  <c r="J84" i="155"/>
  <c r="J88" i="155"/>
  <c r="J135" i="155"/>
  <c r="J46" i="155"/>
  <c r="J36" i="155"/>
  <c r="J189" i="155"/>
  <c r="J162" i="155"/>
  <c r="J116" i="155"/>
  <c r="J165" i="155"/>
  <c r="J192" i="155"/>
  <c r="J180" i="155"/>
  <c r="J70" i="155"/>
  <c r="J41" i="155"/>
  <c r="J142" i="155"/>
  <c r="J207" i="155"/>
  <c r="J152" i="155"/>
  <c r="J94" i="155"/>
  <c r="J103" i="155"/>
  <c r="J122" i="155"/>
  <c r="J31" i="155"/>
  <c r="J199" i="155"/>
  <c r="J69" i="155"/>
  <c r="J91" i="155"/>
  <c r="J93" i="155"/>
  <c r="J157" i="155"/>
  <c r="J95" i="155"/>
  <c r="J77" i="155"/>
  <c r="J170" i="155"/>
  <c r="J107" i="155"/>
  <c r="J153" i="155"/>
  <c r="J140" i="155"/>
  <c r="J158" i="155"/>
  <c r="J184" i="155"/>
  <c r="J151" i="155"/>
  <c r="J160" i="155"/>
  <c r="J30" i="155"/>
  <c r="J177" i="155"/>
  <c r="J134" i="155"/>
  <c r="J74" i="155"/>
  <c r="J161" i="155"/>
  <c r="J50" i="155"/>
  <c r="J55" i="155"/>
  <c r="J61" i="155"/>
  <c r="J150" i="155"/>
  <c r="J63" i="155"/>
  <c r="J120" i="155"/>
  <c r="J83" i="155"/>
  <c r="J176" i="155"/>
  <c r="J87" i="155"/>
  <c r="J171" i="155"/>
  <c r="J115" i="155"/>
  <c r="J75" i="155"/>
  <c r="J202" i="155"/>
  <c r="J56" i="155"/>
  <c r="J138" i="155"/>
  <c r="J51" i="155"/>
  <c r="J79" i="155"/>
  <c r="I220" i="155"/>
  <c r="J174" i="155"/>
  <c r="J89" i="155"/>
  <c r="J110" i="155"/>
  <c r="J190" i="155"/>
  <c r="J131" i="155"/>
  <c r="J58" i="155"/>
  <c r="J169" i="155"/>
  <c r="J62" i="155"/>
  <c r="J82" i="155"/>
  <c r="M17" i="155"/>
  <c r="J213" i="155"/>
  <c r="J47" i="155"/>
  <c r="J102" i="155"/>
  <c r="J44" i="155"/>
  <c r="J37" i="155"/>
  <c r="J181" i="155"/>
  <c r="J210" i="155"/>
  <c r="J113" i="155"/>
  <c r="J145" i="155"/>
  <c r="J64" i="155"/>
  <c r="J81" i="155"/>
  <c r="J65" i="155"/>
  <c r="J193" i="155"/>
  <c r="J78" i="155"/>
  <c r="J186" i="155"/>
  <c r="J124" i="155"/>
  <c r="J66" i="155"/>
  <c r="J166" i="155"/>
  <c r="J196" i="155"/>
  <c r="J54" i="155"/>
  <c r="J97" i="155"/>
  <c r="J188" i="155"/>
  <c r="J182" i="155"/>
  <c r="J76" i="155"/>
  <c r="J211" i="155"/>
  <c r="J130" i="155"/>
  <c r="J156" i="155"/>
  <c r="J185" i="155"/>
  <c r="J96" i="155"/>
  <c r="J45" i="155"/>
  <c r="J32" i="155"/>
  <c r="J80" i="155"/>
  <c r="J148" i="155"/>
  <c r="J40" i="155"/>
  <c r="J59" i="155"/>
  <c r="J35" i="155"/>
  <c r="J42" i="155"/>
  <c r="J48" i="155"/>
  <c r="J179" i="155"/>
  <c r="J34" i="155"/>
  <c r="J106" i="155"/>
  <c r="J92" i="155"/>
  <c r="J175" i="155"/>
  <c r="O213" i="155"/>
  <c r="J173" i="155"/>
  <c r="J137" i="155"/>
  <c r="J172" i="155"/>
  <c r="J72" i="155"/>
  <c r="J52" i="155"/>
  <c r="J183" i="155"/>
  <c r="J194" i="155"/>
  <c r="J71" i="155"/>
  <c r="J129" i="155"/>
  <c r="J105" i="155"/>
  <c r="J53" i="155"/>
  <c r="J163" i="155"/>
  <c r="J123" i="155"/>
  <c r="J178" i="155"/>
  <c r="J155" i="155"/>
  <c r="J43" i="155"/>
  <c r="J112" i="155"/>
  <c r="J205" i="155"/>
  <c r="J39" i="155"/>
  <c r="J132" i="155"/>
  <c r="J119" i="155"/>
  <c r="J60" i="155"/>
  <c r="J90" i="155"/>
  <c r="J114" i="155"/>
  <c r="J146" i="155"/>
  <c r="J164" i="155"/>
  <c r="J208" i="155"/>
  <c r="J136" i="155"/>
  <c r="J187" i="155"/>
  <c r="J57" i="155"/>
  <c r="J209" i="155"/>
  <c r="J201" i="155"/>
  <c r="J98" i="155"/>
  <c r="J147" i="155"/>
  <c r="J33" i="155"/>
  <c r="J195" i="155"/>
  <c r="J111" i="155"/>
  <c r="J141" i="155"/>
  <c r="J197" i="155"/>
  <c r="J49" i="155"/>
  <c r="J143" i="155"/>
  <c r="J191" i="155"/>
  <c r="J104" i="155"/>
  <c r="J154" i="155"/>
  <c r="J206" i="155"/>
  <c r="J101" i="155"/>
  <c r="J121" i="155"/>
  <c r="J128" i="155"/>
  <c r="P169" i="181"/>
  <c r="P169" i="98"/>
  <c r="P169" i="37"/>
  <c r="P169" i="165"/>
  <c r="P169" i="85"/>
  <c r="P169" i="66"/>
  <c r="P169" i="84"/>
  <c r="P169" i="60"/>
  <c r="P169" i="136"/>
  <c r="P169" i="58"/>
  <c r="P169" i="57"/>
  <c r="P169" i="150"/>
  <c r="P169" i="178"/>
  <c r="P169" i="53"/>
  <c r="P169" i="118"/>
  <c r="P169" i="27"/>
  <c r="P169" i="111"/>
  <c r="P169" i="145"/>
  <c r="P169" i="38"/>
  <c r="P169" i="156"/>
  <c r="P169" i="62"/>
  <c r="P169" i="142"/>
  <c r="P169" i="152"/>
  <c r="P169" i="175"/>
  <c r="P169" i="79"/>
  <c r="P169" i="31"/>
  <c r="P169" i="1"/>
  <c r="P169" i="25"/>
  <c r="P169" i="19"/>
  <c r="P169" i="94"/>
  <c r="P169" i="120"/>
  <c r="P169" i="167"/>
  <c r="P169" i="157"/>
  <c r="P169" i="83"/>
  <c r="P169" i="90"/>
  <c r="P169" i="15"/>
  <c r="P169" i="103"/>
  <c r="P169" i="104"/>
  <c r="P169" i="32"/>
  <c r="P169" i="65"/>
  <c r="P169" i="63"/>
  <c r="P169" i="135"/>
  <c r="P169" i="174"/>
  <c r="P169" i="24"/>
  <c r="P169" i="28"/>
  <c r="P169" i="72"/>
  <c r="P169" i="47"/>
  <c r="P169" i="102"/>
  <c r="P169" i="43"/>
  <c r="P169" i="106"/>
  <c r="P169" i="54"/>
  <c r="P169" i="141"/>
  <c r="P169" i="50"/>
  <c r="P169" i="164"/>
  <c r="P169" i="177"/>
  <c r="P169" i="68"/>
  <c r="P169" i="158"/>
  <c r="P169" i="89"/>
  <c r="P169" i="180"/>
  <c r="P169" i="64"/>
  <c r="P169" i="133"/>
  <c r="P169" i="21"/>
  <c r="P169" i="55"/>
  <c r="P169" i="113"/>
  <c r="P169" i="155"/>
  <c r="P169" i="87"/>
  <c r="P169" i="46"/>
  <c r="P169" i="16"/>
  <c r="P169" i="92"/>
  <c r="P169" i="20"/>
  <c r="P169" i="14"/>
  <c r="P169" i="71"/>
  <c r="P169" i="39"/>
  <c r="P169" i="119"/>
  <c r="P169" i="95"/>
  <c r="P169" i="33"/>
  <c r="P169" i="42"/>
  <c r="P169" i="159"/>
  <c r="P169" i="86"/>
  <c r="P169" i="49"/>
  <c r="P198" i="62"/>
  <c r="P198" i="157"/>
  <c r="P198" i="165"/>
  <c r="P198" i="119"/>
  <c r="P198" i="49"/>
  <c r="P198" i="55"/>
  <c r="P198" i="53"/>
  <c r="P198" i="158"/>
  <c r="P198" i="68"/>
  <c r="P198" i="102"/>
  <c r="P198" i="111"/>
  <c r="P198" i="133"/>
  <c r="P198" i="106"/>
  <c r="P198" i="118"/>
  <c r="P198" i="42"/>
  <c r="P198" i="27"/>
  <c r="P198" i="72"/>
  <c r="P198" i="155"/>
  <c r="P198" i="15"/>
  <c r="P198" i="84"/>
  <c r="P198" i="19"/>
  <c r="P198" i="39"/>
  <c r="P198" i="167"/>
  <c r="P198" i="21"/>
  <c r="P198" i="152"/>
  <c r="P198" i="178"/>
  <c r="P198" i="145"/>
  <c r="P198" i="54"/>
  <c r="P198" i="85"/>
  <c r="P198" i="142"/>
  <c r="P198" i="79"/>
  <c r="P198" i="87"/>
  <c r="P198" i="57"/>
  <c r="P198" i="83"/>
  <c r="P198" i="94"/>
  <c r="P198" i="104"/>
  <c r="P198" i="32"/>
  <c r="P198" i="113"/>
  <c r="P198" i="164"/>
  <c r="P198" i="66"/>
  <c r="P198" i="136"/>
  <c r="P198" i="58"/>
  <c r="P198" i="63"/>
  <c r="P198" i="89"/>
  <c r="P198" i="135"/>
  <c r="P198" i="156"/>
  <c r="P198" i="14"/>
  <c r="P198" i="92"/>
  <c r="P198" i="174"/>
  <c r="P198" i="31"/>
  <c r="P198" i="86"/>
  <c r="P198" i="1"/>
  <c r="P198" i="71"/>
  <c r="P198" i="180"/>
  <c r="P198" i="28"/>
  <c r="P198" i="43"/>
  <c r="P198" i="175"/>
  <c r="P198" i="64"/>
  <c r="P198" i="95"/>
  <c r="P198" i="181"/>
  <c r="P198" i="20"/>
  <c r="P198" i="98"/>
  <c r="P198" i="120"/>
  <c r="P198" i="141"/>
  <c r="P198" i="90"/>
  <c r="P198" i="38"/>
  <c r="P198" i="46"/>
  <c r="P198" i="16"/>
  <c r="P198" i="159"/>
  <c r="P198" i="65"/>
  <c r="P198" i="177"/>
  <c r="P198" i="25"/>
  <c r="P198" i="33"/>
  <c r="P198" i="60"/>
  <c r="P198" i="50"/>
  <c r="P198" i="47"/>
  <c r="P198" i="150"/>
  <c r="P198" i="24"/>
  <c r="P198" i="103"/>
  <c r="P198" i="37"/>
  <c r="P72" i="180"/>
  <c r="P72" i="181"/>
  <c r="P60" i="180"/>
  <c r="P60" i="181"/>
  <c r="P208" i="180"/>
  <c r="P208" i="181"/>
  <c r="P110" i="180"/>
  <c r="P110" i="181"/>
  <c r="P78" i="180"/>
  <c r="P78" i="181"/>
  <c r="P70" i="180"/>
  <c r="P70" i="181"/>
  <c r="P47" i="180"/>
  <c r="P47" i="181"/>
  <c r="P88" i="180"/>
  <c r="P88" i="181"/>
  <c r="P165" i="180"/>
  <c r="P165" i="181"/>
  <c r="P98" i="180"/>
  <c r="P98" i="181"/>
  <c r="P90" i="180"/>
  <c r="P90" i="181"/>
  <c r="P146" i="180"/>
  <c r="P146" i="181"/>
  <c r="P174" i="180"/>
  <c r="P174" i="181"/>
  <c r="P172" i="180"/>
  <c r="P172" i="181"/>
  <c r="P32" i="180"/>
  <c r="P32" i="181"/>
  <c r="P91" i="180"/>
  <c r="P91" i="181"/>
  <c r="P52" i="180"/>
  <c r="P52" i="181"/>
  <c r="P102" i="180"/>
  <c r="P102" i="181"/>
  <c r="P58" i="180"/>
  <c r="P58" i="181"/>
  <c r="P132" i="180"/>
  <c r="P132" i="181"/>
  <c r="P176" i="180"/>
  <c r="P176" i="181"/>
  <c r="P107" i="180"/>
  <c r="P107" i="181"/>
  <c r="P82" i="180"/>
  <c r="P82" i="181"/>
  <c r="P183" i="180"/>
  <c r="P183" i="181"/>
  <c r="P211" i="180"/>
  <c r="P211" i="181"/>
  <c r="P156" i="180"/>
  <c r="P156" i="181"/>
  <c r="P190" i="180"/>
  <c r="P190" i="181"/>
  <c r="P97" i="180"/>
  <c r="P97" i="181"/>
  <c r="P163" i="180"/>
  <c r="P163" i="181"/>
  <c r="P162" i="180"/>
  <c r="P162" i="181"/>
  <c r="P37" i="180"/>
  <c r="P37" i="181"/>
  <c r="P83" i="180"/>
  <c r="P83" i="181"/>
  <c r="P177" i="180"/>
  <c r="P177" i="181"/>
  <c r="P194" i="180"/>
  <c r="P194" i="181"/>
  <c r="P189" i="180"/>
  <c r="P189" i="181"/>
  <c r="P35" i="180"/>
  <c r="P35" i="181"/>
  <c r="P56" i="180"/>
  <c r="P56" i="181"/>
  <c r="P36" i="180"/>
  <c r="P36" i="181"/>
  <c r="P77" i="180"/>
  <c r="P77" i="181"/>
  <c r="P106" i="180"/>
  <c r="P106" i="181"/>
  <c r="P84" i="180"/>
  <c r="P84" i="181"/>
  <c r="P187" i="180"/>
  <c r="P187" i="181"/>
  <c r="P210" i="180"/>
  <c r="P210" i="181"/>
  <c r="P80" i="180"/>
  <c r="P80" i="181"/>
  <c r="P196" i="180"/>
  <c r="P196" i="181"/>
  <c r="P175" i="180"/>
  <c r="P175" i="181"/>
  <c r="P38" i="180"/>
  <c r="P38" i="181"/>
  <c r="P101" i="180"/>
  <c r="P101" i="181"/>
  <c r="P74" i="180"/>
  <c r="P74" i="181"/>
  <c r="P197" i="180"/>
  <c r="P197" i="181"/>
  <c r="P75" i="180"/>
  <c r="P75" i="181"/>
  <c r="P113" i="180"/>
  <c r="P113" i="181"/>
  <c r="P192" i="180"/>
  <c r="P192" i="181"/>
  <c r="P170" i="180"/>
  <c r="P170" i="181"/>
  <c r="P120" i="180"/>
  <c r="P120" i="181"/>
  <c r="P94" i="180"/>
  <c r="P94" i="181"/>
  <c r="P130" i="180"/>
  <c r="P130" i="181"/>
  <c r="P173" i="180"/>
  <c r="P173" i="181"/>
  <c r="P191" i="180"/>
  <c r="P191" i="181"/>
  <c r="P209" i="180"/>
  <c r="P209" i="181"/>
  <c r="P116" i="180"/>
  <c r="P116" i="181"/>
  <c r="P141" i="180"/>
  <c r="P141" i="181"/>
  <c r="P143" i="180"/>
  <c r="P143" i="181"/>
  <c r="P45" i="180"/>
  <c r="P45" i="181"/>
  <c r="P137" i="180"/>
  <c r="P137" i="181"/>
  <c r="P112" i="180"/>
  <c r="P112" i="181"/>
  <c r="P104" i="180"/>
  <c r="P104" i="181"/>
  <c r="P160" i="180"/>
  <c r="P160" i="181"/>
  <c r="P119" i="180"/>
  <c r="P119" i="181"/>
  <c r="P105" i="180"/>
  <c r="P105" i="181"/>
  <c r="P200" i="180"/>
  <c r="P200" i="181"/>
  <c r="P115" i="180"/>
  <c r="P115" i="181"/>
  <c r="P185" i="180"/>
  <c r="P185" i="181"/>
  <c r="P61" i="180"/>
  <c r="P61" i="181"/>
  <c r="P122" i="180"/>
  <c r="P122" i="181"/>
  <c r="P129" i="180"/>
  <c r="P129" i="181"/>
  <c r="P134" i="180"/>
  <c r="P134" i="181"/>
  <c r="P63" i="180"/>
  <c r="P63" i="181"/>
  <c r="P96" i="180"/>
  <c r="P96" i="181"/>
  <c r="P43" i="180"/>
  <c r="P43" i="181"/>
  <c r="P140" i="180"/>
  <c r="P140" i="181"/>
  <c r="P73" i="180"/>
  <c r="P73" i="181"/>
  <c r="P157" i="180"/>
  <c r="P157" i="181"/>
  <c r="P62" i="180"/>
  <c r="P62" i="181"/>
  <c r="P178" i="180"/>
  <c r="P178" i="181"/>
  <c r="P195" i="180"/>
  <c r="P195" i="181"/>
  <c r="P54" i="180"/>
  <c r="P54" i="181"/>
  <c r="P95" i="180"/>
  <c r="P95" i="181"/>
  <c r="P89" i="180"/>
  <c r="P89" i="181"/>
  <c r="P150" i="180"/>
  <c r="P150" i="181"/>
  <c r="P40" i="180"/>
  <c r="P40" i="181"/>
  <c r="P79" i="180"/>
  <c r="P79" i="181"/>
  <c r="P93" i="180"/>
  <c r="P93" i="181"/>
  <c r="P121" i="180"/>
  <c r="P121" i="181"/>
  <c r="P26" i="180"/>
  <c r="P26" i="181"/>
  <c r="P128" i="180"/>
  <c r="P128" i="181"/>
  <c r="P31" i="180"/>
  <c r="P31" i="181"/>
  <c r="P145" i="180"/>
  <c r="P145" i="181"/>
  <c r="P136" i="180"/>
  <c r="P136" i="181"/>
  <c r="P131" i="180"/>
  <c r="P131" i="181"/>
  <c r="P114" i="180"/>
  <c r="P114" i="181"/>
  <c r="P111" i="180"/>
  <c r="P111" i="181"/>
  <c r="P154" i="180"/>
  <c r="P154" i="181"/>
  <c r="P153" i="180"/>
  <c r="P153" i="181"/>
  <c r="P123" i="180"/>
  <c r="P123" i="181"/>
  <c r="P71" i="180"/>
  <c r="P71" i="181"/>
  <c r="P199" i="180"/>
  <c r="P199" i="181"/>
  <c r="P81" i="180"/>
  <c r="P81" i="181"/>
  <c r="P148" i="180"/>
  <c r="P148" i="181"/>
  <c r="P42" i="180"/>
  <c r="P42" i="181"/>
  <c r="P206" i="180"/>
  <c r="P206" i="181"/>
  <c r="P135" i="180"/>
  <c r="P135" i="181"/>
  <c r="P33" i="180"/>
  <c r="P33" i="181"/>
  <c r="P138" i="180"/>
  <c r="P138" i="181"/>
  <c r="P103" i="180"/>
  <c r="P103" i="181"/>
  <c r="P64" i="180"/>
  <c r="P64" i="181"/>
  <c r="P171" i="180"/>
  <c r="P171" i="181"/>
  <c r="P51" i="180"/>
  <c r="P51" i="181"/>
  <c r="P57" i="94"/>
  <c r="P57" i="180"/>
  <c r="P152" i="158"/>
  <c r="P152" i="180"/>
  <c r="P207" i="87"/>
  <c r="P207" i="180"/>
  <c r="P30" i="55"/>
  <c r="P30" i="180"/>
  <c r="P155" i="85"/>
  <c r="P155" i="180"/>
  <c r="P92" i="31"/>
  <c r="P92" i="180"/>
  <c r="P201" i="39"/>
  <c r="P201" i="180"/>
  <c r="P87" i="60"/>
  <c r="P87" i="180"/>
  <c r="P158" i="60"/>
  <c r="P158" i="180"/>
  <c r="P205" i="113"/>
  <c r="P205" i="180"/>
  <c r="P161" i="72"/>
  <c r="P161" i="180"/>
  <c r="P186" i="180"/>
  <c r="P41" i="25"/>
  <c r="P41" i="180"/>
  <c r="P76" i="98"/>
  <c r="P76" i="180"/>
  <c r="P151" i="174"/>
  <c r="P151" i="180"/>
  <c r="P44" i="133"/>
  <c r="P44" i="180"/>
  <c r="P202" i="167"/>
  <c r="P202" i="180"/>
  <c r="P188" i="15"/>
  <c r="P188" i="180"/>
  <c r="P147" i="180"/>
  <c r="P164" i="156"/>
  <c r="P164" i="180"/>
  <c r="P182" i="159"/>
  <c r="P182" i="180"/>
  <c r="P142" i="54"/>
  <c r="P142" i="180"/>
  <c r="P166" i="55"/>
  <c r="P166" i="180"/>
  <c r="P46" i="39"/>
  <c r="P46" i="180"/>
  <c r="P59" i="95"/>
  <c r="P59" i="180"/>
  <c r="P193" i="14"/>
  <c r="P193" i="180"/>
  <c r="P124" i="79"/>
  <c r="P124" i="180"/>
  <c r="P34" i="120"/>
  <c r="P34" i="180"/>
  <c r="P39" i="89"/>
  <c r="P39" i="180"/>
  <c r="P170" i="103"/>
  <c r="P170" i="38"/>
  <c r="P170" i="72"/>
  <c r="P170" i="84"/>
  <c r="P170" i="165"/>
  <c r="P170" i="19"/>
  <c r="P170" i="142"/>
  <c r="P170" i="71"/>
  <c r="P170" i="64"/>
  <c r="P170" i="20"/>
  <c r="P170" i="98"/>
  <c r="P170" i="94"/>
  <c r="P170" i="157"/>
  <c r="P170" i="90"/>
  <c r="P170" i="55"/>
  <c r="P170" i="106"/>
  <c r="P170" i="102"/>
  <c r="P170" i="15"/>
  <c r="P170" i="178"/>
  <c r="P170" i="104"/>
  <c r="P170" i="92"/>
  <c r="P170" i="167"/>
  <c r="P170" i="1"/>
  <c r="P170" i="79"/>
  <c r="P170" i="111"/>
  <c r="P170" i="24"/>
  <c r="P170" i="65"/>
  <c r="P170" i="32"/>
  <c r="P170" i="47"/>
  <c r="P170" i="58"/>
  <c r="P170" i="119"/>
  <c r="P170" i="53"/>
  <c r="P170" i="85"/>
  <c r="P170" i="66"/>
  <c r="P170" i="95"/>
  <c r="P170" i="164"/>
  <c r="P170" i="42"/>
  <c r="P170" i="136"/>
  <c r="P170" i="54"/>
  <c r="P170" i="25"/>
  <c r="P170" i="175"/>
  <c r="P170" i="89"/>
  <c r="P170" i="159"/>
  <c r="P170" i="39"/>
  <c r="P170" i="145"/>
  <c r="P170" i="49"/>
  <c r="P170" i="14"/>
  <c r="P170" i="68"/>
  <c r="P170" i="83"/>
  <c r="P170" i="118"/>
  <c r="P170" i="113"/>
  <c r="P170" i="57"/>
  <c r="P170" i="33"/>
  <c r="P170" i="27"/>
  <c r="P170" i="86"/>
  <c r="P170" i="16"/>
  <c r="P170" i="50"/>
  <c r="P170" i="141"/>
  <c r="P170" i="156"/>
  <c r="P170" i="63"/>
  <c r="P170" i="174"/>
  <c r="P170" i="150"/>
  <c r="P170" i="177"/>
  <c r="P170" i="87"/>
  <c r="P170" i="152"/>
  <c r="P170" i="31"/>
  <c r="P170" i="28"/>
  <c r="P170" i="43"/>
  <c r="P170" i="135"/>
  <c r="P170" i="120"/>
  <c r="P170" i="62"/>
  <c r="P170" i="60"/>
  <c r="P170" i="133"/>
  <c r="P170" i="21"/>
  <c r="P170" i="158"/>
  <c r="P170" i="37"/>
  <c r="P170" i="155"/>
  <c r="P170" i="46"/>
  <c r="P209" i="145"/>
  <c r="P209" i="49"/>
  <c r="P209" i="85"/>
  <c r="P209" i="152"/>
  <c r="P209" i="37"/>
  <c r="P209" i="71"/>
  <c r="P209" i="68"/>
  <c r="P209" i="94"/>
  <c r="P209" i="89"/>
  <c r="P209" i="119"/>
  <c r="P209" i="167"/>
  <c r="P209" i="1"/>
  <c r="P209" i="156"/>
  <c r="P209" i="165"/>
  <c r="P209" i="142"/>
  <c r="P209" i="118"/>
  <c r="P209" i="43"/>
  <c r="P209" i="155"/>
  <c r="P209" i="66"/>
  <c r="P209" i="95"/>
  <c r="P209" i="31"/>
  <c r="P209" i="27"/>
  <c r="P209" i="120"/>
  <c r="P209" i="150"/>
  <c r="P209" i="164"/>
  <c r="P209" i="136"/>
  <c r="P209" i="141"/>
  <c r="P209" i="33"/>
  <c r="P209" i="106"/>
  <c r="P209" i="15"/>
  <c r="P209" i="135"/>
  <c r="P209" i="21"/>
  <c r="P209" i="24"/>
  <c r="P209" i="39"/>
  <c r="P209" i="62"/>
  <c r="P209" i="32"/>
  <c r="P209" i="158"/>
  <c r="P209" i="55"/>
  <c r="P209" i="104"/>
  <c r="P209" i="38"/>
  <c r="P209" i="159"/>
  <c r="P209" i="133"/>
  <c r="P209" i="113"/>
  <c r="P209" i="79"/>
  <c r="P209" i="72"/>
  <c r="P209" i="60"/>
  <c r="P209" i="86"/>
  <c r="P209" i="111"/>
  <c r="P209" i="64"/>
  <c r="P209" i="19"/>
  <c r="P209" i="47"/>
  <c r="P209" i="16"/>
  <c r="P209" i="57"/>
  <c r="P209" i="42"/>
  <c r="P209" i="20"/>
  <c r="P209" i="28"/>
  <c r="P209" i="175"/>
  <c r="P209" i="58"/>
  <c r="P209" i="84"/>
  <c r="P209" i="83"/>
  <c r="P209" i="103"/>
  <c r="P209" i="178"/>
  <c r="P209" i="102"/>
  <c r="P209" i="157"/>
  <c r="P209" i="65"/>
  <c r="P209" i="53"/>
  <c r="P209" i="25"/>
  <c r="P209" i="90"/>
  <c r="P209" i="87"/>
  <c r="P209" i="92"/>
  <c r="P209" i="98"/>
  <c r="P209" i="54"/>
  <c r="P209" i="63"/>
  <c r="P209" i="50"/>
  <c r="P209" i="174"/>
  <c r="P209" i="14"/>
  <c r="P209" i="177"/>
  <c r="P209" i="46"/>
  <c r="P39" i="152"/>
  <c r="P124" i="72"/>
  <c r="P207" i="136"/>
  <c r="P39" i="113"/>
  <c r="P207" i="133"/>
  <c r="P39" i="38"/>
  <c r="P39" i="43"/>
  <c r="P39" i="49"/>
  <c r="P39" i="118"/>
  <c r="P39" i="177"/>
  <c r="P39" i="135"/>
  <c r="P39" i="50"/>
  <c r="P39" i="16"/>
  <c r="P39" i="86"/>
  <c r="P39" i="98"/>
  <c r="P39" i="157"/>
  <c r="P39" i="106"/>
  <c r="P39" i="164"/>
  <c r="P39" i="141"/>
  <c r="P39" i="83"/>
  <c r="P39" i="104"/>
  <c r="P39" i="53"/>
  <c r="P39" i="62"/>
  <c r="P207" i="27"/>
  <c r="P39" i="54"/>
  <c r="P39" i="145"/>
  <c r="P39" i="167"/>
  <c r="P39" i="87"/>
  <c r="P39" i="19"/>
  <c r="P39" i="158"/>
  <c r="P39" i="178"/>
  <c r="P39" i="71"/>
  <c r="P39" i="57"/>
  <c r="P39" i="60"/>
  <c r="P39" i="142"/>
  <c r="P39" i="21"/>
  <c r="P39" i="42"/>
  <c r="P39" i="155"/>
  <c r="P39" i="1"/>
  <c r="P39" i="94"/>
  <c r="P39" i="175"/>
  <c r="P39" i="72"/>
  <c r="P207" i="33"/>
  <c r="P207" i="152"/>
  <c r="P207" i="1"/>
  <c r="P207" i="55"/>
  <c r="P207" i="89"/>
  <c r="P207" i="42"/>
  <c r="P207" i="178"/>
  <c r="P207" i="155"/>
  <c r="P207" i="71"/>
  <c r="P207" i="95"/>
  <c r="P207" i="118"/>
  <c r="P207" i="58"/>
  <c r="P207" i="62"/>
  <c r="P207" i="63"/>
  <c r="P207" i="24"/>
  <c r="P207" i="145"/>
  <c r="P207" i="141"/>
  <c r="P207" i="54"/>
  <c r="P207" i="159"/>
  <c r="P207" i="16"/>
  <c r="P207" i="68"/>
  <c r="P207" i="156"/>
  <c r="P207" i="43"/>
  <c r="P207" i="65"/>
  <c r="P207" i="53"/>
  <c r="P207" i="167"/>
  <c r="P207" i="175"/>
  <c r="P207" i="174"/>
  <c r="P207" i="106"/>
  <c r="P207" i="25"/>
  <c r="P207" i="21"/>
  <c r="P207" i="50"/>
  <c r="P207" i="14"/>
  <c r="P207" i="15"/>
  <c r="P207" i="83"/>
  <c r="P207" i="49"/>
  <c r="P207" i="150"/>
  <c r="P207" i="79"/>
  <c r="P207" i="86"/>
  <c r="P207" i="142"/>
  <c r="P207" i="47"/>
  <c r="P207" i="19"/>
  <c r="P207" i="39"/>
  <c r="P207" i="111"/>
  <c r="P207" i="46"/>
  <c r="P207" i="119"/>
  <c r="P207" i="103"/>
  <c r="P207" i="102"/>
  <c r="P207" i="84"/>
  <c r="P207" i="135"/>
  <c r="P207" i="31"/>
  <c r="P207" i="64"/>
  <c r="P207" i="120"/>
  <c r="P207" i="165"/>
  <c r="P207" i="157"/>
  <c r="P207" i="37"/>
  <c r="P207" i="38"/>
  <c r="P207" i="113"/>
  <c r="P207" i="28"/>
  <c r="P207" i="90"/>
  <c r="P207" i="32"/>
  <c r="P207" i="104"/>
  <c r="P207" i="60"/>
  <c r="P207" i="177"/>
  <c r="P207" i="158"/>
  <c r="P207" i="20"/>
  <c r="P207" i="92"/>
  <c r="P207" i="66"/>
  <c r="P207" i="57"/>
  <c r="P207" i="94"/>
  <c r="P207" i="98"/>
  <c r="P207" i="72"/>
  <c r="P207" i="85"/>
  <c r="P207" i="164"/>
  <c r="P39" i="159"/>
  <c r="P39" i="119"/>
  <c r="P39" i="58"/>
  <c r="P39" i="133"/>
  <c r="P39" i="15"/>
  <c r="P39" i="25"/>
  <c r="P39" i="33"/>
  <c r="P39" i="79"/>
  <c r="P39" i="150"/>
  <c r="P39" i="65"/>
  <c r="P39" i="32"/>
  <c r="P39" i="136"/>
  <c r="P39" i="37"/>
  <c r="P39" i="39"/>
  <c r="P39" i="103"/>
  <c r="P39" i="174"/>
  <c r="P39" i="92"/>
  <c r="P39" i="14"/>
  <c r="P39" i="120"/>
  <c r="P39" i="55"/>
  <c r="P39" i="111"/>
  <c r="P39" i="90"/>
  <c r="P39" i="20"/>
  <c r="P39" i="85"/>
  <c r="P39" i="156"/>
  <c r="P39" i="66"/>
  <c r="P39" i="63"/>
  <c r="P39" i="47"/>
  <c r="P39" i="165"/>
  <c r="P39" i="68"/>
  <c r="P39" i="46"/>
  <c r="P39" i="24"/>
  <c r="P39" i="64"/>
  <c r="P39" i="102"/>
  <c r="P39" i="27"/>
  <c r="P39" i="31"/>
  <c r="P39" i="84"/>
  <c r="P39" i="95"/>
  <c r="P39" i="28"/>
  <c r="P124" i="85"/>
  <c r="P124" i="119"/>
  <c r="P124" i="174"/>
  <c r="P124" i="42"/>
  <c r="P124" i="21"/>
  <c r="P124" i="43"/>
  <c r="P124" i="84"/>
  <c r="P124" i="38"/>
  <c r="P124" i="95"/>
  <c r="P57" i="92"/>
  <c r="P188" i="24"/>
  <c r="P158" i="141"/>
  <c r="P34" i="21"/>
  <c r="P158" i="14"/>
  <c r="P124" i="33"/>
  <c r="P124" i="150"/>
  <c r="P124" i="155"/>
  <c r="P124" i="164"/>
  <c r="P205" i="145"/>
  <c r="P124" i="157"/>
  <c r="P124" i="55"/>
  <c r="P124" i="133"/>
  <c r="P124" i="113"/>
  <c r="P124" i="49"/>
  <c r="P124" i="66"/>
  <c r="P124" i="165"/>
  <c r="P124" i="20"/>
  <c r="P124" i="102"/>
  <c r="P124" i="37"/>
  <c r="P151" i="47"/>
  <c r="P124" i="89"/>
  <c r="P124" i="39"/>
  <c r="P124" i="53"/>
  <c r="P124" i="103"/>
  <c r="P205" i="65"/>
  <c r="P87" i="50"/>
  <c r="P161" i="119"/>
  <c r="P158" i="39"/>
  <c r="P201" i="152"/>
  <c r="P87" i="156"/>
  <c r="P201" i="155"/>
  <c r="P46" i="54"/>
  <c r="P155" i="62"/>
  <c r="P87" i="31"/>
  <c r="P161" i="43"/>
  <c r="P46" i="64"/>
  <c r="P92" i="141"/>
  <c r="P201" i="164"/>
  <c r="P158" i="102"/>
  <c r="P87" i="58"/>
  <c r="P205" i="174"/>
  <c r="P201" i="60"/>
  <c r="P158" i="103"/>
  <c r="P158" i="133"/>
  <c r="P87" i="92"/>
  <c r="P46" i="167"/>
  <c r="P124" i="71"/>
  <c r="P124" i="158"/>
  <c r="P151" i="31"/>
  <c r="P201" i="33"/>
  <c r="P201" i="136"/>
  <c r="P201" i="68"/>
  <c r="P46" i="90"/>
  <c r="P46" i="158"/>
  <c r="P158" i="155"/>
  <c r="P158" i="83"/>
  <c r="P87" i="159"/>
  <c r="P87" i="111"/>
  <c r="P205" i="157"/>
  <c r="P41" i="60"/>
  <c r="P161" i="66"/>
  <c r="P161" i="37"/>
  <c r="P161" i="167"/>
  <c r="P124" i="136"/>
  <c r="P124" i="46"/>
  <c r="P124" i="175"/>
  <c r="P124" i="1"/>
  <c r="P124" i="156"/>
  <c r="P124" i="27"/>
  <c r="P124" i="16"/>
  <c r="P124" i="178"/>
  <c r="P124" i="87"/>
  <c r="P124" i="92"/>
  <c r="P201" i="156"/>
  <c r="P158" i="1"/>
  <c r="P161" i="135"/>
  <c r="P193" i="178"/>
  <c r="P87" i="177"/>
  <c r="P186" i="90"/>
  <c r="P161" i="54"/>
  <c r="P161" i="177"/>
  <c r="P151" i="90"/>
  <c r="P201" i="145"/>
  <c r="P158" i="164"/>
  <c r="P205" i="57"/>
  <c r="P161" i="156"/>
  <c r="P124" i="120"/>
  <c r="P124" i="19"/>
  <c r="P124" i="106"/>
  <c r="P124" i="65"/>
  <c r="P151" i="72"/>
  <c r="P201" i="104"/>
  <c r="P201" i="150"/>
  <c r="P46" i="159"/>
  <c r="P46" i="63"/>
  <c r="P158" i="167"/>
  <c r="P158" i="71"/>
  <c r="P87" i="28"/>
  <c r="P87" i="64"/>
  <c r="P205" i="58"/>
  <c r="P205" i="43"/>
  <c r="P161" i="152"/>
  <c r="P161" i="32"/>
  <c r="P59" i="106"/>
  <c r="P124" i="25"/>
  <c r="P124" i="58"/>
  <c r="P124" i="83"/>
  <c r="P124" i="145"/>
  <c r="P124" i="50"/>
  <c r="P124" i="62"/>
  <c r="P124" i="15"/>
  <c r="P124" i="104"/>
  <c r="P124" i="64"/>
  <c r="P124" i="177"/>
  <c r="P124" i="28"/>
  <c r="P87" i="37"/>
  <c r="P205" i="31"/>
  <c r="P161" i="83"/>
  <c r="P201" i="57"/>
  <c r="P158" i="47"/>
  <c r="P205" i="119"/>
  <c r="P161" i="46"/>
  <c r="P201" i="133"/>
  <c r="P158" i="68"/>
  <c r="P87" i="25"/>
  <c r="P205" i="152"/>
  <c r="P161" i="68"/>
  <c r="P151" i="155"/>
  <c r="P201" i="63"/>
  <c r="P201" i="19"/>
  <c r="P201" i="72"/>
  <c r="P46" i="135"/>
  <c r="P46" i="46"/>
  <c r="P158" i="98"/>
  <c r="P158" i="31"/>
  <c r="P87" i="54"/>
  <c r="P87" i="46"/>
  <c r="P87" i="83"/>
  <c r="P205" i="33"/>
  <c r="P205" i="95"/>
  <c r="P205" i="20"/>
  <c r="P161" i="63"/>
  <c r="P161" i="86"/>
  <c r="P124" i="94"/>
  <c r="P124" i="167"/>
  <c r="P124" i="152"/>
  <c r="P124" i="31"/>
  <c r="P124" i="47"/>
  <c r="P124" i="60"/>
  <c r="P124" i="90"/>
  <c r="P124" i="24"/>
  <c r="P124" i="159"/>
  <c r="P124" i="32"/>
  <c r="P124" i="68"/>
  <c r="P201" i="165"/>
  <c r="P158" i="15"/>
  <c r="P87" i="85"/>
  <c r="P161" i="141"/>
  <c r="P46" i="27"/>
  <c r="P87" i="94"/>
  <c r="P188" i="98"/>
  <c r="P46" i="141"/>
  <c r="P87" i="47"/>
  <c r="P41" i="50"/>
  <c r="P161" i="150"/>
  <c r="P124" i="63"/>
  <c r="P124" i="135"/>
  <c r="P151" i="135"/>
  <c r="P201" i="118"/>
  <c r="P201" i="102"/>
  <c r="P201" i="37"/>
  <c r="P158" i="150"/>
  <c r="P158" i="157"/>
  <c r="P158" i="50"/>
  <c r="P87" i="157"/>
  <c r="P87" i="104"/>
  <c r="P87" i="53"/>
  <c r="P205" i="111"/>
  <c r="P205" i="64"/>
  <c r="P205" i="175"/>
  <c r="P161" i="33"/>
  <c r="P161" i="178"/>
  <c r="P161" i="136"/>
  <c r="P124" i="54"/>
  <c r="P124" i="141"/>
  <c r="P124" i="142"/>
  <c r="P124" i="118"/>
  <c r="P124" i="57"/>
  <c r="P124" i="14"/>
  <c r="P124" i="111"/>
  <c r="P124" i="86"/>
  <c r="P124" i="98"/>
  <c r="P155" i="1"/>
  <c r="P201" i="141"/>
  <c r="P201" i="28"/>
  <c r="P158" i="106"/>
  <c r="P30" i="27"/>
  <c r="P87" i="106"/>
  <c r="P87" i="49"/>
  <c r="P205" i="98"/>
  <c r="P205" i="72"/>
  <c r="P205" i="79"/>
  <c r="P161" i="16"/>
  <c r="P161" i="165"/>
  <c r="P201" i="111"/>
  <c r="P201" i="89"/>
  <c r="P201" i="90"/>
  <c r="P201" i="24"/>
  <c r="P201" i="106"/>
  <c r="P201" i="38"/>
  <c r="P201" i="1"/>
  <c r="P201" i="174"/>
  <c r="P201" i="79"/>
  <c r="P46" i="94"/>
  <c r="P46" i="15"/>
  <c r="P46" i="16"/>
  <c r="P46" i="31"/>
  <c r="P158" i="135"/>
  <c r="P158" i="165"/>
  <c r="P158" i="136"/>
  <c r="P158" i="120"/>
  <c r="P158" i="104"/>
  <c r="P158" i="95"/>
  <c r="P158" i="57"/>
  <c r="P158" i="49"/>
  <c r="P158" i="38"/>
  <c r="P158" i="33"/>
  <c r="P87" i="14"/>
  <c r="P87" i="87"/>
  <c r="P87" i="102"/>
  <c r="P87" i="57"/>
  <c r="P87" i="150"/>
  <c r="P87" i="178"/>
  <c r="P87" i="118"/>
  <c r="P87" i="136"/>
  <c r="P87" i="32"/>
  <c r="P87" i="20"/>
  <c r="P155" i="32"/>
  <c r="P205" i="32"/>
  <c r="P205" i="89"/>
  <c r="P205" i="14"/>
  <c r="P205" i="84"/>
  <c r="P205" i="19"/>
  <c r="P205" i="27"/>
  <c r="P205" i="102"/>
  <c r="P205" i="136"/>
  <c r="P205" i="94"/>
  <c r="P186" i="164"/>
  <c r="P161" i="19"/>
  <c r="P161" i="94"/>
  <c r="P161" i="21"/>
  <c r="P161" i="159"/>
  <c r="P161" i="58"/>
  <c r="P161" i="158"/>
  <c r="P161" i="27"/>
  <c r="P161" i="39"/>
  <c r="P161" i="38"/>
  <c r="P161" i="49"/>
  <c r="P201" i="16"/>
  <c r="P158" i="174"/>
  <c r="P87" i="27"/>
  <c r="P87" i="43"/>
  <c r="P205" i="133"/>
  <c r="P205" i="83"/>
  <c r="P205" i="47"/>
  <c r="P161" i="65"/>
  <c r="P201" i="83"/>
  <c r="P201" i="62"/>
  <c r="P201" i="135"/>
  <c r="P201" i="177"/>
  <c r="P201" i="32"/>
  <c r="P201" i="84"/>
  <c r="P201" i="14"/>
  <c r="P201" i="158"/>
  <c r="P201" i="71"/>
  <c r="P201" i="65"/>
  <c r="P193" i="133"/>
  <c r="P46" i="37"/>
  <c r="P46" i="38"/>
  <c r="P46" i="95"/>
  <c r="P46" i="50"/>
  <c r="P158" i="119"/>
  <c r="P158" i="86"/>
  <c r="P158" i="20"/>
  <c r="P158" i="66"/>
  <c r="P158" i="145"/>
  <c r="P158" i="27"/>
  <c r="P158" i="46"/>
  <c r="P158" i="158"/>
  <c r="P158" i="25"/>
  <c r="P158" i="118"/>
  <c r="P30" i="43"/>
  <c r="P87" i="113"/>
  <c r="P87" i="145"/>
  <c r="P87" i="62"/>
  <c r="P87" i="103"/>
  <c r="P87" i="1"/>
  <c r="P87" i="33"/>
  <c r="P87" i="90"/>
  <c r="P87" i="24"/>
  <c r="P87" i="16"/>
  <c r="P87" i="165"/>
  <c r="P155" i="55"/>
  <c r="P92" i="157"/>
  <c r="P205" i="167"/>
  <c r="P205" i="54"/>
  <c r="P205" i="178"/>
  <c r="P205" i="21"/>
  <c r="P205" i="87"/>
  <c r="P205" i="63"/>
  <c r="P205" i="106"/>
  <c r="P205" i="55"/>
  <c r="P205" i="24"/>
  <c r="P205" i="53"/>
  <c r="P205" i="141"/>
  <c r="P161" i="87"/>
  <c r="P161" i="15"/>
  <c r="P161" i="174"/>
  <c r="P161" i="84"/>
  <c r="P161" i="64"/>
  <c r="P161" i="20"/>
  <c r="P161" i="111"/>
  <c r="P161" i="31"/>
  <c r="P161" i="145"/>
  <c r="P59" i="71"/>
  <c r="P201" i="94"/>
  <c r="P201" i="87"/>
  <c r="P201" i="47"/>
  <c r="P158" i="177"/>
  <c r="P158" i="16"/>
  <c r="P158" i="79"/>
  <c r="P87" i="155"/>
  <c r="P87" i="68"/>
  <c r="P205" i="86"/>
  <c r="P201" i="46"/>
  <c r="P201" i="113"/>
  <c r="P201" i="15"/>
  <c r="P201" i="27"/>
  <c r="P201" i="43"/>
  <c r="P201" i="92"/>
  <c r="P201" i="120"/>
  <c r="P201" i="178"/>
  <c r="P201" i="142"/>
  <c r="P201" i="64"/>
  <c r="P193" i="136"/>
  <c r="P46" i="83"/>
  <c r="P46" i="178"/>
  <c r="P46" i="71"/>
  <c r="P46" i="65"/>
  <c r="P158" i="92"/>
  <c r="P158" i="63"/>
  <c r="P158" i="62"/>
  <c r="P158" i="94"/>
  <c r="P158" i="19"/>
  <c r="P158" i="113"/>
  <c r="P158" i="21"/>
  <c r="P158" i="87"/>
  <c r="P158" i="65"/>
  <c r="P30" i="47"/>
  <c r="P87" i="19"/>
  <c r="P87" i="21"/>
  <c r="P87" i="71"/>
  <c r="P87" i="142"/>
  <c r="P87" i="174"/>
  <c r="P87" i="42"/>
  <c r="P87" i="152"/>
  <c r="P87" i="98"/>
  <c r="P87" i="63"/>
  <c r="P155" i="79"/>
  <c r="P92" i="119"/>
  <c r="P205" i="50"/>
  <c r="P205" i="62"/>
  <c r="P205" i="90"/>
  <c r="P205" i="150"/>
  <c r="P205" i="68"/>
  <c r="P205" i="1"/>
  <c r="P205" i="42"/>
  <c r="P205" i="37"/>
  <c r="P205" i="66"/>
  <c r="P205" i="103"/>
  <c r="P205" i="158"/>
  <c r="P161" i="120"/>
  <c r="P161" i="85"/>
  <c r="P161" i="118"/>
  <c r="P161" i="24"/>
  <c r="P161" i="28"/>
  <c r="P161" i="157"/>
  <c r="P161" i="14"/>
  <c r="P161" i="175"/>
  <c r="P59" i="31"/>
  <c r="P201" i="85"/>
  <c r="P201" i="53"/>
  <c r="P158" i="53"/>
  <c r="P158" i="32"/>
  <c r="P158" i="37"/>
  <c r="P87" i="39"/>
  <c r="P92" i="113"/>
  <c r="P205" i="39"/>
  <c r="P205" i="142"/>
  <c r="P161" i="104"/>
  <c r="P161" i="25"/>
  <c r="P161" i="79"/>
  <c r="P201" i="20"/>
  <c r="P201" i="58"/>
  <c r="P201" i="119"/>
  <c r="P201" i="103"/>
  <c r="P201" i="55"/>
  <c r="P201" i="159"/>
  <c r="P201" i="50"/>
  <c r="P201" i="86"/>
  <c r="P201" i="49"/>
  <c r="P201" i="31"/>
  <c r="P46" i="102"/>
  <c r="P46" i="113"/>
  <c r="P46" i="136"/>
  <c r="P46" i="32"/>
  <c r="P158" i="72"/>
  <c r="P158" i="89"/>
  <c r="P158" i="152"/>
  <c r="P158" i="175"/>
  <c r="P158" i="90"/>
  <c r="P158" i="55"/>
  <c r="P158" i="142"/>
  <c r="P158" i="84"/>
  <c r="P158" i="28"/>
  <c r="P87" i="84"/>
  <c r="P87" i="66"/>
  <c r="P87" i="65"/>
  <c r="P87" i="38"/>
  <c r="P87" i="79"/>
  <c r="P87" i="95"/>
  <c r="P87" i="141"/>
  <c r="P87" i="86"/>
  <c r="P155" i="66"/>
  <c r="P92" i="136"/>
  <c r="P205" i="156"/>
  <c r="P205" i="165"/>
  <c r="P205" i="164"/>
  <c r="P205" i="92"/>
  <c r="P205" i="177"/>
  <c r="P205" i="46"/>
  <c r="P205" i="71"/>
  <c r="P205" i="85"/>
  <c r="P205" i="38"/>
  <c r="P205" i="49"/>
  <c r="P161" i="95"/>
  <c r="P161" i="53"/>
  <c r="P161" i="113"/>
  <c r="P161" i="1"/>
  <c r="P161" i="50"/>
  <c r="P161" i="133"/>
  <c r="P161" i="92"/>
  <c r="P161" i="155"/>
  <c r="P161" i="60"/>
  <c r="P161" i="164"/>
  <c r="P161" i="106"/>
  <c r="P59" i="24"/>
  <c r="P201" i="167"/>
  <c r="P158" i="178"/>
  <c r="P158" i="156"/>
  <c r="P87" i="164"/>
  <c r="P87" i="55"/>
  <c r="P205" i="155"/>
  <c r="P205" i="15"/>
  <c r="P161" i="62"/>
  <c r="P161" i="55"/>
  <c r="P201" i="66"/>
  <c r="P201" i="175"/>
  <c r="P201" i="95"/>
  <c r="P201" i="42"/>
  <c r="P201" i="98"/>
  <c r="P201" i="25"/>
  <c r="P201" i="21"/>
  <c r="P201" i="54"/>
  <c r="P201" i="157"/>
  <c r="P46" i="24"/>
  <c r="P46" i="155"/>
  <c r="P46" i="62"/>
  <c r="P46" i="60"/>
  <c r="P158" i="54"/>
  <c r="P158" i="43"/>
  <c r="P158" i="159"/>
  <c r="P158" i="42"/>
  <c r="P158" i="64"/>
  <c r="P158" i="24"/>
  <c r="P158" i="58"/>
  <c r="P158" i="85"/>
  <c r="P158" i="111"/>
  <c r="P87" i="167"/>
  <c r="P87" i="175"/>
  <c r="P87" i="135"/>
  <c r="P87" i="119"/>
  <c r="P87" i="158"/>
  <c r="P87" i="72"/>
  <c r="P87" i="120"/>
  <c r="P87" i="15"/>
  <c r="P87" i="89"/>
  <c r="P87" i="133"/>
  <c r="P155" i="89"/>
  <c r="P92" i="111"/>
  <c r="P205" i="159"/>
  <c r="P205" i="135"/>
  <c r="P205" i="60"/>
  <c r="P205" i="104"/>
  <c r="P205" i="16"/>
  <c r="P205" i="120"/>
  <c r="P205" i="28"/>
  <c r="P205" i="25"/>
  <c r="P205" i="118"/>
  <c r="P186" i="94"/>
  <c r="P161" i="42"/>
  <c r="P161" i="57"/>
  <c r="P161" i="90"/>
  <c r="P161" i="142"/>
  <c r="P161" i="102"/>
  <c r="P161" i="103"/>
  <c r="P161" i="89"/>
  <c r="P161" i="71"/>
  <c r="P161" i="98"/>
  <c r="P161" i="47"/>
  <c r="P152" i="167"/>
  <c r="P41" i="165"/>
  <c r="P41" i="177"/>
  <c r="P41" i="33"/>
  <c r="P57" i="90"/>
  <c r="P193" i="60"/>
  <c r="P46" i="57"/>
  <c r="P46" i="142"/>
  <c r="P46" i="119"/>
  <c r="P46" i="33"/>
  <c r="P46" i="156"/>
  <c r="P46" i="89"/>
  <c r="P46" i="174"/>
  <c r="P46" i="98"/>
  <c r="P46" i="72"/>
  <c r="P46" i="157"/>
  <c r="P46" i="111"/>
  <c r="P30" i="19"/>
  <c r="P155" i="98"/>
  <c r="P155" i="94"/>
  <c r="P92" i="68"/>
  <c r="P92" i="58"/>
  <c r="P186" i="157"/>
  <c r="P41" i="21"/>
  <c r="P41" i="16"/>
  <c r="P59" i="142"/>
  <c r="P59" i="65"/>
  <c r="P188" i="159"/>
  <c r="P188" i="63"/>
  <c r="P152" i="38"/>
  <c r="P193" i="84"/>
  <c r="P193" i="53"/>
  <c r="P46" i="49"/>
  <c r="P46" i="177"/>
  <c r="P46" i="145"/>
  <c r="P46" i="42"/>
  <c r="P46" i="21"/>
  <c r="P46" i="84"/>
  <c r="P46" i="175"/>
  <c r="P46" i="55"/>
  <c r="P155" i="111"/>
  <c r="P155" i="103"/>
  <c r="P155" i="141"/>
  <c r="P92" i="177"/>
  <c r="P92" i="98"/>
  <c r="P186" i="141"/>
  <c r="P41" i="42"/>
  <c r="P152" i="63"/>
  <c r="P57" i="1"/>
  <c r="P188" i="178"/>
  <c r="P188" i="119"/>
  <c r="P193" i="16"/>
  <c r="P193" i="83"/>
  <c r="P46" i="106"/>
  <c r="P46" i="165"/>
  <c r="P46" i="118"/>
  <c r="P46" i="150"/>
  <c r="P46" i="92"/>
  <c r="P46" i="66"/>
  <c r="P46" i="58"/>
  <c r="P46" i="133"/>
  <c r="P46" i="43"/>
  <c r="P155" i="92"/>
  <c r="P155" i="31"/>
  <c r="P92" i="47"/>
  <c r="P92" i="60"/>
  <c r="P92" i="83"/>
  <c r="P186" i="58"/>
  <c r="P152" i="103"/>
  <c r="P59" i="177"/>
  <c r="P57" i="111"/>
  <c r="P188" i="85"/>
  <c r="P193" i="113"/>
  <c r="P46" i="20"/>
  <c r="P46" i="25"/>
  <c r="P46" i="19"/>
  <c r="P46" i="104"/>
  <c r="P46" i="152"/>
  <c r="P46" i="86"/>
  <c r="P46" i="85"/>
  <c r="P46" i="14"/>
  <c r="P46" i="120"/>
  <c r="P155" i="119"/>
  <c r="P92" i="37"/>
  <c r="P92" i="54"/>
  <c r="P92" i="164"/>
  <c r="P186" i="14"/>
  <c r="P186" i="33"/>
  <c r="P41" i="79"/>
  <c r="P152" i="135"/>
  <c r="P59" i="111"/>
  <c r="P57" i="177"/>
  <c r="P188" i="42"/>
  <c r="P193" i="68"/>
  <c r="P46" i="28"/>
  <c r="P46" i="68"/>
  <c r="P46" i="79"/>
  <c r="P46" i="103"/>
  <c r="P46" i="47"/>
  <c r="P46" i="53"/>
  <c r="P46" i="1"/>
  <c r="P46" i="164"/>
  <c r="P46" i="87"/>
  <c r="P155" i="177"/>
  <c r="P155" i="83"/>
  <c r="P92" i="133"/>
  <c r="P92" i="150"/>
  <c r="P92" i="33"/>
  <c r="P186" i="120"/>
  <c r="P186" i="95"/>
  <c r="P41" i="155"/>
  <c r="P152" i="19"/>
  <c r="P59" i="14"/>
  <c r="P57" i="47"/>
  <c r="P188" i="16"/>
  <c r="P152" i="152"/>
  <c r="P152" i="64"/>
  <c r="P57" i="31"/>
  <c r="P57" i="79"/>
  <c r="P152" i="42"/>
  <c r="P152" i="16"/>
  <c r="P57" i="98"/>
  <c r="P30" i="165"/>
  <c r="P155" i="178"/>
  <c r="P155" i="104"/>
  <c r="P155" i="156"/>
  <c r="P155" i="49"/>
  <c r="P92" i="167"/>
  <c r="P92" i="64"/>
  <c r="P92" i="158"/>
  <c r="P92" i="174"/>
  <c r="P44" i="167"/>
  <c r="P152" i="50"/>
  <c r="P152" i="113"/>
  <c r="P34" i="53"/>
  <c r="P57" i="102"/>
  <c r="P57" i="60"/>
  <c r="P164" i="103"/>
  <c r="P44" i="152"/>
  <c r="P30" i="49"/>
  <c r="P155" i="37"/>
  <c r="P155" i="145"/>
  <c r="P155" i="27"/>
  <c r="P92" i="25"/>
  <c r="P92" i="95"/>
  <c r="P92" i="21"/>
  <c r="P152" i="136"/>
  <c r="P152" i="27"/>
  <c r="P57" i="42"/>
  <c r="P57" i="63"/>
  <c r="P147" i="158"/>
  <c r="P164" i="85"/>
  <c r="P44" i="165"/>
  <c r="P57" i="58"/>
  <c r="P30" i="98"/>
  <c r="P155" i="65"/>
  <c r="P155" i="133"/>
  <c r="P155" i="58"/>
  <c r="P155" i="15"/>
  <c r="P92" i="46"/>
  <c r="P92" i="43"/>
  <c r="P92" i="102"/>
  <c r="P92" i="155"/>
  <c r="P152" i="90"/>
  <c r="P152" i="33"/>
  <c r="P34" i="164"/>
  <c r="P57" i="24"/>
  <c r="P147" i="165"/>
  <c r="P44" i="71"/>
  <c r="P147" i="111"/>
  <c r="P164" i="37"/>
  <c r="P164" i="90"/>
  <c r="P30" i="150"/>
  <c r="P30" i="159"/>
  <c r="P155" i="25"/>
  <c r="P155" i="90"/>
  <c r="P155" i="53"/>
  <c r="P155" i="19"/>
  <c r="P155" i="60"/>
  <c r="P155" i="152"/>
  <c r="P155" i="42"/>
  <c r="P155" i="33"/>
  <c r="P155" i="72"/>
  <c r="P92" i="94"/>
  <c r="P92" i="55"/>
  <c r="P92" i="85"/>
  <c r="P92" i="63"/>
  <c r="P92" i="14"/>
  <c r="P92" i="103"/>
  <c r="P92" i="156"/>
  <c r="P92" i="19"/>
  <c r="P92" i="42"/>
  <c r="P92" i="24"/>
  <c r="P92" i="86"/>
  <c r="P44" i="60"/>
  <c r="P147" i="155"/>
  <c r="P147" i="167"/>
  <c r="P147" i="43"/>
  <c r="P164" i="164"/>
  <c r="P44" i="94"/>
  <c r="P147" i="50"/>
  <c r="P147" i="68"/>
  <c r="P30" i="83"/>
  <c r="P30" i="145"/>
  <c r="P30" i="79"/>
  <c r="P155" i="39"/>
  <c r="P155" i="28"/>
  <c r="P155" i="87"/>
  <c r="P155" i="136"/>
  <c r="P155" i="68"/>
  <c r="P155" i="16"/>
  <c r="P155" i="165"/>
  <c r="P155" i="95"/>
  <c r="P155" i="24"/>
  <c r="P92" i="66"/>
  <c r="P92" i="27"/>
  <c r="P92" i="120"/>
  <c r="P92" i="20"/>
  <c r="P92" i="53"/>
  <c r="P92" i="57"/>
  <c r="P92" i="38"/>
  <c r="P92" i="106"/>
  <c r="P92" i="152"/>
  <c r="P44" i="89"/>
  <c r="P44" i="57"/>
  <c r="P44" i="63"/>
  <c r="P147" i="38"/>
  <c r="P147" i="49"/>
  <c r="P164" i="65"/>
  <c r="P164" i="54"/>
  <c r="P164" i="113"/>
  <c r="P44" i="113"/>
  <c r="P164" i="133"/>
  <c r="P30" i="14"/>
  <c r="P30" i="72"/>
  <c r="P155" i="50"/>
  <c r="P155" i="71"/>
  <c r="P155" i="113"/>
  <c r="P155" i="63"/>
  <c r="P155" i="142"/>
  <c r="P155" i="47"/>
  <c r="P155" i="20"/>
  <c r="P155" i="54"/>
  <c r="P155" i="135"/>
  <c r="P155" i="155"/>
  <c r="P155" i="38"/>
  <c r="P92" i="50"/>
  <c r="P92" i="71"/>
  <c r="P92" i="175"/>
  <c r="P92" i="159"/>
  <c r="P92" i="1"/>
  <c r="P92" i="65"/>
  <c r="P92" i="118"/>
  <c r="P92" i="62"/>
  <c r="P92" i="39"/>
  <c r="P92" i="90"/>
  <c r="P44" i="118"/>
  <c r="P44" i="47"/>
  <c r="P44" i="62"/>
  <c r="P147" i="71"/>
  <c r="P147" i="136"/>
  <c r="P164" i="53"/>
  <c r="P164" i="79"/>
  <c r="P164" i="57"/>
  <c r="P44" i="49"/>
  <c r="P147" i="174"/>
  <c r="P30" i="25"/>
  <c r="P30" i="158"/>
  <c r="P30" i="90"/>
  <c r="P155" i="43"/>
  <c r="P155" i="21"/>
  <c r="P155" i="57"/>
  <c r="P155" i="167"/>
  <c r="P155" i="159"/>
  <c r="P155" i="158"/>
  <c r="P155" i="175"/>
  <c r="P155" i="14"/>
  <c r="P155" i="150"/>
  <c r="P155" i="46"/>
  <c r="P155" i="120"/>
  <c r="P92" i="49"/>
  <c r="P92" i="89"/>
  <c r="P92" i="178"/>
  <c r="P92" i="32"/>
  <c r="P92" i="15"/>
  <c r="P92" i="104"/>
  <c r="P92" i="165"/>
  <c r="P92" i="87"/>
  <c r="P44" i="111"/>
  <c r="P44" i="1"/>
  <c r="P44" i="92"/>
  <c r="P147" i="164"/>
  <c r="P147" i="159"/>
  <c r="P164" i="118"/>
  <c r="P164" i="92"/>
  <c r="P164" i="15"/>
  <c r="P44" i="86"/>
  <c r="P147" i="175"/>
  <c r="P147" i="86"/>
  <c r="P164" i="95"/>
  <c r="P164" i="83"/>
  <c r="P30" i="133"/>
  <c r="P30" i="155"/>
  <c r="P30" i="54"/>
  <c r="P155" i="106"/>
  <c r="P155" i="174"/>
  <c r="P155" i="164"/>
  <c r="P155" i="118"/>
  <c r="P155" i="157"/>
  <c r="P155" i="64"/>
  <c r="P155" i="86"/>
  <c r="P155" i="84"/>
  <c r="P155" i="102"/>
  <c r="P92" i="16"/>
  <c r="P92" i="135"/>
  <c r="P92" i="84"/>
  <c r="P92" i="145"/>
  <c r="P92" i="72"/>
  <c r="P92" i="142"/>
  <c r="P92" i="92"/>
  <c r="P92" i="79"/>
  <c r="P92" i="28"/>
  <c r="P44" i="150"/>
  <c r="P44" i="155"/>
  <c r="P147" i="31"/>
  <c r="P147" i="178"/>
  <c r="P164" i="71"/>
  <c r="P30" i="167"/>
  <c r="P30" i="156"/>
  <c r="P30" i="58"/>
  <c r="P30" i="42"/>
  <c r="P30" i="64"/>
  <c r="P30" i="66"/>
  <c r="P30" i="53"/>
  <c r="P30" i="178"/>
  <c r="P30" i="136"/>
  <c r="P30" i="86"/>
  <c r="P30" i="50"/>
  <c r="P30" i="24"/>
  <c r="P30" i="38"/>
  <c r="P30" i="119"/>
  <c r="P30" i="1"/>
  <c r="P30" i="106"/>
  <c r="P30" i="102"/>
  <c r="P30" i="89"/>
  <c r="P30" i="28"/>
  <c r="P30" i="87"/>
  <c r="P30" i="65"/>
  <c r="P30" i="60"/>
  <c r="P30" i="85"/>
  <c r="P30" i="157"/>
  <c r="P30" i="152"/>
  <c r="P30" i="32"/>
  <c r="P30" i="113"/>
  <c r="P30" i="31"/>
  <c r="P30" i="175"/>
  <c r="P30" i="15"/>
  <c r="P30" i="92"/>
  <c r="P30" i="103"/>
  <c r="P30" i="164"/>
  <c r="P30" i="95"/>
  <c r="P30" i="141"/>
  <c r="P30" i="118"/>
  <c r="P30" i="16"/>
  <c r="P30" i="63"/>
  <c r="P30" i="84"/>
  <c r="P30" i="177"/>
  <c r="P30" i="37"/>
  <c r="P30" i="39"/>
  <c r="P30" i="111"/>
  <c r="P30" i="46"/>
  <c r="P30" i="20"/>
  <c r="P30" i="135"/>
  <c r="P30" i="104"/>
  <c r="P30" i="21"/>
  <c r="P30" i="94"/>
  <c r="P30" i="33"/>
  <c r="P30" i="68"/>
  <c r="P30" i="62"/>
  <c r="P30" i="142"/>
  <c r="P30" i="120"/>
  <c r="P30" i="174"/>
  <c r="P30" i="57"/>
  <c r="P30" i="71"/>
  <c r="P34" i="85"/>
  <c r="P34" i="94"/>
  <c r="P34" i="102"/>
  <c r="P34" i="142"/>
  <c r="P182" i="64"/>
  <c r="P34" i="47"/>
  <c r="P34" i="39"/>
  <c r="P166" i="72"/>
  <c r="P166" i="90"/>
  <c r="P166" i="16"/>
  <c r="P202" i="16"/>
  <c r="P166" i="159"/>
  <c r="P166" i="43"/>
  <c r="P166" i="37"/>
  <c r="P166" i="174"/>
  <c r="P166" i="57"/>
  <c r="P166" i="135"/>
  <c r="P166" i="64"/>
  <c r="P166" i="39"/>
  <c r="P202" i="119"/>
  <c r="P202" i="64"/>
  <c r="P202" i="66"/>
  <c r="P202" i="37"/>
  <c r="P202" i="50"/>
  <c r="P202" i="71"/>
  <c r="P202" i="55"/>
  <c r="P166" i="49"/>
  <c r="P166" i="27"/>
  <c r="P166" i="136"/>
  <c r="P166" i="33"/>
  <c r="P166" i="53"/>
  <c r="P202" i="157"/>
  <c r="P193" i="37"/>
  <c r="P193" i="32"/>
  <c r="P193" i="49"/>
  <c r="P193" i="54"/>
  <c r="P186" i="53"/>
  <c r="P186" i="85"/>
  <c r="P186" i="21"/>
  <c r="P186" i="98"/>
  <c r="P41" i="27"/>
  <c r="P41" i="103"/>
  <c r="P41" i="98"/>
  <c r="P41" i="102"/>
  <c r="P41" i="159"/>
  <c r="P59" i="120"/>
  <c r="P59" i="55"/>
  <c r="P59" i="164"/>
  <c r="P59" i="46"/>
  <c r="P188" i="66"/>
  <c r="P188" i="65"/>
  <c r="P188" i="92"/>
  <c r="P188" i="57"/>
  <c r="P188" i="158"/>
  <c r="P76" i="33"/>
  <c r="P76" i="135"/>
  <c r="P76" i="79"/>
  <c r="P76" i="25"/>
  <c r="P76" i="66"/>
  <c r="P76" i="158"/>
  <c r="P166" i="24"/>
  <c r="P166" i="31"/>
  <c r="P151" i="85"/>
  <c r="P193" i="20"/>
  <c r="P193" i="145"/>
  <c r="P193" i="102"/>
  <c r="P193" i="118"/>
  <c r="P166" i="28"/>
  <c r="P186" i="24"/>
  <c r="P186" i="84"/>
  <c r="P186" i="55"/>
  <c r="P186" i="19"/>
  <c r="P186" i="106"/>
  <c r="P41" i="119"/>
  <c r="P41" i="71"/>
  <c r="P41" i="46"/>
  <c r="P41" i="72"/>
  <c r="P41" i="104"/>
  <c r="P76" i="21"/>
  <c r="P59" i="167"/>
  <c r="P59" i="178"/>
  <c r="P59" i="159"/>
  <c r="P59" i="133"/>
  <c r="P59" i="89"/>
  <c r="P59" i="58"/>
  <c r="P188" i="102"/>
  <c r="P188" i="19"/>
  <c r="P188" i="50"/>
  <c r="P182" i="14"/>
  <c r="P166" i="14"/>
  <c r="P166" i="98"/>
  <c r="P166" i="177"/>
  <c r="P202" i="145"/>
  <c r="P202" i="175"/>
  <c r="P202" i="53"/>
  <c r="P202" i="39"/>
  <c r="P202" i="14"/>
  <c r="P202" i="155"/>
  <c r="P202" i="111"/>
  <c r="P202" i="87"/>
  <c r="P202" i="72"/>
  <c r="P202" i="21"/>
  <c r="P202" i="15"/>
  <c r="P202" i="43"/>
  <c r="P202" i="84"/>
  <c r="P202" i="65"/>
  <c r="P202" i="24"/>
  <c r="P188" i="27"/>
  <c r="P188" i="95"/>
  <c r="P188" i="62"/>
  <c r="P188" i="64"/>
  <c r="P188" i="177"/>
  <c r="P188" i="60"/>
  <c r="P188" i="32"/>
  <c r="P188" i="39"/>
  <c r="P188" i="175"/>
  <c r="P188" i="79"/>
  <c r="P188" i="47"/>
  <c r="P188" i="104"/>
  <c r="P188" i="94"/>
  <c r="P188" i="68"/>
  <c r="P188" i="58"/>
  <c r="P188" i="142"/>
  <c r="P188" i="111"/>
  <c r="P188" i="72"/>
  <c r="P188" i="53"/>
  <c r="P188" i="31"/>
  <c r="P188" i="165"/>
  <c r="P188" i="25"/>
  <c r="P188" i="49"/>
  <c r="P188" i="20"/>
  <c r="P188" i="90"/>
  <c r="P188" i="54"/>
  <c r="P188" i="141"/>
  <c r="P188" i="120"/>
  <c r="P188" i="157"/>
  <c r="P188" i="136"/>
  <c r="P188" i="1"/>
  <c r="P188" i="71"/>
  <c r="P188" i="152"/>
  <c r="P188" i="87"/>
  <c r="P188" i="38"/>
  <c r="P188" i="43"/>
  <c r="P188" i="86"/>
  <c r="P188" i="174"/>
  <c r="P188" i="118"/>
  <c r="P188" i="106"/>
  <c r="P188" i="155"/>
  <c r="P188" i="84"/>
  <c r="P188" i="83"/>
  <c r="P193" i="98"/>
  <c r="P193" i="19"/>
  <c r="P193" i="38"/>
  <c r="P193" i="39"/>
  <c r="P193" i="28"/>
  <c r="P193" i="158"/>
  <c r="P193" i="71"/>
  <c r="P193" i="21"/>
  <c r="P193" i="66"/>
  <c r="P193" i="27"/>
  <c r="P193" i="103"/>
  <c r="P193" i="111"/>
  <c r="P193" i="31"/>
  <c r="P193" i="164"/>
  <c r="P193" i="94"/>
  <c r="P193" i="135"/>
  <c r="P193" i="79"/>
  <c r="P193" i="72"/>
  <c r="P193" i="142"/>
  <c r="P193" i="95"/>
  <c r="P193" i="55"/>
  <c r="P193" i="175"/>
  <c r="P193" i="85"/>
  <c r="P193" i="50"/>
  <c r="P193" i="64"/>
  <c r="P193" i="167"/>
  <c r="P193" i="65"/>
  <c r="P193" i="156"/>
  <c r="P193" i="120"/>
  <c r="P193" i="157"/>
  <c r="P193" i="119"/>
  <c r="P193" i="159"/>
  <c r="P193" i="92"/>
  <c r="P193" i="141"/>
  <c r="P193" i="15"/>
  <c r="P193" i="1"/>
  <c r="P193" i="104"/>
  <c r="P193" i="89"/>
  <c r="P193" i="87"/>
  <c r="P193" i="86"/>
  <c r="P186" i="156"/>
  <c r="P41" i="53"/>
  <c r="P59" i="62"/>
  <c r="P188" i="14"/>
  <c r="P51" i="83"/>
  <c r="P51" i="24"/>
  <c r="P51" i="90"/>
  <c r="P142" i="133"/>
  <c r="P142" i="68"/>
  <c r="P142" i="27"/>
  <c r="P142" i="103"/>
  <c r="P193" i="42"/>
  <c r="P186" i="66"/>
  <c r="P186" i="158"/>
  <c r="P186" i="83"/>
  <c r="P186" i="133"/>
  <c r="P41" i="63"/>
  <c r="P41" i="24"/>
  <c r="P41" i="54"/>
  <c r="P41" i="85"/>
  <c r="P41" i="38"/>
  <c r="P76" i="71"/>
  <c r="P59" i="50"/>
  <c r="P59" i="145"/>
  <c r="P59" i="102"/>
  <c r="P59" i="63"/>
  <c r="P188" i="55"/>
  <c r="P188" i="89"/>
  <c r="P188" i="135"/>
  <c r="P188" i="167"/>
  <c r="P166" i="32"/>
  <c r="P34" i="90"/>
  <c r="P34" i="49"/>
  <c r="P34" i="111"/>
  <c r="P34" i="79"/>
  <c r="P34" i="158"/>
  <c r="P34" i="46"/>
  <c r="P34" i="156"/>
  <c r="P34" i="72"/>
  <c r="P34" i="24"/>
  <c r="P34" i="84"/>
  <c r="P166" i="94"/>
  <c r="P202" i="27"/>
  <c r="P202" i="92"/>
  <c r="P186" i="64"/>
  <c r="P186" i="16"/>
  <c r="P186" i="49"/>
  <c r="P186" i="135"/>
  <c r="P186" i="175"/>
  <c r="P186" i="87"/>
  <c r="P186" i="20"/>
  <c r="P186" i="89"/>
  <c r="P186" i="65"/>
  <c r="P186" i="46"/>
  <c r="P186" i="136"/>
  <c r="P186" i="42"/>
  <c r="P186" i="174"/>
  <c r="P186" i="86"/>
  <c r="P186" i="119"/>
  <c r="P186" i="145"/>
  <c r="P186" i="178"/>
  <c r="P186" i="50"/>
  <c r="P186" i="142"/>
  <c r="P186" i="25"/>
  <c r="P186" i="79"/>
  <c r="P186" i="39"/>
  <c r="P186" i="118"/>
  <c r="P186" i="32"/>
  <c r="P186" i="155"/>
  <c r="P186" i="60"/>
  <c r="P186" i="38"/>
  <c r="P186" i="159"/>
  <c r="P186" i="31"/>
  <c r="P186" i="104"/>
  <c r="P186" i="71"/>
  <c r="P186" i="27"/>
  <c r="P186" i="72"/>
  <c r="P186" i="165"/>
  <c r="P186" i="62"/>
  <c r="P186" i="57"/>
  <c r="P186" i="68"/>
  <c r="P186" i="177"/>
  <c r="P186" i="113"/>
  <c r="P186" i="167"/>
  <c r="P193" i="63"/>
  <c r="P193" i="90"/>
  <c r="P186" i="47"/>
  <c r="P186" i="54"/>
  <c r="P41" i="14"/>
  <c r="P41" i="111"/>
  <c r="P59" i="32"/>
  <c r="P59" i="135"/>
  <c r="P188" i="164"/>
  <c r="P188" i="156"/>
  <c r="P182" i="102"/>
  <c r="P182" i="20"/>
  <c r="P182" i="156"/>
  <c r="P166" i="157"/>
  <c r="P166" i="178"/>
  <c r="P166" i="60"/>
  <c r="P166" i="79"/>
  <c r="P166" i="150"/>
  <c r="P166" i="1"/>
  <c r="P166" i="165"/>
  <c r="P166" i="142"/>
  <c r="P166" i="145"/>
  <c r="P166" i="50"/>
  <c r="P166" i="133"/>
  <c r="P166" i="62"/>
  <c r="P166" i="95"/>
  <c r="P166" i="104"/>
  <c r="P166" i="71"/>
  <c r="P166" i="155"/>
  <c r="P166" i="103"/>
  <c r="P166" i="87"/>
  <c r="P166" i="113"/>
  <c r="P166" i="63"/>
  <c r="P166" i="120"/>
  <c r="P166" i="20"/>
  <c r="P166" i="86"/>
  <c r="P166" i="156"/>
  <c r="P166" i="25"/>
  <c r="P166" i="167"/>
  <c r="P166" i="175"/>
  <c r="P166" i="65"/>
  <c r="P166" i="102"/>
  <c r="P166" i="89"/>
  <c r="P166" i="66"/>
  <c r="P166" i="84"/>
  <c r="P166" i="92"/>
  <c r="P166" i="42"/>
  <c r="P166" i="21"/>
  <c r="P166" i="119"/>
  <c r="P166" i="111"/>
  <c r="P193" i="174"/>
  <c r="P193" i="155"/>
  <c r="P193" i="165"/>
  <c r="P166" i="47"/>
  <c r="P142" i="64"/>
  <c r="P151" i="103"/>
  <c r="P193" i="33"/>
  <c r="P193" i="57"/>
  <c r="P193" i="47"/>
  <c r="P193" i="177"/>
  <c r="P193" i="43"/>
  <c r="P166" i="118"/>
  <c r="P186" i="43"/>
  <c r="P186" i="103"/>
  <c r="P186" i="150"/>
  <c r="P186" i="111"/>
  <c r="P41" i="15"/>
  <c r="P41" i="92"/>
  <c r="P41" i="156"/>
  <c r="P76" i="87"/>
  <c r="P59" i="165"/>
  <c r="P59" i="118"/>
  <c r="P59" i="39"/>
  <c r="P59" i="86"/>
  <c r="P188" i="145"/>
  <c r="P188" i="150"/>
  <c r="P188" i="103"/>
  <c r="P188" i="33"/>
  <c r="P188" i="37"/>
  <c r="P51" i="15"/>
  <c r="P166" i="164"/>
  <c r="P166" i="19"/>
  <c r="P166" i="38"/>
  <c r="P202" i="95"/>
  <c r="P202" i="89"/>
  <c r="P59" i="60"/>
  <c r="P59" i="25"/>
  <c r="P59" i="156"/>
  <c r="P59" i="85"/>
  <c r="P59" i="83"/>
  <c r="P59" i="66"/>
  <c r="P59" i="94"/>
  <c r="P59" i="158"/>
  <c r="P59" i="47"/>
  <c r="P59" i="16"/>
  <c r="P59" i="53"/>
  <c r="P59" i="38"/>
  <c r="P59" i="87"/>
  <c r="P59" i="21"/>
  <c r="P59" i="113"/>
  <c r="P59" i="72"/>
  <c r="P59" i="150"/>
  <c r="P59" i="141"/>
  <c r="P59" i="175"/>
  <c r="P59" i="37"/>
  <c r="P59" i="174"/>
  <c r="P59" i="84"/>
  <c r="P59" i="98"/>
  <c r="P59" i="19"/>
  <c r="P59" i="155"/>
  <c r="P59" i="136"/>
  <c r="P59" i="33"/>
  <c r="P59" i="57"/>
  <c r="P59" i="43"/>
  <c r="P59" i="54"/>
  <c r="P59" i="20"/>
  <c r="P59" i="1"/>
  <c r="P59" i="68"/>
  <c r="P59" i="15"/>
  <c r="P59" i="157"/>
  <c r="P59" i="119"/>
  <c r="P59" i="42"/>
  <c r="P59" i="90"/>
  <c r="P59" i="28"/>
  <c r="P59" i="79"/>
  <c r="P41" i="68"/>
  <c r="P41" i="175"/>
  <c r="P41" i="19"/>
  <c r="P41" i="64"/>
  <c r="P41" i="106"/>
  <c r="P41" i="135"/>
  <c r="P41" i="152"/>
  <c r="P41" i="49"/>
  <c r="P41" i="158"/>
  <c r="P41" i="141"/>
  <c r="P41" i="66"/>
  <c r="P41" i="157"/>
  <c r="P41" i="58"/>
  <c r="P41" i="37"/>
  <c r="P41" i="86"/>
  <c r="P41" i="28"/>
  <c r="P41" i="55"/>
  <c r="P41" i="89"/>
  <c r="P41" i="94"/>
  <c r="P41" i="95"/>
  <c r="P41" i="43"/>
  <c r="P41" i="83"/>
  <c r="P41" i="118"/>
  <c r="P41" i="20"/>
  <c r="P41" i="113"/>
  <c r="P41" i="62"/>
  <c r="P41" i="174"/>
  <c r="P41" i="84"/>
  <c r="P41" i="145"/>
  <c r="P41" i="178"/>
  <c r="P41" i="32"/>
  <c r="P41" i="1"/>
  <c r="P41" i="120"/>
  <c r="P41" i="142"/>
  <c r="P41" i="167"/>
  <c r="P41" i="136"/>
  <c r="P41" i="150"/>
  <c r="P41" i="39"/>
  <c r="P41" i="57"/>
  <c r="P193" i="62"/>
  <c r="P193" i="25"/>
  <c r="P186" i="92"/>
  <c r="P186" i="28"/>
  <c r="P41" i="31"/>
  <c r="P41" i="133"/>
  <c r="P59" i="103"/>
  <c r="P59" i="64"/>
  <c r="P188" i="113"/>
  <c r="P151" i="104"/>
  <c r="P193" i="152"/>
  <c r="P193" i="24"/>
  <c r="P151" i="19"/>
  <c r="P151" i="1"/>
  <c r="P193" i="106"/>
  <c r="P193" i="58"/>
  <c r="P193" i="150"/>
  <c r="P193" i="46"/>
  <c r="P166" i="68"/>
  <c r="P186" i="1"/>
  <c r="P186" i="152"/>
  <c r="P186" i="102"/>
  <c r="P186" i="37"/>
  <c r="P186" i="63"/>
  <c r="P186" i="15"/>
  <c r="P41" i="87"/>
  <c r="P41" i="47"/>
  <c r="P41" i="90"/>
  <c r="P41" i="164"/>
  <c r="P41" i="65"/>
  <c r="P76" i="14"/>
  <c r="P59" i="92"/>
  <c r="P59" i="49"/>
  <c r="P59" i="27"/>
  <c r="P59" i="104"/>
  <c r="P59" i="152"/>
  <c r="P188" i="133"/>
  <c r="P188" i="21"/>
  <c r="P188" i="46"/>
  <c r="P188" i="28"/>
  <c r="P51" i="20"/>
  <c r="P166" i="54"/>
  <c r="P166" i="15"/>
  <c r="P166" i="141"/>
  <c r="P202" i="49"/>
  <c r="P202" i="118"/>
  <c r="P151" i="57"/>
  <c r="P151" i="167"/>
  <c r="P76" i="32"/>
  <c r="P76" i="111"/>
  <c r="P76" i="94"/>
  <c r="P76" i="39"/>
  <c r="P151" i="62"/>
  <c r="P151" i="165"/>
  <c r="P151" i="178"/>
  <c r="P76" i="175"/>
  <c r="P76" i="50"/>
  <c r="P76" i="31"/>
  <c r="P44" i="119"/>
  <c r="P44" i="15"/>
  <c r="P147" i="87"/>
  <c r="P147" i="94"/>
  <c r="P164" i="39"/>
  <c r="P164" i="167"/>
  <c r="P151" i="25"/>
  <c r="P151" i="83"/>
  <c r="P151" i="21"/>
  <c r="P151" i="133"/>
  <c r="P151" i="119"/>
  <c r="P151" i="20"/>
  <c r="P142" i="136"/>
  <c r="P76" i="37"/>
  <c r="P76" i="63"/>
  <c r="P76" i="47"/>
  <c r="P76" i="167"/>
  <c r="P76" i="65"/>
  <c r="P76" i="83"/>
  <c r="P76" i="104"/>
  <c r="P76" i="57"/>
  <c r="P76" i="90"/>
  <c r="P76" i="102"/>
  <c r="P76" i="43"/>
  <c r="P44" i="135"/>
  <c r="P44" i="28"/>
  <c r="P44" i="145"/>
  <c r="P44" i="85"/>
  <c r="P44" i="104"/>
  <c r="P44" i="136"/>
  <c r="P44" i="158"/>
  <c r="P44" i="66"/>
  <c r="P44" i="25"/>
  <c r="P152" i="155"/>
  <c r="P152" i="111"/>
  <c r="P152" i="62"/>
  <c r="P152" i="164"/>
  <c r="P57" i="136"/>
  <c r="P57" i="150"/>
  <c r="P57" i="25"/>
  <c r="P182" i="95"/>
  <c r="P147" i="102"/>
  <c r="P147" i="66"/>
  <c r="P147" i="104"/>
  <c r="P147" i="62"/>
  <c r="P147" i="98"/>
  <c r="P147" i="46"/>
  <c r="P147" i="64"/>
  <c r="P147" i="118"/>
  <c r="P147" i="119"/>
  <c r="P147" i="33"/>
  <c r="P147" i="57"/>
  <c r="P164" i="16"/>
  <c r="P164" i="145"/>
  <c r="P164" i="46"/>
  <c r="P164" i="135"/>
  <c r="P164" i="72"/>
  <c r="P164" i="62"/>
  <c r="P164" i="21"/>
  <c r="P164" i="104"/>
  <c r="P164" i="152"/>
  <c r="P164" i="32"/>
  <c r="P51" i="135"/>
  <c r="P166" i="158"/>
  <c r="P166" i="106"/>
  <c r="P166" i="83"/>
  <c r="P202" i="113"/>
  <c r="P202" i="164"/>
  <c r="P202" i="150"/>
  <c r="P202" i="178"/>
  <c r="P202" i="174"/>
  <c r="P202" i="20"/>
  <c r="P151" i="152"/>
  <c r="P151" i="55"/>
  <c r="P151" i="39"/>
  <c r="P76" i="120"/>
  <c r="P76" i="49"/>
  <c r="P151" i="94"/>
  <c r="P151" i="79"/>
  <c r="P76" i="55"/>
  <c r="P76" i="133"/>
  <c r="P44" i="178"/>
  <c r="P44" i="68"/>
  <c r="P44" i="20"/>
  <c r="P147" i="58"/>
  <c r="P147" i="84"/>
  <c r="P147" i="89"/>
  <c r="P164" i="66"/>
  <c r="P151" i="92"/>
  <c r="P151" i="118"/>
  <c r="P151" i="49"/>
  <c r="P151" i="142"/>
  <c r="P76" i="119"/>
  <c r="P76" i="1"/>
  <c r="P76" i="68"/>
  <c r="P44" i="90"/>
  <c r="P44" i="159"/>
  <c r="P44" i="175"/>
  <c r="P147" i="47"/>
  <c r="P147" i="103"/>
  <c r="P164" i="50"/>
  <c r="P164" i="58"/>
  <c r="P164" i="150"/>
  <c r="P51" i="28"/>
  <c r="P151" i="42"/>
  <c r="P151" i="158"/>
  <c r="P151" i="71"/>
  <c r="P151" i="24"/>
  <c r="P151" i="53"/>
  <c r="P151" i="164"/>
  <c r="P151" i="175"/>
  <c r="P151" i="14"/>
  <c r="P151" i="106"/>
  <c r="P151" i="65"/>
  <c r="P142" i="38"/>
  <c r="P142" i="135"/>
  <c r="P76" i="174"/>
  <c r="P76" i="157"/>
  <c r="P76" i="118"/>
  <c r="P76" i="155"/>
  <c r="P76" i="64"/>
  <c r="P76" i="142"/>
  <c r="P76" i="27"/>
  <c r="P76" i="89"/>
  <c r="P76" i="54"/>
  <c r="P76" i="85"/>
  <c r="P44" i="64"/>
  <c r="P44" i="98"/>
  <c r="P44" i="16"/>
  <c r="P44" i="174"/>
  <c r="P44" i="46"/>
  <c r="P44" i="53"/>
  <c r="P44" i="50"/>
  <c r="P44" i="37"/>
  <c r="P44" i="157"/>
  <c r="P44" i="95"/>
  <c r="P152" i="178"/>
  <c r="P152" i="66"/>
  <c r="P152" i="159"/>
  <c r="P57" i="84"/>
  <c r="P57" i="33"/>
  <c r="P57" i="83"/>
  <c r="P182" i="31"/>
  <c r="P147" i="24"/>
  <c r="P147" i="79"/>
  <c r="P147" i="21"/>
  <c r="P147" i="135"/>
  <c r="P147" i="85"/>
  <c r="P147" i="27"/>
  <c r="P147" i="20"/>
  <c r="P147" i="113"/>
  <c r="P147" i="15"/>
  <c r="P164" i="120"/>
  <c r="P164" i="55"/>
  <c r="P164" i="43"/>
  <c r="P164" i="33"/>
  <c r="P164" i="142"/>
  <c r="P164" i="178"/>
  <c r="P164" i="42"/>
  <c r="P164" i="141"/>
  <c r="P164" i="31"/>
  <c r="P164" i="111"/>
  <c r="P164" i="119"/>
  <c r="P51" i="159"/>
  <c r="P151" i="84"/>
  <c r="P151" i="87"/>
  <c r="P76" i="141"/>
  <c r="P76" i="106"/>
  <c r="P151" i="27"/>
  <c r="P151" i="54"/>
  <c r="P151" i="150"/>
  <c r="P76" i="84"/>
  <c r="P76" i="28"/>
  <c r="P44" i="79"/>
  <c r="P44" i="38"/>
  <c r="P147" i="90"/>
  <c r="P147" i="141"/>
  <c r="P164" i="165"/>
  <c r="P164" i="136"/>
  <c r="P164" i="25"/>
  <c r="P151" i="145"/>
  <c r="P151" i="37"/>
  <c r="P76" i="92"/>
  <c r="P76" i="86"/>
  <c r="P76" i="113"/>
  <c r="P76" i="60"/>
  <c r="P44" i="55"/>
  <c r="P44" i="21"/>
  <c r="P44" i="58"/>
  <c r="P147" i="133"/>
  <c r="P147" i="106"/>
  <c r="P147" i="1"/>
  <c r="P164" i="28"/>
  <c r="P164" i="63"/>
  <c r="P151" i="63"/>
  <c r="P151" i="157"/>
  <c r="P151" i="28"/>
  <c r="P151" i="60"/>
  <c r="P151" i="136"/>
  <c r="P151" i="38"/>
  <c r="P151" i="58"/>
  <c r="P151" i="50"/>
  <c r="P151" i="68"/>
  <c r="P151" i="141"/>
  <c r="P142" i="157"/>
  <c r="P142" i="33"/>
  <c r="P76" i="136"/>
  <c r="P76" i="103"/>
  <c r="P76" i="19"/>
  <c r="P76" i="53"/>
  <c r="P76" i="152"/>
  <c r="P76" i="164"/>
  <c r="P76" i="24"/>
  <c r="P76" i="38"/>
  <c r="P44" i="156"/>
  <c r="P44" i="27"/>
  <c r="P44" i="31"/>
  <c r="P44" i="120"/>
  <c r="P44" i="24"/>
  <c r="P44" i="19"/>
  <c r="P44" i="43"/>
  <c r="P44" i="164"/>
  <c r="P44" i="14"/>
  <c r="P152" i="98"/>
  <c r="P152" i="58"/>
  <c r="P152" i="175"/>
  <c r="P57" i="19"/>
  <c r="P57" i="55"/>
  <c r="P57" i="66"/>
  <c r="P182" i="63"/>
  <c r="P182" i="178"/>
  <c r="P147" i="55"/>
  <c r="P147" i="95"/>
  <c r="P147" i="28"/>
  <c r="P147" i="65"/>
  <c r="P147" i="120"/>
  <c r="P147" i="32"/>
  <c r="P147" i="60"/>
  <c r="P147" i="83"/>
  <c r="P147" i="42"/>
  <c r="P147" i="37"/>
  <c r="P164" i="174"/>
  <c r="P164" i="20"/>
  <c r="P164" i="157"/>
  <c r="P164" i="84"/>
  <c r="P164" i="68"/>
  <c r="P164" i="38"/>
  <c r="P164" i="47"/>
  <c r="P164" i="87"/>
  <c r="P164" i="89"/>
  <c r="P164" i="106"/>
  <c r="P164" i="159"/>
  <c r="P51" i="58"/>
  <c r="P151" i="120"/>
  <c r="P151" i="156"/>
  <c r="P151" i="64"/>
  <c r="P76" i="150"/>
  <c r="P76" i="62"/>
  <c r="P151" i="89"/>
  <c r="P151" i="86"/>
  <c r="P151" i="32"/>
  <c r="P76" i="16"/>
  <c r="P76" i="145"/>
  <c r="P76" i="156"/>
  <c r="P44" i="65"/>
  <c r="P44" i="54"/>
  <c r="P44" i="83"/>
  <c r="P147" i="16"/>
  <c r="P147" i="142"/>
  <c r="P147" i="25"/>
  <c r="P147" i="152"/>
  <c r="P164" i="14"/>
  <c r="P164" i="102"/>
  <c r="P164" i="60"/>
  <c r="P151" i="98"/>
  <c r="P151" i="95"/>
  <c r="P151" i="113"/>
  <c r="P76" i="165"/>
  <c r="P76" i="15"/>
  <c r="P76" i="177"/>
  <c r="P76" i="159"/>
  <c r="P44" i="39"/>
  <c r="P44" i="42"/>
  <c r="P44" i="106"/>
  <c r="P44" i="32"/>
  <c r="P147" i="53"/>
  <c r="P147" i="19"/>
  <c r="P147" i="14"/>
  <c r="P147" i="54"/>
  <c r="P147" i="157"/>
  <c r="P164" i="24"/>
  <c r="P164" i="98"/>
  <c r="P164" i="19"/>
  <c r="P151" i="15"/>
  <c r="P151" i="66"/>
  <c r="P151" i="102"/>
  <c r="P151" i="16"/>
  <c r="P151" i="33"/>
  <c r="P151" i="159"/>
  <c r="P151" i="111"/>
  <c r="P151" i="43"/>
  <c r="P151" i="177"/>
  <c r="P151" i="46"/>
  <c r="P142" i="175"/>
  <c r="P76" i="46"/>
  <c r="P76" i="72"/>
  <c r="P76" i="42"/>
  <c r="P76" i="20"/>
  <c r="P76" i="95"/>
  <c r="P76" i="178"/>
  <c r="P76" i="58"/>
  <c r="P44" i="103"/>
  <c r="P44" i="177"/>
  <c r="P44" i="141"/>
  <c r="P44" i="33"/>
  <c r="P44" i="142"/>
  <c r="P44" i="84"/>
  <c r="P44" i="87"/>
  <c r="P44" i="72"/>
  <c r="P44" i="102"/>
  <c r="P152" i="86"/>
  <c r="P152" i="1"/>
  <c r="P152" i="89"/>
  <c r="P57" i="62"/>
  <c r="P57" i="178"/>
  <c r="P182" i="57"/>
  <c r="P147" i="177"/>
  <c r="P147" i="72"/>
  <c r="P147" i="150"/>
  <c r="P147" i="156"/>
  <c r="P147" i="145"/>
  <c r="P147" i="63"/>
  <c r="P147" i="39"/>
  <c r="P147" i="92"/>
  <c r="P164" i="86"/>
  <c r="P164" i="1"/>
  <c r="P164" i="158"/>
  <c r="P164" i="27"/>
  <c r="P164" i="94"/>
  <c r="P164" i="64"/>
  <c r="P164" i="175"/>
  <c r="P164" i="177"/>
  <c r="P164" i="155"/>
  <c r="P164" i="49"/>
  <c r="P51" i="85"/>
  <c r="P166" i="152"/>
  <c r="P166" i="85"/>
  <c r="P166" i="46"/>
  <c r="P202" i="54"/>
  <c r="P202" i="152"/>
  <c r="P202" i="25"/>
  <c r="P202" i="68"/>
  <c r="P166" i="58"/>
  <c r="P202" i="32"/>
  <c r="P202" i="120"/>
  <c r="P202" i="57"/>
  <c r="P202" i="103"/>
  <c r="P202" i="85"/>
  <c r="P202" i="1"/>
  <c r="P202" i="47"/>
  <c r="P202" i="102"/>
  <c r="P202" i="158"/>
  <c r="P202" i="28"/>
  <c r="P202" i="142"/>
  <c r="P202" i="58"/>
  <c r="P202" i="133"/>
  <c r="P202" i="86"/>
  <c r="P202" i="19"/>
  <c r="P202" i="104"/>
  <c r="P202" i="90"/>
  <c r="P202" i="156"/>
  <c r="P202" i="63"/>
  <c r="P202" i="62"/>
  <c r="P202" i="46"/>
  <c r="P202" i="159"/>
  <c r="P202" i="42"/>
  <c r="P202" i="177"/>
  <c r="P202" i="141"/>
  <c r="P202" i="106"/>
  <c r="P202" i="98"/>
  <c r="P202" i="94"/>
  <c r="P202" i="79"/>
  <c r="P202" i="31"/>
  <c r="P202" i="165"/>
  <c r="P202" i="83"/>
  <c r="P202" i="33"/>
  <c r="P202" i="38"/>
  <c r="P202" i="136"/>
  <c r="P202" i="135"/>
  <c r="P202" i="60"/>
  <c r="P142" i="98"/>
  <c r="P142" i="177"/>
  <c r="P142" i="65"/>
  <c r="P142" i="150"/>
  <c r="P182" i="164"/>
  <c r="P182" i="167"/>
  <c r="P51" i="1"/>
  <c r="P51" i="142"/>
  <c r="P51" i="57"/>
  <c r="P142" i="37"/>
  <c r="P142" i="53"/>
  <c r="P34" i="68"/>
  <c r="P34" i="25"/>
  <c r="P182" i="90"/>
  <c r="P182" i="152"/>
  <c r="P51" i="157"/>
  <c r="P51" i="95"/>
  <c r="P51" i="155"/>
  <c r="P142" i="106"/>
  <c r="P142" i="118"/>
  <c r="P142" i="167"/>
  <c r="P142" i="159"/>
  <c r="P142" i="21"/>
  <c r="P142" i="142"/>
  <c r="P142" i="94"/>
  <c r="P142" i="102"/>
  <c r="P152" i="95"/>
  <c r="P152" i="141"/>
  <c r="P152" i="65"/>
  <c r="P152" i="46"/>
  <c r="P152" i="49"/>
  <c r="P152" i="32"/>
  <c r="P152" i="31"/>
  <c r="P152" i="165"/>
  <c r="P152" i="24"/>
  <c r="P152" i="14"/>
  <c r="P152" i="72"/>
  <c r="P34" i="19"/>
  <c r="P34" i="16"/>
  <c r="P34" i="71"/>
  <c r="P34" i="119"/>
  <c r="P34" i="27"/>
  <c r="P34" i="65"/>
  <c r="P34" i="62"/>
  <c r="P34" i="14"/>
  <c r="P34" i="157"/>
  <c r="P34" i="104"/>
  <c r="P57" i="39"/>
  <c r="P57" i="157"/>
  <c r="P57" i="159"/>
  <c r="P57" i="20"/>
  <c r="P57" i="104"/>
  <c r="P57" i="86"/>
  <c r="P57" i="16"/>
  <c r="P57" i="156"/>
  <c r="P57" i="106"/>
  <c r="P57" i="158"/>
  <c r="P57" i="53"/>
  <c r="P182" i="54"/>
  <c r="P182" i="177"/>
  <c r="P182" i="58"/>
  <c r="P182" i="79"/>
  <c r="P182" i="83"/>
  <c r="P182" i="141"/>
  <c r="P182" i="28"/>
  <c r="P182" i="94"/>
  <c r="P51" i="68"/>
  <c r="P51" i="71"/>
  <c r="P51" i="164"/>
  <c r="P51" i="177"/>
  <c r="P51" i="118"/>
  <c r="P51" i="27"/>
  <c r="P51" i="158"/>
  <c r="P51" i="106"/>
  <c r="P51" i="14"/>
  <c r="P51" i="103"/>
  <c r="P142" i="79"/>
  <c r="P182" i="71"/>
  <c r="P182" i="86"/>
  <c r="P51" i="21"/>
  <c r="P142" i="47"/>
  <c r="P142" i="86"/>
  <c r="P142" i="83"/>
  <c r="P142" i="141"/>
  <c r="P142" i="16"/>
  <c r="P142" i="32"/>
  <c r="P142" i="72"/>
  <c r="P142" i="89"/>
  <c r="P142" i="46"/>
  <c r="P142" i="174"/>
  <c r="P152" i="94"/>
  <c r="P152" i="145"/>
  <c r="P152" i="92"/>
  <c r="P152" i="87"/>
  <c r="P152" i="157"/>
  <c r="P152" i="102"/>
  <c r="P152" i="174"/>
  <c r="P152" i="25"/>
  <c r="P152" i="83"/>
  <c r="P152" i="53"/>
  <c r="P34" i="167"/>
  <c r="P34" i="92"/>
  <c r="P34" i="63"/>
  <c r="P34" i="50"/>
  <c r="P34" i="113"/>
  <c r="P34" i="177"/>
  <c r="P34" i="37"/>
  <c r="P34" i="178"/>
  <c r="P34" i="64"/>
  <c r="P34" i="95"/>
  <c r="P57" i="27"/>
  <c r="P57" i="89"/>
  <c r="P57" i="15"/>
  <c r="P57" i="145"/>
  <c r="P57" i="133"/>
  <c r="P57" i="14"/>
  <c r="P57" i="142"/>
  <c r="P57" i="164"/>
  <c r="P57" i="37"/>
  <c r="P57" i="32"/>
  <c r="P57" i="135"/>
  <c r="P182" i="39"/>
  <c r="P182" i="49"/>
  <c r="P182" i="145"/>
  <c r="P182" i="89"/>
  <c r="P182" i="47"/>
  <c r="P182" i="175"/>
  <c r="P182" i="120"/>
  <c r="P182" i="16"/>
  <c r="P182" i="55"/>
  <c r="P182" i="38"/>
  <c r="P51" i="19"/>
  <c r="P51" i="136"/>
  <c r="P51" i="47"/>
  <c r="P51" i="72"/>
  <c r="P51" i="165"/>
  <c r="P51" i="178"/>
  <c r="P51" i="50"/>
  <c r="P51" i="141"/>
  <c r="P51" i="174"/>
  <c r="P51" i="16"/>
  <c r="P142" i="113"/>
  <c r="P182" i="133"/>
  <c r="P182" i="42"/>
  <c r="P182" i="37"/>
  <c r="P51" i="54"/>
  <c r="P51" i="156"/>
  <c r="P51" i="66"/>
  <c r="P51" i="37"/>
  <c r="P142" i="87"/>
  <c r="P142" i="90"/>
  <c r="P34" i="155"/>
  <c r="P34" i="15"/>
  <c r="P34" i="33"/>
  <c r="P182" i="135"/>
  <c r="P182" i="32"/>
  <c r="P182" i="155"/>
  <c r="P51" i="86"/>
  <c r="P51" i="31"/>
  <c r="P142" i="145"/>
  <c r="P142" i="1"/>
  <c r="P142" i="119"/>
  <c r="P142" i="165"/>
  <c r="P142" i="15"/>
  <c r="P142" i="55"/>
  <c r="P142" i="120"/>
  <c r="P142" i="104"/>
  <c r="P152" i="43"/>
  <c r="P152" i="68"/>
  <c r="P152" i="120"/>
  <c r="P152" i="104"/>
  <c r="P152" i="60"/>
  <c r="P152" i="177"/>
  <c r="P152" i="85"/>
  <c r="P152" i="47"/>
  <c r="P152" i="133"/>
  <c r="P152" i="39"/>
  <c r="P152" i="106"/>
  <c r="P34" i="31"/>
  <c r="P34" i="42"/>
  <c r="P34" i="58"/>
  <c r="P34" i="159"/>
  <c r="P34" i="86"/>
  <c r="P34" i="135"/>
  <c r="P34" i="20"/>
  <c r="P34" i="103"/>
  <c r="P34" i="60"/>
  <c r="P34" i="150"/>
  <c r="P57" i="103"/>
  <c r="P57" i="118"/>
  <c r="P57" i="167"/>
  <c r="P57" i="174"/>
  <c r="P57" i="28"/>
  <c r="P57" i="46"/>
  <c r="P57" i="155"/>
  <c r="P57" i="119"/>
  <c r="P57" i="165"/>
  <c r="P57" i="152"/>
  <c r="P182" i="87"/>
  <c r="P182" i="84"/>
  <c r="P182" i="33"/>
  <c r="P182" i="104"/>
  <c r="P182" i="118"/>
  <c r="P182" i="68"/>
  <c r="P182" i="21"/>
  <c r="P182" i="66"/>
  <c r="P182" i="1"/>
  <c r="P182" i="103"/>
  <c r="P51" i="113"/>
  <c r="P51" i="145"/>
  <c r="P51" i="38"/>
  <c r="P51" i="46"/>
  <c r="P51" i="98"/>
  <c r="P51" i="43"/>
  <c r="P51" i="167"/>
  <c r="P51" i="49"/>
  <c r="P51" i="89"/>
  <c r="P51" i="133"/>
  <c r="P51" i="152"/>
  <c r="P142" i="20"/>
  <c r="P142" i="156"/>
  <c r="P182" i="27"/>
  <c r="P182" i="46"/>
  <c r="P51" i="92"/>
  <c r="I245" i="97"/>
  <c r="P142" i="39"/>
  <c r="P142" i="49"/>
  <c r="P182" i="72"/>
  <c r="P182" i="136"/>
  <c r="P182" i="165"/>
  <c r="P51" i="42"/>
  <c r="P142" i="28"/>
  <c r="P142" i="111"/>
  <c r="P142" i="58"/>
  <c r="P142" i="42"/>
  <c r="P142" i="152"/>
  <c r="P142" i="31"/>
  <c r="P142" i="19"/>
  <c r="P142" i="60"/>
  <c r="P142" i="25"/>
  <c r="P142" i="84"/>
  <c r="P152" i="28"/>
  <c r="P152" i="84"/>
  <c r="P152" i="150"/>
  <c r="P152" i="79"/>
  <c r="P152" i="21"/>
  <c r="P152" i="15"/>
  <c r="P152" i="71"/>
  <c r="P152" i="156"/>
  <c r="P34" i="43"/>
  <c r="P34" i="83"/>
  <c r="P34" i="66"/>
  <c r="P34" i="38"/>
  <c r="P34" i="106"/>
  <c r="P34" i="32"/>
  <c r="P34" i="57"/>
  <c r="P34" i="136"/>
  <c r="P34" i="28"/>
  <c r="P34" i="89"/>
  <c r="P34" i="141"/>
  <c r="P57" i="71"/>
  <c r="P57" i="54"/>
  <c r="P57" i="64"/>
  <c r="P57" i="141"/>
  <c r="P57" i="85"/>
  <c r="P57" i="72"/>
  <c r="P57" i="68"/>
  <c r="P57" i="175"/>
  <c r="P57" i="113"/>
  <c r="P57" i="57"/>
  <c r="P182" i="25"/>
  <c r="P182" i="62"/>
  <c r="P182" i="158"/>
  <c r="P182" i="157"/>
  <c r="P182" i="60"/>
  <c r="P182" i="142"/>
  <c r="P182" i="92"/>
  <c r="P182" i="43"/>
  <c r="P182" i="65"/>
  <c r="P182" i="98"/>
  <c r="P182" i="106"/>
  <c r="P51" i="53"/>
  <c r="P51" i="25"/>
  <c r="P51" i="63"/>
  <c r="P51" i="65"/>
  <c r="P51" i="102"/>
  <c r="P51" i="32"/>
  <c r="P51" i="64"/>
  <c r="P51" i="119"/>
  <c r="P51" i="84"/>
  <c r="P51" i="39"/>
  <c r="P51" i="94"/>
  <c r="P84" i="175"/>
  <c r="P84" i="31"/>
  <c r="P84" i="118"/>
  <c r="P84" i="95"/>
  <c r="P84" i="33"/>
  <c r="P84" i="89"/>
  <c r="P84" i="71"/>
  <c r="P84" i="54"/>
  <c r="P84" i="102"/>
  <c r="P84" i="24"/>
  <c r="P84" i="177"/>
  <c r="P84" i="66"/>
  <c r="P84" i="155"/>
  <c r="P84" i="42"/>
  <c r="P84" i="64"/>
  <c r="P84" i="15"/>
  <c r="P84" i="55"/>
  <c r="P84" i="68"/>
  <c r="P84" i="174"/>
  <c r="P84" i="57"/>
  <c r="P84" i="164"/>
  <c r="P84" i="58"/>
  <c r="P84" i="113"/>
  <c r="P84" i="145"/>
  <c r="P84" i="84"/>
  <c r="P84" i="135"/>
  <c r="P84" i="86"/>
  <c r="P84" i="16"/>
  <c r="P84" i="39"/>
  <c r="P84" i="94"/>
  <c r="P84" i="20"/>
  <c r="P84" i="32"/>
  <c r="P84" i="37"/>
  <c r="P84" i="98"/>
  <c r="P84" i="133"/>
  <c r="P84" i="1"/>
  <c r="P84" i="104"/>
  <c r="P84" i="87"/>
  <c r="P84" i="157"/>
  <c r="P84" i="106"/>
  <c r="P84" i="150"/>
  <c r="P84" i="159"/>
  <c r="P84" i="142"/>
  <c r="P84" i="65"/>
  <c r="P84" i="43"/>
  <c r="P84" i="165"/>
  <c r="P84" i="158"/>
  <c r="P84" i="53"/>
  <c r="P84" i="25"/>
  <c r="P84" i="92"/>
  <c r="P84" i="38"/>
  <c r="P84" i="111"/>
  <c r="P84" i="141"/>
  <c r="P84" i="60"/>
  <c r="P84" i="103"/>
  <c r="P84" i="50"/>
  <c r="P84" i="27"/>
  <c r="P84" i="72"/>
  <c r="P84" i="47"/>
  <c r="P84" i="62"/>
  <c r="P84" i="119"/>
  <c r="P84" i="120"/>
  <c r="P84" i="156"/>
  <c r="P84" i="83"/>
  <c r="P84" i="79"/>
  <c r="P84" i="46"/>
  <c r="P84" i="90"/>
  <c r="P84" i="85"/>
  <c r="P84" i="152"/>
  <c r="P84" i="167"/>
  <c r="P84" i="19"/>
  <c r="P84" i="14"/>
  <c r="P84" i="28"/>
  <c r="P84" i="63"/>
  <c r="P84" i="136"/>
  <c r="P84" i="49"/>
  <c r="P84" i="21"/>
  <c r="P84" i="178"/>
  <c r="P142" i="24"/>
  <c r="P142" i="63"/>
  <c r="P142" i="57"/>
  <c r="P142" i="14"/>
  <c r="P142" i="178"/>
  <c r="P142" i="66"/>
  <c r="P34" i="98"/>
  <c r="P34" i="175"/>
  <c r="P34" i="54"/>
  <c r="P182" i="50"/>
  <c r="P182" i="24"/>
  <c r="P51" i="60"/>
  <c r="P51" i="62"/>
  <c r="P51" i="55"/>
  <c r="P51" i="150"/>
  <c r="P142" i="164"/>
  <c r="P142" i="92"/>
  <c r="P142" i="158"/>
  <c r="P142" i="85"/>
  <c r="P142" i="95"/>
  <c r="P142" i="155"/>
  <c r="P142" i="62"/>
  <c r="P142" i="43"/>
  <c r="P142" i="71"/>
  <c r="P142" i="50"/>
  <c r="P152" i="57"/>
  <c r="P152" i="118"/>
  <c r="P152" i="54"/>
  <c r="P152" i="20"/>
  <c r="P152" i="37"/>
  <c r="P152" i="119"/>
  <c r="P152" i="142"/>
  <c r="P152" i="55"/>
  <c r="P34" i="1"/>
  <c r="P34" i="152"/>
  <c r="P34" i="145"/>
  <c r="P34" i="133"/>
  <c r="P34" i="87"/>
  <c r="P34" i="55"/>
  <c r="P34" i="118"/>
  <c r="P34" i="174"/>
  <c r="P34" i="165"/>
  <c r="P57" i="43"/>
  <c r="P57" i="65"/>
  <c r="P57" i="38"/>
  <c r="P57" i="21"/>
  <c r="P57" i="95"/>
  <c r="P57" i="87"/>
  <c r="P57" i="50"/>
  <c r="P57" i="120"/>
  <c r="P57" i="49"/>
  <c r="P182" i="85"/>
  <c r="P182" i="113"/>
  <c r="P182" i="19"/>
  <c r="P182" i="174"/>
  <c r="P182" i="119"/>
  <c r="P182" i="53"/>
  <c r="P182" i="15"/>
  <c r="P182" i="111"/>
  <c r="P182" i="150"/>
  <c r="P51" i="87"/>
  <c r="P51" i="120"/>
  <c r="P51" i="104"/>
  <c r="P51" i="175"/>
  <c r="P51" i="33"/>
  <c r="P51" i="79"/>
  <c r="P51" i="111"/>
  <c r="P116" i="79"/>
  <c r="P116" i="167"/>
  <c r="P116" i="86"/>
  <c r="P116" i="63"/>
  <c r="P116" i="103"/>
  <c r="P116" i="165"/>
  <c r="P116" i="50"/>
  <c r="P116" i="15"/>
  <c r="P116" i="47"/>
  <c r="P116" i="46"/>
  <c r="P116" i="83"/>
  <c r="P116" i="27"/>
  <c r="P116" i="150"/>
  <c r="P116" i="152"/>
  <c r="P116" i="178"/>
  <c r="P116" i="118"/>
  <c r="P116" i="38"/>
  <c r="P116" i="53"/>
  <c r="P116" i="64"/>
  <c r="P116" i="141"/>
  <c r="P116" i="120"/>
  <c r="P116" i="54"/>
  <c r="P116" i="37"/>
  <c r="P116" i="21"/>
  <c r="P116" i="20"/>
  <c r="P116" i="156"/>
  <c r="P116" i="62"/>
  <c r="P116" i="66"/>
  <c r="P116" i="98"/>
  <c r="P116" i="72"/>
  <c r="P116" i="106"/>
  <c r="P116" i="68"/>
  <c r="P116" i="175"/>
  <c r="P116" i="28"/>
  <c r="P116" i="14"/>
  <c r="P116" i="135"/>
  <c r="P116" i="90"/>
  <c r="P116" i="142"/>
  <c r="P116" i="57"/>
  <c r="P116" i="111"/>
  <c r="P116" i="92"/>
  <c r="P116" i="145"/>
  <c r="P116" i="158"/>
  <c r="P116" i="133"/>
  <c r="P116" i="65"/>
  <c r="P116" i="136"/>
  <c r="P116" i="49"/>
  <c r="P116" i="89"/>
  <c r="P116" i="155"/>
  <c r="P116" i="33"/>
  <c r="P116" i="84"/>
  <c r="P116" i="102"/>
  <c r="P116" i="177"/>
  <c r="P116" i="95"/>
  <c r="P116" i="60"/>
  <c r="P116" i="58"/>
  <c r="P116" i="157"/>
  <c r="P116" i="55"/>
  <c r="P116" i="71"/>
  <c r="P116" i="42"/>
  <c r="P116" i="104"/>
  <c r="P116" i="32"/>
  <c r="P116" i="113"/>
  <c r="P116" i="43"/>
  <c r="P116" i="164"/>
  <c r="P116" i="1"/>
  <c r="P116" i="94"/>
  <c r="P116" i="16"/>
  <c r="P116" i="159"/>
  <c r="P116" i="119"/>
  <c r="P116" i="24"/>
  <c r="P116" i="85"/>
  <c r="P116" i="39"/>
  <c r="P116" i="19"/>
  <c r="P116" i="31"/>
  <c r="P116" i="174"/>
  <c r="P116" i="87"/>
  <c r="P116" i="25"/>
  <c r="P70" i="50"/>
  <c r="P70" i="133"/>
  <c r="P70" i="167"/>
  <c r="P70" i="94"/>
  <c r="P70" i="57"/>
  <c r="P70" i="19"/>
  <c r="P70" i="42"/>
  <c r="P70" i="15"/>
  <c r="P70" i="156"/>
  <c r="P70" i="90"/>
  <c r="P70" i="95"/>
  <c r="P70" i="53"/>
  <c r="P70" i="98"/>
  <c r="P70" i="175"/>
  <c r="P70" i="71"/>
  <c r="P70" i="25"/>
  <c r="P70" i="32"/>
  <c r="P70" i="1"/>
  <c r="P70" i="66"/>
  <c r="P70" i="72"/>
  <c r="P70" i="27"/>
  <c r="P70" i="164"/>
  <c r="P70" i="54"/>
  <c r="P70" i="159"/>
  <c r="P70" i="120"/>
  <c r="P70" i="136"/>
  <c r="P70" i="174"/>
  <c r="P70" i="43"/>
  <c r="P70" i="155"/>
  <c r="P70" i="68"/>
  <c r="P70" i="158"/>
  <c r="P70" i="33"/>
  <c r="P70" i="46"/>
  <c r="P70" i="119"/>
  <c r="P70" i="106"/>
  <c r="P70" i="14"/>
  <c r="P70" i="89"/>
  <c r="P70" i="142"/>
  <c r="P70" i="177"/>
  <c r="P70" i="31"/>
  <c r="P70" i="37"/>
  <c r="P70" i="152"/>
  <c r="P70" i="118"/>
  <c r="P70" i="86"/>
  <c r="P70" i="16"/>
  <c r="P70" i="135"/>
  <c r="P70" i="24"/>
  <c r="P70" i="141"/>
  <c r="P70" i="21"/>
  <c r="P70" i="55"/>
  <c r="P70" i="83"/>
  <c r="P70" i="84"/>
  <c r="P70" i="60"/>
  <c r="P70" i="65"/>
  <c r="P70" i="113"/>
  <c r="P70" i="49"/>
  <c r="P70" i="157"/>
  <c r="P70" i="150"/>
  <c r="P70" i="102"/>
  <c r="P70" i="104"/>
  <c r="P70" i="85"/>
  <c r="P70" i="58"/>
  <c r="P70" i="39"/>
  <c r="P70" i="92"/>
  <c r="P70" i="111"/>
  <c r="P70" i="63"/>
  <c r="P70" i="79"/>
  <c r="P70" i="87"/>
  <c r="P70" i="38"/>
  <c r="P70" i="178"/>
  <c r="P70" i="47"/>
  <c r="P70" i="64"/>
  <c r="P70" i="165"/>
  <c r="P70" i="145"/>
  <c r="P70" i="28"/>
  <c r="P70" i="20"/>
  <c r="P70" i="103"/>
  <c r="P70" i="62"/>
  <c r="P136" i="178"/>
  <c r="P136" i="49"/>
  <c r="P136" i="85"/>
  <c r="P136" i="165"/>
  <c r="P136" i="104"/>
  <c r="P136" i="32"/>
  <c r="P136" i="142"/>
  <c r="P136" i="19"/>
  <c r="P136" i="71"/>
  <c r="P136" i="14"/>
  <c r="P136" i="60"/>
  <c r="P136" i="103"/>
  <c r="P136" i="174"/>
  <c r="P136" i="66"/>
  <c r="P136" i="175"/>
  <c r="P136" i="28"/>
  <c r="P136" i="15"/>
  <c r="P136" i="141"/>
  <c r="P136" i="47"/>
  <c r="P136" i="21"/>
  <c r="P136" i="98"/>
  <c r="P136" i="157"/>
  <c r="P136" i="46"/>
  <c r="P136" i="63"/>
  <c r="P136" i="89"/>
  <c r="P136" i="111"/>
  <c r="P136" i="53"/>
  <c r="P136" i="177"/>
  <c r="P136" i="37"/>
  <c r="P136" i="55"/>
  <c r="P136" i="54"/>
  <c r="P136" i="50"/>
  <c r="P136" i="133"/>
  <c r="P136" i="164"/>
  <c r="P136" i="92"/>
  <c r="P136" i="72"/>
  <c r="P136" i="31"/>
  <c r="P136" i="1"/>
  <c r="P136" i="64"/>
  <c r="P136" i="113"/>
  <c r="P136" i="156"/>
  <c r="P136" i="119"/>
  <c r="P136" i="27"/>
  <c r="P136" i="102"/>
  <c r="P136" i="65"/>
  <c r="P136" i="152"/>
  <c r="P136" i="20"/>
  <c r="P136" i="16"/>
  <c r="P136" i="145"/>
  <c r="P136" i="135"/>
  <c r="P136" i="38"/>
  <c r="P136" i="106"/>
  <c r="P136" i="150"/>
  <c r="P136" i="58"/>
  <c r="P136" i="84"/>
  <c r="P136" i="86"/>
  <c r="P136" i="42"/>
  <c r="P136" i="167"/>
  <c r="P136" i="79"/>
  <c r="P136" i="159"/>
  <c r="P136" i="57"/>
  <c r="P136" i="43"/>
  <c r="P136" i="155"/>
  <c r="P136" i="68"/>
  <c r="P136" i="94"/>
  <c r="P136" i="158"/>
  <c r="P136" i="25"/>
  <c r="P136" i="95"/>
  <c r="P136" i="62"/>
  <c r="P136" i="39"/>
  <c r="P136" i="136"/>
  <c r="P136" i="24"/>
  <c r="P136" i="118"/>
  <c r="P136" i="87"/>
  <c r="P136" i="83"/>
  <c r="P136" i="90"/>
  <c r="P136" i="120"/>
  <c r="P136" i="33"/>
  <c r="P56" i="155"/>
  <c r="P56" i="175"/>
  <c r="P56" i="87"/>
  <c r="P56" i="50"/>
  <c r="P56" i="15"/>
  <c r="P56" i="19"/>
  <c r="P56" i="92"/>
  <c r="P56" i="47"/>
  <c r="P56" i="94"/>
  <c r="P56" i="177"/>
  <c r="P56" i="24"/>
  <c r="P56" i="37"/>
  <c r="P56" i="150"/>
  <c r="P56" i="133"/>
  <c r="P56" i="103"/>
  <c r="P56" i="38"/>
  <c r="P56" i="58"/>
  <c r="P56" i="157"/>
  <c r="P56" i="63"/>
  <c r="P56" i="102"/>
  <c r="P56" i="31"/>
  <c r="P56" i="141"/>
  <c r="P56" i="135"/>
  <c r="P56" i="106"/>
  <c r="P56" i="60"/>
  <c r="P56" i="164"/>
  <c r="P56" i="85"/>
  <c r="P56" i="142"/>
  <c r="P56" i="25"/>
  <c r="P56" i="14"/>
  <c r="P56" i="32"/>
  <c r="P56" i="65"/>
  <c r="P56" i="83"/>
  <c r="P56" i="174"/>
  <c r="P56" i="152"/>
  <c r="P56" i="68"/>
  <c r="P56" i="62"/>
  <c r="P56" i="178"/>
  <c r="P56" i="86"/>
  <c r="P56" i="16"/>
  <c r="P56" i="55"/>
  <c r="P56" i="49"/>
  <c r="P56" i="145"/>
  <c r="P56" i="95"/>
  <c r="P56" i="119"/>
  <c r="P56" i="104"/>
  <c r="P56" i="118"/>
  <c r="P56" i="71"/>
  <c r="P56" i="64"/>
  <c r="P56" i="39"/>
  <c r="P56" i="1"/>
  <c r="P56" i="27"/>
  <c r="P56" i="54"/>
  <c r="P56" i="66"/>
  <c r="P56" i="165"/>
  <c r="P56" i="53"/>
  <c r="P56" i="84"/>
  <c r="P56" i="21"/>
  <c r="P56" i="46"/>
  <c r="P56" i="111"/>
  <c r="P56" i="167"/>
  <c r="P56" i="159"/>
  <c r="P56" i="158"/>
  <c r="P56" i="20"/>
  <c r="P56" i="79"/>
  <c r="P56" i="42"/>
  <c r="P56" i="98"/>
  <c r="P56" i="90"/>
  <c r="P56" i="33"/>
  <c r="P56" i="72"/>
  <c r="P56" i="120"/>
  <c r="P56" i="28"/>
  <c r="P56" i="89"/>
  <c r="P56" i="156"/>
  <c r="P56" i="113"/>
  <c r="P56" i="136"/>
  <c r="P56" i="43"/>
  <c r="P56" i="57"/>
  <c r="P195" i="167"/>
  <c r="P195" i="156"/>
  <c r="P195" i="83"/>
  <c r="P195" i="49"/>
  <c r="P195" i="94"/>
  <c r="P195" i="15"/>
  <c r="P195" i="72"/>
  <c r="P195" i="68"/>
  <c r="P195" i="58"/>
  <c r="P195" i="95"/>
  <c r="P195" i="164"/>
  <c r="P195" i="177"/>
  <c r="P195" i="25"/>
  <c r="P195" i="87"/>
  <c r="P195" i="79"/>
  <c r="P195" i="32"/>
  <c r="P195" i="111"/>
  <c r="P195" i="27"/>
  <c r="P195" i="62"/>
  <c r="P195" i="31"/>
  <c r="P195" i="165"/>
  <c r="P195" i="145"/>
  <c r="P195" i="33"/>
  <c r="P195" i="119"/>
  <c r="P195" i="38"/>
  <c r="P195" i="71"/>
  <c r="P195" i="28"/>
  <c r="P195" i="43"/>
  <c r="P195" i="136"/>
  <c r="P195" i="106"/>
  <c r="P195" i="150"/>
  <c r="P195" i="157"/>
  <c r="P195" i="118"/>
  <c r="P195" i="92"/>
  <c r="P195" i="89"/>
  <c r="P195" i="55"/>
  <c r="P195" i="57"/>
  <c r="P195" i="47"/>
  <c r="P195" i="155"/>
  <c r="P195" i="86"/>
  <c r="P195" i="113"/>
  <c r="P195" i="16"/>
  <c r="P195" i="65"/>
  <c r="P195" i="90"/>
  <c r="P195" i="84"/>
  <c r="P195" i="152"/>
  <c r="P195" i="174"/>
  <c r="P195" i="53"/>
  <c r="P195" i="42"/>
  <c r="P195" i="63"/>
  <c r="P195" i="21"/>
  <c r="P195" i="98"/>
  <c r="P195" i="46"/>
  <c r="P195" i="14"/>
  <c r="P195" i="120"/>
  <c r="P195" i="103"/>
  <c r="P195" i="178"/>
  <c r="P195" i="158"/>
  <c r="P195" i="85"/>
  <c r="P195" i="66"/>
  <c r="P195" i="19"/>
  <c r="P195" i="133"/>
  <c r="P195" i="50"/>
  <c r="P195" i="60"/>
  <c r="P195" i="54"/>
  <c r="P195" i="142"/>
  <c r="P195" i="24"/>
  <c r="P195" i="175"/>
  <c r="P195" i="159"/>
  <c r="P195" i="39"/>
  <c r="P195" i="141"/>
  <c r="P195" i="104"/>
  <c r="P195" i="102"/>
  <c r="P195" i="37"/>
  <c r="P195" i="20"/>
  <c r="P195" i="135"/>
  <c r="P195" i="1"/>
  <c r="P195" i="64"/>
  <c r="P131" i="85"/>
  <c r="P131" i="156"/>
  <c r="P131" i="95"/>
  <c r="P131" i="33"/>
  <c r="P131" i="89"/>
  <c r="P131" i="142"/>
  <c r="P131" i="39"/>
  <c r="P131" i="60"/>
  <c r="P131" i="120"/>
  <c r="P131" i="177"/>
  <c r="P131" i="66"/>
  <c r="P131" i="145"/>
  <c r="P131" i="68"/>
  <c r="P131" i="50"/>
  <c r="P131" i="71"/>
  <c r="P131" i="159"/>
  <c r="P131" i="58"/>
  <c r="P131" i="38"/>
  <c r="P131" i="54"/>
  <c r="P131" i="72"/>
  <c r="P131" i="42"/>
  <c r="P131" i="1"/>
  <c r="P131" i="28"/>
  <c r="P131" i="55"/>
  <c r="P131" i="106"/>
  <c r="P131" i="113"/>
  <c r="P131" i="32"/>
  <c r="P131" i="158"/>
  <c r="P131" i="111"/>
  <c r="P131" i="175"/>
  <c r="P131" i="118"/>
  <c r="P131" i="63"/>
  <c r="P131" i="83"/>
  <c r="P131" i="167"/>
  <c r="P131" i="157"/>
  <c r="P131" i="65"/>
  <c r="P131" i="104"/>
  <c r="P131" i="90"/>
  <c r="P131" i="133"/>
  <c r="P131" i="155"/>
  <c r="P131" i="87"/>
  <c r="P131" i="165"/>
  <c r="P131" i="164"/>
  <c r="P131" i="46"/>
  <c r="P131" i="31"/>
  <c r="P131" i="86"/>
  <c r="P131" i="47"/>
  <c r="P131" i="19"/>
  <c r="P131" i="15"/>
  <c r="P131" i="24"/>
  <c r="P131" i="141"/>
  <c r="P131" i="103"/>
  <c r="P131" i="53"/>
  <c r="P131" i="174"/>
  <c r="P131" i="43"/>
  <c r="P131" i="119"/>
  <c r="P131" i="79"/>
  <c r="P131" i="27"/>
  <c r="P131" i="14"/>
  <c r="P131" i="150"/>
  <c r="P131" i="64"/>
  <c r="P131" i="102"/>
  <c r="P131" i="21"/>
  <c r="P131" i="178"/>
  <c r="P131" i="49"/>
  <c r="P131" i="16"/>
  <c r="P131" i="152"/>
  <c r="P131" i="84"/>
  <c r="P131" i="57"/>
  <c r="P131" i="135"/>
  <c r="P131" i="98"/>
  <c r="P131" i="62"/>
  <c r="P131" i="25"/>
  <c r="P131" i="136"/>
  <c r="P131" i="92"/>
  <c r="P131" i="94"/>
  <c r="P131" i="37"/>
  <c r="P131" i="20"/>
  <c r="P141" i="152"/>
  <c r="P141" i="155"/>
  <c r="P141" i="43"/>
  <c r="P141" i="62"/>
  <c r="P141" i="54"/>
  <c r="P141" i="28"/>
  <c r="P141" i="85"/>
  <c r="P141" i="25"/>
  <c r="P141" i="175"/>
  <c r="P141" i="177"/>
  <c r="P141" i="16"/>
  <c r="P141" i="167"/>
  <c r="P141" i="106"/>
  <c r="P141" i="50"/>
  <c r="P141" i="47"/>
  <c r="P141" i="90"/>
  <c r="P141" i="92"/>
  <c r="P141" i="66"/>
  <c r="P141" i="98"/>
  <c r="P141" i="120"/>
  <c r="P141" i="46"/>
  <c r="P141" i="27"/>
  <c r="P141" i="55"/>
  <c r="P141" i="68"/>
  <c r="P141" i="58"/>
  <c r="P141" i="94"/>
  <c r="P141" i="141"/>
  <c r="P141" i="135"/>
  <c r="P141" i="102"/>
  <c r="P141" i="156"/>
  <c r="P141" i="19"/>
  <c r="P141" i="32"/>
  <c r="P141" i="83"/>
  <c r="P141" i="64"/>
  <c r="P141" i="111"/>
  <c r="P141" i="150"/>
  <c r="P141" i="72"/>
  <c r="P141" i="60"/>
  <c r="P141" i="71"/>
  <c r="P141" i="1"/>
  <c r="P141" i="86"/>
  <c r="P141" i="37"/>
  <c r="P141" i="39"/>
  <c r="P141" i="174"/>
  <c r="P141" i="103"/>
  <c r="P141" i="104"/>
  <c r="P141" i="157"/>
  <c r="P141" i="79"/>
  <c r="P141" i="113"/>
  <c r="P141" i="136"/>
  <c r="P141" i="20"/>
  <c r="P141" i="42"/>
  <c r="P141" i="178"/>
  <c r="P141" i="53"/>
  <c r="P141" i="165"/>
  <c r="P141" i="118"/>
  <c r="P141" i="14"/>
  <c r="P141" i="65"/>
  <c r="P141" i="145"/>
  <c r="P141" i="95"/>
  <c r="P141" i="15"/>
  <c r="P141" i="119"/>
  <c r="P141" i="24"/>
  <c r="P141" i="133"/>
  <c r="P141" i="21"/>
  <c r="P141" i="89"/>
  <c r="P141" i="158"/>
  <c r="P141" i="164"/>
  <c r="P141" i="84"/>
  <c r="P141" i="33"/>
  <c r="P141" i="49"/>
  <c r="P141" i="38"/>
  <c r="P141" i="87"/>
  <c r="P141" i="159"/>
  <c r="P141" i="63"/>
  <c r="P141" i="57"/>
  <c r="P141" i="31"/>
  <c r="P141" i="142"/>
  <c r="P38" i="145"/>
  <c r="P38" i="19"/>
  <c r="P38" i="60"/>
  <c r="P38" i="33"/>
  <c r="P38" i="119"/>
  <c r="P38" i="65"/>
  <c r="P38" i="104"/>
  <c r="P38" i="165"/>
  <c r="P38" i="152"/>
  <c r="P38" i="64"/>
  <c r="P38" i="71"/>
  <c r="P38" i="66"/>
  <c r="P38" i="46"/>
  <c r="P38" i="106"/>
  <c r="P38" i="27"/>
  <c r="P38" i="136"/>
  <c r="P38" i="16"/>
  <c r="P38" i="158"/>
  <c r="P38" i="31"/>
  <c r="P38" i="164"/>
  <c r="P38" i="90"/>
  <c r="P38" i="38"/>
  <c r="P38" i="15"/>
  <c r="P38" i="14"/>
  <c r="P38" i="142"/>
  <c r="P38" i="167"/>
  <c r="P38" i="55"/>
  <c r="P38" i="174"/>
  <c r="P38" i="86"/>
  <c r="P38" i="98"/>
  <c r="P38" i="79"/>
  <c r="P38" i="57"/>
  <c r="P38" i="54"/>
  <c r="P38" i="135"/>
  <c r="P38" i="68"/>
  <c r="P38" i="37"/>
  <c r="P38" i="63"/>
  <c r="P38" i="89"/>
  <c r="P38" i="133"/>
  <c r="P38" i="24"/>
  <c r="P38" i="118"/>
  <c r="P38" i="87"/>
  <c r="P38" i="53"/>
  <c r="P38" i="62"/>
  <c r="P38" i="102"/>
  <c r="P38" i="94"/>
  <c r="P38" i="47"/>
  <c r="P38" i="177"/>
  <c r="P38" i="95"/>
  <c r="P38" i="42"/>
  <c r="P38" i="85"/>
  <c r="P38" i="92"/>
  <c r="P38" i="150"/>
  <c r="P38" i="21"/>
  <c r="P38" i="103"/>
  <c r="P38" i="1"/>
  <c r="P38" i="58"/>
  <c r="P38" i="178"/>
  <c r="P38" i="50"/>
  <c r="P38" i="111"/>
  <c r="P38" i="157"/>
  <c r="P38" i="83"/>
  <c r="P38" i="39"/>
  <c r="P38" i="156"/>
  <c r="P38" i="20"/>
  <c r="P38" i="32"/>
  <c r="P38" i="43"/>
  <c r="P38" i="120"/>
  <c r="P38" i="141"/>
  <c r="P38" i="72"/>
  <c r="P38" i="155"/>
  <c r="P38" i="25"/>
  <c r="P38" i="49"/>
  <c r="P38" i="84"/>
  <c r="P38" i="28"/>
  <c r="P38" i="159"/>
  <c r="P38" i="175"/>
  <c r="P38" i="113"/>
  <c r="P114" i="49"/>
  <c r="P114" i="71"/>
  <c r="P114" i="1"/>
  <c r="P114" i="89"/>
  <c r="P114" i="31"/>
  <c r="P114" i="155"/>
  <c r="P114" i="141"/>
  <c r="P114" i="94"/>
  <c r="P114" i="145"/>
  <c r="P114" i="15"/>
  <c r="P114" i="157"/>
  <c r="P114" i="65"/>
  <c r="P114" i="27"/>
  <c r="P114" i="103"/>
  <c r="P114" i="47"/>
  <c r="P114" i="39"/>
  <c r="P114" i="156"/>
  <c r="P114" i="55"/>
  <c r="P114" i="178"/>
  <c r="P114" i="46"/>
  <c r="P114" i="104"/>
  <c r="P114" i="98"/>
  <c r="P114" i="16"/>
  <c r="P114" i="90"/>
  <c r="P114" i="57"/>
  <c r="P114" i="54"/>
  <c r="P114" i="165"/>
  <c r="P114" i="106"/>
  <c r="P114" i="177"/>
  <c r="P114" i="133"/>
  <c r="P114" i="62"/>
  <c r="P114" i="38"/>
  <c r="P114" i="43"/>
  <c r="P114" i="28"/>
  <c r="P114" i="21"/>
  <c r="P114" i="175"/>
  <c r="P114" i="25"/>
  <c r="P114" i="87"/>
  <c r="P114" i="68"/>
  <c r="P114" i="58"/>
  <c r="P114" i="152"/>
  <c r="P114" i="92"/>
  <c r="P114" i="84"/>
  <c r="P114" i="95"/>
  <c r="P114" i="159"/>
  <c r="P114" i="118"/>
  <c r="P114" i="60"/>
  <c r="P114" i="79"/>
  <c r="P114" i="142"/>
  <c r="P114" i="83"/>
  <c r="P114" i="85"/>
  <c r="P114" i="120"/>
  <c r="P114" i="50"/>
  <c r="P114" i="72"/>
  <c r="P114" i="14"/>
  <c r="P114" i="135"/>
  <c r="P114" i="24"/>
  <c r="P114" i="119"/>
  <c r="P114" i="164"/>
  <c r="P114" i="63"/>
  <c r="P114" i="150"/>
  <c r="P114" i="158"/>
  <c r="P114" i="53"/>
  <c r="P114" i="42"/>
  <c r="P114" i="66"/>
  <c r="P114" i="102"/>
  <c r="P114" i="19"/>
  <c r="P114" i="64"/>
  <c r="P114" i="136"/>
  <c r="P114" i="86"/>
  <c r="P114" i="32"/>
  <c r="P114" i="20"/>
  <c r="P114" i="111"/>
  <c r="P114" i="37"/>
  <c r="P114" i="33"/>
  <c r="P114" i="167"/>
  <c r="P114" i="113"/>
  <c r="P114" i="174"/>
  <c r="P54" i="178"/>
  <c r="P54" i="157"/>
  <c r="P54" i="159"/>
  <c r="P54" i="79"/>
  <c r="P54" i="63"/>
  <c r="P54" i="95"/>
  <c r="P54" i="62"/>
  <c r="P54" i="120"/>
  <c r="P54" i="57"/>
  <c r="P54" i="27"/>
  <c r="P54" i="20"/>
  <c r="P54" i="175"/>
  <c r="P54" i="167"/>
  <c r="P54" i="156"/>
  <c r="P54" i="53"/>
  <c r="P54" i="87"/>
  <c r="P54" i="106"/>
  <c r="P54" i="60"/>
  <c r="P54" i="89"/>
  <c r="P54" i="136"/>
  <c r="P54" i="54"/>
  <c r="P54" i="83"/>
  <c r="P54" i="165"/>
  <c r="P54" i="1"/>
  <c r="P54" i="141"/>
  <c r="P54" i="33"/>
  <c r="P54" i="25"/>
  <c r="P54" i="72"/>
  <c r="P54" i="103"/>
  <c r="P54" i="15"/>
  <c r="P54" i="49"/>
  <c r="P54" i="150"/>
  <c r="P54" i="43"/>
  <c r="P54" i="119"/>
  <c r="P54" i="158"/>
  <c r="P54" i="90"/>
  <c r="P54" i="47"/>
  <c r="P54" i="104"/>
  <c r="P54" i="39"/>
  <c r="P54" i="42"/>
  <c r="P54" i="152"/>
  <c r="P54" i="58"/>
  <c r="P54" i="71"/>
  <c r="P54" i="92"/>
  <c r="P54" i="68"/>
  <c r="P54" i="46"/>
  <c r="P54" i="28"/>
  <c r="P54" i="66"/>
  <c r="P54" i="64"/>
  <c r="P54" i="24"/>
  <c r="P54" i="177"/>
  <c r="P54" i="155"/>
  <c r="P54" i="142"/>
  <c r="P54" i="38"/>
  <c r="P54" i="111"/>
  <c r="P54" i="84"/>
  <c r="P54" i="55"/>
  <c r="P54" i="16"/>
  <c r="P54" i="37"/>
  <c r="P54" i="50"/>
  <c r="P54" i="164"/>
  <c r="P54" i="145"/>
  <c r="P54" i="31"/>
  <c r="P54" i="113"/>
  <c r="P54" i="94"/>
  <c r="P54" i="65"/>
  <c r="P54" i="86"/>
  <c r="P54" i="85"/>
  <c r="P54" i="14"/>
  <c r="P54" i="21"/>
  <c r="P54" i="174"/>
  <c r="P54" i="133"/>
  <c r="P54" i="19"/>
  <c r="P54" i="102"/>
  <c r="P54" i="98"/>
  <c r="P54" i="32"/>
  <c r="P54" i="118"/>
  <c r="P54" i="135"/>
  <c r="P143" i="158"/>
  <c r="P143" i="84"/>
  <c r="P143" i="86"/>
  <c r="P143" i="33"/>
  <c r="P143" i="119"/>
  <c r="P143" i="53"/>
  <c r="P143" i="55"/>
  <c r="P143" i="155"/>
  <c r="P143" i="66"/>
  <c r="P143" i="32"/>
  <c r="P143" i="111"/>
  <c r="P143" i="103"/>
  <c r="P143" i="159"/>
  <c r="P143" i="92"/>
  <c r="P143" i="24"/>
  <c r="P143" i="165"/>
  <c r="P143" i="58"/>
  <c r="P143" i="65"/>
  <c r="P143" i="157"/>
  <c r="P143" i="25"/>
  <c r="P143" i="68"/>
  <c r="P143" i="104"/>
  <c r="P143" i="39"/>
  <c r="P143" i="43"/>
  <c r="P143" i="89"/>
  <c r="P143" i="85"/>
  <c r="P143" i="79"/>
  <c r="P143" i="175"/>
  <c r="P143" i="94"/>
  <c r="P143" i="135"/>
  <c r="P143" i="31"/>
  <c r="P143" i="141"/>
  <c r="P143" i="14"/>
  <c r="P143" i="19"/>
  <c r="P143" i="83"/>
  <c r="P143" i="174"/>
  <c r="P143" i="167"/>
  <c r="P143" i="37"/>
  <c r="P143" i="50"/>
  <c r="P143" i="90"/>
  <c r="P143" i="38"/>
  <c r="P143" i="164"/>
  <c r="P143" i="133"/>
  <c r="P143" i="98"/>
  <c r="P143" i="54"/>
  <c r="P143" i="118"/>
  <c r="P143" i="57"/>
  <c r="P143" i="63"/>
  <c r="P143" i="102"/>
  <c r="P143" i="21"/>
  <c r="P143" i="64"/>
  <c r="P143" i="156"/>
  <c r="P143" i="120"/>
  <c r="P143" i="152"/>
  <c r="P143" i="72"/>
  <c r="P143" i="142"/>
  <c r="P143" i="1"/>
  <c r="P143" i="113"/>
  <c r="P143" i="177"/>
  <c r="P143" i="71"/>
  <c r="P143" i="145"/>
  <c r="P143" i="62"/>
  <c r="P143" i="60"/>
  <c r="P143" i="16"/>
  <c r="P143" i="87"/>
  <c r="P143" i="95"/>
  <c r="P143" i="150"/>
  <c r="P143" i="178"/>
  <c r="P143" i="42"/>
  <c r="P143" i="46"/>
  <c r="P143" i="47"/>
  <c r="P143" i="106"/>
  <c r="P143" i="49"/>
  <c r="P143" i="15"/>
  <c r="P143" i="20"/>
  <c r="P143" i="28"/>
  <c r="P143" i="27"/>
  <c r="P143" i="136"/>
  <c r="P47" i="178"/>
  <c r="P47" i="68"/>
  <c r="P47" i="98"/>
  <c r="P47" i="60"/>
  <c r="P47" i="94"/>
  <c r="P47" i="174"/>
  <c r="P47" i="1"/>
  <c r="P47" i="84"/>
  <c r="P47" i="120"/>
  <c r="P47" i="43"/>
  <c r="P47" i="16"/>
  <c r="P47" i="71"/>
  <c r="P47" i="142"/>
  <c r="P47" i="83"/>
  <c r="P47" i="58"/>
  <c r="P47" i="62"/>
  <c r="P47" i="111"/>
  <c r="P47" i="15"/>
  <c r="P47" i="24"/>
  <c r="P47" i="85"/>
  <c r="P47" i="33"/>
  <c r="P47" i="155"/>
  <c r="P47" i="89"/>
  <c r="P47" i="133"/>
  <c r="P47" i="54"/>
  <c r="P47" i="164"/>
  <c r="P47" i="31"/>
  <c r="P47" i="141"/>
  <c r="P47" i="42"/>
  <c r="P47" i="165"/>
  <c r="P47" i="37"/>
  <c r="P47" i="152"/>
  <c r="P47" i="118"/>
  <c r="P47" i="158"/>
  <c r="P47" i="106"/>
  <c r="P47" i="113"/>
  <c r="P47" i="92"/>
  <c r="P47" i="175"/>
  <c r="P47" i="28"/>
  <c r="P47" i="27"/>
  <c r="P47" i="53"/>
  <c r="P47" i="64"/>
  <c r="P47" i="119"/>
  <c r="P47" i="50"/>
  <c r="P47" i="87"/>
  <c r="P47" i="90"/>
  <c r="P47" i="135"/>
  <c r="P47" i="102"/>
  <c r="P47" i="95"/>
  <c r="P47" i="25"/>
  <c r="P47" i="39"/>
  <c r="P47" i="150"/>
  <c r="P47" i="136"/>
  <c r="P47" i="159"/>
  <c r="P47" i="65"/>
  <c r="P47" i="167"/>
  <c r="P47" i="55"/>
  <c r="P47" i="66"/>
  <c r="P47" i="103"/>
  <c r="P47" i="46"/>
  <c r="P47" i="38"/>
  <c r="P47" i="156"/>
  <c r="P47" i="14"/>
  <c r="P47" i="72"/>
  <c r="P47" i="104"/>
  <c r="P47" i="49"/>
  <c r="P47" i="177"/>
  <c r="P47" i="19"/>
  <c r="P47" i="32"/>
  <c r="P47" i="20"/>
  <c r="P47" i="79"/>
  <c r="P47" i="63"/>
  <c r="P47" i="21"/>
  <c r="P47" i="86"/>
  <c r="P47" i="47"/>
  <c r="P47" i="157"/>
  <c r="P47" i="145"/>
  <c r="P47" i="57"/>
  <c r="P36" i="133"/>
  <c r="P36" i="141"/>
  <c r="P36" i="157"/>
  <c r="P36" i="174"/>
  <c r="P36" i="165"/>
  <c r="P36" i="87"/>
  <c r="P36" i="43"/>
  <c r="P36" i="31"/>
  <c r="P36" i="19"/>
  <c r="P36" i="14"/>
  <c r="P36" i="47"/>
  <c r="P36" i="156"/>
  <c r="P36" i="167"/>
  <c r="P36" i="111"/>
  <c r="P36" i="64"/>
  <c r="P36" i="119"/>
  <c r="P36" i="20"/>
  <c r="P36" i="72"/>
  <c r="P36" i="1"/>
  <c r="P36" i="68"/>
  <c r="P36" i="65"/>
  <c r="P36" i="90"/>
  <c r="P36" i="83"/>
  <c r="P36" i="98"/>
  <c r="P36" i="92"/>
  <c r="P36" i="158"/>
  <c r="P36" i="55"/>
  <c r="P36" i="113"/>
  <c r="P36" i="54"/>
  <c r="P36" i="79"/>
  <c r="P36" i="120"/>
  <c r="P36" i="28"/>
  <c r="P36" i="46"/>
  <c r="P36" i="66"/>
  <c r="P36" i="104"/>
  <c r="P36" i="89"/>
  <c r="P36" i="42"/>
  <c r="P36" i="71"/>
  <c r="P36" i="27"/>
  <c r="P36" i="33"/>
  <c r="P36" i="84"/>
  <c r="P36" i="49"/>
  <c r="P36" i="24"/>
  <c r="P36" i="95"/>
  <c r="P36" i="150"/>
  <c r="P36" i="155"/>
  <c r="P36" i="53"/>
  <c r="P36" i="86"/>
  <c r="P36" i="50"/>
  <c r="P36" i="60"/>
  <c r="P36" i="175"/>
  <c r="P36" i="106"/>
  <c r="P36" i="136"/>
  <c r="P36" i="16"/>
  <c r="P36" i="63"/>
  <c r="P36" i="62"/>
  <c r="P36" i="135"/>
  <c r="P36" i="178"/>
  <c r="P36" i="103"/>
  <c r="P36" i="58"/>
  <c r="P36" i="177"/>
  <c r="P36" i="145"/>
  <c r="P36" i="39"/>
  <c r="P36" i="15"/>
  <c r="P36" i="37"/>
  <c r="P36" i="94"/>
  <c r="P36" i="85"/>
  <c r="P36" i="164"/>
  <c r="P36" i="32"/>
  <c r="P36" i="118"/>
  <c r="P36" i="142"/>
  <c r="P36" i="102"/>
  <c r="P36" i="25"/>
  <c r="P36" i="21"/>
  <c r="P36" i="38"/>
  <c r="P36" i="57"/>
  <c r="P36" i="159"/>
  <c r="P36" i="152"/>
  <c r="P101" i="38"/>
  <c r="P101" i="1"/>
  <c r="P101" i="64"/>
  <c r="P101" i="152"/>
  <c r="P101" i="102"/>
  <c r="P101" i="92"/>
  <c r="P101" i="111"/>
  <c r="P101" i="58"/>
  <c r="P101" i="72"/>
  <c r="P101" i="39"/>
  <c r="P101" i="20"/>
  <c r="P101" i="68"/>
  <c r="P101" i="159"/>
  <c r="P101" i="133"/>
  <c r="P101" i="164"/>
  <c r="P101" i="150"/>
  <c r="P101" i="25"/>
  <c r="P101" i="43"/>
  <c r="P101" i="32"/>
  <c r="P101" i="15"/>
  <c r="P101" i="86"/>
  <c r="P101" i="60"/>
  <c r="P101" i="65"/>
  <c r="P101" i="155"/>
  <c r="P101" i="14"/>
  <c r="P101" i="71"/>
  <c r="P101" i="49"/>
  <c r="P101" i="95"/>
  <c r="P101" i="79"/>
  <c r="P101" i="42"/>
  <c r="P101" i="83"/>
  <c r="P101" i="27"/>
  <c r="P101" i="33"/>
  <c r="P101" i="142"/>
  <c r="P101" i="103"/>
  <c r="P101" i="177"/>
  <c r="P101" i="118"/>
  <c r="P101" i="31"/>
  <c r="P101" i="94"/>
  <c r="P101" i="158"/>
  <c r="P101" i="46"/>
  <c r="P101" i="113"/>
  <c r="P101" i="57"/>
  <c r="P101" i="165"/>
  <c r="P101" i="104"/>
  <c r="P101" i="156"/>
  <c r="P101" i="145"/>
  <c r="P101" i="53"/>
  <c r="P101" i="16"/>
  <c r="P101" i="175"/>
  <c r="P101" i="47"/>
  <c r="P101" i="19"/>
  <c r="P101" i="87"/>
  <c r="P101" i="135"/>
  <c r="P101" i="174"/>
  <c r="P101" i="98"/>
  <c r="P101" i="21"/>
  <c r="P101" i="37"/>
  <c r="P101" i="63"/>
  <c r="P101" i="28"/>
  <c r="P101" i="66"/>
  <c r="P101" i="90"/>
  <c r="P101" i="85"/>
  <c r="P101" i="84"/>
  <c r="P101" i="106"/>
  <c r="P101" i="167"/>
  <c r="P101" i="136"/>
  <c r="P101" i="50"/>
  <c r="P101" i="141"/>
  <c r="P101" i="55"/>
  <c r="P101" i="120"/>
  <c r="P101" i="62"/>
  <c r="P101" i="24"/>
  <c r="P101" i="89"/>
  <c r="P101" i="54"/>
  <c r="P101" i="178"/>
  <c r="P101" i="119"/>
  <c r="P101" i="157"/>
  <c r="P111" i="165"/>
  <c r="P111" i="33"/>
  <c r="P111" i="16"/>
  <c r="P111" i="42"/>
  <c r="P111" i="24"/>
  <c r="P111" i="87"/>
  <c r="P111" i="50"/>
  <c r="P111" i="55"/>
  <c r="P111" i="133"/>
  <c r="P111" i="57"/>
  <c r="P111" i="159"/>
  <c r="P111" i="104"/>
  <c r="P111" i="37"/>
  <c r="P111" i="62"/>
  <c r="P111" i="43"/>
  <c r="P111" i="72"/>
  <c r="P111" i="39"/>
  <c r="P111" i="53"/>
  <c r="P111" i="158"/>
  <c r="P111" i="85"/>
  <c r="P111" i="47"/>
  <c r="P111" i="1"/>
  <c r="P111" i="94"/>
  <c r="P111" i="58"/>
  <c r="P111" i="14"/>
  <c r="P111" i="95"/>
  <c r="P111" i="15"/>
  <c r="P111" i="174"/>
  <c r="P111" i="167"/>
  <c r="P111" i="145"/>
  <c r="P111" i="89"/>
  <c r="P111" i="103"/>
  <c r="P111" i="65"/>
  <c r="P111" i="63"/>
  <c r="P111" i="142"/>
  <c r="P111" i="54"/>
  <c r="P111" i="98"/>
  <c r="P111" i="49"/>
  <c r="P111" i="178"/>
  <c r="P111" i="150"/>
  <c r="P111" i="175"/>
  <c r="P111" i="28"/>
  <c r="P111" i="111"/>
  <c r="P111" i="84"/>
  <c r="P111" i="83"/>
  <c r="P111" i="31"/>
  <c r="P111" i="25"/>
  <c r="P111" i="79"/>
  <c r="P111" i="120"/>
  <c r="P111" i="177"/>
  <c r="P111" i="155"/>
  <c r="P111" i="106"/>
  <c r="P111" i="38"/>
  <c r="P111" i="21"/>
  <c r="P111" i="136"/>
  <c r="P111" i="141"/>
  <c r="P111" i="46"/>
  <c r="P111" i="71"/>
  <c r="P111" i="119"/>
  <c r="P111" i="113"/>
  <c r="P111" i="66"/>
  <c r="P111" i="60"/>
  <c r="P111" i="152"/>
  <c r="P111" i="64"/>
  <c r="P111" i="135"/>
  <c r="P111" i="164"/>
  <c r="P111" i="19"/>
  <c r="P111" i="92"/>
  <c r="P111" i="157"/>
  <c r="P111" i="86"/>
  <c r="P111" i="20"/>
  <c r="P111" i="156"/>
  <c r="P111" i="90"/>
  <c r="P111" i="102"/>
  <c r="P111" i="118"/>
  <c r="P111" i="68"/>
  <c r="P111" i="32"/>
  <c r="P111" i="27"/>
  <c r="P88" i="175"/>
  <c r="P88" i="65"/>
  <c r="P88" i="66"/>
  <c r="P88" i="60"/>
  <c r="P88" i="85"/>
  <c r="P88" i="54"/>
  <c r="P88" i="1"/>
  <c r="P88" i="102"/>
  <c r="P88" i="57"/>
  <c r="P88" i="167"/>
  <c r="P88" i="156"/>
  <c r="P88" i="47"/>
  <c r="P88" i="103"/>
  <c r="P88" i="31"/>
  <c r="P88" i="24"/>
  <c r="P88" i="119"/>
  <c r="P88" i="106"/>
  <c r="P88" i="83"/>
  <c r="P88" i="104"/>
  <c r="P88" i="145"/>
  <c r="P88" i="87"/>
  <c r="P88" i="16"/>
  <c r="P88" i="62"/>
  <c r="P88" i="136"/>
  <c r="P88" i="95"/>
  <c r="P88" i="37"/>
  <c r="P88" i="72"/>
  <c r="P88" i="42"/>
  <c r="P88" i="84"/>
  <c r="P88" i="158"/>
  <c r="P88" i="15"/>
  <c r="P88" i="98"/>
  <c r="P88" i="63"/>
  <c r="P88" i="33"/>
  <c r="P88" i="142"/>
  <c r="P88" i="50"/>
  <c r="P88" i="43"/>
  <c r="P88" i="19"/>
  <c r="P88" i="164"/>
  <c r="P88" i="152"/>
  <c r="P88" i="25"/>
  <c r="P88" i="141"/>
  <c r="P88" i="58"/>
  <c r="P88" i="86"/>
  <c r="P88" i="53"/>
  <c r="P88" i="135"/>
  <c r="P88" i="28"/>
  <c r="P88" i="174"/>
  <c r="P88" i="177"/>
  <c r="P88" i="68"/>
  <c r="P88" i="46"/>
  <c r="P88" i="120"/>
  <c r="P88" i="20"/>
  <c r="P88" i="94"/>
  <c r="P88" i="113"/>
  <c r="P88" i="92"/>
  <c r="P88" i="118"/>
  <c r="P88" i="79"/>
  <c r="P88" i="178"/>
  <c r="P88" i="64"/>
  <c r="P88" i="89"/>
  <c r="P88" i="157"/>
  <c r="P88" i="21"/>
  <c r="P88" i="71"/>
  <c r="P88" i="90"/>
  <c r="P88" i="150"/>
  <c r="P88" i="155"/>
  <c r="P88" i="55"/>
  <c r="P88" i="165"/>
  <c r="P88" i="159"/>
  <c r="P88" i="49"/>
  <c r="P88" i="38"/>
  <c r="P88" i="32"/>
  <c r="P88" i="133"/>
  <c r="P88" i="27"/>
  <c r="P88" i="14"/>
  <c r="P88" i="111"/>
  <c r="P88" i="39"/>
  <c r="P45" i="150"/>
  <c r="P45" i="79"/>
  <c r="P45" i="98"/>
  <c r="P45" i="152"/>
  <c r="P45" i="20"/>
  <c r="P45" i="85"/>
  <c r="P45" i="95"/>
  <c r="P45" i="106"/>
  <c r="P45" i="104"/>
  <c r="P45" i="141"/>
  <c r="P45" i="1"/>
  <c r="P45" i="64"/>
  <c r="P45" i="54"/>
  <c r="P45" i="164"/>
  <c r="P45" i="94"/>
  <c r="P45" i="57"/>
  <c r="P45" i="71"/>
  <c r="P45" i="37"/>
  <c r="P45" i="60"/>
  <c r="P45" i="89"/>
  <c r="P45" i="87"/>
  <c r="P45" i="145"/>
  <c r="P45" i="92"/>
  <c r="P45" i="42"/>
  <c r="P45" i="55"/>
  <c r="P45" i="63"/>
  <c r="P45" i="28"/>
  <c r="P45" i="68"/>
  <c r="P45" i="33"/>
  <c r="P45" i="167"/>
  <c r="P45" i="14"/>
  <c r="P45" i="24"/>
  <c r="P45" i="174"/>
  <c r="P45" i="53"/>
  <c r="P45" i="119"/>
  <c r="P45" i="27"/>
  <c r="P45" i="135"/>
  <c r="P45" i="83"/>
  <c r="P45" i="90"/>
  <c r="P45" i="65"/>
  <c r="P45" i="32"/>
  <c r="P45" i="165"/>
  <c r="P45" i="25"/>
  <c r="P45" i="159"/>
  <c r="P45" i="21"/>
  <c r="P45" i="175"/>
  <c r="P45" i="84"/>
  <c r="P45" i="38"/>
  <c r="P45" i="113"/>
  <c r="P45" i="120"/>
  <c r="P45" i="31"/>
  <c r="P45" i="133"/>
  <c r="P45" i="49"/>
  <c r="P45" i="157"/>
  <c r="P45" i="66"/>
  <c r="P45" i="136"/>
  <c r="P45" i="102"/>
  <c r="P45" i="62"/>
  <c r="P45" i="178"/>
  <c r="P45" i="16"/>
  <c r="P45" i="46"/>
  <c r="P45" i="58"/>
  <c r="P45" i="47"/>
  <c r="P45" i="142"/>
  <c r="P45" i="158"/>
  <c r="P45" i="15"/>
  <c r="P45" i="72"/>
  <c r="P45" i="103"/>
  <c r="P45" i="43"/>
  <c r="P45" i="50"/>
  <c r="P45" i="155"/>
  <c r="P45" i="156"/>
  <c r="P45" i="19"/>
  <c r="P45" i="39"/>
  <c r="P45" i="177"/>
  <c r="P45" i="111"/>
  <c r="P45" i="118"/>
  <c r="P45" i="86"/>
  <c r="P95" i="178"/>
  <c r="P95" i="85"/>
  <c r="P95" i="177"/>
  <c r="P95" i="92"/>
  <c r="P95" i="63"/>
  <c r="P95" i="83"/>
  <c r="P95" i="157"/>
  <c r="P95" i="106"/>
  <c r="P95" i="158"/>
  <c r="P95" i="53"/>
  <c r="P95" i="14"/>
  <c r="P95" i="43"/>
  <c r="P95" i="98"/>
  <c r="P95" i="90"/>
  <c r="P95" i="66"/>
  <c r="P95" i="141"/>
  <c r="P95" i="120"/>
  <c r="P95" i="79"/>
  <c r="P95" i="156"/>
  <c r="P95" i="165"/>
  <c r="P95" i="145"/>
  <c r="P95" i="42"/>
  <c r="P95" i="15"/>
  <c r="P95" i="142"/>
  <c r="P95" i="31"/>
  <c r="P95" i="84"/>
  <c r="P95" i="1"/>
  <c r="P95" i="62"/>
  <c r="P95" i="57"/>
  <c r="P95" i="175"/>
  <c r="P95" i="167"/>
  <c r="P95" i="32"/>
  <c r="P95" i="49"/>
  <c r="P95" i="72"/>
  <c r="P95" i="16"/>
  <c r="P95" i="68"/>
  <c r="P95" i="102"/>
  <c r="P95" i="164"/>
  <c r="P95" i="152"/>
  <c r="P95" i="28"/>
  <c r="P95" i="54"/>
  <c r="P95" i="155"/>
  <c r="P95" i="64"/>
  <c r="P95" i="37"/>
  <c r="P95" i="119"/>
  <c r="P95" i="65"/>
  <c r="P95" i="46"/>
  <c r="P95" i="47"/>
  <c r="P95" i="103"/>
  <c r="P95" i="58"/>
  <c r="P95" i="71"/>
  <c r="P95" i="60"/>
  <c r="P95" i="113"/>
  <c r="P95" i="94"/>
  <c r="P95" i="111"/>
  <c r="P95" i="39"/>
  <c r="P95" i="33"/>
  <c r="P95" i="24"/>
  <c r="P95" i="135"/>
  <c r="P95" i="159"/>
  <c r="P95" i="19"/>
  <c r="P95" i="50"/>
  <c r="P95" i="136"/>
  <c r="P95" i="27"/>
  <c r="P95" i="38"/>
  <c r="P95" i="104"/>
  <c r="P95" i="25"/>
  <c r="P95" i="89"/>
  <c r="P95" i="20"/>
  <c r="P95" i="118"/>
  <c r="P95" i="150"/>
  <c r="P95" i="87"/>
  <c r="P95" i="86"/>
  <c r="P95" i="21"/>
  <c r="P95" i="133"/>
  <c r="P95" i="174"/>
  <c r="P95" i="55"/>
  <c r="P95" i="95"/>
  <c r="P154" i="83"/>
  <c r="P154" i="92"/>
  <c r="P154" i="104"/>
  <c r="P154" i="1"/>
  <c r="P154" i="156"/>
  <c r="P154" i="119"/>
  <c r="P154" i="65"/>
  <c r="P154" i="136"/>
  <c r="P154" i="25"/>
  <c r="P154" i="142"/>
  <c r="P154" i="155"/>
  <c r="P154" i="158"/>
  <c r="P154" i="46"/>
  <c r="P154" i="71"/>
  <c r="P154" i="98"/>
  <c r="P154" i="152"/>
  <c r="P154" i="39"/>
  <c r="P154" i="120"/>
  <c r="P154" i="113"/>
  <c r="P154" i="178"/>
  <c r="P154" i="53"/>
  <c r="P154" i="31"/>
  <c r="P154" i="58"/>
  <c r="P154" i="38"/>
  <c r="P154" i="50"/>
  <c r="P154" i="118"/>
  <c r="P154" i="72"/>
  <c r="P154" i="164"/>
  <c r="P154" i="49"/>
  <c r="P154" i="33"/>
  <c r="P154" i="66"/>
  <c r="P154" i="55"/>
  <c r="P154" i="14"/>
  <c r="P154" i="20"/>
  <c r="P154" i="157"/>
  <c r="P154" i="175"/>
  <c r="P154" i="27"/>
  <c r="P154" i="106"/>
  <c r="P154" i="16"/>
  <c r="P154" i="60"/>
  <c r="P154" i="19"/>
  <c r="P154" i="177"/>
  <c r="P154" i="95"/>
  <c r="P154" i="28"/>
  <c r="P154" i="87"/>
  <c r="P154" i="103"/>
  <c r="P154" i="133"/>
  <c r="P154" i="62"/>
  <c r="P154" i="32"/>
  <c r="P154" i="150"/>
  <c r="P154" i="54"/>
  <c r="P154" i="111"/>
  <c r="P154" i="57"/>
  <c r="P154" i="145"/>
  <c r="P154" i="68"/>
  <c r="P154" i="89"/>
  <c r="P154" i="15"/>
  <c r="P154" i="85"/>
  <c r="P154" i="42"/>
  <c r="P154" i="37"/>
  <c r="P154" i="63"/>
  <c r="P154" i="64"/>
  <c r="P154" i="94"/>
  <c r="P154" i="43"/>
  <c r="P154" i="84"/>
  <c r="P154" i="79"/>
  <c r="P154" i="159"/>
  <c r="P154" i="47"/>
  <c r="P154" i="102"/>
  <c r="P154" i="86"/>
  <c r="P154" i="21"/>
  <c r="P154" i="141"/>
  <c r="P154" i="135"/>
  <c r="P154" i="165"/>
  <c r="P154" i="167"/>
  <c r="P154" i="90"/>
  <c r="P154" i="174"/>
  <c r="P154" i="24"/>
  <c r="P165" i="118"/>
  <c r="P165" i="46"/>
  <c r="P165" i="60"/>
  <c r="P165" i="92"/>
  <c r="P165" i="27"/>
  <c r="P165" i="177"/>
  <c r="P165" i="136"/>
  <c r="P165" i="111"/>
  <c r="P165" i="157"/>
  <c r="P165" i="14"/>
  <c r="P165" i="95"/>
  <c r="P165" i="155"/>
  <c r="P165" i="83"/>
  <c r="P165" i="19"/>
  <c r="P165" i="15"/>
  <c r="P165" i="71"/>
  <c r="P165" i="150"/>
  <c r="P165" i="133"/>
  <c r="P165" i="33"/>
  <c r="P165" i="178"/>
  <c r="P165" i="102"/>
  <c r="P165" i="25"/>
  <c r="P165" i="174"/>
  <c r="P165" i="72"/>
  <c r="P165" i="20"/>
  <c r="P165" i="54"/>
  <c r="P165" i="158"/>
  <c r="P165" i="89"/>
  <c r="P165" i="142"/>
  <c r="P165" i="28"/>
  <c r="P165" i="165"/>
  <c r="P165" i="85"/>
  <c r="P165" i="37"/>
  <c r="P165" i="103"/>
  <c r="P165" i="113"/>
  <c r="P165" i="94"/>
  <c r="P165" i="38"/>
  <c r="P165" i="66"/>
  <c r="P165" i="152"/>
  <c r="P165" i="104"/>
  <c r="P165" i="58"/>
  <c r="P165" i="175"/>
  <c r="P165" i="156"/>
  <c r="P165" i="90"/>
  <c r="P165" i="16"/>
  <c r="P165" i="106"/>
  <c r="P165" i="49"/>
  <c r="P165" i="50"/>
  <c r="P165" i="1"/>
  <c r="P165" i="120"/>
  <c r="P165" i="31"/>
  <c r="P165" i="98"/>
  <c r="P165" i="84"/>
  <c r="P165" i="21"/>
  <c r="P165" i="164"/>
  <c r="P165" i="135"/>
  <c r="P165" i="64"/>
  <c r="P165" i="68"/>
  <c r="P165" i="119"/>
  <c r="P165" i="63"/>
  <c r="P165" i="86"/>
  <c r="P165" i="39"/>
  <c r="P165" i="32"/>
  <c r="P165" i="65"/>
  <c r="P165" i="87"/>
  <c r="P165" i="47"/>
  <c r="P165" i="53"/>
  <c r="P165" i="43"/>
  <c r="P165" i="62"/>
  <c r="P165" i="57"/>
  <c r="P165" i="24"/>
  <c r="P165" i="79"/>
  <c r="P165" i="167"/>
  <c r="P165" i="145"/>
  <c r="P165" i="159"/>
  <c r="P165" i="42"/>
  <c r="P165" i="141"/>
  <c r="P165" i="55"/>
  <c r="P153" i="21"/>
  <c r="P153" i="43"/>
  <c r="P153" i="19"/>
  <c r="P153" i="55"/>
  <c r="P153" i="156"/>
  <c r="P153" i="177"/>
  <c r="P153" i="71"/>
  <c r="P153" i="145"/>
  <c r="P153" i="54"/>
  <c r="P153" i="84"/>
  <c r="P153" i="165"/>
  <c r="P153" i="16"/>
  <c r="P153" i="95"/>
  <c r="P153" i="136"/>
  <c r="P153" i="157"/>
  <c r="P153" i="42"/>
  <c r="P153" i="174"/>
  <c r="P153" i="15"/>
  <c r="P153" i="63"/>
  <c r="P153" i="86"/>
  <c r="P153" i="111"/>
  <c r="P153" i="27"/>
  <c r="P153" i="103"/>
  <c r="P153" i="150"/>
  <c r="P153" i="113"/>
  <c r="P153" i="72"/>
  <c r="P153" i="24"/>
  <c r="P153" i="83"/>
  <c r="P153" i="47"/>
  <c r="P153" i="142"/>
  <c r="P153" i="135"/>
  <c r="P153" i="104"/>
  <c r="P153" i="65"/>
  <c r="P153" i="66"/>
  <c r="P153" i="60"/>
  <c r="P153" i="31"/>
  <c r="P153" i="46"/>
  <c r="P153" i="164"/>
  <c r="P153" i="175"/>
  <c r="P153" i="79"/>
  <c r="P153" i="49"/>
  <c r="P153" i="118"/>
  <c r="P153" i="119"/>
  <c r="P153" i="14"/>
  <c r="P153" i="37"/>
  <c r="P153" i="120"/>
  <c r="P153" i="38"/>
  <c r="P153" i="87"/>
  <c r="P153" i="53"/>
  <c r="P153" i="141"/>
  <c r="P153" i="106"/>
  <c r="P153" i="62"/>
  <c r="P153" i="57"/>
  <c r="P153" i="167"/>
  <c r="P153" i="32"/>
  <c r="P153" i="64"/>
  <c r="P153" i="85"/>
  <c r="P153" i="20"/>
  <c r="P153" i="58"/>
  <c r="P153" i="92"/>
  <c r="P153" i="133"/>
  <c r="P153" i="102"/>
  <c r="P153" i="25"/>
  <c r="P153" i="1"/>
  <c r="P153" i="152"/>
  <c r="P153" i="178"/>
  <c r="P153" i="89"/>
  <c r="P153" i="68"/>
  <c r="P153" i="158"/>
  <c r="P153" i="98"/>
  <c r="P153" i="90"/>
  <c r="P153" i="28"/>
  <c r="P153" i="50"/>
  <c r="P153" i="33"/>
  <c r="P153" i="159"/>
  <c r="P153" i="39"/>
  <c r="P153" i="155"/>
  <c r="P153" i="94"/>
  <c r="P74" i="155"/>
  <c r="P74" i="31"/>
  <c r="P74" i="19"/>
  <c r="P74" i="58"/>
  <c r="P74" i="90"/>
  <c r="P74" i="133"/>
  <c r="P74" i="95"/>
  <c r="P74" i="158"/>
  <c r="P74" i="159"/>
  <c r="P74" i="42"/>
  <c r="P74" i="68"/>
  <c r="P74" i="87"/>
  <c r="P74" i="46"/>
  <c r="P74" i="33"/>
  <c r="P74" i="94"/>
  <c r="P74" i="106"/>
  <c r="P74" i="14"/>
  <c r="P74" i="21"/>
  <c r="P74" i="92"/>
  <c r="P74" i="174"/>
  <c r="P74" i="165"/>
  <c r="P74" i="16"/>
  <c r="P74" i="98"/>
  <c r="P74" i="37"/>
  <c r="P74" i="118"/>
  <c r="P74" i="47"/>
  <c r="P74" i="28"/>
  <c r="P74" i="65"/>
  <c r="P74" i="24"/>
  <c r="P74" i="55"/>
  <c r="P74" i="152"/>
  <c r="P74" i="84"/>
  <c r="P74" i="1"/>
  <c r="P74" i="156"/>
  <c r="P74" i="25"/>
  <c r="P74" i="102"/>
  <c r="P74" i="83"/>
  <c r="P74" i="135"/>
  <c r="P74" i="120"/>
  <c r="P74" i="136"/>
  <c r="P74" i="157"/>
  <c r="P74" i="62"/>
  <c r="P74" i="142"/>
  <c r="P74" i="104"/>
  <c r="P74" i="64"/>
  <c r="P74" i="49"/>
  <c r="P74" i="85"/>
  <c r="P74" i="57"/>
  <c r="P74" i="72"/>
  <c r="P74" i="177"/>
  <c r="P74" i="175"/>
  <c r="P74" i="141"/>
  <c r="P74" i="66"/>
  <c r="P74" i="167"/>
  <c r="P74" i="79"/>
  <c r="P74" i="103"/>
  <c r="P74" i="86"/>
  <c r="P74" i="20"/>
  <c r="P74" i="178"/>
  <c r="P74" i="38"/>
  <c r="P74" i="150"/>
  <c r="P74" i="111"/>
  <c r="P74" i="15"/>
  <c r="P74" i="39"/>
  <c r="P74" i="89"/>
  <c r="P74" i="27"/>
  <c r="P74" i="32"/>
  <c r="P74" i="164"/>
  <c r="P74" i="145"/>
  <c r="P74" i="119"/>
  <c r="P74" i="54"/>
  <c r="P74" i="71"/>
  <c r="P74" i="50"/>
  <c r="P74" i="53"/>
  <c r="P74" i="63"/>
  <c r="P74" i="60"/>
  <c r="P74" i="43"/>
  <c r="P74" i="113"/>
  <c r="P137" i="178"/>
  <c r="P137" i="165"/>
  <c r="P137" i="15"/>
  <c r="P137" i="94"/>
  <c r="P137" i="47"/>
  <c r="P137" i="72"/>
  <c r="P137" i="103"/>
  <c r="P137" i="118"/>
  <c r="P137" i="66"/>
  <c r="P137" i="31"/>
  <c r="P137" i="1"/>
  <c r="P137" i="92"/>
  <c r="P137" i="177"/>
  <c r="P137" i="167"/>
  <c r="P137" i="156"/>
  <c r="P137" i="58"/>
  <c r="P137" i="39"/>
  <c r="P137" i="113"/>
  <c r="P137" i="150"/>
  <c r="P137" i="63"/>
  <c r="P137" i="38"/>
  <c r="P137" i="155"/>
  <c r="P137" i="62"/>
  <c r="P137" i="90"/>
  <c r="P137" i="98"/>
  <c r="P137" i="104"/>
  <c r="P137" i="43"/>
  <c r="P137" i="65"/>
  <c r="P137" i="157"/>
  <c r="P137" i="20"/>
  <c r="P137" i="37"/>
  <c r="P137" i="33"/>
  <c r="P137" i="21"/>
  <c r="P137" i="24"/>
  <c r="P137" i="95"/>
  <c r="P137" i="49"/>
  <c r="P137" i="164"/>
  <c r="P137" i="133"/>
  <c r="P137" i="46"/>
  <c r="P137" i="84"/>
  <c r="P137" i="16"/>
  <c r="P137" i="71"/>
  <c r="P137" i="86"/>
  <c r="P137" i="175"/>
  <c r="P137" i="68"/>
  <c r="P137" i="79"/>
  <c r="P137" i="87"/>
  <c r="P137" i="25"/>
  <c r="P137" i="32"/>
  <c r="P137" i="145"/>
  <c r="P137" i="89"/>
  <c r="P137" i="60"/>
  <c r="P137" i="42"/>
  <c r="P137" i="120"/>
  <c r="P137" i="55"/>
  <c r="P137" i="28"/>
  <c r="P137" i="152"/>
  <c r="P137" i="83"/>
  <c r="P137" i="135"/>
  <c r="P137" i="111"/>
  <c r="P137" i="106"/>
  <c r="P137" i="159"/>
  <c r="P137" i="19"/>
  <c r="P137" i="141"/>
  <c r="P137" i="136"/>
  <c r="P137" i="50"/>
  <c r="P137" i="57"/>
  <c r="P137" i="64"/>
  <c r="P137" i="54"/>
  <c r="P137" i="27"/>
  <c r="P137" i="53"/>
  <c r="P137" i="14"/>
  <c r="P137" i="102"/>
  <c r="P137" i="174"/>
  <c r="P137" i="85"/>
  <c r="P137" i="158"/>
  <c r="P137" i="119"/>
  <c r="P137" i="142"/>
  <c r="P89" i="178"/>
  <c r="P89" i="156"/>
  <c r="P89" i="38"/>
  <c r="P89" i="60"/>
  <c r="P89" i="37"/>
  <c r="P89" i="28"/>
  <c r="P89" i="83"/>
  <c r="P89" i="62"/>
  <c r="P89" i="106"/>
  <c r="P89" i="49"/>
  <c r="P89" i="142"/>
  <c r="P89" i="165"/>
  <c r="P89" i="119"/>
  <c r="P89" i="14"/>
  <c r="P89" i="157"/>
  <c r="P89" i="86"/>
  <c r="P89" i="120"/>
  <c r="P89" i="19"/>
  <c r="P89" i="159"/>
  <c r="P89" i="42"/>
  <c r="P89" i="27"/>
  <c r="P89" i="33"/>
  <c r="P89" i="174"/>
  <c r="P89" i="150"/>
  <c r="P89" i="133"/>
  <c r="P89" i="39"/>
  <c r="P89" i="103"/>
  <c r="P89" i="145"/>
  <c r="P89" i="65"/>
  <c r="P89" i="31"/>
  <c r="P89" i="54"/>
  <c r="P89" i="158"/>
  <c r="P89" i="66"/>
  <c r="P89" i="47"/>
  <c r="P89" i="104"/>
  <c r="P89" i="94"/>
  <c r="P89" i="92"/>
  <c r="P89" i="95"/>
  <c r="P89" i="15"/>
  <c r="P89" i="167"/>
  <c r="P89" i="71"/>
  <c r="P89" i="32"/>
  <c r="P89" i="24"/>
  <c r="P89" i="98"/>
  <c r="P89" i="87"/>
  <c r="P89" i="177"/>
  <c r="P89" i="20"/>
  <c r="P89" i="64"/>
  <c r="P89" i="50"/>
  <c r="P89" i="152"/>
  <c r="P89" i="16"/>
  <c r="P89" i="57"/>
  <c r="P89" i="111"/>
  <c r="P89" i="89"/>
  <c r="P89" i="63"/>
  <c r="P89" i="84"/>
  <c r="P89" i="1"/>
  <c r="P89" i="135"/>
  <c r="P89" i="164"/>
  <c r="P89" i="113"/>
  <c r="P89" i="118"/>
  <c r="P89" i="155"/>
  <c r="P89" i="85"/>
  <c r="P89" i="55"/>
  <c r="P89" i="79"/>
  <c r="P89" i="21"/>
  <c r="P89" i="58"/>
  <c r="P89" i="43"/>
  <c r="P89" i="175"/>
  <c r="P89" i="53"/>
  <c r="P89" i="46"/>
  <c r="P89" i="25"/>
  <c r="P89" i="136"/>
  <c r="P89" i="72"/>
  <c r="P89" i="141"/>
  <c r="P89" i="90"/>
  <c r="P89" i="102"/>
  <c r="P89" i="68"/>
  <c r="P77" i="177"/>
  <c r="P77" i="113"/>
  <c r="P77" i="27"/>
  <c r="P77" i="156"/>
  <c r="P77" i="62"/>
  <c r="P77" i="145"/>
  <c r="P77" i="92"/>
  <c r="P77" i="120"/>
  <c r="P77" i="20"/>
  <c r="P77" i="79"/>
  <c r="P77" i="72"/>
  <c r="P77" i="39"/>
  <c r="P77" i="15"/>
  <c r="P77" i="157"/>
  <c r="P77" i="111"/>
  <c r="P77" i="135"/>
  <c r="P77" i="1"/>
  <c r="P77" i="38"/>
  <c r="P77" i="55"/>
  <c r="P77" i="95"/>
  <c r="P77" i="106"/>
  <c r="P77" i="42"/>
  <c r="P77" i="167"/>
  <c r="P77" i="63"/>
  <c r="P77" i="57"/>
  <c r="P77" i="142"/>
  <c r="P77" i="86"/>
  <c r="P77" i="65"/>
  <c r="P77" i="98"/>
  <c r="P77" i="104"/>
  <c r="P77" i="43"/>
  <c r="P77" i="103"/>
  <c r="P77" i="53"/>
  <c r="P77" i="37"/>
  <c r="P77" i="19"/>
  <c r="P77" i="155"/>
  <c r="P77" i="66"/>
  <c r="P77" i="60"/>
  <c r="P77" i="90"/>
  <c r="P77" i="152"/>
  <c r="P77" i="164"/>
  <c r="P77" i="68"/>
  <c r="P77" i="159"/>
  <c r="P77" i="16"/>
  <c r="P77" i="25"/>
  <c r="P77" i="141"/>
  <c r="P77" i="71"/>
  <c r="P77" i="136"/>
  <c r="P77" i="174"/>
  <c r="P77" i="33"/>
  <c r="P77" i="49"/>
  <c r="P77" i="119"/>
  <c r="P77" i="118"/>
  <c r="P77" i="84"/>
  <c r="P77" i="54"/>
  <c r="P77" i="32"/>
  <c r="P77" i="133"/>
  <c r="P77" i="83"/>
  <c r="P77" i="175"/>
  <c r="P77" i="46"/>
  <c r="P77" i="150"/>
  <c r="P77" i="178"/>
  <c r="P77" i="31"/>
  <c r="P77" i="102"/>
  <c r="P77" i="58"/>
  <c r="P77" i="14"/>
  <c r="P77" i="165"/>
  <c r="P77" i="64"/>
  <c r="P77" i="158"/>
  <c r="P77" i="47"/>
  <c r="P77" i="94"/>
  <c r="P77" i="87"/>
  <c r="P77" i="28"/>
  <c r="P77" i="89"/>
  <c r="P77" i="85"/>
  <c r="P77" i="24"/>
  <c r="P77" i="50"/>
  <c r="P77" i="21"/>
  <c r="P112" i="178"/>
  <c r="P112" i="55"/>
  <c r="P112" i="158"/>
  <c r="P112" i="14"/>
  <c r="P112" i="145"/>
  <c r="P112" i="118"/>
  <c r="P112" i="38"/>
  <c r="P112" i="42"/>
  <c r="P112" i="102"/>
  <c r="P112" i="60"/>
  <c r="P112" i="156"/>
  <c r="P112" i="111"/>
  <c r="P112" i="33"/>
  <c r="P112" i="98"/>
  <c r="P112" i="71"/>
  <c r="P112" i="85"/>
  <c r="P112" i="104"/>
  <c r="P112" i="27"/>
  <c r="P112" i="39"/>
  <c r="P112" i="94"/>
  <c r="P112" i="86"/>
  <c r="P112" i="28"/>
  <c r="P112" i="103"/>
  <c r="P112" i="31"/>
  <c r="P112" i="47"/>
  <c r="P112" i="133"/>
  <c r="P112" i="64"/>
  <c r="P112" i="43"/>
  <c r="P112" i="90"/>
  <c r="P112" i="15"/>
  <c r="P112" i="92"/>
  <c r="P112" i="159"/>
  <c r="P112" i="46"/>
  <c r="P112" i="142"/>
  <c r="P112" i="19"/>
  <c r="P112" i="155"/>
  <c r="P112" i="68"/>
  <c r="P112" i="136"/>
  <c r="P112" i="72"/>
  <c r="P112" i="119"/>
  <c r="P112" i="20"/>
  <c r="P112" i="174"/>
  <c r="P112" i="84"/>
  <c r="P112" i="16"/>
  <c r="P112" i="62"/>
  <c r="P112" i="63"/>
  <c r="P112" i="57"/>
  <c r="P112" i="164"/>
  <c r="P112" i="66"/>
  <c r="P112" i="21"/>
  <c r="P112" i="89"/>
  <c r="P112" i="150"/>
  <c r="P112" i="167"/>
  <c r="P112" i="54"/>
  <c r="P112" i="83"/>
  <c r="P112" i="37"/>
  <c r="P112" i="32"/>
  <c r="P112" i="58"/>
  <c r="P112" i="113"/>
  <c r="P112" i="152"/>
  <c r="P112" i="53"/>
  <c r="P112" i="157"/>
  <c r="P112" i="79"/>
  <c r="P112" i="177"/>
  <c r="P112" i="141"/>
  <c r="P112" i="175"/>
  <c r="P112" i="106"/>
  <c r="P112" i="50"/>
  <c r="P112" i="65"/>
  <c r="P112" i="49"/>
  <c r="P112" i="25"/>
  <c r="P112" i="1"/>
  <c r="P112" i="95"/>
  <c r="P112" i="24"/>
  <c r="P112" i="120"/>
  <c r="P112" i="87"/>
  <c r="P112" i="135"/>
  <c r="P112" i="165"/>
  <c r="P140" i="178"/>
  <c r="P140" i="31"/>
  <c r="P140" i="159"/>
  <c r="P140" i="83"/>
  <c r="P140" i="95"/>
  <c r="P140" i="71"/>
  <c r="P140" i="19"/>
  <c r="P140" i="14"/>
  <c r="P140" i="79"/>
  <c r="P140" i="15"/>
  <c r="P140" i="86"/>
  <c r="P140" i="98"/>
  <c r="P140" i="50"/>
  <c r="P140" i="54"/>
  <c r="P140" i="46"/>
  <c r="P140" i="37"/>
  <c r="P140" i="158"/>
  <c r="P140" i="104"/>
  <c r="P140" i="164"/>
  <c r="P140" i="165"/>
  <c r="P140" i="150"/>
  <c r="P140" i="142"/>
  <c r="P140" i="155"/>
  <c r="P140" i="64"/>
  <c r="P140" i="119"/>
  <c r="P140" i="145"/>
  <c r="P140" i="94"/>
  <c r="P140" i="28"/>
  <c r="P140" i="68"/>
  <c r="P140" i="141"/>
  <c r="P140" i="136"/>
  <c r="P140" i="24"/>
  <c r="P140" i="47"/>
  <c r="P140" i="38"/>
  <c r="P140" i="106"/>
  <c r="P140" i="33"/>
  <c r="P140" i="133"/>
  <c r="P140" i="21"/>
  <c r="P140" i="60"/>
  <c r="P140" i="87"/>
  <c r="P140" i="89"/>
  <c r="P140" i="25"/>
  <c r="P140" i="16"/>
  <c r="P140" i="157"/>
  <c r="P140" i="49"/>
  <c r="P140" i="72"/>
  <c r="P140" i="135"/>
  <c r="P140" i="27"/>
  <c r="P140" i="20"/>
  <c r="P140" i="167"/>
  <c r="P140" i="156"/>
  <c r="P140" i="174"/>
  <c r="P140" i="120"/>
  <c r="P140" i="177"/>
  <c r="P140" i="90"/>
  <c r="P140" i="118"/>
  <c r="P140" i="42"/>
  <c r="P140" i="55"/>
  <c r="P140" i="39"/>
  <c r="P140" i="92"/>
  <c r="P140" i="85"/>
  <c r="P140" i="32"/>
  <c r="P140" i="103"/>
  <c r="P140" i="53"/>
  <c r="P140" i="111"/>
  <c r="P140" i="62"/>
  <c r="P140" i="66"/>
  <c r="P140" i="1"/>
  <c r="P140" i="152"/>
  <c r="P140" i="84"/>
  <c r="P140" i="58"/>
  <c r="P140" i="43"/>
  <c r="P140" i="102"/>
  <c r="P140" i="57"/>
  <c r="P140" i="113"/>
  <c r="P140" i="65"/>
  <c r="P140" i="63"/>
  <c r="P140" i="175"/>
  <c r="P32" i="178"/>
  <c r="P32" i="135"/>
  <c r="P32" i="37"/>
  <c r="P32" i="46"/>
  <c r="P32" i="20"/>
  <c r="P32" i="85"/>
  <c r="P32" i="102"/>
  <c r="P32" i="177"/>
  <c r="P32" i="98"/>
  <c r="P32" i="15"/>
  <c r="P32" i="106"/>
  <c r="P32" i="60"/>
  <c r="P32" i="33"/>
  <c r="P32" i="38"/>
  <c r="P32" i="150"/>
  <c r="P32" i="175"/>
  <c r="P32" i="119"/>
  <c r="P32" i="92"/>
  <c r="P32" i="54"/>
  <c r="P32" i="104"/>
  <c r="P32" i="47"/>
  <c r="P32" i="68"/>
  <c r="P32" i="156"/>
  <c r="P32" i="136"/>
  <c r="P32" i="167"/>
  <c r="P32" i="64"/>
  <c r="P32" i="84"/>
  <c r="P32" i="19"/>
  <c r="P32" i="28"/>
  <c r="P32" i="50"/>
  <c r="P32" i="71"/>
  <c r="P32" i="103"/>
  <c r="P32" i="133"/>
  <c r="P32" i="1"/>
  <c r="P32" i="65"/>
  <c r="P32" i="157"/>
  <c r="P32" i="63"/>
  <c r="P32" i="158"/>
  <c r="P32" i="79"/>
  <c r="P32" i="141"/>
  <c r="P32" i="57"/>
  <c r="P32" i="58"/>
  <c r="P32" i="53"/>
  <c r="P32" i="83"/>
  <c r="P32" i="24"/>
  <c r="P32" i="95"/>
  <c r="P32" i="72"/>
  <c r="P32" i="111"/>
  <c r="P32" i="120"/>
  <c r="P32" i="66"/>
  <c r="P32" i="62"/>
  <c r="P32" i="55"/>
  <c r="P32" i="86"/>
  <c r="P32" i="49"/>
  <c r="P32" i="174"/>
  <c r="P32" i="87"/>
  <c r="P32" i="113"/>
  <c r="P32" i="152"/>
  <c r="P32" i="39"/>
  <c r="P32" i="159"/>
  <c r="P32" i="165"/>
  <c r="P32" i="27"/>
  <c r="P32" i="31"/>
  <c r="P32" i="14"/>
  <c r="P32" i="89"/>
  <c r="P32" i="155"/>
  <c r="P32" i="43"/>
  <c r="P32" i="42"/>
  <c r="P32" i="16"/>
  <c r="P32" i="142"/>
  <c r="P32" i="94"/>
  <c r="P32" i="25"/>
  <c r="P32" i="164"/>
  <c r="P32" i="118"/>
  <c r="P32" i="90"/>
  <c r="P32" i="21"/>
  <c r="P32" i="32"/>
  <c r="P32" i="145"/>
  <c r="P98" i="64"/>
  <c r="P98" i="159"/>
  <c r="P98" i="86"/>
  <c r="P98" i="158"/>
  <c r="P98" i="102"/>
  <c r="P98" i="84"/>
  <c r="P98" i="25"/>
  <c r="P98" i="119"/>
  <c r="P98" i="39"/>
  <c r="P98" i="31"/>
  <c r="P98" i="155"/>
  <c r="P98" i="21"/>
  <c r="P98" i="164"/>
  <c r="P98" i="145"/>
  <c r="P98" i="165"/>
  <c r="P98" i="92"/>
  <c r="P98" i="98"/>
  <c r="P98" i="27"/>
  <c r="P98" i="14"/>
  <c r="P98" i="106"/>
  <c r="P98" i="113"/>
  <c r="P98" i="71"/>
  <c r="P98" i="111"/>
  <c r="P98" i="79"/>
  <c r="P98" i="50"/>
  <c r="P98" i="58"/>
  <c r="P98" i="133"/>
  <c r="P98" i="142"/>
  <c r="P98" i="103"/>
  <c r="P98" i="178"/>
  <c r="P98" i="94"/>
  <c r="P98" i="141"/>
  <c r="P98" i="136"/>
  <c r="P98" i="15"/>
  <c r="P98" i="63"/>
  <c r="P98" i="49"/>
  <c r="P98" i="32"/>
  <c r="P98" i="87"/>
  <c r="P98" i="43"/>
  <c r="P98" i="174"/>
  <c r="P98" i="53"/>
  <c r="P98" i="157"/>
  <c r="P98" i="152"/>
  <c r="P98" i="120"/>
  <c r="P98" i="68"/>
  <c r="P98" i="95"/>
  <c r="P98" i="177"/>
  <c r="P98" i="62"/>
  <c r="P98" i="42"/>
  <c r="P98" i="65"/>
  <c r="P98" i="90"/>
  <c r="P98" i="104"/>
  <c r="P98" i="54"/>
  <c r="P98" i="20"/>
  <c r="P98" i="167"/>
  <c r="P98" i="150"/>
  <c r="P98" i="38"/>
  <c r="P98" i="24"/>
  <c r="P98" i="33"/>
  <c r="P98" i="47"/>
  <c r="P98" i="19"/>
  <c r="P98" i="46"/>
  <c r="P98" i="156"/>
  <c r="P98" i="66"/>
  <c r="P98" i="1"/>
  <c r="P98" i="85"/>
  <c r="P98" i="118"/>
  <c r="P98" i="57"/>
  <c r="P98" i="83"/>
  <c r="P98" i="60"/>
  <c r="P98" i="37"/>
  <c r="P98" i="135"/>
  <c r="P98" i="16"/>
  <c r="P98" i="55"/>
  <c r="P98" i="175"/>
  <c r="P98" i="89"/>
  <c r="P98" i="28"/>
  <c r="P98" i="72"/>
  <c r="P104" i="150"/>
  <c r="P104" i="118"/>
  <c r="P104" i="142"/>
  <c r="P104" i="1"/>
  <c r="P104" i="119"/>
  <c r="P104" i="63"/>
  <c r="P104" i="104"/>
  <c r="P104" i="86"/>
  <c r="P104" i="174"/>
  <c r="P104" i="155"/>
  <c r="P104" i="57"/>
  <c r="P104" i="47"/>
  <c r="P104" i="68"/>
  <c r="P104" i="15"/>
  <c r="P104" i="65"/>
  <c r="P104" i="42"/>
  <c r="P104" i="24"/>
  <c r="P104" i="178"/>
  <c r="P104" i="156"/>
  <c r="P104" i="72"/>
  <c r="P104" i="62"/>
  <c r="P104" i="98"/>
  <c r="P104" i="90"/>
  <c r="P104" i="32"/>
  <c r="P104" i="49"/>
  <c r="P104" i="54"/>
  <c r="P104" i="21"/>
  <c r="P104" i="165"/>
  <c r="P104" i="157"/>
  <c r="P104" i="79"/>
  <c r="P104" i="37"/>
  <c r="P104" i="120"/>
  <c r="P104" i="46"/>
  <c r="P104" i="83"/>
  <c r="P104" i="113"/>
  <c r="P104" i="102"/>
  <c r="P104" i="19"/>
  <c r="P104" i="177"/>
  <c r="P104" i="164"/>
  <c r="P104" i="38"/>
  <c r="P104" i="43"/>
  <c r="P104" i="136"/>
  <c r="P104" i="58"/>
  <c r="P104" i="175"/>
  <c r="P104" i="87"/>
  <c r="P104" i="60"/>
  <c r="P104" i="20"/>
  <c r="P104" i="89"/>
  <c r="P104" i="152"/>
  <c r="P104" i="159"/>
  <c r="P104" i="92"/>
  <c r="P104" i="111"/>
  <c r="P104" i="55"/>
  <c r="P104" i="141"/>
  <c r="P104" i="53"/>
  <c r="P104" i="50"/>
  <c r="P104" i="94"/>
  <c r="P104" i="66"/>
  <c r="P104" i="158"/>
  <c r="P104" i="16"/>
  <c r="P104" i="28"/>
  <c r="P104" i="64"/>
  <c r="P104" i="84"/>
  <c r="P104" i="85"/>
  <c r="P104" i="27"/>
  <c r="P104" i="25"/>
  <c r="P104" i="95"/>
  <c r="P104" i="31"/>
  <c r="P104" i="167"/>
  <c r="P104" i="145"/>
  <c r="P104" i="106"/>
  <c r="P104" i="103"/>
  <c r="P104" i="133"/>
  <c r="P104" i="14"/>
  <c r="P104" i="71"/>
  <c r="P104" i="33"/>
  <c r="P104" i="39"/>
  <c r="P104" i="135"/>
  <c r="P150" i="178"/>
  <c r="P150" i="133"/>
  <c r="P150" i="118"/>
  <c r="P150" i="86"/>
  <c r="P150" i="152"/>
  <c r="P150" i="175"/>
  <c r="P150" i="38"/>
  <c r="P150" i="39"/>
  <c r="P150" i="136"/>
  <c r="P150" i="98"/>
  <c r="P150" i="177"/>
  <c r="P150" i="60"/>
  <c r="P150" i="89"/>
  <c r="P150" i="19"/>
  <c r="P150" i="92"/>
  <c r="P150" i="62"/>
  <c r="P150" i="50"/>
  <c r="P150" i="158"/>
  <c r="P150" i="167"/>
  <c r="P150" i="53"/>
  <c r="P150" i="46"/>
  <c r="P150" i="157"/>
  <c r="P150" i="85"/>
  <c r="P150" i="31"/>
  <c r="P150" i="141"/>
  <c r="P150" i="87"/>
  <c r="P150" i="84"/>
  <c r="P150" i="174"/>
  <c r="P150" i="71"/>
  <c r="P150" i="47"/>
  <c r="P150" i="55"/>
  <c r="P150" i="68"/>
  <c r="P150" i="58"/>
  <c r="P150" i="27"/>
  <c r="P150" i="164"/>
  <c r="P150" i="156"/>
  <c r="P150" i="119"/>
  <c r="P150" i="14"/>
  <c r="P150" i="37"/>
  <c r="P150" i="28"/>
  <c r="P150" i="83"/>
  <c r="P150" i="79"/>
  <c r="P150" i="65"/>
  <c r="P150" i="49"/>
  <c r="P150" i="113"/>
  <c r="P150" i="111"/>
  <c r="P150" i="94"/>
  <c r="P150" i="106"/>
  <c r="P150" i="95"/>
  <c r="P150" i="15"/>
  <c r="P150" i="64"/>
  <c r="P150" i="165"/>
  <c r="P150" i="145"/>
  <c r="P150" i="66"/>
  <c r="P150" i="57"/>
  <c r="P150" i="103"/>
  <c r="P150" i="72"/>
  <c r="P150" i="43"/>
  <c r="P150" i="54"/>
  <c r="P150" i="63"/>
  <c r="P150" i="142"/>
  <c r="P150" i="155"/>
  <c r="P150" i="32"/>
  <c r="P150" i="104"/>
  <c r="P150" i="102"/>
  <c r="P150" i="33"/>
  <c r="P150" i="1"/>
  <c r="P150" i="90"/>
  <c r="P150" i="20"/>
  <c r="P150" i="150"/>
  <c r="P150" i="159"/>
  <c r="P150" i="16"/>
  <c r="P150" i="25"/>
  <c r="P150" i="24"/>
  <c r="P150" i="120"/>
  <c r="P150" i="135"/>
  <c r="P150" i="21"/>
  <c r="P150" i="42"/>
  <c r="P160" i="175"/>
  <c r="P160" i="159"/>
  <c r="P160" i="83"/>
  <c r="P160" i="19"/>
  <c r="P160" i="102"/>
  <c r="P160" i="113"/>
  <c r="P160" i="103"/>
  <c r="P160" i="49"/>
  <c r="P160" i="104"/>
  <c r="P160" i="66"/>
  <c r="P160" i="164"/>
  <c r="P160" i="167"/>
  <c r="P160" i="84"/>
  <c r="P160" i="64"/>
  <c r="P160" i="39"/>
  <c r="P160" i="43"/>
  <c r="P160" i="33"/>
  <c r="P160" i="16"/>
  <c r="P160" i="79"/>
  <c r="P160" i="136"/>
  <c r="P160" i="94"/>
  <c r="P160" i="142"/>
  <c r="P160" i="135"/>
  <c r="P160" i="145"/>
  <c r="P160" i="46"/>
  <c r="P160" i="42"/>
  <c r="P160" i="53"/>
  <c r="P160" i="57"/>
  <c r="P160" i="47"/>
  <c r="P160" i="106"/>
  <c r="P160" i="15"/>
  <c r="P160" i="20"/>
  <c r="P160" i="1"/>
  <c r="P160" i="152"/>
  <c r="P160" i="119"/>
  <c r="P160" i="25"/>
  <c r="P160" i="32"/>
  <c r="P160" i="27"/>
  <c r="P160" i="28"/>
  <c r="P160" i="24"/>
  <c r="P160" i="38"/>
  <c r="P160" i="63"/>
  <c r="P160" i="141"/>
  <c r="P160" i="54"/>
  <c r="P160" i="31"/>
  <c r="P160" i="133"/>
  <c r="P160" i="87"/>
  <c r="P160" i="156"/>
  <c r="P160" i="174"/>
  <c r="P160" i="118"/>
  <c r="P160" i="178"/>
  <c r="P160" i="177"/>
  <c r="P160" i="155"/>
  <c r="P160" i="14"/>
  <c r="P160" i="92"/>
  <c r="P160" i="65"/>
  <c r="P160" i="55"/>
  <c r="P160" i="111"/>
  <c r="P160" i="86"/>
  <c r="P160" i="50"/>
  <c r="P160" i="72"/>
  <c r="P160" i="165"/>
  <c r="P160" i="150"/>
  <c r="P160" i="58"/>
  <c r="P160" i="21"/>
  <c r="P160" i="85"/>
  <c r="P160" i="60"/>
  <c r="P160" i="62"/>
  <c r="P160" i="68"/>
  <c r="P160" i="98"/>
  <c r="P160" i="120"/>
  <c r="P160" i="89"/>
  <c r="P160" i="158"/>
  <c r="P160" i="71"/>
  <c r="P160" i="37"/>
  <c r="P160" i="157"/>
  <c r="P160" i="90"/>
  <c r="P160" i="95"/>
  <c r="P197" i="167"/>
  <c r="P197" i="156"/>
  <c r="P197" i="102"/>
  <c r="P197" i="103"/>
  <c r="P197" i="175"/>
  <c r="P197" i="20"/>
  <c r="P197" i="1"/>
  <c r="P197" i="54"/>
  <c r="P197" i="118"/>
  <c r="P197" i="42"/>
  <c r="P197" i="113"/>
  <c r="P197" i="158"/>
  <c r="P197" i="157"/>
  <c r="P197" i="32"/>
  <c r="P197" i="16"/>
  <c r="P197" i="104"/>
  <c r="P197" i="120"/>
  <c r="P197" i="119"/>
  <c r="P197" i="86"/>
  <c r="P197" i="15"/>
  <c r="P197" i="37"/>
  <c r="P197" i="174"/>
  <c r="P197" i="53"/>
  <c r="P197" i="57"/>
  <c r="P197" i="106"/>
  <c r="P197" i="14"/>
  <c r="P197" i="46"/>
  <c r="P197" i="39"/>
  <c r="P197" i="83"/>
  <c r="P197" i="159"/>
  <c r="P197" i="94"/>
  <c r="P197" i="142"/>
  <c r="P197" i="31"/>
  <c r="P197" i="55"/>
  <c r="P197" i="50"/>
  <c r="P197" i="47"/>
  <c r="P197" i="43"/>
  <c r="P197" i="95"/>
  <c r="P197" i="178"/>
  <c r="P197" i="152"/>
  <c r="P197" i="71"/>
  <c r="P197" i="79"/>
  <c r="P197" i="49"/>
  <c r="P197" i="136"/>
  <c r="P197" i="141"/>
  <c r="P197" i="25"/>
  <c r="P197" i="60"/>
  <c r="P197" i="66"/>
  <c r="P197" i="164"/>
  <c r="P197" i="155"/>
  <c r="P197" i="85"/>
  <c r="P197" i="72"/>
  <c r="P197" i="19"/>
  <c r="P197" i="90"/>
  <c r="P197" i="58"/>
  <c r="P197" i="21"/>
  <c r="P197" i="111"/>
  <c r="P197" i="98"/>
  <c r="P197" i="177"/>
  <c r="P197" i="150"/>
  <c r="P197" i="65"/>
  <c r="P197" i="92"/>
  <c r="P197" i="135"/>
  <c r="P197" i="64"/>
  <c r="P197" i="89"/>
  <c r="P197" i="87"/>
  <c r="P197" i="133"/>
  <c r="P197" i="24"/>
  <c r="P197" i="165"/>
  <c r="P197" i="145"/>
  <c r="P197" i="38"/>
  <c r="P197" i="63"/>
  <c r="P197" i="68"/>
  <c r="P197" i="84"/>
  <c r="P197" i="33"/>
  <c r="P197" i="27"/>
  <c r="P197" i="62"/>
  <c r="P197" i="28"/>
  <c r="P119" i="68"/>
  <c r="P119" i="87"/>
  <c r="P119" i="37"/>
  <c r="P119" i="141"/>
  <c r="P119" i="155"/>
  <c r="P119" i="95"/>
  <c r="P119" i="175"/>
  <c r="P119" i="136"/>
  <c r="P119" i="167"/>
  <c r="P119" i="111"/>
  <c r="P119" i="158"/>
  <c r="P119" i="85"/>
  <c r="P119" i="50"/>
  <c r="P119" i="159"/>
  <c r="P119" i="57"/>
  <c r="P119" i="106"/>
  <c r="P119" i="86"/>
  <c r="P119" i="150"/>
  <c r="P119" i="31"/>
  <c r="P119" i="42"/>
  <c r="P119" i="71"/>
  <c r="P119" i="152"/>
  <c r="P119" i="135"/>
  <c r="P119" i="43"/>
  <c r="P119" i="33"/>
  <c r="P119" i="62"/>
  <c r="P119" i="54"/>
  <c r="P119" i="27"/>
  <c r="P119" i="65"/>
  <c r="P119" i="142"/>
  <c r="P119" i="14"/>
  <c r="P119" i="55"/>
  <c r="P119" i="178"/>
  <c r="P119" i="98"/>
  <c r="P119" i="28"/>
  <c r="P119" i="49"/>
  <c r="P119" i="164"/>
  <c r="P119" i="90"/>
  <c r="P119" i="83"/>
  <c r="P119" i="165"/>
  <c r="P119" i="119"/>
  <c r="P119" i="84"/>
  <c r="P119" i="20"/>
  <c r="P119" i="38"/>
  <c r="P119" i="32"/>
  <c r="P119" i="63"/>
  <c r="P119" i="58"/>
  <c r="P119" i="60"/>
  <c r="P119" i="94"/>
  <c r="P119" i="102"/>
  <c r="P119" i="24"/>
  <c r="P119" i="1"/>
  <c r="P119" i="19"/>
  <c r="P119" i="79"/>
  <c r="P119" i="64"/>
  <c r="P119" i="118"/>
  <c r="P119" i="145"/>
  <c r="P119" i="103"/>
  <c r="P119" i="66"/>
  <c r="P119" i="21"/>
  <c r="P119" i="177"/>
  <c r="P119" i="25"/>
  <c r="P119" i="174"/>
  <c r="P119" i="92"/>
  <c r="P119" i="104"/>
  <c r="P119" i="72"/>
  <c r="P119" i="120"/>
  <c r="P119" i="133"/>
  <c r="P119" i="113"/>
  <c r="P119" i="39"/>
  <c r="P119" i="53"/>
  <c r="P119" i="16"/>
  <c r="P119" i="89"/>
  <c r="P119" i="156"/>
  <c r="P119" i="46"/>
  <c r="P119" i="15"/>
  <c r="P119" i="157"/>
  <c r="P119" i="47"/>
  <c r="P90" i="165"/>
  <c r="P90" i="157"/>
  <c r="P90" i="92"/>
  <c r="P90" i="55"/>
  <c r="P90" i="27"/>
  <c r="P90" i="68"/>
  <c r="P90" i="104"/>
  <c r="P90" i="83"/>
  <c r="P90" i="1"/>
  <c r="P90" i="142"/>
  <c r="P90" i="167"/>
  <c r="P90" i="111"/>
  <c r="P90" i="72"/>
  <c r="P90" i="141"/>
  <c r="P90" i="135"/>
  <c r="P90" i="158"/>
  <c r="P90" i="39"/>
  <c r="P90" i="71"/>
  <c r="P90" i="38"/>
  <c r="P90" i="113"/>
  <c r="P90" i="174"/>
  <c r="P90" i="178"/>
  <c r="P90" i="155"/>
  <c r="P90" i="159"/>
  <c r="P90" i="84"/>
  <c r="P90" i="102"/>
  <c r="P90" i="33"/>
  <c r="P90" i="89"/>
  <c r="P90" i="66"/>
  <c r="P90" i="136"/>
  <c r="P90" i="19"/>
  <c r="P90" i="164"/>
  <c r="P90" i="177"/>
  <c r="P90" i="79"/>
  <c r="P90" i="120"/>
  <c r="P90" i="54"/>
  <c r="P90" i="50"/>
  <c r="P90" i="85"/>
  <c r="P90" i="118"/>
  <c r="P90" i="133"/>
  <c r="P90" i="46"/>
  <c r="P90" i="43"/>
  <c r="P90" i="37"/>
  <c r="P90" i="90"/>
  <c r="P90" i="49"/>
  <c r="P90" i="15"/>
  <c r="P90" i="57"/>
  <c r="P90" i="21"/>
  <c r="P90" i="14"/>
  <c r="P90" i="16"/>
  <c r="P90" i="150"/>
  <c r="P90" i="62"/>
  <c r="P90" i="94"/>
  <c r="P90" i="95"/>
  <c r="P90" i="106"/>
  <c r="P90" i="28"/>
  <c r="P90" i="32"/>
  <c r="P90" i="31"/>
  <c r="P90" i="24"/>
  <c r="P90" i="175"/>
  <c r="P90" i="145"/>
  <c r="P90" i="103"/>
  <c r="P90" i="98"/>
  <c r="P90" i="87"/>
  <c r="P90" i="20"/>
  <c r="P90" i="152"/>
  <c r="P90" i="25"/>
  <c r="P90" i="58"/>
  <c r="P90" i="42"/>
  <c r="P90" i="64"/>
  <c r="P90" i="47"/>
  <c r="P90" i="65"/>
  <c r="P90" i="63"/>
  <c r="P90" i="60"/>
  <c r="P90" i="86"/>
  <c r="P90" i="119"/>
  <c r="P90" i="53"/>
  <c r="P90" i="156"/>
  <c r="P105" i="145"/>
  <c r="P105" i="155"/>
  <c r="P105" i="32"/>
  <c r="P105" i="62"/>
  <c r="P105" i="79"/>
  <c r="P105" i="47"/>
  <c r="P105" i="90"/>
  <c r="P105" i="57"/>
  <c r="P105" i="94"/>
  <c r="P105" i="174"/>
  <c r="P105" i="177"/>
  <c r="P105" i="85"/>
  <c r="P105" i="46"/>
  <c r="P105" i="92"/>
  <c r="P105" i="113"/>
  <c r="P105" i="25"/>
  <c r="P105" i="63"/>
  <c r="P105" i="102"/>
  <c r="P105" i="38"/>
  <c r="P105" i="167"/>
  <c r="P105" i="98"/>
  <c r="P105" i="142"/>
  <c r="P105" i="42"/>
  <c r="P105" i="27"/>
  <c r="P105" i="178"/>
  <c r="P105" i="150"/>
  <c r="P105" i="152"/>
  <c r="P105" i="103"/>
  <c r="P105" i="65"/>
  <c r="P105" i="20"/>
  <c r="P105" i="37"/>
  <c r="P105" i="157"/>
  <c r="P105" i="58"/>
  <c r="P105" i="72"/>
  <c r="P105" i="159"/>
  <c r="P105" i="136"/>
  <c r="P105" i="120"/>
  <c r="P105" i="68"/>
  <c r="P105" i="24"/>
  <c r="P105" i="60"/>
  <c r="P105" i="1"/>
  <c r="P105" i="106"/>
  <c r="P105" i="141"/>
  <c r="P105" i="165"/>
  <c r="P105" i="53"/>
  <c r="P105" i="86"/>
  <c r="P105" i="135"/>
  <c r="P105" i="156"/>
  <c r="P105" i="39"/>
  <c r="P105" i="118"/>
  <c r="P105" i="64"/>
  <c r="P105" i="95"/>
  <c r="P105" i="164"/>
  <c r="P105" i="175"/>
  <c r="P105" i="21"/>
  <c r="P105" i="84"/>
  <c r="P105" i="83"/>
  <c r="P105" i="71"/>
  <c r="P105" i="50"/>
  <c r="P105" i="111"/>
  <c r="P105" i="104"/>
  <c r="P105" i="87"/>
  <c r="P105" i="66"/>
  <c r="P105" i="19"/>
  <c r="P105" i="133"/>
  <c r="P105" i="55"/>
  <c r="P105" i="54"/>
  <c r="P105" i="14"/>
  <c r="P105" i="33"/>
  <c r="P105" i="16"/>
  <c r="P105" i="31"/>
  <c r="P105" i="49"/>
  <c r="P105" i="15"/>
  <c r="P105" i="89"/>
  <c r="P105" i="158"/>
  <c r="P105" i="28"/>
  <c r="P105" i="43"/>
  <c r="P105" i="119"/>
  <c r="P40" i="43"/>
  <c r="P40" i="135"/>
  <c r="P40" i="63"/>
  <c r="P40" i="27"/>
  <c r="P40" i="58"/>
  <c r="P40" i="28"/>
  <c r="P40" i="106"/>
  <c r="P40" i="24"/>
  <c r="P40" i="79"/>
  <c r="P40" i="118"/>
  <c r="P40" i="38"/>
  <c r="P40" i="156"/>
  <c r="P40" i="157"/>
  <c r="P40" i="32"/>
  <c r="P40" i="14"/>
  <c r="P40" i="120"/>
  <c r="P40" i="89"/>
  <c r="P40" i="87"/>
  <c r="P40" i="39"/>
  <c r="P40" i="25"/>
  <c r="P40" i="94"/>
  <c r="P40" i="133"/>
  <c r="P40" i="20"/>
  <c r="P40" i="47"/>
  <c r="P40" i="83"/>
  <c r="P40" i="57"/>
  <c r="P40" i="158"/>
  <c r="P40" i="136"/>
  <c r="P40" i="71"/>
  <c r="P40" i="68"/>
  <c r="P40" i="90"/>
  <c r="P40" i="175"/>
  <c r="P40" i="65"/>
  <c r="P40" i="31"/>
  <c r="P40" i="174"/>
  <c r="P40" i="98"/>
  <c r="P40" i="54"/>
  <c r="P40" i="142"/>
  <c r="P40" i="164"/>
  <c r="P40" i="15"/>
  <c r="P40" i="19"/>
  <c r="P40" i="60"/>
  <c r="P40" i="178"/>
  <c r="P40" i="64"/>
  <c r="P40" i="72"/>
  <c r="P40" i="119"/>
  <c r="P40" i="141"/>
  <c r="P40" i="66"/>
  <c r="P40" i="95"/>
  <c r="P40" i="102"/>
  <c r="P40" i="145"/>
  <c r="P40" i="155"/>
  <c r="P40" i="104"/>
  <c r="P40" i="85"/>
  <c r="P40" i="167"/>
  <c r="P40" i="46"/>
  <c r="P40" i="50"/>
  <c r="P40" i="165"/>
  <c r="P40" i="37"/>
  <c r="P40" i="92"/>
  <c r="P40" i="42"/>
  <c r="P40" i="55"/>
  <c r="P40" i="53"/>
  <c r="P40" i="16"/>
  <c r="P40" i="62"/>
  <c r="P40" i="33"/>
  <c r="P40" i="21"/>
  <c r="P40" i="159"/>
  <c r="P40" i="84"/>
  <c r="P40" i="152"/>
  <c r="P40" i="1"/>
  <c r="P40" i="103"/>
  <c r="P40" i="150"/>
  <c r="P40" i="111"/>
  <c r="P40" i="86"/>
  <c r="P40" i="113"/>
  <c r="P40" i="49"/>
  <c r="P40" i="177"/>
  <c r="P200" i="178"/>
  <c r="P200" i="152"/>
  <c r="P200" i="103"/>
  <c r="P200" i="106"/>
  <c r="P200" i="19"/>
  <c r="P200" i="98"/>
  <c r="P200" i="50"/>
  <c r="P200" i="42"/>
  <c r="P200" i="39"/>
  <c r="P200" i="158"/>
  <c r="P200" i="43"/>
  <c r="P200" i="38"/>
  <c r="P200" i="84"/>
  <c r="P200" i="120"/>
  <c r="P200" i="102"/>
  <c r="P200" i="33"/>
  <c r="P200" i="175"/>
  <c r="P200" i="54"/>
  <c r="P200" i="24"/>
  <c r="P200" i="167"/>
  <c r="P200" i="156"/>
  <c r="P200" i="47"/>
  <c r="P200" i="57"/>
  <c r="P200" i="46"/>
  <c r="P200" i="136"/>
  <c r="P200" i="118"/>
  <c r="P200" i="31"/>
  <c r="P200" i="27"/>
  <c r="P200" i="87"/>
  <c r="P200" i="86"/>
  <c r="P200" i="164"/>
  <c r="P200" i="150"/>
  <c r="P200" i="28"/>
  <c r="P200" i="16"/>
  <c r="P200" i="119"/>
  <c r="P200" i="55"/>
  <c r="P200" i="113"/>
  <c r="P200" i="20"/>
  <c r="P200" i="104"/>
  <c r="P200" i="53"/>
  <c r="P200" i="159"/>
  <c r="P200" i="79"/>
  <c r="P200" i="64"/>
  <c r="P200" i="155"/>
  <c r="P200" i="165"/>
  <c r="P200" i="142"/>
  <c r="P200" i="90"/>
  <c r="P200" i="95"/>
  <c r="P200" i="71"/>
  <c r="P200" i="145"/>
  <c r="P200" i="92"/>
  <c r="P200" i="1"/>
  <c r="P200" i="25"/>
  <c r="P200" i="135"/>
  <c r="P200" i="72"/>
  <c r="P200" i="68"/>
  <c r="P200" i="63"/>
  <c r="P200" i="174"/>
  <c r="P200" i="37"/>
  <c r="P200" i="141"/>
  <c r="P200" i="49"/>
  <c r="P200" i="85"/>
  <c r="P200" i="32"/>
  <c r="P200" i="157"/>
  <c r="P200" i="133"/>
  <c r="P200" i="94"/>
  <c r="P200" i="65"/>
  <c r="P200" i="66"/>
  <c r="P200" i="111"/>
  <c r="P200" i="14"/>
  <c r="P200" i="21"/>
  <c r="P200" i="60"/>
  <c r="P200" i="177"/>
  <c r="P200" i="62"/>
  <c r="P200" i="58"/>
  <c r="P200" i="15"/>
  <c r="P200" i="83"/>
  <c r="P200" i="89"/>
  <c r="P75" i="16"/>
  <c r="P75" i="50"/>
  <c r="P75" i="21"/>
  <c r="P75" i="165"/>
  <c r="P75" i="85"/>
  <c r="P75" i="57"/>
  <c r="P75" i="25"/>
  <c r="P75" i="156"/>
  <c r="P75" i="71"/>
  <c r="P75" i="60"/>
  <c r="P75" i="39"/>
  <c r="P75" i="155"/>
  <c r="P75" i="14"/>
  <c r="P75" i="24"/>
  <c r="P75" i="102"/>
  <c r="P75" i="79"/>
  <c r="P75" i="95"/>
  <c r="P75" i="83"/>
  <c r="P75" i="46"/>
  <c r="P75" i="84"/>
  <c r="P75" i="86"/>
  <c r="P75" i="104"/>
  <c r="P75" i="119"/>
  <c r="P75" i="152"/>
  <c r="P75" i="38"/>
  <c r="P75" i="54"/>
  <c r="P75" i="94"/>
  <c r="P75" i="68"/>
  <c r="P75" i="72"/>
  <c r="P75" i="135"/>
  <c r="P75" i="174"/>
  <c r="P75" i="141"/>
  <c r="P75" i="133"/>
  <c r="P75" i="142"/>
  <c r="P75" i="167"/>
  <c r="P75" i="175"/>
  <c r="P75" i="28"/>
  <c r="P75" i="1"/>
  <c r="P75" i="178"/>
  <c r="P75" i="158"/>
  <c r="P75" i="55"/>
  <c r="P75" i="64"/>
  <c r="P75" i="47"/>
  <c r="P75" i="145"/>
  <c r="P75" i="53"/>
  <c r="P75" i="19"/>
  <c r="P75" i="103"/>
  <c r="P75" i="20"/>
  <c r="P75" i="49"/>
  <c r="P75" i="113"/>
  <c r="P75" i="43"/>
  <c r="P75" i="31"/>
  <c r="P75" i="164"/>
  <c r="P75" i="65"/>
  <c r="P75" i="58"/>
  <c r="P75" i="89"/>
  <c r="P75" i="32"/>
  <c r="P75" i="92"/>
  <c r="P75" i="15"/>
  <c r="P75" i="150"/>
  <c r="P75" i="87"/>
  <c r="P75" i="66"/>
  <c r="P75" i="33"/>
  <c r="P75" i="177"/>
  <c r="P75" i="90"/>
  <c r="P75" i="98"/>
  <c r="P75" i="27"/>
  <c r="P75" i="62"/>
  <c r="P75" i="159"/>
  <c r="P75" i="120"/>
  <c r="P75" i="42"/>
  <c r="P75" i="37"/>
  <c r="P75" i="63"/>
  <c r="P75" i="136"/>
  <c r="P75" i="118"/>
  <c r="P75" i="106"/>
  <c r="P75" i="157"/>
  <c r="P75" i="111"/>
  <c r="P115" i="141"/>
  <c r="P115" i="43"/>
  <c r="P115" i="79"/>
  <c r="P115" i="177"/>
  <c r="P115" i="32"/>
  <c r="P115" i="16"/>
  <c r="P115" i="63"/>
  <c r="P115" i="104"/>
  <c r="P115" i="21"/>
  <c r="P115" i="66"/>
  <c r="P115" i="152"/>
  <c r="P115" i="64"/>
  <c r="P115" i="84"/>
  <c r="P115" i="71"/>
  <c r="P115" i="24"/>
  <c r="P115" i="15"/>
  <c r="P115" i="92"/>
  <c r="P115" i="53"/>
  <c r="P115" i="65"/>
  <c r="P115" i="39"/>
  <c r="P115" i="158"/>
  <c r="P115" i="150"/>
  <c r="P115" i="119"/>
  <c r="P115" i="54"/>
  <c r="P115" i="94"/>
  <c r="P115" i="83"/>
  <c r="P115" i="86"/>
  <c r="P115" i="19"/>
  <c r="P115" i="156"/>
  <c r="P115" i="25"/>
  <c r="P115" i="136"/>
  <c r="P115" i="142"/>
  <c r="P115" i="42"/>
  <c r="P115" i="167"/>
  <c r="P115" i="47"/>
  <c r="P115" i="90"/>
  <c r="P115" i="175"/>
  <c r="P115" i="111"/>
  <c r="P115" i="50"/>
  <c r="P115" i="120"/>
  <c r="P115" i="159"/>
  <c r="P115" i="57"/>
  <c r="P115" i="60"/>
  <c r="P115" i="33"/>
  <c r="P115" i="95"/>
  <c r="P115" i="164"/>
  <c r="P115" i="14"/>
  <c r="P115" i="133"/>
  <c r="P115" i="174"/>
  <c r="P115" i="46"/>
  <c r="P115" i="31"/>
  <c r="P115" i="135"/>
  <c r="P115" i="68"/>
  <c r="P115" i="1"/>
  <c r="P115" i="157"/>
  <c r="P115" i="102"/>
  <c r="P115" i="85"/>
  <c r="P115" i="145"/>
  <c r="P115" i="103"/>
  <c r="P115" i="72"/>
  <c r="P115" i="27"/>
  <c r="P115" i="113"/>
  <c r="P115" i="155"/>
  <c r="P115" i="20"/>
  <c r="P115" i="165"/>
  <c r="P115" i="49"/>
  <c r="P115" i="106"/>
  <c r="P115" i="28"/>
  <c r="P115" i="38"/>
  <c r="P115" i="89"/>
  <c r="P115" i="58"/>
  <c r="P115" i="62"/>
  <c r="P115" i="178"/>
  <c r="P115" i="87"/>
  <c r="P115" i="118"/>
  <c r="P115" i="98"/>
  <c r="P115" i="37"/>
  <c r="P115" i="55"/>
  <c r="P146" i="164"/>
  <c r="P146" i="47"/>
  <c r="P146" i="19"/>
  <c r="P146" i="159"/>
  <c r="P146" i="14"/>
  <c r="P146" i="95"/>
  <c r="P146" i="87"/>
  <c r="P146" i="31"/>
  <c r="P146" i="20"/>
  <c r="P146" i="157"/>
  <c r="P146" i="145"/>
  <c r="P146" i="142"/>
  <c r="P146" i="55"/>
  <c r="P146" i="84"/>
  <c r="P146" i="24"/>
  <c r="P146" i="33"/>
  <c r="P146" i="104"/>
  <c r="P146" i="49"/>
  <c r="P146" i="50"/>
  <c r="P146" i="150"/>
  <c r="P146" i="37"/>
  <c r="P146" i="136"/>
  <c r="P146" i="15"/>
  <c r="P146" i="60"/>
  <c r="P146" i="54"/>
  <c r="P146" i="63"/>
  <c r="P146" i="38"/>
  <c r="P146" i="83"/>
  <c r="P146" i="174"/>
  <c r="P146" i="152"/>
  <c r="P146" i="62"/>
  <c r="P146" i="158"/>
  <c r="P146" i="133"/>
  <c r="P146" i="119"/>
  <c r="P146" i="86"/>
  <c r="P146" i="135"/>
  <c r="P146" i="57"/>
  <c r="P146" i="85"/>
  <c r="P146" i="178"/>
  <c r="P146" i="111"/>
  <c r="P146" i="64"/>
  <c r="P146" i="46"/>
  <c r="P146" i="42"/>
  <c r="P146" i="39"/>
  <c r="P146" i="102"/>
  <c r="P146" i="89"/>
  <c r="P146" i="177"/>
  <c r="P146" i="155"/>
  <c r="P146" i="43"/>
  <c r="P146" i="68"/>
  <c r="P146" i="98"/>
  <c r="P146" i="90"/>
  <c r="P146" i="94"/>
  <c r="P146" i="16"/>
  <c r="P146" i="92"/>
  <c r="P146" i="113"/>
  <c r="P146" i="32"/>
  <c r="P146" i="175"/>
  <c r="P146" i="1"/>
  <c r="P146" i="72"/>
  <c r="P146" i="156"/>
  <c r="P146" i="66"/>
  <c r="P146" i="79"/>
  <c r="P146" i="167"/>
  <c r="P146" i="141"/>
  <c r="P146" i="118"/>
  <c r="P146" i="28"/>
  <c r="P146" i="21"/>
  <c r="P146" i="106"/>
  <c r="P146" i="27"/>
  <c r="P146" i="65"/>
  <c r="P146" i="120"/>
  <c r="P146" i="71"/>
  <c r="P146" i="103"/>
  <c r="P146" i="53"/>
  <c r="P146" i="25"/>
  <c r="P146" i="58"/>
  <c r="P146" i="165"/>
  <c r="P185" i="164"/>
  <c r="P185" i="86"/>
  <c r="P185" i="65"/>
  <c r="P185" i="159"/>
  <c r="P185" i="102"/>
  <c r="P185" i="16"/>
  <c r="P185" i="25"/>
  <c r="P185" i="57"/>
  <c r="P185" i="42"/>
  <c r="P185" i="119"/>
  <c r="P185" i="98"/>
  <c r="P185" i="21"/>
  <c r="P185" i="150"/>
  <c r="P185" i="53"/>
  <c r="P185" i="90"/>
  <c r="P185" i="85"/>
  <c r="P185" i="1"/>
  <c r="P185" i="62"/>
  <c r="P185" i="20"/>
  <c r="P185" i="104"/>
  <c r="P185" i="145"/>
  <c r="P185" i="142"/>
  <c r="P185" i="174"/>
  <c r="P185" i="89"/>
  <c r="P185" i="31"/>
  <c r="P185" i="24"/>
  <c r="P185" i="64"/>
  <c r="P185" i="111"/>
  <c r="P185" i="156"/>
  <c r="P185" i="63"/>
  <c r="P185" i="84"/>
  <c r="P185" i="38"/>
  <c r="P185" i="92"/>
  <c r="P185" i="46"/>
  <c r="P185" i="55"/>
  <c r="P185" i="28"/>
  <c r="P185" i="113"/>
  <c r="P185" i="158"/>
  <c r="P185" i="133"/>
  <c r="P185" i="79"/>
  <c r="P185" i="155"/>
  <c r="P185" i="175"/>
  <c r="P185" i="72"/>
  <c r="P185" i="50"/>
  <c r="P185" i="177"/>
  <c r="P185" i="43"/>
  <c r="P185" i="27"/>
  <c r="P185" i="14"/>
  <c r="P185" i="71"/>
  <c r="P185" i="178"/>
  <c r="P185" i="103"/>
  <c r="P185" i="39"/>
  <c r="P185" i="49"/>
  <c r="P185" i="87"/>
  <c r="P185" i="32"/>
  <c r="P185" i="95"/>
  <c r="P185" i="118"/>
  <c r="P185" i="68"/>
  <c r="P185" i="106"/>
  <c r="P185" i="37"/>
  <c r="P185" i="94"/>
  <c r="P185" i="167"/>
  <c r="P185" i="141"/>
  <c r="P185" i="19"/>
  <c r="P185" i="47"/>
  <c r="P185" i="33"/>
  <c r="P185" i="60"/>
  <c r="P185" i="165"/>
  <c r="P185" i="135"/>
  <c r="P185" i="66"/>
  <c r="P185" i="15"/>
  <c r="P185" i="152"/>
  <c r="P185" i="157"/>
  <c r="P185" i="54"/>
  <c r="P185" i="136"/>
  <c r="P185" i="83"/>
  <c r="P185" i="120"/>
  <c r="P185" i="58"/>
  <c r="P79" i="133"/>
  <c r="P79" i="113"/>
  <c r="P79" i="79"/>
  <c r="P79" i="118"/>
  <c r="P79" i="178"/>
  <c r="P79" i="157"/>
  <c r="P79" i="21"/>
  <c r="P79" i="28"/>
  <c r="P79" i="119"/>
  <c r="P79" i="19"/>
  <c r="P79" i="37"/>
  <c r="P79" i="164"/>
  <c r="P79" i="135"/>
  <c r="P79" i="159"/>
  <c r="P79" i="177"/>
  <c r="P79" i="53"/>
  <c r="P79" i="152"/>
  <c r="P79" i="24"/>
  <c r="P79" i="54"/>
  <c r="P79" i="90"/>
  <c r="P79" i="71"/>
  <c r="P79" i="174"/>
  <c r="P79" i="20"/>
  <c r="P79" i="150"/>
  <c r="P79" i="89"/>
  <c r="P79" i="16"/>
  <c r="P79" i="68"/>
  <c r="P79" i="103"/>
  <c r="P79" i="156"/>
  <c r="P79" i="43"/>
  <c r="P79" i="62"/>
  <c r="P79" i="106"/>
  <c r="P79" i="142"/>
  <c r="P79" i="165"/>
  <c r="P79" i="32"/>
  <c r="P79" i="87"/>
  <c r="P79" i="141"/>
  <c r="P79" i="85"/>
  <c r="P79" i="64"/>
  <c r="P79" i="155"/>
  <c r="P79" i="49"/>
  <c r="P79" i="25"/>
  <c r="P79" i="39"/>
  <c r="P79" i="31"/>
  <c r="P79" i="66"/>
  <c r="P79" i="72"/>
  <c r="P79" i="175"/>
  <c r="P79" i="98"/>
  <c r="P79" i="33"/>
  <c r="P79" i="102"/>
  <c r="P79" i="86"/>
  <c r="P79" i="84"/>
  <c r="P79" i="1"/>
  <c r="P79" i="14"/>
  <c r="P79" i="83"/>
  <c r="P79" i="57"/>
  <c r="P79" i="60"/>
  <c r="P79" i="104"/>
  <c r="P79" i="94"/>
  <c r="P79" i="38"/>
  <c r="P79" i="136"/>
  <c r="P79" i="65"/>
  <c r="P79" i="63"/>
  <c r="P79" i="95"/>
  <c r="P79" i="47"/>
  <c r="P79" i="92"/>
  <c r="P79" i="145"/>
  <c r="P79" i="55"/>
  <c r="P79" i="15"/>
  <c r="P79" i="167"/>
  <c r="P79" i="50"/>
  <c r="P79" i="46"/>
  <c r="P79" i="42"/>
  <c r="P79" i="158"/>
  <c r="P79" i="58"/>
  <c r="P79" i="111"/>
  <c r="P79" i="27"/>
  <c r="P79" i="120"/>
  <c r="P61" i="42"/>
  <c r="P61" i="83"/>
  <c r="P61" i="64"/>
  <c r="P61" i="119"/>
  <c r="P61" i="118"/>
  <c r="P61" i="167"/>
  <c r="P61" i="79"/>
  <c r="P61" i="84"/>
  <c r="P61" i="31"/>
  <c r="P61" i="71"/>
  <c r="P61" i="113"/>
  <c r="P61" i="174"/>
  <c r="P61" i="54"/>
  <c r="P61" i="57"/>
  <c r="P61" i="38"/>
  <c r="P61" i="14"/>
  <c r="P61" i="37"/>
  <c r="P61" i="165"/>
  <c r="P61" i="28"/>
  <c r="P61" i="89"/>
  <c r="P61" i="39"/>
  <c r="P61" i="62"/>
  <c r="P61" i="111"/>
  <c r="P61" i="158"/>
  <c r="P61" i="142"/>
  <c r="P61" i="133"/>
  <c r="P61" i="47"/>
  <c r="P61" i="92"/>
  <c r="P61" i="49"/>
  <c r="P61" i="175"/>
  <c r="P61" i="106"/>
  <c r="P61" i="50"/>
  <c r="P61" i="15"/>
  <c r="P61" i="20"/>
  <c r="P61" i="27"/>
  <c r="P61" i="68"/>
  <c r="P61" i="21"/>
  <c r="P61" i="55"/>
  <c r="P61" i="159"/>
  <c r="P61" i="19"/>
  <c r="P61" i="90"/>
  <c r="P61" i="177"/>
  <c r="P61" i="46"/>
  <c r="P61" i="141"/>
  <c r="P61" i="120"/>
  <c r="P61" i="136"/>
  <c r="P61" i="152"/>
  <c r="P61" i="16"/>
  <c r="P61" i="98"/>
  <c r="P61" i="87"/>
  <c r="P61" i="95"/>
  <c r="P61" i="65"/>
  <c r="P61" i="102"/>
  <c r="P61" i="58"/>
  <c r="P61" i="43"/>
  <c r="P61" i="178"/>
  <c r="P61" i="145"/>
  <c r="P61" i="155"/>
  <c r="P61" i="24"/>
  <c r="P61" i="164"/>
  <c r="P61" i="72"/>
  <c r="P61" i="85"/>
  <c r="P61" i="33"/>
  <c r="P61" i="104"/>
  <c r="P61" i="66"/>
  <c r="P61" i="103"/>
  <c r="P61" i="157"/>
  <c r="P61" i="135"/>
  <c r="P61" i="63"/>
  <c r="P61" i="53"/>
  <c r="P61" i="156"/>
  <c r="P61" i="25"/>
  <c r="P61" i="32"/>
  <c r="P61" i="86"/>
  <c r="P61" i="60"/>
  <c r="P61" i="1"/>
  <c r="P61" i="94"/>
  <c r="P61" i="150"/>
  <c r="P113" i="178"/>
  <c r="P113" i="152"/>
  <c r="P113" i="167"/>
  <c r="P113" i="89"/>
  <c r="P113" i="60"/>
  <c r="P113" i="65"/>
  <c r="P113" i="68"/>
  <c r="P113" i="113"/>
  <c r="P113" i="54"/>
  <c r="P113" i="135"/>
  <c r="P113" i="20"/>
  <c r="P113" i="164"/>
  <c r="P113" i="156"/>
  <c r="P113" i="85"/>
  <c r="P113" i="92"/>
  <c r="P113" i="43"/>
  <c r="P113" i="53"/>
  <c r="P113" i="46"/>
  <c r="P113" i="19"/>
  <c r="P113" i="95"/>
  <c r="P113" i="32"/>
  <c r="P113" i="174"/>
  <c r="P113" i="159"/>
  <c r="P113" i="136"/>
  <c r="P113" i="94"/>
  <c r="P113" i="64"/>
  <c r="P113" i="21"/>
  <c r="P113" i="25"/>
  <c r="P113" i="120"/>
  <c r="P113" i="133"/>
  <c r="P113" i="98"/>
  <c r="P113" i="38"/>
  <c r="P113" i="165"/>
  <c r="P113" i="28"/>
  <c r="P113" i="87"/>
  <c r="P113" i="84"/>
  <c r="P113" i="142"/>
  <c r="P113" i="119"/>
  <c r="P113" i="47"/>
  <c r="P113" i="16"/>
  <c r="P113" i="106"/>
  <c r="P113" i="175"/>
  <c r="P113" i="155"/>
  <c r="P113" i="86"/>
  <c r="P113" i="63"/>
  <c r="P113" i="79"/>
  <c r="P113" i="58"/>
  <c r="P113" i="15"/>
  <c r="P113" i="157"/>
  <c r="P113" i="27"/>
  <c r="P113" i="66"/>
  <c r="P113" i="33"/>
  <c r="P113" i="158"/>
  <c r="P113" i="72"/>
  <c r="P113" i="42"/>
  <c r="P113" i="90"/>
  <c r="P113" i="39"/>
  <c r="P113" i="57"/>
  <c r="P113" i="37"/>
  <c r="P113" i="145"/>
  <c r="P113" i="104"/>
  <c r="P113" i="141"/>
  <c r="P113" i="62"/>
  <c r="P113" i="31"/>
  <c r="P113" i="71"/>
  <c r="P113" i="50"/>
  <c r="P113" i="103"/>
  <c r="P113" i="118"/>
  <c r="P113" i="177"/>
  <c r="P113" i="150"/>
  <c r="P113" i="24"/>
  <c r="P113" i="83"/>
  <c r="P113" i="1"/>
  <c r="P113" i="102"/>
  <c r="P113" i="55"/>
  <c r="P113" i="14"/>
  <c r="P113" i="111"/>
  <c r="P113" i="49"/>
  <c r="P122" i="178"/>
  <c r="P122" i="79"/>
  <c r="P122" i="120"/>
  <c r="P122" i="94"/>
  <c r="P122" i="136"/>
  <c r="P122" i="49"/>
  <c r="P122" i="39"/>
  <c r="P122" i="24"/>
  <c r="P122" i="63"/>
  <c r="P122" i="141"/>
  <c r="P122" i="27"/>
  <c r="P122" i="142"/>
  <c r="P122" i="167"/>
  <c r="P122" i="21"/>
  <c r="P122" i="111"/>
  <c r="P122" i="135"/>
  <c r="P122" i="16"/>
  <c r="P122" i="25"/>
  <c r="P122" i="85"/>
  <c r="P122" i="89"/>
  <c r="P122" i="152"/>
  <c r="P122" i="20"/>
  <c r="P122" i="46"/>
  <c r="P122" i="86"/>
  <c r="P122" i="54"/>
  <c r="P122" i="28"/>
  <c r="P122" i="95"/>
  <c r="P122" i="72"/>
  <c r="P122" i="119"/>
  <c r="P122" i="60"/>
  <c r="P122" i="1"/>
  <c r="P122" i="14"/>
  <c r="P122" i="37"/>
  <c r="P122" i="92"/>
  <c r="P122" i="87"/>
  <c r="P122" i="58"/>
  <c r="P122" i="47"/>
  <c r="P122" i="19"/>
  <c r="P122" i="55"/>
  <c r="P122" i="159"/>
  <c r="P122" i="84"/>
  <c r="P122" i="33"/>
  <c r="P122" i="38"/>
  <c r="P122" i="43"/>
  <c r="P122" i="106"/>
  <c r="P122" i="65"/>
  <c r="P122" i="150"/>
  <c r="P122" i="174"/>
  <c r="P122" i="118"/>
  <c r="P122" i="66"/>
  <c r="P122" i="68"/>
  <c r="P122" i="71"/>
  <c r="P122" i="155"/>
  <c r="P122" i="158"/>
  <c r="P122" i="175"/>
  <c r="P122" i="133"/>
  <c r="P122" i="104"/>
  <c r="P122" i="50"/>
  <c r="P122" i="103"/>
  <c r="P122" i="62"/>
  <c r="P122" i="165"/>
  <c r="P122" i="113"/>
  <c r="P122" i="177"/>
  <c r="P122" i="102"/>
  <c r="P122" i="98"/>
  <c r="P122" i="145"/>
  <c r="P122" i="53"/>
  <c r="P122" i="83"/>
  <c r="P122" i="42"/>
  <c r="P122" i="90"/>
  <c r="P122" i="64"/>
  <c r="P122" i="156"/>
  <c r="P122" i="31"/>
  <c r="P122" i="32"/>
  <c r="P122" i="164"/>
  <c r="P122" i="157"/>
  <c r="P122" i="57"/>
  <c r="P122" i="15"/>
  <c r="P174" i="178"/>
  <c r="P174" i="118"/>
  <c r="P174" i="31"/>
  <c r="P174" i="25"/>
  <c r="P174" i="37"/>
  <c r="P174" i="79"/>
  <c r="P174" i="14"/>
  <c r="P174" i="1"/>
  <c r="P174" i="95"/>
  <c r="P174" i="133"/>
  <c r="P174" i="164"/>
  <c r="P174" i="152"/>
  <c r="P174" i="159"/>
  <c r="P174" i="50"/>
  <c r="P174" i="102"/>
  <c r="P174" i="142"/>
  <c r="P174" i="58"/>
  <c r="P174" i="68"/>
  <c r="P174" i="15"/>
  <c r="P174" i="53"/>
  <c r="P174" i="106"/>
  <c r="P174" i="175"/>
  <c r="P174" i="165"/>
  <c r="P174" i="167"/>
  <c r="P174" i="89"/>
  <c r="P174" i="111"/>
  <c r="P174" i="92"/>
  <c r="P174" i="19"/>
  <c r="P174" i="60"/>
  <c r="P174" i="65"/>
  <c r="P174" i="174"/>
  <c r="P174" i="49"/>
  <c r="P174" i="21"/>
  <c r="P174" i="62"/>
  <c r="P174" i="72"/>
  <c r="P174" i="84"/>
  <c r="P174" i="120"/>
  <c r="P174" i="113"/>
  <c r="P174" i="156"/>
  <c r="P174" i="150"/>
  <c r="P174" i="63"/>
  <c r="P174" i="54"/>
  <c r="P174" i="155"/>
  <c r="P174" i="103"/>
  <c r="P174" i="46"/>
  <c r="P174" i="136"/>
  <c r="P174" i="66"/>
  <c r="P174" i="98"/>
  <c r="P174" i="27"/>
  <c r="P174" i="158"/>
  <c r="P174" i="135"/>
  <c r="P174" i="33"/>
  <c r="P174" i="43"/>
  <c r="P174" i="38"/>
  <c r="P174" i="119"/>
  <c r="P174" i="55"/>
  <c r="P174" i="42"/>
  <c r="P174" i="24"/>
  <c r="P174" i="157"/>
  <c r="P174" i="145"/>
  <c r="P174" i="104"/>
  <c r="P174" i="39"/>
  <c r="P174" i="47"/>
  <c r="P174" i="57"/>
  <c r="P174" i="141"/>
  <c r="P174" i="64"/>
  <c r="P174" i="71"/>
  <c r="P174" i="32"/>
  <c r="P174" i="177"/>
  <c r="P174" i="83"/>
  <c r="P174" i="20"/>
  <c r="P174" i="86"/>
  <c r="P174" i="28"/>
  <c r="P174" i="16"/>
  <c r="P174" i="90"/>
  <c r="P174" i="85"/>
  <c r="P174" i="87"/>
  <c r="P174" i="94"/>
  <c r="P129" i="178"/>
  <c r="P129" i="165"/>
  <c r="P129" i="145"/>
  <c r="P129" i="43"/>
  <c r="P129" i="32"/>
  <c r="P129" i="53"/>
  <c r="P129" i="104"/>
  <c r="P129" i="79"/>
  <c r="P129" i="63"/>
  <c r="P129" i="27"/>
  <c r="P129" i="95"/>
  <c r="P129" i="177"/>
  <c r="P129" i="16"/>
  <c r="P129" i="42"/>
  <c r="P129" i="24"/>
  <c r="P129" i="37"/>
  <c r="P129" i="90"/>
  <c r="P129" i="87"/>
  <c r="P129" i="54"/>
  <c r="P129" i="135"/>
  <c r="P129" i="157"/>
  <c r="P129" i="68"/>
  <c r="P129" i="142"/>
  <c r="P129" i="60"/>
  <c r="P129" i="119"/>
  <c r="P129" i="89"/>
  <c r="P129" i="62"/>
  <c r="P129" i="72"/>
  <c r="P129" i="98"/>
  <c r="P129" i="20"/>
  <c r="P129" i="164"/>
  <c r="P129" i="150"/>
  <c r="P129" i="58"/>
  <c r="P129" i="46"/>
  <c r="P129" i="1"/>
  <c r="P129" i="85"/>
  <c r="P129" i="103"/>
  <c r="P129" i="39"/>
  <c r="P129" i="19"/>
  <c r="P129" i="83"/>
  <c r="P129" i="158"/>
  <c r="P129" i="152"/>
  <c r="P129" i="33"/>
  <c r="P129" i="38"/>
  <c r="P129" i="21"/>
  <c r="P129" i="136"/>
  <c r="P129" i="47"/>
  <c r="P129" i="65"/>
  <c r="P129" i="120"/>
  <c r="P129" i="55"/>
  <c r="P129" i="159"/>
  <c r="P129" i="31"/>
  <c r="P129" i="14"/>
  <c r="P129" i="71"/>
  <c r="P129" i="28"/>
  <c r="P129" i="92"/>
  <c r="P129" i="49"/>
  <c r="P129" i="25"/>
  <c r="P129" i="141"/>
  <c r="P129" i="174"/>
  <c r="P129" i="15"/>
  <c r="P129" i="133"/>
  <c r="P129" i="64"/>
  <c r="P129" i="86"/>
  <c r="P129" i="111"/>
  <c r="P129" i="155"/>
  <c r="P129" i="50"/>
  <c r="P129" i="57"/>
  <c r="P129" i="167"/>
  <c r="P129" i="175"/>
  <c r="P129" i="106"/>
  <c r="P129" i="66"/>
  <c r="P129" i="156"/>
  <c r="P129" i="113"/>
  <c r="P129" i="118"/>
  <c r="P129" i="84"/>
  <c r="P129" i="102"/>
  <c r="P129" i="94"/>
  <c r="P93" i="175"/>
  <c r="P93" i="152"/>
  <c r="P93" i="39"/>
  <c r="P93" i="27"/>
  <c r="P93" i="98"/>
  <c r="P93" i="142"/>
  <c r="P93" i="19"/>
  <c r="P93" i="62"/>
  <c r="P93" i="71"/>
  <c r="P93" i="83"/>
  <c r="P93" i="104"/>
  <c r="P93" i="164"/>
  <c r="P93" i="145"/>
  <c r="P93" i="141"/>
  <c r="P93" i="50"/>
  <c r="P93" i="63"/>
  <c r="P93" i="46"/>
  <c r="P93" i="103"/>
  <c r="P93" i="86"/>
  <c r="P93" i="136"/>
  <c r="P93" i="177"/>
  <c r="P93" i="167"/>
  <c r="P93" i="49"/>
  <c r="P93" i="55"/>
  <c r="P93" i="38"/>
  <c r="P93" i="47"/>
  <c r="P93" i="65"/>
  <c r="P93" i="106"/>
  <c r="P93" i="119"/>
  <c r="P93" i="113"/>
  <c r="P93" i="156"/>
  <c r="P93" i="57"/>
  <c r="P93" i="54"/>
  <c r="P93" i="72"/>
  <c r="P93" i="31"/>
  <c r="P93" i="14"/>
  <c r="P93" i="92"/>
  <c r="P93" i="64"/>
  <c r="P93" i="21"/>
  <c r="P93" i="53"/>
  <c r="P93" i="155"/>
  <c r="P93" i="20"/>
  <c r="P93" i="15"/>
  <c r="P93" i="133"/>
  <c r="P93" i="111"/>
  <c r="P93" i="58"/>
  <c r="P93" i="24"/>
  <c r="P93" i="174"/>
  <c r="P93" i="150"/>
  <c r="P93" i="25"/>
  <c r="P93" i="95"/>
  <c r="P93" i="120"/>
  <c r="P93" i="66"/>
  <c r="P93" i="84"/>
  <c r="P93" i="28"/>
  <c r="P93" i="85"/>
  <c r="P93" i="33"/>
  <c r="P93" i="87"/>
  <c r="P93" i="79"/>
  <c r="P93" i="165"/>
  <c r="P93" i="94"/>
  <c r="P93" i="159"/>
  <c r="P93" i="60"/>
  <c r="P93" i="42"/>
  <c r="P93" i="90"/>
  <c r="P93" i="178"/>
  <c r="P93" i="158"/>
  <c r="P93" i="68"/>
  <c r="P93" i="157"/>
  <c r="P93" i="16"/>
  <c r="P93" i="89"/>
  <c r="P93" i="102"/>
  <c r="P93" i="32"/>
  <c r="P93" i="135"/>
  <c r="P93" i="43"/>
  <c r="P93" i="1"/>
  <c r="P93" i="37"/>
  <c r="P93" i="118"/>
  <c r="P134" i="135"/>
  <c r="P134" i="106"/>
  <c r="P134" i="83"/>
  <c r="P134" i="165"/>
  <c r="P134" i="66"/>
  <c r="P134" i="62"/>
  <c r="P134" i="104"/>
  <c r="P134" i="47"/>
  <c r="P134" i="64"/>
  <c r="P134" i="46"/>
  <c r="P134" i="90"/>
  <c r="P134" i="28"/>
  <c r="P134" i="119"/>
  <c r="P134" i="24"/>
  <c r="P134" i="87"/>
  <c r="P134" i="21"/>
  <c r="P134" i="14"/>
  <c r="P134" i="133"/>
  <c r="P134" i="141"/>
  <c r="P134" i="38"/>
  <c r="P134" i="84"/>
  <c r="P134" i="111"/>
  <c r="P134" i="157"/>
  <c r="P134" i="71"/>
  <c r="P134" i="58"/>
  <c r="P134" i="94"/>
  <c r="P134" i="92"/>
  <c r="P134" i="53"/>
  <c r="P134" i="15"/>
  <c r="P134" i="89"/>
  <c r="P134" i="16"/>
  <c r="P134" i="164"/>
  <c r="P134" i="54"/>
  <c r="P134" i="32"/>
  <c r="P134" i="55"/>
  <c r="P134" i="43"/>
  <c r="P134" i="95"/>
  <c r="P134" i="178"/>
  <c r="P134" i="156"/>
  <c r="P134" i="65"/>
  <c r="P134" i="175"/>
  <c r="P134" i="113"/>
  <c r="P134" i="86"/>
  <c r="P134" i="103"/>
  <c r="P134" i="150"/>
  <c r="P134" i="20"/>
  <c r="P134" i="145"/>
  <c r="P134" i="155"/>
  <c r="P134" i="37"/>
  <c r="P134" i="177"/>
  <c r="P134" i="79"/>
  <c r="P134" i="63"/>
  <c r="P134" i="72"/>
  <c r="P134" i="57"/>
  <c r="P134" i="1"/>
  <c r="P134" i="50"/>
  <c r="P134" i="158"/>
  <c r="P134" i="60"/>
  <c r="P134" i="98"/>
  <c r="P134" i="174"/>
  <c r="P134" i="49"/>
  <c r="P134" i="159"/>
  <c r="P134" i="25"/>
  <c r="P134" i="152"/>
  <c r="P134" i="31"/>
  <c r="P134" i="167"/>
  <c r="P134" i="33"/>
  <c r="P134" i="118"/>
  <c r="P134" i="68"/>
  <c r="P134" i="42"/>
  <c r="P134" i="85"/>
  <c r="P134" i="142"/>
  <c r="P134" i="27"/>
  <c r="P134" i="120"/>
  <c r="P134" i="39"/>
  <c r="P134" i="19"/>
  <c r="P134" i="102"/>
  <c r="P134" i="136"/>
  <c r="P192" i="165"/>
  <c r="P192" i="174"/>
  <c r="P192" i="152"/>
  <c r="P192" i="106"/>
  <c r="P192" i="84"/>
  <c r="P192" i="98"/>
  <c r="P192" i="49"/>
  <c r="P192" i="95"/>
  <c r="P192" i="32"/>
  <c r="P192" i="118"/>
  <c r="P192" i="16"/>
  <c r="P192" i="37"/>
  <c r="P192" i="150"/>
  <c r="P192" i="155"/>
  <c r="P192" i="60"/>
  <c r="P192" i="64"/>
  <c r="P192" i="142"/>
  <c r="P192" i="24"/>
  <c r="P192" i="68"/>
  <c r="P192" i="25"/>
  <c r="P192" i="28"/>
  <c r="P192" i="38"/>
  <c r="P192" i="156"/>
  <c r="P192" i="90"/>
  <c r="P192" i="58"/>
  <c r="P192" i="20"/>
  <c r="P192" i="71"/>
  <c r="P192" i="54"/>
  <c r="P192" i="83"/>
  <c r="P192" i="47"/>
  <c r="P192" i="158"/>
  <c r="P192" i="159"/>
  <c r="P192" i="94"/>
  <c r="P192" i="62"/>
  <c r="P192" i="1"/>
  <c r="P192" i="46"/>
  <c r="P192" i="175"/>
  <c r="P192" i="111"/>
  <c r="P192" i="19"/>
  <c r="P192" i="178"/>
  <c r="P192" i="167"/>
  <c r="P192" i="87"/>
  <c r="P192" i="120"/>
  <c r="P192" i="31"/>
  <c r="P192" i="42"/>
  <c r="P192" i="113"/>
  <c r="P192" i="33"/>
  <c r="P192" i="85"/>
  <c r="P192" i="103"/>
  <c r="P192" i="177"/>
  <c r="P192" i="157"/>
  <c r="P192" i="63"/>
  <c r="P192" i="65"/>
  <c r="P192" i="15"/>
  <c r="P192" i="135"/>
  <c r="P192" i="53"/>
  <c r="P192" i="14"/>
  <c r="P192" i="21"/>
  <c r="P192" i="92"/>
  <c r="P192" i="66"/>
  <c r="P192" i="55"/>
  <c r="P192" i="86"/>
  <c r="P192" i="50"/>
  <c r="P192" i="89"/>
  <c r="P192" i="133"/>
  <c r="P192" i="43"/>
  <c r="P192" i="72"/>
  <c r="P192" i="102"/>
  <c r="P192" i="141"/>
  <c r="P192" i="119"/>
  <c r="P192" i="57"/>
  <c r="P192" i="164"/>
  <c r="P192" i="79"/>
  <c r="P192" i="145"/>
  <c r="P192" i="27"/>
  <c r="P192" i="104"/>
  <c r="P192" i="136"/>
  <c r="P192" i="39"/>
  <c r="P63" i="178"/>
  <c r="P63" i="19"/>
  <c r="P63" i="72"/>
  <c r="P63" i="46"/>
  <c r="P63" i="38"/>
  <c r="P63" i="53"/>
  <c r="P63" i="150"/>
  <c r="P63" i="33"/>
  <c r="P63" i="83"/>
  <c r="P63" i="20"/>
  <c r="P63" i="118"/>
  <c r="P63" i="174"/>
  <c r="P63" i="27"/>
  <c r="P63" i="68"/>
  <c r="P63" i="156"/>
  <c r="P63" i="120"/>
  <c r="P63" i="135"/>
  <c r="P63" i="24"/>
  <c r="P63" i="136"/>
  <c r="P63" i="21"/>
  <c r="P63" i="86"/>
  <c r="P63" i="25"/>
  <c r="P63" i="89"/>
  <c r="P63" i="65"/>
  <c r="P63" i="95"/>
  <c r="P63" i="15"/>
  <c r="P63" i="79"/>
  <c r="P63" i="119"/>
  <c r="P63" i="55"/>
  <c r="P63" i="14"/>
  <c r="P63" i="177"/>
  <c r="P63" i="164"/>
  <c r="P63" i="31"/>
  <c r="P63" i="57"/>
  <c r="P63" i="142"/>
  <c r="P63" i="152"/>
  <c r="P63" i="87"/>
  <c r="P63" i="113"/>
  <c r="P63" i="102"/>
  <c r="P63" i="64"/>
  <c r="P63" i="157"/>
  <c r="P63" i="49"/>
  <c r="P63" i="39"/>
  <c r="P63" i="42"/>
  <c r="P63" i="103"/>
  <c r="P63" i="92"/>
  <c r="P63" i="104"/>
  <c r="P63" i="62"/>
  <c r="P63" i="85"/>
  <c r="P63" i="28"/>
  <c r="P63" i="158"/>
  <c r="P63" i="54"/>
  <c r="P63" i="84"/>
  <c r="P63" i="37"/>
  <c r="P63" i="106"/>
  <c r="P63" i="94"/>
  <c r="P63" i="145"/>
  <c r="P63" i="16"/>
  <c r="P63" i="167"/>
  <c r="P63" i="60"/>
  <c r="P63" i="155"/>
  <c r="P63" i="165"/>
  <c r="P63" i="98"/>
  <c r="P63" i="71"/>
  <c r="P63" i="66"/>
  <c r="P63" i="159"/>
  <c r="P63" i="111"/>
  <c r="P63" i="32"/>
  <c r="P63" i="50"/>
  <c r="P63" i="90"/>
  <c r="P63" i="47"/>
  <c r="P63" i="1"/>
  <c r="P63" i="141"/>
  <c r="P63" i="175"/>
  <c r="P63" i="43"/>
  <c r="P63" i="58"/>
  <c r="P63" i="133"/>
  <c r="P63" i="63"/>
  <c r="P172" i="174"/>
  <c r="P172" i="159"/>
  <c r="P172" i="71"/>
  <c r="P172" i="50"/>
  <c r="P172" i="57"/>
  <c r="P172" i="89"/>
  <c r="P172" i="24"/>
  <c r="P172" i="157"/>
  <c r="P172" i="106"/>
  <c r="P172" i="84"/>
  <c r="P172" i="165"/>
  <c r="P172" i="158"/>
  <c r="P172" i="145"/>
  <c r="P172" i="111"/>
  <c r="P172" i="15"/>
  <c r="P172" i="28"/>
  <c r="P172" i="136"/>
  <c r="P172" i="86"/>
  <c r="P172" i="31"/>
  <c r="P172" i="47"/>
  <c r="P172" i="104"/>
  <c r="P172" i="25"/>
  <c r="P172" i="102"/>
  <c r="P172" i="32"/>
  <c r="P172" i="21"/>
  <c r="P172" i="14"/>
  <c r="P172" i="68"/>
  <c r="P172" i="141"/>
  <c r="P172" i="177"/>
  <c r="P172" i="54"/>
  <c r="P172" i="37"/>
  <c r="P172" i="118"/>
  <c r="P172" i="43"/>
  <c r="P172" i="92"/>
  <c r="P172" i="79"/>
  <c r="P172" i="119"/>
  <c r="P172" i="1"/>
  <c r="P172" i="152"/>
  <c r="P172" i="66"/>
  <c r="P172" i="72"/>
  <c r="P172" i="42"/>
  <c r="P172" i="60"/>
  <c r="P172" i="164"/>
  <c r="P172" i="46"/>
  <c r="P172" i="49"/>
  <c r="P172" i="85"/>
  <c r="P172" i="53"/>
  <c r="P172" i="87"/>
  <c r="P172" i="155"/>
  <c r="P172" i="33"/>
  <c r="P172" i="39"/>
  <c r="P172" i="27"/>
  <c r="P172" i="133"/>
  <c r="P172" i="167"/>
  <c r="P172" i="58"/>
  <c r="P172" i="63"/>
  <c r="P172" i="135"/>
  <c r="P172" i="62"/>
  <c r="P172" i="178"/>
  <c r="P172" i="175"/>
  <c r="P172" i="98"/>
  <c r="P172" i="94"/>
  <c r="P172" i="95"/>
  <c r="P172" i="38"/>
  <c r="P172" i="19"/>
  <c r="P172" i="90"/>
  <c r="P172" i="55"/>
  <c r="P172" i="103"/>
  <c r="P172" i="83"/>
  <c r="P172" i="113"/>
  <c r="P172" i="120"/>
  <c r="P172" i="150"/>
  <c r="P172" i="16"/>
  <c r="P172" i="20"/>
  <c r="P172" i="156"/>
  <c r="P172" i="142"/>
  <c r="P172" i="65"/>
  <c r="P172" i="64"/>
  <c r="P96" i="152"/>
  <c r="P96" i="159"/>
  <c r="P96" i="37"/>
  <c r="P96" i="79"/>
  <c r="P96" i="84"/>
  <c r="P96" i="120"/>
  <c r="P96" i="83"/>
  <c r="P96" i="53"/>
  <c r="P96" i="32"/>
  <c r="P96" i="174"/>
  <c r="P96" i="62"/>
  <c r="P96" i="72"/>
  <c r="P96" i="106"/>
  <c r="P96" i="19"/>
  <c r="P96" i="98"/>
  <c r="P96" i="31"/>
  <c r="P96" i="65"/>
  <c r="P96" i="85"/>
  <c r="P96" i="71"/>
  <c r="P96" i="167"/>
  <c r="P96" i="156"/>
  <c r="P96" i="103"/>
  <c r="P96" i="133"/>
  <c r="P96" i="90"/>
  <c r="P96" i="94"/>
  <c r="P96" i="113"/>
  <c r="P96" i="104"/>
  <c r="P96" i="63"/>
  <c r="P96" i="155"/>
  <c r="P96" i="28"/>
  <c r="P96" i="16"/>
  <c r="P96" i="141"/>
  <c r="P96" i="64"/>
  <c r="P96" i="135"/>
  <c r="P96" i="89"/>
  <c r="P96" i="21"/>
  <c r="P96" i="50"/>
  <c r="P96" i="158"/>
  <c r="P96" i="57"/>
  <c r="P96" i="68"/>
  <c r="P96" i="95"/>
  <c r="P96" i="60"/>
  <c r="P96" i="165"/>
  <c r="P96" i="142"/>
  <c r="P96" i="14"/>
  <c r="P96" i="39"/>
  <c r="P96" i="33"/>
  <c r="P96" i="178"/>
  <c r="P96" i="150"/>
  <c r="P96" i="92"/>
  <c r="P96" i="55"/>
  <c r="P96" i="66"/>
  <c r="P96" i="118"/>
  <c r="P96" i="145"/>
  <c r="P96" i="38"/>
  <c r="P96" i="136"/>
  <c r="P96" i="20"/>
  <c r="P96" i="25"/>
  <c r="P96" i="164"/>
  <c r="P96" i="47"/>
  <c r="P96" i="58"/>
  <c r="P96" i="15"/>
  <c r="P96" i="27"/>
  <c r="P96" i="54"/>
  <c r="P96" i="177"/>
  <c r="P96" i="157"/>
  <c r="P96" i="1"/>
  <c r="P96" i="86"/>
  <c r="P96" i="102"/>
  <c r="P96" i="175"/>
  <c r="P96" i="111"/>
  <c r="P96" i="119"/>
  <c r="P96" i="87"/>
  <c r="P96" i="24"/>
  <c r="P96" i="43"/>
  <c r="P96" i="46"/>
  <c r="P96" i="49"/>
  <c r="P96" i="42"/>
  <c r="P121" i="120"/>
  <c r="P121" i="95"/>
  <c r="P121" i="142"/>
  <c r="P121" i="133"/>
  <c r="P121" i="98"/>
  <c r="P121" i="20"/>
  <c r="P121" i="167"/>
  <c r="P121" i="15"/>
  <c r="P121" i="57"/>
  <c r="P121" i="32"/>
  <c r="P121" i="159"/>
  <c r="P121" i="24"/>
  <c r="P121" i="64"/>
  <c r="P121" i="47"/>
  <c r="P121" i="55"/>
  <c r="P121" i="54"/>
  <c r="P121" i="14"/>
  <c r="P121" i="177"/>
  <c r="P121" i="178"/>
  <c r="P121" i="39"/>
  <c r="P121" i="90"/>
  <c r="P121" i="102"/>
  <c r="P121" i="50"/>
  <c r="P121" i="62"/>
  <c r="P121" i="68"/>
  <c r="P121" i="66"/>
  <c r="P121" i="113"/>
  <c r="P121" i="46"/>
  <c r="P121" i="174"/>
  <c r="P121" i="16"/>
  <c r="P121" i="141"/>
  <c r="P121" i="86"/>
  <c r="P121" i="92"/>
  <c r="P121" i="103"/>
  <c r="P121" i="72"/>
  <c r="P121" i="1"/>
  <c r="P121" i="156"/>
  <c r="P121" i="155"/>
  <c r="P121" i="104"/>
  <c r="P121" i="164"/>
  <c r="P121" i="58"/>
  <c r="P121" i="65"/>
  <c r="P121" i="118"/>
  <c r="P121" i="157"/>
  <c r="P121" i="19"/>
  <c r="P121" i="60"/>
  <c r="P121" i="63"/>
  <c r="P121" i="150"/>
  <c r="P121" i="106"/>
  <c r="P121" i="53"/>
  <c r="P121" i="152"/>
  <c r="P121" i="38"/>
  <c r="P121" i="175"/>
  <c r="P121" i="135"/>
  <c r="P121" i="31"/>
  <c r="P121" i="27"/>
  <c r="P121" i="21"/>
  <c r="P121" i="158"/>
  <c r="P121" i="79"/>
  <c r="P121" i="111"/>
  <c r="P121" i="87"/>
  <c r="P121" i="84"/>
  <c r="P121" i="165"/>
  <c r="P121" i="83"/>
  <c r="P121" i="71"/>
  <c r="P121" i="37"/>
  <c r="P121" i="119"/>
  <c r="P121" i="145"/>
  <c r="P121" i="89"/>
  <c r="P121" i="49"/>
  <c r="P121" i="28"/>
  <c r="P121" i="42"/>
  <c r="P121" i="85"/>
  <c r="P121" i="33"/>
  <c r="P121" i="43"/>
  <c r="P121" i="94"/>
  <c r="P121" i="25"/>
  <c r="P121" i="136"/>
  <c r="P43" i="178"/>
  <c r="P43" i="158"/>
  <c r="P43" i="156"/>
  <c r="P43" i="94"/>
  <c r="P43" i="87"/>
  <c r="P43" i="86"/>
  <c r="P43" i="31"/>
  <c r="P43" i="84"/>
  <c r="P43" i="79"/>
  <c r="P43" i="16"/>
  <c r="P43" i="55"/>
  <c r="P43" i="174"/>
  <c r="P43" i="167"/>
  <c r="P43" i="42"/>
  <c r="P43" i="53"/>
  <c r="P43" i="54"/>
  <c r="P43" i="102"/>
  <c r="P43" i="50"/>
  <c r="P43" i="14"/>
  <c r="P43" i="106"/>
  <c r="P43" i="103"/>
  <c r="P43" i="92"/>
  <c r="P43" i="165"/>
  <c r="P43" i="152"/>
  <c r="P43" i="66"/>
  <c r="P43" i="85"/>
  <c r="P43" i="150"/>
  <c r="P43" i="89"/>
  <c r="P43" i="119"/>
  <c r="P43" i="47"/>
  <c r="P43" i="64"/>
  <c r="P43" i="68"/>
  <c r="P43" i="177"/>
  <c r="P43" i="145"/>
  <c r="P43" i="27"/>
  <c r="P43" i="71"/>
  <c r="P43" i="39"/>
  <c r="P43" i="49"/>
  <c r="P43" i="15"/>
  <c r="P43" i="57"/>
  <c r="P43" i="136"/>
  <c r="P43" i="72"/>
  <c r="P43" i="164"/>
  <c r="P43" i="24"/>
  <c r="P43" i="21"/>
  <c r="P43" i="98"/>
  <c r="P43" i="133"/>
  <c r="P43" i="37"/>
  <c r="P43" i="155"/>
  <c r="P43" i="65"/>
  <c r="P43" i="135"/>
  <c r="P43" i="142"/>
  <c r="P43" i="38"/>
  <c r="P43" i="33"/>
  <c r="P43" i="58"/>
  <c r="P43" i="118"/>
  <c r="P43" i="175"/>
  <c r="P43" i="60"/>
  <c r="P43" i="113"/>
  <c r="P43" i="20"/>
  <c r="P43" i="1"/>
  <c r="P43" i="62"/>
  <c r="P43" i="159"/>
  <c r="P43" i="63"/>
  <c r="P43" i="90"/>
  <c r="P43" i="19"/>
  <c r="P43" i="157"/>
  <c r="P43" i="95"/>
  <c r="P43" i="25"/>
  <c r="P43" i="46"/>
  <c r="P43" i="28"/>
  <c r="P43" i="32"/>
  <c r="P43" i="104"/>
  <c r="P43" i="120"/>
  <c r="P43" i="111"/>
  <c r="P43" i="83"/>
  <c r="P43" i="141"/>
  <c r="P43" i="43"/>
  <c r="P107" i="33"/>
  <c r="P107" i="133"/>
  <c r="P107" i="65"/>
  <c r="P107" i="90"/>
  <c r="P107" i="135"/>
  <c r="P107" i="136"/>
  <c r="P107" i="20"/>
  <c r="P107" i="15"/>
  <c r="P107" i="95"/>
  <c r="P107" i="145"/>
  <c r="P107" i="57"/>
  <c r="P107" i="104"/>
  <c r="P107" i="142"/>
  <c r="P107" i="152"/>
  <c r="P107" i="50"/>
  <c r="P107" i="178"/>
  <c r="P107" i="66"/>
  <c r="P107" i="25"/>
  <c r="P107" i="158"/>
  <c r="P107" i="68"/>
  <c r="P107" i="46"/>
  <c r="P107" i="141"/>
  <c r="P107" i="118"/>
  <c r="P107" i="58"/>
  <c r="P107" i="47"/>
  <c r="P107" i="79"/>
  <c r="P107" i="37"/>
  <c r="P107" i="49"/>
  <c r="P107" i="174"/>
  <c r="P107" i="92"/>
  <c r="P107" i="156"/>
  <c r="P107" i="53"/>
  <c r="P107" i="1"/>
  <c r="P107" i="39"/>
  <c r="P107" i="24"/>
  <c r="P107" i="164"/>
  <c r="P107" i="27"/>
  <c r="P107" i="85"/>
  <c r="P107" i="103"/>
  <c r="P107" i="16"/>
  <c r="P107" i="175"/>
  <c r="P107" i="14"/>
  <c r="P107" i="72"/>
  <c r="P107" i="150"/>
  <c r="P107" i="62"/>
  <c r="P107" i="113"/>
  <c r="P107" i="38"/>
  <c r="P107" i="87"/>
  <c r="P107" i="31"/>
  <c r="P107" i="64"/>
  <c r="P107" i="19"/>
  <c r="P107" i="71"/>
  <c r="P107" i="83"/>
  <c r="P107" i="21"/>
  <c r="P107" i="94"/>
  <c r="P107" i="32"/>
  <c r="P107" i="89"/>
  <c r="P107" i="42"/>
  <c r="P107" i="106"/>
  <c r="P107" i="111"/>
  <c r="P107" i="167"/>
  <c r="P107" i="119"/>
  <c r="P107" i="28"/>
  <c r="P107" i="86"/>
  <c r="P107" i="54"/>
  <c r="P107" i="157"/>
  <c r="P107" i="155"/>
  <c r="P107" i="102"/>
  <c r="P107" i="98"/>
  <c r="P107" i="84"/>
  <c r="P107" i="120"/>
  <c r="P107" i="63"/>
  <c r="P107" i="159"/>
  <c r="P107" i="55"/>
  <c r="P107" i="60"/>
  <c r="P107" i="43"/>
  <c r="P107" i="177"/>
  <c r="P107" i="165"/>
  <c r="P171" i="177"/>
  <c r="P171" i="119"/>
  <c r="P171" i="71"/>
  <c r="P171" i="62"/>
  <c r="P171" i="145"/>
  <c r="P171" i="66"/>
  <c r="P171" i="158"/>
  <c r="P171" i="102"/>
  <c r="P171" i="120"/>
  <c r="P171" i="90"/>
  <c r="P171" i="63"/>
  <c r="P171" i="39"/>
  <c r="P171" i="57"/>
  <c r="P171" i="14"/>
  <c r="P171" i="25"/>
  <c r="P171" i="31"/>
  <c r="P171" i="174"/>
  <c r="P171" i="98"/>
  <c r="P171" i="55"/>
  <c r="P171" i="152"/>
  <c r="P171" i="86"/>
  <c r="P171" i="16"/>
  <c r="P171" i="83"/>
  <c r="P171" i="21"/>
  <c r="P171" i="118"/>
  <c r="P171" i="142"/>
  <c r="P171" i="50"/>
  <c r="P171" i="79"/>
  <c r="P171" i="92"/>
  <c r="P171" i="24"/>
  <c r="P171" i="60"/>
  <c r="P171" i="103"/>
  <c r="P171" i="106"/>
  <c r="P171" i="53"/>
  <c r="P171" i="15"/>
  <c r="P171" i="49"/>
  <c r="P171" i="87"/>
  <c r="P171" i="156"/>
  <c r="P171" i="136"/>
  <c r="P171" i="104"/>
  <c r="P171" i="38"/>
  <c r="P171" i="94"/>
  <c r="P171" i="20"/>
  <c r="P171" i="175"/>
  <c r="P171" i="1"/>
  <c r="P171" i="64"/>
  <c r="P171" i="19"/>
  <c r="P171" i="111"/>
  <c r="P171" i="165"/>
  <c r="P171" i="84"/>
  <c r="P171" i="43"/>
  <c r="P171" i="159"/>
  <c r="P171" i="58"/>
  <c r="P171" i="113"/>
  <c r="P171" i="33"/>
  <c r="P171" i="155"/>
  <c r="P171" i="47"/>
  <c r="P171" i="32"/>
  <c r="P171" i="42"/>
  <c r="P171" i="27"/>
  <c r="P171" i="135"/>
  <c r="P171" i="178"/>
  <c r="P171" i="164"/>
  <c r="P171" i="150"/>
  <c r="P171" i="37"/>
  <c r="P171" i="141"/>
  <c r="P171" i="68"/>
  <c r="P171" i="54"/>
  <c r="P171" i="46"/>
  <c r="P171" i="133"/>
  <c r="P171" i="167"/>
  <c r="P171" i="28"/>
  <c r="P171" i="72"/>
  <c r="P171" i="85"/>
  <c r="P171" i="157"/>
  <c r="P171" i="89"/>
  <c r="P171" i="65"/>
  <c r="P171" i="95"/>
  <c r="P191" i="178"/>
  <c r="P191" i="39"/>
  <c r="P191" i="111"/>
  <c r="P191" i="21"/>
  <c r="P191" i="145"/>
  <c r="P191" i="64"/>
  <c r="P191" i="142"/>
  <c r="P191" i="15"/>
  <c r="P191" i="164"/>
  <c r="P191" i="42"/>
  <c r="P191" i="79"/>
  <c r="P191" i="86"/>
  <c r="P191" i="102"/>
  <c r="P191" i="32"/>
  <c r="P191" i="60"/>
  <c r="P191" i="98"/>
  <c r="P191" i="58"/>
  <c r="P191" i="62"/>
  <c r="P191" i="175"/>
  <c r="P191" i="25"/>
  <c r="P191" i="92"/>
  <c r="P191" i="157"/>
  <c r="P191" i="141"/>
  <c r="P191" i="63"/>
  <c r="P191" i="72"/>
  <c r="P191" i="150"/>
  <c r="P191" i="136"/>
  <c r="P191" i="68"/>
  <c r="P191" i="152"/>
  <c r="P191" i="28"/>
  <c r="P191" i="53"/>
  <c r="P191" i="133"/>
  <c r="P191" i="103"/>
  <c r="P191" i="120"/>
  <c r="P191" i="87"/>
  <c r="P191" i="27"/>
  <c r="P191" i="177"/>
  <c r="P191" i="94"/>
  <c r="P191" i="167"/>
  <c r="P191" i="66"/>
  <c r="P191" i="174"/>
  <c r="P191" i="38"/>
  <c r="P191" i="14"/>
  <c r="P191" i="104"/>
  <c r="P191" i="71"/>
  <c r="P191" i="158"/>
  <c r="P191" i="54"/>
  <c r="P191" i="106"/>
  <c r="P191" i="90"/>
  <c r="P191" i="33"/>
  <c r="P191" i="89"/>
  <c r="P191" i="83"/>
  <c r="P191" i="84"/>
  <c r="P191" i="19"/>
  <c r="P191" i="55"/>
  <c r="P191" i="1"/>
  <c r="P191" i="43"/>
  <c r="P191" i="47"/>
  <c r="P191" i="24"/>
  <c r="P191" i="37"/>
  <c r="P191" i="155"/>
  <c r="P191" i="135"/>
  <c r="P191" i="85"/>
  <c r="P191" i="65"/>
  <c r="P191" i="165"/>
  <c r="P191" i="119"/>
  <c r="P191" i="159"/>
  <c r="P191" i="16"/>
  <c r="P191" i="46"/>
  <c r="P191" i="118"/>
  <c r="P191" i="49"/>
  <c r="P191" i="50"/>
  <c r="P191" i="113"/>
  <c r="P191" i="20"/>
  <c r="P191" i="31"/>
  <c r="P191" i="156"/>
  <c r="P191" i="57"/>
  <c r="P191" i="95"/>
  <c r="P91" i="32"/>
  <c r="P91" i="66"/>
  <c r="P91" i="152"/>
  <c r="P91" i="164"/>
  <c r="P91" i="174"/>
  <c r="P91" i="155"/>
  <c r="P91" i="28"/>
  <c r="P91" i="156"/>
  <c r="P91" i="118"/>
  <c r="P91" i="42"/>
  <c r="P91" i="27"/>
  <c r="P91" i="60"/>
  <c r="P91" i="175"/>
  <c r="P91" i="72"/>
  <c r="P91" i="90"/>
  <c r="P91" i="58"/>
  <c r="P91" i="25"/>
  <c r="P91" i="24"/>
  <c r="P91" i="57"/>
  <c r="P91" i="54"/>
  <c r="P91" i="79"/>
  <c r="P91" i="47"/>
  <c r="P91" i="136"/>
  <c r="P91" i="63"/>
  <c r="P91" i="102"/>
  <c r="P91" i="46"/>
  <c r="P91" i="84"/>
  <c r="P91" i="89"/>
  <c r="P91" i="113"/>
  <c r="P91" i="92"/>
  <c r="P91" i="83"/>
  <c r="P91" i="85"/>
  <c r="P91" i="87"/>
  <c r="P91" i="31"/>
  <c r="P91" i="50"/>
  <c r="P91" i="157"/>
  <c r="P91" i="14"/>
  <c r="P91" i="39"/>
  <c r="P91" i="167"/>
  <c r="P91" i="120"/>
  <c r="P91" i="98"/>
  <c r="P91" i="53"/>
  <c r="P91" i="178"/>
  <c r="P91" i="68"/>
  <c r="P91" i="94"/>
  <c r="P91" i="21"/>
  <c r="P91" i="65"/>
  <c r="P91" i="133"/>
  <c r="P91" i="37"/>
  <c r="P91" i="55"/>
  <c r="P91" i="177"/>
  <c r="P91" i="16"/>
  <c r="P91" i="19"/>
  <c r="P91" i="62"/>
  <c r="P91" i="71"/>
  <c r="P91" i="95"/>
  <c r="P91" i="15"/>
  <c r="P91" i="135"/>
  <c r="P91" i="64"/>
  <c r="P91" i="104"/>
  <c r="P91" i="38"/>
  <c r="P91" i="111"/>
  <c r="P91" i="49"/>
  <c r="P91" i="165"/>
  <c r="P91" i="158"/>
  <c r="P91" i="150"/>
  <c r="P91" i="43"/>
  <c r="P91" i="1"/>
  <c r="P91" i="145"/>
  <c r="P91" i="142"/>
  <c r="P91" i="103"/>
  <c r="P91" i="159"/>
  <c r="P91" i="119"/>
  <c r="P91" i="106"/>
  <c r="P91" i="86"/>
  <c r="P91" i="33"/>
  <c r="P91" i="20"/>
  <c r="P91" i="141"/>
  <c r="P123" i="136"/>
  <c r="P123" i="135"/>
  <c r="P123" i="157"/>
  <c r="P123" i="16"/>
  <c r="P123" i="21"/>
  <c r="P123" i="89"/>
  <c r="P123" i="95"/>
  <c r="P123" i="72"/>
  <c r="P123" i="155"/>
  <c r="P123" i="92"/>
  <c r="P123" i="46"/>
  <c r="P123" i="104"/>
  <c r="P123" i="20"/>
  <c r="P123" i="165"/>
  <c r="P123" i="103"/>
  <c r="P123" i="141"/>
  <c r="P123" i="106"/>
  <c r="P123" i="150"/>
  <c r="P123" i="55"/>
  <c r="P123" i="178"/>
  <c r="P123" i="152"/>
  <c r="P123" i="94"/>
  <c r="P123" i="85"/>
  <c r="P123" i="64"/>
  <c r="P123" i="19"/>
  <c r="P123" i="177"/>
  <c r="P123" i="98"/>
  <c r="P123" i="31"/>
  <c r="P123" i="142"/>
  <c r="P123" i="50"/>
  <c r="P123" i="164"/>
  <c r="P123" i="28"/>
  <c r="P123" i="57"/>
  <c r="P123" i="86"/>
  <c r="P123" i="111"/>
  <c r="P123" i="65"/>
  <c r="P123" i="84"/>
  <c r="P123" i="159"/>
  <c r="P123" i="175"/>
  <c r="P123" i="102"/>
  <c r="P123" i="33"/>
  <c r="P123" i="58"/>
  <c r="P123" i="54"/>
  <c r="P123" i="39"/>
  <c r="P123" i="87"/>
  <c r="P123" i="83"/>
  <c r="P123" i="47"/>
  <c r="P123" i="167"/>
  <c r="P123" i="27"/>
  <c r="P123" i="42"/>
  <c r="P123" i="43"/>
  <c r="P123" i="49"/>
  <c r="P123" i="37"/>
  <c r="P123" i="90"/>
  <c r="P123" i="32"/>
  <c r="P123" i="25"/>
  <c r="P123" i="158"/>
  <c r="P123" i="66"/>
  <c r="P123" i="38"/>
  <c r="P123" i="145"/>
  <c r="P123" i="119"/>
  <c r="P123" i="174"/>
  <c r="P123" i="53"/>
  <c r="P123" i="71"/>
  <c r="P123" i="133"/>
  <c r="P123" i="118"/>
  <c r="P123" i="1"/>
  <c r="P123" i="60"/>
  <c r="P123" i="62"/>
  <c r="P123" i="113"/>
  <c r="P123" i="15"/>
  <c r="P123" i="156"/>
  <c r="P123" i="68"/>
  <c r="P123" i="120"/>
  <c r="P123" i="63"/>
  <c r="P123" i="24"/>
  <c r="P123" i="14"/>
  <c r="P123" i="79"/>
  <c r="P26" i="54"/>
  <c r="P26" i="71"/>
  <c r="P26" i="135"/>
  <c r="P26" i="90"/>
  <c r="P26" i="46"/>
  <c r="P26" i="145"/>
  <c r="P26" i="50"/>
  <c r="P26" i="159"/>
  <c r="P26" i="119"/>
  <c r="P26" i="141"/>
  <c r="P26" i="178"/>
  <c r="P26" i="150"/>
  <c r="P26" i="27"/>
  <c r="P26" i="24"/>
  <c r="P26" i="43"/>
  <c r="P26" i="158"/>
  <c r="P26" i="37"/>
  <c r="P26" i="25"/>
  <c r="P26" i="63"/>
  <c r="P26" i="113"/>
  <c r="P26" i="120"/>
  <c r="P26" i="42"/>
  <c r="P26" i="53"/>
  <c r="P26" i="87"/>
  <c r="P26" i="152"/>
  <c r="P26" i="157"/>
  <c r="P26" i="83"/>
  <c r="P26" i="177"/>
  <c r="P26" i="32"/>
  <c r="P26" i="118"/>
  <c r="P26" i="31"/>
  <c r="P26" i="98"/>
  <c r="P26" i="60"/>
  <c r="P26" i="55"/>
  <c r="P26" i="103"/>
  <c r="P26" i="156"/>
  <c r="P26" i="106"/>
  <c r="P26" i="104"/>
  <c r="P26" i="92"/>
  <c r="P26" i="155"/>
  <c r="P26" i="174"/>
  <c r="P26" i="16"/>
  <c r="P26" i="94"/>
  <c r="P26" i="62"/>
  <c r="P26" i="64"/>
  <c r="P26" i="39"/>
  <c r="P26" i="47"/>
  <c r="P26" i="167"/>
  <c r="P26" i="1"/>
  <c r="P26" i="165"/>
  <c r="P26" i="79"/>
  <c r="P26" i="102"/>
  <c r="P26" i="20"/>
  <c r="P26" i="89"/>
  <c r="P26" i="57"/>
  <c r="P26" i="33"/>
  <c r="P26" i="58"/>
  <c r="P26" i="38"/>
  <c r="P26" i="28"/>
  <c r="P26" i="65"/>
  <c r="P26" i="133"/>
  <c r="P26" i="84"/>
  <c r="P26" i="142"/>
  <c r="P26" i="111"/>
  <c r="P26" i="164"/>
  <c r="P26" i="72"/>
  <c r="P26" i="19"/>
  <c r="P26" i="14"/>
  <c r="P26" i="21"/>
  <c r="P26" i="85"/>
  <c r="P26" i="15"/>
  <c r="P26" i="95"/>
  <c r="P26" i="86"/>
  <c r="P26" i="49"/>
  <c r="P26" i="68"/>
  <c r="P26" i="66"/>
  <c r="P26" i="136"/>
  <c r="P26" i="175"/>
  <c r="P71" i="178"/>
  <c r="P71" i="150"/>
  <c r="P71" i="66"/>
  <c r="P71" i="174"/>
  <c r="P71" i="65"/>
  <c r="P71" i="157"/>
  <c r="P71" i="158"/>
  <c r="P71" i="58"/>
  <c r="P71" i="55"/>
  <c r="P71" i="145"/>
  <c r="P71" i="92"/>
  <c r="P71" i="152"/>
  <c r="P71" i="33"/>
  <c r="P71" i="90"/>
  <c r="P71" i="20"/>
  <c r="P71" i="63"/>
  <c r="P71" i="113"/>
  <c r="P71" i="60"/>
  <c r="P71" i="136"/>
  <c r="P71" i="118"/>
  <c r="P71" i="95"/>
  <c r="P71" i="83"/>
  <c r="P71" i="43"/>
  <c r="P71" i="50"/>
  <c r="P71" i="37"/>
  <c r="P71" i="111"/>
  <c r="P71" i="89"/>
  <c r="P71" i="64"/>
  <c r="P71" i="119"/>
  <c r="P71" i="177"/>
  <c r="P71" i="104"/>
  <c r="P71" i="165"/>
  <c r="P71" i="155"/>
  <c r="P71" i="15"/>
  <c r="P71" i="49"/>
  <c r="P71" i="28"/>
  <c r="P71" i="85"/>
  <c r="P71" i="42"/>
  <c r="P71" i="1"/>
  <c r="P71" i="102"/>
  <c r="P71" i="94"/>
  <c r="P71" i="120"/>
  <c r="P71" i="62"/>
  <c r="P71" i="46"/>
  <c r="P71" i="79"/>
  <c r="P71" i="133"/>
  <c r="P71" i="141"/>
  <c r="P71" i="24"/>
  <c r="P71" i="84"/>
  <c r="P71" i="135"/>
  <c r="P71" i="14"/>
  <c r="P71" i="175"/>
  <c r="P71" i="103"/>
  <c r="P71" i="21"/>
  <c r="P71" i="47"/>
  <c r="P71" i="27"/>
  <c r="P71" i="87"/>
  <c r="P71" i="32"/>
  <c r="P71" i="86"/>
  <c r="P71" i="16"/>
  <c r="P71" i="164"/>
  <c r="P71" i="156"/>
  <c r="P71" i="142"/>
  <c r="P71" i="19"/>
  <c r="P71" i="68"/>
  <c r="P71" i="25"/>
  <c r="P71" i="159"/>
  <c r="P71" i="71"/>
  <c r="P71" i="53"/>
  <c r="P71" i="54"/>
  <c r="P71" i="72"/>
  <c r="P71" i="57"/>
  <c r="P71" i="31"/>
  <c r="P71" i="98"/>
  <c r="P71" i="38"/>
  <c r="P71" i="39"/>
  <c r="P71" i="106"/>
  <c r="P71" i="167"/>
  <c r="P52" i="164"/>
  <c r="P52" i="152"/>
  <c r="P52" i="92"/>
  <c r="P52" i="27"/>
  <c r="P52" i="64"/>
  <c r="P52" i="111"/>
  <c r="P52" i="57"/>
  <c r="P52" i="71"/>
  <c r="P52" i="118"/>
  <c r="P52" i="38"/>
  <c r="P52" i="157"/>
  <c r="P52" i="65"/>
  <c r="P52" i="58"/>
  <c r="P52" i="135"/>
  <c r="P52" i="15"/>
  <c r="P52" i="113"/>
  <c r="P52" i="16"/>
  <c r="P52" i="72"/>
  <c r="P52" i="14"/>
  <c r="P52" i="178"/>
  <c r="P52" i="90"/>
  <c r="P52" i="43"/>
  <c r="P52" i="24"/>
  <c r="P52" i="98"/>
  <c r="P52" i="79"/>
  <c r="P52" i="42"/>
  <c r="P52" i="55"/>
  <c r="P52" i="165"/>
  <c r="P52" i="63"/>
  <c r="P52" i="84"/>
  <c r="P52" i="155"/>
  <c r="P52" i="49"/>
  <c r="P52" i="159"/>
  <c r="P52" i="89"/>
  <c r="P52" i="47"/>
  <c r="P52" i="32"/>
  <c r="P52" i="136"/>
  <c r="P52" i="177"/>
  <c r="P52" i="175"/>
  <c r="P52" i="87"/>
  <c r="P52" i="68"/>
  <c r="P52" i="31"/>
  <c r="P52" i="50"/>
  <c r="P52" i="94"/>
  <c r="P52" i="60"/>
  <c r="P52" i="25"/>
  <c r="P52" i="133"/>
  <c r="P52" i="85"/>
  <c r="P52" i="20"/>
  <c r="P52" i="174"/>
  <c r="P52" i="33"/>
  <c r="P52" i="66"/>
  <c r="P52" i="150"/>
  <c r="P52" i="104"/>
  <c r="P52" i="53"/>
  <c r="P52" i="158"/>
  <c r="P52" i="167"/>
  <c r="P52" i="19"/>
  <c r="P52" i="106"/>
  <c r="P52" i="142"/>
  <c r="P52" i="21"/>
  <c r="P52" i="83"/>
  <c r="P52" i="120"/>
  <c r="P52" i="86"/>
  <c r="P52" i="28"/>
  <c r="P52" i="39"/>
  <c r="P52" i="62"/>
  <c r="P52" i="102"/>
  <c r="P52" i="95"/>
  <c r="P52" i="1"/>
  <c r="P52" i="46"/>
  <c r="P52" i="103"/>
  <c r="P52" i="119"/>
  <c r="P52" i="141"/>
  <c r="P52" i="156"/>
  <c r="P52" i="37"/>
  <c r="P52" i="145"/>
  <c r="P52" i="54"/>
  <c r="P199" i="156"/>
  <c r="P199" i="167"/>
  <c r="P199" i="21"/>
  <c r="P199" i="104"/>
  <c r="P199" i="136"/>
  <c r="P199" i="64"/>
  <c r="P199" i="85"/>
  <c r="P199" i="106"/>
  <c r="P199" i="63"/>
  <c r="P199" i="84"/>
  <c r="P199" i="98"/>
  <c r="P199" i="62"/>
  <c r="P199" i="158"/>
  <c r="P199" i="164"/>
  <c r="P199" i="119"/>
  <c r="P199" i="65"/>
  <c r="P199" i="141"/>
  <c r="P199" i="83"/>
  <c r="P199" i="175"/>
  <c r="P199" i="46"/>
  <c r="P199" i="155"/>
  <c r="P199" i="20"/>
  <c r="P199" i="111"/>
  <c r="P199" i="79"/>
  <c r="P199" i="25"/>
  <c r="P199" i="57"/>
  <c r="P199" i="49"/>
  <c r="P199" i="32"/>
  <c r="P199" i="53"/>
  <c r="P199" i="159"/>
  <c r="P199" i="89"/>
  <c r="P199" i="95"/>
  <c r="P199" i="15"/>
  <c r="P199" i="142"/>
  <c r="P199" i="58"/>
  <c r="P199" i="90"/>
  <c r="P199" i="54"/>
  <c r="P199" i="42"/>
  <c r="P199" i="177"/>
  <c r="P199" i="16"/>
  <c r="P199" i="28"/>
  <c r="P199" i="135"/>
  <c r="P199" i="71"/>
  <c r="P199" i="14"/>
  <c r="P199" i="102"/>
  <c r="P199" i="72"/>
  <c r="P199" i="60"/>
  <c r="P199" i="118"/>
  <c r="P199" i="19"/>
  <c r="P199" i="92"/>
  <c r="P199" i="103"/>
  <c r="P199" i="152"/>
  <c r="P199" i="31"/>
  <c r="P199" i="39"/>
  <c r="P199" i="157"/>
  <c r="P199" i="38"/>
  <c r="P199" i="178"/>
  <c r="P199" i="145"/>
  <c r="P199" i="68"/>
  <c r="P199" i="66"/>
  <c r="P199" i="165"/>
  <c r="P199" i="150"/>
  <c r="P199" i="43"/>
  <c r="P199" i="174"/>
  <c r="P199" i="37"/>
  <c r="P199" i="86"/>
  <c r="P199" i="47"/>
  <c r="P199" i="55"/>
  <c r="P199" i="27"/>
  <c r="P199" i="50"/>
  <c r="P199" i="113"/>
  <c r="P199" i="24"/>
  <c r="P199" i="33"/>
  <c r="P199" i="133"/>
  <c r="P199" i="1"/>
  <c r="P199" i="94"/>
  <c r="P199" i="120"/>
  <c r="P199" i="87"/>
  <c r="P120" i="178"/>
  <c r="P120" i="159"/>
  <c r="P120" i="92"/>
  <c r="P120" i="104"/>
  <c r="P120" i="157"/>
  <c r="P120" i="113"/>
  <c r="P120" i="111"/>
  <c r="P120" i="175"/>
  <c r="P120" i="38"/>
  <c r="P120" i="164"/>
  <c r="P120" i="55"/>
  <c r="P120" i="1"/>
  <c r="P120" i="50"/>
  <c r="P120" i="158"/>
  <c r="P120" i="87"/>
  <c r="P120" i="155"/>
  <c r="P120" i="53"/>
  <c r="P120" i="31"/>
  <c r="P120" i="150"/>
  <c r="P120" i="120"/>
  <c r="P120" i="42"/>
  <c r="P120" i="145"/>
  <c r="P120" i="103"/>
  <c r="P120" i="62"/>
  <c r="P120" i="64"/>
  <c r="P120" i="152"/>
  <c r="P120" i="174"/>
  <c r="P120" i="66"/>
  <c r="P120" i="142"/>
  <c r="P120" i="43"/>
  <c r="P120" i="106"/>
  <c r="P120" i="89"/>
  <c r="P120" i="98"/>
  <c r="P120" i="25"/>
  <c r="P120" i="21"/>
  <c r="P120" i="119"/>
  <c r="P120" i="118"/>
  <c r="P120" i="20"/>
  <c r="P120" i="49"/>
  <c r="P120" i="63"/>
  <c r="P120" i="60"/>
  <c r="P120" i="133"/>
  <c r="P120" i="83"/>
  <c r="P120" i="27"/>
  <c r="P120" i="71"/>
  <c r="P120" i="167"/>
  <c r="P120" i="85"/>
  <c r="P120" i="68"/>
  <c r="P120" i="65"/>
  <c r="P120" i="19"/>
  <c r="P120" i="94"/>
  <c r="P120" i="141"/>
  <c r="P120" i="135"/>
  <c r="P120" i="86"/>
  <c r="P120" i="33"/>
  <c r="P120" i="84"/>
  <c r="P120" i="136"/>
  <c r="P120" i="37"/>
  <c r="P120" i="46"/>
  <c r="P120" i="15"/>
  <c r="P120" i="102"/>
  <c r="P120" i="95"/>
  <c r="P120" i="72"/>
  <c r="P120" i="28"/>
  <c r="P120" i="39"/>
  <c r="P120" i="32"/>
  <c r="P120" i="177"/>
  <c r="P120" i="54"/>
  <c r="P120" i="16"/>
  <c r="P120" i="58"/>
  <c r="P120" i="90"/>
  <c r="P120" i="24"/>
  <c r="P120" i="57"/>
  <c r="P120" i="165"/>
  <c r="P120" i="14"/>
  <c r="P120" i="79"/>
  <c r="P120" i="156"/>
  <c r="P120" i="47"/>
  <c r="P81" i="164"/>
  <c r="P81" i="145"/>
  <c r="P81" i="31"/>
  <c r="P81" i="98"/>
  <c r="P81" i="64"/>
  <c r="P81" i="94"/>
  <c r="P81" i="47"/>
  <c r="P81" i="20"/>
  <c r="P81" i="79"/>
  <c r="P81" i="156"/>
  <c r="P81" i="57"/>
  <c r="P81" i="157"/>
  <c r="P81" i="68"/>
  <c r="P81" i="87"/>
  <c r="P81" i="66"/>
  <c r="P81" i="15"/>
  <c r="P81" i="24"/>
  <c r="P81" i="55"/>
  <c r="P81" i="28"/>
  <c r="P81" i="120"/>
  <c r="P81" i="142"/>
  <c r="P81" i="113"/>
  <c r="P81" i="174"/>
  <c r="P81" i="33"/>
  <c r="P81" i="32"/>
  <c r="P81" i="60"/>
  <c r="P81" i="165"/>
  <c r="P81" i="155"/>
  <c r="P81" i="16"/>
  <c r="P81" i="104"/>
  <c r="P81" i="111"/>
  <c r="P81" i="102"/>
  <c r="P81" i="43"/>
  <c r="P81" i="42"/>
  <c r="P81" i="63"/>
  <c r="P81" i="177"/>
  <c r="P81" i="150"/>
  <c r="P81" i="84"/>
  <c r="P81" i="1"/>
  <c r="P81" i="71"/>
  <c r="P81" i="50"/>
  <c r="P81" i="19"/>
  <c r="P81" i="72"/>
  <c r="P81" i="85"/>
  <c r="P81" i="89"/>
  <c r="P81" i="65"/>
  <c r="P81" i="178"/>
  <c r="P81" i="62"/>
  <c r="P81" i="135"/>
  <c r="P81" i="175"/>
  <c r="P81" i="118"/>
  <c r="P81" i="39"/>
  <c r="P81" i="90"/>
  <c r="P81" i="54"/>
  <c r="P81" i="158"/>
  <c r="P81" i="38"/>
  <c r="P81" i="37"/>
  <c r="P81" i="167"/>
  <c r="P81" i="133"/>
  <c r="P81" i="136"/>
  <c r="P81" i="83"/>
  <c r="P81" i="103"/>
  <c r="P81" i="86"/>
  <c r="P81" i="152"/>
  <c r="P81" i="119"/>
  <c r="P81" i="46"/>
  <c r="P81" i="25"/>
  <c r="P81" i="49"/>
  <c r="P81" i="106"/>
  <c r="P81" i="14"/>
  <c r="P81" i="95"/>
  <c r="P81" i="21"/>
  <c r="P81" i="58"/>
  <c r="P81" i="92"/>
  <c r="P81" i="27"/>
  <c r="P81" i="141"/>
  <c r="P81" i="53"/>
  <c r="P81" i="159"/>
  <c r="P128" i="95"/>
  <c r="P128" i="159"/>
  <c r="P128" i="53"/>
  <c r="P128" i="84"/>
  <c r="P128" i="174"/>
  <c r="P128" i="21"/>
  <c r="P128" i="155"/>
  <c r="P128" i="106"/>
  <c r="P128" i="32"/>
  <c r="P128" i="177"/>
  <c r="P128" i="136"/>
  <c r="P128" i="157"/>
  <c r="P128" i="60"/>
  <c r="P128" i="98"/>
  <c r="P128" i="142"/>
  <c r="P128" i="49"/>
  <c r="P128" i="46"/>
  <c r="P128" i="62"/>
  <c r="P128" i="85"/>
  <c r="P128" i="68"/>
  <c r="P128" i="119"/>
  <c r="P128" i="38"/>
  <c r="P128" i="25"/>
  <c r="P128" i="145"/>
  <c r="P128" i="90"/>
  <c r="P128" i="65"/>
  <c r="P128" i="57"/>
  <c r="P128" i="133"/>
  <c r="P128" i="24"/>
  <c r="P128" i="54"/>
  <c r="P128" i="14"/>
  <c r="P128" i="120"/>
  <c r="P128" i="31"/>
  <c r="P128" i="15"/>
  <c r="P128" i="64"/>
  <c r="P128" i="47"/>
  <c r="P128" i="102"/>
  <c r="P128" i="58"/>
  <c r="P128" i="37"/>
  <c r="P128" i="152"/>
  <c r="P128" i="71"/>
  <c r="P128" i="16"/>
  <c r="P128" i="86"/>
  <c r="P128" i="164"/>
  <c r="P128" i="66"/>
  <c r="P128" i="19"/>
  <c r="P128" i="1"/>
  <c r="P128" i="104"/>
  <c r="P128" i="103"/>
  <c r="P128" i="28"/>
  <c r="P128" i="20"/>
  <c r="P128" i="158"/>
  <c r="P128" i="55"/>
  <c r="P128" i="27"/>
  <c r="P128" i="72"/>
  <c r="P128" i="150"/>
  <c r="P128" i="178"/>
  <c r="P128" i="39"/>
  <c r="P128" i="94"/>
  <c r="P128" i="92"/>
  <c r="P128" i="118"/>
  <c r="P128" i="167"/>
  <c r="P128" i="87"/>
  <c r="P128" i="63"/>
  <c r="P128" i="83"/>
  <c r="P128" i="33"/>
  <c r="P128" i="135"/>
  <c r="P128" i="79"/>
  <c r="P128" i="113"/>
  <c r="P128" i="111"/>
  <c r="P128" i="89"/>
  <c r="P128" i="165"/>
  <c r="P128" i="42"/>
  <c r="P128" i="175"/>
  <c r="P128" i="43"/>
  <c r="P128" i="141"/>
  <c r="P128" i="156"/>
  <c r="P128" i="50"/>
  <c r="P102" i="178"/>
  <c r="P102" i="71"/>
  <c r="P102" i="39"/>
  <c r="P102" i="28"/>
  <c r="P102" i="156"/>
  <c r="P102" i="37"/>
  <c r="P102" i="38"/>
  <c r="P102" i="89"/>
  <c r="P102" i="42"/>
  <c r="P102" i="145"/>
  <c r="P102" i="141"/>
  <c r="P102" i="58"/>
  <c r="P102" i="86"/>
  <c r="P102" i="27"/>
  <c r="P102" i="175"/>
  <c r="P102" i="92"/>
  <c r="P102" i="152"/>
  <c r="P102" i="136"/>
  <c r="P102" i="167"/>
  <c r="P102" i="21"/>
  <c r="P102" i="94"/>
  <c r="P102" i="25"/>
  <c r="P102" i="113"/>
  <c r="P102" i="155"/>
  <c r="P102" i="55"/>
  <c r="P102" i="120"/>
  <c r="P102" i="62"/>
  <c r="P102" i="57"/>
  <c r="P102" i="63"/>
  <c r="P102" i="83"/>
  <c r="P102" i="87"/>
  <c r="P102" i="174"/>
  <c r="P102" i="1"/>
  <c r="P102" i="33"/>
  <c r="P102" i="104"/>
  <c r="P102" i="66"/>
  <c r="P102" i="85"/>
  <c r="P102" i="68"/>
  <c r="P102" i="19"/>
  <c r="P102" i="49"/>
  <c r="P102" i="150"/>
  <c r="P102" i="111"/>
  <c r="P102" i="20"/>
  <c r="P102" i="65"/>
  <c r="P102" i="164"/>
  <c r="P102" i="142"/>
  <c r="P102" i="24"/>
  <c r="P102" i="43"/>
  <c r="P102" i="106"/>
  <c r="P102" i="158"/>
  <c r="P102" i="31"/>
  <c r="P102" i="15"/>
  <c r="P102" i="64"/>
  <c r="P102" i="84"/>
  <c r="P102" i="103"/>
  <c r="P102" i="72"/>
  <c r="P102" i="50"/>
  <c r="P102" i="32"/>
  <c r="P102" i="133"/>
  <c r="P102" i="16"/>
  <c r="P102" i="165"/>
  <c r="P102" i="79"/>
  <c r="P102" i="53"/>
  <c r="P102" i="177"/>
  <c r="P102" i="135"/>
  <c r="P102" i="54"/>
  <c r="P102" i="95"/>
  <c r="P102" i="47"/>
  <c r="P102" i="98"/>
  <c r="P102" i="60"/>
  <c r="P102" i="119"/>
  <c r="P102" i="157"/>
  <c r="P102" i="14"/>
  <c r="P102" i="159"/>
  <c r="P102" i="46"/>
  <c r="P102" i="102"/>
  <c r="P102" i="118"/>
  <c r="P102" i="90"/>
  <c r="P148" i="150"/>
  <c r="P148" i="136"/>
  <c r="P148" i="133"/>
  <c r="P148" i="119"/>
  <c r="P148" i="83"/>
  <c r="P148" i="50"/>
  <c r="P148" i="120"/>
  <c r="P148" i="24"/>
  <c r="P148" i="47"/>
  <c r="P148" i="16"/>
  <c r="P148" i="1"/>
  <c r="P148" i="71"/>
  <c r="P148" i="63"/>
  <c r="P148" i="178"/>
  <c r="P148" i="106"/>
  <c r="P148" i="19"/>
  <c r="P148" i="43"/>
  <c r="P148" i="102"/>
  <c r="P148" i="21"/>
  <c r="P148" i="92"/>
  <c r="P148" i="98"/>
  <c r="P148" i="95"/>
  <c r="P148" i="94"/>
  <c r="P148" i="152"/>
  <c r="P148" i="135"/>
  <c r="P148" i="68"/>
  <c r="P148" i="46"/>
  <c r="P148" i="32"/>
  <c r="P148" i="28"/>
  <c r="P148" i="158"/>
  <c r="P148" i="27"/>
  <c r="P148" i="38"/>
  <c r="P148" i="104"/>
  <c r="P148" i="118"/>
  <c r="P148" i="25"/>
  <c r="P148" i="155"/>
  <c r="P148" i="20"/>
  <c r="P148" i="84"/>
  <c r="P148" i="85"/>
  <c r="P148" i="39"/>
  <c r="P148" i="89"/>
  <c r="P148" i="145"/>
  <c r="P148" i="14"/>
  <c r="P148" i="31"/>
  <c r="P148" i="15"/>
  <c r="P148" i="66"/>
  <c r="P148" i="72"/>
  <c r="P148" i="174"/>
  <c r="P148" i="159"/>
  <c r="P148" i="142"/>
  <c r="P148" i="87"/>
  <c r="P148" i="33"/>
  <c r="P148" i="167"/>
  <c r="P148" i="165"/>
  <c r="P148" i="86"/>
  <c r="P148" i="157"/>
  <c r="P148" i="54"/>
  <c r="P148" i="65"/>
  <c r="P148" i="55"/>
  <c r="P148" i="60"/>
  <c r="P148" i="62"/>
  <c r="P148" i="164"/>
  <c r="P148" i="57"/>
  <c r="P148" i="79"/>
  <c r="P148" i="111"/>
  <c r="P148" i="103"/>
  <c r="P148" i="58"/>
  <c r="P148" i="175"/>
  <c r="P148" i="156"/>
  <c r="P148" i="113"/>
  <c r="P148" i="42"/>
  <c r="P148" i="64"/>
  <c r="P148" i="141"/>
  <c r="P148" i="37"/>
  <c r="P148" i="90"/>
  <c r="P148" i="177"/>
  <c r="P148" i="49"/>
  <c r="P148" i="53"/>
  <c r="P94" i="55"/>
  <c r="P94" i="94"/>
  <c r="P94" i="19"/>
  <c r="P94" i="62"/>
  <c r="P94" i="54"/>
  <c r="P94" i="42"/>
  <c r="P94" i="84"/>
  <c r="P94" i="118"/>
  <c r="P94" i="104"/>
  <c r="P94" i="37"/>
  <c r="P94" i="95"/>
  <c r="P94" i="16"/>
  <c r="P94" i="102"/>
  <c r="P94" i="63"/>
  <c r="P94" i="66"/>
  <c r="P94" i="46"/>
  <c r="P94" i="145"/>
  <c r="P94" i="15"/>
  <c r="P94" i="113"/>
  <c r="P94" i="89"/>
  <c r="P94" i="65"/>
  <c r="P94" i="25"/>
  <c r="P94" i="119"/>
  <c r="P94" i="60"/>
  <c r="P94" i="58"/>
  <c r="P94" i="152"/>
  <c r="P94" i="21"/>
  <c r="P94" i="71"/>
  <c r="P94" i="133"/>
  <c r="P94" i="111"/>
  <c r="P94" i="87"/>
  <c r="P94" i="79"/>
  <c r="P94" i="27"/>
  <c r="P94" i="106"/>
  <c r="P94" i="158"/>
  <c r="P94" i="49"/>
  <c r="P94" i="38"/>
  <c r="P94" i="157"/>
  <c r="P94" i="167"/>
  <c r="P94" i="14"/>
  <c r="P94" i="155"/>
  <c r="P94" i="32"/>
  <c r="P94" i="31"/>
  <c r="P94" i="57"/>
  <c r="P94" i="20"/>
  <c r="P94" i="28"/>
  <c r="P94" i="174"/>
  <c r="P94" i="85"/>
  <c r="P94" i="120"/>
  <c r="P94" i="178"/>
  <c r="P94" i="164"/>
  <c r="P94" i="136"/>
  <c r="P94" i="177"/>
  <c r="P94" i="86"/>
  <c r="P94" i="39"/>
  <c r="P94" i="47"/>
  <c r="P94" i="24"/>
  <c r="P94" i="64"/>
  <c r="P94" i="156"/>
  <c r="P94" i="150"/>
  <c r="P94" i="53"/>
  <c r="P94" i="165"/>
  <c r="P94" i="159"/>
  <c r="P94" i="50"/>
  <c r="P94" i="72"/>
  <c r="P94" i="98"/>
  <c r="P94" i="142"/>
  <c r="P94" i="83"/>
  <c r="P94" i="1"/>
  <c r="P94" i="103"/>
  <c r="P94" i="43"/>
  <c r="P94" i="68"/>
  <c r="P94" i="135"/>
  <c r="P94" i="33"/>
  <c r="P94" i="92"/>
  <c r="P94" i="90"/>
  <c r="P94" i="175"/>
  <c r="P94" i="141"/>
  <c r="P42" i="152"/>
  <c r="P42" i="79"/>
  <c r="P42" i="33"/>
  <c r="P42" i="145"/>
  <c r="P42" i="49"/>
  <c r="P42" i="156"/>
  <c r="P42" i="103"/>
  <c r="P42" i="14"/>
  <c r="P42" i="142"/>
  <c r="P42" i="46"/>
  <c r="P42" i="165"/>
  <c r="P42" i="118"/>
  <c r="P42" i="90"/>
  <c r="P42" i="177"/>
  <c r="P42" i="54"/>
  <c r="P42" i="42"/>
  <c r="P42" i="57"/>
  <c r="P42" i="94"/>
  <c r="P42" i="38"/>
  <c r="P42" i="71"/>
  <c r="P42" i="87"/>
  <c r="P42" i="178"/>
  <c r="P42" i="62"/>
  <c r="P42" i="155"/>
  <c r="P42" i="111"/>
  <c r="P42" i="20"/>
  <c r="P42" i="15"/>
  <c r="P42" i="28"/>
  <c r="P42" i="32"/>
  <c r="P42" i="43"/>
  <c r="P42" i="164"/>
  <c r="P42" i="19"/>
  <c r="P42" i="106"/>
  <c r="P42" i="150"/>
  <c r="P42" i="95"/>
  <c r="P42" i="1"/>
  <c r="P42" i="167"/>
  <c r="P42" i="136"/>
  <c r="P42" i="39"/>
  <c r="P42" i="120"/>
  <c r="P42" i="60"/>
  <c r="P42" i="174"/>
  <c r="P42" i="119"/>
  <c r="P42" i="65"/>
  <c r="P42" i="102"/>
  <c r="P42" i="31"/>
  <c r="P42" i="21"/>
  <c r="P42" i="86"/>
  <c r="P42" i="157"/>
  <c r="P42" i="63"/>
  <c r="P42" i="24"/>
  <c r="P42" i="104"/>
  <c r="P42" i="83"/>
  <c r="P42" i="92"/>
  <c r="P42" i="135"/>
  <c r="P42" i="133"/>
  <c r="P42" i="98"/>
  <c r="P42" i="113"/>
  <c r="P42" i="25"/>
  <c r="P42" i="37"/>
  <c r="P42" i="68"/>
  <c r="P42" i="175"/>
  <c r="P42" i="27"/>
  <c r="P42" i="64"/>
  <c r="P42" i="55"/>
  <c r="P42" i="47"/>
  <c r="P42" i="85"/>
  <c r="P42" i="16"/>
  <c r="P42" i="89"/>
  <c r="P42" i="53"/>
  <c r="P42" i="84"/>
  <c r="P42" i="58"/>
  <c r="P42" i="50"/>
  <c r="P42" i="66"/>
  <c r="P42" i="158"/>
  <c r="P42" i="159"/>
  <c r="P42" i="72"/>
  <c r="P42" i="141"/>
  <c r="P58" i="158"/>
  <c r="P58" i="156"/>
  <c r="P58" i="103"/>
  <c r="P58" i="106"/>
  <c r="P58" i="19"/>
  <c r="P58" i="49"/>
  <c r="P58" i="21"/>
  <c r="P58" i="94"/>
  <c r="P58" i="15"/>
  <c r="P58" i="113"/>
  <c r="P58" i="159"/>
  <c r="P58" i="28"/>
  <c r="P58" i="16"/>
  <c r="P58" i="119"/>
  <c r="P58" i="55"/>
  <c r="P58" i="89"/>
  <c r="P58" i="155"/>
  <c r="P58" i="32"/>
  <c r="P58" i="164"/>
  <c r="P58" i="145"/>
  <c r="P58" i="47"/>
  <c r="P58" i="57"/>
  <c r="P58" i="46"/>
  <c r="P58" i="136"/>
  <c r="P58" i="135"/>
  <c r="P58" i="33"/>
  <c r="P58" i="83"/>
  <c r="P58" i="42"/>
  <c r="P58" i="167"/>
  <c r="P58" i="102"/>
  <c r="P58" i="142"/>
  <c r="P58" i="133"/>
  <c r="P58" i="90"/>
  <c r="P58" i="63"/>
  <c r="P58" i="54"/>
  <c r="P58" i="60"/>
  <c r="P58" i="95"/>
  <c r="P58" i="178"/>
  <c r="P58" i="165"/>
  <c r="P58" i="152"/>
  <c r="P58" i="37"/>
  <c r="P58" i="79"/>
  <c r="P58" i="141"/>
  <c r="P58" i="64"/>
  <c r="P58" i="20"/>
  <c r="P58" i="86"/>
  <c r="P58" i="87"/>
  <c r="P58" i="66"/>
  <c r="P58" i="174"/>
  <c r="P58" i="175"/>
  <c r="P58" i="62"/>
  <c r="P58" i="72"/>
  <c r="P58" i="58"/>
  <c r="P58" i="68"/>
  <c r="P58" i="104"/>
  <c r="P58" i="39"/>
  <c r="P58" i="65"/>
  <c r="P58" i="71"/>
  <c r="P58" i="98"/>
  <c r="P58" i="111"/>
  <c r="P58" i="50"/>
  <c r="P58" i="84"/>
  <c r="P58" i="27"/>
  <c r="P58" i="118"/>
  <c r="P58" i="24"/>
  <c r="P58" i="25"/>
  <c r="P58" i="177"/>
  <c r="P58" i="92"/>
  <c r="P58" i="157"/>
  <c r="P58" i="120"/>
  <c r="P58" i="53"/>
  <c r="P58" i="1"/>
  <c r="P58" i="38"/>
  <c r="P58" i="150"/>
  <c r="P58" i="14"/>
  <c r="P58" i="85"/>
  <c r="P58" i="43"/>
  <c r="P58" i="31"/>
  <c r="P206" i="46"/>
  <c r="P206" i="174"/>
  <c r="P206" i="21"/>
  <c r="P206" i="79"/>
  <c r="P206" i="177"/>
  <c r="P206" i="71"/>
  <c r="P206" i="175"/>
  <c r="P206" i="135"/>
  <c r="P206" i="65"/>
  <c r="P206" i="14"/>
  <c r="P206" i="64"/>
  <c r="P206" i="62"/>
  <c r="P206" i="145"/>
  <c r="P206" i="68"/>
  <c r="P206" i="86"/>
  <c r="P206" i="27"/>
  <c r="P206" i="63"/>
  <c r="P206" i="39"/>
  <c r="P206" i="84"/>
  <c r="P206" i="24"/>
  <c r="P206" i="58"/>
  <c r="P206" i="19"/>
  <c r="P206" i="32"/>
  <c r="P206" i="20"/>
  <c r="P206" i="113"/>
  <c r="P206" i="55"/>
  <c r="P206" i="155"/>
  <c r="P206" i="92"/>
  <c r="P206" i="15"/>
  <c r="P206" i="141"/>
  <c r="P206" i="94"/>
  <c r="P206" i="150"/>
  <c r="P206" i="47"/>
  <c r="P206" i="38"/>
  <c r="P206" i="66"/>
  <c r="P206" i="178"/>
  <c r="P206" i="83"/>
  <c r="P206" i="50"/>
  <c r="P206" i="53"/>
  <c r="P206" i="72"/>
  <c r="P206" i="31"/>
  <c r="P206" i="142"/>
  <c r="P206" i="60"/>
  <c r="P206" i="120"/>
  <c r="P206" i="49"/>
  <c r="P206" i="103"/>
  <c r="P206" i="98"/>
  <c r="P206" i="136"/>
  <c r="P206" i="156"/>
  <c r="P206" i="1"/>
  <c r="P206" i="158"/>
  <c r="P206" i="85"/>
  <c r="P206" i="102"/>
  <c r="P206" i="28"/>
  <c r="P206" i="95"/>
  <c r="P206" i="133"/>
  <c r="P206" i="159"/>
  <c r="P206" i="164"/>
  <c r="P206" i="57"/>
  <c r="P206" i="42"/>
  <c r="P206" i="37"/>
  <c r="P206" i="167"/>
  <c r="P206" i="54"/>
  <c r="P206" i="119"/>
  <c r="P206" i="104"/>
  <c r="P206" i="90"/>
  <c r="P206" i="16"/>
  <c r="P206" i="152"/>
  <c r="P206" i="33"/>
  <c r="P206" i="111"/>
  <c r="P206" i="157"/>
  <c r="P206" i="87"/>
  <c r="P206" i="89"/>
  <c r="P206" i="43"/>
  <c r="P206" i="118"/>
  <c r="P206" i="106"/>
  <c r="P206" i="165"/>
  <c r="P206" i="25"/>
  <c r="P31" i="178"/>
  <c r="P31" i="33"/>
  <c r="P31" i="14"/>
  <c r="P31" i="167"/>
  <c r="P31" i="104"/>
  <c r="P31" i="71"/>
  <c r="P31" i="50"/>
  <c r="P31" i="158"/>
  <c r="P31" i="133"/>
  <c r="P31" i="141"/>
  <c r="P31" i="79"/>
  <c r="P31" i="63"/>
  <c r="P31" i="156"/>
  <c r="P31" i="120"/>
  <c r="P31" i="49"/>
  <c r="P31" i="85"/>
  <c r="P31" i="1"/>
  <c r="P31" i="24"/>
  <c r="P31" i="157"/>
  <c r="P31" i="164"/>
  <c r="P31" i="58"/>
  <c r="P31" i="118"/>
  <c r="P31" i="177"/>
  <c r="P31" i="165"/>
  <c r="P31" i="90"/>
  <c r="P31" i="68"/>
  <c r="P31" i="72"/>
  <c r="P31" i="53"/>
  <c r="P31" i="106"/>
  <c r="P31" i="142"/>
  <c r="P31" i="84"/>
  <c r="P31" i="83"/>
  <c r="P31" i="39"/>
  <c r="P31" i="145"/>
  <c r="P31" i="60"/>
  <c r="P31" i="92"/>
  <c r="P31" i="86"/>
  <c r="P31" i="159"/>
  <c r="P31" i="55"/>
  <c r="P31" i="38"/>
  <c r="P31" i="21"/>
  <c r="P31" i="37"/>
  <c r="P31" i="94"/>
  <c r="P31" i="174"/>
  <c r="P31" i="20"/>
  <c r="P31" i="98"/>
  <c r="P31" i="62"/>
  <c r="P31" i="47"/>
  <c r="P31" i="15"/>
  <c r="P31" i="31"/>
  <c r="P31" i="25"/>
  <c r="P31" i="111"/>
  <c r="P31" i="42"/>
  <c r="P31" i="113"/>
  <c r="P31" i="19"/>
  <c r="P31" i="136"/>
  <c r="P31" i="119"/>
  <c r="P31" i="87"/>
  <c r="P31" i="152"/>
  <c r="P31" i="46"/>
  <c r="P31" i="54"/>
  <c r="P31" i="32"/>
  <c r="P31" i="65"/>
  <c r="P31" i="95"/>
  <c r="P31" i="135"/>
  <c r="P31" i="89"/>
  <c r="P31" i="43"/>
  <c r="P31" i="16"/>
  <c r="P31" i="102"/>
  <c r="P31" i="64"/>
  <c r="P31" i="66"/>
  <c r="P31" i="155"/>
  <c r="P31" i="150"/>
  <c r="P31" i="103"/>
  <c r="P31" i="27"/>
  <c r="P31" i="175"/>
  <c r="P31" i="28"/>
  <c r="P31" i="57"/>
  <c r="P135" i="15"/>
  <c r="P135" i="42"/>
  <c r="P135" i="111"/>
  <c r="P135" i="155"/>
  <c r="P135" i="28"/>
  <c r="P135" i="68"/>
  <c r="P135" i="104"/>
  <c r="P135" i="120"/>
  <c r="P135" i="24"/>
  <c r="P135" i="64"/>
  <c r="P135" i="32"/>
  <c r="P135" i="145"/>
  <c r="P135" i="141"/>
  <c r="P135" i="47"/>
  <c r="P135" i="175"/>
  <c r="P135" i="85"/>
  <c r="P135" i="65"/>
  <c r="P135" i="54"/>
  <c r="P135" i="62"/>
  <c r="P135" i="136"/>
  <c r="P135" i="156"/>
  <c r="P135" i="178"/>
  <c r="P135" i="1"/>
  <c r="P135" i="71"/>
  <c r="P135" i="21"/>
  <c r="P135" i="16"/>
  <c r="P135" i="152"/>
  <c r="P135" i="94"/>
  <c r="P135" i="103"/>
  <c r="P135" i="119"/>
  <c r="P135" i="84"/>
  <c r="P135" i="38"/>
  <c r="P135" i="53"/>
  <c r="P135" i="118"/>
  <c r="P135" i="33"/>
  <c r="P135" i="60"/>
  <c r="P135" i="167"/>
  <c r="P135" i="46"/>
  <c r="P135" i="165"/>
  <c r="P135" i="86"/>
  <c r="P135" i="142"/>
  <c r="P135" i="92"/>
  <c r="P135" i="102"/>
  <c r="P135" i="72"/>
  <c r="P135" i="31"/>
  <c r="P135" i="90"/>
  <c r="P135" i="164"/>
  <c r="P135" i="135"/>
  <c r="P135" i="106"/>
  <c r="P135" i="27"/>
  <c r="P135" i="79"/>
  <c r="P135" i="113"/>
  <c r="P135" i="177"/>
  <c r="P135" i="49"/>
  <c r="P135" i="89"/>
  <c r="P135" i="39"/>
  <c r="P135" i="43"/>
  <c r="P135" i="133"/>
  <c r="P135" i="55"/>
  <c r="P135" i="14"/>
  <c r="P135" i="159"/>
  <c r="P135" i="58"/>
  <c r="P135" i="20"/>
  <c r="P135" i="95"/>
  <c r="P135" i="57"/>
  <c r="P135" i="37"/>
  <c r="P135" i="150"/>
  <c r="P135" i="157"/>
  <c r="P135" i="87"/>
  <c r="P135" i="174"/>
  <c r="P135" i="19"/>
  <c r="P135" i="25"/>
  <c r="P135" i="50"/>
  <c r="P135" i="158"/>
  <c r="P135" i="83"/>
  <c r="P135" i="98"/>
  <c r="P135" i="66"/>
  <c r="P135" i="63"/>
  <c r="P130" i="1"/>
  <c r="P130" i="20"/>
  <c r="P130" i="53"/>
  <c r="P130" i="95"/>
  <c r="P130" i="68"/>
  <c r="P130" i="37"/>
  <c r="P130" i="136"/>
  <c r="P130" i="157"/>
  <c r="P130" i="16"/>
  <c r="P130" i="177"/>
  <c r="P130" i="27"/>
  <c r="P130" i="72"/>
  <c r="P130" i="21"/>
  <c r="P130" i="152"/>
  <c r="P130" i="15"/>
  <c r="P130" i="92"/>
  <c r="P130" i="94"/>
  <c r="P130" i="46"/>
  <c r="P130" i="135"/>
  <c r="P130" i="63"/>
  <c r="P130" i="178"/>
  <c r="P130" i="175"/>
  <c r="P130" i="111"/>
  <c r="P130" i="103"/>
  <c r="P130" i="156"/>
  <c r="P130" i="60"/>
  <c r="P130" i="64"/>
  <c r="P130" i="159"/>
  <c r="P130" i="142"/>
  <c r="P130" i="71"/>
  <c r="P130" i="141"/>
  <c r="P130" i="133"/>
  <c r="P130" i="89"/>
  <c r="P130" i="155"/>
  <c r="P130" i="84"/>
  <c r="P130" i="25"/>
  <c r="P130" i="55"/>
  <c r="P130" i="79"/>
  <c r="P130" i="47"/>
  <c r="P130" i="31"/>
  <c r="P130" i="14"/>
  <c r="P130" i="57"/>
  <c r="P130" i="39"/>
  <c r="P130" i="158"/>
  <c r="P130" i="42"/>
  <c r="P130" i="62"/>
  <c r="P130" i="24"/>
  <c r="P130" i="87"/>
  <c r="P130" i="58"/>
  <c r="P130" i="85"/>
  <c r="P130" i="19"/>
  <c r="P130" i="102"/>
  <c r="P130" i="65"/>
  <c r="P130" i="150"/>
  <c r="P130" i="120"/>
  <c r="P130" i="118"/>
  <c r="P130" i="167"/>
  <c r="P130" i="164"/>
  <c r="P130" i="54"/>
  <c r="P130" i="165"/>
  <c r="P130" i="98"/>
  <c r="P130" i="50"/>
  <c r="P130" i="86"/>
  <c r="P130" i="33"/>
  <c r="P130" i="66"/>
  <c r="P130" i="32"/>
  <c r="P130" i="113"/>
  <c r="P130" i="119"/>
  <c r="P130" i="28"/>
  <c r="P130" i="145"/>
  <c r="P130" i="90"/>
  <c r="P130" i="38"/>
  <c r="P130" i="104"/>
  <c r="P130" i="106"/>
  <c r="P130" i="174"/>
  <c r="P130" i="49"/>
  <c r="P130" i="43"/>
  <c r="P130" i="83"/>
  <c r="P33" i="178"/>
  <c r="P33" i="102"/>
  <c r="P33" i="95"/>
  <c r="P33" i="1"/>
  <c r="P33" i="38"/>
  <c r="P33" i="39"/>
  <c r="P33" i="84"/>
  <c r="P33" i="164"/>
  <c r="P33" i="177"/>
  <c r="P33" i="21"/>
  <c r="P33" i="113"/>
  <c r="P33" i="14"/>
  <c r="P33" i="79"/>
  <c r="P33" i="33"/>
  <c r="P33" i="86"/>
  <c r="P33" i="85"/>
  <c r="P33" i="47"/>
  <c r="P33" i="55"/>
  <c r="P33" i="94"/>
  <c r="P33" i="87"/>
  <c r="P33" i="175"/>
  <c r="P33" i="157"/>
  <c r="P33" i="43"/>
  <c r="P33" i="135"/>
  <c r="P33" i="53"/>
  <c r="P33" i="133"/>
  <c r="P33" i="90"/>
  <c r="P33" i="152"/>
  <c r="P33" i="27"/>
  <c r="P33" i="64"/>
  <c r="P33" i="66"/>
  <c r="P33" i="57"/>
  <c r="P33" i="62"/>
  <c r="P33" i="37"/>
  <c r="P33" i="111"/>
  <c r="P33" i="104"/>
  <c r="P33" i="19"/>
  <c r="P33" i="159"/>
  <c r="P33" i="167"/>
  <c r="P33" i="150"/>
  <c r="P33" i="142"/>
  <c r="P33" i="50"/>
  <c r="P33" i="119"/>
  <c r="P33" i="32"/>
  <c r="P33" i="118"/>
  <c r="P33" i="106"/>
  <c r="P33" i="58"/>
  <c r="P33" i="49"/>
  <c r="P33" i="15"/>
  <c r="P33" i="16"/>
  <c r="P33" i="25"/>
  <c r="P33" i="65"/>
  <c r="P33" i="103"/>
  <c r="P33" i="136"/>
  <c r="P33" i="89"/>
  <c r="P33" i="72"/>
  <c r="P33" i="98"/>
  <c r="P33" i="63"/>
  <c r="P33" i="156"/>
  <c r="P33" i="145"/>
  <c r="P33" i="54"/>
  <c r="P33" i="42"/>
  <c r="P33" i="158"/>
  <c r="P33" i="60"/>
  <c r="P33" i="92"/>
  <c r="P33" i="165"/>
  <c r="P33" i="155"/>
  <c r="P33" i="31"/>
  <c r="P33" i="20"/>
  <c r="P33" i="71"/>
  <c r="P33" i="46"/>
  <c r="P33" i="174"/>
  <c r="P33" i="68"/>
  <c r="P33" i="28"/>
  <c r="P33" i="24"/>
  <c r="P33" i="141"/>
  <c r="P33" i="83"/>
  <c r="P33" i="120"/>
  <c r="P132" i="174"/>
  <c r="P132" i="156"/>
  <c r="P132" i="65"/>
  <c r="P132" i="43"/>
  <c r="P132" i="20"/>
  <c r="P132" i="119"/>
  <c r="P132" i="14"/>
  <c r="P132" i="103"/>
  <c r="P132" i="85"/>
  <c r="P132" i="157"/>
  <c r="P132" i="155"/>
  <c r="P132" i="19"/>
  <c r="P132" i="106"/>
  <c r="P132" i="54"/>
  <c r="P132" i="42"/>
  <c r="P132" i="38"/>
  <c r="P132" i="39"/>
  <c r="P132" i="136"/>
  <c r="P132" i="47"/>
  <c r="P132" i="178"/>
  <c r="P132" i="159"/>
  <c r="P132" i="87"/>
  <c r="P132" i="68"/>
  <c r="P132" i="142"/>
  <c r="P132" i="21"/>
  <c r="P132" i="66"/>
  <c r="P132" i="57"/>
  <c r="P132" i="118"/>
  <c r="P132" i="120"/>
  <c r="P132" i="158"/>
  <c r="P132" i="94"/>
  <c r="P132" i="92"/>
  <c r="P132" i="95"/>
  <c r="P132" i="1"/>
  <c r="P132" i="133"/>
  <c r="P132" i="111"/>
  <c r="P132" i="86"/>
  <c r="P132" i="167"/>
  <c r="P132" i="175"/>
  <c r="P132" i="145"/>
  <c r="P132" i="79"/>
  <c r="P132" i="33"/>
  <c r="P132" i="27"/>
  <c r="P132" i="64"/>
  <c r="P132" i="16"/>
  <c r="P132" i="25"/>
  <c r="P132" i="98"/>
  <c r="P132" i="104"/>
  <c r="P132" i="177"/>
  <c r="P132" i="152"/>
  <c r="P132" i="63"/>
  <c r="P132" i="84"/>
  <c r="P132" i="58"/>
  <c r="P132" i="135"/>
  <c r="P132" i="71"/>
  <c r="P132" i="165"/>
  <c r="P132" i="150"/>
  <c r="P132" i="83"/>
  <c r="P132" i="62"/>
  <c r="P132" i="102"/>
  <c r="P132" i="49"/>
  <c r="P132" i="53"/>
  <c r="P132" i="46"/>
  <c r="P132" i="37"/>
  <c r="P132" i="89"/>
  <c r="P132" i="55"/>
  <c r="P132" i="164"/>
  <c r="P132" i="141"/>
  <c r="P132" i="90"/>
  <c r="P132" i="31"/>
  <c r="P132" i="50"/>
  <c r="P132" i="113"/>
  <c r="P132" i="60"/>
  <c r="P132" i="72"/>
  <c r="P132" i="24"/>
  <c r="P132" i="32"/>
  <c r="P132" i="28"/>
  <c r="P132" i="15"/>
  <c r="P138" i="164"/>
  <c r="P138" i="159"/>
  <c r="P138" i="119"/>
  <c r="P138" i="150"/>
  <c r="P138" i="21"/>
  <c r="P138" i="15"/>
  <c r="P138" i="14"/>
  <c r="P138" i="142"/>
  <c r="P138" i="20"/>
  <c r="P138" i="141"/>
  <c r="P138" i="177"/>
  <c r="P138" i="157"/>
  <c r="P138" i="83"/>
  <c r="P138" i="47"/>
  <c r="P138" i="49"/>
  <c r="P138" i="86"/>
  <c r="P138" i="102"/>
  <c r="P138" i="25"/>
  <c r="P138" i="24"/>
  <c r="P138" i="65"/>
  <c r="P138" i="174"/>
  <c r="P138" i="165"/>
  <c r="P138" i="90"/>
  <c r="P138" i="27"/>
  <c r="P138" i="111"/>
  <c r="P138" i="95"/>
  <c r="P138" i="106"/>
  <c r="P138" i="55"/>
  <c r="P138" i="135"/>
  <c r="P138" i="133"/>
  <c r="P138" i="155"/>
  <c r="P138" i="152"/>
  <c r="P138" i="98"/>
  <c r="P138" i="104"/>
  <c r="P138" i="38"/>
  <c r="P138" i="113"/>
  <c r="P138" i="118"/>
  <c r="P138" i="31"/>
  <c r="P138" i="92"/>
  <c r="P138" i="58"/>
  <c r="P138" i="84"/>
  <c r="P138" i="87"/>
  <c r="P138" i="68"/>
  <c r="P138" i="43"/>
  <c r="P138" i="94"/>
  <c r="P138" i="1"/>
  <c r="P138" i="103"/>
  <c r="P138" i="89"/>
  <c r="P138" i="158"/>
  <c r="P138" i="167"/>
  <c r="P138" i="53"/>
  <c r="P138" i="50"/>
  <c r="P138" i="39"/>
  <c r="P138" i="42"/>
  <c r="P138" i="19"/>
  <c r="P138" i="60"/>
  <c r="P138" i="62"/>
  <c r="P138" i="64"/>
  <c r="P138" i="136"/>
  <c r="P138" i="37"/>
  <c r="P138" i="175"/>
  <c r="P138" i="54"/>
  <c r="P138" i="178"/>
  <c r="P138" i="57"/>
  <c r="P138" i="72"/>
  <c r="P138" i="66"/>
  <c r="P138" i="63"/>
  <c r="P138" i="156"/>
  <c r="P138" i="28"/>
  <c r="P138" i="79"/>
  <c r="P138" i="85"/>
  <c r="P138" i="46"/>
  <c r="P138" i="120"/>
  <c r="P138" i="71"/>
  <c r="P138" i="16"/>
  <c r="P138" i="32"/>
  <c r="P138" i="145"/>
  <c r="P138" i="33"/>
  <c r="P173" i="53"/>
  <c r="P173" i="113"/>
  <c r="P173" i="90"/>
  <c r="P173" i="66"/>
  <c r="P173" i="174"/>
  <c r="P173" i="159"/>
  <c r="P173" i="19"/>
  <c r="P173" i="118"/>
  <c r="P173" i="106"/>
  <c r="P173" i="84"/>
  <c r="P173" i="150"/>
  <c r="P173" i="103"/>
  <c r="P173" i="119"/>
  <c r="P173" i="47"/>
  <c r="P173" i="83"/>
  <c r="P173" i="164"/>
  <c r="P173" i="60"/>
  <c r="P173" i="79"/>
  <c r="P173" i="20"/>
  <c r="P173" i="63"/>
  <c r="P173" i="32"/>
  <c r="P173" i="43"/>
  <c r="P173" i="135"/>
  <c r="P173" i="33"/>
  <c r="P173" i="15"/>
  <c r="P173" i="58"/>
  <c r="P173" i="57"/>
  <c r="P173" i="65"/>
  <c r="P173" i="94"/>
  <c r="P173" i="145"/>
  <c r="P173" i="39"/>
  <c r="P173" i="50"/>
  <c r="P173" i="141"/>
  <c r="P173" i="85"/>
  <c r="P173" i="98"/>
  <c r="P173" i="142"/>
  <c r="P173" i="102"/>
  <c r="P173" i="21"/>
  <c r="P173" i="16"/>
  <c r="P173" i="165"/>
  <c r="P173" i="46"/>
  <c r="P173" i="38"/>
  <c r="P173" i="157"/>
  <c r="P173" i="25"/>
  <c r="P173" i="86"/>
  <c r="P173" i="71"/>
  <c r="P173" i="104"/>
  <c r="P173" i="14"/>
  <c r="P173" i="152"/>
  <c r="P173" i="156"/>
  <c r="P173" i="87"/>
  <c r="P173" i="27"/>
  <c r="P173" i="54"/>
  <c r="P173" i="24"/>
  <c r="P173" i="37"/>
  <c r="P173" i="95"/>
  <c r="P173" i="62"/>
  <c r="P173" i="42"/>
  <c r="P173" i="158"/>
  <c r="P173" i="177"/>
  <c r="P173" i="55"/>
  <c r="P173" i="1"/>
  <c r="P173" i="64"/>
  <c r="P173" i="120"/>
  <c r="P173" i="167"/>
  <c r="P173" i="136"/>
  <c r="P173" i="178"/>
  <c r="P173" i="92"/>
  <c r="P173" i="49"/>
  <c r="P173" i="72"/>
  <c r="P173" i="28"/>
  <c r="P173" i="68"/>
  <c r="P173" i="175"/>
  <c r="P173" i="89"/>
  <c r="P173" i="111"/>
  <c r="P173" i="31"/>
  <c r="P173" i="133"/>
  <c r="P173" i="155"/>
  <c r="P103" i="158"/>
  <c r="P103" i="167"/>
  <c r="P103" i="98"/>
  <c r="P103" i="90"/>
  <c r="P103" i="95"/>
  <c r="P103" i="65"/>
  <c r="P103" i="86"/>
  <c r="P103" i="133"/>
  <c r="P103" i="28"/>
  <c r="P103" i="50"/>
  <c r="P103" i="43"/>
  <c r="P103" i="152"/>
  <c r="P103" i="145"/>
  <c r="P103" i="141"/>
  <c r="P103" i="24"/>
  <c r="P103" i="39"/>
  <c r="P103" i="64"/>
  <c r="P103" i="92"/>
  <c r="P103" i="104"/>
  <c r="P103" i="106"/>
  <c r="P103" i="164"/>
  <c r="P103" i="150"/>
  <c r="P103" i="58"/>
  <c r="P103" i="60"/>
  <c r="P103" i="83"/>
  <c r="P103" i="113"/>
  <c r="P103" i="68"/>
  <c r="P103" i="38"/>
  <c r="P103" i="31"/>
  <c r="P103" i="20"/>
  <c r="P103" i="111"/>
  <c r="P103" i="157"/>
  <c r="P103" i="14"/>
  <c r="P103" i="32"/>
  <c r="P103" i="25"/>
  <c r="P103" i="1"/>
  <c r="P103" i="37"/>
  <c r="P103" i="47"/>
  <c r="P103" i="63"/>
  <c r="P103" i="175"/>
  <c r="P103" i="84"/>
  <c r="P103" i="42"/>
  <c r="P103" i="53"/>
  <c r="P103" i="21"/>
  <c r="P103" i="120"/>
  <c r="P103" i="89"/>
  <c r="P103" i="102"/>
  <c r="P103" i="159"/>
  <c r="P103" i="174"/>
  <c r="P103" i="155"/>
  <c r="P103" i="15"/>
  <c r="P103" i="94"/>
  <c r="P103" i="87"/>
  <c r="P103" i="19"/>
  <c r="P103" i="57"/>
  <c r="P103" i="118"/>
  <c r="P103" i="135"/>
  <c r="P103" i="178"/>
  <c r="P103" i="156"/>
  <c r="P103" i="119"/>
  <c r="P103" i="27"/>
  <c r="P103" i="71"/>
  <c r="P103" i="33"/>
  <c r="P103" i="55"/>
  <c r="P103" i="49"/>
  <c r="P103" i="79"/>
  <c r="P103" i="16"/>
  <c r="P103" i="165"/>
  <c r="P103" i="177"/>
  <c r="P103" i="46"/>
  <c r="P103" i="66"/>
  <c r="P103" i="85"/>
  <c r="P103" i="54"/>
  <c r="P103" i="136"/>
  <c r="P103" i="62"/>
  <c r="P103" i="142"/>
  <c r="P103" i="103"/>
  <c r="P103" i="72"/>
  <c r="P176" i="178"/>
  <c r="P176" i="133"/>
  <c r="P176" i="32"/>
  <c r="P176" i="64"/>
  <c r="P176" i="118"/>
  <c r="P176" i="84"/>
  <c r="P176" i="92"/>
  <c r="P176" i="38"/>
  <c r="P176" i="135"/>
  <c r="P176" i="102"/>
  <c r="P176" i="136"/>
  <c r="P176" i="54"/>
  <c r="P176" i="119"/>
  <c r="P176" i="39"/>
  <c r="P176" i="152"/>
  <c r="P176" i="14"/>
  <c r="P176" i="16"/>
  <c r="P176" i="141"/>
  <c r="P176" i="63"/>
  <c r="P176" i="104"/>
  <c r="P176" i="31"/>
  <c r="P176" i="46"/>
  <c r="P176" i="47"/>
  <c r="P176" i="106"/>
  <c r="P176" i="33"/>
  <c r="P176" i="157"/>
  <c r="P176" i="21"/>
  <c r="P176" i="142"/>
  <c r="P176" i="62"/>
  <c r="P176" i="53"/>
  <c r="P176" i="27"/>
  <c r="P176" i="89"/>
  <c r="P176" i="85"/>
  <c r="P176" i="159"/>
  <c r="P176" i="79"/>
  <c r="P176" i="156"/>
  <c r="P176" i="60"/>
  <c r="P176" i="25"/>
  <c r="P176" i="165"/>
  <c r="P176" i="49"/>
  <c r="P176" i="58"/>
  <c r="P176" i="42"/>
  <c r="P176" i="87"/>
  <c r="P176" i="20"/>
  <c r="P176" i="15"/>
  <c r="P176" i="167"/>
  <c r="P176" i="50"/>
  <c r="P176" i="28"/>
  <c r="P176" i="90"/>
  <c r="P176" i="98"/>
  <c r="P176" i="150"/>
  <c r="P176" i="55"/>
  <c r="P176" i="111"/>
  <c r="P176" i="37"/>
  <c r="P176" i="164"/>
  <c r="P176" i="86"/>
  <c r="P176" i="68"/>
  <c r="P176" i="19"/>
  <c r="P176" i="158"/>
  <c r="P176" i="120"/>
  <c r="P176" i="72"/>
  <c r="P176" i="83"/>
  <c r="P176" i="94"/>
  <c r="P176" i="113"/>
  <c r="P176" i="155"/>
  <c r="P176" i="177"/>
  <c r="P176" i="24"/>
  <c r="P176" i="1"/>
  <c r="P176" i="174"/>
  <c r="P176" i="65"/>
  <c r="P176" i="175"/>
  <c r="P176" i="66"/>
  <c r="P176" i="103"/>
  <c r="P176" i="145"/>
  <c r="P176" i="95"/>
  <c r="P176" i="43"/>
  <c r="P176" i="71"/>
  <c r="P176" i="57"/>
  <c r="P64" i="174"/>
  <c r="P64" i="65"/>
  <c r="P64" i="167"/>
  <c r="P64" i="37"/>
  <c r="P64" i="57"/>
  <c r="P64" i="104"/>
  <c r="P64" i="178"/>
  <c r="P64" i="159"/>
  <c r="P64" i="68"/>
  <c r="P64" i="27"/>
  <c r="P64" i="54"/>
  <c r="P64" i="83"/>
  <c r="P64" i="43"/>
  <c r="P64" i="111"/>
  <c r="P64" i="79"/>
  <c r="P64" i="156"/>
  <c r="P64" i="38"/>
  <c r="P64" i="21"/>
  <c r="P64" i="133"/>
  <c r="P64" i="63"/>
  <c r="P64" i="106"/>
  <c r="P64" i="62"/>
  <c r="P64" i="150"/>
  <c r="P64" i="31"/>
  <c r="P64" i="71"/>
  <c r="P64" i="157"/>
  <c r="P64" i="85"/>
  <c r="P64" i="33"/>
  <c r="P64" i="32"/>
  <c r="P64" i="60"/>
  <c r="P64" i="25"/>
  <c r="P64" i="89"/>
  <c r="P64" i="1"/>
  <c r="P64" i="20"/>
  <c r="P64" i="118"/>
  <c r="P64" i="142"/>
  <c r="P64" i="94"/>
  <c r="P64" i="164"/>
  <c r="P64" i="120"/>
  <c r="P64" i="145"/>
  <c r="P64" i="39"/>
  <c r="P64" i="141"/>
  <c r="P64" i="24"/>
  <c r="P64" i="64"/>
  <c r="P64" i="55"/>
  <c r="P64" i="90"/>
  <c r="P64" i="95"/>
  <c r="P64" i="175"/>
  <c r="P64" i="119"/>
  <c r="P64" i="16"/>
  <c r="P64" i="92"/>
  <c r="P64" i="87"/>
  <c r="P64" i="47"/>
  <c r="P64" i="158"/>
  <c r="P64" i="53"/>
  <c r="P64" i="46"/>
  <c r="P64" i="165"/>
  <c r="P64" i="84"/>
  <c r="P64" i="103"/>
  <c r="P64" i="113"/>
  <c r="P64" i="155"/>
  <c r="P64" i="15"/>
  <c r="P64" i="102"/>
  <c r="P64" i="49"/>
  <c r="P64" i="19"/>
  <c r="P64" i="135"/>
  <c r="P64" i="42"/>
  <c r="P64" i="152"/>
  <c r="P64" i="58"/>
  <c r="P64" i="50"/>
  <c r="P64" i="66"/>
  <c r="P64" i="86"/>
  <c r="P64" i="98"/>
  <c r="P64" i="28"/>
  <c r="P64" i="72"/>
  <c r="P64" i="14"/>
  <c r="P64" i="136"/>
  <c r="P64" i="177"/>
  <c r="P145" i="164"/>
  <c r="P145" i="156"/>
  <c r="P145" i="33"/>
  <c r="P145" i="37"/>
  <c r="P145" i="79"/>
  <c r="P145" i="141"/>
  <c r="P145" i="15"/>
  <c r="P145" i="113"/>
  <c r="P145" i="95"/>
  <c r="P145" i="27"/>
  <c r="P145" i="175"/>
  <c r="P145" i="155"/>
  <c r="P145" i="39"/>
  <c r="P145" i="43"/>
  <c r="P145" i="38"/>
  <c r="P145" i="84"/>
  <c r="P145" i="98"/>
  <c r="P145" i="87"/>
  <c r="P145" i="89"/>
  <c r="P145" i="83"/>
  <c r="P145" i="136"/>
  <c r="P145" i="165"/>
  <c r="P145" i="157"/>
  <c r="P145" i="86"/>
  <c r="P145" i="111"/>
  <c r="P145" i="92"/>
  <c r="P145" i="14"/>
  <c r="P145" i="53"/>
  <c r="P145" i="1"/>
  <c r="P145" i="104"/>
  <c r="P145" i="25"/>
  <c r="P145" i="28"/>
  <c r="P145" i="16"/>
  <c r="P145" i="119"/>
  <c r="P145" i="85"/>
  <c r="P145" i="68"/>
  <c r="P145" i="24"/>
  <c r="P145" i="94"/>
  <c r="P145" i="63"/>
  <c r="P145" i="178"/>
  <c r="P145" i="167"/>
  <c r="P145" i="158"/>
  <c r="P145" i="102"/>
  <c r="P145" i="103"/>
  <c r="P145" i="106"/>
  <c r="P145" i="71"/>
  <c r="P145" i="20"/>
  <c r="P145" i="64"/>
  <c r="P145" i="42"/>
  <c r="P145" i="152"/>
  <c r="P145" i="118"/>
  <c r="P145" i="142"/>
  <c r="P145" i="133"/>
  <c r="P145" i="90"/>
  <c r="P145" i="135"/>
  <c r="P145" i="49"/>
  <c r="P145" i="60"/>
  <c r="P145" i="31"/>
  <c r="P145" i="177"/>
  <c r="P145" i="21"/>
  <c r="P145" i="47"/>
  <c r="P145" i="57"/>
  <c r="P145" i="46"/>
  <c r="P145" i="145"/>
  <c r="P145" i="65"/>
  <c r="P145" i="120"/>
  <c r="P145" i="19"/>
  <c r="P145" i="174"/>
  <c r="P145" i="159"/>
  <c r="P145" i="54"/>
  <c r="P145" i="62"/>
  <c r="P145" i="72"/>
  <c r="P145" i="58"/>
  <c r="P145" i="150"/>
  <c r="P145" i="32"/>
  <c r="P145" i="66"/>
  <c r="P145" i="50"/>
  <c r="P145" i="55"/>
  <c r="P189" i="165"/>
  <c r="P189" i="79"/>
  <c r="P189" i="53"/>
  <c r="P189" i="136"/>
  <c r="P189" i="39"/>
  <c r="P189" i="43"/>
  <c r="P189" i="1"/>
  <c r="P189" i="47"/>
  <c r="P189" i="155"/>
  <c r="P189" i="84"/>
  <c r="P189" i="72"/>
  <c r="P189" i="159"/>
  <c r="P189" i="86"/>
  <c r="P189" i="14"/>
  <c r="P189" i="133"/>
  <c r="P189" i="24"/>
  <c r="P189" i="157"/>
  <c r="P189" i="28"/>
  <c r="P189" i="178"/>
  <c r="P189" i="102"/>
  <c r="P189" i="167"/>
  <c r="P189" i="142"/>
  <c r="P189" i="71"/>
  <c r="P189" i="64"/>
  <c r="P189" i="25"/>
  <c r="P189" i="135"/>
  <c r="P189" i="113"/>
  <c r="P189" i="15"/>
  <c r="P189" i="174"/>
  <c r="P189" i="145"/>
  <c r="P189" i="119"/>
  <c r="P189" i="38"/>
  <c r="P189" i="85"/>
  <c r="P189" i="68"/>
  <c r="P189" i="21"/>
  <c r="P189" i="63"/>
  <c r="P189" i="92"/>
  <c r="P189" i="27"/>
  <c r="P189" i="42"/>
  <c r="P189" i="177"/>
  <c r="P189" i="175"/>
  <c r="P189" i="46"/>
  <c r="P189" i="94"/>
  <c r="P189" i="65"/>
  <c r="P189" i="90"/>
  <c r="P189" i="50"/>
  <c r="P189" i="31"/>
  <c r="P189" i="37"/>
  <c r="P189" i="104"/>
  <c r="P189" i="152"/>
  <c r="P189" i="156"/>
  <c r="P189" i="95"/>
  <c r="P189" i="16"/>
  <c r="P189" i="120"/>
  <c r="P189" i="33"/>
  <c r="P189" i="66"/>
  <c r="P189" i="98"/>
  <c r="P189" i="60"/>
  <c r="P189" i="164"/>
  <c r="P189" i="150"/>
  <c r="P189" i="141"/>
  <c r="P189" i="57"/>
  <c r="P189" i="106"/>
  <c r="P189" i="19"/>
  <c r="P189" i="54"/>
  <c r="P189" i="87"/>
  <c r="P189" i="62"/>
  <c r="P189" i="83"/>
  <c r="P189" i="20"/>
  <c r="P189" i="58"/>
  <c r="P189" i="158"/>
  <c r="P189" i="103"/>
  <c r="P189" i="32"/>
  <c r="P189" i="55"/>
  <c r="P189" i="89"/>
  <c r="P189" i="111"/>
  <c r="P189" i="49"/>
  <c r="P189" i="118"/>
  <c r="P175" i="175"/>
  <c r="P175" i="14"/>
  <c r="P175" i="57"/>
  <c r="P175" i="19"/>
  <c r="P175" i="165"/>
  <c r="P175" i="68"/>
  <c r="P175" i="120"/>
  <c r="P175" i="31"/>
  <c r="P175" i="159"/>
  <c r="P175" i="167"/>
  <c r="P175" i="113"/>
  <c r="P175" i="58"/>
  <c r="P175" i="16"/>
  <c r="P175" i="104"/>
  <c r="P175" i="87"/>
  <c r="P175" i="178"/>
  <c r="P175" i="150"/>
  <c r="P175" i="83"/>
  <c r="P175" i="89"/>
  <c r="P175" i="102"/>
  <c r="P175" i="103"/>
  <c r="P175" i="79"/>
  <c r="P175" i="1"/>
  <c r="P175" i="158"/>
  <c r="P175" i="85"/>
  <c r="P175" i="177"/>
  <c r="P175" i="55"/>
  <c r="P175" i="39"/>
  <c r="P175" i="152"/>
  <c r="P175" i="38"/>
  <c r="P175" i="94"/>
  <c r="P175" i="106"/>
  <c r="P175" i="60"/>
  <c r="P175" i="46"/>
  <c r="P175" i="43"/>
  <c r="P175" i="92"/>
  <c r="P175" i="174"/>
  <c r="P175" i="49"/>
  <c r="P175" i="66"/>
  <c r="P175" i="21"/>
  <c r="P175" i="42"/>
  <c r="P175" i="53"/>
  <c r="P175" i="71"/>
  <c r="P175" i="62"/>
  <c r="P175" i="54"/>
  <c r="P175" i="98"/>
  <c r="P175" i="95"/>
  <c r="P175" i="118"/>
  <c r="P175" i="65"/>
  <c r="P175" i="24"/>
  <c r="P175" i="156"/>
  <c r="P175" i="37"/>
  <c r="P175" i="63"/>
  <c r="P175" i="27"/>
  <c r="P175" i="164"/>
  <c r="P175" i="32"/>
  <c r="P175" i="20"/>
  <c r="P175" i="155"/>
  <c r="P175" i="47"/>
  <c r="P175" i="15"/>
  <c r="P175" i="28"/>
  <c r="P175" i="145"/>
  <c r="P175" i="33"/>
  <c r="P175" i="90"/>
  <c r="P175" i="133"/>
  <c r="P175" i="141"/>
  <c r="P175" i="135"/>
  <c r="P175" i="84"/>
  <c r="P175" i="25"/>
  <c r="P175" i="111"/>
  <c r="P175" i="136"/>
  <c r="P175" i="64"/>
  <c r="P175" i="86"/>
  <c r="P175" i="119"/>
  <c r="P175" i="50"/>
  <c r="P175" i="142"/>
  <c r="P175" i="157"/>
  <c r="P35" i="53"/>
  <c r="P35" i="95"/>
  <c r="P35" i="55"/>
  <c r="P35" i="150"/>
  <c r="P35" i="31"/>
  <c r="P35" i="27"/>
  <c r="P35" i="175"/>
  <c r="P35" i="63"/>
  <c r="P35" i="32"/>
  <c r="P35" i="145"/>
  <c r="P35" i="155"/>
  <c r="P35" i="33"/>
  <c r="P35" i="15"/>
  <c r="P35" i="54"/>
  <c r="P35" i="43"/>
  <c r="P35" i="64"/>
  <c r="P35" i="25"/>
  <c r="P35" i="47"/>
  <c r="P35" i="66"/>
  <c r="P35" i="1"/>
  <c r="P35" i="174"/>
  <c r="P35" i="119"/>
  <c r="P35" i="65"/>
  <c r="P35" i="68"/>
  <c r="P35" i="39"/>
  <c r="P35" i="136"/>
  <c r="P35" i="165"/>
  <c r="P35" i="141"/>
  <c r="P35" i="98"/>
  <c r="P35" i="60"/>
  <c r="P35" i="50"/>
  <c r="P35" i="86"/>
  <c r="P35" i="83"/>
  <c r="P35" i="87"/>
  <c r="P35" i="142"/>
  <c r="P35" i="133"/>
  <c r="P35" i="118"/>
  <c r="P35" i="46"/>
  <c r="P35" i="104"/>
  <c r="P35" i="16"/>
  <c r="P35" i="14"/>
  <c r="P35" i="49"/>
  <c r="P35" i="71"/>
  <c r="P35" i="156"/>
  <c r="P35" i="92"/>
  <c r="P35" i="152"/>
  <c r="P35" i="62"/>
  <c r="P35" i="90"/>
  <c r="P35" i="37"/>
  <c r="P35" i="164"/>
  <c r="P35" i="89"/>
  <c r="P35" i="19"/>
  <c r="P35" i="42"/>
  <c r="P35" i="102"/>
  <c r="P35" i="106"/>
  <c r="P35" i="84"/>
  <c r="P35" i="58"/>
  <c r="P35" i="135"/>
  <c r="P35" i="167"/>
  <c r="P35" i="178"/>
  <c r="P35" i="120"/>
  <c r="P35" i="157"/>
  <c r="P35" i="177"/>
  <c r="P35" i="24"/>
  <c r="P35" i="159"/>
  <c r="P35" i="94"/>
  <c r="P35" i="113"/>
  <c r="P35" i="57"/>
  <c r="P35" i="28"/>
  <c r="P35" i="111"/>
  <c r="P35" i="20"/>
  <c r="P35" i="79"/>
  <c r="P35" i="158"/>
  <c r="P35" i="103"/>
  <c r="P35" i="85"/>
  <c r="P35" i="38"/>
  <c r="P35" i="72"/>
  <c r="P35" i="21"/>
  <c r="P82" i="165"/>
  <c r="P82" i="167"/>
  <c r="P82" i="71"/>
  <c r="P82" i="24"/>
  <c r="P82" i="49"/>
  <c r="P82" i="21"/>
  <c r="P82" i="85"/>
  <c r="P82" i="98"/>
  <c r="P82" i="58"/>
  <c r="P82" i="47"/>
  <c r="P82" i="19"/>
  <c r="P82" i="175"/>
  <c r="P82" i="87"/>
  <c r="P82" i="95"/>
  <c r="P82" i="31"/>
  <c r="P82" i="25"/>
  <c r="P82" i="84"/>
  <c r="P82" i="72"/>
  <c r="P82" i="38"/>
  <c r="P82" i="1"/>
  <c r="P82" i="156"/>
  <c r="P82" i="152"/>
  <c r="P82" i="65"/>
  <c r="P82" i="135"/>
  <c r="P82" i="33"/>
  <c r="P82" i="62"/>
  <c r="P82" i="14"/>
  <c r="P82" i="68"/>
  <c r="P82" i="57"/>
  <c r="P82" i="158"/>
  <c r="P82" i="60"/>
  <c r="P82" i="118"/>
  <c r="P82" i="89"/>
  <c r="P82" i="133"/>
  <c r="P82" i="16"/>
  <c r="P82" i="55"/>
  <c r="P82" i="28"/>
  <c r="P82" i="119"/>
  <c r="P82" i="178"/>
  <c r="P82" i="177"/>
  <c r="P82" i="155"/>
  <c r="P82" i="113"/>
  <c r="P82" i="20"/>
  <c r="P82" i="86"/>
  <c r="P82" i="111"/>
  <c r="P82" i="15"/>
  <c r="P82" i="142"/>
  <c r="P82" i="46"/>
  <c r="P82" i="164"/>
  <c r="P82" i="157"/>
  <c r="P82" i="42"/>
  <c r="P82" i="145"/>
  <c r="P82" i="54"/>
  <c r="P82" i="102"/>
  <c r="P82" i="92"/>
  <c r="P82" i="136"/>
  <c r="P82" i="103"/>
  <c r="P82" i="43"/>
  <c r="P82" i="174"/>
  <c r="P82" i="150"/>
  <c r="P82" i="53"/>
  <c r="P82" i="66"/>
  <c r="P82" i="83"/>
  <c r="P82" i="50"/>
  <c r="P82" i="94"/>
  <c r="P82" i="141"/>
  <c r="P82" i="120"/>
  <c r="P82" i="79"/>
  <c r="P82" i="64"/>
  <c r="P82" i="159"/>
  <c r="P82" i="32"/>
  <c r="P82" i="27"/>
  <c r="P82" i="104"/>
  <c r="P82" i="39"/>
  <c r="P82" i="106"/>
  <c r="P82" i="63"/>
  <c r="P82" i="37"/>
  <c r="P82" i="90"/>
  <c r="P72" i="165"/>
  <c r="P72" i="152"/>
  <c r="P72" i="53"/>
  <c r="P72" i="31"/>
  <c r="P72" i="62"/>
  <c r="P72" i="33"/>
  <c r="P72" i="94"/>
  <c r="P72" i="89"/>
  <c r="P72" i="79"/>
  <c r="P72" i="20"/>
  <c r="P72" i="158"/>
  <c r="P72" i="136"/>
  <c r="P72" i="84"/>
  <c r="P72" i="1"/>
  <c r="P72" i="54"/>
  <c r="P72" i="90"/>
  <c r="P72" i="28"/>
  <c r="P72" i="135"/>
  <c r="P72" i="86"/>
  <c r="P72" i="66"/>
  <c r="P72" i="178"/>
  <c r="P72" i="167"/>
  <c r="P72" i="106"/>
  <c r="P72" i="16"/>
  <c r="P72" i="46"/>
  <c r="P72" i="25"/>
  <c r="P72" i="39"/>
  <c r="P72" i="95"/>
  <c r="P72" i="27"/>
  <c r="P72" i="49"/>
  <c r="P72" i="174"/>
  <c r="P72" i="157"/>
  <c r="P72" i="21"/>
  <c r="P72" i="141"/>
  <c r="P72" i="68"/>
  <c r="P72" i="37"/>
  <c r="P72" i="118"/>
  <c r="P72" i="55"/>
  <c r="P72" i="15"/>
  <c r="P72" i="83"/>
  <c r="P72" i="57"/>
  <c r="P72" i="145"/>
  <c r="P72" i="142"/>
  <c r="P72" i="102"/>
  <c r="P72" i="113"/>
  <c r="P72" i="119"/>
  <c r="P72" i="64"/>
  <c r="P72" i="92"/>
  <c r="P72" i="72"/>
  <c r="P72" i="60"/>
  <c r="P72" i="177"/>
  <c r="P72" i="85"/>
  <c r="P72" i="155"/>
  <c r="P72" i="50"/>
  <c r="P72" i="103"/>
  <c r="P72" i="14"/>
  <c r="P72" i="175"/>
  <c r="P72" i="87"/>
  <c r="P72" i="111"/>
  <c r="P72" i="63"/>
  <c r="P72" i="42"/>
  <c r="P72" i="159"/>
  <c r="P72" i="133"/>
  <c r="P72" i="32"/>
  <c r="P72" i="58"/>
  <c r="P72" i="150"/>
  <c r="P72" i="47"/>
  <c r="P72" i="98"/>
  <c r="P72" i="43"/>
  <c r="P72" i="164"/>
  <c r="P72" i="38"/>
  <c r="P72" i="71"/>
  <c r="P72" i="65"/>
  <c r="P72" i="24"/>
  <c r="P72" i="156"/>
  <c r="P72" i="19"/>
  <c r="P72" i="104"/>
  <c r="P72" i="120"/>
  <c r="P60" i="159"/>
  <c r="P60" i="141"/>
  <c r="P60" i="90"/>
  <c r="P60" i="47"/>
  <c r="P60" i="20"/>
  <c r="P60" i="118"/>
  <c r="P60" i="104"/>
  <c r="P60" i="66"/>
  <c r="P60" i="14"/>
  <c r="P60" i="43"/>
  <c r="P60" i="158"/>
  <c r="P60" i="156"/>
  <c r="P60" i="79"/>
  <c r="P60" i="33"/>
  <c r="P60" i="54"/>
  <c r="P60" i="42"/>
  <c r="P60" i="103"/>
  <c r="P60" i="72"/>
  <c r="P60" i="71"/>
  <c r="P60" i="113"/>
  <c r="P60" i="164"/>
  <c r="P60" i="19"/>
  <c r="P60" i="106"/>
  <c r="P60" i="142"/>
  <c r="P60" i="21"/>
  <c r="P60" i="111"/>
  <c r="P60" i="89"/>
  <c r="P60" i="133"/>
  <c r="P60" i="39"/>
  <c r="P60" i="174"/>
  <c r="P60" i="83"/>
  <c r="P60" i="62"/>
  <c r="P60" i="102"/>
  <c r="P60" i="95"/>
  <c r="P60" i="1"/>
  <c r="P60" i="24"/>
  <c r="P60" i="120"/>
  <c r="P60" i="94"/>
  <c r="P60" i="16"/>
  <c r="P60" i="178"/>
  <c r="P60" i="150"/>
  <c r="P60" i="152"/>
  <c r="P60" i="92"/>
  <c r="P60" i="27"/>
  <c r="P60" i="64"/>
  <c r="P60" i="136"/>
  <c r="P60" i="98"/>
  <c r="P60" i="46"/>
  <c r="P60" i="60"/>
  <c r="P60" i="165"/>
  <c r="P60" i="58"/>
  <c r="P60" i="65"/>
  <c r="P60" i="135"/>
  <c r="P60" i="63"/>
  <c r="P60" i="85"/>
  <c r="P60" i="15"/>
  <c r="P60" i="32"/>
  <c r="P60" i="175"/>
  <c r="P60" i="177"/>
  <c r="P60" i="53"/>
  <c r="P60" i="84"/>
  <c r="P60" i="157"/>
  <c r="P60" i="49"/>
  <c r="P60" i="155"/>
  <c r="P60" i="86"/>
  <c r="P60" i="55"/>
  <c r="P60" i="119"/>
  <c r="P60" i="25"/>
  <c r="P60" i="167"/>
  <c r="P60" i="145"/>
  <c r="P60" i="87"/>
  <c r="P60" i="68"/>
  <c r="P60" i="31"/>
  <c r="P60" i="50"/>
  <c r="P60" i="37"/>
  <c r="P60" i="28"/>
  <c r="P60" i="57"/>
  <c r="P60" i="38"/>
  <c r="P183" i="155"/>
  <c r="P183" i="85"/>
  <c r="P183" i="158"/>
  <c r="P183" i="177"/>
  <c r="P183" i="19"/>
  <c r="P183" i="157"/>
  <c r="P183" i="95"/>
  <c r="P183" i="87"/>
  <c r="P183" i="84"/>
  <c r="P183" i="53"/>
  <c r="P183" i="104"/>
  <c r="P183" i="135"/>
  <c r="P183" i="31"/>
  <c r="P183" i="103"/>
  <c r="P183" i="15"/>
  <c r="P183" i="57"/>
  <c r="P183" i="47"/>
  <c r="P183" i="16"/>
  <c r="P183" i="55"/>
  <c r="P183" i="98"/>
  <c r="P183" i="178"/>
  <c r="P183" i="106"/>
  <c r="P183" i="120"/>
  <c r="P183" i="64"/>
  <c r="P183" i="66"/>
  <c r="P183" i="164"/>
  <c r="P183" i="37"/>
  <c r="P183" i="175"/>
  <c r="P183" i="142"/>
  <c r="P183" i="25"/>
  <c r="P183" i="152"/>
  <c r="P183" i="79"/>
  <c r="P183" i="102"/>
  <c r="P183" i="86"/>
  <c r="P183" i="42"/>
  <c r="P183" i="133"/>
  <c r="P183" i="32"/>
  <c r="P183" i="119"/>
  <c r="P183" i="20"/>
  <c r="P183" i="165"/>
  <c r="P183" i="54"/>
  <c r="P183" i="38"/>
  <c r="P183" i="58"/>
  <c r="P183" i="174"/>
  <c r="P183" i="167"/>
  <c r="P183" i="27"/>
  <c r="P183" i="24"/>
  <c r="P183" i="118"/>
  <c r="P183" i="92"/>
  <c r="P183" i="72"/>
  <c r="P183" i="83"/>
  <c r="P183" i="65"/>
  <c r="P183" i="145"/>
  <c r="P183" i="90"/>
  <c r="P183" i="71"/>
  <c r="P183" i="49"/>
  <c r="P183" i="28"/>
  <c r="P183" i="150"/>
  <c r="P183" i="14"/>
  <c r="P183" i="113"/>
  <c r="P183" i="33"/>
  <c r="P183" i="46"/>
  <c r="P183" i="94"/>
  <c r="P183" i="111"/>
  <c r="P183" i="68"/>
  <c r="P183" i="159"/>
  <c r="P183" i="39"/>
  <c r="P183" i="43"/>
  <c r="P183" i="136"/>
  <c r="P183" i="89"/>
  <c r="P183" i="50"/>
  <c r="P183" i="62"/>
  <c r="P183" i="1"/>
  <c r="P183" i="63"/>
  <c r="P183" i="141"/>
  <c r="P183" i="156"/>
  <c r="P183" i="21"/>
  <c r="P183" i="60"/>
  <c r="P187" i="178"/>
  <c r="P187" i="155"/>
  <c r="P187" i="118"/>
  <c r="P187" i="33"/>
  <c r="P187" i="135"/>
  <c r="P187" i="106"/>
  <c r="P187" i="64"/>
  <c r="P187" i="57"/>
  <c r="P187" i="175"/>
  <c r="P187" i="152"/>
  <c r="P187" i="58"/>
  <c r="P187" i="103"/>
  <c r="P187" i="1"/>
  <c r="P187" i="60"/>
  <c r="P187" i="71"/>
  <c r="P187" i="141"/>
  <c r="P187" i="167"/>
  <c r="P187" i="54"/>
  <c r="P187" i="25"/>
  <c r="P187" i="15"/>
  <c r="P187" i="136"/>
  <c r="P187" i="14"/>
  <c r="P187" i="113"/>
  <c r="P187" i="21"/>
  <c r="P187" i="133"/>
  <c r="P187" i="157"/>
  <c r="P187" i="28"/>
  <c r="P187" i="98"/>
  <c r="P187" i="68"/>
  <c r="P187" i="16"/>
  <c r="P187" i="50"/>
  <c r="P187" i="89"/>
  <c r="P187" i="65"/>
  <c r="P187" i="164"/>
  <c r="P187" i="165"/>
  <c r="P187" i="37"/>
  <c r="P187" i="159"/>
  <c r="P187" i="142"/>
  <c r="P187" i="53"/>
  <c r="P187" i="92"/>
  <c r="P187" i="95"/>
  <c r="P187" i="104"/>
  <c r="P187" i="62"/>
  <c r="P187" i="43"/>
  <c r="P187" i="86"/>
  <c r="P187" i="102"/>
  <c r="P187" i="63"/>
  <c r="P187" i="150"/>
  <c r="P187" i="66"/>
  <c r="P187" i="31"/>
  <c r="P187" i="120"/>
  <c r="P187" i="84"/>
  <c r="P187" i="90"/>
  <c r="P187" i="20"/>
  <c r="P187" i="47"/>
  <c r="P187" i="158"/>
  <c r="P187" i="46"/>
  <c r="P187" i="119"/>
  <c r="P187" i="87"/>
  <c r="P187" i="174"/>
  <c r="P187" i="42"/>
  <c r="P187" i="85"/>
  <c r="P187" i="32"/>
  <c r="P187" i="49"/>
  <c r="P187" i="145"/>
  <c r="P187" i="39"/>
  <c r="P187" i="19"/>
  <c r="P187" i="72"/>
  <c r="P187" i="156"/>
  <c r="P187" i="94"/>
  <c r="P187" i="38"/>
  <c r="P187" i="27"/>
  <c r="P187" i="177"/>
  <c r="P187" i="111"/>
  <c r="P187" i="55"/>
  <c r="P187" i="79"/>
  <c r="P187" i="83"/>
  <c r="P187" i="24"/>
  <c r="P211" i="174"/>
  <c r="P211" i="152"/>
  <c r="P211" i="84"/>
  <c r="P211" i="175"/>
  <c r="P211" i="64"/>
  <c r="P211" i="104"/>
  <c r="P211" i="118"/>
  <c r="P211" i="55"/>
  <c r="P211" i="135"/>
  <c r="P211" i="111"/>
  <c r="P211" i="42"/>
  <c r="P211" i="68"/>
  <c r="P211" i="32"/>
  <c r="P211" i="65"/>
  <c r="P211" i="53"/>
  <c r="P211" i="102"/>
  <c r="P211" i="43"/>
  <c r="P211" i="178"/>
  <c r="P211" i="47"/>
  <c r="P211" i="90"/>
  <c r="P211" i="39"/>
  <c r="P211" i="113"/>
  <c r="P211" i="15"/>
  <c r="P211" i="37"/>
  <c r="P211" i="24"/>
  <c r="P211" i="156"/>
  <c r="P211" i="16"/>
  <c r="P211" i="28"/>
  <c r="P211" i="27"/>
  <c r="P211" i="95"/>
  <c r="P211" i="72"/>
  <c r="P211" i="89"/>
  <c r="P211" i="38"/>
  <c r="P211" i="158"/>
  <c r="P211" i="120"/>
  <c r="P211" i="83"/>
  <c r="P211" i="165"/>
  <c r="P211" i="98"/>
  <c r="P211" i="25"/>
  <c r="P211" i="87"/>
  <c r="P211" i="21"/>
  <c r="P211" i="85"/>
  <c r="P211" i="79"/>
  <c r="P211" i="103"/>
  <c r="P211" i="133"/>
  <c r="P211" i="92"/>
  <c r="P211" i="33"/>
  <c r="P211" i="119"/>
  <c r="P211" i="150"/>
  <c r="P211" i="71"/>
  <c r="P211" i="60"/>
  <c r="P211" i="94"/>
  <c r="P211" i="54"/>
  <c r="P211" i="106"/>
  <c r="P211" i="142"/>
  <c r="P211" i="58"/>
  <c r="P211" i="20"/>
  <c r="P211" i="66"/>
  <c r="P211" i="145"/>
  <c r="P211" i="86"/>
  <c r="P211" i="159"/>
  <c r="P211" i="19"/>
  <c r="P211" i="31"/>
  <c r="P211" i="50"/>
  <c r="P211" i="141"/>
  <c r="P211" i="157"/>
  <c r="P211" i="177"/>
  <c r="P211" i="14"/>
  <c r="P211" i="155"/>
  <c r="P211" i="63"/>
  <c r="P211" i="167"/>
  <c r="P211" i="57"/>
  <c r="P211" i="46"/>
  <c r="P211" i="62"/>
  <c r="P211" i="1"/>
  <c r="P211" i="164"/>
  <c r="P211" i="136"/>
  <c r="P211" i="49"/>
  <c r="P73" i="157"/>
  <c r="P73" i="83"/>
  <c r="P73" i="79"/>
  <c r="P73" i="133"/>
  <c r="P73" i="38"/>
  <c r="P73" i="28"/>
  <c r="P73" i="98"/>
  <c r="P73" i="71"/>
  <c r="P73" i="58"/>
  <c r="P73" i="164"/>
  <c r="P73" i="152"/>
  <c r="P73" i="42"/>
  <c r="P73" i="113"/>
  <c r="P73" i="68"/>
  <c r="P73" i="87"/>
  <c r="P73" i="39"/>
  <c r="P73" i="95"/>
  <c r="P73" i="94"/>
  <c r="P73" i="167"/>
  <c r="P73" i="141"/>
  <c r="P73" i="50"/>
  <c r="P73" i="158"/>
  <c r="P73" i="85"/>
  <c r="P73" i="20"/>
  <c r="P73" i="47"/>
  <c r="P73" i="31"/>
  <c r="P73" i="63"/>
  <c r="P73" i="55"/>
  <c r="P73" i="33"/>
  <c r="P73" i="66"/>
  <c r="P73" i="104"/>
  <c r="P73" i="60"/>
  <c r="P73" i="24"/>
  <c r="P73" i="175"/>
  <c r="P73" i="84"/>
  <c r="P73" i="1"/>
  <c r="P73" i="32"/>
  <c r="P73" i="90"/>
  <c r="P73" i="49"/>
  <c r="P73" i="37"/>
  <c r="P73" i="136"/>
  <c r="P73" i="27"/>
  <c r="P73" i="15"/>
  <c r="P73" i="165"/>
  <c r="P73" i="86"/>
  <c r="P73" i="155"/>
  <c r="P73" i="43"/>
  <c r="P73" i="177"/>
  <c r="P73" i="65"/>
  <c r="P73" i="178"/>
  <c r="P73" i="156"/>
  <c r="P73" i="150"/>
  <c r="P73" i="135"/>
  <c r="P73" i="103"/>
  <c r="P73" i="62"/>
  <c r="P73" i="142"/>
  <c r="P73" i="120"/>
  <c r="P73" i="54"/>
  <c r="P73" i="111"/>
  <c r="P73" i="102"/>
  <c r="P73" i="174"/>
  <c r="P73" i="145"/>
  <c r="P73" i="21"/>
  <c r="P73" i="14"/>
  <c r="P73" i="106"/>
  <c r="P73" i="119"/>
  <c r="P73" i="57"/>
  <c r="P73" i="89"/>
  <c r="P73" i="46"/>
  <c r="P73" i="64"/>
  <c r="P73" i="118"/>
  <c r="P73" i="16"/>
  <c r="P73" i="92"/>
  <c r="P73" i="19"/>
  <c r="P73" i="159"/>
  <c r="P73" i="53"/>
  <c r="P73" i="72"/>
  <c r="P73" i="25"/>
  <c r="P208" i="152"/>
  <c r="P208" i="68"/>
  <c r="P208" i="120"/>
  <c r="P208" i="103"/>
  <c r="P208" i="46"/>
  <c r="P208" i="14"/>
  <c r="P208" i="39"/>
  <c r="P208" i="113"/>
  <c r="P208" i="38"/>
  <c r="P208" i="49"/>
  <c r="P208" i="159"/>
  <c r="P208" i="15"/>
  <c r="P208" i="1"/>
  <c r="P208" i="66"/>
  <c r="P208" i="27"/>
  <c r="P208" i="102"/>
  <c r="P208" i="86"/>
  <c r="P208" i="92"/>
  <c r="P208" i="16"/>
  <c r="P208" i="156"/>
  <c r="P208" i="167"/>
  <c r="P208" i="98"/>
  <c r="P208" i="55"/>
  <c r="P208" i="60"/>
  <c r="P208" i="24"/>
  <c r="P208" i="21"/>
  <c r="P208" i="25"/>
  <c r="P208" i="104"/>
  <c r="P208" i="50"/>
  <c r="P208" i="177"/>
  <c r="P208" i="157"/>
  <c r="P208" i="62"/>
  <c r="P208" i="28"/>
  <c r="P208" i="42"/>
  <c r="P208" i="95"/>
  <c r="P208" i="85"/>
  <c r="P208" i="32"/>
  <c r="P208" i="20"/>
  <c r="P208" i="79"/>
  <c r="P208" i="178"/>
  <c r="P208" i="174"/>
  <c r="P208" i="145"/>
  <c r="P208" i="133"/>
  <c r="P208" i="37"/>
  <c r="P208" i="83"/>
  <c r="P208" i="71"/>
  <c r="P208" i="89"/>
  <c r="P208" i="63"/>
  <c r="P208" i="164"/>
  <c r="P208" i="158"/>
  <c r="P208" i="19"/>
  <c r="P208" i="43"/>
  <c r="P208" i="142"/>
  <c r="P208" i="58"/>
  <c r="P208" i="119"/>
  <c r="P208" i="87"/>
  <c r="P208" i="118"/>
  <c r="P208" i="57"/>
  <c r="P208" i="175"/>
  <c r="P208" i="111"/>
  <c r="P208" i="65"/>
  <c r="P208" i="84"/>
  <c r="P208" i="135"/>
  <c r="P208" i="150"/>
  <c r="P208" i="94"/>
  <c r="P208" i="72"/>
  <c r="P208" i="136"/>
  <c r="P208" i="90"/>
  <c r="P208" i="155"/>
  <c r="P208" i="141"/>
  <c r="P208" i="31"/>
  <c r="P208" i="64"/>
  <c r="P208" i="33"/>
  <c r="P208" i="47"/>
  <c r="P208" i="106"/>
  <c r="P208" i="54"/>
  <c r="P208" i="53"/>
  <c r="P208" i="165"/>
  <c r="P156" i="167"/>
  <c r="P156" i="133"/>
  <c r="P156" i="19"/>
  <c r="P156" i="83"/>
  <c r="P156" i="87"/>
  <c r="P156" i="54"/>
  <c r="P156" i="50"/>
  <c r="P156" i="68"/>
  <c r="P156" i="1"/>
  <c r="P156" i="55"/>
  <c r="P156" i="165"/>
  <c r="P156" i="58"/>
  <c r="P156" i="66"/>
  <c r="P156" i="113"/>
  <c r="P156" i="63"/>
  <c r="P156" i="72"/>
  <c r="P156" i="94"/>
  <c r="P156" i="28"/>
  <c r="P156" i="177"/>
  <c r="P156" i="141"/>
  <c r="P156" i="95"/>
  <c r="P156" i="60"/>
  <c r="P156" i="135"/>
  <c r="P156" i="92"/>
  <c r="P156" i="102"/>
  <c r="P156" i="174"/>
  <c r="P156" i="175"/>
  <c r="P156" i="84"/>
  <c r="P156" i="65"/>
  <c r="P156" i="104"/>
  <c r="P156" i="16"/>
  <c r="P156" i="142"/>
  <c r="P156" i="157"/>
  <c r="P156" i="145"/>
  <c r="P156" i="14"/>
  <c r="P156" i="85"/>
  <c r="P156" i="39"/>
  <c r="P156" i="20"/>
  <c r="P156" i="136"/>
  <c r="P156" i="164"/>
  <c r="P156" i="150"/>
  <c r="P156" i="119"/>
  <c r="P156" i="118"/>
  <c r="P156" i="21"/>
  <c r="P156" i="31"/>
  <c r="P156" i="62"/>
  <c r="P156" i="64"/>
  <c r="P156" i="158"/>
  <c r="P156" i="98"/>
  <c r="P156" i="42"/>
  <c r="P156" i="25"/>
  <c r="P156" i="57"/>
  <c r="P156" i="120"/>
  <c r="P156" i="43"/>
  <c r="P156" i="152"/>
  <c r="P156" i="156"/>
  <c r="P156" i="90"/>
  <c r="P156" i="53"/>
  <c r="P156" i="33"/>
  <c r="P156" i="89"/>
  <c r="P156" i="37"/>
  <c r="P156" i="103"/>
  <c r="P156" i="46"/>
  <c r="P156" i="79"/>
  <c r="P156" i="15"/>
  <c r="P156" i="38"/>
  <c r="P156" i="27"/>
  <c r="P156" i="106"/>
  <c r="P156" i="24"/>
  <c r="P156" i="47"/>
  <c r="P156" i="32"/>
  <c r="P156" i="178"/>
  <c r="P156" i="71"/>
  <c r="P156" i="111"/>
  <c r="P156" i="155"/>
  <c r="P156" i="49"/>
  <c r="P156" i="159"/>
  <c r="P156" i="86"/>
  <c r="P210" i="164"/>
  <c r="P210" i="159"/>
  <c r="P210" i="68"/>
  <c r="P210" i="31"/>
  <c r="P210" i="57"/>
  <c r="P210" i="119"/>
  <c r="P210" i="65"/>
  <c r="P210" i="118"/>
  <c r="P210" i="55"/>
  <c r="P210" i="33"/>
  <c r="P210" i="165"/>
  <c r="P210" i="175"/>
  <c r="P210" i="106"/>
  <c r="P210" i="133"/>
  <c r="P210" i="83"/>
  <c r="P210" i="84"/>
  <c r="P210" i="16"/>
  <c r="P210" i="21"/>
  <c r="P210" i="150"/>
  <c r="P210" i="19"/>
  <c r="P210" i="66"/>
  <c r="P210" i="72"/>
  <c r="P210" i="136"/>
  <c r="P210" i="62"/>
  <c r="P210" i="87"/>
  <c r="P210" i="89"/>
  <c r="P210" i="60"/>
  <c r="P210" i="15"/>
  <c r="P210" i="152"/>
  <c r="P210" i="156"/>
  <c r="P210" i="43"/>
  <c r="P210" i="24"/>
  <c r="P210" i="39"/>
  <c r="P210" i="104"/>
  <c r="P210" i="95"/>
  <c r="P210" i="54"/>
  <c r="P210" i="49"/>
  <c r="P210" i="38"/>
  <c r="P210" i="167"/>
  <c r="P210" i="46"/>
  <c r="P210" i="85"/>
  <c r="P210" i="50"/>
  <c r="P210" i="141"/>
  <c r="P210" i="158"/>
  <c r="P210" i="1"/>
  <c r="P210" i="71"/>
  <c r="P210" i="120"/>
  <c r="P210" i="178"/>
  <c r="P210" i="145"/>
  <c r="P210" i="86"/>
  <c r="P210" i="79"/>
  <c r="P210" i="98"/>
  <c r="P210" i="90"/>
  <c r="P210" i="155"/>
  <c r="P210" i="142"/>
  <c r="P210" i="113"/>
  <c r="P210" i="94"/>
  <c r="P210" i="37"/>
  <c r="P210" i="157"/>
  <c r="P210" i="58"/>
  <c r="P210" i="53"/>
  <c r="P210" i="27"/>
  <c r="P210" i="103"/>
  <c r="P210" i="174"/>
  <c r="P210" i="32"/>
  <c r="P210" i="92"/>
  <c r="P210" i="63"/>
  <c r="P210" i="42"/>
  <c r="P210" i="14"/>
  <c r="P210" i="47"/>
  <c r="P210" i="102"/>
  <c r="P210" i="64"/>
  <c r="P210" i="177"/>
  <c r="P210" i="135"/>
  <c r="P210" i="25"/>
  <c r="P210" i="28"/>
  <c r="P210" i="111"/>
  <c r="P210" i="20"/>
  <c r="P190" i="158"/>
  <c r="P190" i="175"/>
  <c r="P190" i="42"/>
  <c r="P190" i="104"/>
  <c r="P190" i="39"/>
  <c r="P190" i="118"/>
  <c r="P190" i="57"/>
  <c r="P190" i="142"/>
  <c r="P190" i="119"/>
  <c r="P190" i="111"/>
  <c r="P190" i="156"/>
  <c r="P190" i="65"/>
  <c r="P190" i="20"/>
  <c r="P190" i="86"/>
  <c r="P190" i="62"/>
  <c r="P190" i="37"/>
  <c r="P190" i="1"/>
  <c r="P190" i="64"/>
  <c r="P190" i="164"/>
  <c r="P190" i="165"/>
  <c r="P190" i="32"/>
  <c r="P190" i="27"/>
  <c r="P190" i="31"/>
  <c r="P190" i="25"/>
  <c r="P190" i="58"/>
  <c r="P190" i="92"/>
  <c r="P190" i="98"/>
  <c r="P190" i="90"/>
  <c r="P190" i="157"/>
  <c r="P190" i="113"/>
  <c r="P190" i="83"/>
  <c r="P190" i="50"/>
  <c r="P190" i="177"/>
  <c r="P190" i="72"/>
  <c r="P190" i="38"/>
  <c r="P190" i="28"/>
  <c r="P190" i="19"/>
  <c r="P190" i="152"/>
  <c r="P190" i="145"/>
  <c r="P190" i="87"/>
  <c r="P190" i="95"/>
  <c r="P190" i="89"/>
  <c r="P190" i="14"/>
  <c r="P190" i="68"/>
  <c r="P190" i="46"/>
  <c r="P190" i="133"/>
  <c r="P190" i="167"/>
  <c r="P190" i="150"/>
  <c r="P190" i="53"/>
  <c r="P190" i="66"/>
  <c r="P190" i="49"/>
  <c r="P190" i="21"/>
  <c r="P190" i="55"/>
  <c r="P190" i="141"/>
  <c r="P190" i="79"/>
  <c r="P190" i="84"/>
  <c r="P190" i="85"/>
  <c r="P190" i="102"/>
  <c r="P190" i="94"/>
  <c r="P190" i="24"/>
  <c r="P190" i="43"/>
  <c r="P190" i="54"/>
  <c r="P190" i="71"/>
  <c r="P190" i="16"/>
  <c r="P190" i="60"/>
  <c r="P190" i="15"/>
  <c r="P190" i="174"/>
  <c r="P190" i="135"/>
  <c r="P190" i="120"/>
  <c r="P190" i="155"/>
  <c r="P190" i="136"/>
  <c r="P190" i="106"/>
  <c r="P190" i="178"/>
  <c r="P190" i="63"/>
  <c r="P190" i="47"/>
  <c r="P190" i="159"/>
  <c r="P190" i="33"/>
  <c r="P190" i="103"/>
  <c r="P157" i="178"/>
  <c r="P157" i="159"/>
  <c r="P157" i="98"/>
  <c r="P157" i="68"/>
  <c r="P157" i="24"/>
  <c r="P157" i="152"/>
  <c r="P157" i="86"/>
  <c r="P157" i="119"/>
  <c r="P157" i="95"/>
  <c r="P157" i="141"/>
  <c r="P157" i="53"/>
  <c r="P157" i="104"/>
  <c r="P157" i="21"/>
  <c r="P157" i="38"/>
  <c r="P157" i="157"/>
  <c r="P157" i="14"/>
  <c r="P157" i="118"/>
  <c r="P157" i="43"/>
  <c r="P157" i="174"/>
  <c r="P157" i="167"/>
  <c r="P157" i="83"/>
  <c r="P157" i="87"/>
  <c r="P157" i="133"/>
  <c r="P157" i="102"/>
  <c r="P157" i="25"/>
  <c r="P157" i="62"/>
  <c r="P157" i="120"/>
  <c r="P157" i="54"/>
  <c r="P157" i="165"/>
  <c r="P157" i="37"/>
  <c r="P157" i="31"/>
  <c r="P157" i="158"/>
  <c r="P157" i="32"/>
  <c r="P157" i="85"/>
  <c r="P157" i="72"/>
  <c r="P157" i="1"/>
  <c r="P157" i="58"/>
  <c r="P157" i="175"/>
  <c r="P157" i="136"/>
  <c r="P157" i="106"/>
  <c r="P157" i="103"/>
  <c r="P157" i="135"/>
  <c r="P157" i="39"/>
  <c r="P157" i="65"/>
  <c r="P157" i="177"/>
  <c r="P157" i="20"/>
  <c r="P157" i="19"/>
  <c r="P157" i="49"/>
  <c r="P157" i="15"/>
  <c r="P157" i="71"/>
  <c r="P157" i="27"/>
  <c r="P157" i="90"/>
  <c r="P157" i="46"/>
  <c r="P157" i="57"/>
  <c r="P157" i="89"/>
  <c r="P157" i="64"/>
  <c r="P157" i="92"/>
  <c r="P157" i="66"/>
  <c r="P157" i="94"/>
  <c r="P157" i="156"/>
  <c r="P157" i="16"/>
  <c r="P157" i="164"/>
  <c r="P157" i="84"/>
  <c r="P157" i="63"/>
  <c r="P157" i="113"/>
  <c r="P157" i="145"/>
  <c r="P157" i="47"/>
  <c r="P157" i="155"/>
  <c r="P157" i="50"/>
  <c r="P157" i="111"/>
  <c r="P157" i="42"/>
  <c r="P157" i="60"/>
  <c r="P157" i="79"/>
  <c r="P157" i="142"/>
  <c r="P157" i="33"/>
  <c r="P157" i="55"/>
  <c r="P157" i="150"/>
  <c r="P157" i="28"/>
  <c r="P97" i="178"/>
  <c r="P97" i="177"/>
  <c r="P97" i="152"/>
  <c r="P97" i="19"/>
  <c r="P97" i="106"/>
  <c r="P97" i="145"/>
  <c r="P97" i="21"/>
  <c r="P97" i="46"/>
  <c r="P97" i="155"/>
  <c r="P97" i="55"/>
  <c r="P97" i="136"/>
  <c r="P97" i="164"/>
  <c r="P97" i="159"/>
  <c r="P97" i="141"/>
  <c r="P97" i="65"/>
  <c r="P97" i="43"/>
  <c r="P97" i="135"/>
  <c r="P97" i="38"/>
  <c r="P97" i="39"/>
  <c r="P97" i="111"/>
  <c r="P97" i="85"/>
  <c r="P97" i="53"/>
  <c r="P97" i="167"/>
  <c r="P97" i="83"/>
  <c r="P97" i="92"/>
  <c r="P97" i="27"/>
  <c r="P97" i="64"/>
  <c r="P97" i="14"/>
  <c r="P97" i="120"/>
  <c r="P97" i="71"/>
  <c r="P97" i="119"/>
  <c r="P97" i="156"/>
  <c r="P97" i="118"/>
  <c r="P97" i="68"/>
  <c r="P97" i="142"/>
  <c r="P97" i="50"/>
  <c r="P97" i="133"/>
  <c r="P97" i="103"/>
  <c r="P97" i="28"/>
  <c r="P97" i="84"/>
  <c r="P97" i="49"/>
  <c r="P97" i="57"/>
  <c r="P97" i="113"/>
  <c r="P97" i="37"/>
  <c r="P97" i="175"/>
  <c r="P97" i="33"/>
  <c r="P97" i="42"/>
  <c r="P97" i="24"/>
  <c r="P97" i="72"/>
  <c r="P97" i="174"/>
  <c r="P97" i="58"/>
  <c r="P97" i="66"/>
  <c r="P97" i="89"/>
  <c r="P97" i="79"/>
  <c r="P97" i="54"/>
  <c r="P97" i="32"/>
  <c r="P97" i="98"/>
  <c r="P97" i="16"/>
  <c r="P97" i="47"/>
  <c r="P97" i="90"/>
  <c r="P97" i="25"/>
  <c r="P97" i="157"/>
  <c r="P97" i="95"/>
  <c r="P97" i="86"/>
  <c r="P97" i="165"/>
  <c r="P97" i="31"/>
  <c r="P97" i="104"/>
  <c r="P97" i="63"/>
  <c r="P97" i="1"/>
  <c r="P97" i="15"/>
  <c r="P97" i="150"/>
  <c r="P97" i="20"/>
  <c r="P97" i="94"/>
  <c r="P97" i="62"/>
  <c r="P97" i="60"/>
  <c r="P97" i="87"/>
  <c r="P97" i="158"/>
  <c r="P97" i="102"/>
  <c r="P110" i="177"/>
  <c r="P110" i="47"/>
  <c r="P110" i="98"/>
  <c r="P110" i="65"/>
  <c r="P110" i="72"/>
  <c r="P110" i="178"/>
  <c r="P110" i="49"/>
  <c r="P110" i="102"/>
  <c r="P110" i="21"/>
  <c r="P110" i="31"/>
  <c r="P110" i="133"/>
  <c r="P110" i="152"/>
  <c r="P110" i="120"/>
  <c r="P110" i="87"/>
  <c r="P110" i="32"/>
  <c r="P110" i="111"/>
  <c r="P110" i="106"/>
  <c r="P110" i="58"/>
  <c r="P110" i="60"/>
  <c r="P110" i="156"/>
  <c r="P110" i="15"/>
  <c r="P110" i="16"/>
  <c r="P110" i="155"/>
  <c r="P110" i="157"/>
  <c r="P110" i="135"/>
  <c r="P110" i="1"/>
  <c r="P110" i="46"/>
  <c r="P110" i="43"/>
  <c r="P110" i="145"/>
  <c r="P110" i="37"/>
  <c r="P110" i="64"/>
  <c r="P110" i="167"/>
  <c r="P110" i="104"/>
  <c r="P110" i="150"/>
  <c r="P110" i="50"/>
  <c r="P110" i="119"/>
  <c r="P110" i="25"/>
  <c r="P110" i="14"/>
  <c r="P110" i="24"/>
  <c r="P110" i="141"/>
  <c r="P110" i="158"/>
  <c r="P110" i="55"/>
  <c r="P110" i="63"/>
  <c r="P110" i="83"/>
  <c r="P110" i="62"/>
  <c r="P110" i="165"/>
  <c r="P110" i="113"/>
  <c r="P110" i="136"/>
  <c r="P110" i="53"/>
  <c r="P110" i="19"/>
  <c r="P110" i="33"/>
  <c r="P110" i="68"/>
  <c r="P110" i="159"/>
  <c r="P110" i="79"/>
  <c r="P110" i="95"/>
  <c r="P110" i="84"/>
  <c r="P110" i="66"/>
  <c r="P110" i="38"/>
  <c r="P110" i="28"/>
  <c r="P110" i="39"/>
  <c r="P110" i="103"/>
  <c r="P110" i="86"/>
  <c r="P110" i="174"/>
  <c r="P110" i="54"/>
  <c r="P110" i="71"/>
  <c r="P110" i="85"/>
  <c r="P110" i="57"/>
  <c r="P110" i="20"/>
  <c r="P110" i="94"/>
  <c r="P110" i="89"/>
  <c r="P110" i="118"/>
  <c r="P110" i="27"/>
  <c r="P110" i="175"/>
  <c r="P110" i="164"/>
  <c r="P110" i="92"/>
  <c r="P110" i="90"/>
  <c r="P110" i="42"/>
  <c r="P110" i="142"/>
  <c r="P163" i="55"/>
  <c r="P163" i="1"/>
  <c r="P163" i="64"/>
  <c r="P163" i="159"/>
  <c r="P163" i="95"/>
  <c r="P163" i="25"/>
  <c r="P163" i="157"/>
  <c r="P163" i="141"/>
  <c r="P163" i="111"/>
  <c r="P163" i="62"/>
  <c r="P163" i="39"/>
  <c r="P163" i="21"/>
  <c r="P163" i="113"/>
  <c r="P163" i="19"/>
  <c r="P163" i="24"/>
  <c r="P163" i="142"/>
  <c r="P163" i="120"/>
  <c r="P163" i="85"/>
  <c r="P163" i="49"/>
  <c r="P163" i="178"/>
  <c r="P163" i="65"/>
  <c r="P163" i="15"/>
  <c r="P163" i="43"/>
  <c r="P163" i="92"/>
  <c r="P163" i="136"/>
  <c r="P163" i="102"/>
  <c r="P163" i="152"/>
  <c r="P163" i="103"/>
  <c r="P163" i="89"/>
  <c r="P163" i="66"/>
  <c r="P163" i="37"/>
  <c r="P163" i="72"/>
  <c r="P163" i="60"/>
  <c r="P163" i="119"/>
  <c r="P163" i="158"/>
  <c r="P163" i="28"/>
  <c r="P163" i="90"/>
  <c r="P163" i="174"/>
  <c r="P163" i="155"/>
  <c r="P163" i="94"/>
  <c r="P163" i="150"/>
  <c r="P163" i="58"/>
  <c r="P163" i="87"/>
  <c r="P163" i="145"/>
  <c r="P163" i="98"/>
  <c r="P163" i="68"/>
  <c r="P163" i="27"/>
  <c r="P163" i="175"/>
  <c r="P163" i="16"/>
  <c r="P163" i="133"/>
  <c r="P163" i="54"/>
  <c r="P163" i="84"/>
  <c r="P163" i="83"/>
  <c r="P163" i="38"/>
  <c r="P163" i="71"/>
  <c r="P163" i="14"/>
  <c r="P163" i="165"/>
  <c r="P163" i="104"/>
  <c r="P163" i="50"/>
  <c r="P163" i="47"/>
  <c r="P163" i="31"/>
  <c r="P163" i="118"/>
  <c r="P163" i="20"/>
  <c r="P163" i="135"/>
  <c r="P163" i="177"/>
  <c r="P163" i="33"/>
  <c r="P163" i="57"/>
  <c r="P163" i="79"/>
  <c r="P163" i="106"/>
  <c r="P163" i="63"/>
  <c r="P163" i="42"/>
  <c r="P163" i="53"/>
  <c r="P163" i="32"/>
  <c r="P163" i="86"/>
  <c r="P163" i="46"/>
  <c r="P163" i="164"/>
  <c r="P163" i="156"/>
  <c r="P163" i="167"/>
  <c r="P80" i="157"/>
  <c r="P80" i="167"/>
  <c r="P80" i="155"/>
  <c r="P80" i="24"/>
  <c r="P80" i="50"/>
  <c r="P80" i="90"/>
  <c r="P80" i="1"/>
  <c r="P80" i="27"/>
  <c r="P80" i="25"/>
  <c r="P80" i="46"/>
  <c r="P80" i="58"/>
  <c r="P80" i="159"/>
  <c r="P80" i="32"/>
  <c r="P80" i="54"/>
  <c r="P80" i="63"/>
  <c r="P80" i="66"/>
  <c r="P80" i="95"/>
  <c r="P80" i="164"/>
  <c r="P80" i="47"/>
  <c r="P80" i="145"/>
  <c r="P80" i="92"/>
  <c r="P80" i="102"/>
  <c r="P80" i="104"/>
  <c r="P80" i="68"/>
  <c r="P80" i="119"/>
  <c r="P80" i="57"/>
  <c r="P80" i="14"/>
  <c r="P80" i="113"/>
  <c r="P80" i="15"/>
  <c r="P80" i="142"/>
  <c r="P80" i="136"/>
  <c r="P80" i="177"/>
  <c r="P80" i="135"/>
  <c r="P80" i="71"/>
  <c r="P80" i="79"/>
  <c r="P80" i="152"/>
  <c r="P80" i="64"/>
  <c r="P80" i="42"/>
  <c r="P80" i="33"/>
  <c r="P80" i="156"/>
  <c r="P80" i="178"/>
  <c r="P80" i="118"/>
  <c r="P80" i="20"/>
  <c r="P80" i="86"/>
  <c r="P80" i="62"/>
  <c r="P80" i="55"/>
  <c r="P80" i="31"/>
  <c r="P80" i="53"/>
  <c r="P80" i="106"/>
  <c r="P80" i="98"/>
  <c r="P80" i="174"/>
  <c r="P80" i="133"/>
  <c r="P80" i="60"/>
  <c r="P80" i="72"/>
  <c r="P80" i="150"/>
  <c r="P80" i="49"/>
  <c r="P80" i="38"/>
  <c r="P80" i="141"/>
  <c r="P80" i="87"/>
  <c r="P80" i="175"/>
  <c r="P80" i="39"/>
  <c r="P80" i="158"/>
  <c r="P80" i="89"/>
  <c r="P80" i="21"/>
  <c r="P80" i="85"/>
  <c r="P80" i="165"/>
  <c r="P80" i="37"/>
  <c r="P80" i="120"/>
  <c r="P80" i="83"/>
  <c r="P80" i="111"/>
  <c r="P80" i="28"/>
  <c r="P80" i="16"/>
  <c r="P80" i="84"/>
  <c r="P80" i="43"/>
  <c r="P80" i="19"/>
  <c r="P80" i="103"/>
  <c r="P80" i="94"/>
  <c r="P80" i="65"/>
  <c r="P162" i="178"/>
  <c r="P162" i="33"/>
  <c r="P162" i="136"/>
  <c r="P162" i="31"/>
  <c r="P162" i="14"/>
  <c r="P162" i="104"/>
  <c r="P162" i="49"/>
  <c r="P162" i="177"/>
  <c r="P162" i="94"/>
  <c r="P162" i="65"/>
  <c r="P162" i="145"/>
  <c r="P162" i="64"/>
  <c r="P162" i="53"/>
  <c r="P162" i="21"/>
  <c r="P162" i="142"/>
  <c r="P162" i="119"/>
  <c r="P162" i="66"/>
  <c r="P162" i="83"/>
  <c r="P162" i="55"/>
  <c r="P162" i="62"/>
  <c r="P162" i="150"/>
  <c r="P162" i="92"/>
  <c r="P162" i="42"/>
  <c r="P162" i="84"/>
  <c r="P162" i="157"/>
  <c r="P162" i="155"/>
  <c r="P162" i="111"/>
  <c r="P162" i="106"/>
  <c r="P162" i="71"/>
  <c r="P162" i="175"/>
  <c r="P162" i="16"/>
  <c r="P162" i="68"/>
  <c r="P162" i="24"/>
  <c r="P162" i="85"/>
  <c r="P162" i="32"/>
  <c r="P162" i="152"/>
  <c r="P162" i="28"/>
  <c r="P162" i="46"/>
  <c r="P162" i="15"/>
  <c r="P162" i="60"/>
  <c r="P162" i="50"/>
  <c r="P162" i="20"/>
  <c r="P162" i="159"/>
  <c r="P162" i="72"/>
  <c r="P162" i="98"/>
  <c r="P162" i="43"/>
  <c r="P162" i="174"/>
  <c r="P162" i="39"/>
  <c r="P162" i="102"/>
  <c r="P162" i="1"/>
  <c r="P162" i="118"/>
  <c r="P162" i="156"/>
  <c r="P162" i="57"/>
  <c r="P162" i="141"/>
  <c r="P162" i="19"/>
  <c r="P162" i="95"/>
  <c r="P162" i="86"/>
  <c r="P162" i="158"/>
  <c r="P162" i="47"/>
  <c r="P162" i="120"/>
  <c r="P162" i="167"/>
  <c r="P162" i="38"/>
  <c r="P162" i="58"/>
  <c r="P162" i="89"/>
  <c r="P162" i="135"/>
  <c r="P162" i="63"/>
  <c r="P162" i="54"/>
  <c r="P162" i="164"/>
  <c r="P162" i="133"/>
  <c r="P162" i="25"/>
  <c r="P162" i="113"/>
  <c r="P162" i="37"/>
  <c r="P162" i="103"/>
  <c r="P162" i="90"/>
  <c r="P162" i="27"/>
  <c r="P162" i="87"/>
  <c r="P162" i="165"/>
  <c r="P162" i="79"/>
  <c r="P62" i="157"/>
  <c r="P62" i="156"/>
  <c r="P62" i="31"/>
  <c r="P62" i="133"/>
  <c r="P62" i="103"/>
  <c r="P62" i="98"/>
  <c r="P62" i="25"/>
  <c r="P62" i="167"/>
  <c r="P62" i="86"/>
  <c r="P62" i="178"/>
  <c r="P62" i="164"/>
  <c r="P62" i="15"/>
  <c r="P62" i="50"/>
  <c r="P62" i="37"/>
  <c r="P62" i="155"/>
  <c r="P62" i="68"/>
  <c r="P62" i="47"/>
  <c r="P62" i="159"/>
  <c r="P62" i="113"/>
  <c r="P62" i="102"/>
  <c r="P62" i="142"/>
  <c r="P62" i="28"/>
  <c r="P62" i="79"/>
  <c r="P62" i="55"/>
  <c r="P62" i="174"/>
  <c r="P62" i="49"/>
  <c r="P62" i="20"/>
  <c r="P62" i="120"/>
  <c r="P62" i="46"/>
  <c r="P62" i="1"/>
  <c r="P62" i="33"/>
  <c r="P62" i="92"/>
  <c r="P62" i="32"/>
  <c r="P62" i="24"/>
  <c r="P62" i="16"/>
  <c r="P62" i="71"/>
  <c r="P62" i="57"/>
  <c r="P62" i="90"/>
  <c r="P62" i="106"/>
  <c r="P62" i="85"/>
  <c r="P62" i="14"/>
  <c r="P62" i="60"/>
  <c r="P62" i="83"/>
  <c r="P62" i="42"/>
  <c r="P62" i="58"/>
  <c r="P62" i="136"/>
  <c r="P62" i="145"/>
  <c r="P62" i="118"/>
  <c r="P62" i="95"/>
  <c r="P62" i="150"/>
  <c r="P62" i="89"/>
  <c r="P62" i="158"/>
  <c r="P62" i="38"/>
  <c r="P62" i="165"/>
  <c r="P62" i="135"/>
  <c r="P62" i="54"/>
  <c r="P62" i="65"/>
  <c r="P62" i="141"/>
  <c r="P62" i="87"/>
  <c r="P62" i="21"/>
  <c r="P62" i="62"/>
  <c r="P62" i="43"/>
  <c r="P62" i="19"/>
  <c r="P62" i="72"/>
  <c r="P62" i="63"/>
  <c r="P62" i="64"/>
  <c r="P62" i="27"/>
  <c r="P62" i="175"/>
  <c r="P62" i="111"/>
  <c r="P62" i="177"/>
  <c r="P62" i="39"/>
  <c r="P62" i="53"/>
  <c r="P62" i="152"/>
  <c r="P62" i="94"/>
  <c r="P62" i="119"/>
  <c r="P62" i="104"/>
  <c r="P62" i="66"/>
  <c r="P62" i="84"/>
  <c r="P37" i="167"/>
  <c r="P37" i="150"/>
  <c r="P37" i="55"/>
  <c r="P37" i="84"/>
  <c r="P37" i="24"/>
  <c r="P37" i="62"/>
  <c r="P37" i="72"/>
  <c r="P37" i="33"/>
  <c r="P37" i="25"/>
  <c r="P37" i="63"/>
  <c r="P37" i="152"/>
  <c r="P37" i="19"/>
  <c r="P37" i="159"/>
  <c r="P37" i="14"/>
  <c r="P37" i="95"/>
  <c r="P37" i="65"/>
  <c r="P37" i="37"/>
  <c r="P37" i="21"/>
  <c r="P37" i="57"/>
  <c r="P37" i="156"/>
  <c r="P37" i="133"/>
  <c r="P37" i="119"/>
  <c r="P37" i="32"/>
  <c r="P37" i="43"/>
  <c r="P37" i="135"/>
  <c r="P37" i="49"/>
  <c r="P37" i="104"/>
  <c r="P37" i="174"/>
  <c r="P37" i="175"/>
  <c r="P37" i="157"/>
  <c r="P37" i="120"/>
  <c r="P37" i="58"/>
  <c r="P37" i="66"/>
  <c r="P37" i="85"/>
  <c r="P37" i="158"/>
  <c r="P37" i="142"/>
  <c r="P37" i="79"/>
  <c r="P37" i="50"/>
  <c r="P37" i="39"/>
  <c r="P37" i="164"/>
  <c r="P37" i="145"/>
  <c r="P37" i="1"/>
  <c r="P37" i="141"/>
  <c r="P37" i="27"/>
  <c r="P37" i="71"/>
  <c r="P37" i="47"/>
  <c r="P37" i="86"/>
  <c r="P37" i="92"/>
  <c r="P37" i="118"/>
  <c r="P37" i="94"/>
  <c r="P37" i="155"/>
  <c r="P37" i="46"/>
  <c r="P37" i="53"/>
  <c r="P37" i="103"/>
  <c r="P37" i="102"/>
  <c r="P37" i="68"/>
  <c r="P37" i="87"/>
  <c r="P37" i="54"/>
  <c r="P37" i="136"/>
  <c r="P37" i="60"/>
  <c r="P37" i="113"/>
  <c r="P37" i="89"/>
  <c r="P37" i="20"/>
  <c r="P37" i="98"/>
  <c r="P37" i="28"/>
  <c r="P37" i="165"/>
  <c r="P37" i="64"/>
  <c r="P37" i="42"/>
  <c r="P37" i="106"/>
  <c r="P37" i="177"/>
  <c r="P37" i="16"/>
  <c r="P37" i="178"/>
  <c r="P37" i="90"/>
  <c r="P37" i="38"/>
  <c r="P37" i="15"/>
  <c r="P37" i="83"/>
  <c r="P37" i="111"/>
  <c r="P37" i="31"/>
  <c r="P196" i="177"/>
  <c r="P196" i="53"/>
  <c r="P196" i="16"/>
  <c r="P196" i="19"/>
  <c r="P196" i="37"/>
  <c r="P196" i="31"/>
  <c r="P196" i="152"/>
  <c r="P196" i="68"/>
  <c r="P196" i="87"/>
  <c r="P196" i="15"/>
  <c r="P196" i="142"/>
  <c r="P196" i="103"/>
  <c r="P196" i="120"/>
  <c r="P196" i="158"/>
  <c r="P196" i="98"/>
  <c r="P196" i="159"/>
  <c r="P196" i="24"/>
  <c r="P196" i="14"/>
  <c r="P196" i="155"/>
  <c r="P196" i="178"/>
  <c r="P196" i="46"/>
  <c r="P196" i="92"/>
  <c r="P196" i="1"/>
  <c r="P196" i="28"/>
  <c r="P196" i="20"/>
  <c r="P196" i="167"/>
  <c r="P196" i="60"/>
  <c r="P196" i="104"/>
  <c r="P196" i="42"/>
  <c r="P196" i="118"/>
  <c r="P196" i="102"/>
  <c r="P196" i="50"/>
  <c r="P196" i="21"/>
  <c r="P196" i="58"/>
  <c r="P196" i="43"/>
  <c r="P196" i="164"/>
  <c r="P196" i="119"/>
  <c r="P196" i="65"/>
  <c r="P196" i="90"/>
  <c r="P196" i="174"/>
  <c r="P196" i="25"/>
  <c r="P196" i="165"/>
  <c r="P196" i="150"/>
  <c r="P196" i="94"/>
  <c r="P196" i="141"/>
  <c r="P196" i="111"/>
  <c r="P196" i="63"/>
  <c r="P196" i="66"/>
  <c r="P196" i="33"/>
  <c r="P196" i="57"/>
  <c r="P196" i="71"/>
  <c r="P196" i="72"/>
  <c r="P196" i="49"/>
  <c r="P196" i="55"/>
  <c r="P196" i="38"/>
  <c r="P196" i="106"/>
  <c r="P196" i="83"/>
  <c r="P196" i="79"/>
  <c r="P196" i="145"/>
  <c r="P196" i="47"/>
  <c r="P196" i="32"/>
  <c r="P196" i="89"/>
  <c r="P196" i="86"/>
  <c r="P196" i="84"/>
  <c r="P196" i="175"/>
  <c r="P196" i="133"/>
  <c r="P196" i="95"/>
  <c r="P196" i="157"/>
  <c r="P196" i="136"/>
  <c r="P196" i="85"/>
  <c r="P196" i="156"/>
  <c r="P196" i="54"/>
  <c r="P196" i="64"/>
  <c r="P196" i="113"/>
  <c r="P196" i="135"/>
  <c r="P196" i="39"/>
  <c r="P196" i="27"/>
  <c r="P196" i="62"/>
  <c r="P83" i="178"/>
  <c r="P83" i="150"/>
  <c r="P83" i="32"/>
  <c r="P83" i="159"/>
  <c r="P83" i="83"/>
  <c r="P83" i="157"/>
  <c r="P83" i="58"/>
  <c r="P83" i="142"/>
  <c r="P83" i="111"/>
  <c r="P83" i="33"/>
  <c r="P83" i="164"/>
  <c r="P83" i="65"/>
  <c r="P83" i="141"/>
  <c r="P83" i="104"/>
  <c r="P83" i="103"/>
  <c r="P83" i="53"/>
  <c r="P83" i="167"/>
  <c r="P83" i="64"/>
  <c r="P83" i="16"/>
  <c r="P83" i="42"/>
  <c r="P83" i="21"/>
  <c r="P83" i="24"/>
  <c r="P83" i="46"/>
  <c r="P83" i="25"/>
  <c r="P83" i="102"/>
  <c r="P83" i="63"/>
  <c r="P83" i="177"/>
  <c r="P83" i="158"/>
  <c r="P83" i="90"/>
  <c r="P83" i="133"/>
  <c r="P83" i="28"/>
  <c r="P83" i="156"/>
  <c r="P83" i="84"/>
  <c r="P83" i="50"/>
  <c r="P83" i="62"/>
  <c r="P83" i="98"/>
  <c r="P83" i="89"/>
  <c r="P83" i="38"/>
  <c r="P83" i="49"/>
  <c r="P83" i="120"/>
  <c r="P83" i="57"/>
  <c r="P83" i="79"/>
  <c r="P83" i="86"/>
  <c r="P83" i="19"/>
  <c r="P83" i="71"/>
  <c r="P83" i="113"/>
  <c r="P83" i="72"/>
  <c r="P83" i="15"/>
  <c r="P83" i="27"/>
  <c r="P83" i="94"/>
  <c r="P83" i="31"/>
  <c r="P83" i="37"/>
  <c r="P83" i="152"/>
  <c r="P83" i="55"/>
  <c r="P83" i="66"/>
  <c r="P83" i="54"/>
  <c r="P83" i="47"/>
  <c r="P83" i="136"/>
  <c r="P83" i="119"/>
  <c r="P83" i="20"/>
  <c r="P83" i="43"/>
  <c r="P83" i="68"/>
  <c r="P83" i="155"/>
  <c r="P83" i="135"/>
  <c r="P83" i="85"/>
  <c r="P83" i="175"/>
  <c r="P83" i="118"/>
  <c r="P83" i="106"/>
  <c r="P83" i="174"/>
  <c r="P83" i="39"/>
  <c r="P83" i="14"/>
  <c r="P83" i="60"/>
  <c r="P83" i="145"/>
  <c r="P83" i="92"/>
  <c r="P83" i="95"/>
  <c r="P83" i="87"/>
  <c r="P83" i="1"/>
  <c r="P83" i="165"/>
  <c r="P78" i="164"/>
  <c r="P78" i="159"/>
  <c r="P78" i="63"/>
  <c r="P78" i="111"/>
  <c r="P78" i="85"/>
  <c r="P78" i="65"/>
  <c r="P78" i="106"/>
  <c r="P78" i="98"/>
  <c r="P78" i="38"/>
  <c r="P78" i="141"/>
  <c r="P78" i="71"/>
  <c r="P78" i="177"/>
  <c r="P78" i="175"/>
  <c r="P78" i="32"/>
  <c r="P78" i="83"/>
  <c r="P78" i="24"/>
  <c r="P78" i="133"/>
  <c r="P78" i="113"/>
  <c r="P78" i="64"/>
  <c r="P78" i="19"/>
  <c r="P78" i="16"/>
  <c r="P78" i="167"/>
  <c r="P78" i="43"/>
  <c r="P78" i="90"/>
  <c r="P78" i="136"/>
  <c r="P78" i="89"/>
  <c r="P78" i="20"/>
  <c r="P78" i="104"/>
  <c r="P78" i="62"/>
  <c r="P78" i="15"/>
  <c r="P78" i="174"/>
  <c r="P78" i="150"/>
  <c r="P78" i="72"/>
  <c r="P78" i="25"/>
  <c r="P78" i="155"/>
  <c r="P78" i="28"/>
  <c r="P78" i="47"/>
  <c r="P78" i="54"/>
  <c r="P78" i="119"/>
  <c r="P78" i="49"/>
  <c r="P78" i="178"/>
  <c r="P78" i="120"/>
  <c r="P78" i="118"/>
  <c r="P78" i="135"/>
  <c r="P78" i="95"/>
  <c r="P78" i="86"/>
  <c r="P78" i="66"/>
  <c r="P78" i="37"/>
  <c r="P78" i="94"/>
  <c r="P78" i="165"/>
  <c r="P78" i="157"/>
  <c r="P78" i="57"/>
  <c r="P78" i="21"/>
  <c r="P78" i="55"/>
  <c r="P78" i="27"/>
  <c r="P78" i="46"/>
  <c r="P78" i="87"/>
  <c r="P78" i="142"/>
  <c r="P78" i="31"/>
  <c r="P78" i="158"/>
  <c r="P78" i="145"/>
  <c r="P78" i="60"/>
  <c r="P78" i="79"/>
  <c r="P78" i="53"/>
  <c r="P78" i="103"/>
  <c r="P78" i="58"/>
  <c r="P78" i="84"/>
  <c r="P78" i="68"/>
  <c r="P78" i="156"/>
  <c r="P78" i="152"/>
  <c r="P78" i="39"/>
  <c r="P78" i="50"/>
  <c r="P78" i="42"/>
  <c r="P78" i="92"/>
  <c r="P78" i="14"/>
  <c r="P78" i="1"/>
  <c r="P78" i="102"/>
  <c r="P78" i="33"/>
  <c r="P177" i="32"/>
  <c r="P177" i="85"/>
  <c r="P177" i="104"/>
  <c r="P177" i="165"/>
  <c r="P177" i="46"/>
  <c r="P177" i="95"/>
  <c r="P177" i="133"/>
  <c r="P177" i="16"/>
  <c r="P177" i="87"/>
  <c r="P177" i="159"/>
  <c r="P177" i="72"/>
  <c r="P177" i="49"/>
  <c r="P177" i="167"/>
  <c r="P177" i="103"/>
  <c r="P177" i="120"/>
  <c r="P177" i="111"/>
  <c r="P177" i="152"/>
  <c r="P177" i="20"/>
  <c r="P177" i="33"/>
  <c r="P177" i="15"/>
  <c r="P177" i="164"/>
  <c r="P177" i="178"/>
  <c r="P177" i="65"/>
  <c r="P177" i="50"/>
  <c r="P177" i="14"/>
  <c r="P177" i="71"/>
  <c r="P177" i="177"/>
  <c r="P177" i="31"/>
  <c r="P177" i="63"/>
  <c r="P177" i="89"/>
  <c r="P177" i="58"/>
  <c r="P177" i="54"/>
  <c r="P177" i="27"/>
  <c r="P177" i="90"/>
  <c r="P177" i="175"/>
  <c r="P177" i="142"/>
  <c r="P177" i="94"/>
  <c r="P177" i="158"/>
  <c r="P177" i="135"/>
  <c r="P177" i="86"/>
  <c r="P177" i="57"/>
  <c r="P177" i="106"/>
  <c r="P177" i="37"/>
  <c r="P177" i="155"/>
  <c r="P177" i="156"/>
  <c r="P177" i="83"/>
  <c r="P177" i="39"/>
  <c r="P177" i="113"/>
  <c r="P177" i="84"/>
  <c r="P177" i="43"/>
  <c r="P177" i="119"/>
  <c r="P177" i="1"/>
  <c r="P177" i="98"/>
  <c r="P177" i="21"/>
  <c r="P177" i="60"/>
  <c r="P177" i="64"/>
  <c r="P177" i="136"/>
  <c r="P177" i="53"/>
  <c r="P177" i="24"/>
  <c r="P177" i="25"/>
  <c r="P177" i="92"/>
  <c r="P177" i="145"/>
  <c r="P177" i="55"/>
  <c r="P177" i="174"/>
  <c r="P177" i="28"/>
  <c r="P177" i="79"/>
  <c r="P177" i="38"/>
  <c r="P177" i="66"/>
  <c r="P177" i="150"/>
  <c r="P177" i="19"/>
  <c r="P177" i="62"/>
  <c r="P177" i="42"/>
  <c r="P177" i="118"/>
  <c r="P177" i="47"/>
  <c r="P177" i="102"/>
  <c r="P177" i="157"/>
  <c r="P177" i="68"/>
  <c r="P177" i="141"/>
  <c r="P178" i="118"/>
  <c r="P178" i="71"/>
  <c r="P178" i="49"/>
  <c r="P178" i="157"/>
  <c r="P178" i="111"/>
  <c r="P178" i="20"/>
  <c r="P178" i="46"/>
  <c r="P178" i="164"/>
  <c r="P178" i="152"/>
  <c r="P178" i="92"/>
  <c r="P178" i="177"/>
  <c r="P178" i="95"/>
  <c r="P178" i="47"/>
  <c r="P178" i="156"/>
  <c r="P178" i="83"/>
  <c r="P178" i="142"/>
  <c r="P178" i="145"/>
  <c r="P178" i="58"/>
  <c r="P178" i="14"/>
  <c r="P178" i="94"/>
  <c r="P178" i="106"/>
  <c r="P178" i="159"/>
  <c r="P178" i="33"/>
  <c r="P178" i="133"/>
  <c r="P178" i="25"/>
  <c r="P178" i="55"/>
  <c r="P178" i="27"/>
  <c r="P178" i="103"/>
  <c r="P178" i="38"/>
  <c r="P178" i="32"/>
  <c r="P178" i="15"/>
  <c r="P178" i="155"/>
  <c r="P178" i="165"/>
  <c r="P178" i="28"/>
  <c r="P178" i="90"/>
  <c r="P178" i="119"/>
  <c r="P178" i="19"/>
  <c r="P178" i="21"/>
  <c r="P178" i="178"/>
  <c r="P178" i="141"/>
  <c r="P178" i="98"/>
  <c r="P178" i="16"/>
  <c r="P178" i="167"/>
  <c r="P178" i="150"/>
  <c r="P178" i="42"/>
  <c r="P178" i="72"/>
  <c r="P178" i="113"/>
  <c r="P178" i="84"/>
  <c r="P178" i="135"/>
  <c r="P178" i="68"/>
  <c r="P178" i="79"/>
  <c r="P178" i="175"/>
  <c r="P178" i="24"/>
  <c r="P178" i="1"/>
  <c r="P178" i="37"/>
  <c r="P178" i="63"/>
  <c r="P178" i="174"/>
  <c r="P178" i="62"/>
  <c r="P178" i="104"/>
  <c r="P178" i="57"/>
  <c r="P178" i="53"/>
  <c r="P178" i="60"/>
  <c r="P178" i="87"/>
  <c r="P178" i="120"/>
  <c r="P178" i="50"/>
  <c r="P178" i="89"/>
  <c r="P178" i="102"/>
  <c r="P178" i="64"/>
  <c r="P178" i="85"/>
  <c r="P178" i="54"/>
  <c r="P178" i="136"/>
  <c r="P178" i="31"/>
  <c r="P178" i="65"/>
  <c r="P178" i="39"/>
  <c r="P178" i="86"/>
  <c r="P178" i="158"/>
  <c r="P178" i="66"/>
  <c r="P178" i="43"/>
  <c r="P194" i="14"/>
  <c r="P194" i="58"/>
  <c r="P194" i="53"/>
  <c r="P194" i="102"/>
  <c r="P194" i="83"/>
  <c r="P194" i="165"/>
  <c r="P194" i="68"/>
  <c r="P194" i="33"/>
  <c r="P194" i="79"/>
  <c r="P194" i="167"/>
  <c r="P194" i="136"/>
  <c r="P194" i="174"/>
  <c r="P194" i="155"/>
  <c r="P194" i="37"/>
  <c r="P194" i="20"/>
  <c r="P194" i="85"/>
  <c r="P194" i="57"/>
  <c r="P194" i="157"/>
  <c r="P194" i="142"/>
  <c r="P194" i="178"/>
  <c r="P194" i="86"/>
  <c r="P194" i="87"/>
  <c r="P194" i="71"/>
  <c r="P194" i="120"/>
  <c r="P194" i="133"/>
  <c r="P194" i="135"/>
  <c r="P194" i="1"/>
  <c r="P194" i="158"/>
  <c r="P194" i="15"/>
  <c r="P194" i="19"/>
  <c r="P194" i="164"/>
  <c r="P194" i="141"/>
  <c r="P194" i="65"/>
  <c r="P194" i="32"/>
  <c r="P194" i="42"/>
  <c r="P194" i="103"/>
  <c r="P194" i="25"/>
  <c r="P194" i="145"/>
  <c r="P194" i="60"/>
  <c r="P194" i="119"/>
  <c r="P194" i="111"/>
  <c r="P194" i="175"/>
  <c r="P194" i="24"/>
  <c r="P194" i="150"/>
  <c r="P194" i="118"/>
  <c r="P194" i="92"/>
  <c r="P194" i="98"/>
  <c r="P194" i="113"/>
  <c r="P194" i="16"/>
  <c r="P194" i="90"/>
  <c r="P194" i="152"/>
  <c r="P194" i="28"/>
  <c r="P194" i="72"/>
  <c r="P194" i="27"/>
  <c r="P194" i="63"/>
  <c r="P194" i="104"/>
  <c r="P194" i="50"/>
  <c r="P194" i="159"/>
  <c r="P194" i="55"/>
  <c r="P194" i="94"/>
  <c r="P194" i="54"/>
  <c r="P194" i="21"/>
  <c r="P194" i="43"/>
  <c r="P194" i="84"/>
  <c r="P194" i="66"/>
  <c r="P194" i="38"/>
  <c r="P194" i="89"/>
  <c r="P194" i="62"/>
  <c r="P194" i="39"/>
  <c r="P194" i="49"/>
  <c r="P194" i="46"/>
  <c r="P194" i="95"/>
  <c r="P194" i="106"/>
  <c r="P194" i="64"/>
  <c r="P194" i="31"/>
  <c r="P194" i="47"/>
  <c r="P194" i="177"/>
  <c r="P194" i="156"/>
  <c r="P106" i="83"/>
  <c r="P106" i="46"/>
  <c r="P106" i="47"/>
  <c r="P106" i="104"/>
  <c r="P106" i="15"/>
  <c r="P106" i="106"/>
  <c r="P106" i="165"/>
  <c r="P106" i="63"/>
  <c r="P106" i="1"/>
  <c r="P106" i="118"/>
  <c r="P106" i="19"/>
  <c r="P106" i="43"/>
  <c r="P106" i="120"/>
  <c r="P106" i="90"/>
  <c r="P106" i="20"/>
  <c r="P106" i="39"/>
  <c r="P106" i="64"/>
  <c r="P106" i="103"/>
  <c r="P106" i="16"/>
  <c r="P106" i="25"/>
  <c r="P106" i="178"/>
  <c r="P106" i="86"/>
  <c r="P106" i="42"/>
  <c r="P106" i="133"/>
  <c r="P106" i="28"/>
  <c r="P106" i="157"/>
  <c r="P106" i="31"/>
  <c r="P106" i="21"/>
  <c r="P106" i="152"/>
  <c r="P106" i="62"/>
  <c r="P106" i="111"/>
  <c r="P106" i="14"/>
  <c r="P106" i="50"/>
  <c r="P106" i="113"/>
  <c r="P106" i="27"/>
  <c r="P106" i="158"/>
  <c r="P106" i="135"/>
  <c r="P106" i="94"/>
  <c r="P106" i="175"/>
  <c r="P106" i="141"/>
  <c r="P106" i="89"/>
  <c r="P106" i="71"/>
  <c r="P106" i="174"/>
  <c r="P106" i="55"/>
  <c r="P106" i="33"/>
  <c r="P106" i="177"/>
  <c r="P106" i="85"/>
  <c r="P106" i="155"/>
  <c r="P106" i="142"/>
  <c r="P106" i="24"/>
  <c r="P106" i="65"/>
  <c r="P106" i="66"/>
  <c r="P106" i="95"/>
  <c r="P106" i="84"/>
  <c r="P106" i="68"/>
  <c r="P106" i="32"/>
  <c r="P106" i="37"/>
  <c r="P106" i="150"/>
  <c r="P106" i="79"/>
  <c r="P106" i="53"/>
  <c r="P106" i="58"/>
  <c r="P106" i="72"/>
  <c r="P106" i="145"/>
  <c r="P106" i="87"/>
  <c r="P106" i="167"/>
  <c r="P106" i="92"/>
  <c r="P106" i="54"/>
  <c r="P106" i="38"/>
  <c r="P106" i="156"/>
  <c r="P106" i="98"/>
  <c r="P106" i="49"/>
  <c r="P106" i="164"/>
  <c r="P106" i="159"/>
  <c r="P106" i="119"/>
  <c r="P106" i="57"/>
  <c r="P106" i="60"/>
  <c r="P106" i="136"/>
  <c r="P106" i="102"/>
  <c r="H67" i="97" l="1"/>
  <c r="H66" i="111"/>
  <c r="I66" i="111"/>
  <c r="O66" i="111" l="1"/>
  <c r="I68" i="97"/>
  <c r="L68" i="97" s="1"/>
  <c r="O65" i="111"/>
  <c r="I67" i="97"/>
  <c r="L67" i="97" s="1"/>
  <c r="I213" i="111"/>
  <c r="H213" i="111"/>
  <c r="H68" i="97"/>
  <c r="P66" i="194" l="1"/>
  <c r="P66" i="195"/>
  <c r="P65" i="194"/>
  <c r="P65" i="195"/>
  <c r="P66" i="192"/>
  <c r="P66" i="193"/>
  <c r="P65" i="192"/>
  <c r="P65" i="193"/>
  <c r="P65" i="190"/>
  <c r="P65" i="191"/>
  <c r="P66" i="190"/>
  <c r="P66" i="191"/>
  <c r="P66" i="188"/>
  <c r="P66" i="189"/>
  <c r="P65" i="188"/>
  <c r="P65" i="189"/>
  <c r="P66" i="185"/>
  <c r="P66" i="186"/>
  <c r="P65" i="185"/>
  <c r="P65" i="186"/>
  <c r="P65" i="183"/>
  <c r="P65" i="184"/>
  <c r="P66" i="183"/>
  <c r="P66" i="184"/>
  <c r="J206" i="111"/>
  <c r="J178" i="111"/>
  <c r="J57" i="111"/>
  <c r="J81" i="111"/>
  <c r="J197" i="111"/>
  <c r="J103" i="111"/>
  <c r="J82" i="111"/>
  <c r="J188" i="111"/>
  <c r="J195" i="111"/>
  <c r="J121" i="111"/>
  <c r="J205" i="111"/>
  <c r="J111" i="111"/>
  <c r="J31" i="111"/>
  <c r="J160" i="111"/>
  <c r="J194" i="111"/>
  <c r="J132" i="111"/>
  <c r="J170" i="111"/>
  <c r="J77" i="111"/>
  <c r="J52" i="111"/>
  <c r="J141" i="111"/>
  <c r="J165" i="111"/>
  <c r="J44" i="111"/>
  <c r="J49" i="111"/>
  <c r="J75" i="111"/>
  <c r="J163" i="111"/>
  <c r="J47" i="111"/>
  <c r="J134" i="111"/>
  <c r="J147" i="111"/>
  <c r="J201" i="111"/>
  <c r="J145" i="111"/>
  <c r="J45" i="111"/>
  <c r="J198" i="111"/>
  <c r="J148" i="111"/>
  <c r="J171" i="111"/>
  <c r="J150" i="111"/>
  <c r="J59" i="111"/>
  <c r="J104" i="111"/>
  <c r="J38" i="111"/>
  <c r="J176" i="111"/>
  <c r="J42" i="111"/>
  <c r="J120" i="111"/>
  <c r="J157" i="111"/>
  <c r="J210" i="111"/>
  <c r="J63" i="111"/>
  <c r="J107" i="111"/>
  <c r="J164" i="111"/>
  <c r="J66" i="111"/>
  <c r="J175" i="111"/>
  <c r="J71" i="111"/>
  <c r="J32" i="111"/>
  <c r="J152" i="111"/>
  <c r="J158" i="111"/>
  <c r="J46" i="111"/>
  <c r="J43" i="111"/>
  <c r="J143" i="111"/>
  <c r="J78" i="111"/>
  <c r="J106" i="111"/>
  <c r="J40" i="111"/>
  <c r="J35" i="111"/>
  <c r="J174" i="111"/>
  <c r="J50" i="111"/>
  <c r="J179" i="111"/>
  <c r="J105" i="111"/>
  <c r="J140" i="111"/>
  <c r="J124" i="111"/>
  <c r="J189" i="111"/>
  <c r="J41" i="111"/>
  <c r="J186" i="111"/>
  <c r="J136" i="111"/>
  <c r="J65" i="111"/>
  <c r="J60" i="111"/>
  <c r="J123" i="111"/>
  <c r="J213" i="111"/>
  <c r="J55" i="111"/>
  <c r="J73" i="111"/>
  <c r="J84" i="111"/>
  <c r="J69" i="111"/>
  <c r="J34" i="111"/>
  <c r="J58" i="111"/>
  <c r="J142" i="111"/>
  <c r="J96" i="111"/>
  <c r="J173" i="111"/>
  <c r="J37" i="111"/>
  <c r="J162" i="111"/>
  <c r="J154" i="111"/>
  <c r="J53" i="111"/>
  <c r="J83" i="111"/>
  <c r="J196" i="111"/>
  <c r="J177" i="111"/>
  <c r="J87" i="111"/>
  <c r="J30" i="111"/>
  <c r="J155" i="111"/>
  <c r="J199" i="111"/>
  <c r="J135" i="111"/>
  <c r="J56" i="111"/>
  <c r="J207" i="111"/>
  <c r="J80" i="111"/>
  <c r="J190" i="111"/>
  <c r="J187" i="111"/>
  <c r="J115" i="111"/>
  <c r="J92" i="111"/>
  <c r="J191" i="111"/>
  <c r="J211" i="111"/>
  <c r="J54" i="111"/>
  <c r="J161" i="111"/>
  <c r="J64" i="111"/>
  <c r="J192" i="111"/>
  <c r="J114" i="111"/>
  <c r="J94" i="111"/>
  <c r="J208" i="111"/>
  <c r="J113" i="111"/>
  <c r="J79" i="111"/>
  <c r="J102" i="111"/>
  <c r="J166" i="111"/>
  <c r="J130" i="111"/>
  <c r="J51" i="111"/>
  <c r="J185" i="111"/>
  <c r="J36" i="111"/>
  <c r="J169" i="111"/>
  <c r="J98" i="111"/>
  <c r="J88" i="111"/>
  <c r="J156" i="111"/>
  <c r="J184" i="111"/>
  <c r="J172" i="111"/>
  <c r="J182" i="111"/>
  <c r="J137" i="111"/>
  <c r="J122" i="111"/>
  <c r="J183" i="111"/>
  <c r="J209" i="111"/>
  <c r="J128" i="111"/>
  <c r="J110" i="111"/>
  <c r="J70" i="111"/>
  <c r="J101" i="111"/>
  <c r="J72" i="111"/>
  <c r="J138" i="111"/>
  <c r="J181" i="111"/>
  <c r="J93" i="111"/>
  <c r="J39" i="111"/>
  <c r="J95" i="111"/>
  <c r="J90" i="111"/>
  <c r="J61" i="111"/>
  <c r="J153" i="111"/>
  <c r="J119" i="111"/>
  <c r="J48" i="111"/>
  <c r="J116" i="111"/>
  <c r="J76" i="111"/>
  <c r="J112" i="111"/>
  <c r="J74" i="111"/>
  <c r="J193" i="111"/>
  <c r="J131" i="111"/>
  <c r="J202" i="111"/>
  <c r="J200" i="111"/>
  <c r="J91" i="111"/>
  <c r="J62" i="111"/>
  <c r="J146" i="111"/>
  <c r="J180" i="111"/>
  <c r="J97" i="111"/>
  <c r="J151" i="111"/>
  <c r="J129" i="111"/>
  <c r="M17" i="111"/>
  <c r="J89" i="111"/>
  <c r="J33" i="111"/>
  <c r="O213" i="111"/>
  <c r="I220" i="111"/>
  <c r="I215" i="97"/>
  <c r="H215" i="97"/>
  <c r="H220" i="111"/>
  <c r="P66" i="111"/>
  <c r="P66" i="141"/>
  <c r="P66" i="181"/>
  <c r="P66" i="103"/>
  <c r="P66" i="63"/>
  <c r="P66" i="94"/>
  <c r="P66" i="33"/>
  <c r="P66" i="104"/>
  <c r="P66" i="156"/>
  <c r="P66" i="177"/>
  <c r="P66" i="25"/>
  <c r="P66" i="102"/>
  <c r="P66" i="21"/>
  <c r="P66" i="159"/>
  <c r="P66" i="79"/>
  <c r="P66" i="32"/>
  <c r="P66" i="19"/>
  <c r="P66" i="95"/>
  <c r="P66" i="167"/>
  <c r="P66" i="66"/>
  <c r="P66" i="98"/>
  <c r="P66" i="71"/>
  <c r="P66" i="38"/>
  <c r="P66" i="65"/>
  <c r="P66" i="106"/>
  <c r="P66" i="135"/>
  <c r="P66" i="16"/>
  <c r="P66" i="164"/>
  <c r="P66" i="165"/>
  <c r="P66" i="15"/>
  <c r="P66" i="142"/>
  <c r="P66" i="150"/>
  <c r="P66" i="155"/>
  <c r="P66" i="55"/>
  <c r="P66" i="174"/>
  <c r="P66" i="60"/>
  <c r="P66" i="178"/>
  <c r="P66" i="136"/>
  <c r="P66" i="83"/>
  <c r="P66" i="14"/>
  <c r="P66" i="50"/>
  <c r="P66" i="72"/>
  <c r="P66" i="62"/>
  <c r="P66" i="85"/>
  <c r="P66" i="31"/>
  <c r="P66" i="175"/>
  <c r="P66" i="49"/>
  <c r="P66" i="27"/>
  <c r="P66" i="145"/>
  <c r="P66" i="28"/>
  <c r="P66" i="158"/>
  <c r="P66" i="119"/>
  <c r="P66" i="152"/>
  <c r="P66" i="92"/>
  <c r="P66" i="43"/>
  <c r="P66" i="120"/>
  <c r="P66" i="37"/>
  <c r="P66" i="20"/>
  <c r="P66" i="39"/>
  <c r="P66" i="113"/>
  <c r="P66" i="54"/>
  <c r="P66" i="118"/>
  <c r="P66" i="89"/>
  <c r="P66" i="90"/>
  <c r="P66" i="57"/>
  <c r="P66" i="58"/>
  <c r="P66" i="46"/>
  <c r="P66" i="68"/>
  <c r="P66" i="180"/>
  <c r="P66" i="42"/>
  <c r="P66" i="86"/>
  <c r="P66" i="84"/>
  <c r="P66" i="87"/>
  <c r="P66" i="53"/>
  <c r="P66" i="157"/>
  <c r="P66" i="1"/>
  <c r="P66" i="24"/>
  <c r="P66" i="64"/>
  <c r="P66" i="133"/>
  <c r="P66" i="47"/>
  <c r="P65" i="181"/>
  <c r="P65" i="92"/>
  <c r="P65" i="58"/>
  <c r="P65" i="175"/>
  <c r="P65" i="167"/>
  <c r="P65" i="157"/>
  <c r="P65" i="174"/>
  <c r="P65" i="55"/>
  <c r="P65" i="104"/>
  <c r="P65" i="79"/>
  <c r="P65" i="84"/>
  <c r="P65" i="119"/>
  <c r="P65" i="68"/>
  <c r="P65" i="155"/>
  <c r="P65" i="133"/>
  <c r="P65" i="62"/>
  <c r="P65" i="90"/>
  <c r="P65" i="111"/>
  <c r="P65" i="60"/>
  <c r="P65" i="142"/>
  <c r="P65" i="106"/>
  <c r="P65" i="53"/>
  <c r="P65" i="37"/>
  <c r="P65" i="65"/>
  <c r="P65" i="141"/>
  <c r="P65" i="27"/>
  <c r="P65" i="85"/>
  <c r="P65" i="24"/>
  <c r="P65" i="71"/>
  <c r="P65" i="38"/>
  <c r="P65" i="83"/>
  <c r="P65" i="42"/>
  <c r="P65" i="164"/>
  <c r="P65" i="14"/>
  <c r="P65" i="118"/>
  <c r="P65" i="72"/>
  <c r="P65" i="57"/>
  <c r="P65" i="120"/>
  <c r="P65" i="152"/>
  <c r="P65" i="66"/>
  <c r="P65" i="47"/>
  <c r="P65" i="135"/>
  <c r="P65" i="28"/>
  <c r="P65" i="39"/>
  <c r="P65" i="156"/>
  <c r="P65" i="43"/>
  <c r="P65" i="87"/>
  <c r="P65" i="178"/>
  <c r="P65" i="54"/>
  <c r="P65" i="113"/>
  <c r="P65" i="1"/>
  <c r="P65" i="25"/>
  <c r="P65" i="159"/>
  <c r="P65" i="177"/>
  <c r="P65" i="33"/>
  <c r="P65" i="63"/>
  <c r="P65" i="21"/>
  <c r="P65" i="150"/>
  <c r="P65" i="102"/>
  <c r="P65" i="145"/>
  <c r="P65" i="158"/>
  <c r="P65" i="46"/>
  <c r="P65" i="32"/>
  <c r="P65" i="95"/>
  <c r="P65" i="180"/>
  <c r="P65" i="16"/>
  <c r="P65" i="86"/>
  <c r="P65" i="165"/>
  <c r="P65" i="50"/>
  <c r="P65" i="89"/>
  <c r="P65" i="20"/>
  <c r="P65" i="49"/>
  <c r="P65" i="15"/>
  <c r="P65" i="19"/>
  <c r="P65" i="136"/>
  <c r="P65" i="103"/>
  <c r="P65" i="98"/>
  <c r="P65" i="94"/>
  <c r="P65" i="31"/>
  <c r="P65" i="64"/>
  <c r="J114" i="97" l="1"/>
  <c r="J192" i="97"/>
  <c r="J67" i="97"/>
  <c r="J103" i="97"/>
  <c r="J81" i="97"/>
  <c r="J172" i="97"/>
  <c r="J207" i="97"/>
  <c r="J215" i="97"/>
  <c r="J196" i="97"/>
  <c r="J124" i="97"/>
  <c r="J100" i="97"/>
  <c r="J200" i="97"/>
  <c r="J118" i="97"/>
  <c r="J150" i="97"/>
  <c r="J39" i="97"/>
  <c r="J158" i="97"/>
  <c r="J73" i="97"/>
  <c r="J85" i="97"/>
  <c r="J98" i="97"/>
  <c r="J43" i="97"/>
  <c r="J167" i="97"/>
  <c r="J56" i="97"/>
  <c r="J145" i="97"/>
  <c r="J132" i="97"/>
  <c r="J178" i="97"/>
  <c r="J46" i="97"/>
  <c r="J139" i="97"/>
  <c r="J168" i="97"/>
  <c r="J35" i="97"/>
  <c r="J108" i="97"/>
  <c r="J95" i="97"/>
  <c r="J191" i="97"/>
  <c r="J213" i="97"/>
  <c r="J156" i="97"/>
  <c r="J204" i="97"/>
  <c r="J78" i="97"/>
  <c r="J212" i="97"/>
  <c r="J36" i="97"/>
  <c r="J140" i="97"/>
  <c r="J79" i="97"/>
  <c r="J133" i="97"/>
  <c r="J163" i="97"/>
  <c r="J162" i="97"/>
  <c r="J185" i="97"/>
  <c r="J188" i="97"/>
  <c r="J183" i="97"/>
  <c r="J138" i="97"/>
  <c r="J122" i="97"/>
  <c r="J93" i="97"/>
  <c r="J159" i="97"/>
  <c r="J174" i="97"/>
  <c r="J195" i="97"/>
  <c r="J155" i="97"/>
  <c r="J48" i="97"/>
  <c r="J148" i="97"/>
  <c r="Q215" i="97"/>
  <c r="J104" i="97"/>
  <c r="J164" i="97"/>
  <c r="J144" i="97"/>
  <c r="J37" i="97"/>
  <c r="J34" i="97"/>
  <c r="J189" i="97"/>
  <c r="J94" i="97"/>
  <c r="J47" i="97"/>
  <c r="J125" i="97"/>
  <c r="J153" i="97"/>
  <c r="J55" i="97"/>
  <c r="J109" i="97"/>
  <c r="J171" i="97"/>
  <c r="J182" i="97"/>
  <c r="J75" i="97"/>
  <c r="J105" i="97"/>
  <c r="J210" i="97"/>
  <c r="J190" i="97"/>
  <c r="J66" i="97"/>
  <c r="J61" i="97"/>
  <c r="J57" i="97"/>
  <c r="J208" i="97"/>
  <c r="J117" i="97"/>
  <c r="J198" i="97"/>
  <c r="J58" i="97"/>
  <c r="J41" i="97"/>
  <c r="J157" i="97"/>
  <c r="J96" i="97"/>
  <c r="J82" i="97"/>
  <c r="J54" i="97"/>
  <c r="J202" i="97"/>
  <c r="J121" i="97"/>
  <c r="J63" i="97"/>
  <c r="J62" i="97"/>
  <c r="J74" i="97"/>
  <c r="J64" i="97"/>
  <c r="J149" i="97"/>
  <c r="J38" i="97"/>
  <c r="J154" i="97"/>
  <c r="J184" i="97"/>
  <c r="J49" i="97"/>
  <c r="J91" i="97"/>
  <c r="J177" i="97"/>
  <c r="J176" i="97"/>
  <c r="J33" i="97"/>
  <c r="J113" i="97"/>
  <c r="J116" i="97"/>
  <c r="J32" i="97"/>
  <c r="J193" i="97"/>
  <c r="J186" i="97"/>
  <c r="J179" i="97"/>
  <c r="J53" i="97"/>
  <c r="J126" i="97"/>
  <c r="J50" i="97"/>
  <c r="J59" i="97"/>
  <c r="J40" i="97"/>
  <c r="J201" i="97"/>
  <c r="J130" i="97"/>
  <c r="J211" i="97"/>
  <c r="J80" i="97"/>
  <c r="J199" i="97"/>
  <c r="J181" i="97"/>
  <c r="J89" i="97"/>
  <c r="J112" i="97"/>
  <c r="J147" i="97"/>
  <c r="J42" i="97"/>
  <c r="J187" i="97"/>
  <c r="J175" i="97"/>
  <c r="J123" i="97"/>
  <c r="J137" i="97"/>
  <c r="J45" i="97"/>
  <c r="J194" i="97"/>
  <c r="J84" i="97"/>
  <c r="J166" i="97"/>
  <c r="O19" i="97"/>
  <c r="J83" i="97"/>
  <c r="J142" i="97"/>
  <c r="J106" i="97"/>
  <c r="J209" i="97"/>
  <c r="J197" i="97"/>
  <c r="J72" i="97"/>
  <c r="J131" i="97"/>
  <c r="J134" i="97"/>
  <c r="J165" i="97"/>
  <c r="J65" i="97"/>
  <c r="J90" i="97"/>
  <c r="J136" i="97"/>
  <c r="J68" i="97"/>
  <c r="J76" i="97"/>
  <c r="J77" i="97"/>
  <c r="J97" i="97"/>
  <c r="J107" i="97"/>
  <c r="J180" i="97"/>
  <c r="J203" i="97"/>
  <c r="J99" i="97"/>
  <c r="J173" i="97"/>
  <c r="J52" i="97"/>
  <c r="J115" i="97"/>
  <c r="J160" i="97"/>
  <c r="J60" i="97"/>
  <c r="J92" i="97"/>
  <c r="J44" i="97"/>
  <c r="J152" i="97"/>
  <c r="J143" i="97"/>
  <c r="J51" i="97"/>
  <c r="J71" i="97"/>
  <c r="L215" i="97"/>
  <c r="H222" i="97"/>
  <c r="I222" i="97"/>
  <c r="L14" i="97" s="1"/>
  <c r="P213" i="194" l="1"/>
  <c r="P213" i="195"/>
  <c r="P213" i="192"/>
  <c r="P213" i="193"/>
  <c r="P213" i="190"/>
  <c r="P213" i="191"/>
  <c r="P213" i="188"/>
  <c r="P213" i="189"/>
  <c r="P213" i="185"/>
  <c r="P213" i="186"/>
  <c r="P213" i="183"/>
  <c r="P213" i="184"/>
  <c r="J86" i="97"/>
  <c r="P213" i="27"/>
  <c r="P213" i="54"/>
  <c r="P213" i="180"/>
  <c r="P213" i="167"/>
  <c r="P213" i="15"/>
  <c r="P213" i="19"/>
  <c r="P213" i="156"/>
  <c r="P213" i="33"/>
  <c r="P213" i="50"/>
  <c r="P213" i="64"/>
  <c r="P213" i="32"/>
  <c r="P213" i="38"/>
  <c r="P213" i="104"/>
  <c r="P213" i="89"/>
  <c r="P213" i="120"/>
  <c r="P213" i="20"/>
  <c r="P213" i="98"/>
  <c r="P213" i="165"/>
  <c r="P213" i="164"/>
  <c r="P213" i="95"/>
  <c r="P213" i="111"/>
  <c r="P213" i="90"/>
  <c r="P213" i="158"/>
  <c r="P213" i="58"/>
  <c r="P213" i="145"/>
  <c r="P213" i="47"/>
  <c r="P213" i="142"/>
  <c r="P213" i="83"/>
  <c r="P213" i="60"/>
  <c r="P213" i="55"/>
  <c r="P213" i="53"/>
  <c r="P213" i="159"/>
  <c r="P213" i="1"/>
  <c r="P213" i="72"/>
  <c r="P213" i="65"/>
  <c r="P213" i="31"/>
  <c r="P213" i="84"/>
  <c r="P213" i="57"/>
  <c r="P213" i="49"/>
  <c r="P213" i="157"/>
  <c r="P213" i="175"/>
  <c r="P213" i="71"/>
  <c r="P213" i="136"/>
  <c r="P213" i="150"/>
  <c r="P213" i="106"/>
  <c r="P213" i="25"/>
  <c r="P213" i="21"/>
  <c r="P213" i="92"/>
  <c r="P213" i="118"/>
  <c r="P213" i="66"/>
  <c r="P213" i="46"/>
  <c r="P213" i="43"/>
  <c r="P213" i="133"/>
  <c r="P213" i="37"/>
  <c r="P213" i="174"/>
  <c r="P213" i="87"/>
  <c r="P213" i="39"/>
  <c r="P213" i="79"/>
  <c r="P213" i="28"/>
  <c r="P213" i="63"/>
  <c r="P213" i="16"/>
  <c r="P213" i="68"/>
  <c r="P213" i="24"/>
  <c r="P213" i="119"/>
  <c r="P213" i="113"/>
  <c r="P213" i="94"/>
  <c r="P213" i="155"/>
  <c r="P213" i="178"/>
  <c r="P213" i="102"/>
  <c r="P213" i="141"/>
  <c r="P213" i="152"/>
  <c r="P213" i="14"/>
  <c r="P213" i="62"/>
  <c r="P213" i="135"/>
  <c r="P213" i="181"/>
  <c r="P213" i="103"/>
  <c r="P213" i="42"/>
  <c r="P213" i="86"/>
  <c r="P213" i="177"/>
  <c r="P213" i="85"/>
  <c r="C240" i="68" l="1"/>
  <c r="C242" i="68"/>
  <c r="C241" i="68" l="1"/>
  <c r="C242" i="97"/>
  <c r="C244" i="97" l="1"/>
  <c r="C243" i="97"/>
  <c r="C243" i="68"/>
  <c r="C245" i="9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Eliason</author>
  </authors>
  <commentList>
    <comment ref="H155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Aaron Eliason:</t>
        </r>
        <r>
          <rPr>
            <sz val="9"/>
            <color indexed="81"/>
            <rFont val="Tahoma"/>
            <family val="2"/>
          </rPr>
          <t xml:space="preserve">
Where does the -1692 come from?</t>
        </r>
      </text>
    </comment>
  </commentList>
</comments>
</file>

<file path=xl/sharedStrings.xml><?xml version="1.0" encoding="utf-8"?>
<sst xmlns="http://schemas.openxmlformats.org/spreadsheetml/2006/main" count="32528" uniqueCount="746">
  <si>
    <t>COST CAT</t>
  </si>
  <si>
    <t>FCP AS FILED</t>
  </si>
  <si>
    <t>FCP ADJ'S</t>
  </si>
  <si>
    <t>ADJ FCP</t>
  </si>
  <si>
    <t>AUDITED FCP</t>
  </si>
  <si>
    <t>% TO</t>
  </si>
  <si>
    <t>&amp; ACCT</t>
  </si>
  <si>
    <t>TOTAL</t>
  </si>
  <si>
    <t>GENERAL ADMINISTRATIVE</t>
  </si>
  <si>
    <t>01</t>
  </si>
  <si>
    <t xml:space="preserve">Administrator Salary </t>
  </si>
  <si>
    <t>02</t>
  </si>
  <si>
    <t>03</t>
  </si>
  <si>
    <t>Office Salaries and Wages</t>
  </si>
  <si>
    <t>04</t>
  </si>
  <si>
    <t>05</t>
  </si>
  <si>
    <t>Director Fees</t>
  </si>
  <si>
    <t>06</t>
  </si>
  <si>
    <t>Management Services</t>
  </si>
  <si>
    <t>Advertising</t>
  </si>
  <si>
    <t>Telephone</t>
  </si>
  <si>
    <t>Dues, Subscriptions &amp; Licenses</t>
  </si>
  <si>
    <t>Office Supplies, Printing &amp; Postage</t>
  </si>
  <si>
    <t>Legal and Accounting</t>
  </si>
  <si>
    <t>Utilization Review</t>
  </si>
  <si>
    <t>Data Processing</t>
  </si>
  <si>
    <t>Amortization-Organization</t>
  </si>
  <si>
    <t>Patient Day Assessment</t>
  </si>
  <si>
    <t>Interest-Operating Loans</t>
  </si>
  <si>
    <t>Income Taxes</t>
  </si>
  <si>
    <t>Bad Debts</t>
  </si>
  <si>
    <t>Contributions</t>
  </si>
  <si>
    <t>Miscellaneous (Attach Schedule)</t>
  </si>
  <si>
    <t>1</t>
  </si>
  <si>
    <t>2</t>
  </si>
  <si>
    <t>PLANT OPERATION &amp; MAINTENANCE</t>
  </si>
  <si>
    <t>Salaries and Wages</t>
  </si>
  <si>
    <t>Payroll Taxes &amp; Emp Benefits</t>
  </si>
  <si>
    <t>Equipment Rental-Short Term</t>
  </si>
  <si>
    <t>Supplies</t>
  </si>
  <si>
    <t>Purchased Services</t>
  </si>
  <si>
    <t>Utilities</t>
  </si>
  <si>
    <t>TOTAL PLANT OPER &amp; MAINT</t>
  </si>
  <si>
    <t>DIETARY</t>
  </si>
  <si>
    <t>Food</t>
  </si>
  <si>
    <t>Food Supplies</t>
  </si>
  <si>
    <t>Purchased Services/Consultants</t>
  </si>
  <si>
    <t>TOTAL DIETARY</t>
  </si>
  <si>
    <t>LAUNDRY AND LINEN</t>
  </si>
  <si>
    <t>Linen and Bedding</t>
  </si>
  <si>
    <t>TOTAL LAUNDRY &amp; LINEN</t>
  </si>
  <si>
    <t>HOUSEKEEPING</t>
  </si>
  <si>
    <t>Purchased Service/Consultants</t>
  </si>
  <si>
    <t>TOTAL HOUSEKEEPING</t>
  </si>
  <si>
    <t>NURSING</t>
  </si>
  <si>
    <t>Nurse Admin Sal-Med Rec, In Ser</t>
  </si>
  <si>
    <t>Nurse Dir Care Salaries &amp; Wages</t>
  </si>
  <si>
    <t>Medical Supplies</t>
  </si>
  <si>
    <t>Oxygen Equipment and Rental</t>
  </si>
  <si>
    <t>Oxygen Gas</t>
  </si>
  <si>
    <t>RECREATIONAL ACTIVITIES &amp; SPECIAL SERVICES</t>
  </si>
  <si>
    <t>Salaries &amp; Wages</t>
  </si>
  <si>
    <t>Recreational Therapy</t>
  </si>
  <si>
    <t>Sheltered Workshops</t>
  </si>
  <si>
    <t>MEDICARE DAYS</t>
  </si>
  <si>
    <t>VETERANS DAYS</t>
  </si>
  <si>
    <t>PRIVATE DAYS</t>
  </si>
  <si>
    <t>TOTAL PATIENT DAYS</t>
  </si>
  <si>
    <t>CALENDAR DAYS IN PERIOD</t>
  </si>
  <si>
    <t xml:space="preserve">TOTAL REVENUE </t>
  </si>
  <si>
    <t>PROFIT / (LOSS) (REV - EXP)</t>
  </si>
  <si>
    <t>PERIOD BEGINNING --------------&gt;</t>
  </si>
  <si>
    <t>PERIOD ENDING  ------------------&gt;</t>
  </si>
  <si>
    <t>% TO TOTAL</t>
  </si>
  <si>
    <t>PROFIT/LOSS TO REVENUE</t>
  </si>
  <si>
    <t>010</t>
  </si>
  <si>
    <t>011</t>
  </si>
  <si>
    <t>012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</si>
  <si>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</si>
  <si>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</si>
  <si>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</si>
  <si>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</si>
  <si>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</si>
  <si>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</si>
  <si>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</si>
  <si>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</si>
  <si>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</si>
  <si>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013</t>
  </si>
  <si>
    <t>041</t>
  </si>
  <si>
    <t>Non Medical Supplies (Charts &amp; Forms)</t>
  </si>
  <si>
    <t>Purchased Nursing Services</t>
  </si>
  <si>
    <t>Respiration/Inhalation Therapy</t>
  </si>
  <si>
    <t>ANCILLARIES NOT IN MEDICAID DAILY RATE</t>
  </si>
  <si>
    <t>Nurs Aide Trg Costs (by formula from Sch D)</t>
  </si>
  <si>
    <t>Physician &amp; Psychiatrist-Staff Salaries</t>
  </si>
  <si>
    <t>Physician &amp; Psychiatrist Payroll tax &amp; Benefit</t>
  </si>
  <si>
    <t>Physical Therapy - Staff Salaries</t>
  </si>
  <si>
    <t>Physical Therapy Payroll tax &amp; Benefit</t>
  </si>
  <si>
    <t>Speech Therapy - Staff Salaries</t>
  </si>
  <si>
    <t>SpeechTherapy Payroll tax &amp; Benefit</t>
  </si>
  <si>
    <t>Audiology Therapy - Staff Salaries</t>
  </si>
  <si>
    <t>Audiology Therapy Payroll tax &amp; Benefit</t>
  </si>
  <si>
    <t>Occupational Therapy - Staff Salaries</t>
  </si>
  <si>
    <t>Occupational Therapy Payroll tax &amp; Benefits</t>
  </si>
  <si>
    <t>Laboratory &amp; Radiology - Staff Salaries</t>
  </si>
  <si>
    <t>Laboratory &amp; Radiology Payroll tax &amp; Benefit</t>
  </si>
  <si>
    <t>Physical Therapy - Supplies/Other</t>
  </si>
  <si>
    <t>Audiology Therapy -Supplies/Other</t>
  </si>
  <si>
    <t>Occupational Therapy - Supplies/Other</t>
  </si>
  <si>
    <t>Laboratory &amp; Radiology-Supplies/Other</t>
  </si>
  <si>
    <t>Purchased Physician &amp; Psychiatrist(non-emp)</t>
  </si>
  <si>
    <t>Purchased Physical Therapy (non-employee)</t>
  </si>
  <si>
    <t>Purch.Serv.-Speech Therapy (non-employee)</t>
  </si>
  <si>
    <t>Purch.Serv.-Occup.Therapy (non-employee)</t>
  </si>
  <si>
    <t>Laboratory &amp; Radiology Service</t>
  </si>
  <si>
    <t>014</t>
  </si>
  <si>
    <t>017</t>
  </si>
  <si>
    <t>042</t>
  </si>
  <si>
    <t>043</t>
  </si>
  <si>
    <t>044</t>
  </si>
  <si>
    <t>045</t>
  </si>
  <si>
    <t>046</t>
  </si>
  <si>
    <t>TOTAL ANCILLARIES NOT IN MEDICAID RATE</t>
  </si>
  <si>
    <t>Purch.Serv.-Audiology Therapy(non-employee)</t>
  </si>
  <si>
    <t>311</t>
  </si>
  <si>
    <t>312</t>
  </si>
  <si>
    <t>313</t>
  </si>
  <si>
    <t>314</t>
  </si>
  <si>
    <t>315</t>
  </si>
  <si>
    <t>316</t>
  </si>
  <si>
    <t>450</t>
  </si>
  <si>
    <t>460</t>
  </si>
  <si>
    <t>310</t>
  </si>
  <si>
    <t>470</t>
  </si>
  <si>
    <t>480</t>
  </si>
  <si>
    <t>490</t>
  </si>
  <si>
    <t>TOTAL REC ACT &amp; SOCIAL SERVICES</t>
  </si>
  <si>
    <t>TOTAL REPORTED EXPENSES PER FCP</t>
  </si>
  <si>
    <t>010-090</t>
  </si>
  <si>
    <t>FCP less G/L must = 0</t>
  </si>
  <si>
    <t>Home Office Charges</t>
  </si>
  <si>
    <t>Travel , Seminars, &amp; Admin Training</t>
  </si>
  <si>
    <t>TOTAL PROPERTY &amp; RELATED</t>
  </si>
  <si>
    <t>Payroll Taxes &amp; Benefits</t>
  </si>
  <si>
    <t>Nurse Admin Payroll Tax and Benefits</t>
  </si>
  <si>
    <t>Nurse Dir Care Payroll Tax &amp; Benefits</t>
  </si>
  <si>
    <t>Physician &amp; Psychiatrist-Supplies/Other</t>
  </si>
  <si>
    <t>Speech Therapy - Supplies/Other</t>
  </si>
  <si>
    <t>Hours Worked</t>
  </si>
  <si>
    <t>018</t>
  </si>
  <si>
    <t>019</t>
  </si>
  <si>
    <t>CENSUS (SCH D)</t>
  </si>
  <si>
    <t>OCCUPANCY (SCH D)</t>
  </si>
  <si>
    <t>010-000</t>
  </si>
  <si>
    <t>020-000</t>
  </si>
  <si>
    <t>030-000</t>
  </si>
  <si>
    <t>040-000</t>
  </si>
  <si>
    <t>050-000</t>
  </si>
  <si>
    <t>060-000</t>
  </si>
  <si>
    <t>070-000</t>
  </si>
  <si>
    <t>080-000</t>
  </si>
  <si>
    <t>090-000</t>
  </si>
  <si>
    <t>NET MEDICARE  REVENUE</t>
  </si>
  <si>
    <t>NET VETERANS  REVENUE</t>
  </si>
  <si>
    <t>NET PRIVATE  REVENUE</t>
  </si>
  <si>
    <t>NET OTHER  REVENUE</t>
  </si>
  <si>
    <t>051</t>
  </si>
  <si>
    <t>Asst Administrator Salary</t>
  </si>
  <si>
    <t>TOTAL GENERAL ADMINISTRATIVE</t>
  </si>
  <si>
    <t>PROPERTY AND RELATED EXPENSES</t>
  </si>
  <si>
    <t>OTHER DAYS</t>
  </si>
  <si>
    <t>NET MISC INCOME</t>
  </si>
  <si>
    <t>TOTAL EXPENSES PER G/L</t>
  </si>
  <si>
    <t>10</t>
  </si>
  <si>
    <t>Rate</t>
  </si>
  <si>
    <t>Hours Per</t>
  </si>
  <si>
    <t>Avg Hr</t>
  </si>
  <si>
    <t>Audited Days</t>
  </si>
  <si>
    <t>Name of Nursing Facility</t>
  </si>
  <si>
    <t>Worker's compensation</t>
  </si>
  <si>
    <t>Professional/General Liability Insurance</t>
  </si>
  <si>
    <t>Gain/loss on asset disposition</t>
  </si>
  <si>
    <t xml:space="preserve"> </t>
  </si>
  <si>
    <t>DAYS</t>
  </si>
  <si>
    <t>n/a</t>
  </si>
  <si>
    <t>Civil Money Penalties (Medicare and Medicaid)</t>
  </si>
  <si>
    <t>Other Taxes (attach schedule)</t>
  </si>
  <si>
    <t>Other Penalties/Fines</t>
  </si>
  <si>
    <t>Transportation Salaries &amp; Wages</t>
  </si>
  <si>
    <t>Transportation Payroll Taxes &amp; Emp Benefits</t>
  </si>
  <si>
    <t>Gifts</t>
  </si>
  <si>
    <t>Bank/Service Charges</t>
  </si>
  <si>
    <t>Public Relations</t>
  </si>
  <si>
    <t>Recruiting Expense</t>
  </si>
  <si>
    <t>TV/Cable/Satellite Expense</t>
  </si>
  <si>
    <t>Beauty &amp; Barber Expense</t>
  </si>
  <si>
    <t>NET MEDICAID - NON UTAH</t>
  </si>
  <si>
    <t>NET MEDICAID REVENUE - UTAH</t>
  </si>
  <si>
    <t>NET MEDICAID REVENUE - NON UTAH</t>
  </si>
  <si>
    <t>07</t>
  </si>
  <si>
    <t>08</t>
  </si>
  <si>
    <t>MEDICAID DAYS - NON UTAH</t>
  </si>
  <si>
    <t>MEDICAID DAYS - UTAH</t>
  </si>
  <si>
    <t xml:space="preserve">TOTAL LICENSED BEDS </t>
  </si>
  <si>
    <t>TOTAL LICENSED BEDS</t>
  </si>
  <si>
    <t>REVENUE (SCH B)</t>
  </si>
  <si>
    <t>EXPENSES (SCH C)</t>
  </si>
  <si>
    <t>Evaluation Costs</t>
  </si>
  <si>
    <t>Instructor Costs</t>
  </si>
  <si>
    <t>Testing Costs</t>
  </si>
  <si>
    <t>Material Costs</t>
  </si>
  <si>
    <t>09</t>
  </si>
  <si>
    <t>NET HOSPICE REVENUE - MEDICAID</t>
  </si>
  <si>
    <t>NET HOSPICE REVENUE - NON MEDICAID</t>
  </si>
  <si>
    <t>NET OTHER REVENUE</t>
  </si>
  <si>
    <t>COST CAT &amp; ACCT</t>
  </si>
  <si>
    <t>TOTAL NURSING</t>
  </si>
  <si>
    <t>PROFIT/LOSS TO EXPENSES</t>
  </si>
  <si>
    <t>HOSPICE DAYS - NON MEDICAID</t>
  </si>
  <si>
    <t>HOSPICE DAYS - MEDICAID</t>
  </si>
  <si>
    <r>
      <t xml:space="preserve">TOTAL PATIENT DAYS AVAILABLE </t>
    </r>
    <r>
      <rPr>
        <b/>
        <sz val="10"/>
        <color indexed="8"/>
        <rFont val="Times New Roman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</si>
  <si>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Times New Roman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</si>
  <si>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Times New Roman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</si>
  <si>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Times New Roman"/>
        <family val="1"/>
      </rPr>
      <t>(Medicaid Occupancy/Total Occupancy)</t>
    </r>
  </si>
  <si>
    <t>TOTAL PATIENT DAYS AVAILABLE (Total Licensed Beds*Calendar Days in Period)</t>
  </si>
  <si>
    <t>TOTAL OCCUPANCY (Total Patient Days/Total Patient Days Available)</t>
  </si>
  <si>
    <t>MEDICAID OCCUPANCY (Medicaid Days-Utah /Total Patient Days Available)</t>
  </si>
  <si>
    <t>MEDICAID OCCUPANCY AS A % OF TOTAL OCCUPANCY (Medicaid Occupancy/Total Occupancy)</t>
  </si>
  <si>
    <t>REV  CAT</t>
  </si>
  <si>
    <t>REVENUE (INCL TPL)  (SCH B)</t>
  </si>
  <si>
    <t>Highland Care Center</t>
  </si>
  <si>
    <t>INDUSTRY REVENUE</t>
  </si>
  <si>
    <t xml:space="preserve">OR COST PER/DAY </t>
  </si>
  <si>
    <t>Hours Paid</t>
  </si>
  <si>
    <t>Building Rent</t>
  </si>
  <si>
    <t>Building Depreciation</t>
  </si>
  <si>
    <t>Buidling Interest Expense</t>
  </si>
  <si>
    <t>"Real Property" Property Tax</t>
  </si>
  <si>
    <t>"Real Property" Property Insurance</t>
  </si>
  <si>
    <t>Vehicle Depreciation</t>
  </si>
  <si>
    <t>Vehicle Interest Expense</t>
  </si>
  <si>
    <t>Vehicle Property Tax</t>
  </si>
  <si>
    <t>Vehicle Insurance</t>
  </si>
  <si>
    <t>Equipment Leases (Operating Leases Only)</t>
  </si>
  <si>
    <t>Equipment Depreciation</t>
  </si>
  <si>
    <t>Equipment Interest Expense</t>
  </si>
  <si>
    <t>Personal Property Tax</t>
  </si>
  <si>
    <t>Miscellaneous</t>
  </si>
  <si>
    <t>Furniture &amp; Equipment less than Capitalization $ Threshold</t>
  </si>
  <si>
    <t>Repair &amp; Maintenance - Vehicles</t>
  </si>
  <si>
    <t>Repair &amp; Maintenance -  Equipment</t>
  </si>
  <si>
    <t>Repair &amp; Maintenance - Buidling &amp; Grounds</t>
  </si>
  <si>
    <t xml:space="preserve">Miscellaneous </t>
  </si>
  <si>
    <t>NET MEDICARE HMO REVENUE</t>
  </si>
  <si>
    <t>Total Hours Worked</t>
  </si>
  <si>
    <t>Total Hours Paid</t>
  </si>
  <si>
    <t>350</t>
  </si>
  <si>
    <t>Other Direct Care (i.e. psychologists, podiatrists, optometrists)</t>
  </si>
  <si>
    <t>360</t>
  </si>
  <si>
    <t>Dental Services</t>
  </si>
  <si>
    <t>370</t>
  </si>
  <si>
    <t>Emergency Ambulance</t>
  </si>
  <si>
    <t>380</t>
  </si>
  <si>
    <t>Eye Glasses, Dentures, Hearing Aids</t>
  </si>
  <si>
    <t>390</t>
  </si>
  <si>
    <t>Special Equipment Approved by Medicaid**</t>
  </si>
  <si>
    <t>400</t>
  </si>
  <si>
    <t>Prosthetic Devices***</t>
  </si>
  <si>
    <t>Prescription Drugs****</t>
  </si>
  <si>
    <t>TOTAL PLANT OPERATION &amp; MAINTENANCE</t>
  </si>
  <si>
    <t>MEDICARE HMO DAYS</t>
  </si>
  <si>
    <t>MEDICAID CERTIFIED BEDS</t>
  </si>
  <si>
    <t>HOURS WORKED</t>
  </si>
  <si>
    <t>HOURS PAID</t>
  </si>
  <si>
    <t>112</t>
  </si>
  <si>
    <t>113</t>
  </si>
  <si>
    <t>114</t>
  </si>
  <si>
    <t>115</t>
  </si>
  <si>
    <t>116</t>
  </si>
  <si>
    <t>117</t>
  </si>
  <si>
    <t>C</t>
  </si>
  <si>
    <t>Repair &amp; Maintenance - Vehicles (include vehicle fuel)</t>
  </si>
  <si>
    <t>Misc. Costs</t>
  </si>
  <si>
    <t>Nurs Aide Trg Costs</t>
  </si>
  <si>
    <t>Miscellaneous Nursing Costs</t>
  </si>
  <si>
    <t>NF - SUMMARY</t>
  </si>
  <si>
    <t>% OF</t>
  </si>
  <si>
    <t>NET MEDICARE-HMO  REVENUE</t>
  </si>
  <si>
    <t>Building Interest Expense</t>
  </si>
  <si>
    <t>"RealProperty" Property Tax*</t>
  </si>
  <si>
    <t>"Real Property" Property Insurance*</t>
  </si>
  <si>
    <t>Vechicle Insurance</t>
  </si>
  <si>
    <t xml:space="preserve">Personal Property Tax </t>
  </si>
  <si>
    <t>Miscellaneous (Attach Detail Schedule)</t>
  </si>
  <si>
    <t>Repair &amp; Maintenance - Building &amp; Grounds</t>
  </si>
  <si>
    <t>Repair &amp; Maintenance - Equipment</t>
  </si>
  <si>
    <t>Miscellaneous Nursing (Attach Detail Schedule)</t>
  </si>
  <si>
    <t>Speech Therapy-Staff Salaries</t>
  </si>
  <si>
    <t>Speech Therapy Payroll tax &amp; Benefit</t>
  </si>
  <si>
    <t>Audiology Therapy-Staff Salaries</t>
  </si>
  <si>
    <t>Occupational Therapy-Staff Salaries</t>
  </si>
  <si>
    <t>Laboratory &amp; Radiology-Staff Salaries</t>
  </si>
  <si>
    <t>Laboratory &amp; Radiology Payroll tax &amp; Benefits</t>
  </si>
  <si>
    <t>Physical Therapy -Supplies/Other</t>
  </si>
  <si>
    <t>Speech Therapy-Supplies/Other</t>
  </si>
  <si>
    <t>Audiology Therapy-Supplies/Other</t>
  </si>
  <si>
    <t>Occupational Therapy-Supplies/Other</t>
  </si>
  <si>
    <t>Purch. Serv.-Speech Therapy (non-employee)</t>
  </si>
  <si>
    <t>Purch. Serv.-Aud.Therapy(non-employee)</t>
  </si>
  <si>
    <t>Purch. Serv.-Occup.Therapy(non-employee)</t>
  </si>
  <si>
    <t>Other direct care (i.e. psychologists, podiatrists, optometrists)</t>
  </si>
  <si>
    <t>Special Equipment Approved by Medicaid</t>
  </si>
  <si>
    <t>Prosthetic Devices</t>
  </si>
  <si>
    <t>Prescription Drugs</t>
  </si>
  <si>
    <t>Miscellaneous (Attach Detail Schedule if greater than $100)</t>
  </si>
  <si>
    <t>MEDICARE-HMO DAYS</t>
  </si>
  <si>
    <r>
      <t xml:space="preserve">TOTAL PATIENT DAYS AVAILABLE </t>
    </r>
    <r>
      <rPr>
        <b/>
        <sz val="10"/>
        <color indexed="8"/>
        <rFont val="NewCenturySchlbk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</si>
  <si>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NewCenturySchlbk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</si>
  <si>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NewCenturySchlbk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</si>
  <si>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NewCenturySchlbk"/>
        <family val="1"/>
      </rPr>
      <t>(Medicaid Occupancy/Total Occupancy)</t>
    </r>
  </si>
  <si>
    <t>Private Revenue Per Day</t>
  </si>
  <si>
    <t>Q1</t>
  </si>
  <si>
    <t>Q2</t>
  </si>
  <si>
    <t>Q3</t>
  </si>
  <si>
    <t>Q4</t>
  </si>
  <si>
    <t>Rev</t>
  </si>
  <si>
    <t>Exp</t>
  </si>
  <si>
    <t>Days</t>
  </si>
  <si>
    <t>Beds</t>
  </si>
  <si>
    <t>Total Days</t>
  </si>
  <si>
    <t>Repair &amp; Maintenance - Transportation Equipment</t>
  </si>
  <si>
    <t>Miscellaneous Nursing</t>
  </si>
  <si>
    <t>PER DAY</t>
  </si>
  <si>
    <t>AMOUNT</t>
  </si>
  <si>
    <t>INDUSTRY</t>
  </si>
  <si>
    <t>Canyon Rim Care Center</t>
  </si>
  <si>
    <t>North Canyon Care Center</t>
  </si>
  <si>
    <t>Richfield Care Center</t>
  </si>
  <si>
    <t>Willow Wood Care Center</t>
  </si>
  <si>
    <t>MIDTOWN MANOR</t>
  </si>
  <si>
    <t>PARKWAY HEALTH CENTER</t>
  </si>
  <si>
    <t>UINTAH CARE CENTER</t>
  </si>
  <si>
    <t>???????</t>
  </si>
  <si>
    <t>Avalon Valley Rehabilitation Center</t>
  </si>
  <si>
    <t>Canyonlands Care Center</t>
  </si>
  <si>
    <t>EMERY COUNTY NURSING HOME</t>
  </si>
  <si>
    <t>Heritage Care Center</t>
  </si>
  <si>
    <t>Heritage Hills Health Care Center</t>
  </si>
  <si>
    <t>LIFE CARE CENTER OF BOUNTIFUL</t>
  </si>
  <si>
    <t>MILLARD COUNTY CARE &amp; REHAB</t>
  </si>
  <si>
    <t>Mountain View Health Services</t>
  </si>
  <si>
    <t>Sunshine Terrace Foundation</t>
  </si>
  <si>
    <t>Uintah Basin Rehabilitation and Senior Villa</t>
  </si>
  <si>
    <t>Washington Terrace Care &amp; Rehabilitation Center</t>
  </si>
  <si>
    <t>Willow Glen Health &amp; Rehab, LLC</t>
  </si>
  <si>
    <t>Woodland Park Rehabilitation and Care Center</t>
  </si>
  <si>
    <t>AUDIT ADJUSTMENT NOTES</t>
  </si>
  <si>
    <t>`</t>
  </si>
  <si>
    <t>Office Salaries and Wages            AUDIT ADJ.  NOTES, 1, 2</t>
  </si>
  <si>
    <t>Retainer</t>
  </si>
  <si>
    <t>per visit</t>
  </si>
  <si>
    <t>dba: Avalon West Health &amp; Rehabilitation</t>
  </si>
  <si>
    <t xml:space="preserve">MEDICAID DAYS - NON UTAH                                      </t>
  </si>
  <si>
    <t xml:space="preserve">OTHER DAYS                                                            </t>
  </si>
  <si>
    <r>
      <t xml:space="preserve">Fairview Care Center East  - </t>
    </r>
    <r>
      <rPr>
        <sz val="14"/>
        <rFont val="NewCenturySchlbk"/>
      </rPr>
      <t>Robert Adams, New Owner</t>
    </r>
  </si>
  <si>
    <t>SEASONS</t>
  </si>
  <si>
    <t>VA Salt Lake (William E Christofferson Salt Lake Veterans Home)</t>
  </si>
  <si>
    <t>Country Life Care Center</t>
  </si>
  <si>
    <t>Avalon Care Center - Bountiful</t>
  </si>
  <si>
    <t>Bennion dba Avalon West</t>
  </si>
  <si>
    <t>Rocky Mountain Care - RIVERTON</t>
  </si>
  <si>
    <t>CENTRAL UTAH VETERANS HOME - PAYSON</t>
  </si>
  <si>
    <t>Southern Utah Veterans Home - Ivins</t>
  </si>
  <si>
    <t>Legal: Avalon Care Center - VA Ivins, LLC</t>
  </si>
  <si>
    <t>1)</t>
  </si>
  <si>
    <t>Audit Adjustment Notes:</t>
  </si>
  <si>
    <r>
      <t>1) Licensed beds are 30; only 8 beds are MEDICAID CERTIFIED</t>
    </r>
    <r>
      <rPr>
        <sz val="10"/>
        <rFont val="NewCenturySchlbk"/>
      </rPr>
      <t xml:space="preserve"> because of Medicaid bed moratium</t>
    </r>
  </si>
  <si>
    <t>2)</t>
  </si>
  <si>
    <t xml:space="preserve">HOSPICE DAYS - NON MEDICAID    </t>
  </si>
  <si>
    <t xml:space="preserve">MEDICAID DAYS - UTAH   </t>
  </si>
  <si>
    <t xml:space="preserve">NET HOSPICE REVENUE - NON MEDICAID   </t>
  </si>
  <si>
    <t xml:space="preserve">NET HOSPICE REVENUE - MEDICAID    </t>
  </si>
  <si>
    <t xml:space="preserve">NET MEDICAID REVENUE - UTAH       </t>
  </si>
  <si>
    <t>AJDUSTED 5/29/15 TO MEDICAID CERTIFIED BEDS!  dm</t>
  </si>
  <si>
    <t xml:space="preserve">HOSPICE DAYS - NON MEDICAID </t>
  </si>
  <si>
    <t>WAS WESTSIDE COMMUNITY NURSING CENTER UNTIL 1/14/15</t>
  </si>
  <si>
    <t>was Deseret Health &amp; Rehab at Ogden; CHOW 5/8/15</t>
  </si>
  <si>
    <t>(MISSION AT HILLSIDE REHABILITATION)</t>
  </si>
  <si>
    <t>RMC CLEARFIELD -BVH</t>
  </si>
  <si>
    <t>RMC Cottage on Vine -BVH</t>
  </si>
  <si>
    <t>RMC Mountain View -BVH</t>
  </si>
  <si>
    <t xml:space="preserve"> RMC Willow Springs -BVH</t>
  </si>
  <si>
    <r>
      <t xml:space="preserve">CALENDAR DAYS IN PERIOD      </t>
    </r>
    <r>
      <rPr>
        <b/>
        <sz val="10"/>
        <color indexed="8"/>
        <rFont val="NewCenturySchlbk"/>
      </rPr>
      <t>CHANGE FORMULA</t>
    </r>
  </si>
  <si>
    <t>NEXT YEAR</t>
  </si>
  <si>
    <t>CHANGE CALENDAR DAYS FORMULA</t>
  </si>
  <si>
    <t xml:space="preserve">MEDICAID DAYS - UTAH  </t>
  </si>
  <si>
    <t xml:space="preserve">MEDICARE-HMO DAYS  </t>
  </si>
  <si>
    <t>Per Visit</t>
  </si>
  <si>
    <t>LIFE CARE CENTER OF SALT LAKE CITY</t>
  </si>
  <si>
    <t>RMC LOGAN -BVH</t>
  </si>
  <si>
    <t>CHOWED AGAIN 11/1/15 to Lomond Peak -BV</t>
  </si>
  <si>
    <t>RED CLIFFS REGIONAL HEALTH &amp; REHAB -BV</t>
  </si>
  <si>
    <r>
      <t>SANDY HEALTH &amp; REHAB -BV</t>
    </r>
    <r>
      <rPr>
        <sz val="14"/>
        <rFont val="Times New Roman"/>
        <family val="1"/>
      </rPr>
      <t xml:space="preserve">   [Plum]</t>
    </r>
  </si>
  <si>
    <t>Spring Creek Healthcare Center -BV</t>
  </si>
  <si>
    <t>FOUR CORNERS REGIONAL -BV</t>
  </si>
  <si>
    <t>Mt. Olympus Rehab Center -BV</t>
  </si>
  <si>
    <t>PARKDALE - BV</t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</si>
  <si>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Medical Director</t>
    </r>
  </si>
  <si>
    <r>
      <rPr>
        <b/>
        <sz val="10"/>
        <rFont val="NewCenturySchlbk"/>
      </rPr>
      <t xml:space="preserve">B) </t>
    </r>
    <r>
      <rPr>
        <sz val="10"/>
        <rFont val="NewCenturySchlbk"/>
        <family val="1"/>
      </rPr>
      <t>Registered Nurses</t>
    </r>
  </si>
  <si>
    <r>
      <rPr>
        <b/>
        <sz val="10"/>
        <rFont val="NewCenturySchlbk"/>
      </rPr>
      <t xml:space="preserve">C) </t>
    </r>
    <r>
      <rPr>
        <sz val="10"/>
        <rFont val="NewCenturySchlbk"/>
        <family val="1"/>
      </rPr>
      <t>Licensed Practical Nurses</t>
    </r>
  </si>
  <si>
    <r>
      <rPr>
        <b/>
        <sz val="10"/>
        <rFont val="NewCenturySchlbk"/>
      </rPr>
      <t xml:space="preserve">E) </t>
    </r>
    <r>
      <rPr>
        <sz val="10"/>
        <rFont val="NewCenturySchlbk"/>
        <family val="1"/>
      </rPr>
      <t>Others</t>
    </r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</si>
  <si>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Registered Nurses</t>
    </r>
  </si>
  <si>
    <t xml:space="preserve">NET HOSPICE REVENUE - MEDICAID   </t>
  </si>
  <si>
    <t xml:space="preserve">NET HOSPICE REVENUE - NON MEDICAID  </t>
  </si>
  <si>
    <t xml:space="preserve">Payroll Taxes &amp; Emp Benefits </t>
  </si>
  <si>
    <t xml:space="preserve">NET HOSPICE REVENUE - MEDICAID </t>
  </si>
  <si>
    <t>PINE CREEK -BV</t>
  </si>
  <si>
    <t>schedules revised 7/2016</t>
  </si>
  <si>
    <t>1) is Desk review ADJ to Manor Care</t>
  </si>
  <si>
    <t>ADJUSTED AGAIN 1/4/17 TO 95 MDCD BEDS!</t>
  </si>
  <si>
    <t>Desk Rev ADJ -move benefits</t>
  </si>
  <si>
    <t>to 070-013B.</t>
  </si>
  <si>
    <t>to ADJ 116,398 to 070-050.</t>
  </si>
  <si>
    <t xml:space="preserve">    Note made for FCP for FY2014 and on!</t>
  </si>
  <si>
    <t>Desk Review: remove unallowable expense</t>
  </si>
  <si>
    <t xml:space="preserve">Coral Desert </t>
  </si>
  <si>
    <t xml:space="preserve">1) </t>
  </si>
  <si>
    <t>Alpine Meadow Rehab and Nursing</t>
  </si>
  <si>
    <t>Copper Ridge Health Care -BV</t>
  </si>
  <si>
    <t>Holladay Healthcare Cntr  -BV Ensign</t>
  </si>
  <si>
    <t>Hurricane -BV En</t>
  </si>
  <si>
    <t>Bella Terra Cedar City</t>
  </si>
  <si>
    <t>Bella Terra St. George</t>
  </si>
  <si>
    <t xml:space="preserve">Little Cottonwood -BV  </t>
  </si>
  <si>
    <t>LOMOND PEAK -BV</t>
  </si>
  <si>
    <t>MEADOW BROOK R &amp; N -BVH</t>
  </si>
  <si>
    <t>Millcreek Rehab &amp; Nurs  -BV</t>
  </si>
  <si>
    <t>DBA:  MISSION at BEAR RIVER REHABILITATION CENTER</t>
  </si>
  <si>
    <t>MT OGDEN -BV</t>
  </si>
  <si>
    <t>Garfield County Nursing Home</t>
  </si>
  <si>
    <t>Orem Rehabilitation and Nursing Center / OREM REHAB -BV</t>
  </si>
  <si>
    <t>OREM REHAB -BV  En</t>
  </si>
  <si>
    <t>PARAMOUNT -BV</t>
  </si>
  <si>
    <t>Ensign</t>
  </si>
  <si>
    <t>PINNACLE -BV</t>
  </si>
  <si>
    <t>PROVO -BV</t>
  </si>
  <si>
    <t>Provo Rehabilitation and Nursing</t>
  </si>
  <si>
    <t>DW: South Davis Community Care Center</t>
  </si>
  <si>
    <t>South Davis  -BV</t>
  </si>
  <si>
    <r>
      <t>SOUTH OGDEN  -BV (PLUM)  start date 11/2/2015{</t>
    </r>
    <r>
      <rPr>
        <sz val="12"/>
        <rFont val="Times New Roman"/>
        <family val="1"/>
      </rPr>
      <t xml:space="preserve">full name South Odgen Post Acute -BV} (Was MANOR CARE of So. OGDEN) </t>
    </r>
  </si>
  <si>
    <t>Rocky Mt Care Hunter Hollow -BVH</t>
  </si>
  <si>
    <t>SPANISH FORK -BV</t>
  </si>
  <si>
    <t>St. Joseph Villa -BV</t>
  </si>
  <si>
    <t>(Data Warehouse: Utah State Veterans NH)</t>
  </si>
  <si>
    <t>Draper Rehabilitation and Care Center -BV</t>
  </si>
  <si>
    <t>Brookdale Salt Lake City NH</t>
  </si>
  <si>
    <t>Adjustment to Beds</t>
  </si>
  <si>
    <r>
      <t xml:space="preserve">All beds are dual certified, so </t>
    </r>
    <r>
      <rPr>
        <b/>
        <sz val="10"/>
        <rFont val="NewCenturySchlbk"/>
      </rPr>
      <t>50 MDCD beds</t>
    </r>
    <r>
      <rPr>
        <sz val="10"/>
        <rFont val="NewCenturySchlbk"/>
      </rPr>
      <t xml:space="preserve"> not 8!</t>
    </r>
  </si>
  <si>
    <t>St. George Rehabilitation - Ensign &amp; St. George -BV  Ensign</t>
  </si>
  <si>
    <t>{Plum}</t>
  </si>
  <si>
    <t>Monthly Retainer</t>
  </si>
  <si>
    <t>Mission at Community Rehab -GVH</t>
  </si>
  <si>
    <t>Mission Bear River Vlly - GVH</t>
  </si>
  <si>
    <r>
      <t xml:space="preserve">Audit ADJUSTMENTS: </t>
    </r>
    <r>
      <rPr>
        <b/>
        <sz val="10"/>
        <rFont val="NewCenturySchlbk"/>
      </rPr>
      <t>50 Beds,</t>
    </r>
    <r>
      <rPr>
        <sz val="10"/>
        <rFont val="NewCenturySchlbk"/>
      </rPr>
      <t xml:space="preserve"> not 30   DM 9/8/17</t>
    </r>
  </si>
  <si>
    <t>CASCADES at ORCHARD PARK   BVH</t>
  </si>
  <si>
    <t>CASCADES at RIVERWALK   BVH</t>
  </si>
  <si>
    <r>
      <t xml:space="preserve">ADJUSTED AGAIN 9/18/17 TO </t>
    </r>
    <r>
      <rPr>
        <b/>
        <u/>
        <sz val="10"/>
        <rFont val="NewCenturySchlbk"/>
      </rPr>
      <t>90</t>
    </r>
    <r>
      <rPr>
        <b/>
        <sz val="10"/>
        <rFont val="NewCenturySchlbk"/>
      </rPr>
      <t xml:space="preserve"> MDCD BEDS!</t>
    </r>
  </si>
  <si>
    <r>
      <t xml:space="preserve">Heritage Park Rehab and Hlthcare   &amp; </t>
    </r>
    <r>
      <rPr>
        <u/>
        <sz val="18"/>
        <rFont val="Times New Roman"/>
        <family val="1"/>
      </rPr>
      <t>BVH</t>
    </r>
  </si>
  <si>
    <t>Harrison Pointe &amp; BV  En   (was Wasatch Care)</t>
  </si>
  <si>
    <t>Crestwood Rehab</t>
  </si>
  <si>
    <t>Monthly</t>
  </si>
  <si>
    <t>DM: corrected FCP rec'd 9/14/17.</t>
  </si>
  <si>
    <t>SOLD 5 DUAL CERT. BEDS TO BROOKDALE.</t>
  </si>
  <si>
    <t>1) D.R. move H.O. Exp. To 010-070</t>
  </si>
  <si>
    <t>1) D.R. add H.O. Exp.</t>
  </si>
  <si>
    <t>PBC: Recreation Trans to 090.</t>
  </si>
  <si>
    <t xml:space="preserve">PBC: Recreation Trans. T          m            </t>
  </si>
  <si>
    <t>1)DR Adj: move DON salary to 070-012 B)</t>
  </si>
  <si>
    <t>2) DR Adj: move Tax/Benefits to 070-013 B)</t>
  </si>
  <si>
    <t>DR Adj: remove moving expenses for old &amp; ndw administrators.</t>
  </si>
  <si>
    <t>DR ADJ: remove TV Exp., patient rooms</t>
  </si>
  <si>
    <t>disllow $520.68.</t>
  </si>
  <si>
    <t>2) DR: reclassify 27.62 to 010-110.</t>
  </si>
  <si>
    <t>2) DR: reclassify 27.62 to 010-110;</t>
  </si>
  <si>
    <t>DR: Remove Meals/Entertain</t>
  </si>
  <si>
    <t>DR</t>
  </si>
  <si>
    <t xml:space="preserve">MEDICAID CERTIFIED BEDS           </t>
  </si>
  <si>
    <t>Moved Pat Transport from 090-490.</t>
  </si>
  <si>
    <t>Moved Pat Transport to 010-90.</t>
  </si>
  <si>
    <t>DR: move Data Process to 010-150</t>
  </si>
  <si>
    <t>DR: moved Data Process to 010-150</t>
  </si>
  <si>
    <t>DR: move data processing to 010-150</t>
  </si>
  <si>
    <t>Moved data process to 010-150</t>
  </si>
  <si>
    <t>DR: remove TV/Cable Exp.</t>
  </si>
  <si>
    <t>AUDIT ADJ</t>
  </si>
  <si>
    <t>1) PBC: Recreation Transp…&amp; AUDIT ADJ</t>
  </si>
  <si>
    <t>AUJDIT ADJ</t>
  </si>
  <si>
    <t>AUDIT ADJS</t>
  </si>
  <si>
    <t>A</t>
  </si>
  <si>
    <t>DR: remove Meals/Entertain A&amp;G, ADM, Mtng</t>
  </si>
  <si>
    <t xml:space="preserve">DR: remove Meals/Entertain A&amp;G, M/E Adm, </t>
  </si>
  <si>
    <t xml:space="preserve">        and Mtng Exp A&amp;G.</t>
  </si>
  <si>
    <t>DR: remove cable TV expense to patient rooms</t>
  </si>
  <si>
    <t>DR: remove TV/Cable expense, unallowable</t>
  </si>
  <si>
    <t>DR: remove TV/cable expense - unallowable</t>
  </si>
  <si>
    <t>REV CAT</t>
  </si>
  <si>
    <r>
      <t xml:space="preserve">TOTAL PATIENT DAYS AVAILABLE </t>
    </r>
    <r>
      <rPr>
        <b/>
        <sz val="11"/>
        <color indexed="8"/>
        <rFont val="Calibri"/>
        <family val="2"/>
        <scheme val="minor"/>
      </rPr>
      <t>(Total Licensed Beds*Calendar Days in Period)</t>
    </r>
  </si>
  <si>
    <r>
      <t xml:space="preserve">TOTAL OCCUPANCY </t>
    </r>
    <r>
      <rPr>
        <b/>
        <sz val="11"/>
        <color indexed="8"/>
        <rFont val="Calibri"/>
        <family val="2"/>
        <scheme val="minor"/>
      </rPr>
      <t>(Total Patient Days/Total Patient Days Available)</t>
    </r>
  </si>
  <si>
    <r>
      <t xml:space="preserve">MEDICAID OCCUPANCY </t>
    </r>
    <r>
      <rPr>
        <b/>
        <sz val="11"/>
        <color indexed="8"/>
        <rFont val="Calibri"/>
        <family val="2"/>
        <scheme val="minor"/>
      </rPr>
      <t>(Medicaid Days-Utah /Total Patient Days Available)</t>
    </r>
  </si>
  <si>
    <r>
      <t xml:space="preserve">MEDICAID OCCUPANCY AS A % OF TOTAL OCCUPANCY </t>
    </r>
    <r>
      <rPr>
        <b/>
        <sz val="11"/>
        <color indexed="8"/>
        <rFont val="Calibri"/>
        <family val="2"/>
        <scheme val="minor"/>
      </rPr>
      <t>(Medicaid Occupancy/Total Occupancy)</t>
    </r>
  </si>
  <si>
    <t>Late Adj. 6/13/18</t>
  </si>
  <si>
    <t>ACCT NUMBERS FOR MEDICAID REVENUE - UTAH:</t>
  </si>
  <si>
    <t>01A  NET DAILY RATE REVENUE - UTAH</t>
  </si>
  <si>
    <t>01B  UPL PAYMENTS</t>
  </si>
  <si>
    <t>01C  MEDICAID ANCILLARY REVENUE - UTAH</t>
  </si>
  <si>
    <t xml:space="preserve">01D  QUALITY INCENTIVE REVENUE </t>
  </si>
  <si>
    <t xml:space="preserve">ACCT NUMBERS FOR MEDICAID REVENUE - UTAH </t>
  </si>
  <si>
    <t>FCP ADJ'S EXCLUDING</t>
  </si>
  <si>
    <t>RELATED PARTY</t>
  </si>
  <si>
    <t>AUDIT ADJ'S EXCLUDING</t>
  </si>
  <si>
    <t>AUDIT ADJ'S</t>
  </si>
  <si>
    <t>(COL 7/AUDITED DAYS)</t>
  </si>
  <si>
    <t>(COLS 4 + 5  + 6 )</t>
  </si>
  <si>
    <t>(COLS 1 + 2 + 3)</t>
  </si>
  <si>
    <t>Total  Patient Days</t>
  </si>
  <si>
    <t>Total Avail. Days</t>
  </si>
  <si>
    <t>Food Preparation &amp; Serving Supplies</t>
  </si>
  <si>
    <t>City Creek Post Acute -BV Ensign</t>
  </si>
  <si>
    <t>SOUTH DAVIS SPECIALTY CARE</t>
  </si>
  <si>
    <t>George E. Wahlen Ogden Veteran's Home</t>
  </si>
  <si>
    <t>Mission at Hillside Rehab Center</t>
  </si>
  <si>
    <t xml:space="preserve">HOSPICE DAYS - MEDICAID           </t>
  </si>
  <si>
    <t xml:space="preserve">HOSPICE DAYS - NON MEDICAID           </t>
  </si>
  <si>
    <t xml:space="preserve">Mission at Alpine Rehab -GVH </t>
  </si>
  <si>
    <t>POINTE MEADOWS</t>
  </si>
  <si>
    <t>EVANGELINE NEEDS TO CORRECT THE "FROM" DATE- NOT 7/1/18, BUT 7/1 17!!!</t>
  </si>
  <si>
    <r>
      <t>DR ADJ:</t>
    </r>
    <r>
      <rPr>
        <sz val="10"/>
        <color rgb="FFFF0000"/>
        <rFont val="NewCenturySchlbk"/>
      </rPr>
      <t xml:space="preserve">  Original FCP had the "Beginning Date" as 7/1/</t>
    </r>
    <r>
      <rPr>
        <b/>
        <u/>
        <sz val="10"/>
        <color rgb="FFFF0000"/>
        <rFont val="NewCenturySchlbk"/>
      </rPr>
      <t>18</t>
    </r>
    <r>
      <rPr>
        <sz val="10"/>
        <color rgb="FFFF0000"/>
        <rFont val="NewCenturySchlbk"/>
      </rPr>
      <t>.  It should have been 7/1/17.</t>
    </r>
  </si>
  <si>
    <t>retainer</t>
  </si>
  <si>
    <t>retainer/per chart</t>
  </si>
  <si>
    <t>Mthly Retainer</t>
  </si>
  <si>
    <t>PREPARER NEEDS TO RESUBMIT FCP!!</t>
  </si>
  <si>
    <t>THIS FACILITY CLOSED 6/2/18!</t>
  </si>
  <si>
    <r>
      <t xml:space="preserve">DR:  BEDS NEED TO BE CHECKED AND CORRECTED!  </t>
    </r>
    <r>
      <rPr>
        <b/>
        <sz val="13"/>
        <rFont val="NewCenturySchlbk"/>
      </rPr>
      <t>CORRECTED FCP SUBMITTED 10-4-18.</t>
    </r>
  </si>
  <si>
    <t>Crestwood Rehab,  BVH</t>
  </si>
  <si>
    <t>schedules revised Sept. 2018</t>
  </si>
  <si>
    <t>DR: RESUBMITTED WITH MEDICAID BEDS INCLUDED 10/8/18</t>
  </si>
  <si>
    <t>PIONEER</t>
  </si>
  <si>
    <t>Data Warehouse:  AVALON CARE CTR VA OGDEN</t>
  </si>
  <si>
    <t>***</t>
  </si>
  <si>
    <t>***Desk review ADJ to Lic. Beds</t>
  </si>
  <si>
    <t>****</t>
  </si>
  <si>
    <t>****Desk review ADJ to MDCD Beds</t>
  </si>
  <si>
    <t>dm 10/15/18</t>
  </si>
  <si>
    <r>
      <t xml:space="preserve">FIRST FCP:  </t>
    </r>
    <r>
      <rPr>
        <b/>
        <sz val="10"/>
        <rFont val="NewCenturySchlbk"/>
      </rPr>
      <t>NO BEDS</t>
    </r>
  </si>
  <si>
    <r>
      <t xml:space="preserve">FIRST FCP:  </t>
    </r>
    <r>
      <rPr>
        <b/>
        <sz val="10"/>
        <rFont val="NewCenturySchlbk"/>
      </rPr>
      <t>NO MDCD BEDS</t>
    </r>
  </si>
  <si>
    <t>DW: Pointe Meadows Health and Rehabilitation</t>
  </si>
  <si>
    <r>
      <rPr>
        <b/>
        <sz val="10"/>
        <rFont val="NewCenturySchlbk"/>
      </rPr>
      <t>Full Name:  Mt Ogden Health &amp; Rehabilitation Center</t>
    </r>
    <r>
      <rPr>
        <sz val="10"/>
        <rFont val="NewCenturySchlbk"/>
        <family val="1"/>
      </rPr>
      <t xml:space="preserve"> [-BV] (Ensign)</t>
    </r>
  </si>
  <si>
    <r>
      <t xml:space="preserve">DR ADJ: RESUBMITTD FCP WITH </t>
    </r>
    <r>
      <rPr>
        <b/>
        <sz val="10"/>
        <rFont val="NewCenturySchlbk"/>
      </rPr>
      <t>36, NOT 24, MDCD BEDS.</t>
    </r>
  </si>
  <si>
    <t>CORRECTED ??  YES, 10/22/18</t>
  </si>
  <si>
    <t>DR ADJ: BROOKDALE HAS 5 DUAL CERTIFIED BEDS;</t>
  </si>
  <si>
    <t>RESUBMITTED FCP 9/28/18.</t>
  </si>
  <si>
    <t>TOTAL REVENUE ****</t>
  </si>
  <si>
    <t>FY18 Nursing Facility Summary</t>
  </si>
  <si>
    <t xml:space="preserve">RELATED PARTY </t>
  </si>
  <si>
    <t>.</t>
  </si>
  <si>
    <t>(Started 6/16/17; CHOW 12/10/17)</t>
  </si>
  <si>
    <r>
      <t xml:space="preserve">Auditor's Note:  some of the dollar amounts in Column 4 are due to facilities changing ownership during the reporting period.  The BOTH the original facility's FCP figures and the FCP figures after the CHOW are posted in Columns 1, 2  and 3.  </t>
    </r>
    <r>
      <rPr>
        <b/>
        <u/>
        <sz val="10"/>
        <color rgb="FF0066CC"/>
        <rFont val="Times New Roman"/>
        <family val="1"/>
      </rPr>
      <t>Adjustments from reviews</t>
    </r>
    <r>
      <rPr>
        <b/>
        <sz val="10"/>
        <color rgb="FF0066CC"/>
        <rFont val="Times New Roman"/>
        <family val="1"/>
      </rPr>
      <t xml:space="preserve"> are found in Columns 5 &amp; 6; an adjustment may be from  a Desk Review, or from Carver Florek &amp; James (CFJ), CPAs.</t>
    </r>
  </si>
  <si>
    <t>Stonehenge of Am. Fk. 12/10/17</t>
  </si>
  <si>
    <t>Stonehenge of Am. Fk. 6/30/18</t>
  </si>
  <si>
    <t>STONEHENGE OF CEDAR CITY - Kane County Hospital</t>
  </si>
  <si>
    <t>Stonehenge of Ogden, Kane County Hospital</t>
  </si>
  <si>
    <t>Stonehenge of Richfield 12/10/17</t>
  </si>
  <si>
    <t>Stonehenge of Richfield, Kane County Hospital</t>
  </si>
  <si>
    <t>STONEHENGE of SPRINGVILLE- Kane County Hospital</t>
  </si>
  <si>
    <t>Stonehenge of Ogden   12/10/17</t>
  </si>
  <si>
    <t>STONEHENGE OF CEDAR CITY 12/10/17</t>
  </si>
  <si>
    <t>STONEHENGE of SPRINGVILLE  12/10/17</t>
  </si>
  <si>
    <t>Col 7/Col 11</t>
  </si>
  <si>
    <t>Col 11/Total Aud Days</t>
  </si>
  <si>
    <t>DR: Remove Meals/Entertain ADM, A&amp;G</t>
  </si>
  <si>
    <t>DR: Disallow Meals and Entertain, ADM and A&amp;G.</t>
  </si>
  <si>
    <t>1) DR Adjust: 010-490 remove Meals and Entertainment ADM, A&amp;G, and Meeting Expenses A&amp;G.</t>
  </si>
  <si>
    <t>(1) DR: Remove Meals/Entertain, ADM and A&amp;G, and Mtg Exp., A&amp;G</t>
  </si>
  <si>
    <t>(1) above</t>
  </si>
  <si>
    <t>DR: disallow Meals/entertain A&amp;G and ADM</t>
  </si>
  <si>
    <t>DR: remove Meals/Entertain: A&amp;G and ADM</t>
  </si>
  <si>
    <t>DR: remove Meals/Entertain: A&amp;G, ADM</t>
  </si>
  <si>
    <t>DR: Disallow Meals/Entertain A&amp;G, ADM</t>
  </si>
  <si>
    <t xml:space="preserve">DR: Remove A&amp;G Meals/Entetrtain </t>
  </si>
  <si>
    <t>&amp; Mtng Exp A&amp;G.</t>
  </si>
  <si>
    <t>DR: remove Meals/Entertain, Mtng Exp., A&amp;G</t>
  </si>
  <si>
    <t>Adjust Medicaid Days - Non Utah.</t>
  </si>
  <si>
    <t>DR: Disallow Meals/Entertain A&amp;G and ADM,</t>
  </si>
  <si>
    <t>and Mtng Exp ADM.</t>
  </si>
  <si>
    <t>ADM, and Mtng Exp A&amp;G</t>
  </si>
  <si>
    <t xml:space="preserve">DR: Disallow Meals/Entertain, A&amp;G and </t>
  </si>
  <si>
    <t>4)</t>
  </si>
  <si>
    <t>5)</t>
  </si>
  <si>
    <t>2) DR correct input error PBC</t>
  </si>
  <si>
    <t>3)</t>
  </si>
  <si>
    <t>3) DR: correct DON salary PBC</t>
  </si>
  <si>
    <t>5) DR: correct CNA Salary, PBC</t>
  </si>
  <si>
    <t>4) DR: correct RN salary &amp; wages, PBC</t>
  </si>
  <si>
    <t>1) DR correction to 010-012, PBC</t>
  </si>
  <si>
    <t>DR: Disallow TV/Cable Exp.</t>
  </si>
  <si>
    <t>DR: Disallow TV/Cable Satellite Exp.</t>
  </si>
  <si>
    <t>DR: TO ADJUST WOUND VAC ENTRY TO RELATED PARTY COL.</t>
  </si>
  <si>
    <t>DR: Move Wound Vac Adj. to RP</t>
  </si>
  <si>
    <t xml:space="preserve">DR: move Amnt to </t>
  </si>
  <si>
    <t>040-390</t>
  </si>
  <si>
    <t>DR: move Wage and Benefits to Laundry and Linen</t>
  </si>
  <si>
    <t>DR: move Asst Admin Salary to Med Records 070-012 E</t>
  </si>
  <si>
    <t>↓</t>
  </si>
  <si>
    <t>↑</t>
  </si>
  <si>
    <t>&amp; MOVE COSTS TO DIETARY.</t>
  </si>
  <si>
    <t>DR: Remove Unallowable TV/Cable/Satellite</t>
  </si>
  <si>
    <t>DR: move RP Wound Vac ADJ to RP.</t>
  </si>
  <si>
    <t>DR: move DME Expenses</t>
  </si>
  <si>
    <t>DR: move Med Waste to 070-490</t>
  </si>
  <si>
    <t>DR: move Med Waste from 030-320</t>
  </si>
  <si>
    <t>DR: move DME repair.</t>
  </si>
  <si>
    <t xml:space="preserve">DR: mvove DME from Nursing </t>
  </si>
  <si>
    <t>DR; mover Med Waste to 070-490</t>
  </si>
  <si>
    <t>DR: Med Wast from 030-320</t>
  </si>
  <si>
    <t>DR: move Med EQ &amp; Med EQ rental</t>
  </si>
  <si>
    <t>DR: move Wound Vac Adj to RP Col.</t>
  </si>
  <si>
    <t>DR: move leased DME from 070-110</t>
  </si>
  <si>
    <t>DR: Move Wound Vac &amp; DME rental from 070-110</t>
  </si>
  <si>
    <t>DR: move Repair &amp; Maint. From 070-110</t>
  </si>
  <si>
    <t>Feb. 15, 2019:</t>
  </si>
  <si>
    <t>DR: ADJ DAYS per LATEST CLIENT CENSUS</t>
  </si>
  <si>
    <t>data from version 2 sent Feb. 18. '19</t>
  </si>
  <si>
    <t>DR: ADJUST HMO $ TO "OTHER"</t>
  </si>
  <si>
    <t>DR: ADJUST HMO DAYS TO "OTHER"</t>
  </si>
  <si>
    <t>DR: Move Social SVCS Misc. to 090-490</t>
  </si>
  <si>
    <t>DR: Unallowable Expenses removed.</t>
  </si>
  <si>
    <t>DR: Remove Unallawoble Expenses</t>
  </si>
  <si>
    <t>DR: MOVE QI $ TO 01D</t>
  </si>
  <si>
    <t>DR: MOVE QI TO 01D</t>
  </si>
  <si>
    <t>DR: REMOVE UNALLOWABLE CABLE TV</t>
  </si>
  <si>
    <t>DR: ALLOCATE NURSE Pay TAX &amp; BEN.</t>
  </si>
  <si>
    <t>DR: Neveda Medicaid days = 397; 10A/PASRR days = 24</t>
  </si>
  <si>
    <t>DR 10A/PASRR problem days here</t>
  </si>
  <si>
    <t>1) DR: Move NV MDCD $ to NON UTAH</t>
  </si>
  <si>
    <t>(REVISED)</t>
  </si>
  <si>
    <t>DR: MOVE WOUND VAC ADJ. TO RELATED PARTY COL.</t>
  </si>
  <si>
    <t>DR: MOVE QUAL I REV TO 01D</t>
  </si>
  <si>
    <t>DR: MOVE UMIP REV TO 01D</t>
  </si>
  <si>
    <t>2nd DR for 10: MOVE UMIP REV TO 01D</t>
  </si>
  <si>
    <t>2) DR: MOVE UMIP REV TO 01D</t>
  </si>
  <si>
    <t>DR: MOVE UMIP REV. TO 01D</t>
  </si>
  <si>
    <t>DR: MOVE UMIP REV.  TO 01D</t>
  </si>
  <si>
    <t>DR 1</t>
  </si>
  <si>
    <t>DR: MOVE $ PER JENN ANDERSON EMAIL AND PHONE CALL.</t>
  </si>
  <si>
    <t>DR: ADJUST DAYS PER JENN ANDERSON EMAIL &amp; PHONE CALL TO MMIS</t>
  </si>
  <si>
    <t>13,296 per Jennifer less 102 = 13,194 (MMIS Days)</t>
  </si>
  <si>
    <t>Plug 28 days to bring FCP to 13,194 MDCD Days</t>
  </si>
  <si>
    <t>DR: ADD BAD DEBT SETTLEMENT</t>
  </si>
  <si>
    <t>1) DR: MOVE MEDICAL DIRECTOR EXPENSE TO 070-050.</t>
  </si>
  <si>
    <t>1) Move Medical Director expense to 070-050</t>
  </si>
  <si>
    <t>DR: Move Computer Expense to 030-240</t>
  </si>
  <si>
    <t>DR: REMOVE TV/CABLE/SATELLITE EXP.</t>
  </si>
  <si>
    <t>DR: Move Adj. for Wound Vac Exp. to the related party Col.</t>
  </si>
  <si>
    <t>DR: REMOVE UNALLOWABLE TV/Cable/ Satellite EXP.</t>
  </si>
  <si>
    <t>DR: Disallow TV/Cable/Satellite Exp.</t>
  </si>
  <si>
    <t>DR: Move Wound Vac Adj. to Related Party Col.</t>
  </si>
  <si>
    <t>WATCH OUT FOR THIS IN FINAL ADJ.</t>
  </si>
  <si>
    <r>
      <rPr>
        <b/>
        <sz val="10"/>
        <rFont val="NewCenturySchlbk"/>
      </rPr>
      <t>2)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DR: move Provider Adj. for Depr to RP as well as the CFJ Adj.</t>
    </r>
  </si>
  <si>
    <r>
      <rPr>
        <b/>
        <sz val="10"/>
        <rFont val="NewCenturySchlbk"/>
      </rPr>
      <t xml:space="preserve">1) </t>
    </r>
    <r>
      <rPr>
        <sz val="10"/>
        <rFont val="NewCenturySchlbk"/>
        <family val="1"/>
      </rPr>
      <t>DR: move RP rent to RP Col.</t>
    </r>
  </si>
  <si>
    <t>1) DR: remove TV/Cagle/Satellite expense.</t>
  </si>
  <si>
    <t>1) DR: input allocated P/R Tax &amp; Benefits</t>
  </si>
  <si>
    <r>
      <t xml:space="preserve">DR 1: Mcare-HMO REV </t>
    </r>
    <r>
      <rPr>
        <b/>
        <sz val="10"/>
        <rFont val="NewCenturySchlbk"/>
      </rPr>
      <t>ADDED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to regular Mcare REV because no days in Mcare-HMO.</t>
    </r>
  </si>
  <si>
    <r>
      <t xml:space="preserve">A) </t>
    </r>
    <r>
      <rPr>
        <sz val="10"/>
        <rFont val="NewCenturySchlbk"/>
      </rPr>
      <t>Medical Director</t>
    </r>
  </si>
  <si>
    <r>
      <t xml:space="preserve">B) </t>
    </r>
    <r>
      <rPr>
        <sz val="10"/>
        <rFont val="NewCenturySchlbk"/>
      </rPr>
      <t>Registered Nurses</t>
    </r>
  </si>
  <si>
    <r>
      <t xml:space="preserve">C) </t>
    </r>
    <r>
      <rPr>
        <sz val="10"/>
        <rFont val="NewCenturySchlbk"/>
      </rPr>
      <t>Licensed Practical Nurses</t>
    </r>
  </si>
  <si>
    <r>
      <t xml:space="preserve"> </t>
    </r>
    <r>
      <rPr>
        <b/>
        <sz val="10"/>
        <rFont val="NewCenturySchlbk"/>
      </rPr>
      <t xml:space="preserve">D) </t>
    </r>
    <r>
      <rPr>
        <sz val="10"/>
        <rFont val="NewCenturySchlbk"/>
        <family val="1"/>
      </rPr>
      <t>Certified Nursing Aides</t>
    </r>
  </si>
  <si>
    <r>
      <t xml:space="preserve"> </t>
    </r>
    <r>
      <rPr>
        <b/>
        <sz val="10"/>
        <rFont val="NewCenturySchlbk"/>
      </rPr>
      <t xml:space="preserve">D) </t>
    </r>
    <r>
      <rPr>
        <sz val="10"/>
        <rFont val="NewCenturySchlbk"/>
      </rPr>
      <t>Certified Nursing Aides</t>
    </r>
  </si>
  <si>
    <r>
      <t xml:space="preserve"> </t>
    </r>
    <r>
      <rPr>
        <b/>
        <sz val="10"/>
        <rFont val="NewCenturySchlbk"/>
      </rPr>
      <t xml:space="preserve">E) </t>
    </r>
    <r>
      <rPr>
        <sz val="10"/>
        <rFont val="NewCenturySchlbk"/>
        <family val="1"/>
      </rPr>
      <t>Others</t>
    </r>
  </si>
  <si>
    <r>
      <t xml:space="preserve"> </t>
    </r>
    <r>
      <rPr>
        <b/>
        <sz val="10"/>
        <rFont val="NewCenturySchlbk"/>
      </rPr>
      <t xml:space="preserve">E) </t>
    </r>
    <r>
      <rPr>
        <sz val="10"/>
        <rFont val="NewCenturySchlbk"/>
      </rPr>
      <t>Others</t>
    </r>
  </si>
  <si>
    <r>
      <t xml:space="preserve"> </t>
    </r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Medical Director</t>
    </r>
  </si>
  <si>
    <r>
      <t xml:space="preserve"> </t>
    </r>
    <r>
      <rPr>
        <b/>
        <sz val="10"/>
        <rFont val="NewCenturySchlbk"/>
      </rPr>
      <t xml:space="preserve">A) </t>
    </r>
    <r>
      <rPr>
        <sz val="10"/>
        <rFont val="NewCenturySchlbk"/>
      </rPr>
      <t>Medical Director</t>
    </r>
  </si>
  <si>
    <r>
      <t xml:space="preserve">A) </t>
    </r>
    <r>
      <rPr>
        <sz val="10"/>
        <rFont val="NewCenturySchlbk"/>
      </rPr>
      <t>Registered Nurses</t>
    </r>
  </si>
  <si>
    <r>
      <rPr>
        <b/>
        <sz val="10"/>
        <rFont val="NewCenturySchlbk"/>
      </rPr>
      <t>D)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Certified Nursing Aides</t>
    </r>
  </si>
  <si>
    <r>
      <t>D)</t>
    </r>
    <r>
      <rPr>
        <sz val="10"/>
        <rFont val="NewCenturySchlbk"/>
      </rPr>
      <t xml:space="preserve"> Certified Nursing Aides</t>
    </r>
  </si>
  <si>
    <r>
      <t xml:space="preserve">E) </t>
    </r>
    <r>
      <rPr>
        <sz val="10"/>
        <rFont val="NewCenturySchlbk"/>
      </rPr>
      <t>Others</t>
    </r>
  </si>
  <si>
    <r>
      <rPr>
        <b/>
        <sz val="10"/>
        <rFont val="NewCenturySchlbk"/>
      </rPr>
      <t>A)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Registered Nurses</t>
    </r>
  </si>
  <si>
    <r>
      <t>A)</t>
    </r>
    <r>
      <rPr>
        <sz val="10"/>
        <rFont val="NewCenturySchlbk"/>
      </rPr>
      <t xml:space="preserve"> Registered Nurses</t>
    </r>
  </si>
  <si>
    <r>
      <rPr>
        <b/>
        <sz val="10"/>
        <rFont val="NewCenturySchlbk"/>
      </rPr>
      <t>B)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Licensed Practical Nurses</t>
    </r>
  </si>
  <si>
    <r>
      <t>B)</t>
    </r>
    <r>
      <rPr>
        <sz val="10"/>
        <rFont val="NewCenturySchlbk"/>
      </rPr>
      <t xml:space="preserve"> Licensed Practical Nurses</t>
    </r>
  </si>
  <si>
    <r>
      <rPr>
        <b/>
        <sz val="10"/>
        <rFont val="NewCenturySchlbk"/>
      </rPr>
      <t>C)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Certified Nursing Aides</t>
    </r>
  </si>
  <si>
    <r>
      <t>C)</t>
    </r>
    <r>
      <rPr>
        <sz val="10"/>
        <rFont val="NewCenturySchlbk"/>
      </rPr>
      <t xml:space="preserve"> Certified Nursing Aides</t>
    </r>
  </si>
  <si>
    <r>
      <rPr>
        <b/>
        <sz val="10"/>
        <rFont val="NewCenturySchlbk"/>
      </rPr>
      <t>D)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Others</t>
    </r>
  </si>
  <si>
    <r>
      <t>D)</t>
    </r>
    <r>
      <rPr>
        <sz val="10"/>
        <rFont val="NewCenturySchlbk"/>
      </rPr>
      <t xml:space="preserve"> Others</t>
    </r>
  </si>
  <si>
    <r>
      <rPr>
        <b/>
        <sz val="10"/>
        <rFont val="NewCenturySchlbk"/>
      </rPr>
      <t>A)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Medical Director</t>
    </r>
  </si>
  <si>
    <r>
      <t>A)</t>
    </r>
    <r>
      <rPr>
        <sz val="10"/>
        <rFont val="NewCenturySchlbk"/>
      </rPr>
      <t xml:space="preserve"> Medical Director</t>
    </r>
  </si>
  <si>
    <r>
      <rPr>
        <b/>
        <sz val="10"/>
        <rFont val="NewCenturySchlbk"/>
      </rPr>
      <t>B)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Registered Nurses</t>
    </r>
  </si>
  <si>
    <r>
      <t>B)</t>
    </r>
    <r>
      <rPr>
        <sz val="10"/>
        <rFont val="NewCenturySchlbk"/>
      </rPr>
      <t xml:space="preserve"> Registered Nurses</t>
    </r>
  </si>
  <si>
    <r>
      <rPr>
        <b/>
        <sz val="10"/>
        <rFont val="NewCenturySchlbk"/>
      </rPr>
      <t>C)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Licensed Practical Nurses</t>
    </r>
  </si>
  <si>
    <r>
      <t>C)</t>
    </r>
    <r>
      <rPr>
        <sz val="10"/>
        <rFont val="NewCenturySchlbk"/>
      </rPr>
      <t xml:space="preserve"> Licensed Practical Nurses</t>
    </r>
  </si>
  <si>
    <r>
      <rPr>
        <b/>
        <sz val="10"/>
        <rFont val="NewCenturySchlbk"/>
      </rPr>
      <t>E)</t>
    </r>
    <r>
      <rPr>
        <sz val="10"/>
        <rFont val="NewCenturySchlbk"/>
      </rPr>
      <t xml:space="preserve"> </t>
    </r>
    <r>
      <rPr>
        <sz val="10"/>
        <rFont val="NewCenturySchlbk"/>
        <family val="1"/>
      </rPr>
      <t>Others</t>
    </r>
  </si>
  <si>
    <r>
      <t>E)</t>
    </r>
    <r>
      <rPr>
        <sz val="10"/>
        <rFont val="NewCenturySchlbk"/>
      </rPr>
      <t xml:space="preserve"> Others</t>
    </r>
  </si>
  <si>
    <r>
      <t xml:space="preserve">Bad Debts  </t>
    </r>
    <r>
      <rPr>
        <b/>
        <sz val="10"/>
        <rFont val="NewCenturySchlbk"/>
      </rPr>
      <t>Moved From Income Taxes to BAD DEBTS…DM</t>
    </r>
  </si>
  <si>
    <r>
      <t xml:space="preserve">Income Taxes   </t>
    </r>
    <r>
      <rPr>
        <b/>
        <sz val="10"/>
        <rFont val="NewCenturySchlbk"/>
      </rPr>
      <t>Delete Entry &amp; Prov. Adj. b/c Exp. is Bad Debt</t>
    </r>
  </si>
  <si>
    <t>DR: Remove TV Cable Satellite Exp. Unallowed.</t>
  </si>
  <si>
    <r>
      <t xml:space="preserve">Entry to classify for carve out </t>
    </r>
    <r>
      <rPr>
        <u/>
        <sz val="10"/>
        <rFont val="NewCenturySchlbk"/>
      </rPr>
      <t>and</t>
    </r>
    <r>
      <rPr>
        <sz val="10"/>
        <rFont val="NewCenturySchlbk"/>
      </rPr>
      <t xml:space="preserve"> to remove TV/Cable Exp.</t>
    </r>
  </si>
  <si>
    <t>DR: MOVE COMPUTER EXPENSE TO  030-240; see Mission at BR email.</t>
  </si>
  <si>
    <t>(COLs 4 + 5 + 6)</t>
  </si>
  <si>
    <t>(COLs 1 + 2 + 3)</t>
  </si>
  <si>
    <t>Management Services - See David M about this ADJ.</t>
  </si>
  <si>
    <t>1) DR ADJ:  Per Jennifer Andersen email 4/9/19 - Hopice Medicaid Revenue = $185,660 ($207/day); Private Revenue = $101,215 ($275/day)</t>
  </si>
  <si>
    <t>DR: Move Qual Incentive $ to 01D</t>
  </si>
  <si>
    <t>DR: disallow Direct TV cost</t>
  </si>
  <si>
    <t>DR: MOVE COSTS FROM HOUSEKEEPING TO DIETARY</t>
  </si>
  <si>
    <t>DR: DISALLOW TV/Cable/Satellite Exp.</t>
  </si>
  <si>
    <t>DR: DISALLOW TV/CABLE EXP.</t>
  </si>
  <si>
    <t>TO RECONCILE DAYS TO 13,194 MMIS MEDICAID DAYS IN DAYS TABLE AT BOTTOM</t>
  </si>
  <si>
    <t>PBC: Recreation Transp.+</t>
  </si>
  <si>
    <t>6) DR: correct 090-490 per PBC</t>
  </si>
  <si>
    <t>DR: MOVE WOUND VAC ADJ. TO RELATED PARTY</t>
  </si>
  <si>
    <t>DR: move DME from 070-110, less CFJ subject to Depr.</t>
  </si>
  <si>
    <t>1) DR:  MOVE MEDICAL DIRECTOR EXP. TO 070-050</t>
  </si>
  <si>
    <t>DR: REFUND FROM FACILITY</t>
  </si>
  <si>
    <t>DR: PASRR and 10-A failure reduction.</t>
  </si>
  <si>
    <t>DR: Add 10-A &amp; PASRR failure days here.</t>
  </si>
  <si>
    <r>
      <rPr>
        <b/>
        <sz val="10"/>
        <rFont val="NewCenturySchlbk"/>
      </rPr>
      <t>1)</t>
    </r>
    <r>
      <rPr>
        <sz val="10"/>
        <rFont val="NewCenturySchlbk"/>
        <family val="1"/>
      </rPr>
      <t>: per Ben Campbell email &amp; phone call 4/30/19, PRIVATE REV. = $159,000; REST IS HOSPICE NON-MDCD; DAYS DO NOT CHANGE.</t>
    </r>
  </si>
  <si>
    <r>
      <t>1):</t>
    </r>
    <r>
      <rPr>
        <sz val="10"/>
        <rFont val="NewCenturySchlbk"/>
      </rPr>
      <t xml:space="preserve"> Per email from Ben Campbell 4/30/19, PRIVATE REV = $128,700; REST IS HOSPICE NON-MDCD; DAYS DO NOT CHANGE.</t>
    </r>
  </si>
  <si>
    <t>DR: Per 4/30/19 phone call from Ben Campbell on behalf of Cory Robison: 713 IS MEDICAID DAYS; 785 IS ERROR.</t>
  </si>
  <si>
    <t>DR: Reduce MDCD days to 713</t>
  </si>
  <si>
    <t>DR: Reduce Total Days by 72</t>
  </si>
  <si>
    <t>DR: Tyler Juluson, Administrator at Stoneh. of Richfield said facility been paid for 2114 MDCD days in FY18, in which 957 is included, so leave MDCD days as is.</t>
  </si>
  <si>
    <t>DR: Tyler Juluson, Administrator at Stoneh. of Richfield said facility been paid for 2114 MDCD days in FY18, in which 1157 is included, so leave MDCD days as is.</t>
  </si>
  <si>
    <r>
      <rPr>
        <b/>
        <sz val="10"/>
        <rFont val="NewCenturySchlbk"/>
      </rPr>
      <t xml:space="preserve">1) </t>
    </r>
    <r>
      <rPr>
        <sz val="10"/>
        <rFont val="NewCenturySchlbk"/>
        <family val="1"/>
      </rPr>
      <t>DR: Adjust Medicaid days to 7,586; Adjust Private days to 522.</t>
    </r>
  </si>
  <si>
    <t>1) Move Central Supply Wage &amp; P/R Tax &amp; Benefits to 070-12E and -13E, RESPECTIVELY</t>
  </si>
  <si>
    <t>2) DR: move Wound Vac to RP</t>
  </si>
  <si>
    <t>4) DR: Move Wound Vac Exp. to RP</t>
  </si>
  <si>
    <r>
      <t>3)</t>
    </r>
    <r>
      <rPr>
        <sz val="10"/>
        <rFont val="NewCenturySchlbk"/>
      </rPr>
      <t xml:space="preserve"> DR: Remove TV/Cable/Satellite Exp.</t>
    </r>
  </si>
  <si>
    <t>1) move QII revenue to 01D</t>
  </si>
  <si>
    <t>1) Move QII to 01D</t>
  </si>
  <si>
    <t>1) Move QII Rev. to 01D</t>
  </si>
  <si>
    <t>DR 2:Move QII REV. to 01D.</t>
  </si>
  <si>
    <t>DR: remove TV/Cable Satellite Exp.</t>
  </si>
  <si>
    <t>DR: Remove TV/Cable/Satellite Exp.</t>
  </si>
  <si>
    <t>Dr: Remove TV/Cable/Satellite Exp.</t>
  </si>
  <si>
    <t>[(4)Copy of Brookdale Salt Lake 2018 FCB - Cost Report-Amended for Days and Revenue.xlsx]Summary</t>
  </si>
  <si>
    <t>DR2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</si>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</sst>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00"/>
    <numFmt numFmtId="167" formatCode="#,##0.0_);[Red]\(#,##0.0\)"/>
    <numFmt numFmtId="168" formatCode="#,##0.0000000000_);\(#,##0.0000000000\)"/>
    <numFmt numFmtId="169" formatCode="0_);[Red]\(0\)"/>
    <numFmt numFmtId="170" formatCode="0_);\(0\)"/>
  </numFmts>
  <fonts count="91">
    <font>
      <sz val="12"/>
      <name val="NewCenturySchlbk"/>
    </font>
    <font>
      <sz val="12"/>
      <name val="NewCenturySchlbk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name val="NewCenturySchlbk"/>
      <family val="1"/>
    </font>
    <font>
      <sz val="18"/>
      <name val="Times New Roman"/>
      <family val="1"/>
    </font>
    <font>
      <b/>
      <sz val="12"/>
      <name val="Times New Roman"/>
      <family val="1"/>
    </font>
    <font>
      <b/>
      <sz val="10"/>
      <name val="NewCenturySchlbk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sz val="10"/>
      <color indexed="8"/>
      <name val="Arial"/>
      <family val="2"/>
    </font>
    <font>
      <sz val="8"/>
      <name val="NewCenturySchlbk"/>
      <family val="1"/>
    </font>
    <font>
      <sz val="16"/>
      <name val="NewCenturySchlbk"/>
      <family val="1"/>
    </font>
    <font>
      <u/>
      <sz val="10"/>
      <name val="Times New Roman"/>
      <family val="1"/>
    </font>
    <font>
      <sz val="8"/>
      <name val="Helv"/>
    </font>
    <font>
      <sz val="18"/>
      <name val="NewCenturySchlbk"/>
      <family val="1"/>
    </font>
    <font>
      <sz val="10"/>
      <color indexed="8"/>
      <name val="NewCenturySchlbk"/>
      <family val="1"/>
    </font>
    <font>
      <sz val="10"/>
      <color indexed="9"/>
      <name val="NewCenturySchlbk"/>
      <family val="1"/>
    </font>
    <font>
      <u/>
      <sz val="9"/>
      <name val="NewCenturySchlbk"/>
      <family val="1"/>
    </font>
    <font>
      <sz val="10"/>
      <name val="Helv"/>
    </font>
    <font>
      <sz val="10"/>
      <color indexed="10"/>
      <name val="NewCenturySchlbk"/>
      <family val="1"/>
    </font>
    <font>
      <b/>
      <sz val="10"/>
      <color indexed="8"/>
      <name val="NewCenturySchlbk"/>
      <family val="1"/>
    </font>
    <font>
      <sz val="10"/>
      <name val="NewCenturySchlbk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NewCenturySchlbk"/>
    </font>
    <font>
      <sz val="10"/>
      <name val="Times New Roman"/>
      <family val="1"/>
    </font>
    <font>
      <sz val="10"/>
      <color indexed="8"/>
      <name val="Helv"/>
    </font>
    <font>
      <sz val="10"/>
      <color indexed="9"/>
      <name val="NewCenturySchlbk"/>
    </font>
    <font>
      <sz val="9"/>
      <name val="Helv"/>
    </font>
    <font>
      <sz val="12"/>
      <color indexed="10"/>
      <name val="NewCenturySchlbk"/>
      <family val="1"/>
    </font>
    <font>
      <b/>
      <sz val="10"/>
      <name val="NewCenturySchlbk"/>
    </font>
    <font>
      <b/>
      <sz val="12"/>
      <name val="NewCenturySchlbk"/>
    </font>
    <font>
      <b/>
      <sz val="14"/>
      <name val="NewCenturySchlbk"/>
    </font>
    <font>
      <sz val="10"/>
      <color rgb="FFFF0000"/>
      <name val="NewCenturySchlbk"/>
      <family val="1"/>
    </font>
    <font>
      <sz val="10"/>
      <color rgb="FFFF0000"/>
      <name val="Times New Roman"/>
      <family val="1"/>
    </font>
    <font>
      <sz val="10"/>
      <color theme="3" tint="-0.24994659260841701"/>
      <name val="Cambria"/>
      <family val="1"/>
    </font>
    <font>
      <b/>
      <sz val="10"/>
      <color rgb="FFFF0000"/>
      <name val="NewCenturySchlbk"/>
    </font>
    <font>
      <b/>
      <sz val="12"/>
      <color rgb="FFFF0000"/>
      <name val="NewCenturySchlbk"/>
    </font>
    <font>
      <sz val="12"/>
      <color rgb="FFFF0000"/>
      <name val="NewCenturySchlbk"/>
      <family val="1"/>
    </font>
    <font>
      <sz val="16"/>
      <name val="Times New Roman"/>
      <family val="1"/>
    </font>
    <font>
      <sz val="10"/>
      <name val="Cambria"/>
      <family val="1"/>
    </font>
    <font>
      <sz val="12"/>
      <name val="Cambria"/>
      <family val="1"/>
    </font>
    <font>
      <sz val="8"/>
      <color indexed="8"/>
      <name val="Helv"/>
    </font>
    <font>
      <b/>
      <u/>
      <sz val="10"/>
      <color rgb="FFFF0000"/>
      <name val="NewCenturySchlbk"/>
    </font>
    <font>
      <sz val="10"/>
      <color theme="5" tint="-0.499984740745262"/>
      <name val="Cambria"/>
      <family val="1"/>
    </font>
    <font>
      <sz val="12"/>
      <color rgb="FFFF0000"/>
      <name val="NewCenturySchlbk"/>
    </font>
    <font>
      <u/>
      <sz val="10"/>
      <color rgb="FFFF0000"/>
      <name val="NewCenturySchlbk"/>
    </font>
    <font>
      <sz val="10"/>
      <color rgb="FFFF0000"/>
      <name val="NewCenturySchlbk"/>
    </font>
    <font>
      <b/>
      <u/>
      <sz val="10"/>
      <name val="NewCenturySchlbk"/>
    </font>
    <font>
      <sz val="12"/>
      <name val="Cambria"/>
      <family val="1"/>
      <scheme val="major"/>
    </font>
    <font>
      <sz val="10"/>
      <color rgb="FF003300"/>
      <name val="NewCenturySchlbk"/>
      <family val="1"/>
    </font>
    <font>
      <sz val="12"/>
      <color rgb="FFFF0000"/>
      <name val="Cambria"/>
      <family val="1"/>
      <scheme val="major"/>
    </font>
    <font>
      <b/>
      <sz val="10"/>
      <color rgb="FF0066CC"/>
      <name val="Times New Roman"/>
      <family val="1"/>
    </font>
    <font>
      <b/>
      <u/>
      <sz val="10"/>
      <color rgb="FF0066CC"/>
      <name val="Times New Roman"/>
      <family val="1"/>
    </font>
    <font>
      <sz val="14"/>
      <name val="Times New Roman"/>
      <family val="1"/>
    </font>
    <font>
      <sz val="14"/>
      <name val="NewCenturySchlbk"/>
    </font>
    <font>
      <b/>
      <sz val="10"/>
      <name val="Helv"/>
    </font>
    <font>
      <u/>
      <sz val="10"/>
      <name val="NewCenturySchlbk"/>
      <family val="1"/>
    </font>
    <font>
      <b/>
      <sz val="13"/>
      <name val="NewCenturySchlbk"/>
    </font>
    <font>
      <sz val="14"/>
      <color rgb="FFFF0000"/>
      <name val="Times New Roman"/>
      <family val="1"/>
    </font>
    <font>
      <b/>
      <sz val="12"/>
      <color rgb="FFFF0000"/>
      <name val="Cambria"/>
      <family val="1"/>
    </font>
    <font>
      <b/>
      <sz val="11"/>
      <color rgb="FFFF0000"/>
      <name val="Cambria"/>
      <family val="1"/>
    </font>
    <font>
      <u/>
      <sz val="10"/>
      <color rgb="FFFF0000"/>
      <name val="NewCenturySchlbk"/>
      <family val="1"/>
    </font>
    <font>
      <b/>
      <sz val="10"/>
      <color rgb="FFFF0000"/>
      <name val="NewCenturySchlbk"/>
      <family val="1"/>
    </font>
    <font>
      <b/>
      <sz val="10"/>
      <color indexed="8"/>
      <name val="NewCenturySchlbk"/>
    </font>
    <font>
      <sz val="14"/>
      <color rgb="FFFF0000"/>
      <name val="NewCenturySchlbk"/>
      <family val="1"/>
    </font>
    <font>
      <u/>
      <sz val="10"/>
      <name val="NewCenturySchlbk"/>
    </font>
    <font>
      <b/>
      <sz val="12"/>
      <color indexed="10"/>
      <name val="NewCenturySchlbk"/>
    </font>
    <font>
      <b/>
      <sz val="12"/>
      <name val="Cambria"/>
      <family val="1"/>
    </font>
    <font>
      <sz val="11"/>
      <name val="NewCenturySchlbk"/>
    </font>
    <font>
      <sz val="14"/>
      <name val="NewCenturySchlbk"/>
      <family val="1"/>
    </font>
    <font>
      <u/>
      <sz val="18"/>
      <name val="Times New Roman"/>
      <family val="1"/>
    </font>
    <font>
      <b/>
      <sz val="18"/>
      <name val="NewCenturySchlbk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sz val="18"/>
      <color rgb="FFFF0000"/>
      <name val="NewCenturySchlbk"/>
      <family val="1"/>
    </font>
    <font>
      <sz val="15"/>
      <name val="NewCenturySchlbk"/>
      <family val="1"/>
    </font>
    <font>
      <b/>
      <sz val="15"/>
      <name val="NewCenturySchlbk"/>
    </font>
    <font>
      <sz val="10"/>
      <name val="Calibri"/>
      <family val="2"/>
    </font>
    <font>
      <b/>
      <sz val="1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CFC9A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</cellStyleXfs>
  <cellXfs count="704">
    <xf numFmtId="0" fontId="0" fillId="0" borderId="0" xfId="0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11" fillId="0" borderId="1" xfId="0" applyFont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6" fontId="8" fillId="2" borderId="0" xfId="0" applyNumberFormat="1" applyFont="1" applyFill="1" applyBorder="1"/>
    <xf numFmtId="0" fontId="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left"/>
    </xf>
    <xf numFmtId="7" fontId="11" fillId="0" borderId="0" xfId="0" applyNumberFormat="1" applyFont="1" applyBorder="1" applyAlignment="1">
      <alignment horizontal="center"/>
    </xf>
    <xf numFmtId="6" fontId="8" fillId="2" borderId="2" xfId="0" applyNumberFormat="1" applyFont="1" applyFill="1" applyBorder="1"/>
    <xf numFmtId="6" fontId="8" fillId="4" borderId="3" xfId="0" applyNumberFormat="1" applyFont="1" applyFill="1" applyBorder="1"/>
    <xf numFmtId="38" fontId="8" fillId="4" borderId="3" xfId="0" applyNumberFormat="1" applyFont="1" applyFill="1" applyBorder="1"/>
    <xf numFmtId="38" fontId="8" fillId="2" borderId="4" xfId="0" applyNumberFormat="1" applyFont="1" applyFill="1" applyBorder="1"/>
    <xf numFmtId="6" fontId="8" fillId="2" borderId="4" xfId="0" applyNumberFormat="1" applyFont="1" applyFill="1" applyBorder="1"/>
    <xf numFmtId="6" fontId="8" fillId="4" borderId="5" xfId="0" applyNumberFormat="1" applyFont="1" applyFill="1" applyBorder="1"/>
    <xf numFmtId="6" fontId="8" fillId="2" borderId="6" xfId="0" applyNumberFormat="1" applyFont="1" applyFill="1" applyBorder="1"/>
    <xf numFmtId="10" fontId="8" fillId="4" borderId="3" xfId="0" applyNumberFormat="1" applyFont="1" applyFill="1" applyBorder="1"/>
    <xf numFmtId="7" fontId="11" fillId="2" borderId="0" xfId="0" applyNumberFormat="1" applyFont="1" applyFill="1" applyBorder="1" applyAlignment="1">
      <alignment horizontal="center"/>
    </xf>
    <xf numFmtId="10" fontId="8" fillId="2" borderId="0" xfId="0" applyNumberFormat="1" applyFont="1" applyFill="1" applyBorder="1" applyAlignment="1">
      <alignment horizontal="center"/>
    </xf>
    <xf numFmtId="0" fontId="4" fillId="2" borderId="0" xfId="0" applyFont="1" applyFill="1" applyAlignment="1" applyProtection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10" fontId="11" fillId="4" borderId="3" xfId="0" applyNumberFormat="1" applyFont="1" applyFill="1" applyBorder="1"/>
    <xf numFmtId="7" fontId="3" fillId="3" borderId="0" xfId="0" applyNumberFormat="1" applyFont="1" applyFill="1" applyBorder="1" applyAlignment="1">
      <alignment horizontal="center"/>
    </xf>
    <xf numFmtId="37" fontId="8" fillId="4" borderId="3" xfId="1" applyNumberFormat="1" applyFont="1" applyFill="1" applyBorder="1"/>
    <xf numFmtId="14" fontId="3" fillId="0" borderId="0" xfId="0" applyNumberFormat="1" applyFont="1" applyAlignment="1" applyProtection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2" borderId="0" xfId="0" quotePrefix="1" applyFont="1" applyFill="1" applyAlignment="1">
      <alignment horizontal="right"/>
    </xf>
    <xf numFmtId="14" fontId="3" fillId="0" borderId="0" xfId="0" applyNumberFormat="1" applyFont="1" applyAlignment="1" applyProtection="1">
      <alignment horizontal="right" wrapText="1"/>
    </xf>
    <xf numFmtId="17" fontId="3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 wrapText="1"/>
    </xf>
    <xf numFmtId="49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" fillId="2" borderId="0" xfId="0" applyFont="1" applyFill="1" applyAlignment="1">
      <alignment wrapText="1"/>
    </xf>
    <xf numFmtId="0" fontId="2" fillId="2" borderId="0" xfId="0" quotePrefix="1" applyFont="1" applyFill="1" applyAlignment="1">
      <alignment horizontal="right"/>
    </xf>
    <xf numFmtId="0" fontId="3" fillId="2" borderId="0" xfId="0" applyFont="1" applyFill="1" applyBorder="1" applyAlignment="1">
      <alignment horizontal="right"/>
    </xf>
    <xf numFmtId="6" fontId="3" fillId="0" borderId="0" xfId="0" applyNumberFormat="1" applyFont="1" applyAlignment="1">
      <alignment horizontal="centerContinuous"/>
    </xf>
    <xf numFmtId="10" fontId="3" fillId="0" borderId="0" xfId="0" applyNumberFormat="1" applyFont="1"/>
    <xf numFmtId="14" fontId="3" fillId="0" borderId="3" xfId="0" applyNumberFormat="1" applyFont="1" applyBorder="1" applyAlignment="1">
      <alignment horizontal="center"/>
    </xf>
    <xf numFmtId="6" fontId="3" fillId="0" borderId="0" xfId="0" applyNumberFormat="1" applyFont="1" applyAlignment="1" applyProtection="1">
      <alignment horizontal="centerContinuous"/>
    </xf>
    <xf numFmtId="0" fontId="3" fillId="0" borderId="0" xfId="0" quotePrefix="1" applyFont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/>
    </xf>
    <xf numFmtId="6" fontId="3" fillId="0" borderId="0" xfId="0" quotePrefix="1" applyNumberFormat="1" applyFont="1" applyAlignment="1" applyProtection="1">
      <alignment horizontal="center"/>
    </xf>
    <xf numFmtId="0" fontId="3" fillId="0" borderId="0" xfId="0" applyFont="1" applyAlignment="1">
      <alignment horizontal="right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11" fillId="0" borderId="0" xfId="0" applyFont="1"/>
    <xf numFmtId="14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6" fontId="3" fillId="2" borderId="0" xfId="0" applyNumberFormat="1" applyFont="1" applyFill="1"/>
    <xf numFmtId="6" fontId="3" fillId="2" borderId="0" xfId="0" applyNumberFormat="1" applyFont="1" applyFill="1" applyProtection="1"/>
    <xf numFmtId="7" fontId="11" fillId="0" borderId="0" xfId="0" applyNumberFormat="1" applyFont="1" applyBorder="1"/>
    <xf numFmtId="6" fontId="3" fillId="2" borderId="0" xfId="0" applyNumberFormat="1" applyFont="1" applyFill="1" applyBorder="1"/>
    <xf numFmtId="0" fontId="3" fillId="2" borderId="0" xfId="0" applyFont="1" applyFill="1" applyBorder="1"/>
    <xf numFmtId="7" fontId="11" fillId="2" borderId="0" xfId="2" applyNumberFormat="1" applyFont="1" applyFill="1" applyBorder="1"/>
    <xf numFmtId="0" fontId="11" fillId="2" borderId="0" xfId="0" applyFont="1" applyFill="1" applyBorder="1"/>
    <xf numFmtId="8" fontId="11" fillId="2" borderId="0" xfId="2" applyNumberFormat="1" applyFont="1" applyFill="1" applyBorder="1"/>
    <xf numFmtId="10" fontId="11" fillId="2" borderId="0" xfId="2" applyNumberFormat="1" applyFont="1" applyFill="1" applyBorder="1"/>
    <xf numFmtId="0" fontId="18" fillId="2" borderId="0" xfId="0" applyFont="1" applyFill="1" applyAlignment="1">
      <alignment horizontal="left"/>
    </xf>
    <xf numFmtId="10" fontId="11" fillId="2" borderId="2" xfId="2" applyNumberFormat="1" applyFont="1" applyFill="1" applyBorder="1"/>
    <xf numFmtId="6" fontId="3" fillId="2" borderId="6" xfId="0" applyNumberFormat="1" applyFont="1" applyFill="1" applyBorder="1"/>
    <xf numFmtId="6" fontId="3" fillId="2" borderId="6" xfId="0" applyNumberFormat="1" applyFont="1" applyFill="1" applyBorder="1" applyProtection="1"/>
    <xf numFmtId="0" fontId="11" fillId="0" borderId="0" xfId="0" quotePrefix="1" applyFont="1" applyBorder="1" applyAlignment="1">
      <alignment horizontal="center"/>
    </xf>
    <xf numFmtId="6" fontId="3" fillId="0" borderId="0" xfId="0" applyNumberFormat="1" applyFont="1" applyFill="1" applyBorder="1"/>
    <xf numFmtId="37" fontId="3" fillId="2" borderId="0" xfId="1" applyNumberFormat="1" applyFont="1" applyFill="1"/>
    <xf numFmtId="37" fontId="3" fillId="2" borderId="0" xfId="0" applyNumberFormat="1" applyFont="1" applyFill="1"/>
    <xf numFmtId="37" fontId="3" fillId="2" borderId="0" xfId="0" applyNumberFormat="1" applyFont="1" applyFill="1" applyProtection="1"/>
    <xf numFmtId="37" fontId="3" fillId="2" borderId="0" xfId="0" applyNumberFormat="1" applyFont="1" applyFill="1" applyBorder="1"/>
    <xf numFmtId="37" fontId="3" fillId="2" borderId="0" xfId="0" applyNumberFormat="1" applyFont="1" applyFill="1" applyBorder="1" applyProtection="1"/>
    <xf numFmtId="37" fontId="3" fillId="2" borderId="4" xfId="1" applyNumberFormat="1" applyFont="1" applyFill="1" applyBorder="1"/>
    <xf numFmtId="10" fontId="3" fillId="2" borderId="0" xfId="0" applyNumberFormat="1" applyFont="1" applyFill="1" applyBorder="1" applyProtection="1"/>
    <xf numFmtId="7" fontId="11" fillId="0" borderId="0" xfId="0" quotePrefix="1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167" fontId="3" fillId="0" borderId="0" xfId="0" applyNumberFormat="1" applyFont="1" applyAlignment="1">
      <alignment horizontal="centerContinuous"/>
    </xf>
    <xf numFmtId="10" fontId="3" fillId="2" borderId="0" xfId="0" applyNumberFormat="1" applyFont="1" applyFill="1" applyBorder="1"/>
    <xf numFmtId="7" fontId="11" fillId="3" borderId="0" xfId="2" applyNumberFormat="1" applyFont="1" applyFill="1" applyBorder="1"/>
    <xf numFmtId="7" fontId="11" fillId="3" borderId="0" xfId="2" applyNumberFormat="1" applyFont="1" applyFill="1" applyBorder="1" applyAlignment="1">
      <alignment horizontal="center"/>
    </xf>
    <xf numFmtId="10" fontId="11" fillId="4" borderId="3" xfId="2" applyNumberFormat="1" applyFont="1" applyFill="1" applyBorder="1"/>
    <xf numFmtId="0" fontId="3" fillId="3" borderId="0" xfId="0" applyFont="1" applyFill="1" applyBorder="1"/>
    <xf numFmtId="10" fontId="11" fillId="2" borderId="0" xfId="0" applyNumberFormat="1" applyFont="1" applyFill="1" applyBorder="1"/>
    <xf numFmtId="0" fontId="3" fillId="3" borderId="0" xfId="0" applyFont="1" applyFill="1" applyBorder="1" applyAlignment="1"/>
    <xf numFmtId="3" fontId="11" fillId="2" borderId="0" xfId="2" applyNumberFormat="1" applyFont="1" applyFill="1" applyBorder="1"/>
    <xf numFmtId="168" fontId="11" fillId="3" borderId="0" xfId="2" applyNumberFormat="1" applyFont="1" applyFill="1" applyBorder="1" applyAlignment="1">
      <alignment horizontal="left"/>
    </xf>
    <xf numFmtId="0" fontId="11" fillId="2" borderId="0" xfId="0" applyFont="1" applyFill="1"/>
    <xf numFmtId="7" fontId="11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7" fontId="11" fillId="2" borderId="4" xfId="0" applyNumberFormat="1" applyFont="1" applyFill="1" applyBorder="1"/>
    <xf numFmtId="6" fontId="11" fillId="2" borderId="0" xfId="0" applyNumberFormat="1" applyFont="1" applyFill="1"/>
    <xf numFmtId="7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7" fontId="11" fillId="2" borderId="0" xfId="0" quotePrefix="1" applyNumberFormat="1" applyFont="1" applyFill="1" applyBorder="1" applyAlignment="1">
      <alignment horizontal="center"/>
    </xf>
    <xf numFmtId="3" fontId="2" fillId="0" borderId="1" xfId="0" applyNumberFormat="1" applyFont="1" applyBorder="1"/>
    <xf numFmtId="7" fontId="11" fillId="2" borderId="9" xfId="0" applyNumberFormat="1" applyFont="1" applyFill="1" applyBorder="1" applyAlignment="1">
      <alignment horizontal="center" wrapText="1"/>
    </xf>
    <xf numFmtId="3" fontId="2" fillId="0" borderId="9" xfId="0" quotePrefix="1" applyNumberFormat="1" applyFont="1" applyBorder="1" applyAlignment="1">
      <alignment horizontal="center"/>
    </xf>
    <xf numFmtId="3" fontId="2" fillId="0" borderId="8" xfId="0" applyNumberFormat="1" applyFont="1" applyBorder="1"/>
    <xf numFmtId="165" fontId="11" fillId="4" borderId="3" xfId="0" applyNumberFormat="1" applyFont="1" applyFill="1" applyBorder="1"/>
    <xf numFmtId="8" fontId="11" fillId="3" borderId="0" xfId="2" applyNumberFormat="1" applyFont="1" applyFill="1" applyBorder="1"/>
    <xf numFmtId="0" fontId="11" fillId="3" borderId="0" xfId="0" applyFont="1" applyFill="1" applyBorder="1"/>
    <xf numFmtId="165" fontId="11" fillId="4" borderId="3" xfId="0" applyNumberFormat="1" applyFont="1" applyFill="1" applyBorder="1" applyAlignment="1">
      <alignment horizontal="right"/>
    </xf>
    <xf numFmtId="3" fontId="8" fillId="0" borderId="0" xfId="0" applyNumberFormat="1" applyFont="1" applyBorder="1"/>
    <xf numFmtId="3" fontId="11" fillId="0" borderId="0" xfId="0" applyNumberFormat="1" applyFont="1" applyBorder="1"/>
    <xf numFmtId="7" fontId="11" fillId="2" borderId="0" xfId="0" applyNumberFormat="1" applyFont="1" applyFill="1" applyBorder="1"/>
    <xf numFmtId="3" fontId="11" fillId="4" borderId="3" xfId="2" applyNumberFormat="1" applyFont="1" applyFill="1" applyBorder="1"/>
    <xf numFmtId="3" fontId="11" fillId="2" borderId="9" xfId="2" applyNumberFormat="1" applyFont="1" applyFill="1" applyBorder="1"/>
    <xf numFmtId="165" fontId="11" fillId="4" borderId="3" xfId="2" applyNumberFormat="1" applyFont="1" applyFill="1" applyBorder="1"/>
    <xf numFmtId="2" fontId="11" fillId="4" borderId="3" xfId="2" applyNumberFormat="1" applyFont="1" applyFill="1" applyBorder="1"/>
    <xf numFmtId="2" fontId="11" fillId="2" borderId="0" xfId="2" applyNumberFormat="1" applyFont="1" applyFill="1" applyBorder="1"/>
    <xf numFmtId="3" fontId="11" fillId="2" borderId="0" xfId="0" applyNumberFormat="1" applyFont="1" applyFill="1" applyBorder="1"/>
    <xf numFmtId="2" fontId="3" fillId="2" borderId="0" xfId="0" applyNumberFormat="1" applyFont="1" applyFill="1"/>
    <xf numFmtId="2" fontId="11" fillId="3" borderId="0" xfId="2" applyNumberFormat="1" applyFont="1" applyFill="1" applyBorder="1"/>
    <xf numFmtId="2" fontId="3" fillId="3" borderId="0" xfId="0" applyNumberFormat="1" applyFont="1" applyFill="1" applyBorder="1"/>
    <xf numFmtId="165" fontId="11" fillId="2" borderId="0" xfId="0" applyNumberFormat="1" applyFont="1" applyFill="1" applyBorder="1"/>
    <xf numFmtId="166" fontId="11" fillId="2" borderId="0" xfId="2" applyNumberFormat="1" applyFont="1" applyFill="1" applyBorder="1"/>
    <xf numFmtId="165" fontId="11" fillId="2" borderId="2" xfId="0" applyNumberFormat="1" applyFont="1" applyFill="1" applyBorder="1"/>
    <xf numFmtId="165" fontId="11" fillId="3" borderId="0" xfId="2" applyNumberFormat="1" applyFont="1" applyFill="1" applyBorder="1"/>
    <xf numFmtId="10" fontId="11" fillId="4" borderId="5" xfId="2" applyNumberFormat="1" applyFont="1" applyFill="1" applyBorder="1"/>
    <xf numFmtId="3" fontId="11" fillId="4" borderId="3" xfId="2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3" fontId="11" fillId="2" borderId="0" xfId="0" applyNumberFormat="1" applyFont="1" applyFill="1"/>
    <xf numFmtId="3" fontId="3" fillId="2" borderId="0" xfId="0" applyNumberFormat="1" applyFont="1" applyFill="1"/>
    <xf numFmtId="3" fontId="3" fillId="2" borderId="0" xfId="0" applyNumberFormat="1" applyFont="1" applyFill="1" applyBorder="1"/>
    <xf numFmtId="3" fontId="3" fillId="3" borderId="0" xfId="0" applyNumberFormat="1" applyFont="1" applyFill="1" applyBorder="1"/>
    <xf numFmtId="0" fontId="19" fillId="0" borderId="0" xfId="0" applyFont="1" applyAlignment="1" applyProtection="1">
      <alignment horizontal="left" vertical="center" wrapText="1"/>
    </xf>
    <xf numFmtId="0" fontId="20" fillId="0" borderId="0" xfId="0" applyFont="1" applyProtection="1"/>
    <xf numFmtId="0" fontId="6" fillId="0" borderId="0" xfId="0" applyFont="1" applyProtection="1"/>
    <xf numFmtId="38" fontId="6" fillId="0" borderId="0" xfId="0" applyNumberFormat="1" applyFont="1" applyProtection="1"/>
    <xf numFmtId="0" fontId="6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6" fontId="6" fillId="0" borderId="0" xfId="0" applyNumberFormat="1" applyFont="1" applyAlignment="1" applyProtection="1">
      <alignment horizontal="centerContinuous"/>
    </xf>
    <xf numFmtId="14" fontId="6" fillId="0" borderId="0" xfId="0" applyNumberFormat="1" applyFont="1" applyAlignment="1" applyProtection="1">
      <alignment horizontal="right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6" fillId="0" borderId="0" xfId="0" quotePrefix="1" applyFont="1" applyAlignment="1" applyProtection="1">
      <alignment horizontal="center"/>
    </xf>
    <xf numFmtId="164" fontId="6" fillId="0" borderId="0" xfId="0" applyNumberFormat="1" applyFont="1" applyProtection="1"/>
    <xf numFmtId="14" fontId="6" fillId="0" borderId="0" xfId="0" applyNumberFormat="1" applyFont="1" applyAlignment="1" applyProtection="1">
      <alignment horizontal="center"/>
    </xf>
    <xf numFmtId="14" fontId="6" fillId="0" borderId="0" xfId="0" quotePrefix="1" applyNumberFormat="1" applyFont="1" applyAlignment="1" applyProtection="1">
      <alignment horizontal="center"/>
    </xf>
    <xf numFmtId="38" fontId="6" fillId="0" borderId="0" xfId="0" applyNumberFormat="1" applyFont="1" applyAlignment="1" applyProtection="1">
      <alignment horizontal="center"/>
    </xf>
    <xf numFmtId="14" fontId="6" fillId="0" borderId="1" xfId="0" applyNumberFormat="1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38" fontId="6" fillId="0" borderId="1" xfId="0" applyNumberFormat="1" applyFont="1" applyBorder="1" applyProtection="1"/>
    <xf numFmtId="38" fontId="6" fillId="0" borderId="1" xfId="0" applyNumberFormat="1" applyFont="1" applyBorder="1" applyAlignment="1" applyProtection="1">
      <alignment horizontal="center"/>
    </xf>
    <xf numFmtId="14" fontId="6" fillId="0" borderId="8" xfId="0" applyNumberFormat="1" applyFont="1" applyBorder="1" applyAlignment="1" applyProtection="1">
      <alignment horizontal="center"/>
    </xf>
    <xf numFmtId="0" fontId="6" fillId="0" borderId="8" xfId="0" applyFont="1" applyBorder="1" applyAlignment="1" applyProtection="1">
      <alignment horizontal="center"/>
    </xf>
    <xf numFmtId="38" fontId="6" fillId="0" borderId="8" xfId="0" applyNumberFormat="1" applyFont="1" applyBorder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0" fontId="2" fillId="2" borderId="0" xfId="0" applyFont="1" applyFill="1" applyAlignment="1" applyProtection="1">
      <alignment horizontal="center"/>
    </xf>
    <xf numFmtId="6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38" fontId="6" fillId="2" borderId="0" xfId="0" applyNumberFormat="1" applyFont="1" applyFill="1" applyProtection="1"/>
    <xf numFmtId="0" fontId="6" fillId="2" borderId="0" xfId="0" quotePrefix="1" applyFont="1" applyFill="1" applyAlignment="1" applyProtection="1">
      <alignment horizontal="right"/>
    </xf>
    <xf numFmtId="0" fontId="6" fillId="2" borderId="0" xfId="0" applyFont="1" applyFill="1" applyAlignment="1" applyProtection="1">
      <alignment horizontal="left"/>
    </xf>
    <xf numFmtId="6" fontId="6" fillId="5" borderId="3" xfId="0" applyNumberFormat="1" applyFont="1" applyFill="1" applyBorder="1" applyProtection="1"/>
    <xf numFmtId="10" fontId="6" fillId="5" borderId="3" xfId="2" applyNumberFormat="1" applyFont="1" applyFill="1" applyBorder="1" applyProtection="1"/>
    <xf numFmtId="0" fontId="21" fillId="2" borderId="0" xfId="0" quotePrefix="1" applyFont="1" applyFill="1" applyAlignment="1" applyProtection="1">
      <alignment horizontal="right"/>
    </xf>
    <xf numFmtId="0" fontId="21" fillId="2" borderId="0" xfId="0" quotePrefix="1" applyFont="1" applyFill="1" applyAlignment="1" applyProtection="1">
      <alignment horizontal="left"/>
    </xf>
    <xf numFmtId="10" fontId="21" fillId="5" borderId="3" xfId="2" applyNumberFormat="1" applyFont="1" applyFill="1" applyBorder="1" applyProtection="1"/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center"/>
    </xf>
    <xf numFmtId="14" fontId="6" fillId="0" borderId="0" xfId="0" applyNumberFormat="1" applyFont="1" applyAlignment="1" applyProtection="1">
      <alignment horizontal="right" wrapText="1"/>
    </xf>
    <xf numFmtId="17" fontId="6" fillId="0" borderId="0" xfId="0" applyNumberFormat="1" applyFont="1" applyAlignment="1" applyProtection="1">
      <alignment horizontal="right"/>
    </xf>
    <xf numFmtId="38" fontId="6" fillId="5" borderId="3" xfId="0" applyNumberFormat="1" applyFont="1" applyFill="1" applyBorder="1" applyProtection="1"/>
    <xf numFmtId="10" fontId="6" fillId="5" borderId="8" xfId="2" applyNumberFormat="1" applyFont="1" applyFill="1" applyBorder="1" applyProtection="1"/>
    <xf numFmtId="10" fontId="3" fillId="5" borderId="3" xfId="2" applyNumberFormat="1" applyFont="1" applyFill="1" applyBorder="1" applyProtection="1"/>
    <xf numFmtId="10" fontId="2" fillId="2" borderId="0" xfId="0" applyNumberFormat="1" applyFont="1" applyFill="1" applyAlignment="1" applyProtection="1">
      <alignment horizontal="center"/>
    </xf>
    <xf numFmtId="0" fontId="6" fillId="0" borderId="0" xfId="0" quotePrefix="1" applyFont="1" applyAlignment="1" applyProtection="1">
      <alignment horizontal="right"/>
    </xf>
    <xf numFmtId="0" fontId="21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/>
    </xf>
    <xf numFmtId="0" fontId="6" fillId="0" borderId="0" xfId="0" quotePrefix="1" applyFont="1" applyBorder="1" applyAlignment="1" applyProtection="1">
      <alignment horizontal="right"/>
    </xf>
    <xf numFmtId="0" fontId="21" fillId="0" borderId="0" xfId="0" quotePrefix="1" applyFont="1" applyBorder="1" applyAlignment="1" applyProtection="1">
      <alignment horizontal="left"/>
    </xf>
    <xf numFmtId="0" fontId="15" fillId="0" borderId="0" xfId="0" quotePrefix="1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6" fontId="6" fillId="2" borderId="0" xfId="0" applyNumberFormat="1" applyFont="1" applyFill="1" applyBorder="1" applyProtection="1"/>
    <xf numFmtId="10" fontId="6" fillId="2" borderId="0" xfId="2" applyNumberFormat="1" applyFont="1" applyFill="1" applyBorder="1" applyProtection="1"/>
    <xf numFmtId="10" fontId="6" fillId="2" borderId="0" xfId="0" applyNumberFormat="1" applyFont="1" applyFill="1" applyProtection="1"/>
    <xf numFmtId="0" fontId="6" fillId="0" borderId="0" xfId="0" applyFont="1" applyBorder="1" applyAlignment="1" applyProtection="1">
      <alignment horizontal="left"/>
    </xf>
    <xf numFmtId="0" fontId="21" fillId="0" borderId="0" xfId="0" quotePrefix="1" applyFont="1" applyAlignment="1" applyProtection="1">
      <alignment horizontal="left"/>
    </xf>
    <xf numFmtId="0" fontId="6" fillId="0" borderId="0" xfId="0" quotePrefix="1" applyFont="1" applyBorder="1" applyAlignment="1" applyProtection="1">
      <alignment horizontal="left"/>
    </xf>
    <xf numFmtId="0" fontId="21" fillId="2" borderId="0" xfId="0" applyFont="1" applyFill="1" applyAlignment="1" applyProtection="1">
      <alignment horizontal="left"/>
    </xf>
    <xf numFmtId="3" fontId="6" fillId="2" borderId="0" xfId="0" applyNumberFormat="1" applyFont="1" applyFill="1" applyBorder="1" applyAlignment="1" applyProtection="1">
      <alignment horizontal="center"/>
    </xf>
    <xf numFmtId="38" fontId="6" fillId="2" borderId="0" xfId="0" applyNumberFormat="1" applyFont="1" applyFill="1" applyBorder="1" applyProtection="1"/>
    <xf numFmtId="6" fontId="22" fillId="2" borderId="0" xfId="0" applyNumberFormat="1" applyFont="1" applyFill="1" applyBorder="1" applyProtection="1"/>
    <xf numFmtId="10" fontId="22" fillId="2" borderId="0" xfId="2" applyNumberFormat="1" applyFont="1" applyFill="1" applyBorder="1" applyProtection="1"/>
    <xf numFmtId="38" fontId="22" fillId="2" borderId="0" xfId="0" applyNumberFormat="1" applyFont="1" applyFill="1" applyBorder="1" applyProtection="1"/>
    <xf numFmtId="38" fontId="6" fillId="2" borderId="4" xfId="0" applyNumberFormat="1" applyFont="1" applyFill="1" applyBorder="1" applyProtection="1"/>
    <xf numFmtId="0" fontId="23" fillId="2" borderId="0" xfId="0" applyFont="1" applyFill="1" applyAlignment="1" applyProtection="1">
      <alignment horizontal="left"/>
    </xf>
    <xf numFmtId="6" fontId="6" fillId="2" borderId="2" xfId="0" applyNumberFormat="1" applyFont="1" applyFill="1" applyBorder="1" applyProtection="1"/>
    <xf numFmtId="10" fontId="6" fillId="2" borderId="2" xfId="2" applyNumberFormat="1" applyFont="1" applyFill="1" applyBorder="1" applyProtection="1"/>
    <xf numFmtId="0" fontId="6" fillId="2" borderId="0" xfId="0" applyFont="1" applyFill="1" applyAlignment="1" applyProtection="1">
      <alignment horizontal="left" wrapText="1"/>
    </xf>
    <xf numFmtId="6" fontId="6" fillId="2" borderId="6" xfId="0" applyNumberFormat="1" applyFont="1" applyFill="1" applyBorder="1" applyProtection="1"/>
    <xf numFmtId="10" fontId="6" fillId="2" borderId="6" xfId="2" applyNumberFormat="1" applyFont="1" applyFill="1" applyBorder="1" applyProtection="1"/>
    <xf numFmtId="49" fontId="6" fillId="0" borderId="0" xfId="0" quotePrefix="1" applyNumberFormat="1" applyFont="1" applyAlignment="1" applyProtection="1">
      <alignment horizontal="right"/>
    </xf>
    <xf numFmtId="5" fontId="24" fillId="0" borderId="0" xfId="0" applyNumberFormat="1" applyFont="1" applyFill="1" applyBorder="1" applyProtection="1"/>
    <xf numFmtId="0" fontId="24" fillId="0" borderId="0" xfId="0" applyFont="1" applyBorder="1" applyProtection="1"/>
    <xf numFmtId="0" fontId="24" fillId="0" borderId="0" xfId="0" applyFont="1" applyProtection="1"/>
    <xf numFmtId="0" fontId="13" fillId="0" borderId="0" xfId="0" applyFont="1" applyProtection="1"/>
    <xf numFmtId="37" fontId="24" fillId="0" borderId="0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Alignment="1" applyProtection="1">
      <alignment horizontal="center"/>
    </xf>
    <xf numFmtId="49" fontId="6" fillId="0" borderId="0" xfId="0" applyNumberFormat="1" applyFont="1" applyAlignment="1" applyProtection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9" fillId="2" borderId="0" xfId="0" quotePrefix="1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left"/>
    </xf>
    <xf numFmtId="6" fontId="6" fillId="0" borderId="0" xfId="0" applyNumberFormat="1" applyFont="1" applyFill="1" applyBorder="1" applyProtection="1"/>
    <xf numFmtId="0" fontId="25" fillId="2" borderId="0" xfId="0" applyFont="1" applyFill="1" applyAlignment="1" applyProtection="1">
      <alignment horizontal="left"/>
    </xf>
    <xf numFmtId="37" fontId="6" fillId="2" borderId="0" xfId="0" applyNumberFormat="1" applyFont="1" applyFill="1" applyProtection="1"/>
    <xf numFmtId="0" fontId="9" fillId="2" borderId="0" xfId="0" applyFont="1" applyFill="1" applyAlignment="1" applyProtection="1">
      <alignment horizontal="center"/>
    </xf>
    <xf numFmtId="37" fontId="6" fillId="5" borderId="3" xfId="1" applyNumberFormat="1" applyFont="1" applyFill="1" applyBorder="1" applyProtection="1"/>
    <xf numFmtId="37" fontId="6" fillId="5" borderId="3" xfId="0" applyNumberFormat="1" applyFont="1" applyFill="1" applyBorder="1" applyProtection="1"/>
    <xf numFmtId="0" fontId="9" fillId="2" borderId="0" xfId="0" applyFont="1" applyFill="1" applyProtection="1"/>
    <xf numFmtId="3" fontId="6" fillId="5" borderId="5" xfId="1" applyNumberFormat="1" applyFont="1" applyFill="1" applyBorder="1" applyProtection="1"/>
    <xf numFmtId="1" fontId="6" fillId="2" borderId="0" xfId="0" applyNumberFormat="1" applyFont="1" applyFill="1" applyProtection="1"/>
    <xf numFmtId="37" fontId="6" fillId="2" borderId="0" xfId="0" applyNumberFormat="1" applyFont="1" applyFill="1" applyBorder="1" applyProtection="1"/>
    <xf numFmtId="0" fontId="26" fillId="2" borderId="0" xfId="0" applyFont="1" applyFill="1" applyAlignment="1" applyProtection="1">
      <alignment horizontal="center"/>
    </xf>
    <xf numFmtId="37" fontId="6" fillId="2" borderId="6" xfId="0" applyNumberFormat="1" applyFont="1" applyFill="1" applyBorder="1" applyProtection="1"/>
    <xf numFmtId="0" fontId="21" fillId="2" borderId="0" xfId="0" applyFont="1" applyFill="1" applyAlignment="1" applyProtection="1">
      <alignment horizontal="left" wrapText="1"/>
    </xf>
    <xf numFmtId="10" fontId="6" fillId="5" borderId="3" xfId="1" applyNumberFormat="1" applyFont="1" applyFill="1" applyBorder="1" applyAlignment="1" applyProtection="1">
      <alignment horizontal="right"/>
    </xf>
    <xf numFmtId="10" fontId="6" fillId="2" borderId="0" xfId="0" applyNumberFormat="1" applyFont="1" applyFill="1" applyBorder="1" applyProtection="1"/>
    <xf numFmtId="38" fontId="7" fillId="0" borderId="0" xfId="0" applyNumberFormat="1" applyFont="1" applyAlignment="1" applyProtection="1">
      <alignment horizontal="left"/>
    </xf>
    <xf numFmtId="38" fontId="6" fillId="2" borderId="0" xfId="0" applyNumberFormat="1" applyFont="1" applyFill="1" applyAlignment="1" applyProtection="1">
      <alignment horizontal="right"/>
    </xf>
    <xf numFmtId="6" fontId="27" fillId="5" borderId="3" xfId="0" applyNumberFormat="1" applyFont="1" applyFill="1" applyBorder="1" applyProtection="1"/>
    <xf numFmtId="0" fontId="27" fillId="0" borderId="0" xfId="0" applyFont="1" applyProtection="1"/>
    <xf numFmtId="38" fontId="27" fillId="0" borderId="0" xfId="0" applyNumberFormat="1" applyFont="1" applyProtection="1"/>
    <xf numFmtId="0" fontId="27" fillId="0" borderId="0" xfId="0" applyFont="1" applyAlignment="1" applyProtection="1">
      <alignment horizontal="right"/>
    </xf>
    <xf numFmtId="0" fontId="28" fillId="0" borderId="0" xfId="0" applyFont="1" applyAlignment="1" applyProtection="1">
      <alignment horizontal="left"/>
    </xf>
    <xf numFmtId="6" fontId="27" fillId="0" borderId="0" xfId="0" applyNumberFormat="1" applyFont="1" applyAlignment="1" applyProtection="1">
      <alignment horizontal="centerContinuous"/>
    </xf>
    <xf numFmtId="14" fontId="27" fillId="0" borderId="0" xfId="0" applyNumberFormat="1" applyFont="1" applyAlignment="1" applyProtection="1">
      <alignment horizontal="right"/>
    </xf>
    <xf numFmtId="0" fontId="27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left"/>
    </xf>
    <xf numFmtId="0" fontId="27" fillId="0" borderId="0" xfId="0" quotePrefix="1" applyFont="1" applyAlignment="1" applyProtection="1">
      <alignment horizontal="center"/>
    </xf>
    <xf numFmtId="164" fontId="27" fillId="0" borderId="0" xfId="0" applyNumberFormat="1" applyFont="1" applyProtection="1"/>
    <xf numFmtId="14" fontId="27" fillId="0" borderId="0" xfId="0" applyNumberFormat="1" applyFont="1" applyAlignment="1" applyProtection="1">
      <alignment horizontal="center"/>
    </xf>
    <xf numFmtId="14" fontId="27" fillId="0" borderId="0" xfId="0" quotePrefix="1" applyNumberFormat="1" applyFont="1" applyAlignment="1" applyProtection="1">
      <alignment horizontal="center"/>
    </xf>
    <xf numFmtId="38" fontId="27" fillId="0" borderId="0" xfId="0" applyNumberFormat="1" applyFont="1" applyAlignment="1" applyProtection="1">
      <alignment horizontal="center"/>
    </xf>
    <xf numFmtId="14" fontId="27" fillId="0" borderId="1" xfId="0" applyNumberFormat="1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/>
    </xf>
    <xf numFmtId="38" fontId="27" fillId="0" borderId="1" xfId="0" applyNumberFormat="1" applyFont="1" applyBorder="1" applyProtection="1"/>
    <xf numFmtId="38" fontId="27" fillId="0" borderId="1" xfId="0" applyNumberFormat="1" applyFont="1" applyBorder="1" applyAlignment="1" applyProtection="1">
      <alignment horizontal="center"/>
    </xf>
    <xf numFmtId="14" fontId="27" fillId="0" borderId="8" xfId="0" applyNumberFormat="1" applyFont="1" applyBorder="1" applyAlignment="1" applyProtection="1">
      <alignment horizontal="center"/>
    </xf>
    <xf numFmtId="0" fontId="27" fillId="0" borderId="8" xfId="0" applyFont="1" applyBorder="1" applyAlignment="1" applyProtection="1">
      <alignment horizontal="center"/>
    </xf>
    <xf numFmtId="38" fontId="27" fillId="0" borderId="8" xfId="0" applyNumberFormat="1" applyFont="1" applyBorder="1" applyAlignment="1" applyProtection="1">
      <alignment horizontal="center"/>
    </xf>
    <xf numFmtId="0" fontId="27" fillId="2" borderId="0" xfId="0" applyFont="1" applyFill="1" applyAlignment="1" applyProtection="1">
      <alignment horizontal="right"/>
    </xf>
    <xf numFmtId="0" fontId="28" fillId="2" borderId="0" xfId="0" applyFont="1" applyFill="1" applyAlignment="1" applyProtection="1">
      <alignment horizontal="center"/>
    </xf>
    <xf numFmtId="6" fontId="27" fillId="2" borderId="0" xfId="0" applyNumberFormat="1" applyFont="1" applyFill="1" applyProtection="1"/>
    <xf numFmtId="0" fontId="27" fillId="2" borderId="0" xfId="0" applyFont="1" applyFill="1" applyAlignment="1" applyProtection="1">
      <alignment horizontal="center"/>
    </xf>
    <xf numFmtId="0" fontId="27" fillId="2" borderId="0" xfId="0" applyFont="1" applyFill="1" applyProtection="1"/>
    <xf numFmtId="38" fontId="27" fillId="2" borderId="0" xfId="0" applyNumberFormat="1" applyFont="1" applyFill="1" applyProtection="1"/>
    <xf numFmtId="0" fontId="27" fillId="2" borderId="0" xfId="0" quotePrefix="1" applyFont="1" applyFill="1" applyAlignment="1" applyProtection="1">
      <alignment horizontal="right"/>
    </xf>
    <xf numFmtId="0" fontId="27" fillId="2" borderId="0" xfId="0" applyFont="1" applyFill="1" applyAlignment="1" applyProtection="1">
      <alignment horizontal="left"/>
    </xf>
    <xf numFmtId="10" fontId="27" fillId="5" borderId="3" xfId="2" applyNumberFormat="1" applyFont="1" applyFill="1" applyBorder="1" applyProtection="1"/>
    <xf numFmtId="0" fontId="30" fillId="2" borderId="0" xfId="0" quotePrefix="1" applyFont="1" applyFill="1" applyAlignment="1" applyProtection="1">
      <alignment horizontal="right"/>
    </xf>
    <xf numFmtId="0" fontId="30" fillId="2" borderId="0" xfId="0" quotePrefix="1" applyFont="1" applyFill="1" applyAlignment="1" applyProtection="1">
      <alignment horizontal="left"/>
    </xf>
    <xf numFmtId="10" fontId="30" fillId="5" borderId="3" xfId="2" applyNumberFormat="1" applyFont="1" applyFill="1" applyBorder="1" applyProtection="1"/>
    <xf numFmtId="0" fontId="28" fillId="2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center"/>
    </xf>
    <xf numFmtId="14" fontId="27" fillId="0" borderId="0" xfId="0" applyNumberFormat="1" applyFont="1" applyAlignment="1" applyProtection="1">
      <alignment horizontal="right" wrapText="1"/>
    </xf>
    <xf numFmtId="17" fontId="27" fillId="0" borderId="0" xfId="0" applyNumberFormat="1" applyFont="1" applyAlignment="1" applyProtection="1">
      <alignment horizontal="right"/>
    </xf>
    <xf numFmtId="10" fontId="27" fillId="5" borderId="8" xfId="2" applyNumberFormat="1" applyFont="1" applyFill="1" applyBorder="1" applyProtection="1"/>
    <xf numFmtId="10" fontId="31" fillId="5" borderId="3" xfId="2" applyNumberFormat="1" applyFont="1" applyFill="1" applyBorder="1" applyProtection="1"/>
    <xf numFmtId="0" fontId="24" fillId="0" borderId="0" xfId="0" quotePrefix="1" applyFont="1" applyAlignment="1" applyProtection="1">
      <alignment horizontal="right"/>
    </xf>
    <xf numFmtId="0" fontId="32" fillId="0" borderId="0" xfId="0" applyFont="1" applyBorder="1" applyAlignment="1" applyProtection="1">
      <alignment horizontal="left"/>
    </xf>
    <xf numFmtId="0" fontId="24" fillId="0" borderId="0" xfId="0" quotePrefix="1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32" fillId="0" borderId="0" xfId="0" quotePrefix="1" applyFont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6" fontId="27" fillId="2" borderId="0" xfId="0" applyNumberFormat="1" applyFont="1" applyFill="1" applyBorder="1" applyProtection="1"/>
    <xf numFmtId="10" fontId="27" fillId="2" borderId="0" xfId="2" applyNumberFormat="1" applyFont="1" applyFill="1" applyBorder="1" applyProtection="1"/>
    <xf numFmtId="10" fontId="27" fillId="2" borderId="0" xfId="0" applyNumberFormat="1" applyFont="1" applyFill="1" applyProtection="1"/>
    <xf numFmtId="0" fontId="24" fillId="0" borderId="0" xfId="0" applyFont="1" applyAlignment="1" applyProtection="1">
      <alignment horizontal="left"/>
    </xf>
    <xf numFmtId="0" fontId="24" fillId="0" borderId="0" xfId="0" applyFont="1" applyBorder="1" applyAlignment="1" applyProtection="1">
      <alignment horizontal="left"/>
    </xf>
    <xf numFmtId="0" fontId="32" fillId="0" borderId="0" xfId="0" quotePrefix="1" applyFont="1" applyAlignment="1" applyProtection="1">
      <alignment horizontal="left"/>
    </xf>
    <xf numFmtId="0" fontId="24" fillId="0" borderId="0" xfId="0" quotePrefix="1" applyFont="1" applyBorder="1" applyAlignment="1" applyProtection="1">
      <alignment horizontal="left"/>
    </xf>
    <xf numFmtId="6" fontId="33" fillId="2" borderId="0" xfId="0" applyNumberFormat="1" applyFont="1" applyFill="1" applyBorder="1" applyProtection="1"/>
    <xf numFmtId="10" fontId="33" fillId="2" borderId="0" xfId="2" applyNumberFormat="1" applyFont="1" applyFill="1" applyBorder="1" applyProtection="1"/>
    <xf numFmtId="6" fontId="27" fillId="2" borderId="2" xfId="0" applyNumberFormat="1" applyFont="1" applyFill="1" applyBorder="1" applyProtection="1"/>
    <xf numFmtId="10" fontId="27" fillId="2" borderId="2" xfId="2" applyNumberFormat="1" applyFont="1" applyFill="1" applyBorder="1" applyProtection="1"/>
    <xf numFmtId="6" fontId="27" fillId="2" borderId="6" xfId="0" applyNumberFormat="1" applyFont="1" applyFill="1" applyBorder="1" applyProtection="1"/>
    <xf numFmtId="10" fontId="27" fillId="2" borderId="6" xfId="2" applyNumberFormat="1" applyFont="1" applyFill="1" applyBorder="1" applyProtection="1"/>
    <xf numFmtId="49" fontId="24" fillId="0" borderId="0" xfId="0" quotePrefix="1" applyNumberFormat="1" applyFont="1" applyAlignment="1" applyProtection="1">
      <alignment horizontal="right"/>
    </xf>
    <xf numFmtId="0" fontId="29" fillId="0" borderId="0" xfId="0" applyFont="1" applyProtection="1"/>
    <xf numFmtId="0" fontId="34" fillId="0" borderId="0" xfId="0" applyFont="1" applyAlignment="1" applyProtection="1">
      <alignment horizontal="left"/>
    </xf>
    <xf numFmtId="49" fontId="24" fillId="0" borderId="0" xfId="0" applyNumberFormat="1" applyFont="1" applyAlignment="1" applyProtection="1">
      <alignment horizontal="right"/>
    </xf>
    <xf numFmtId="49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2" borderId="0" xfId="0" applyFont="1" applyFill="1" applyAlignment="1" applyProtection="1">
      <alignment horizontal="left" wrapText="1"/>
    </xf>
    <xf numFmtId="0" fontId="5" fillId="2" borderId="0" xfId="0" applyFont="1" applyFill="1" applyAlignment="1" applyProtection="1">
      <alignment horizontal="left"/>
    </xf>
    <xf numFmtId="37" fontId="27" fillId="2" borderId="0" xfId="0" applyNumberFormat="1" applyFont="1" applyFill="1" applyProtection="1"/>
    <xf numFmtId="37" fontId="27" fillId="5" borderId="3" xfId="1" applyNumberFormat="1" applyFont="1" applyFill="1" applyBorder="1" applyProtection="1"/>
    <xf numFmtId="37" fontId="27" fillId="5" borderId="3" xfId="0" applyNumberFormat="1" applyFont="1" applyFill="1" applyBorder="1" applyProtection="1"/>
    <xf numFmtId="0" fontId="30" fillId="2" borderId="0" xfId="0" applyFont="1" applyFill="1" applyAlignment="1" applyProtection="1">
      <alignment horizontal="left"/>
    </xf>
    <xf numFmtId="0" fontId="28" fillId="2" borderId="0" xfId="0" applyFont="1" applyFill="1" applyProtection="1"/>
    <xf numFmtId="3" fontId="27" fillId="5" borderId="5" xfId="1" applyNumberFormat="1" applyFont="1" applyFill="1" applyBorder="1" applyProtection="1"/>
    <xf numFmtId="1" fontId="27" fillId="2" borderId="0" xfId="0" applyNumberFormat="1" applyFont="1" applyFill="1" applyProtection="1"/>
    <xf numFmtId="37" fontId="27" fillId="2" borderId="0" xfId="0" applyNumberFormat="1" applyFont="1" applyFill="1" applyBorder="1" applyProtection="1"/>
    <xf numFmtId="0" fontId="12" fillId="2" borderId="0" xfId="0" applyFont="1" applyFill="1" applyAlignment="1" applyProtection="1">
      <alignment horizontal="center"/>
    </xf>
    <xf numFmtId="37" fontId="27" fillId="2" borderId="6" xfId="0" applyNumberFormat="1" applyFont="1" applyFill="1" applyBorder="1" applyProtection="1"/>
    <xf numFmtId="0" fontId="4" fillId="2" borderId="0" xfId="0" applyFont="1" applyFill="1" applyAlignment="1" applyProtection="1">
      <alignment horizontal="left" wrapText="1"/>
    </xf>
    <xf numFmtId="10" fontId="27" fillId="5" borderId="3" xfId="1" applyNumberFormat="1" applyFont="1" applyFill="1" applyBorder="1" applyAlignment="1" applyProtection="1">
      <alignment horizontal="right"/>
    </xf>
    <xf numFmtId="10" fontId="27" fillId="2" borderId="0" xfId="0" applyNumberFormat="1" applyFont="1" applyFill="1" applyBorder="1" applyProtection="1"/>
    <xf numFmtId="0" fontId="2" fillId="2" borderId="0" xfId="0" applyFont="1" applyFill="1" applyProtection="1"/>
    <xf numFmtId="0" fontId="6" fillId="0" borderId="0" xfId="0" applyFont="1" applyFill="1" applyProtection="1"/>
    <xf numFmtId="0" fontId="6" fillId="0" borderId="0" xfId="0" quotePrefix="1" applyFont="1" applyFill="1" applyAlignment="1" applyProtection="1">
      <alignment horizontal="center"/>
    </xf>
    <xf numFmtId="10" fontId="6" fillId="0" borderId="0" xfId="2" applyNumberFormat="1" applyFont="1" applyFill="1" applyBorder="1" applyProtection="1"/>
    <xf numFmtId="0" fontId="27" fillId="0" borderId="0" xfId="0" applyFont="1" applyFill="1" applyProtection="1"/>
    <xf numFmtId="0" fontId="27" fillId="0" borderId="0" xfId="0" quotePrefix="1" applyFont="1" applyFill="1" applyAlignment="1" applyProtection="1">
      <alignment horizontal="center"/>
    </xf>
    <xf numFmtId="44" fontId="6" fillId="2" borderId="0" xfId="2" applyFont="1" applyFill="1" applyProtection="1"/>
    <xf numFmtId="44" fontId="27" fillId="2" borderId="0" xfId="2" applyFont="1" applyFill="1" applyProtection="1"/>
    <xf numFmtId="0" fontId="36" fillId="2" borderId="0" xfId="0" applyFont="1" applyFill="1" applyAlignment="1" applyProtection="1">
      <alignment horizontal="right"/>
    </xf>
    <xf numFmtId="2" fontId="6" fillId="2" borderId="0" xfId="0" applyNumberFormat="1" applyFont="1" applyFill="1" applyProtection="1"/>
    <xf numFmtId="2" fontId="27" fillId="2" borderId="0" xfId="0" applyNumberFormat="1" applyFont="1" applyFill="1" applyProtection="1"/>
    <xf numFmtId="4" fontId="11" fillId="2" borderId="0" xfId="0" applyNumberFormat="1" applyFont="1" applyFill="1"/>
    <xf numFmtId="2" fontId="6" fillId="2" borderId="0" xfId="0" applyNumberFormat="1" applyFont="1" applyFill="1" applyAlignment="1" applyProtection="1">
      <alignment horizontal="right"/>
    </xf>
    <xf numFmtId="2" fontId="6" fillId="0" borderId="0" xfId="0" applyNumberFormat="1" applyFont="1" applyProtection="1"/>
    <xf numFmtId="2" fontId="6" fillId="2" borderId="0" xfId="2" applyNumberFormat="1" applyFont="1" applyFill="1" applyProtection="1"/>
    <xf numFmtId="2" fontId="27" fillId="2" borderId="0" xfId="0" applyNumberFormat="1" applyFont="1" applyFill="1" applyAlignment="1" applyProtection="1">
      <alignment horizontal="right"/>
    </xf>
    <xf numFmtId="2" fontId="27" fillId="0" borderId="0" xfId="0" applyNumberFormat="1" applyFont="1" applyProtection="1"/>
    <xf numFmtId="2" fontId="27" fillId="2" borderId="0" xfId="2" applyNumberFormat="1" applyFont="1" applyFill="1" applyProtection="1"/>
    <xf numFmtId="38" fontId="6" fillId="2" borderId="10" xfId="0" applyNumberFormat="1" applyFont="1" applyFill="1" applyBorder="1" applyAlignment="1" applyProtection="1">
      <alignment horizontal="right"/>
    </xf>
    <xf numFmtId="38" fontId="6" fillId="2" borderId="11" xfId="0" applyNumberFormat="1" applyFont="1" applyFill="1" applyBorder="1" applyProtection="1"/>
    <xf numFmtId="38" fontId="6" fillId="2" borderId="12" xfId="0" applyNumberFormat="1" applyFont="1" applyFill="1" applyBorder="1" applyAlignment="1" applyProtection="1">
      <alignment horizontal="right"/>
    </xf>
    <xf numFmtId="38" fontId="6" fillId="2" borderId="13" xfId="0" applyNumberFormat="1" applyFont="1" applyFill="1" applyBorder="1" applyProtection="1"/>
    <xf numFmtId="0" fontId="6" fillId="2" borderId="12" xfId="0" applyFont="1" applyFill="1" applyBorder="1" applyAlignment="1" applyProtection="1">
      <alignment horizontal="right"/>
    </xf>
    <xf numFmtId="38" fontId="6" fillId="2" borderId="14" xfId="0" applyNumberFormat="1" applyFont="1" applyFill="1" applyBorder="1" applyAlignment="1" applyProtection="1">
      <alignment horizontal="right"/>
    </xf>
    <xf numFmtId="38" fontId="6" fillId="2" borderId="15" xfId="0" applyNumberFormat="1" applyFont="1" applyFill="1" applyBorder="1" applyProtection="1"/>
    <xf numFmtId="38" fontId="7" fillId="0" borderId="0" xfId="0" applyNumberFormat="1" applyFont="1" applyAlignment="1" applyProtection="1">
      <alignment horizontal="center"/>
    </xf>
    <xf numFmtId="0" fontId="7" fillId="0" borderId="0" xfId="0" applyFont="1" applyProtection="1"/>
    <xf numFmtId="6" fontId="6" fillId="0" borderId="0" xfId="0" applyNumberFormat="1" applyFont="1" applyAlignment="1" applyProtection="1">
      <alignment horizontal="left"/>
    </xf>
    <xf numFmtId="14" fontId="41" fillId="0" borderId="1" xfId="0" applyNumberFormat="1" applyFont="1" applyBorder="1" applyAlignment="1" applyProtection="1">
      <alignment horizontal="center"/>
    </xf>
    <xf numFmtId="14" fontId="41" fillId="0" borderId="8" xfId="0" applyNumberFormat="1" applyFont="1" applyBorder="1" applyAlignment="1" applyProtection="1">
      <alignment horizontal="center"/>
    </xf>
    <xf numFmtId="6" fontId="41" fillId="0" borderId="0" xfId="0" applyNumberFormat="1" applyFont="1" applyAlignment="1" applyProtection="1">
      <alignment horizontal="centerContinuous"/>
    </xf>
    <xf numFmtId="6" fontId="41" fillId="2" borderId="0" xfId="0" applyNumberFormat="1" applyFont="1" applyFill="1" applyProtection="1"/>
    <xf numFmtId="0" fontId="41" fillId="0" borderId="0" xfId="0" applyFont="1" applyProtection="1"/>
    <xf numFmtId="6" fontId="41" fillId="2" borderId="0" xfId="0" applyNumberFormat="1" applyFont="1" applyFill="1" applyBorder="1" applyProtection="1"/>
    <xf numFmtId="6" fontId="41" fillId="2" borderId="2" xfId="0" applyNumberFormat="1" applyFont="1" applyFill="1" applyBorder="1" applyProtection="1"/>
    <xf numFmtId="6" fontId="41" fillId="2" borderId="6" xfId="0" applyNumberFormat="1" applyFont="1" applyFill="1" applyBorder="1" applyProtection="1"/>
    <xf numFmtId="37" fontId="41" fillId="2" borderId="0" xfId="0" applyNumberFormat="1" applyFont="1" applyFill="1" applyProtection="1"/>
    <xf numFmtId="37" fontId="41" fillId="5" borderId="3" xfId="1" applyNumberFormat="1" applyFont="1" applyFill="1" applyBorder="1" applyProtection="1"/>
    <xf numFmtId="3" fontId="41" fillId="5" borderId="5" xfId="1" applyNumberFormat="1" applyFont="1" applyFill="1" applyBorder="1" applyProtection="1"/>
    <xf numFmtId="1" fontId="41" fillId="2" borderId="0" xfId="0" applyNumberFormat="1" applyFont="1" applyFill="1" applyProtection="1"/>
    <xf numFmtId="37" fontId="41" fillId="5" borderId="3" xfId="0" applyNumberFormat="1" applyFont="1" applyFill="1" applyBorder="1" applyProtection="1"/>
    <xf numFmtId="37" fontId="41" fillId="2" borderId="0" xfId="0" applyNumberFormat="1" applyFont="1" applyFill="1" applyBorder="1" applyProtection="1"/>
    <xf numFmtId="10" fontId="41" fillId="2" borderId="0" xfId="0" applyNumberFormat="1" applyFont="1" applyFill="1" applyBorder="1" applyProtection="1"/>
    <xf numFmtId="0" fontId="41" fillId="0" borderId="0" xfId="0" applyFont="1" applyAlignment="1" applyProtection="1">
      <alignment horizontal="right"/>
    </xf>
    <xf numFmtId="6" fontId="39" fillId="0" borderId="0" xfId="0" applyNumberFormat="1" applyFont="1" applyAlignment="1" applyProtection="1">
      <alignment horizontal="left"/>
    </xf>
    <xf numFmtId="6" fontId="6" fillId="0" borderId="0" xfId="0" applyNumberFormat="1" applyFont="1" applyAlignment="1" applyProtection="1"/>
    <xf numFmtId="0" fontId="35" fillId="0" borderId="0" xfId="0" applyFont="1" applyBorder="1" applyAlignment="1">
      <alignment horizontal="left" vertical="top"/>
    </xf>
    <xf numFmtId="0" fontId="6" fillId="0" borderId="6" xfId="0" applyFont="1" applyFill="1" applyBorder="1" applyAlignment="1" applyProtection="1">
      <alignment wrapText="1"/>
    </xf>
    <xf numFmtId="37" fontId="36" fillId="2" borderId="0" xfId="0" applyNumberFormat="1" applyFont="1" applyFill="1" applyBorder="1" applyAlignment="1" applyProtection="1">
      <alignment wrapText="1"/>
    </xf>
    <xf numFmtId="6" fontId="7" fillId="0" borderId="0" xfId="0" applyNumberFormat="1" applyFont="1" applyAlignment="1" applyProtection="1"/>
    <xf numFmtId="38" fontId="6" fillId="2" borderId="16" xfId="0" applyNumberFormat="1" applyFont="1" applyFill="1" applyBorder="1" applyProtection="1"/>
    <xf numFmtId="38" fontId="45" fillId="0" borderId="0" xfId="0" applyNumberFormat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6" fontId="8" fillId="0" borderId="0" xfId="0" applyNumberFormat="1" applyFont="1" applyFill="1" applyBorder="1"/>
    <xf numFmtId="14" fontId="6" fillId="0" borderId="0" xfId="0" applyNumberFormat="1" applyFont="1" applyAlignment="1" applyProtection="1">
      <alignment horizontal="left"/>
    </xf>
    <xf numFmtId="38" fontId="11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6" fontId="46" fillId="5" borderId="3" xfId="0" applyNumberFormat="1" applyFont="1" applyFill="1" applyBorder="1" applyProtection="1"/>
    <xf numFmtId="14" fontId="46" fillId="0" borderId="1" xfId="0" applyNumberFormat="1" applyFont="1" applyBorder="1" applyAlignment="1" applyProtection="1">
      <alignment horizontal="center"/>
    </xf>
    <xf numFmtId="14" fontId="46" fillId="0" borderId="8" xfId="0" applyNumberFormat="1" applyFont="1" applyBorder="1" applyAlignment="1" applyProtection="1">
      <alignment horizontal="center"/>
    </xf>
    <xf numFmtId="6" fontId="46" fillId="2" borderId="0" xfId="0" applyNumberFormat="1" applyFont="1" applyFill="1" applyBorder="1" applyProtection="1"/>
    <xf numFmtId="6" fontId="46" fillId="2" borderId="2" xfId="0" applyNumberFormat="1" applyFont="1" applyFill="1" applyBorder="1" applyProtection="1"/>
    <xf numFmtId="6" fontId="46" fillId="2" borderId="0" xfId="0" applyNumberFormat="1" applyFont="1" applyFill="1" applyProtection="1"/>
    <xf numFmtId="37" fontId="46" fillId="2" borderId="0" xfId="0" applyNumberFormat="1" applyFont="1" applyFill="1" applyProtection="1"/>
    <xf numFmtId="37" fontId="46" fillId="5" borderId="3" xfId="1" applyNumberFormat="1" applyFont="1" applyFill="1" applyBorder="1" applyProtection="1"/>
    <xf numFmtId="3" fontId="46" fillId="5" borderId="5" xfId="1" applyNumberFormat="1" applyFont="1" applyFill="1" applyBorder="1" applyProtection="1"/>
    <xf numFmtId="37" fontId="46" fillId="2" borderId="0" xfId="0" applyNumberFormat="1" applyFont="1" applyFill="1" applyBorder="1" applyProtection="1"/>
    <xf numFmtId="0" fontId="46" fillId="0" borderId="0" xfId="0" applyFont="1" applyProtection="1"/>
    <xf numFmtId="1" fontId="46" fillId="2" borderId="0" xfId="0" applyNumberFormat="1" applyFont="1" applyFill="1" applyProtection="1"/>
    <xf numFmtId="37" fontId="46" fillId="5" borderId="3" xfId="0" applyNumberFormat="1" applyFont="1" applyFill="1" applyBorder="1" applyProtection="1"/>
    <xf numFmtId="10" fontId="46" fillId="2" borderId="0" xfId="0" applyNumberFormat="1" applyFont="1" applyFill="1" applyBorder="1" applyProtection="1"/>
    <xf numFmtId="6" fontId="46" fillId="0" borderId="0" xfId="0" applyNumberFormat="1" applyFont="1" applyAlignment="1" applyProtection="1">
      <alignment horizontal="centerContinuous"/>
    </xf>
    <xf numFmtId="6" fontId="46" fillId="2" borderId="6" xfId="0" applyNumberFormat="1" applyFont="1" applyFill="1" applyBorder="1" applyProtection="1"/>
    <xf numFmtId="0" fontId="43" fillId="0" borderId="0" xfId="0" applyFont="1" applyAlignment="1" applyProtection="1"/>
    <xf numFmtId="0" fontId="43" fillId="0" borderId="0" xfId="0" applyFont="1" applyAlignment="1"/>
    <xf numFmtId="0" fontId="48" fillId="0" borderId="0" xfId="0" applyFont="1" applyAlignment="1" applyProtection="1">
      <alignment horizontal="left" wrapText="1"/>
    </xf>
    <xf numFmtId="6" fontId="36" fillId="0" borderId="0" xfId="0" applyNumberFormat="1" applyFont="1" applyAlignment="1" applyProtection="1">
      <alignment horizontal="left"/>
    </xf>
    <xf numFmtId="0" fontId="44" fillId="0" borderId="0" xfId="0" applyFont="1" applyAlignment="1"/>
    <xf numFmtId="6" fontId="27" fillId="0" borderId="0" xfId="0" applyNumberFormat="1" applyFont="1" applyAlignment="1" applyProtection="1">
      <alignment horizontal="left"/>
    </xf>
    <xf numFmtId="14" fontId="50" fillId="0" borderId="1" xfId="0" applyNumberFormat="1" applyFont="1" applyBorder="1" applyAlignment="1" applyProtection="1">
      <alignment horizontal="center"/>
    </xf>
    <xf numFmtId="14" fontId="50" fillId="0" borderId="8" xfId="0" applyNumberFormat="1" applyFont="1" applyBorder="1" applyAlignment="1" applyProtection="1">
      <alignment horizontal="center"/>
    </xf>
    <xf numFmtId="6" fontId="50" fillId="2" borderId="0" xfId="0" applyNumberFormat="1" applyFont="1" applyFill="1" applyProtection="1"/>
    <xf numFmtId="6" fontId="50" fillId="5" borderId="3" xfId="0" applyNumberFormat="1" applyFont="1" applyFill="1" applyBorder="1" applyProtection="1"/>
    <xf numFmtId="0" fontId="50" fillId="0" borderId="0" xfId="0" applyFont="1" applyProtection="1"/>
    <xf numFmtId="0" fontId="42" fillId="0" borderId="0" xfId="0" applyFont="1" applyProtection="1"/>
    <xf numFmtId="0" fontId="49" fillId="0" borderId="0" xfId="0" applyFont="1" applyProtection="1"/>
    <xf numFmtId="0" fontId="47" fillId="0" borderId="0" xfId="0" applyFont="1"/>
    <xf numFmtId="0" fontId="38" fillId="0" borderId="0" xfId="0" applyFont="1" applyAlignment="1" applyProtection="1">
      <alignment horizontal="left"/>
    </xf>
    <xf numFmtId="6" fontId="46" fillId="6" borderId="0" xfId="0" applyNumberFormat="1" applyFont="1" applyFill="1" applyProtection="1"/>
    <xf numFmtId="0" fontId="17" fillId="0" borderId="0" xfId="0" applyFont="1" applyProtection="1"/>
    <xf numFmtId="0" fontId="51" fillId="0" borderId="0" xfId="0" applyFont="1"/>
    <xf numFmtId="0" fontId="37" fillId="0" borderId="0" xfId="0" applyFont="1"/>
    <xf numFmtId="0" fontId="54" fillId="0" borderId="0" xfId="0" applyFont="1" applyProtection="1"/>
    <xf numFmtId="0" fontId="55" fillId="0" borderId="0" xfId="0" applyFont="1" applyProtection="1"/>
    <xf numFmtId="0" fontId="37" fillId="0" borderId="0" xfId="0" applyFont="1" applyProtection="1"/>
    <xf numFmtId="0" fontId="39" fillId="0" borderId="0" xfId="0" applyFont="1" applyProtection="1"/>
    <xf numFmtId="0" fontId="36" fillId="0" borderId="0" xfId="0" applyFont="1" applyProtection="1"/>
    <xf numFmtId="170" fontId="6" fillId="2" borderId="0" xfId="0" applyNumberFormat="1" applyFont="1" applyFill="1" applyAlignment="1" applyProtection="1">
      <alignment horizontal="right"/>
    </xf>
    <xf numFmtId="37" fontId="56" fillId="5" borderId="3" xfId="1" applyNumberFormat="1" applyFont="1" applyFill="1" applyBorder="1" applyProtection="1"/>
    <xf numFmtId="3" fontId="56" fillId="5" borderId="5" xfId="1" applyNumberFormat="1" applyFont="1" applyFill="1" applyBorder="1" applyProtection="1"/>
    <xf numFmtId="0" fontId="57" fillId="0" borderId="0" xfId="0" applyFont="1" applyProtection="1"/>
    <xf numFmtId="0" fontId="44" fillId="0" borderId="0" xfId="0" applyFont="1" applyAlignment="1"/>
    <xf numFmtId="0" fontId="39" fillId="0" borderId="0" xfId="0" applyFont="1" applyAlignment="1" applyProtection="1"/>
    <xf numFmtId="6" fontId="6" fillId="0" borderId="0" xfId="0" applyNumberFormat="1" applyFont="1" applyAlignment="1" applyProtection="1">
      <alignment horizontal="center"/>
    </xf>
    <xf numFmtId="0" fontId="6" fillId="0" borderId="0" xfId="0" applyFont="1" applyAlignment="1" applyProtection="1"/>
    <xf numFmtId="0" fontId="6" fillId="0" borderId="0" xfId="0" applyFont="1" applyFill="1" applyAlignment="1" applyProtection="1"/>
    <xf numFmtId="0" fontId="47" fillId="0" borderId="0" xfId="0" applyFont="1" applyAlignment="1"/>
    <xf numFmtId="0" fontId="0" fillId="0" borderId="0" xfId="0" applyAlignment="1"/>
    <xf numFmtId="0" fontId="46" fillId="0" borderId="0" xfId="0" applyFont="1" applyAlignment="1" applyProtection="1"/>
    <xf numFmtId="0" fontId="27" fillId="0" borderId="0" xfId="0" applyFont="1" applyAlignment="1" applyProtection="1"/>
    <xf numFmtId="0" fontId="27" fillId="0" borderId="0" xfId="0" applyFont="1" applyFill="1" applyAlignment="1" applyProtection="1"/>
    <xf numFmtId="38" fontId="7" fillId="0" borderId="0" xfId="0" applyNumberFormat="1" applyFont="1" applyAlignment="1" applyProtection="1"/>
    <xf numFmtId="3" fontId="6" fillId="2" borderId="0" xfId="0" applyNumberFormat="1" applyFont="1" applyFill="1" applyBorder="1" applyProtection="1"/>
    <xf numFmtId="3" fontId="6" fillId="9" borderId="3" xfId="0" applyNumberFormat="1" applyFont="1" applyFill="1" applyBorder="1" applyProtection="1"/>
    <xf numFmtId="38" fontId="60" fillId="0" borderId="0" xfId="0" applyNumberFormat="1" applyFont="1" applyAlignment="1" applyProtection="1"/>
    <xf numFmtId="6" fontId="6" fillId="2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wrapText="1"/>
    </xf>
    <xf numFmtId="1" fontId="6" fillId="0" borderId="0" xfId="0" applyNumberFormat="1" applyFont="1" applyFill="1" applyProtection="1"/>
    <xf numFmtId="37" fontId="6" fillId="0" borderId="0" xfId="0" applyNumberFormat="1" applyFont="1" applyFill="1" applyProtection="1"/>
    <xf numFmtId="6" fontId="6" fillId="2" borderId="6" xfId="0" applyNumberFormat="1" applyFont="1" applyFill="1" applyBorder="1" applyAlignment="1" applyProtection="1">
      <alignment horizontal="center"/>
    </xf>
    <xf numFmtId="6" fontId="20" fillId="0" borderId="0" xfId="0" applyNumberFormat="1" applyFont="1" applyAlignment="1" applyProtection="1">
      <alignment horizontal="left"/>
    </xf>
    <xf numFmtId="6" fontId="6" fillId="0" borderId="0" xfId="0" applyNumberFormat="1" applyFont="1" applyFill="1" applyAlignment="1" applyProtection="1">
      <alignment horizontal="centerContinuous"/>
    </xf>
    <xf numFmtId="37" fontId="62" fillId="0" borderId="0" xfId="0" applyNumberFormat="1" applyFont="1" applyFill="1" applyBorder="1" applyAlignment="1" applyProtection="1">
      <alignment horizontal="right"/>
    </xf>
    <xf numFmtId="6" fontId="39" fillId="2" borderId="0" xfId="0" applyNumberFormat="1" applyFont="1" applyFill="1" applyProtection="1"/>
    <xf numFmtId="6" fontId="39" fillId="2" borderId="0" xfId="0" applyNumberFormat="1" applyFont="1" applyFill="1" applyAlignment="1" applyProtection="1">
      <alignment horizontal="right"/>
    </xf>
    <xf numFmtId="37" fontId="36" fillId="2" borderId="0" xfId="0" applyNumberFormat="1" applyFont="1" applyFill="1" applyProtection="1"/>
    <xf numFmtId="37" fontId="36" fillId="5" borderId="3" xfId="0" applyNumberFormat="1" applyFont="1" applyFill="1" applyBorder="1" applyProtection="1"/>
    <xf numFmtId="0" fontId="36" fillId="2" borderId="0" xfId="0" applyFont="1" applyFill="1" applyProtection="1"/>
    <xf numFmtId="0" fontId="36" fillId="0" borderId="0" xfId="0" applyFont="1" applyAlignment="1" applyProtection="1"/>
    <xf numFmtId="0" fontId="36" fillId="0" borderId="0" xfId="0" applyFont="1" applyAlignment="1" applyProtection="1">
      <alignment horizontal="center"/>
    </xf>
    <xf numFmtId="0" fontId="37" fillId="0" borderId="0" xfId="0" applyFont="1" applyAlignment="1">
      <alignment horizontal="center"/>
    </xf>
    <xf numFmtId="3" fontId="6" fillId="2" borderId="0" xfId="0" applyNumberFormat="1" applyFont="1" applyFill="1" applyProtection="1"/>
    <xf numFmtId="3" fontId="15" fillId="0" borderId="0" xfId="0" applyNumberFormat="1" applyFont="1" applyBorder="1" applyAlignment="1" applyProtection="1">
      <alignment horizontal="left"/>
    </xf>
    <xf numFmtId="3" fontId="15" fillId="0" borderId="0" xfId="0" quotePrefix="1" applyNumberFormat="1" applyFont="1" applyBorder="1" applyAlignment="1" applyProtection="1">
      <alignment horizontal="left"/>
    </xf>
    <xf numFmtId="3" fontId="15" fillId="0" borderId="0" xfId="0" applyNumberFormat="1" applyFont="1" applyAlignment="1" applyProtection="1">
      <alignment horizontal="left"/>
    </xf>
    <xf numFmtId="3" fontId="22" fillId="2" borderId="0" xfId="0" applyNumberFormat="1" applyFont="1" applyFill="1" applyBorder="1" applyProtection="1"/>
    <xf numFmtId="3" fontId="6" fillId="2" borderId="16" xfId="0" applyNumberFormat="1" applyFont="1" applyFill="1" applyBorder="1" applyProtection="1"/>
    <xf numFmtId="3" fontId="24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Border="1" applyAlignment="1" applyProtection="1">
      <alignment horizontal="center"/>
    </xf>
    <xf numFmtId="3" fontId="24" fillId="0" borderId="0" xfId="0" applyNumberFormat="1" applyFont="1" applyFill="1" applyBorder="1" applyProtection="1"/>
    <xf numFmtId="0" fontId="36" fillId="2" borderId="0" xfId="0" applyFont="1" applyFill="1" applyAlignment="1" applyProtection="1">
      <alignment horizontal="center"/>
    </xf>
    <xf numFmtId="0" fontId="63" fillId="0" borderId="0" xfId="0" applyFont="1" applyProtection="1"/>
    <xf numFmtId="0" fontId="36" fillId="0" borderId="0" xfId="2" applyNumberFormat="1" applyFont="1" applyFill="1" applyBorder="1" applyProtection="1"/>
    <xf numFmtId="0" fontId="6" fillId="0" borderId="0" xfId="2" applyNumberFormat="1" applyFont="1" applyFill="1" applyBorder="1" applyProtection="1"/>
    <xf numFmtId="0" fontId="6" fillId="0" borderId="0" xfId="0" applyNumberFormat="1" applyFont="1" applyFill="1" applyAlignment="1" applyProtection="1"/>
    <xf numFmtId="0" fontId="6" fillId="0" borderId="0" xfId="0" applyNumberFormat="1" applyFont="1" applyFill="1" applyProtection="1"/>
    <xf numFmtId="0" fontId="6" fillId="0" borderId="0" xfId="0" quotePrefix="1" applyNumberFormat="1" applyFont="1" applyFill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Alignment="1" applyProtection="1">
      <alignment horizontal="center"/>
    </xf>
    <xf numFmtId="0" fontId="21" fillId="0" borderId="0" xfId="2" applyNumberFormat="1" applyFont="1" applyFill="1" applyBorder="1" applyProtection="1"/>
    <xf numFmtId="0" fontId="3" fillId="0" borderId="0" xfId="2" applyNumberFormat="1" applyFont="1" applyFill="1" applyBorder="1" applyProtection="1"/>
    <xf numFmtId="0" fontId="2" fillId="0" borderId="0" xfId="0" applyNumberFormat="1" applyFont="1" applyFill="1" applyAlignment="1" applyProtection="1">
      <alignment horizontal="center"/>
    </xf>
    <xf numFmtId="0" fontId="22" fillId="0" borderId="0" xfId="2" applyNumberFormat="1" applyFont="1" applyFill="1" applyBorder="1" applyProtection="1"/>
    <xf numFmtId="0" fontId="6" fillId="0" borderId="9" xfId="2" applyNumberFormat="1" applyFont="1" applyFill="1" applyBorder="1" applyProtection="1"/>
    <xf numFmtId="0" fontId="6" fillId="0" borderId="7" xfId="2" applyNumberFormat="1" applyFont="1" applyFill="1" applyBorder="1" applyProtection="1"/>
    <xf numFmtId="0" fontId="64" fillId="0" borderId="0" xfId="0" applyFont="1" applyProtection="1"/>
    <xf numFmtId="6" fontId="20" fillId="0" borderId="0" xfId="0" applyNumberFormat="1" applyFont="1" applyAlignment="1" applyProtection="1"/>
    <xf numFmtId="14" fontId="6" fillId="0" borderId="0" xfId="0" applyNumberFormat="1" applyFont="1" applyAlignment="1" applyProtection="1"/>
    <xf numFmtId="38" fontId="11" fillId="0" borderId="0" xfId="0" applyNumberFormat="1" applyFont="1" applyAlignment="1" applyProtection="1">
      <alignment horizontal="right"/>
    </xf>
    <xf numFmtId="38" fontId="36" fillId="0" borderId="0" xfId="0" applyNumberFormat="1" applyFont="1" applyProtection="1"/>
    <xf numFmtId="6" fontId="6" fillId="0" borderId="2" xfId="0" applyNumberFormat="1" applyFont="1" applyFill="1" applyBorder="1" applyProtection="1"/>
    <xf numFmtId="164" fontId="53" fillId="0" borderId="0" xfId="0" applyNumberFormat="1" applyFont="1" applyAlignment="1" applyProtection="1">
      <alignment horizontal="center"/>
    </xf>
    <xf numFmtId="0" fontId="53" fillId="0" borderId="0" xfId="0" applyFont="1" applyAlignment="1" applyProtection="1">
      <alignment horizontal="center"/>
    </xf>
    <xf numFmtId="0" fontId="20" fillId="0" borderId="0" xfId="0" applyFont="1" applyAlignment="1" applyProtection="1"/>
    <xf numFmtId="6" fontId="6" fillId="2" borderId="17" xfId="0" applyNumberFormat="1" applyFont="1" applyFill="1" applyBorder="1" applyProtection="1"/>
    <xf numFmtId="6" fontId="6" fillId="9" borderId="18" xfId="0" applyNumberFormat="1" applyFont="1" applyFill="1" applyBorder="1" applyProtection="1"/>
    <xf numFmtId="0" fontId="1" fillId="0" borderId="0" xfId="0" applyFont="1" applyAlignment="1" applyProtection="1">
      <alignment horizontal="left"/>
    </xf>
    <xf numFmtId="6" fontId="36" fillId="0" borderId="0" xfId="0" applyNumberFormat="1" applyFont="1" applyAlignment="1" applyProtection="1">
      <alignment horizontal="center"/>
    </xf>
    <xf numFmtId="6" fontId="6" fillId="0" borderId="17" xfId="0" applyNumberFormat="1" applyFont="1" applyFill="1" applyBorder="1" applyProtection="1"/>
    <xf numFmtId="6" fontId="36" fillId="5" borderId="3" xfId="0" applyNumberFormat="1" applyFont="1" applyFill="1" applyBorder="1" applyProtection="1"/>
    <xf numFmtId="0" fontId="6" fillId="0" borderId="0" xfId="0" applyFont="1" applyAlignment="1" applyProtection="1">
      <alignment vertical="center"/>
    </xf>
    <xf numFmtId="38" fontId="60" fillId="0" borderId="0" xfId="0" applyNumberFormat="1" applyFont="1" applyAlignment="1" applyProtection="1">
      <alignment horizontal="left"/>
    </xf>
    <xf numFmtId="37" fontId="6" fillId="0" borderId="0" xfId="0" applyNumberFormat="1" applyFont="1" applyFill="1" applyBorder="1" applyProtection="1"/>
    <xf numFmtId="3" fontId="6" fillId="0" borderId="19" xfId="0" applyNumberFormat="1" applyFont="1" applyFill="1" applyBorder="1" applyProtection="1"/>
    <xf numFmtId="37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38" fontId="65" fillId="0" borderId="0" xfId="0" applyNumberFormat="1" applyFont="1" applyAlignment="1" applyProtection="1">
      <alignment horizontal="left"/>
    </xf>
    <xf numFmtId="6" fontId="36" fillId="2" borderId="0" xfId="0" applyNumberFormat="1" applyFont="1" applyFill="1" applyProtection="1"/>
    <xf numFmtId="38" fontId="20" fillId="0" borderId="0" xfId="0" applyNumberFormat="1" applyFont="1" applyProtection="1"/>
    <xf numFmtId="6" fontId="42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38" fontId="36" fillId="2" borderId="0" xfId="0" applyNumberFormat="1" applyFont="1" applyFill="1" applyBorder="1" applyProtection="1"/>
    <xf numFmtId="38" fontId="36" fillId="2" borderId="0" xfId="0" applyNumberFormat="1" applyFont="1" applyFill="1" applyProtection="1"/>
    <xf numFmtId="0" fontId="43" fillId="0" borderId="0" xfId="0" applyFont="1" applyAlignment="1">
      <alignment horizontal="center"/>
    </xf>
    <xf numFmtId="0" fontId="66" fillId="0" borderId="0" xfId="0" applyFont="1"/>
    <xf numFmtId="3" fontId="6" fillId="5" borderId="3" xfId="0" applyNumberFormat="1" applyFont="1" applyFill="1" applyBorder="1" applyProtection="1"/>
    <xf numFmtId="0" fontId="67" fillId="0" borderId="0" xfId="0" applyFont="1"/>
    <xf numFmtId="0" fontId="67" fillId="0" borderId="0" xfId="0" applyFont="1" applyProtection="1"/>
    <xf numFmtId="3" fontId="36" fillId="2" borderId="0" xfId="0" applyNumberFormat="1" applyFont="1" applyFill="1" applyBorder="1" applyProtection="1"/>
    <xf numFmtId="38" fontId="6" fillId="9" borderId="18" xfId="0" applyNumberFormat="1" applyFont="1" applyFill="1" applyBorder="1" applyProtection="1"/>
    <xf numFmtId="10" fontId="6" fillId="9" borderId="18" xfId="0" applyNumberFormat="1" applyFont="1" applyFill="1" applyBorder="1" applyProtection="1"/>
    <xf numFmtId="0" fontId="36" fillId="0" borderId="0" xfId="0" applyFont="1"/>
    <xf numFmtId="0" fontId="68" fillId="0" borderId="0" xfId="0" applyFont="1" applyProtection="1"/>
    <xf numFmtId="14" fontId="39" fillId="0" borderId="0" xfId="0" applyNumberFormat="1" applyFont="1" applyAlignment="1" applyProtection="1">
      <alignment horizontal="center"/>
    </xf>
    <xf numFmtId="6" fontId="69" fillId="2" borderId="0" xfId="0" applyNumberFormat="1" applyFont="1" applyFill="1" applyProtection="1"/>
    <xf numFmtId="0" fontId="70" fillId="2" borderId="0" xfId="0" applyFont="1" applyFill="1" applyAlignment="1" applyProtection="1">
      <alignment horizontal="right"/>
    </xf>
    <xf numFmtId="0" fontId="69" fillId="2" borderId="0" xfId="0" applyFont="1" applyFill="1" applyAlignment="1" applyProtection="1">
      <alignment horizontal="center"/>
    </xf>
    <xf numFmtId="0" fontId="71" fillId="0" borderId="0" xfId="0" applyFont="1" applyProtection="1"/>
    <xf numFmtId="37" fontId="36" fillId="2" borderId="0" xfId="0" applyNumberFormat="1" applyFont="1" applyFill="1" applyBorder="1" applyProtection="1"/>
    <xf numFmtId="1" fontId="6" fillId="0" borderId="0" xfId="0" applyNumberFormat="1" applyFont="1" applyFill="1" applyAlignment="1" applyProtection="1"/>
    <xf numFmtId="1" fontId="6" fillId="0" borderId="0" xfId="0" quotePrefix="1" applyNumberFormat="1" applyFont="1" applyFill="1" applyAlignment="1" applyProtection="1">
      <alignment horizontal="center"/>
    </xf>
    <xf numFmtId="1" fontId="24" fillId="0" borderId="0" xfId="0" applyNumberFormat="1" applyFont="1" applyFill="1" applyBorder="1" applyProtection="1"/>
    <xf numFmtId="1" fontId="24" fillId="0" borderId="0" xfId="0" applyNumberFormat="1" applyFont="1" applyProtection="1"/>
    <xf numFmtId="1" fontId="13" fillId="0" borderId="0" xfId="0" applyNumberFormat="1" applyFont="1" applyProtection="1"/>
    <xf numFmtId="0" fontId="6" fillId="0" borderId="0" xfId="0" applyNumberFormat="1" applyFont="1" applyProtection="1"/>
    <xf numFmtId="0" fontId="6" fillId="2" borderId="0" xfId="0" applyNumberFormat="1" applyFont="1" applyFill="1" applyProtection="1"/>
    <xf numFmtId="0" fontId="24" fillId="0" borderId="0" xfId="0" applyNumberFormat="1" applyFont="1" applyFill="1" applyBorder="1" applyProtection="1"/>
    <xf numFmtId="0" fontId="24" fillId="0" borderId="0" xfId="0" applyNumberFormat="1" applyFont="1" applyProtection="1"/>
    <xf numFmtId="0" fontId="13" fillId="0" borderId="0" xfId="0" applyNumberFormat="1" applyFont="1" applyProtection="1"/>
    <xf numFmtId="0" fontId="73" fillId="0" borderId="0" xfId="0" applyFont="1" applyBorder="1" applyAlignment="1">
      <alignment horizontal="left" vertical="top"/>
    </xf>
    <xf numFmtId="10" fontId="6" fillId="0" borderId="19" xfId="1" applyNumberFormat="1" applyFont="1" applyFill="1" applyBorder="1" applyAlignment="1" applyProtection="1">
      <alignment horizontal="right"/>
    </xf>
    <xf numFmtId="10" fontId="6" fillId="0" borderId="9" xfId="1" applyNumberFormat="1" applyFont="1" applyFill="1" applyBorder="1" applyAlignment="1" applyProtection="1">
      <alignment horizontal="right"/>
    </xf>
    <xf numFmtId="0" fontId="74" fillId="0" borderId="0" xfId="0" applyFont="1"/>
    <xf numFmtId="0" fontId="72" fillId="0" borderId="0" xfId="0" applyFont="1" applyProtection="1"/>
    <xf numFmtId="0" fontId="75" fillId="0" borderId="0" xfId="0" applyFont="1" applyProtection="1"/>
    <xf numFmtId="37" fontId="6" fillId="0" borderId="9" xfId="0" applyNumberFormat="1" applyFont="1" applyFill="1" applyBorder="1" applyAlignment="1" applyProtection="1">
      <alignment horizontal="right"/>
    </xf>
    <xf numFmtId="14" fontId="6" fillId="0" borderId="0" xfId="0" applyNumberFormat="1" applyFont="1" applyAlignment="1" applyProtection="1">
      <alignment horizontal="centerContinuous"/>
    </xf>
    <xf numFmtId="169" fontId="6" fillId="0" borderId="0" xfId="0" applyNumberFormat="1" applyFont="1" applyFill="1" applyAlignment="1" applyProtection="1"/>
    <xf numFmtId="169" fontId="6" fillId="0" borderId="0" xfId="0" applyNumberFormat="1" applyFont="1" applyFill="1" applyProtection="1"/>
    <xf numFmtId="169" fontId="6" fillId="0" borderId="0" xfId="0" quotePrefix="1" applyNumberFormat="1" applyFont="1" applyFill="1" applyAlignment="1" applyProtection="1">
      <alignment horizontal="center"/>
    </xf>
    <xf numFmtId="169" fontId="39" fillId="0" borderId="0" xfId="0" applyNumberFormat="1" applyFont="1" applyFill="1" applyProtection="1"/>
    <xf numFmtId="0" fontId="36" fillId="0" borderId="0" xfId="0" applyFont="1" applyFill="1" applyProtection="1"/>
    <xf numFmtId="0" fontId="51" fillId="0" borderId="0" xfId="0" applyFont="1" applyBorder="1" applyAlignment="1">
      <alignment horizontal="left" vertical="top"/>
    </xf>
    <xf numFmtId="0" fontId="44" fillId="0" borderId="0" xfId="0" quotePrefix="1" applyFont="1" applyBorder="1" applyAlignment="1">
      <alignment horizontal="left" vertical="top"/>
    </xf>
    <xf numFmtId="38" fontId="42" fillId="2" borderId="0" xfId="0" applyNumberFormat="1" applyFont="1" applyFill="1" applyProtection="1"/>
    <xf numFmtId="37" fontId="36" fillId="5" borderId="3" xfId="0" applyNumberFormat="1" applyFont="1" applyFill="1" applyBorder="1" applyAlignment="1" applyProtection="1">
      <alignment wrapText="1"/>
    </xf>
    <xf numFmtId="0" fontId="36" fillId="2" borderId="0" xfId="0" applyFont="1" applyFill="1" applyAlignment="1" applyProtection="1">
      <alignment horizontal="left"/>
    </xf>
    <xf numFmtId="37" fontId="69" fillId="5" borderId="3" xfId="0" applyNumberFormat="1" applyFont="1" applyFill="1" applyBorder="1" applyProtection="1"/>
    <xf numFmtId="37" fontId="36" fillId="5" borderId="3" xfId="1" applyNumberFormat="1" applyFont="1" applyFill="1" applyBorder="1" applyProtection="1"/>
    <xf numFmtId="0" fontId="36" fillId="2" borderId="0" xfId="0" applyFont="1" applyFill="1" applyBorder="1" applyProtection="1"/>
    <xf numFmtId="38" fontId="14" fillId="0" borderId="0" xfId="0" applyNumberFormat="1" applyFont="1" applyAlignment="1" applyProtection="1">
      <alignment horizontal="left"/>
    </xf>
    <xf numFmtId="0" fontId="0" fillId="0" borderId="6" xfId="0" applyBorder="1"/>
    <xf numFmtId="14" fontId="36" fillId="0" borderId="0" xfId="0" applyNumberFormat="1" applyFont="1" applyAlignment="1" applyProtection="1"/>
    <xf numFmtId="37" fontId="6" fillId="2" borderId="0" xfId="4" applyNumberFormat="1" applyFont="1" applyFill="1" applyProtection="1"/>
    <xf numFmtId="0" fontId="6" fillId="2" borderId="0" xfId="4" applyNumberFormat="1" applyFont="1" applyFill="1" applyProtection="1"/>
    <xf numFmtId="37" fontId="6" fillId="2" borderId="6" xfId="4" applyNumberFormat="1" applyFont="1" applyFill="1" applyBorder="1" applyProtection="1"/>
    <xf numFmtId="6" fontId="6" fillId="0" borderId="3" xfId="0" applyNumberFormat="1" applyFont="1" applyFill="1" applyBorder="1" applyProtection="1"/>
    <xf numFmtId="6" fontId="27" fillId="0" borderId="0" xfId="0" applyNumberFormat="1" applyFont="1" applyFill="1" applyAlignment="1" applyProtection="1">
      <alignment horizontal="centerContinuous"/>
    </xf>
    <xf numFmtId="0" fontId="35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left" vertical="top"/>
    </xf>
    <xf numFmtId="14" fontId="27" fillId="0" borderId="0" xfId="0" applyNumberFormat="1" applyFont="1" applyFill="1" applyAlignment="1" applyProtection="1">
      <alignment horizontal="center"/>
    </xf>
    <xf numFmtId="14" fontId="27" fillId="0" borderId="0" xfId="0" quotePrefix="1" applyNumberFormat="1" applyFont="1" applyFill="1" applyAlignment="1" applyProtection="1">
      <alignment horizontal="center"/>
    </xf>
    <xf numFmtId="14" fontId="6" fillId="0" borderId="18" xfId="0" applyNumberFormat="1" applyFont="1" applyBorder="1" applyAlignment="1" applyProtection="1">
      <alignment horizontal="center"/>
      <protection locked="0"/>
    </xf>
    <xf numFmtId="37" fontId="6" fillId="2" borderId="0" xfId="0" applyNumberFormat="1" applyFont="1" applyFill="1" applyBorder="1" applyAlignment="1" applyProtection="1">
      <alignment horizontal="right"/>
    </xf>
    <xf numFmtId="37" fontId="36" fillId="2" borderId="0" xfId="0" applyNumberFormat="1" applyFont="1" applyFill="1" applyBorder="1" applyAlignment="1" applyProtection="1">
      <alignment horizontal="right"/>
    </xf>
    <xf numFmtId="0" fontId="6" fillId="2" borderId="0" xfId="0" applyFont="1" applyFill="1" applyAlignment="1" applyProtection="1">
      <alignment vertical="top"/>
    </xf>
    <xf numFmtId="0" fontId="6" fillId="0" borderId="0" xfId="0" quotePrefix="1" applyFont="1" applyProtection="1"/>
    <xf numFmtId="6" fontId="76" fillId="0" borderId="0" xfId="0" applyNumberFormat="1" applyFont="1" applyAlignment="1" applyProtection="1">
      <alignment horizontal="centerContinuous"/>
    </xf>
    <xf numFmtId="0" fontId="37" fillId="0" borderId="0" xfId="0" applyFont="1" applyAlignment="1" applyProtection="1"/>
    <xf numFmtId="3" fontId="6" fillId="5" borderId="3" xfId="2" applyNumberFormat="1" applyFont="1" applyFill="1" applyBorder="1" applyProtection="1"/>
    <xf numFmtId="38" fontId="39" fillId="0" borderId="0" xfId="0" applyNumberFormat="1" applyFont="1" applyProtection="1"/>
    <xf numFmtId="14" fontId="6" fillId="0" borderId="0" xfId="0" applyNumberFormat="1" applyFont="1" applyFill="1" applyProtection="1"/>
    <xf numFmtId="6" fontId="6" fillId="10" borderId="0" xfId="0" applyNumberFormat="1" applyFont="1" applyFill="1" applyProtection="1"/>
    <xf numFmtId="6" fontId="6" fillId="10" borderId="0" xfId="0" applyNumberFormat="1" applyFont="1" applyFill="1" applyAlignment="1" applyProtection="1">
      <alignment horizontal="center"/>
    </xf>
    <xf numFmtId="3" fontId="6" fillId="2" borderId="0" xfId="0" quotePrefix="1" applyNumberFormat="1" applyFont="1" applyFill="1" applyProtection="1"/>
    <xf numFmtId="0" fontId="0" fillId="0" borderId="0" xfId="0" applyNumberFormat="1"/>
    <xf numFmtId="0" fontId="36" fillId="2" borderId="0" xfId="0" applyNumberFormat="1" applyFont="1" applyFill="1" applyProtection="1"/>
    <xf numFmtId="0" fontId="9" fillId="2" borderId="0" xfId="0" applyNumberFormat="1" applyFont="1" applyFill="1" applyProtection="1"/>
    <xf numFmtId="0" fontId="22" fillId="2" borderId="0" xfId="0" applyNumberFormat="1" applyFont="1" applyFill="1" applyBorder="1" applyProtection="1"/>
    <xf numFmtId="0" fontId="6" fillId="2" borderId="0" xfId="0" applyNumberFormat="1" applyFont="1" applyFill="1" applyBorder="1" applyProtection="1"/>
    <xf numFmtId="0" fontId="6" fillId="2" borderId="9" xfId="2" applyNumberFormat="1" applyFont="1" applyFill="1" applyBorder="1" applyProtection="1"/>
    <xf numFmtId="0" fontId="6" fillId="2" borderId="7" xfId="2" applyNumberFormat="1" applyFont="1" applyFill="1" applyBorder="1" applyProtection="1"/>
    <xf numFmtId="0" fontId="24" fillId="0" borderId="0" xfId="0" applyNumberFormat="1" applyFont="1" applyFill="1" applyBorder="1" applyAlignment="1" applyProtection="1">
      <alignment horizontal="center"/>
    </xf>
    <xf numFmtId="0" fontId="62" fillId="0" borderId="0" xfId="0" applyNumberFormat="1" applyFont="1" applyFill="1" applyBorder="1" applyAlignment="1" applyProtection="1">
      <alignment horizontal="center"/>
    </xf>
    <xf numFmtId="0" fontId="27" fillId="0" borderId="0" xfId="2" applyNumberFormat="1" applyFont="1" applyFill="1" applyBorder="1" applyProtection="1"/>
    <xf numFmtId="0" fontId="27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Protection="1"/>
    <xf numFmtId="0" fontId="27" fillId="0" borderId="0" xfId="0" applyNumberFormat="1" applyFont="1" applyFill="1" applyAlignment="1" applyProtection="1">
      <alignment horizontal="center"/>
    </xf>
    <xf numFmtId="0" fontId="30" fillId="0" borderId="0" xfId="2" applyNumberFormat="1" applyFont="1" applyFill="1" applyBorder="1" applyProtection="1"/>
    <xf numFmtId="0" fontId="31" fillId="0" borderId="0" xfId="2" applyNumberFormat="1" applyFont="1" applyFill="1" applyBorder="1" applyProtection="1"/>
    <xf numFmtId="0" fontId="33" fillId="0" borderId="0" xfId="2" applyNumberFormat="1" applyFont="1" applyFill="1" applyBorder="1" applyProtection="1"/>
    <xf numFmtId="0" fontId="27" fillId="0" borderId="9" xfId="2" applyNumberFormat="1" applyFont="1" applyFill="1" applyBorder="1" applyProtection="1"/>
    <xf numFmtId="0" fontId="27" fillId="0" borderId="7" xfId="2" applyNumberFormat="1" applyFont="1" applyFill="1" applyBorder="1" applyProtection="1"/>
    <xf numFmtId="0" fontId="36" fillId="0" borderId="0" xfId="0" applyNumberFormat="1" applyFont="1" applyFill="1" applyProtection="1"/>
    <xf numFmtId="0" fontId="6" fillId="0" borderId="0" xfId="0" applyNumberFormat="1" applyFont="1" applyFill="1" applyAlignment="1" applyProtection="1">
      <alignment vertical="top"/>
    </xf>
    <xf numFmtId="0" fontId="6" fillId="0" borderId="0" xfId="0" applyNumberFormat="1" applyFont="1" applyFill="1" applyAlignment="1" applyProtection="1">
      <alignment horizontal="right"/>
    </xf>
    <xf numFmtId="0" fontId="6" fillId="0" borderId="0" xfId="2" quotePrefix="1" applyNumberFormat="1" applyFont="1" applyFill="1" applyBorder="1" applyProtection="1"/>
    <xf numFmtId="0" fontId="36" fillId="0" borderId="0" xfId="0" applyNumberFormat="1" applyFont="1" applyFill="1" applyAlignment="1" applyProtection="1">
      <alignment horizontal="center"/>
    </xf>
    <xf numFmtId="0" fontId="36" fillId="0" borderId="0" xfId="2" quotePrefix="1" applyNumberFormat="1" applyFont="1" applyFill="1" applyBorder="1" applyProtection="1"/>
    <xf numFmtId="0" fontId="52" fillId="2" borderId="0" xfId="0" applyNumberFormat="1" applyFont="1" applyFill="1" applyProtection="1"/>
    <xf numFmtId="6" fontId="36" fillId="0" borderId="0" xfId="0" applyNumberFormat="1" applyFont="1" applyAlignment="1" applyProtection="1">
      <alignment horizontal="centerContinuous"/>
    </xf>
    <xf numFmtId="6" fontId="37" fillId="0" borderId="0" xfId="0" applyNumberFormat="1" applyFont="1" applyAlignment="1" applyProtection="1">
      <alignment horizontal="centerContinuous"/>
    </xf>
    <xf numFmtId="0" fontId="9" fillId="0" borderId="0" xfId="2" applyNumberFormat="1" applyFont="1" applyFill="1" applyBorder="1" applyProtection="1"/>
    <xf numFmtId="0" fontId="2" fillId="0" borderId="0" xfId="2" applyNumberFormat="1" applyFont="1" applyFill="1" applyBorder="1" applyProtection="1"/>
    <xf numFmtId="0" fontId="79" fillId="0" borderId="0" xfId="0" applyFont="1" applyProtection="1"/>
    <xf numFmtId="0" fontId="42" fillId="0" borderId="0" xfId="0" applyFont="1" applyAlignment="1" applyProtection="1">
      <alignment horizontal="left"/>
    </xf>
    <xf numFmtId="0" fontId="42" fillId="0" borderId="0" xfId="0" quotePrefix="1" applyFont="1" applyAlignment="1" applyProtection="1">
      <alignment horizontal="left"/>
    </xf>
    <xf numFmtId="0" fontId="72" fillId="2" borderId="0" xfId="0" applyNumberFormat="1" applyFont="1" applyFill="1" applyProtection="1"/>
    <xf numFmtId="6" fontId="6" fillId="8" borderId="0" xfId="0" applyNumberFormat="1" applyFont="1" applyFill="1" applyAlignment="1" applyProtection="1">
      <alignment horizontal="centerContinuous"/>
    </xf>
    <xf numFmtId="6" fontId="0" fillId="0" borderId="0" xfId="0" applyNumberFormat="1"/>
    <xf numFmtId="6" fontId="42" fillId="0" borderId="0" xfId="0" applyNumberFormat="1" applyFont="1" applyProtection="1"/>
    <xf numFmtId="6" fontId="36" fillId="0" borderId="0" xfId="0" applyNumberFormat="1" applyFont="1" applyProtection="1"/>
    <xf numFmtId="6" fontId="6" fillId="7" borderId="3" xfId="0" applyNumberFormat="1" applyFont="1" applyFill="1" applyBorder="1" applyProtection="1"/>
    <xf numFmtId="6" fontId="46" fillId="7" borderId="3" xfId="0" applyNumberFormat="1" applyFont="1" applyFill="1" applyBorder="1" applyProtection="1"/>
    <xf numFmtId="6" fontId="27" fillId="7" borderId="3" xfId="0" applyNumberFormat="1" applyFont="1" applyFill="1" applyBorder="1" applyProtection="1"/>
    <xf numFmtId="6" fontId="41" fillId="7" borderId="3" xfId="0" applyNumberFormat="1" applyFont="1" applyFill="1" applyBorder="1" applyProtection="1"/>
    <xf numFmtId="0" fontId="83" fillId="0" borderId="0" xfId="0" applyFont="1" applyProtection="1"/>
    <xf numFmtId="0" fontId="83" fillId="2" borderId="0" xfId="0" applyFont="1" applyFill="1" applyProtection="1"/>
    <xf numFmtId="0" fontId="85" fillId="0" borderId="0" xfId="0" applyFont="1" applyProtection="1"/>
    <xf numFmtId="6" fontId="14" fillId="0" borderId="0" xfId="0" quotePrefix="1" applyNumberFormat="1" applyFont="1" applyAlignment="1">
      <alignment horizontal="center"/>
    </xf>
    <xf numFmtId="0" fontId="18" fillId="2" borderId="0" xfId="0" applyFont="1" applyFill="1" applyAlignment="1" applyProtection="1">
      <alignment horizontal="center"/>
    </xf>
    <xf numFmtId="0" fontId="18" fillId="2" borderId="0" xfId="0" applyFont="1" applyFill="1" applyAlignment="1" applyProtection="1"/>
    <xf numFmtId="14" fontId="3" fillId="0" borderId="19" xfId="0" applyNumberFormat="1" applyFont="1" applyBorder="1" applyAlignment="1">
      <alignment horizontal="center"/>
    </xf>
    <xf numFmtId="38" fontId="8" fillId="4" borderId="18" xfId="0" applyNumberFormat="1" applyFont="1" applyFill="1" applyBorder="1"/>
    <xf numFmtId="38" fontId="8" fillId="2" borderId="16" xfId="0" applyNumberFormat="1" applyFont="1" applyFill="1" applyBorder="1"/>
    <xf numFmtId="14" fontId="6" fillId="0" borderId="0" xfId="0" applyNumberFormat="1" applyFont="1" applyBorder="1" applyAlignment="1" applyProtection="1">
      <alignment horizontal="center"/>
      <protection locked="0"/>
    </xf>
    <xf numFmtId="14" fontId="6" fillId="0" borderId="19" xfId="0" applyNumberFormat="1" applyFont="1" applyBorder="1" applyAlignment="1" applyProtection="1">
      <alignment horizontal="center"/>
    </xf>
    <xf numFmtId="14" fontId="6" fillId="0" borderId="7" xfId="0" applyNumberFormat="1" applyFont="1" applyBorder="1" applyAlignment="1" applyProtection="1">
      <alignment horizontal="center"/>
      <protection locked="0"/>
    </xf>
    <xf numFmtId="14" fontId="6" fillId="0" borderId="0" xfId="0" applyNumberFormat="1" applyFont="1" applyBorder="1" applyAlignment="1" applyProtection="1">
      <alignment horizontal="center"/>
    </xf>
    <xf numFmtId="14" fontId="6" fillId="0" borderId="0" xfId="0" applyNumberFormat="1" applyFont="1" applyFill="1" applyBorder="1" applyAlignment="1" applyProtection="1">
      <alignment horizontal="center"/>
      <protection locked="0"/>
    </xf>
    <xf numFmtId="14" fontId="27" fillId="0" borderId="19" xfId="0" applyNumberFormat="1" applyFont="1" applyBorder="1" applyAlignment="1" applyProtection="1">
      <alignment horizontal="center"/>
    </xf>
    <xf numFmtId="6" fontId="6" fillId="5" borderId="18" xfId="0" applyNumberFormat="1" applyFont="1" applyFill="1" applyBorder="1" applyProtection="1"/>
    <xf numFmtId="37" fontId="6" fillId="5" borderId="18" xfId="0" applyNumberFormat="1" applyFont="1" applyFill="1" applyBorder="1" applyProtection="1"/>
    <xf numFmtId="6" fontId="27" fillId="5" borderId="18" xfId="0" applyNumberFormat="1" applyFont="1" applyFill="1" applyBorder="1" applyProtection="1"/>
    <xf numFmtId="6" fontId="27" fillId="2" borderId="17" xfId="0" applyNumberFormat="1" applyFont="1" applyFill="1" applyBorder="1" applyProtection="1"/>
    <xf numFmtId="37" fontId="27" fillId="5" borderId="18" xfId="0" applyNumberFormat="1" applyFont="1" applyFill="1" applyBorder="1" applyProtection="1"/>
    <xf numFmtId="38" fontId="6" fillId="5" borderId="18" xfId="0" applyNumberFormat="1" applyFont="1" applyFill="1" applyBorder="1" applyProtection="1"/>
    <xf numFmtId="0" fontId="6" fillId="0" borderId="0" xfId="0" quotePrefix="1" applyNumberFormat="1" applyFont="1" applyAlignment="1" applyProtection="1">
      <alignment horizontal="center"/>
    </xf>
    <xf numFmtId="0" fontId="27" fillId="0" borderId="0" xfId="0" quotePrefix="1" applyNumberFormat="1" applyFont="1" applyFill="1" applyAlignment="1" applyProtection="1">
      <alignment horizontal="center"/>
    </xf>
    <xf numFmtId="0" fontId="27" fillId="0" borderId="0" xfId="0" quotePrefix="1" applyNumberFormat="1" applyFont="1" applyAlignment="1" applyProtection="1">
      <alignment horizontal="center"/>
    </xf>
    <xf numFmtId="0" fontId="6" fillId="0" borderId="0" xfId="0" quotePrefix="1" applyNumberFormat="1" applyFont="1" applyAlignment="1" applyProtection="1">
      <alignment horizontal="centerContinuous"/>
    </xf>
    <xf numFmtId="0" fontId="27" fillId="0" borderId="0" xfId="0" quotePrefix="1" applyNumberFormat="1" applyFont="1" applyFill="1" applyAlignment="1" applyProtection="1">
      <alignment horizontal="centerContinuous"/>
    </xf>
    <xf numFmtId="0" fontId="27" fillId="0" borderId="0" xfId="0" quotePrefix="1" applyNumberFormat="1" applyFont="1" applyAlignment="1" applyProtection="1">
      <alignment horizontal="centerContinuous"/>
    </xf>
    <xf numFmtId="0" fontId="46" fillId="0" borderId="0" xfId="0" quotePrefix="1" applyNumberFormat="1" applyFont="1" applyAlignment="1" applyProtection="1">
      <alignment horizontal="center"/>
    </xf>
    <xf numFmtId="0" fontId="41" fillId="0" borderId="0" xfId="0" quotePrefix="1" applyNumberFormat="1" applyFont="1" applyAlignment="1" applyProtection="1">
      <alignment horizontal="center"/>
    </xf>
    <xf numFmtId="0" fontId="50" fillId="0" borderId="0" xfId="0" quotePrefix="1" applyNumberFormat="1" applyFont="1" applyAlignment="1" applyProtection="1">
      <alignment horizontal="center"/>
    </xf>
    <xf numFmtId="37" fontId="11" fillId="2" borderId="0" xfId="0" applyNumberFormat="1" applyFont="1" applyFill="1" applyBorder="1"/>
    <xf numFmtId="0" fontId="3" fillId="0" borderId="0" xfId="0" quotePrefix="1" applyNumberFormat="1" applyFont="1" applyAlignment="1" applyProtection="1">
      <alignment horizontal="center"/>
    </xf>
    <xf numFmtId="0" fontId="11" fillId="0" borderId="0" xfId="0" quotePrefix="1" applyNumberFormat="1" applyFont="1" applyAlignment="1">
      <alignment horizontal="center"/>
    </xf>
    <xf numFmtId="0" fontId="3" fillId="0" borderId="0" xfId="0" quotePrefix="1" applyNumberFormat="1" applyFont="1" applyAlignment="1">
      <alignment horizontal="centerContinuous"/>
    </xf>
    <xf numFmtId="0" fontId="3" fillId="0" borderId="0" xfId="0" quotePrefix="1" applyNumberFormat="1" applyFont="1" applyAlignment="1" applyProtection="1">
      <alignment horizontal="centerContinuous"/>
    </xf>
    <xf numFmtId="14" fontId="42" fillId="0" borderId="0" xfId="0" applyNumberFormat="1" applyFont="1" applyBorder="1" applyAlignment="1" applyProtection="1">
      <alignment horizontal="left"/>
      <protection locked="0"/>
    </xf>
    <xf numFmtId="14" fontId="39" fillId="0" borderId="18" xfId="0" applyNumberFormat="1" applyFont="1" applyBorder="1" applyAlignment="1" applyProtection="1">
      <alignment horizontal="center"/>
      <protection locked="0"/>
    </xf>
    <xf numFmtId="3" fontId="6" fillId="0" borderId="20" xfId="0" applyNumberFormat="1" applyFont="1" applyFill="1" applyBorder="1" applyProtection="1"/>
    <xf numFmtId="10" fontId="6" fillId="0" borderId="20" xfId="0" applyNumberFormat="1" applyFont="1" applyFill="1" applyBorder="1" applyProtection="1"/>
    <xf numFmtId="0" fontId="86" fillId="0" borderId="0" xfId="0" applyFont="1" applyAlignment="1" applyProtection="1"/>
    <xf numFmtId="0" fontId="42" fillId="0" borderId="0" xfId="0" applyFont="1" applyAlignment="1" applyProtection="1"/>
    <xf numFmtId="0" fontId="78" fillId="0" borderId="0" xfId="0" applyFont="1" applyAlignment="1" applyProtection="1"/>
    <xf numFmtId="6" fontId="87" fillId="0" borderId="0" xfId="0" applyNumberFormat="1" applyFont="1" applyAlignment="1" applyProtection="1">
      <alignment horizontal="left"/>
    </xf>
    <xf numFmtId="0" fontId="88" fillId="0" borderId="0" xfId="0" applyFont="1" applyAlignment="1" applyProtection="1"/>
    <xf numFmtId="6" fontId="6" fillId="9" borderId="18" xfId="0" applyNumberFormat="1" applyFont="1" applyFill="1" applyBorder="1"/>
    <xf numFmtId="14" fontId="6" fillId="0" borderId="0" xfId="0" applyNumberFormat="1" applyFont="1" applyAlignment="1">
      <alignment horizontal="center"/>
    </xf>
    <xf numFmtId="6" fontId="6" fillId="0" borderId="0" xfId="0" applyNumberFormat="1" applyFont="1" applyAlignment="1">
      <alignment horizontal="centerContinuous"/>
    </xf>
    <xf numFmtId="0" fontId="6" fillId="0" borderId="0" xfId="0" applyFont="1"/>
    <xf numFmtId="6" fontId="6" fillId="2" borderId="0" xfId="0" applyNumberFormat="1" applyFont="1" applyFill="1"/>
    <xf numFmtId="6" fontId="6" fillId="0" borderId="17" xfId="0" applyNumberFormat="1" applyFont="1" applyBorder="1"/>
    <xf numFmtId="6" fontId="6" fillId="2" borderId="17" xfId="0" applyNumberFormat="1" applyFont="1" applyFill="1" applyBorder="1"/>
    <xf numFmtId="6" fontId="6" fillId="2" borderId="6" xfId="0" applyNumberFormat="1" applyFont="1" applyFill="1" applyBorder="1"/>
    <xf numFmtId="6" fontId="6" fillId="0" borderId="0" xfId="0" applyNumberFormat="1" applyFont="1"/>
    <xf numFmtId="37" fontId="6" fillId="2" borderId="0" xfId="4" applyNumberFormat="1" applyFont="1" applyFill="1"/>
    <xf numFmtId="37" fontId="6" fillId="2" borderId="0" xfId="0" applyNumberFormat="1" applyFont="1" applyFill="1"/>
    <xf numFmtId="38" fontId="6" fillId="9" borderId="18" xfId="0" applyNumberFormat="1" applyFont="1" applyFill="1" applyBorder="1"/>
    <xf numFmtId="0" fontId="6" fillId="2" borderId="0" xfId="4" applyNumberFormat="1" applyFont="1" applyFill="1"/>
    <xf numFmtId="1" fontId="6" fillId="2" borderId="0" xfId="0" applyNumberFormat="1" applyFont="1" applyFill="1"/>
    <xf numFmtId="3" fontId="6" fillId="2" borderId="0" xfId="0" applyNumberFormat="1" applyFont="1" applyFill="1"/>
    <xf numFmtId="37" fontId="6" fillId="2" borderId="6" xfId="4" applyNumberFormat="1" applyFont="1" applyFill="1" applyBorder="1"/>
    <xf numFmtId="10" fontId="6" fillId="9" borderId="18" xfId="0" applyNumberFormat="1" applyFont="1" applyFill="1" applyBorder="1"/>
    <xf numFmtId="14" fontId="6" fillId="0" borderId="0" xfId="0" applyNumberFormat="1" applyFont="1" applyBorder="1" applyAlignment="1" applyProtection="1">
      <alignment horizontal="left"/>
      <protection locked="0"/>
    </xf>
    <xf numFmtId="14" fontId="36" fillId="0" borderId="0" xfId="0" applyNumberFormat="1" applyFont="1" applyAlignment="1" applyProtection="1">
      <alignment horizontal="centerContinuous"/>
    </xf>
    <xf numFmtId="3" fontId="6" fillId="9" borderId="18" xfId="0" applyNumberFormat="1" applyFont="1" applyFill="1" applyBorder="1" applyProtection="1"/>
    <xf numFmtId="0" fontId="37" fillId="0" borderId="0" xfId="0" applyNumberFormat="1" applyFont="1"/>
    <xf numFmtId="6" fontId="37" fillId="9" borderId="18" xfId="0" applyNumberFormat="1" applyFont="1" applyFill="1" applyBorder="1" applyProtection="1"/>
    <xf numFmtId="0" fontId="89" fillId="0" borderId="0" xfId="2" applyNumberFormat="1" applyFont="1" applyFill="1" applyBorder="1" applyProtection="1"/>
    <xf numFmtId="6" fontId="27" fillId="9" borderId="18" xfId="0" applyNumberFormat="1" applyFont="1" applyFill="1" applyBorder="1" applyProtection="1"/>
    <xf numFmtId="6" fontId="36" fillId="5" borderId="18" xfId="0" applyNumberFormat="1" applyFont="1" applyFill="1" applyBorder="1" applyProtection="1"/>
    <xf numFmtId="0" fontId="6" fillId="2" borderId="0" xfId="0" applyFont="1" applyFill="1"/>
    <xf numFmtId="5" fontId="62" fillId="0" borderId="0" xfId="0" applyNumberFormat="1" applyFont="1" applyFill="1" applyBorder="1" applyAlignment="1" applyProtection="1">
      <alignment horizontal="left"/>
    </xf>
    <xf numFmtId="0" fontId="37" fillId="2" borderId="0" xfId="0" applyFont="1" applyFill="1" applyProtection="1"/>
    <xf numFmtId="0" fontId="6" fillId="0" borderId="0" xfId="0" applyNumberFormat="1" applyFont="1" applyFill="1" applyAlignment="1" applyProtection="1">
      <alignment horizontal="left"/>
    </xf>
    <xf numFmtId="5" fontId="24" fillId="0" borderId="0" xfId="0" applyNumberFormat="1" applyFont="1" applyFill="1" applyBorder="1" applyAlignment="1" applyProtection="1">
      <alignment horizontal="left"/>
    </xf>
    <xf numFmtId="0" fontId="42" fillId="0" borderId="0" xfId="2" applyNumberFormat="1" applyFont="1" applyFill="1" applyBorder="1" applyProtection="1"/>
    <xf numFmtId="0" fontId="22" fillId="2" borderId="0" xfId="0" applyFont="1" applyFill="1" applyBorder="1" applyProtection="1"/>
    <xf numFmtId="6" fontId="36" fillId="9" borderId="18" xfId="0" applyNumberFormat="1" applyFont="1" applyFill="1" applyBorder="1" applyProtection="1"/>
    <xf numFmtId="0" fontId="6" fillId="2" borderId="0" xfId="0" applyFont="1" applyFill="1" applyBorder="1" applyProtection="1"/>
    <xf numFmtId="10" fontId="6" fillId="2" borderId="9" xfId="5" applyNumberFormat="1" applyFont="1" applyFill="1" applyBorder="1" applyProtection="1"/>
    <xf numFmtId="10" fontId="6" fillId="2" borderId="7" xfId="5" applyNumberFormat="1" applyFont="1" applyFill="1" applyBorder="1" applyProtection="1"/>
    <xf numFmtId="0" fontId="90" fillId="0" borderId="0" xfId="0" applyFont="1" applyProtection="1"/>
    <xf numFmtId="6" fontId="36" fillId="0" borderId="0" xfId="0" applyNumberFormat="1" applyFont="1" applyFill="1" applyAlignment="1" applyProtection="1">
      <alignment horizontal="left"/>
    </xf>
    <xf numFmtId="0" fontId="36" fillId="0" borderId="0" xfId="0" applyFont="1" applyFill="1" applyAlignment="1" applyProtection="1">
      <alignment horizontal="right"/>
    </xf>
    <xf numFmtId="0" fontId="6" fillId="0" borderId="0" xfId="5" applyNumberFormat="1" applyFont="1" applyFill="1" applyBorder="1" applyProtection="1"/>
    <xf numFmtId="0" fontId="0" fillId="0" borderId="0" xfId="0" applyFont="1" applyFill="1" applyAlignment="1">
      <alignment horizontal="center"/>
    </xf>
    <xf numFmtId="0" fontId="2" fillId="0" borderId="0" xfId="0" applyNumberFormat="1" applyFont="1" applyFill="1" applyAlignment="1" applyProtection="1">
      <alignment horizontal="left"/>
    </xf>
    <xf numFmtId="0" fontId="36" fillId="0" borderId="0" xfId="0" applyNumberFormat="1" applyFont="1" applyFill="1" applyAlignment="1" applyProtection="1">
      <alignment horizontal="left"/>
    </xf>
    <xf numFmtId="6" fontId="14" fillId="0" borderId="0" xfId="0" quotePrefix="1" applyNumberFormat="1" applyFont="1" applyAlignment="1">
      <alignment horizontal="center"/>
    </xf>
    <xf numFmtId="7" fontId="11" fillId="0" borderId="1" xfId="0" applyNumberFormat="1" applyFont="1" applyBorder="1" applyAlignment="1">
      <alignment horizontal="center" wrapText="1"/>
    </xf>
    <xf numFmtId="7" fontId="11" fillId="0" borderId="9" xfId="0" applyNumberFormat="1" applyFont="1" applyBorder="1" applyAlignment="1">
      <alignment horizontal="center" wrapText="1"/>
    </xf>
    <xf numFmtId="7" fontId="11" fillId="0" borderId="8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left" wrapText="1"/>
    </xf>
    <xf numFmtId="0" fontId="0" fillId="0" borderId="0" xfId="0" applyAlignment="1">
      <alignment wrapText="1"/>
    </xf>
  </cellXfs>
  <cellStyles count="8">
    <cellStyle name="Comma" xfId="1" builtinId="3"/>
    <cellStyle name="Comma 2" xfId="4" xr:uid="{00000000-0005-0000-0000-000001000000}"/>
    <cellStyle name="Currency" xfId="2" builtinId="4"/>
    <cellStyle name="Currency 2" xfId="5" xr:uid="{00000000-0005-0000-0000-000003000000}"/>
    <cellStyle name="Excel Built-in Normal" xfId="7" xr:uid="{00000000-0005-0000-0000-000004000000}"/>
    <cellStyle name="Normal" xfId="0" builtinId="0"/>
    <cellStyle name="Normal 2" xfId="3" xr:uid="{00000000-0005-0000-0000-000006000000}"/>
    <cellStyle name="Percent 2" xfId="6" xr:uid="{00000000-0005-0000-0000-000007000000}"/>
  </cellStyles>
  <dxfs count="0"/>
  <tableStyles count="0" defaultTableStyle="TableStyleMedium9" defaultPivotStyle="PivotStyleLight16"/>
  <colors>
    <mruColors>
      <color rgb="FFDAEEF3"/>
      <color rgb="FFCCFFFF"/>
      <color rgb="FF99CCFF"/>
      <color rgb="FFCCECFF"/>
      <color rgb="FF66FFFF"/>
      <color rgb="FFE28CAB"/>
      <color rgb="FFDCAB14"/>
      <color rgb="FFFFFF99"/>
      <color rgb="FF000000"/>
      <color rgb="FFFCFC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9.xml"/><Relationship Id="rId133" Type="http://schemas.openxmlformats.org/officeDocument/2006/relationships/externalLink" Target="externalLinks/externalLink40.xml"/><Relationship Id="rId138" Type="http://schemas.openxmlformats.org/officeDocument/2006/relationships/externalLink" Target="externalLinks/externalLink45.xml"/><Relationship Id="rId154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66.xml"/><Relationship Id="rId175" Type="http://schemas.openxmlformats.org/officeDocument/2006/relationships/externalLink" Target="externalLinks/externalLink82.xml"/><Relationship Id="rId170" Type="http://schemas.openxmlformats.org/officeDocument/2006/relationships/externalLink" Target="externalLinks/externalLink77.xml"/><Relationship Id="rId191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9.xml"/><Relationship Id="rId123" Type="http://schemas.openxmlformats.org/officeDocument/2006/relationships/externalLink" Target="externalLinks/externalLink30.xml"/><Relationship Id="rId128" Type="http://schemas.openxmlformats.org/officeDocument/2006/relationships/externalLink" Target="externalLinks/externalLink35.xml"/><Relationship Id="rId144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2.xml"/><Relationship Id="rId160" Type="http://schemas.openxmlformats.org/officeDocument/2006/relationships/externalLink" Target="externalLinks/externalLink67.xml"/><Relationship Id="rId165" Type="http://schemas.openxmlformats.org/officeDocument/2006/relationships/externalLink" Target="externalLinks/externalLink72.xml"/><Relationship Id="rId181" Type="http://schemas.openxmlformats.org/officeDocument/2006/relationships/externalLink" Target="externalLinks/externalLink88.xml"/><Relationship Id="rId186" Type="http://schemas.openxmlformats.org/officeDocument/2006/relationships/externalLink" Target="externalLinks/externalLink9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0.xml"/><Relationship Id="rId118" Type="http://schemas.openxmlformats.org/officeDocument/2006/relationships/externalLink" Target="externalLinks/externalLink25.xml"/><Relationship Id="rId134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46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7.xml"/><Relationship Id="rId155" Type="http://schemas.openxmlformats.org/officeDocument/2006/relationships/externalLink" Target="externalLinks/externalLink62.xml"/><Relationship Id="rId171" Type="http://schemas.openxmlformats.org/officeDocument/2006/relationships/externalLink" Target="externalLinks/externalLink78.xml"/><Relationship Id="rId176" Type="http://schemas.openxmlformats.org/officeDocument/2006/relationships/externalLink" Target="externalLinks/externalLink83.xml"/><Relationship Id="rId192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15.xml"/><Relationship Id="rId124" Type="http://schemas.openxmlformats.org/officeDocument/2006/relationships/externalLink" Target="externalLinks/externalLink31.xml"/><Relationship Id="rId129" Type="http://schemas.openxmlformats.org/officeDocument/2006/relationships/externalLink" Target="externalLinks/externalLink36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3.xml"/><Relationship Id="rId140" Type="http://schemas.openxmlformats.org/officeDocument/2006/relationships/externalLink" Target="externalLinks/externalLink47.xml"/><Relationship Id="rId145" Type="http://schemas.openxmlformats.org/officeDocument/2006/relationships/externalLink" Target="externalLinks/externalLink52.xml"/><Relationship Id="rId161" Type="http://schemas.openxmlformats.org/officeDocument/2006/relationships/externalLink" Target="externalLinks/externalLink68.xml"/><Relationship Id="rId166" Type="http://schemas.openxmlformats.org/officeDocument/2006/relationships/externalLink" Target="externalLinks/externalLink73.xml"/><Relationship Id="rId182" Type="http://schemas.openxmlformats.org/officeDocument/2006/relationships/externalLink" Target="externalLinks/externalLink89.xml"/><Relationship Id="rId187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26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7.xml"/><Relationship Id="rId135" Type="http://schemas.openxmlformats.org/officeDocument/2006/relationships/externalLink" Target="externalLinks/externalLink42.xml"/><Relationship Id="rId151" Type="http://schemas.openxmlformats.org/officeDocument/2006/relationships/externalLink" Target="externalLinks/externalLink58.xml"/><Relationship Id="rId156" Type="http://schemas.openxmlformats.org/officeDocument/2006/relationships/externalLink" Target="externalLinks/externalLink63.xml"/><Relationship Id="rId177" Type="http://schemas.openxmlformats.org/officeDocument/2006/relationships/externalLink" Target="externalLinks/externalLink84.xml"/><Relationship Id="rId172" Type="http://schemas.openxmlformats.org/officeDocument/2006/relationships/externalLink" Target="externalLinks/externalLink79.xml"/><Relationship Id="rId193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4.xml"/><Relationship Id="rId104" Type="http://schemas.openxmlformats.org/officeDocument/2006/relationships/externalLink" Target="externalLinks/externalLink11.xml"/><Relationship Id="rId120" Type="http://schemas.openxmlformats.org/officeDocument/2006/relationships/externalLink" Target="externalLinks/externalLink27.xml"/><Relationship Id="rId125" Type="http://schemas.openxmlformats.org/officeDocument/2006/relationships/externalLink" Target="externalLinks/externalLink32.xml"/><Relationship Id="rId141" Type="http://schemas.openxmlformats.org/officeDocument/2006/relationships/externalLink" Target="externalLinks/externalLink48.xml"/><Relationship Id="rId146" Type="http://schemas.openxmlformats.org/officeDocument/2006/relationships/externalLink" Target="externalLinks/externalLink53.xml"/><Relationship Id="rId167" Type="http://schemas.openxmlformats.org/officeDocument/2006/relationships/externalLink" Target="externalLinks/externalLink74.xml"/><Relationship Id="rId188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69.xml"/><Relationship Id="rId183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7.xml"/><Relationship Id="rId115" Type="http://schemas.openxmlformats.org/officeDocument/2006/relationships/externalLink" Target="externalLinks/externalLink22.xml"/><Relationship Id="rId131" Type="http://schemas.openxmlformats.org/officeDocument/2006/relationships/externalLink" Target="externalLinks/externalLink38.xml"/><Relationship Id="rId136" Type="http://schemas.openxmlformats.org/officeDocument/2006/relationships/externalLink" Target="externalLinks/externalLink43.xml"/><Relationship Id="rId157" Type="http://schemas.openxmlformats.org/officeDocument/2006/relationships/externalLink" Target="externalLinks/externalLink64.xml"/><Relationship Id="rId178" Type="http://schemas.openxmlformats.org/officeDocument/2006/relationships/externalLink" Target="externalLinks/externalLink8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9.xml"/><Relationship Id="rId173" Type="http://schemas.openxmlformats.org/officeDocument/2006/relationships/externalLink" Target="externalLinks/externalLink8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7.xml"/><Relationship Id="rId105" Type="http://schemas.openxmlformats.org/officeDocument/2006/relationships/externalLink" Target="externalLinks/externalLink12.xml"/><Relationship Id="rId126" Type="http://schemas.openxmlformats.org/officeDocument/2006/relationships/externalLink" Target="externalLinks/externalLink33.xml"/><Relationship Id="rId147" Type="http://schemas.openxmlformats.org/officeDocument/2006/relationships/externalLink" Target="externalLinks/externalLink54.xml"/><Relationship Id="rId168" Type="http://schemas.openxmlformats.org/officeDocument/2006/relationships/externalLink" Target="externalLinks/externalLink7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5.xml"/><Relationship Id="rId121" Type="http://schemas.openxmlformats.org/officeDocument/2006/relationships/externalLink" Target="externalLinks/externalLink28.xml"/><Relationship Id="rId142" Type="http://schemas.openxmlformats.org/officeDocument/2006/relationships/externalLink" Target="externalLinks/externalLink49.xml"/><Relationship Id="rId163" Type="http://schemas.openxmlformats.org/officeDocument/2006/relationships/externalLink" Target="externalLinks/externalLink70.xml"/><Relationship Id="rId184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9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3.xml"/><Relationship Id="rId137" Type="http://schemas.openxmlformats.org/officeDocument/2006/relationships/externalLink" Target="externalLinks/externalLink44.xml"/><Relationship Id="rId158" Type="http://schemas.openxmlformats.org/officeDocument/2006/relationships/externalLink" Target="externalLinks/externalLink6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8.xml"/><Relationship Id="rId132" Type="http://schemas.openxmlformats.org/officeDocument/2006/relationships/externalLink" Target="externalLinks/externalLink39.xml"/><Relationship Id="rId153" Type="http://schemas.openxmlformats.org/officeDocument/2006/relationships/externalLink" Target="externalLinks/externalLink60.xml"/><Relationship Id="rId174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86.xml"/><Relationship Id="rId19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3.xml"/><Relationship Id="rId12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1.xml"/><Relationship Id="rId99" Type="http://schemas.openxmlformats.org/officeDocument/2006/relationships/externalLink" Target="externalLinks/externalLink6.xml"/><Relationship Id="rId101" Type="http://schemas.openxmlformats.org/officeDocument/2006/relationships/externalLink" Target="externalLinks/externalLink8.xml"/><Relationship Id="rId122" Type="http://schemas.openxmlformats.org/officeDocument/2006/relationships/externalLink" Target="externalLinks/externalLink29.xml"/><Relationship Id="rId143" Type="http://schemas.openxmlformats.org/officeDocument/2006/relationships/externalLink" Target="externalLinks/externalLink50.xml"/><Relationship Id="rId148" Type="http://schemas.openxmlformats.org/officeDocument/2006/relationships/externalLink" Target="externalLinks/externalLink55.xml"/><Relationship Id="rId164" Type="http://schemas.openxmlformats.org/officeDocument/2006/relationships/externalLink" Target="externalLinks/externalLink71.xml"/><Relationship Id="rId169" Type="http://schemas.openxmlformats.org/officeDocument/2006/relationships/externalLink" Target="externalLinks/externalLink76.xml"/><Relationship Id="rId185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87.xml"/><Relationship Id="rId26" Type="http://schemas.openxmlformats.org/officeDocument/2006/relationships/worksheet" Target="worksheets/sheet26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965200</xdr:colOff>
          <xdr:row>0</xdr:row>
          <xdr:rowOff>0</xdr:rowOff>
        </xdr:from>
        <xdr:to>
          <xdr:col>8</xdr:col>
          <xdr:colOff>1028700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59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START MACRO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Alpine%20Meadow\Alpine%20Meadow%202018%20FC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anyonlands\63018FCPform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ascades%20at%20Orchard%20Park\NF%20FCP%20Forms-FY18%20Orchard%20Park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ascades%20at%20Riverwalk\NF%20FCP%20Forms-FY18%20Riverwalk%20(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entral%20Utah%20VH%20Payson\AV%20-%20118%20VA%20Payson%20-%20NF%20FCP%20Forms-FY18%20-%20Revise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ity%20Creek%20-en\246%20City%20Creek%206-30-18%20FCP%20Forms-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opper%20Ridge%20-en\266%20Copper%20Ridge%20-%20NF%20FCP%20Forms-amende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oral%20Desert%20-en\661%20Coral%20Desert%20NF%20FCP%20Forms-amend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ountry%20Life\Country%20Life%20NF%20FCP%20Forms-FY18%20(2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restwood\Crestwood%202018%20FCP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Draper%20-en\256%20Draper%20NF%20FCP%20Forms-amend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Alpine%20Meadow\Alpine%20Meadow%202018%20updated%20FCP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Emery%20County\1%20-%20NF%20FCP%20Forms-FY18%20(7)%20-%20Em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Fairview\FAIRVIEW%20FCP%20FY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Four%20Corners%20-BV%20plum\BV%20Four%20Corners%20NF%20FCP%20Forms-FY18-Fina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Garfield%20County\GF%20NF%20FCP%20Forms-FY18%20(REVISED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G.E.W.%20Ogden%20VH\AV%20-%20116%20VA%20Ogden%20-%20NF%20FCP%20Forms-FY18%20-%20Updated%2008-14-18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arrison%20Pointe%20-en\670%20Harrison%20Pointe%20-%20NF%20FCP%20Forms-amended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eritage%20Care\AV%20-%20102%20Heritage%20Care%20NF%20FCP%20Forms-FY18%20-%20Updated%2008-14-18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eritage%20Hills\AV%20-%20900%20Heritage%20Hills%20NF%20FCP%20Forms-FY18%20-%20Updated%2008-14-18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eritage%20Park%20-en\765%20Heritage%20Park%20FCP%20Forms-amended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ighland\NF%20FCP%20Forms-FY18%20-%20Highland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Avalon%20Bountiful\AV%20-%20107%20Bountiful%20NF%20FCP%20Forms-FY18%20-%20Updated%2008-14-18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olladay%20-en\249%20Holladay%20NF%20FCP%20Forms-amended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Hurricane%20-en\287%20Hurricane%20-%20NF%20FCP%20Forms-amended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Life%20Care%20-%20Bountiful\NF%20FCP%20Forms-FY18-State-Bountiful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Life%20Care%20-%20Salt%20Lake%20City\NF%20FCP%20Forms-FY18-State-SaltLakeCity-rev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Little%20Cottonwood\Little%20Cottonwood%202018%20FCP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Lomond%20Peak\LomondPeak2018FCP(updated10.25.18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eadow%20Brook\NF%20FCP%20Forms-FY18%20Meadowbrook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dtown%20Manor\MIDTOWN%20FCP%20FY18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dtown%20Manor\MIDTOWN%20FCP%20FY18%20adjusted%201-31-19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llard%20County\1-NF%20FCP%20Forms-FY18%20(7)%20-%20Millar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Avalon%20Valley\AV%20-%20903%20Valley%20Rehab%20-%20NF%20FCP%20Forms-FY18%20-%20Updated%2008-14-18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llcreek\Millcreek%202018%20FC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ssion%20at%20Alpine%20Rehab%20GVH\Alpine%206.30.18%20FCP%20Report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ssion%20at%20Bear%20River%20GVH\Bear%20River%202018%20FCP%20(2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ssion%20at%20Bear%20River%20GVH\Bear%20River%202018%20FCP%20(3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ssion%20at%20Community%20Rehab%20GVH\Community%20Living%202018%20FCP%20report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ission%20at%20Hillside%20Rehab%20GVH\Hillside%202018%20FCP%20Report%20(2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ountain%20View\MTN%20VIEW%20HEALTH%20FCP-FY18%20%20updated%20form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t%20Ogden%20-en\242%20Mt%20Ogden%206-30-18%20FCP%20Form-amended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Mt%20Olympus%20-BV%20plum\BVH_MtOlympus-FCP-FY06301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North%20Canyon\AV%20-%20111%20North%20Canyon%20NF%20FCP%20Forms-FY18%20-%20Updated%2008-14-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Bella%20Terra%20Cedar%20City\Bella%20Terra%20-%20Cedar%20Skilled%20REVISED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Orem%20-en\260%20Orem%20NF%20FCP%20Forms-amend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aramount%20-en\251%20Paramount%20NF%20FCP%20Forms-amended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arkdale%20-BV%20plum\BV%20Parkdale%20NF%20FCP%20Forms-FY18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arkway\1-NF%20FCP%20Forms-FY18%20(7)%20-%20Parkway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ine%20Creek\NF%20FCP%20Forms-FY18%20-%20Pinecreek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innacle%20-en\267%20Pinnacle%20NF%20FCP%20Forms-amended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ioneer\AV%20-%20110%20Pioneer%20NF%20FCP%20Forms-FY18%20-%20Updated%2008-14-18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ointe%20Meadows%20-en\697%20Pointe%20Meadows%20NF%20FCP%20Forms-amended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Provo%20-en\265%20Provo-%20NF%20FCP%20Forms-amended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ed%20Cliffs%20-BV%20plum\BV%20Red%20Cliffs%20NF%20FCP%20Forms-FY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Bella%20Terra%20St.%20George\Bella%20Terra%20%20-%20St.%20George%20REVISED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ichfield\AV%20-%20104%20Richfield%20NF%20FCP%20Forms-FY18%20-%20Updated%2008-14-18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Clearfield%20-%20BVH\Clearfield%20NF%20FCP%20Forms-FY1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BFS\Audit%20Unit\LONG%20TERM%20CARE%20FACILITIES\LTC%20Facilities%202018\'18%20FCP\FY18%20NH%20FCPs\RMC%20Clearfield%20-%20BVH\Clearfield%20NF%20FCP%20Forms-FY18%20(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Cottage%20on%20Vine%20-%20BVH\COV%20NF%20FCP%20Forms-FY1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Hunter%20Hollow%20-%20BVH\Hunter%20Hollow%20Updated%20NF%20FCP%20Forms-FY1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Logan%20-%20BVH\LOGAN%20NF%20FCP%20Forms-FY1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Mtn%20View%20-%20BVH\HEBER%20FCP%20Forms-FY18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Riverton%20-%20BVH\Revised%20Riverton%20NF%20FCP%20Forms-FY1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RMC%20Willow%20Springs%20-%20BVH\Tooele%20NF%20FCP%20Forms-FY18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andy%20-BV%20plum\BVH_Sandy-FCP-FY063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Bennion\AV%20-%20101%20Bennion%20NF%20FCP%20Forms-FY18%20-%20Updated%2008-14-18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easons\1%20-%20NF%20FCP%20Forms-FY18%20(7)%20-%20Season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outh%20Davis%20CCC\NF%20FCP%20Forms-FY18%20-%20SDCCC%20(BV)%20-%20Revised%20(2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outh%20Davis%20Specialty\NF%20FCP%20Forms-FY18%20-%20SDCH%20-%20revised%20(2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outh%20Ogden%20-BV%20plum\BV%20So%20Ogden%20NF%20FCP%20FY18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outhern%20Utah%20VH%20Ivins\AV%20-%20119%20VA%20Ivins%20-%20NF%20FCP%20Forms-FY18%20-%20Updated%2008-14-1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panish%20Fork\Spanish%20Fork%202018%20FCP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pring%20Creek%20-BV%20plum\BVH_SpringCreek-FCP-FY06302018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.%20George%20-en\668%20St%20George-%20NF%20FCP%20Forms-amended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.%20Joseph%20Villa%20-en\277%20St%20Joseph%20-%20NF%20FCP%20Forms-amended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Am.%20Fk.%2012-10-17\NF%20FCP%20Forms-FY18%20-%20American%20Fork%2012-10-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Brookdale\(4)Copy%20of%20Brookdale%20Salt%20Lake%202018%20FCB%20-%20Cost%20Report-Amended%20for%20Days%20and%20Revenue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Am.%20Fk.%20Kane%206-30-18\NF%20FCP%20Forms-FY18%20-%20American%20Fork%206-30-18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Cedar%20City%2012-10-17\NF%20FCP%20Forms-FY18%20-%20Cedar%20City%2012-10-17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Cedar%20City%20Kane%206-30-18\NF%20FCP%20Forms-FY18%20-%20Cedar%20City%2006-30-18%20(2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Ogden%2012-10-17\NF%20FCP%20Forms-FY18%20-%20Ogden%2012-10-17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Ogden%20Kane%206-30-18\NF%20FCP%20Forms-FY18%20-%20Ogden%206-30-18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Richfield%2012-10-17\NF%20FCP%20Forms-FY18%20-%20Richfield%2012-10-17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Richfield%20Kane%206-30-18\NF%20FCP%20Forms-FY18%20-%20Richfield%206-30-18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Springville%2012-10-17\NF%20FCP%20Forms-FY18%20-%20Springville%2012-10-17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tonehenge%20Springville%20Kane%206-30-18\NF%20FCP%20Forms-FY18%20-%20Springville%206-30-18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Sunshine%20Terrace\Sunshine%20Terrace%20Foundation%20NF%20FCP%20Forms-FY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Canyon%20Rim\AV-117%20Canyon%20Rim%20NF%20FCP%20Forms-FY18-Revised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Uintah%20Basin\46-5084%20Uintah%20Basin%20Rehab%20and%20Senior%20Villa%202018%20(2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Uintah%20Care\UHCSSD%20NF%20FCP%20Forms-FY18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VA%20Salt%20Lake,%20W.E.C.%20SLVH\AV%20-%20114%20VA%20SLC%20-%20NF%20FCP%20Forms-FY18%20-%20Updated%2008-14-18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Washington%20Terrace\522088947006%20Washington%20Terrace%20NF%20FCP%20Forms-FY18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Willow%20Glen\AV%20-%20115%20Willow%20Glen%20NF%20FCP%20Forms-FY18%20-%20Updated%2008-14-18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Willow%20Wood\AV%20-%20105%20Willow%20Wood%20-%20NF%20FCP%20Forms-FY18%20-%20Updated%2008-14-18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8\'18%20FCP\FY18%20NH%20FCPs\Woodland%20Park\AV%20-%20106%20Woodland%20Park%20-%20NF%20FCP%20Forms-FY18%20-%20Updated%2008-14-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854243</v>
          </cell>
          <cell r="G10">
            <v>-3150</v>
          </cell>
        </row>
        <row r="12">
          <cell r="E12">
            <v>561213</v>
          </cell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1415456</v>
          </cell>
          <cell r="G15">
            <v>-3150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1737</v>
          </cell>
          <cell r="G37">
            <v>0</v>
          </cell>
        </row>
        <row r="42">
          <cell r="E42">
            <v>1191612</v>
          </cell>
          <cell r="G42">
            <v>0</v>
          </cell>
        </row>
        <row r="47">
          <cell r="E47">
            <v>55986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4006</v>
          </cell>
          <cell r="G72">
            <v>0</v>
          </cell>
        </row>
        <row r="90">
          <cell r="C90">
            <v>228.67291822955738</v>
          </cell>
          <cell r="E90">
            <v>230.18593371059015</v>
          </cell>
          <cell r="G90">
            <v>224.37136929460581</v>
          </cell>
          <cell r="I90">
            <v>226.6204081632653</v>
          </cell>
        </row>
      </sheetData>
      <sheetData sheetId="6"/>
      <sheetData sheetId="7">
        <row r="10">
          <cell r="D10">
            <v>121505</v>
          </cell>
          <cell r="F10"/>
          <cell r="H10"/>
        </row>
        <row r="11">
          <cell r="D11"/>
          <cell r="F11"/>
          <cell r="H11"/>
        </row>
        <row r="12">
          <cell r="D12">
            <v>160156</v>
          </cell>
          <cell r="F12"/>
          <cell r="H12"/>
        </row>
        <row r="13">
          <cell r="D13">
            <v>88619</v>
          </cell>
          <cell r="F13"/>
          <cell r="H13"/>
        </row>
        <row r="14">
          <cell r="D14"/>
          <cell r="F14"/>
          <cell r="H14"/>
        </row>
        <row r="15">
          <cell r="D15">
            <v>1912</v>
          </cell>
          <cell r="F15"/>
          <cell r="H15"/>
        </row>
        <row r="16">
          <cell r="D16"/>
          <cell r="F16"/>
          <cell r="H16"/>
        </row>
        <row r="17">
          <cell r="D17">
            <v>23732</v>
          </cell>
          <cell r="F17">
            <v>-8000</v>
          </cell>
          <cell r="H17"/>
        </row>
        <row r="18">
          <cell r="D18">
            <v>3921</v>
          </cell>
          <cell r="F18"/>
          <cell r="H18"/>
        </row>
        <row r="19">
          <cell r="D19">
            <v>9491</v>
          </cell>
          <cell r="F19"/>
          <cell r="H19"/>
        </row>
        <row r="20">
          <cell r="D20">
            <v>8357</v>
          </cell>
          <cell r="F20"/>
          <cell r="H20"/>
        </row>
        <row r="21">
          <cell r="D21">
            <v>12734</v>
          </cell>
          <cell r="F21"/>
          <cell r="H21"/>
        </row>
        <row r="22">
          <cell r="D22"/>
          <cell r="F22"/>
          <cell r="H22"/>
        </row>
        <row r="23">
          <cell r="D23">
            <v>7100</v>
          </cell>
          <cell r="F23"/>
          <cell r="H23"/>
        </row>
        <row r="24">
          <cell r="D24">
            <v>4467</v>
          </cell>
          <cell r="F24"/>
          <cell r="H24"/>
        </row>
        <row r="25">
          <cell r="D25"/>
          <cell r="F25"/>
          <cell r="H25"/>
        </row>
        <row r="26">
          <cell r="D26">
            <v>233613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16389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616</v>
          </cell>
          <cell r="F35">
            <v>-616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-122</v>
          </cell>
          <cell r="F39"/>
          <cell r="H39"/>
        </row>
        <row r="40">
          <cell r="D40">
            <v>3071</v>
          </cell>
          <cell r="F40"/>
          <cell r="H40"/>
        </row>
        <row r="41">
          <cell r="D41">
            <v>11527</v>
          </cell>
          <cell r="F41"/>
          <cell r="H41"/>
        </row>
        <row r="42">
          <cell r="D42">
            <v>2473</v>
          </cell>
          <cell r="F42"/>
          <cell r="H42"/>
        </row>
        <row r="43">
          <cell r="D43">
            <v>5507</v>
          </cell>
          <cell r="F43"/>
          <cell r="H43"/>
        </row>
        <row r="44">
          <cell r="D44"/>
          <cell r="F44"/>
          <cell r="H44"/>
        </row>
        <row r="45">
          <cell r="D45">
            <v>1746</v>
          </cell>
          <cell r="F45">
            <v>-1350</v>
          </cell>
          <cell r="H45"/>
        </row>
        <row r="57">
          <cell r="D57"/>
          <cell r="F57"/>
          <cell r="H57"/>
        </row>
        <row r="58">
          <cell r="D58">
            <v>258786</v>
          </cell>
          <cell r="F58"/>
          <cell r="H58"/>
        </row>
        <row r="59">
          <cell r="D59">
            <v>82800</v>
          </cell>
          <cell r="F59"/>
          <cell r="H59"/>
        </row>
        <row r="60">
          <cell r="D60"/>
          <cell r="F60"/>
          <cell r="H60"/>
        </row>
        <row r="61">
          <cell r="D61">
            <v>6385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1652</v>
          </cell>
          <cell r="F65"/>
          <cell r="H65"/>
        </row>
        <row r="66">
          <cell r="D66"/>
          <cell r="F66"/>
          <cell r="H66"/>
        </row>
        <row r="67">
          <cell r="D67">
            <v>26317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/>
          <cell r="F75"/>
          <cell r="H75"/>
        </row>
        <row r="76">
          <cell r="D76"/>
          <cell r="F76"/>
          <cell r="H76"/>
        </row>
        <row r="77">
          <cell r="D77">
            <v>24266</v>
          </cell>
          <cell r="F77"/>
          <cell r="H77"/>
        </row>
        <row r="78">
          <cell r="D78"/>
          <cell r="F78"/>
          <cell r="H78"/>
        </row>
        <row r="79">
          <cell r="D79">
            <v>4943</v>
          </cell>
          <cell r="F79"/>
          <cell r="H79"/>
        </row>
        <row r="80">
          <cell r="D80"/>
          <cell r="F80"/>
          <cell r="H80"/>
        </row>
        <row r="81">
          <cell r="D81">
            <v>38364</v>
          </cell>
          <cell r="F81"/>
          <cell r="H81"/>
        </row>
        <row r="82">
          <cell r="D82">
            <v>9591</v>
          </cell>
          <cell r="F82"/>
          <cell r="H82"/>
        </row>
        <row r="83">
          <cell r="D83"/>
          <cell r="F83"/>
          <cell r="H83"/>
        </row>
        <row r="84">
          <cell r="D84">
            <v>75281</v>
          </cell>
          <cell r="F84"/>
          <cell r="H84"/>
        </row>
        <row r="85">
          <cell r="D85"/>
          <cell r="F85"/>
          <cell r="H85"/>
        </row>
        <row r="89">
          <cell r="D89"/>
          <cell r="F89"/>
          <cell r="H89"/>
        </row>
        <row r="90">
          <cell r="D90"/>
          <cell r="F90"/>
          <cell r="H90"/>
        </row>
        <row r="91">
          <cell r="D91">
            <v>258135</v>
          </cell>
          <cell r="F91"/>
          <cell r="H91"/>
        </row>
        <row r="92">
          <cell r="D92">
            <v>27343</v>
          </cell>
          <cell r="F92"/>
          <cell r="H92"/>
        </row>
        <row r="93">
          <cell r="D93"/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/>
          <cell r="F100"/>
          <cell r="H100"/>
        </row>
        <row r="101">
          <cell r="D101">
            <v>46548</v>
          </cell>
          <cell r="F101"/>
          <cell r="H101"/>
        </row>
        <row r="102">
          <cell r="D102">
            <v>3216</v>
          </cell>
          <cell r="F102"/>
          <cell r="H102"/>
        </row>
        <row r="103">
          <cell r="D103"/>
          <cell r="F103"/>
          <cell r="H103"/>
        </row>
        <row r="115">
          <cell r="D115">
            <v>128615</v>
          </cell>
          <cell r="F115"/>
          <cell r="H115"/>
        </row>
        <row r="116">
          <cell r="D116">
            <v>29641</v>
          </cell>
          <cell r="F116"/>
          <cell r="H116"/>
        </row>
        <row r="117">
          <cell r="D117">
            <v>32463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>
            <v>84018</v>
          </cell>
          <cell r="F124"/>
          <cell r="H124"/>
        </row>
        <row r="125">
          <cell r="D125"/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/>
          <cell r="F128"/>
          <cell r="H128"/>
        </row>
        <row r="130">
          <cell r="D130">
            <v>23748</v>
          </cell>
          <cell r="F130"/>
          <cell r="H130"/>
        </row>
        <row r="131">
          <cell r="D131"/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/>
          <cell r="H134"/>
        </row>
        <row r="136">
          <cell r="D136">
            <v>542594</v>
          </cell>
          <cell r="F136"/>
          <cell r="H136"/>
        </row>
        <row r="137">
          <cell r="D137">
            <v>157740</v>
          </cell>
          <cell r="F137"/>
          <cell r="H137"/>
        </row>
        <row r="138">
          <cell r="D138">
            <v>692530</v>
          </cell>
          <cell r="F138"/>
          <cell r="H138"/>
        </row>
        <row r="139">
          <cell r="D139"/>
          <cell r="F139"/>
          <cell r="H139"/>
        </row>
        <row r="141">
          <cell r="D141">
            <v>117068</v>
          </cell>
          <cell r="F141"/>
          <cell r="H141"/>
        </row>
        <row r="142">
          <cell r="D142">
            <v>44410</v>
          </cell>
          <cell r="F142"/>
          <cell r="H142"/>
        </row>
        <row r="143">
          <cell r="D143">
            <v>186137</v>
          </cell>
          <cell r="F143"/>
          <cell r="H143"/>
        </row>
        <row r="144">
          <cell r="D144"/>
          <cell r="F144"/>
          <cell r="H144"/>
        </row>
        <row r="146">
          <cell r="D146">
            <v>15000</v>
          </cell>
          <cell r="F146"/>
          <cell r="H146"/>
        </row>
        <row r="147">
          <cell r="D147">
            <v>4535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/>
          <cell r="F150"/>
          <cell r="H150"/>
        </row>
        <row r="151">
          <cell r="D151">
            <v>71001</v>
          </cell>
          <cell r="F151"/>
          <cell r="H151"/>
        </row>
        <row r="152">
          <cell r="D152">
            <v>12771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>
            <v>10545</v>
          </cell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368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1457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465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67677</v>
          </cell>
          <cell r="F211"/>
          <cell r="H211"/>
        </row>
        <row r="212">
          <cell r="D212">
            <v>21173</v>
          </cell>
          <cell r="F212"/>
          <cell r="H212"/>
        </row>
        <row r="213">
          <cell r="D213">
            <v>8054</v>
          </cell>
          <cell r="F213"/>
          <cell r="H213"/>
        </row>
        <row r="214">
          <cell r="D214">
            <v>5568</v>
          </cell>
          <cell r="F214"/>
          <cell r="H214"/>
        </row>
        <row r="215">
          <cell r="D215"/>
          <cell r="F215"/>
          <cell r="H215"/>
        </row>
        <row r="216">
          <cell r="D216">
            <v>-1</v>
          </cell>
          <cell r="F216"/>
          <cell r="H216"/>
        </row>
        <row r="221">
          <cell r="D221">
            <v>3838018</v>
          </cell>
        </row>
      </sheetData>
      <sheetData sheetId="8"/>
      <sheetData sheetId="9"/>
      <sheetData sheetId="10">
        <row r="9">
          <cell r="C9">
            <v>5651</v>
          </cell>
          <cell r="D9"/>
          <cell r="E9"/>
          <cell r="F9"/>
          <cell r="G9">
            <v>9</v>
          </cell>
          <cell r="H9">
            <v>5241</v>
          </cell>
          <cell r="I9">
            <v>352</v>
          </cell>
          <cell r="J9"/>
          <cell r="K9"/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0.85639269406392693</v>
          </cell>
        </row>
        <row r="32">
          <cell r="N32">
            <v>0.43006088280060883</v>
          </cell>
        </row>
        <row r="34">
          <cell r="N34">
            <v>0.50217719719185994</v>
          </cell>
        </row>
      </sheetData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1520290</v>
          </cell>
          <cell r="G10">
            <v>0</v>
          </cell>
        </row>
        <row r="12">
          <cell r="E12">
            <v>1139065</v>
          </cell>
          <cell r="G12"/>
        </row>
        <row r="13">
          <cell r="E13">
            <v>1721</v>
          </cell>
          <cell r="G13"/>
        </row>
        <row r="14">
          <cell r="E14">
            <v>66230</v>
          </cell>
          <cell r="G14"/>
        </row>
        <row r="15">
          <cell r="E15">
            <v>2727306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1445891</v>
          </cell>
          <cell r="G26">
            <v>0</v>
          </cell>
        </row>
        <row r="32">
          <cell r="E32">
            <v>418549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644671</v>
          </cell>
          <cell r="G42">
            <v>0</v>
          </cell>
        </row>
        <row r="47">
          <cell r="E47">
            <v>0</v>
          </cell>
          <cell r="G47">
            <v>407756</v>
          </cell>
        </row>
        <row r="52">
          <cell r="E52">
            <v>430294</v>
          </cell>
          <cell r="G52">
            <v>-407756</v>
          </cell>
        </row>
        <row r="57">
          <cell r="E57">
            <v>0</v>
          </cell>
          <cell r="G57">
            <v>0</v>
          </cell>
        </row>
        <row r="72">
          <cell r="E72">
            <v>5822</v>
          </cell>
          <cell r="G72">
            <v>0</v>
          </cell>
        </row>
        <row r="90">
          <cell r="C90">
            <v>264.64326765188832</v>
          </cell>
          <cell r="E90">
            <v>264.64326765188838</v>
          </cell>
          <cell r="G90">
            <v>264.64326765188832</v>
          </cell>
          <cell r="I90">
            <v>264.64326765188832</v>
          </cell>
        </row>
      </sheetData>
      <sheetData sheetId="6"/>
      <sheetData sheetId="7">
        <row r="10">
          <cell r="D10">
            <v>90000</v>
          </cell>
          <cell r="F10"/>
          <cell r="H10"/>
        </row>
        <row r="11">
          <cell r="D11"/>
          <cell r="F11"/>
          <cell r="H11"/>
        </row>
        <row r="12">
          <cell r="D12">
            <v>83846</v>
          </cell>
          <cell r="F12"/>
          <cell r="H12"/>
        </row>
        <row r="13">
          <cell r="D13">
            <v>61721</v>
          </cell>
          <cell r="F13"/>
          <cell r="H13"/>
        </row>
        <row r="14">
          <cell r="D14"/>
          <cell r="F14"/>
          <cell r="H14"/>
        </row>
        <row r="15">
          <cell r="D15">
            <v>463820</v>
          </cell>
          <cell r="F15"/>
          <cell r="H15">
            <v>-463820</v>
          </cell>
        </row>
        <row r="16">
          <cell r="D16">
            <v>190932</v>
          </cell>
          <cell r="F16"/>
          <cell r="H16">
            <v>-26935</v>
          </cell>
        </row>
        <row r="17">
          <cell r="D17">
            <v>33</v>
          </cell>
          <cell r="F17">
            <v>-33</v>
          </cell>
          <cell r="H17"/>
        </row>
        <row r="18">
          <cell r="D18">
            <v>16673</v>
          </cell>
          <cell r="F18"/>
          <cell r="H18"/>
        </row>
        <row r="19">
          <cell r="D19">
            <v>16775</v>
          </cell>
          <cell r="F19"/>
          <cell r="H19"/>
        </row>
        <row r="20">
          <cell r="D20">
            <v>10402</v>
          </cell>
          <cell r="F20"/>
          <cell r="H20"/>
        </row>
        <row r="21">
          <cell r="D21">
            <v>8301</v>
          </cell>
          <cell r="F21"/>
          <cell r="H21"/>
        </row>
        <row r="22">
          <cell r="D22"/>
          <cell r="F22"/>
          <cell r="H22"/>
        </row>
        <row r="23">
          <cell r="D23">
            <v>15468</v>
          </cell>
          <cell r="F23"/>
          <cell r="H23"/>
        </row>
        <row r="24">
          <cell r="D24">
            <v>1723</v>
          </cell>
          <cell r="F24"/>
          <cell r="H24"/>
        </row>
        <row r="25">
          <cell r="D25"/>
          <cell r="F25"/>
          <cell r="H25"/>
        </row>
        <row r="26">
          <cell r="D26">
            <v>254373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435974</v>
          </cell>
          <cell r="F29">
            <v>-435974</v>
          </cell>
          <cell r="H29"/>
        </row>
        <row r="30">
          <cell r="D30"/>
          <cell r="F30">
            <v>0</v>
          </cell>
          <cell r="H30"/>
        </row>
        <row r="31">
          <cell r="D31">
            <v>32856</v>
          </cell>
          <cell r="F31"/>
          <cell r="H31"/>
        </row>
        <row r="32">
          <cell r="D32">
            <v>17173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18196</v>
          </cell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3309</v>
          </cell>
          <cell r="F39"/>
          <cell r="H39">
            <v>190</v>
          </cell>
        </row>
        <row r="40">
          <cell r="D40"/>
          <cell r="F40"/>
          <cell r="H40"/>
        </row>
        <row r="41">
          <cell r="D41">
            <v>20074</v>
          </cell>
          <cell r="F41"/>
          <cell r="H41"/>
        </row>
        <row r="42">
          <cell r="D42">
            <v>4159</v>
          </cell>
          <cell r="F42"/>
          <cell r="H42"/>
        </row>
        <row r="43">
          <cell r="D43">
            <v>6868</v>
          </cell>
          <cell r="F43">
            <v>-6868</v>
          </cell>
          <cell r="H43"/>
        </row>
        <row r="44">
          <cell r="D44"/>
          <cell r="F44"/>
          <cell r="H44"/>
        </row>
        <row r="45">
          <cell r="D45">
            <v>11398</v>
          </cell>
          <cell r="F45">
            <v>-4912</v>
          </cell>
          <cell r="H45"/>
        </row>
        <row r="57">
          <cell r="D57">
            <v>492756</v>
          </cell>
          <cell r="F57"/>
          <cell r="H57">
            <v>-492756</v>
          </cell>
        </row>
        <row r="58">
          <cell r="D58"/>
          <cell r="F58"/>
          <cell r="H58">
            <v>198684</v>
          </cell>
        </row>
        <row r="59">
          <cell r="D59"/>
          <cell r="F59"/>
          <cell r="H59">
            <v>198270</v>
          </cell>
        </row>
        <row r="60">
          <cell r="D60">
            <v>25200</v>
          </cell>
          <cell r="F60"/>
          <cell r="H60"/>
        </row>
        <row r="61">
          <cell r="D61">
            <v>8692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2813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45239</v>
          </cell>
          <cell r="F75"/>
          <cell r="H75"/>
        </row>
        <row r="76">
          <cell r="D76">
            <v>9150</v>
          </cell>
          <cell r="F76"/>
          <cell r="H76"/>
        </row>
        <row r="77">
          <cell r="D77">
            <v>20948</v>
          </cell>
          <cell r="F77"/>
          <cell r="H77"/>
        </row>
        <row r="78">
          <cell r="D78">
            <v>32632</v>
          </cell>
          <cell r="F78"/>
          <cell r="H78"/>
        </row>
        <row r="79">
          <cell r="D79">
            <v>9256</v>
          </cell>
          <cell r="F79"/>
          <cell r="H79"/>
        </row>
        <row r="80">
          <cell r="D80">
            <v>14190</v>
          </cell>
          <cell r="F80"/>
          <cell r="H80"/>
        </row>
        <row r="81">
          <cell r="D81">
            <v>9670</v>
          </cell>
          <cell r="F81"/>
          <cell r="H81"/>
        </row>
        <row r="82">
          <cell r="D82">
            <v>8738</v>
          </cell>
          <cell r="F82"/>
          <cell r="H82"/>
        </row>
        <row r="83">
          <cell r="D83">
            <v>230</v>
          </cell>
          <cell r="F83"/>
          <cell r="H83"/>
        </row>
        <row r="84">
          <cell r="D84">
            <v>53068</v>
          </cell>
          <cell r="F84"/>
          <cell r="H84"/>
        </row>
        <row r="85">
          <cell r="D85"/>
          <cell r="F85"/>
          <cell r="H85"/>
        </row>
        <row r="89">
          <cell r="D89">
            <v>155553</v>
          </cell>
          <cell r="F89"/>
          <cell r="H89"/>
        </row>
        <row r="90">
          <cell r="D90">
            <v>22049</v>
          </cell>
          <cell r="F90"/>
          <cell r="H90"/>
        </row>
        <row r="91">
          <cell r="D91">
            <v>14166</v>
          </cell>
          <cell r="F91"/>
          <cell r="H91"/>
        </row>
        <row r="92">
          <cell r="D92">
            <v>109339</v>
          </cell>
          <cell r="F92"/>
          <cell r="H92"/>
        </row>
        <row r="93">
          <cell r="D93">
            <v>12554</v>
          </cell>
          <cell r="F93"/>
          <cell r="H93"/>
        </row>
        <row r="94">
          <cell r="D94"/>
          <cell r="F94"/>
          <cell r="H94"/>
        </row>
        <row r="98">
          <cell r="D98">
            <v>4387</v>
          </cell>
          <cell r="F98"/>
          <cell r="H98"/>
        </row>
        <row r="99">
          <cell r="D99">
            <v>358</v>
          </cell>
          <cell r="F99"/>
          <cell r="H99"/>
        </row>
        <row r="100">
          <cell r="D100">
            <v>1507</v>
          </cell>
          <cell r="F100"/>
          <cell r="H100"/>
        </row>
        <row r="101">
          <cell r="D101"/>
          <cell r="F101"/>
          <cell r="H101"/>
        </row>
        <row r="102">
          <cell r="D102">
            <v>1407</v>
          </cell>
          <cell r="F102"/>
          <cell r="H102"/>
        </row>
        <row r="103">
          <cell r="D103"/>
          <cell r="F103"/>
          <cell r="H103"/>
        </row>
        <row r="115">
          <cell r="D115">
            <v>62592</v>
          </cell>
          <cell r="F115"/>
          <cell r="H115"/>
        </row>
        <row r="116">
          <cell r="D116">
            <v>5255</v>
          </cell>
          <cell r="F116"/>
          <cell r="H116"/>
        </row>
        <row r="117">
          <cell r="D117">
            <v>16274</v>
          </cell>
          <cell r="F117"/>
          <cell r="H117"/>
        </row>
        <row r="118">
          <cell r="D118">
            <v>360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98064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229793</v>
          </cell>
          <cell r="F128"/>
          <cell r="H128"/>
        </row>
        <row r="130">
          <cell r="D130"/>
          <cell r="F130"/>
          <cell r="H130"/>
        </row>
        <row r="131">
          <cell r="D131">
            <v>142181</v>
          </cell>
          <cell r="F131">
            <v>-126423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36924</v>
          </cell>
          <cell r="H134"/>
        </row>
        <row r="136">
          <cell r="D136">
            <v>371702</v>
          </cell>
          <cell r="F136"/>
          <cell r="H136"/>
        </row>
        <row r="137">
          <cell r="D137">
            <v>185283</v>
          </cell>
          <cell r="F137"/>
          <cell r="H137"/>
        </row>
        <row r="138">
          <cell r="D138">
            <v>471382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59727</v>
          </cell>
          <cell r="H141"/>
        </row>
        <row r="142">
          <cell r="D142"/>
          <cell r="F142">
            <v>29772</v>
          </cell>
          <cell r="H142"/>
        </row>
        <row r="143">
          <cell r="D143">
            <v>37754</v>
          </cell>
          <cell r="F143"/>
          <cell r="H143"/>
        </row>
        <row r="144">
          <cell r="D144"/>
          <cell r="F144"/>
          <cell r="H144"/>
        </row>
        <row r="146">
          <cell r="D146">
            <v>18000</v>
          </cell>
          <cell r="F146"/>
          <cell r="H146"/>
        </row>
        <row r="147">
          <cell r="D147">
            <v>9171</v>
          </cell>
          <cell r="F147"/>
          <cell r="H147"/>
        </row>
        <row r="148">
          <cell r="D148">
            <v>764</v>
          </cell>
          <cell r="F148"/>
          <cell r="H148"/>
        </row>
        <row r="149">
          <cell r="D149">
            <v>169</v>
          </cell>
          <cell r="F149"/>
          <cell r="H149"/>
        </row>
        <row r="150">
          <cell r="D150">
            <v>4621</v>
          </cell>
          <cell r="F150"/>
          <cell r="H150"/>
        </row>
        <row r="151">
          <cell r="D151">
            <v>73473</v>
          </cell>
          <cell r="F151"/>
          <cell r="H151"/>
        </row>
        <row r="152">
          <cell r="D152">
            <v>1594</v>
          </cell>
          <cell r="F152"/>
          <cell r="H152"/>
        </row>
        <row r="153">
          <cell r="D153">
            <v>6873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73688</v>
          </cell>
          <cell r="F161">
            <v>-910</v>
          </cell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260443</v>
          </cell>
          <cell r="F194"/>
          <cell r="H194"/>
        </row>
        <row r="195">
          <cell r="D195">
            <v>31805</v>
          </cell>
          <cell r="F195"/>
          <cell r="H195"/>
        </row>
        <row r="196">
          <cell r="D196"/>
          <cell r="F196"/>
          <cell r="H196"/>
        </row>
        <row r="197">
          <cell r="D197">
            <v>264987</v>
          </cell>
          <cell r="F197"/>
          <cell r="H197"/>
        </row>
        <row r="198">
          <cell r="D198">
            <v>20344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182644</v>
          </cell>
          <cell r="F205"/>
          <cell r="H205"/>
        </row>
        <row r="206">
          <cell r="D206">
            <v>250</v>
          </cell>
          <cell r="F206"/>
          <cell r="H206"/>
        </row>
        <row r="207">
          <cell r="D207"/>
          <cell r="F207"/>
          <cell r="H207"/>
        </row>
        <row r="211">
          <cell r="D211">
            <v>65453</v>
          </cell>
          <cell r="F211"/>
          <cell r="H211"/>
        </row>
        <row r="212">
          <cell r="D212">
            <v>5395</v>
          </cell>
          <cell r="F212"/>
          <cell r="H212"/>
        </row>
        <row r="213">
          <cell r="D213">
            <v>12523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6914</v>
          </cell>
          <cell r="F216"/>
          <cell r="H216"/>
        </row>
        <row r="221">
          <cell r="D221">
            <v>5477727</v>
          </cell>
        </row>
      </sheetData>
      <sheetData sheetId="8"/>
      <sheetData sheetId="9"/>
      <sheetData sheetId="10">
        <row r="9">
          <cell r="C9">
            <v>7646</v>
          </cell>
          <cell r="D9"/>
          <cell r="E9">
            <v>2340</v>
          </cell>
          <cell r="F9">
            <v>877</v>
          </cell>
          <cell r="G9"/>
          <cell r="H9">
            <v>2436</v>
          </cell>
          <cell r="I9">
            <v>1972</v>
          </cell>
          <cell r="J9">
            <v>109</v>
          </cell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18980</v>
          </cell>
        </row>
        <row r="30">
          <cell r="N30">
            <v>0.81032665964172812</v>
          </cell>
        </row>
        <row r="32">
          <cell r="N32">
            <v>0.40284510010537405</v>
          </cell>
        </row>
        <row r="34">
          <cell r="N34">
            <v>0.49713914174252272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2612270</v>
          </cell>
          <cell r="G10">
            <v>0</v>
          </cell>
        </row>
        <row r="12">
          <cell r="E12"/>
          <cell r="G12">
            <v>1904583</v>
          </cell>
        </row>
        <row r="13">
          <cell r="E13">
            <v>12828</v>
          </cell>
          <cell r="G13"/>
        </row>
        <row r="14">
          <cell r="E14">
            <v>25065</v>
          </cell>
          <cell r="G14"/>
        </row>
        <row r="15">
          <cell r="E15">
            <v>2650163</v>
          </cell>
          <cell r="G15">
            <v>1904583</v>
          </cell>
        </row>
        <row r="20">
          <cell r="E20">
            <v>0</v>
          </cell>
          <cell r="G20">
            <v>0</v>
          </cell>
        </row>
        <row r="26">
          <cell r="E26">
            <v>3612614</v>
          </cell>
          <cell r="G26">
            <v>0</v>
          </cell>
        </row>
        <row r="32">
          <cell r="E32">
            <v>1877200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663275</v>
          </cell>
          <cell r="G42">
            <v>0</v>
          </cell>
        </row>
        <row r="47">
          <cell r="E47">
            <v>0</v>
          </cell>
          <cell r="G47">
            <v>353474</v>
          </cell>
        </row>
        <row r="52">
          <cell r="E52">
            <v>414431</v>
          </cell>
          <cell r="G52">
            <v>-353474</v>
          </cell>
        </row>
        <row r="57">
          <cell r="E57">
            <v>0</v>
          </cell>
          <cell r="G57">
            <v>0</v>
          </cell>
        </row>
        <row r="72">
          <cell r="E72">
            <v>1940</v>
          </cell>
          <cell r="G72">
            <v>0</v>
          </cell>
        </row>
      </sheetData>
      <sheetData sheetId="6"/>
      <sheetData sheetId="7">
        <row r="10">
          <cell r="D10">
            <v>90222</v>
          </cell>
          <cell r="F10"/>
          <cell r="H10"/>
        </row>
        <row r="11">
          <cell r="D11"/>
          <cell r="F11"/>
          <cell r="H11"/>
        </row>
        <row r="12">
          <cell r="D12">
            <v>258465</v>
          </cell>
          <cell r="F12"/>
          <cell r="H12"/>
        </row>
        <row r="13">
          <cell r="D13">
            <v>105482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244542</v>
          </cell>
          <cell r="F16"/>
          <cell r="H16">
            <v>-34498</v>
          </cell>
        </row>
        <row r="17">
          <cell r="D17">
            <v>250</v>
          </cell>
          <cell r="F17">
            <v>-250</v>
          </cell>
          <cell r="H17"/>
        </row>
        <row r="18">
          <cell r="D18">
            <v>16194</v>
          </cell>
          <cell r="F18"/>
          <cell r="H18"/>
        </row>
        <row r="19">
          <cell r="D19">
            <v>35387</v>
          </cell>
          <cell r="F19"/>
          <cell r="H19"/>
        </row>
        <row r="20">
          <cell r="D20">
            <v>27457</v>
          </cell>
          <cell r="F20"/>
          <cell r="H20"/>
        </row>
        <row r="21">
          <cell r="D21">
            <v>50243</v>
          </cell>
          <cell r="F21"/>
          <cell r="H21"/>
        </row>
        <row r="22">
          <cell r="D22"/>
          <cell r="F22"/>
          <cell r="H22"/>
        </row>
        <row r="23">
          <cell r="D23">
            <v>26609</v>
          </cell>
          <cell r="F23"/>
          <cell r="H23"/>
        </row>
        <row r="24">
          <cell r="D24">
            <v>5581</v>
          </cell>
          <cell r="F24"/>
          <cell r="H24"/>
        </row>
        <row r="25">
          <cell r="D25"/>
          <cell r="F25"/>
          <cell r="H25"/>
        </row>
        <row r="26">
          <cell r="D26">
            <v>372093</v>
          </cell>
          <cell r="F26"/>
          <cell r="H26"/>
        </row>
        <row r="27">
          <cell r="D27"/>
          <cell r="F27"/>
          <cell r="H27"/>
        </row>
        <row r="28">
          <cell r="H28"/>
        </row>
        <row r="29">
          <cell r="H29"/>
        </row>
        <row r="30">
          <cell r="D30"/>
          <cell r="F30">
            <v>0</v>
          </cell>
          <cell r="H30"/>
        </row>
        <row r="31">
          <cell r="D31">
            <v>38504</v>
          </cell>
          <cell r="F31"/>
          <cell r="H31"/>
        </row>
        <row r="32">
          <cell r="D32">
            <v>24296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179</v>
          </cell>
          <cell r="F35">
            <v>-179</v>
          </cell>
          <cell r="H35"/>
        </row>
        <row r="36">
          <cell r="D36">
            <v>53442</v>
          </cell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9671</v>
          </cell>
          <cell r="F39"/>
          <cell r="H39">
            <v>202</v>
          </cell>
        </row>
        <row r="40">
          <cell r="D40"/>
          <cell r="F40"/>
          <cell r="H40"/>
        </row>
        <row r="41">
          <cell r="D41">
            <v>69209</v>
          </cell>
          <cell r="F41"/>
          <cell r="H41"/>
        </row>
        <row r="42">
          <cell r="D42">
            <v>3684</v>
          </cell>
          <cell r="F42"/>
          <cell r="H42"/>
        </row>
        <row r="43">
          <cell r="D43">
            <v>14753</v>
          </cell>
          <cell r="F43">
            <v>-14753</v>
          </cell>
          <cell r="H43"/>
        </row>
        <row r="44">
          <cell r="D44"/>
          <cell r="F44"/>
          <cell r="H44"/>
        </row>
        <row r="45">
          <cell r="D45">
            <v>13819</v>
          </cell>
          <cell r="F45">
            <v>-1940</v>
          </cell>
          <cell r="H45"/>
        </row>
        <row r="57">
          <cell r="D57">
            <v>808122</v>
          </cell>
          <cell r="F57"/>
          <cell r="H57">
            <v>-808122</v>
          </cell>
        </row>
        <row r="58">
          <cell r="D58"/>
          <cell r="F58"/>
          <cell r="H58">
            <v>378890</v>
          </cell>
        </row>
        <row r="59">
          <cell r="D59"/>
          <cell r="F59"/>
          <cell r="H59">
            <v>416200</v>
          </cell>
        </row>
        <row r="60">
          <cell r="D60">
            <v>152019</v>
          </cell>
          <cell r="F60"/>
          <cell r="H60"/>
        </row>
        <row r="61">
          <cell r="D61">
            <v>8013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25944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256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47777</v>
          </cell>
          <cell r="F75"/>
          <cell r="H75"/>
        </row>
        <row r="76">
          <cell r="D76">
            <v>6362</v>
          </cell>
          <cell r="F76"/>
          <cell r="H76"/>
        </row>
        <row r="77">
          <cell r="D77">
            <v>14573</v>
          </cell>
          <cell r="F77"/>
          <cell r="H77"/>
        </row>
        <row r="78">
          <cell r="D78">
            <v>51054</v>
          </cell>
          <cell r="F78"/>
          <cell r="H78"/>
        </row>
        <row r="79">
          <cell r="D79">
            <v>8957</v>
          </cell>
          <cell r="F79"/>
          <cell r="H79"/>
        </row>
        <row r="80">
          <cell r="D80">
            <v>40039</v>
          </cell>
          <cell r="F80"/>
          <cell r="H80"/>
        </row>
        <row r="81">
          <cell r="D81">
            <v>1160</v>
          </cell>
          <cell r="F81"/>
          <cell r="H81"/>
        </row>
        <row r="82">
          <cell r="D82">
            <v>13501</v>
          </cell>
          <cell r="F82"/>
          <cell r="H82"/>
        </row>
        <row r="83">
          <cell r="D83">
            <v>1186</v>
          </cell>
          <cell r="F83"/>
          <cell r="H83"/>
        </row>
        <row r="84">
          <cell r="D84">
            <v>154745</v>
          </cell>
          <cell r="F84"/>
          <cell r="H84"/>
        </row>
        <row r="85">
          <cell r="D85"/>
          <cell r="F85"/>
          <cell r="H85"/>
        </row>
        <row r="89">
          <cell r="D89">
            <v>272042</v>
          </cell>
          <cell r="F89"/>
          <cell r="H89"/>
        </row>
        <row r="90">
          <cell r="D90">
            <v>30114</v>
          </cell>
          <cell r="F90"/>
          <cell r="H90"/>
        </row>
        <row r="91">
          <cell r="D91">
            <v>16049</v>
          </cell>
          <cell r="F91"/>
          <cell r="H91"/>
        </row>
        <row r="92">
          <cell r="D92">
            <v>236681</v>
          </cell>
          <cell r="F92"/>
          <cell r="H92"/>
        </row>
        <row r="93">
          <cell r="D93">
            <v>21069</v>
          </cell>
          <cell r="F93"/>
          <cell r="H93"/>
        </row>
        <row r="94">
          <cell r="D94"/>
          <cell r="F94"/>
          <cell r="H94"/>
        </row>
        <row r="98">
          <cell r="D98">
            <v>84</v>
          </cell>
          <cell r="F98"/>
          <cell r="H98"/>
        </row>
        <row r="99">
          <cell r="D99">
            <v>7</v>
          </cell>
          <cell r="F99"/>
          <cell r="H99"/>
        </row>
        <row r="100">
          <cell r="D100">
            <v>1871</v>
          </cell>
          <cell r="F100"/>
          <cell r="H100"/>
        </row>
        <row r="101">
          <cell r="D101"/>
          <cell r="F101"/>
          <cell r="H101"/>
        </row>
        <row r="102">
          <cell r="D102">
            <v>3829</v>
          </cell>
          <cell r="F102"/>
          <cell r="H102"/>
        </row>
        <row r="103">
          <cell r="D103"/>
          <cell r="F103"/>
          <cell r="H103"/>
        </row>
        <row r="115">
          <cell r="D115">
            <v>126831</v>
          </cell>
          <cell r="F115"/>
          <cell r="H115"/>
        </row>
        <row r="116">
          <cell r="D116">
            <v>20274</v>
          </cell>
          <cell r="F116"/>
          <cell r="H116"/>
        </row>
        <row r="117">
          <cell r="D117">
            <v>30897</v>
          </cell>
          <cell r="F117"/>
          <cell r="H117"/>
        </row>
        <row r="118">
          <cell r="D118">
            <v>2409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99860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443448</v>
          </cell>
          <cell r="F128"/>
          <cell r="H128"/>
        </row>
        <row r="130">
          <cell r="D130"/>
          <cell r="F130"/>
          <cell r="H130"/>
        </row>
        <row r="131">
          <cell r="D131">
            <v>306373</v>
          </cell>
          <cell r="F131">
            <v>-289734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73893</v>
          </cell>
          <cell r="H134"/>
        </row>
        <row r="136">
          <cell r="D136">
            <v>956310</v>
          </cell>
          <cell r="F136"/>
          <cell r="H136"/>
        </row>
        <row r="137">
          <cell r="D137">
            <v>339010</v>
          </cell>
          <cell r="F137"/>
          <cell r="H137"/>
        </row>
        <row r="138">
          <cell r="D138">
            <v>1123934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159351</v>
          </cell>
          <cell r="H141"/>
        </row>
        <row r="142">
          <cell r="D142"/>
          <cell r="F142">
            <v>56490</v>
          </cell>
          <cell r="H142"/>
        </row>
        <row r="143">
          <cell r="D143">
            <v>91308</v>
          </cell>
          <cell r="F143"/>
          <cell r="H143"/>
        </row>
        <row r="144">
          <cell r="D144"/>
          <cell r="F144"/>
          <cell r="H144"/>
        </row>
        <row r="146">
          <cell r="D146">
            <v>46933</v>
          </cell>
          <cell r="F146"/>
          <cell r="H146"/>
        </row>
        <row r="147">
          <cell r="D147">
            <v>119474</v>
          </cell>
          <cell r="F147"/>
          <cell r="H147"/>
        </row>
        <row r="148">
          <cell r="D148">
            <v>39466</v>
          </cell>
          <cell r="F148"/>
          <cell r="H148"/>
        </row>
        <row r="149">
          <cell r="D149">
            <v>56547</v>
          </cell>
          <cell r="F149"/>
          <cell r="H149"/>
        </row>
        <row r="150">
          <cell r="D150">
            <v>7470</v>
          </cell>
          <cell r="F150"/>
          <cell r="H150"/>
        </row>
        <row r="151">
          <cell r="D151">
            <v>158025</v>
          </cell>
          <cell r="F151"/>
          <cell r="H151"/>
        </row>
        <row r="152">
          <cell r="D152">
            <v>9375</v>
          </cell>
          <cell r="F152"/>
          <cell r="H152"/>
        </row>
        <row r="153">
          <cell r="D153">
            <v>16441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77074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611710</v>
          </cell>
          <cell r="F194"/>
          <cell r="H194"/>
        </row>
        <row r="195">
          <cell r="D195">
            <v>110427</v>
          </cell>
          <cell r="F195"/>
          <cell r="H195"/>
        </row>
        <row r="196">
          <cell r="D196"/>
          <cell r="F196"/>
          <cell r="H196"/>
        </row>
        <row r="197">
          <cell r="D197">
            <v>589831</v>
          </cell>
          <cell r="F197"/>
          <cell r="H197"/>
        </row>
        <row r="198">
          <cell r="D198">
            <v>85968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495422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139922</v>
          </cell>
          <cell r="F211"/>
          <cell r="H211"/>
        </row>
        <row r="212">
          <cell r="D212">
            <v>27186</v>
          </cell>
          <cell r="F212"/>
          <cell r="H212"/>
        </row>
        <row r="213">
          <cell r="D213">
            <v>5150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9778</v>
          </cell>
          <cell r="F216"/>
          <cell r="H216"/>
        </row>
        <row r="221">
          <cell r="D221">
            <v>10439170</v>
          </cell>
        </row>
      </sheetData>
      <sheetData sheetId="8"/>
      <sheetData sheetId="9"/>
      <sheetData sheetId="10">
        <row r="9">
          <cell r="C9">
            <v>13296</v>
          </cell>
          <cell r="D9"/>
          <cell r="E9">
            <v>6550</v>
          </cell>
          <cell r="F9">
            <v>4872</v>
          </cell>
          <cell r="G9"/>
          <cell r="H9">
            <v>2294</v>
          </cell>
          <cell r="I9">
            <v>1815</v>
          </cell>
          <cell r="J9">
            <v>313</v>
          </cell>
          <cell r="K9"/>
        </row>
        <row r="22">
          <cell r="N22">
            <v>120</v>
          </cell>
        </row>
        <row r="24">
          <cell r="N24">
            <v>54</v>
          </cell>
        </row>
        <row r="28">
          <cell r="N28">
            <v>43800</v>
          </cell>
        </row>
        <row r="30">
          <cell r="N30">
            <v>0.66529680365296806</v>
          </cell>
        </row>
        <row r="32">
          <cell r="N32">
            <v>0.30356164383561646</v>
          </cell>
        </row>
        <row r="34">
          <cell r="N34">
            <v>0.45628002745367197</v>
          </cell>
        </row>
      </sheetData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250"/>
      <sheetName val="10-490 "/>
      <sheetName val="30-490"/>
      <sheetName val="40-490 "/>
      <sheetName val="60-490  "/>
      <sheetName val="70-490"/>
      <sheetName val="90-49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561865</v>
          </cell>
          <cell r="G10">
            <v>0</v>
          </cell>
        </row>
        <row r="12">
          <cell r="E12"/>
          <cell r="G12"/>
        </row>
        <row r="13">
          <cell r="E13">
            <v>6547</v>
          </cell>
          <cell r="G13"/>
        </row>
        <row r="14">
          <cell r="E14"/>
          <cell r="G14"/>
        </row>
        <row r="15">
          <cell r="E15">
            <v>568412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1453615</v>
          </cell>
          <cell r="G26">
            <v>0</v>
          </cell>
        </row>
        <row r="32">
          <cell r="E32">
            <v>313406</v>
          </cell>
          <cell r="G32">
            <v>0</v>
          </cell>
        </row>
        <row r="37">
          <cell r="E37">
            <v>7795420</v>
          </cell>
          <cell r="G37">
            <v>-2268918</v>
          </cell>
        </row>
        <row r="42">
          <cell r="E42">
            <v>1755093</v>
          </cell>
          <cell r="G42">
            <v>2268918</v>
          </cell>
        </row>
        <row r="47">
          <cell r="E47">
            <v>55184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834134</v>
          </cell>
          <cell r="G57">
            <v>0</v>
          </cell>
        </row>
        <row r="72">
          <cell r="E72">
            <v>74339</v>
          </cell>
          <cell r="G72">
            <v>-54000</v>
          </cell>
        </row>
        <row r="90">
          <cell r="C90">
            <v>234.77310360259565</v>
          </cell>
          <cell r="E90">
            <v>234.77312308778536</v>
          </cell>
          <cell r="G90">
            <v>234.77312308778536</v>
          </cell>
          <cell r="I90">
            <v>234.77306494128925</v>
          </cell>
        </row>
      </sheetData>
      <sheetData sheetId="6"/>
      <sheetData sheetId="7">
        <row r="10">
          <cell r="D10"/>
          <cell r="F10">
            <v>122657</v>
          </cell>
          <cell r="H10"/>
        </row>
        <row r="11">
          <cell r="D11"/>
          <cell r="F11"/>
          <cell r="H11"/>
        </row>
        <row r="12">
          <cell r="D12">
            <v>420707</v>
          </cell>
          <cell r="F12">
            <v>-122707</v>
          </cell>
          <cell r="H12"/>
        </row>
        <row r="13">
          <cell r="D13">
            <v>105500</v>
          </cell>
          <cell r="F13">
            <v>-16489</v>
          </cell>
          <cell r="H13"/>
        </row>
        <row r="14">
          <cell r="D14"/>
          <cell r="F14"/>
          <cell r="H14"/>
        </row>
        <row r="15">
          <cell r="D15"/>
          <cell r="F15">
            <v>771073</v>
          </cell>
          <cell r="H15"/>
        </row>
        <row r="16">
          <cell r="D16">
            <v>771073</v>
          </cell>
          <cell r="F16">
            <v>-771073</v>
          </cell>
          <cell r="H16"/>
        </row>
        <row r="17">
          <cell r="D17">
            <v>10102</v>
          </cell>
          <cell r="F17">
            <v>-10102</v>
          </cell>
          <cell r="H17"/>
        </row>
        <row r="18">
          <cell r="D18">
            <v>83314</v>
          </cell>
          <cell r="F18"/>
          <cell r="H18"/>
        </row>
        <row r="19">
          <cell r="D19">
            <v>9354</v>
          </cell>
          <cell r="F19"/>
          <cell r="H19"/>
        </row>
        <row r="20">
          <cell r="D20">
            <v>93699</v>
          </cell>
          <cell r="F20"/>
          <cell r="H20"/>
        </row>
        <row r="21">
          <cell r="D21">
            <v>6556</v>
          </cell>
          <cell r="F21"/>
          <cell r="H21"/>
        </row>
        <row r="22">
          <cell r="D22"/>
          <cell r="F22"/>
          <cell r="H22"/>
        </row>
        <row r="23">
          <cell r="D23">
            <v>24097</v>
          </cell>
          <cell r="F23"/>
          <cell r="H23"/>
        </row>
        <row r="24">
          <cell r="D24">
            <v>33216</v>
          </cell>
          <cell r="F24"/>
          <cell r="H24"/>
        </row>
        <row r="25">
          <cell r="D25"/>
          <cell r="F25"/>
          <cell r="H25"/>
        </row>
        <row r="26">
          <cell r="D26"/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67356</v>
          </cell>
          <cell r="F29">
            <v>-67356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83280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6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110258</v>
          </cell>
          <cell r="F36"/>
          <cell r="H36"/>
        </row>
        <row r="37">
          <cell r="D37">
            <v>33571</v>
          </cell>
          <cell r="F37"/>
          <cell r="H37"/>
        </row>
        <row r="38">
          <cell r="D38">
            <v>4017</v>
          </cell>
          <cell r="F38">
            <v>-4017</v>
          </cell>
          <cell r="H38"/>
        </row>
        <row r="39">
          <cell r="D39">
            <v>22764</v>
          </cell>
          <cell r="F39"/>
          <cell r="H39"/>
        </row>
        <row r="40">
          <cell r="D40">
            <v>39035</v>
          </cell>
          <cell r="F40">
            <v>-39035</v>
          </cell>
          <cell r="H40"/>
        </row>
        <row r="41">
          <cell r="D41">
            <v>64258</v>
          </cell>
          <cell r="F41">
            <v>-13308</v>
          </cell>
          <cell r="H41"/>
        </row>
        <row r="42">
          <cell r="D42">
            <v>1284</v>
          </cell>
          <cell r="F42"/>
          <cell r="H42"/>
        </row>
        <row r="43">
          <cell r="D43">
            <v>26830</v>
          </cell>
          <cell r="F43">
            <v>-26830</v>
          </cell>
          <cell r="H43"/>
        </row>
        <row r="44">
          <cell r="D44"/>
          <cell r="F44"/>
          <cell r="H44"/>
        </row>
        <row r="45">
          <cell r="D45">
            <v>448357</v>
          </cell>
          <cell r="F45">
            <v>-413663</v>
          </cell>
          <cell r="H45"/>
        </row>
        <row r="57">
          <cell r="D57"/>
          <cell r="F57"/>
          <cell r="H57"/>
        </row>
        <row r="58">
          <cell r="D58">
            <v>1275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16884</v>
          </cell>
          <cell r="F61"/>
          <cell r="H61"/>
        </row>
        <row r="62">
          <cell r="D62">
            <v>1730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2633</v>
          </cell>
          <cell r="F65"/>
          <cell r="H65"/>
        </row>
        <row r="66">
          <cell r="D66">
            <v>113467</v>
          </cell>
          <cell r="F66"/>
          <cell r="H66"/>
        </row>
        <row r="67">
          <cell r="D67">
            <v>48085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113321</v>
          </cell>
          <cell r="F75"/>
          <cell r="H75"/>
        </row>
        <row r="76">
          <cell r="D76">
            <v>12021</v>
          </cell>
          <cell r="F76"/>
          <cell r="H76"/>
        </row>
        <row r="77">
          <cell r="D77">
            <v>16029</v>
          </cell>
          <cell r="F77"/>
          <cell r="H77"/>
        </row>
        <row r="78">
          <cell r="D78"/>
          <cell r="F78"/>
          <cell r="H78"/>
        </row>
        <row r="79">
          <cell r="D79">
            <v>12600</v>
          </cell>
          <cell r="F79"/>
          <cell r="H79"/>
        </row>
        <row r="80">
          <cell r="D80">
            <v>20021</v>
          </cell>
          <cell r="F80"/>
          <cell r="H80"/>
        </row>
        <row r="81">
          <cell r="D81">
            <v>52221</v>
          </cell>
          <cell r="F81"/>
          <cell r="H81"/>
        </row>
        <row r="82">
          <cell r="D82">
            <v>40538</v>
          </cell>
          <cell r="F82"/>
          <cell r="H82"/>
        </row>
        <row r="83">
          <cell r="D83">
            <v>8256</v>
          </cell>
          <cell r="F83"/>
          <cell r="H83"/>
        </row>
        <row r="84">
          <cell r="D84">
            <v>177623</v>
          </cell>
          <cell r="F84"/>
          <cell r="H84"/>
        </row>
        <row r="85">
          <cell r="D85">
            <v>709</v>
          </cell>
          <cell r="F85"/>
          <cell r="H85"/>
        </row>
        <row r="89">
          <cell r="D89">
            <v>432490</v>
          </cell>
          <cell r="F89"/>
          <cell r="H89"/>
        </row>
        <row r="90">
          <cell r="D90">
            <v>60698</v>
          </cell>
          <cell r="F90"/>
          <cell r="H90"/>
        </row>
        <row r="91">
          <cell r="D91">
            <v>22338</v>
          </cell>
          <cell r="F91"/>
          <cell r="H91"/>
        </row>
        <row r="92">
          <cell r="D92">
            <v>487235</v>
          </cell>
          <cell r="F92">
            <v>1400</v>
          </cell>
          <cell r="H92"/>
        </row>
        <row r="93">
          <cell r="D93">
            <v>23869</v>
          </cell>
          <cell r="F93"/>
          <cell r="H93"/>
        </row>
        <row r="94">
          <cell r="D94">
            <v>455</v>
          </cell>
          <cell r="F94"/>
          <cell r="H94"/>
        </row>
        <row r="98">
          <cell r="D98">
            <v>55146</v>
          </cell>
          <cell r="F98"/>
          <cell r="H98"/>
        </row>
        <row r="99">
          <cell r="D99">
            <v>10372</v>
          </cell>
          <cell r="F99"/>
          <cell r="H99"/>
        </row>
        <row r="100">
          <cell r="D100">
            <v>8887</v>
          </cell>
          <cell r="F100"/>
          <cell r="H100"/>
        </row>
        <row r="101">
          <cell r="D101"/>
          <cell r="F101"/>
          <cell r="H101"/>
        </row>
        <row r="102">
          <cell r="D102">
            <v>17578</v>
          </cell>
          <cell r="F102"/>
          <cell r="H102"/>
        </row>
        <row r="103">
          <cell r="D103"/>
          <cell r="F103"/>
          <cell r="H103"/>
        </row>
        <row r="115">
          <cell r="D115">
            <v>244747</v>
          </cell>
          <cell r="F115"/>
          <cell r="H115"/>
        </row>
        <row r="116">
          <cell r="D116">
            <v>39516</v>
          </cell>
          <cell r="F116"/>
          <cell r="H116"/>
        </row>
        <row r="117">
          <cell r="D117">
            <v>75778</v>
          </cell>
          <cell r="F117"/>
          <cell r="H117"/>
        </row>
        <row r="118">
          <cell r="D118">
            <v>1600</v>
          </cell>
          <cell r="F118"/>
          <cell r="H118"/>
        </row>
        <row r="119">
          <cell r="D119">
            <v>2647</v>
          </cell>
          <cell r="F119"/>
          <cell r="H119"/>
        </row>
        <row r="124">
          <cell r="D124"/>
          <cell r="F124"/>
          <cell r="H124"/>
        </row>
        <row r="125">
          <cell r="D125">
            <v>530812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66968</v>
          </cell>
          <cell r="F128"/>
          <cell r="H128"/>
        </row>
        <row r="130">
          <cell r="D130"/>
          <cell r="F130"/>
          <cell r="H130"/>
        </row>
        <row r="131">
          <cell r="D131">
            <v>49962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6370</v>
          </cell>
          <cell r="F134"/>
          <cell r="H134"/>
        </row>
        <row r="136">
          <cell r="D136">
            <v>1291016</v>
          </cell>
          <cell r="F136"/>
          <cell r="H136"/>
        </row>
        <row r="137">
          <cell r="D137">
            <v>816933</v>
          </cell>
          <cell r="F137"/>
          <cell r="H137"/>
        </row>
        <row r="138">
          <cell r="D138">
            <v>1945955</v>
          </cell>
          <cell r="F138">
            <v>95602</v>
          </cell>
          <cell r="H138"/>
        </row>
        <row r="139">
          <cell r="D139">
            <v>95602</v>
          </cell>
          <cell r="F139">
            <v>-95602</v>
          </cell>
          <cell r="H139"/>
        </row>
        <row r="141">
          <cell r="D141">
            <v>859343</v>
          </cell>
          <cell r="F141">
            <v>-591980</v>
          </cell>
          <cell r="H141"/>
        </row>
        <row r="142">
          <cell r="D142"/>
          <cell r="F142">
            <v>169183</v>
          </cell>
          <cell r="H142"/>
        </row>
        <row r="143">
          <cell r="D143"/>
          <cell r="F143">
            <v>422797</v>
          </cell>
          <cell r="H143"/>
        </row>
        <row r="144">
          <cell r="D144"/>
          <cell r="F144"/>
          <cell r="H144"/>
        </row>
        <row r="146">
          <cell r="D146">
            <v>59863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2774</v>
          </cell>
          <cell r="F150"/>
          <cell r="H150"/>
        </row>
        <row r="151">
          <cell r="D151">
            <v>158367</v>
          </cell>
          <cell r="F151"/>
          <cell r="H151"/>
        </row>
        <row r="152">
          <cell r="D152">
            <v>24963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1906</v>
          </cell>
          <cell r="F160"/>
          <cell r="H160"/>
        </row>
        <row r="161">
          <cell r="D161">
            <v>35181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70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65155</v>
          </cell>
          <cell r="F193"/>
          <cell r="H193"/>
        </row>
        <row r="194">
          <cell r="D194">
            <v>421624</v>
          </cell>
          <cell r="F194"/>
          <cell r="H194"/>
        </row>
        <row r="195">
          <cell r="D195">
            <v>219581</v>
          </cell>
          <cell r="F195"/>
          <cell r="H195"/>
        </row>
        <row r="196">
          <cell r="D196"/>
          <cell r="F196"/>
          <cell r="H196"/>
        </row>
        <row r="197">
          <cell r="D197">
            <v>356063</v>
          </cell>
          <cell r="F197"/>
          <cell r="H197"/>
        </row>
        <row r="198">
          <cell r="D198">
            <v>65121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523131</v>
          </cell>
          <cell r="F205"/>
          <cell r="H205"/>
        </row>
        <row r="206">
          <cell r="D206">
            <v>14297</v>
          </cell>
          <cell r="F206"/>
          <cell r="H206"/>
        </row>
        <row r="207">
          <cell r="D207"/>
          <cell r="F207"/>
          <cell r="H207"/>
        </row>
        <row r="211">
          <cell r="D211">
            <v>316252</v>
          </cell>
          <cell r="F211"/>
          <cell r="H211"/>
        </row>
        <row r="212">
          <cell r="D212">
            <v>75022</v>
          </cell>
          <cell r="F212"/>
          <cell r="H212"/>
        </row>
        <row r="213">
          <cell r="D213">
            <v>11324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13966</v>
          </cell>
          <cell r="F216"/>
          <cell r="H216"/>
        </row>
        <row r="221">
          <cell r="D221">
            <v>12607024</v>
          </cell>
        </row>
      </sheetData>
      <sheetData sheetId="8"/>
      <sheetData sheetId="9"/>
      <sheetData sheetId="10">
        <row r="9">
          <cell r="C9">
            <v>3038</v>
          </cell>
          <cell r="D9">
            <v>0</v>
          </cell>
          <cell r="E9">
            <v>2342</v>
          </cell>
          <cell r="F9">
            <v>660</v>
          </cell>
          <cell r="G9">
            <v>13479</v>
          </cell>
          <cell r="H9">
            <v>17140</v>
          </cell>
          <cell r="I9">
            <v>274</v>
          </cell>
          <cell r="J9">
            <v>0</v>
          </cell>
          <cell r="K9">
            <v>1656</v>
          </cell>
        </row>
        <row r="22">
          <cell r="N22">
            <v>108</v>
          </cell>
        </row>
        <row r="24">
          <cell r="N24">
            <v>10</v>
          </cell>
        </row>
        <row r="28">
          <cell r="N28">
            <v>39420</v>
          </cell>
        </row>
        <row r="30">
          <cell r="N30">
            <v>0.97891933028919331</v>
          </cell>
        </row>
        <row r="32">
          <cell r="N32">
            <v>7.706747843734145E-2</v>
          </cell>
        </row>
        <row r="34">
          <cell r="N34">
            <v>7.8727098395915934E-2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3376374</v>
          </cell>
          <cell r="G10">
            <v>0</v>
          </cell>
        </row>
        <row r="12">
          <cell r="E12">
            <v>839682</v>
          </cell>
          <cell r="G12">
            <v>998749</v>
          </cell>
        </row>
        <row r="13">
          <cell r="E13">
            <v>79859</v>
          </cell>
          <cell r="G13"/>
        </row>
        <row r="14">
          <cell r="E14">
            <v>63017</v>
          </cell>
          <cell r="G14"/>
        </row>
        <row r="15">
          <cell r="E15">
            <v>4358932</v>
          </cell>
          <cell r="G15">
            <v>998749</v>
          </cell>
        </row>
        <row r="20">
          <cell r="E20">
            <v>0</v>
          </cell>
          <cell r="G20">
            <v>0</v>
          </cell>
        </row>
        <row r="26">
          <cell r="E26">
            <v>1003036</v>
          </cell>
          <cell r="G26">
            <v>0</v>
          </cell>
        </row>
        <row r="32">
          <cell r="E32">
            <v>360451.61889763782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84674</v>
          </cell>
          <cell r="G42">
            <v>0</v>
          </cell>
        </row>
        <row r="47">
          <cell r="E47">
            <v>178878</v>
          </cell>
          <cell r="G47">
            <v>0</v>
          </cell>
        </row>
        <row r="52">
          <cell r="E52">
            <v>5776</v>
          </cell>
          <cell r="G52">
            <v>0</v>
          </cell>
        </row>
        <row r="57">
          <cell r="E57">
            <v>277450.38110236218</v>
          </cell>
          <cell r="G57">
            <v>0</v>
          </cell>
        </row>
        <row r="72">
          <cell r="E72">
            <v>2238</v>
          </cell>
          <cell r="G72">
            <v>0</v>
          </cell>
        </row>
        <row r="90">
          <cell r="C90">
            <v>132.83333333333334</v>
          </cell>
          <cell r="E90">
            <v>201.88524590163934</v>
          </cell>
          <cell r="G90">
            <v>331.79310344827587</v>
          </cell>
          <cell r="I90">
            <v>446.29464285714283</v>
          </cell>
        </row>
      </sheetData>
      <sheetData sheetId="7"/>
      <sheetData sheetId="8">
        <row r="10">
          <cell r="D10">
            <v>184836</v>
          </cell>
          <cell r="F10">
            <v>-85267</v>
          </cell>
          <cell r="H10"/>
        </row>
        <row r="11">
          <cell r="D11">
            <v>0</v>
          </cell>
          <cell r="F11"/>
          <cell r="H11"/>
        </row>
        <row r="12">
          <cell r="D12">
            <v>53973</v>
          </cell>
          <cell r="F12"/>
          <cell r="H12"/>
        </row>
        <row r="13">
          <cell r="D13">
            <v>200951</v>
          </cell>
          <cell r="F13">
            <v>-145960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313572</v>
          </cell>
          <cell r="F16"/>
          <cell r="H16">
            <v>-44750</v>
          </cell>
        </row>
        <row r="17">
          <cell r="D17">
            <v>0</v>
          </cell>
          <cell r="F17"/>
          <cell r="H17"/>
        </row>
        <row r="18">
          <cell r="D18">
            <v>12595</v>
          </cell>
          <cell r="F18"/>
          <cell r="H18"/>
        </row>
        <row r="19">
          <cell r="D19">
            <v>19736</v>
          </cell>
          <cell r="F19">
            <v>-1618</v>
          </cell>
          <cell r="H19"/>
        </row>
        <row r="20">
          <cell r="D20">
            <v>12626</v>
          </cell>
          <cell r="F20">
            <v>3109</v>
          </cell>
          <cell r="H20"/>
        </row>
        <row r="21">
          <cell r="D21">
            <v>1171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5047</v>
          </cell>
          <cell r="F23"/>
          <cell r="H23"/>
        </row>
        <row r="24">
          <cell r="D24">
            <v>54803</v>
          </cell>
          <cell r="F24"/>
          <cell r="H24">
            <v>-10081</v>
          </cell>
        </row>
        <row r="25">
          <cell r="D25">
            <v>0</v>
          </cell>
          <cell r="F25"/>
          <cell r="H25"/>
        </row>
        <row r="26">
          <cell r="D26">
            <v>406089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79284</v>
          </cell>
          <cell r="F29">
            <v>-79284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81712</v>
          </cell>
          <cell r="F31"/>
          <cell r="H31">
            <v>-48210</v>
          </cell>
        </row>
        <row r="32">
          <cell r="D32">
            <v>83787</v>
          </cell>
          <cell r="F32"/>
          <cell r="H32">
            <v>-37704</v>
          </cell>
        </row>
        <row r="33">
          <cell r="D33">
            <v>61658</v>
          </cell>
          <cell r="F33">
            <v>-61658</v>
          </cell>
          <cell r="H33"/>
        </row>
        <row r="34">
          <cell r="D34">
            <v>0</v>
          </cell>
          <cell r="F34"/>
          <cell r="H34"/>
        </row>
        <row r="35">
          <cell r="D35">
            <v>307</v>
          </cell>
          <cell r="F35">
            <v>-307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7104</v>
          </cell>
          <cell r="F39"/>
          <cell r="H39"/>
        </row>
        <row r="40">
          <cell r="D40">
            <v>24731</v>
          </cell>
          <cell r="F40"/>
          <cell r="H40"/>
        </row>
        <row r="41">
          <cell r="D41">
            <v>26585</v>
          </cell>
          <cell r="F41"/>
          <cell r="H41"/>
        </row>
        <row r="42">
          <cell r="D42">
            <v>2026</v>
          </cell>
          <cell r="F42"/>
          <cell r="H42"/>
        </row>
        <row r="43">
          <cell r="D43">
            <v>5630</v>
          </cell>
          <cell r="F43"/>
          <cell r="H43"/>
        </row>
        <row r="44">
          <cell r="D44">
            <v>184</v>
          </cell>
          <cell r="F44"/>
          <cell r="H44"/>
        </row>
        <row r="45">
          <cell r="D45">
            <v>372</v>
          </cell>
          <cell r="F45">
            <v>-870</v>
          </cell>
          <cell r="H45"/>
        </row>
        <row r="57">
          <cell r="D57">
            <v>557283</v>
          </cell>
          <cell r="F57">
            <v>-557283</v>
          </cell>
          <cell r="H57"/>
        </row>
        <row r="58">
          <cell r="D58">
            <v>6266</v>
          </cell>
          <cell r="F58">
            <v>297696</v>
          </cell>
          <cell r="H58"/>
        </row>
        <row r="59">
          <cell r="D59">
            <v>0</v>
          </cell>
          <cell r="F59"/>
          <cell r="H59"/>
        </row>
        <row r="60">
          <cell r="D60">
            <v>34147</v>
          </cell>
          <cell r="F60"/>
          <cell r="H60"/>
        </row>
        <row r="61">
          <cell r="D61">
            <v>6742</v>
          </cell>
          <cell r="F61"/>
          <cell r="H61"/>
        </row>
        <row r="62">
          <cell r="D62">
            <v>1240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3751</v>
          </cell>
          <cell r="F65"/>
          <cell r="H65"/>
        </row>
        <row r="66">
          <cell r="D66">
            <v>10228</v>
          </cell>
          <cell r="F66"/>
          <cell r="H66"/>
        </row>
        <row r="67">
          <cell r="D67">
            <v>53940</v>
          </cell>
          <cell r="F67">
            <v>-4134</v>
          </cell>
          <cell r="H67"/>
        </row>
        <row r="68">
          <cell r="D68">
            <v>0</v>
          </cell>
          <cell r="F68"/>
          <cell r="H68"/>
        </row>
        <row r="69">
          <cell r="D69">
            <v>6829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36416</v>
          </cell>
          <cell r="F75"/>
          <cell r="H75"/>
        </row>
        <row r="76">
          <cell r="D76">
            <v>4469</v>
          </cell>
          <cell r="F76">
            <v>2384</v>
          </cell>
          <cell r="H76"/>
        </row>
        <row r="77">
          <cell r="D77">
            <v>9831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8435</v>
          </cell>
          <cell r="F79">
            <v>3180</v>
          </cell>
          <cell r="H79"/>
        </row>
        <row r="80">
          <cell r="D80">
            <v>21547</v>
          </cell>
          <cell r="F80"/>
          <cell r="H80"/>
        </row>
        <row r="81">
          <cell r="D81">
            <v>15278</v>
          </cell>
          <cell r="F81"/>
          <cell r="H81"/>
        </row>
        <row r="82">
          <cell r="D82">
            <v>3651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110473</v>
          </cell>
          <cell r="F84"/>
          <cell r="H84"/>
        </row>
        <row r="85">
          <cell r="D85">
            <v>396</v>
          </cell>
          <cell r="F85"/>
          <cell r="H85"/>
        </row>
        <row r="89">
          <cell r="D89">
            <v>176479</v>
          </cell>
          <cell r="F89"/>
          <cell r="H89"/>
        </row>
        <row r="90">
          <cell r="D90">
            <v>26199</v>
          </cell>
          <cell r="F90">
            <v>11553</v>
          </cell>
          <cell r="H90"/>
        </row>
        <row r="91">
          <cell r="D91">
            <v>18954</v>
          </cell>
          <cell r="F91"/>
          <cell r="H91"/>
        </row>
        <row r="92">
          <cell r="D92">
            <v>161350</v>
          </cell>
          <cell r="F92"/>
          <cell r="H92"/>
        </row>
        <row r="93">
          <cell r="D93">
            <v>12606</v>
          </cell>
          <cell r="F93">
            <v>4182</v>
          </cell>
          <cell r="H93"/>
        </row>
        <row r="94">
          <cell r="D94">
            <v>0</v>
          </cell>
          <cell r="F94"/>
          <cell r="H94"/>
        </row>
        <row r="98">
          <cell r="D98">
            <v>19731</v>
          </cell>
          <cell r="F98"/>
          <cell r="H98"/>
        </row>
        <row r="99">
          <cell r="D99">
            <v>2754</v>
          </cell>
          <cell r="F99">
            <v>1292</v>
          </cell>
          <cell r="H99"/>
        </row>
        <row r="100">
          <cell r="D100">
            <v>790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1247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83173</v>
          </cell>
          <cell r="F115"/>
          <cell r="H115"/>
        </row>
        <row r="116">
          <cell r="D116">
            <v>11539</v>
          </cell>
          <cell r="F116">
            <v>5445</v>
          </cell>
          <cell r="H116"/>
        </row>
        <row r="117">
          <cell r="D117">
            <v>16514</v>
          </cell>
          <cell r="F117"/>
          <cell r="H117"/>
        </row>
        <row r="118">
          <cell r="D118">
            <v>3037</v>
          </cell>
          <cell r="F118"/>
          <cell r="H118"/>
        </row>
        <row r="119">
          <cell r="D119">
            <v>139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168293</v>
          </cell>
          <cell r="F125"/>
          <cell r="H125">
            <v>40300</v>
          </cell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31510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11017</v>
          </cell>
          <cell r="H131">
            <v>4451</v>
          </cell>
        </row>
        <row r="132">
          <cell r="D132"/>
          <cell r="F132">
            <v>0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2063</v>
          </cell>
          <cell r="H134"/>
        </row>
        <row r="136">
          <cell r="D136">
            <v>511743</v>
          </cell>
          <cell r="F136"/>
          <cell r="H136"/>
        </row>
        <row r="137">
          <cell r="D137">
            <v>205784</v>
          </cell>
          <cell r="F137"/>
          <cell r="H137"/>
        </row>
        <row r="138">
          <cell r="D138">
            <v>565172</v>
          </cell>
          <cell r="F138"/>
          <cell r="H138"/>
        </row>
        <row r="139">
          <cell r="D139">
            <v>122139</v>
          </cell>
          <cell r="F139"/>
          <cell r="H139"/>
        </row>
        <row r="141">
          <cell r="D141"/>
          <cell r="F141">
            <v>33501</v>
          </cell>
          <cell r="H141"/>
        </row>
        <row r="142">
          <cell r="D142"/>
          <cell r="F142">
            <v>13472</v>
          </cell>
          <cell r="H142"/>
        </row>
        <row r="143">
          <cell r="D143"/>
          <cell r="F143">
            <v>36999</v>
          </cell>
          <cell r="H143"/>
        </row>
        <row r="144">
          <cell r="D144">
            <v>240750</v>
          </cell>
          <cell r="F144">
            <v>7996</v>
          </cell>
          <cell r="H144"/>
        </row>
        <row r="146">
          <cell r="D146">
            <v>21875</v>
          </cell>
          <cell r="F146"/>
          <cell r="H146"/>
        </row>
        <row r="147">
          <cell r="D147">
            <v>4360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44900</v>
          </cell>
          <cell r="F149"/>
          <cell r="H149"/>
        </row>
        <row r="150">
          <cell r="D150">
            <v>18271</v>
          </cell>
          <cell r="F150"/>
          <cell r="H150"/>
        </row>
        <row r="151">
          <cell r="D151">
            <v>85569</v>
          </cell>
          <cell r="F151">
            <v>3572</v>
          </cell>
          <cell r="H151"/>
        </row>
        <row r="152">
          <cell r="D152">
            <v>3775</v>
          </cell>
          <cell r="F152"/>
          <cell r="H152"/>
        </row>
        <row r="153">
          <cell r="D153">
            <v>3446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2106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147399</v>
          </cell>
          <cell r="F177"/>
          <cell r="H177"/>
        </row>
        <row r="178">
          <cell r="D178">
            <v>20678</v>
          </cell>
          <cell r="F178">
            <v>9649</v>
          </cell>
          <cell r="H178"/>
        </row>
        <row r="179">
          <cell r="D179">
            <v>32414</v>
          </cell>
          <cell r="F179"/>
          <cell r="H179"/>
        </row>
        <row r="180">
          <cell r="D180">
            <v>3708</v>
          </cell>
          <cell r="F180">
            <v>2122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89102</v>
          </cell>
          <cell r="F183"/>
          <cell r="H183"/>
        </row>
        <row r="184">
          <cell r="D184">
            <v>14269</v>
          </cell>
          <cell r="F184">
            <v>5833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171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172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25610</v>
          </cell>
          <cell r="F198"/>
          <cell r="H198">
            <v>-854</v>
          </cell>
        </row>
        <row r="199">
          <cell r="D199">
            <v>395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103858</v>
          </cell>
          <cell r="F205"/>
          <cell r="H205"/>
        </row>
        <row r="206">
          <cell r="D206">
            <v>1359</v>
          </cell>
          <cell r="F206"/>
          <cell r="H206"/>
        </row>
        <row r="207">
          <cell r="D207">
            <v>4993</v>
          </cell>
          <cell r="F207">
            <v>-3295.3998000000001</v>
          </cell>
          <cell r="H207"/>
        </row>
        <row r="211">
          <cell r="D211">
            <v>192482</v>
          </cell>
          <cell r="F211"/>
          <cell r="H211"/>
        </row>
        <row r="212">
          <cell r="D212">
            <v>23491</v>
          </cell>
          <cell r="F212">
            <v>12601</v>
          </cell>
          <cell r="H212"/>
        </row>
        <row r="213">
          <cell r="D213">
            <v>2105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31110</v>
          </cell>
          <cell r="F216"/>
          <cell r="H216">
            <v>-1185</v>
          </cell>
        </row>
        <row r="221">
          <cell r="D221">
            <v>5787223</v>
          </cell>
        </row>
      </sheetData>
      <sheetData sheetId="9"/>
      <sheetData sheetId="10"/>
      <sheetData sheetId="11">
        <row r="9">
          <cell r="C9">
            <v>18091</v>
          </cell>
          <cell r="D9"/>
          <cell r="E9">
            <v>1784</v>
          </cell>
          <cell r="F9">
            <v>1073</v>
          </cell>
          <cell r="G9"/>
          <cell r="H9">
            <v>298</v>
          </cell>
          <cell r="I9">
            <v>930</v>
          </cell>
          <cell r="J9">
            <v>31</v>
          </cell>
          <cell r="K9">
            <v>832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0.58444951801116185</v>
          </cell>
        </row>
        <row r="32">
          <cell r="N32">
            <v>0.45892947742262813</v>
          </cell>
        </row>
        <row r="34">
          <cell r="N34">
            <v>0.78523373410304265</v>
          </cell>
        </row>
      </sheetData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3348085</v>
          </cell>
          <cell r="G10">
            <v>0</v>
          </cell>
        </row>
        <row r="12">
          <cell r="E12">
            <v>1036282</v>
          </cell>
          <cell r="G12">
            <v>1124134.4397446532</v>
          </cell>
        </row>
        <row r="13">
          <cell r="E13">
            <v>7448</v>
          </cell>
          <cell r="G13"/>
        </row>
        <row r="14">
          <cell r="E14">
            <v>70598</v>
          </cell>
          <cell r="G14"/>
        </row>
        <row r="15">
          <cell r="E15">
            <v>4462413</v>
          </cell>
          <cell r="G15">
            <v>1124134.4397446532</v>
          </cell>
        </row>
        <row r="20">
          <cell r="E20">
            <v>0</v>
          </cell>
          <cell r="G20">
            <v>0</v>
          </cell>
        </row>
        <row r="26">
          <cell r="E26">
            <v>873201</v>
          </cell>
          <cell r="G26">
            <v>0</v>
          </cell>
        </row>
        <row r="32">
          <cell r="E32">
            <v>903276.21572840563</v>
          </cell>
          <cell r="G32">
            <v>0</v>
          </cell>
        </row>
        <row r="37">
          <cell r="E37">
            <v>1090</v>
          </cell>
          <cell r="G37">
            <v>0</v>
          </cell>
        </row>
        <row r="42">
          <cell r="E42">
            <v>485212</v>
          </cell>
          <cell r="G42">
            <v>0</v>
          </cell>
        </row>
        <row r="47">
          <cell r="E47">
            <v>236952</v>
          </cell>
          <cell r="G47">
            <v>0</v>
          </cell>
        </row>
        <row r="52">
          <cell r="E52">
            <v>100892</v>
          </cell>
          <cell r="G52">
            <v>0</v>
          </cell>
        </row>
        <row r="57">
          <cell r="E57">
            <v>81171.784271594312</v>
          </cell>
          <cell r="G57">
            <v>0</v>
          </cell>
        </row>
        <row r="72">
          <cell r="E72">
            <v>3012</v>
          </cell>
          <cell r="G72">
            <v>0</v>
          </cell>
        </row>
        <row r="90">
          <cell r="C90">
            <v>184.24897119341563</v>
          </cell>
          <cell r="E90">
            <v>183.70920840064619</v>
          </cell>
          <cell r="G90">
            <v>196.85163204747775</v>
          </cell>
          <cell r="I90">
            <v>205.61019283746558</v>
          </cell>
        </row>
      </sheetData>
      <sheetData sheetId="7"/>
      <sheetData sheetId="8">
        <row r="10">
          <cell r="D10">
            <v>127240</v>
          </cell>
          <cell r="F10">
            <v>-14978</v>
          </cell>
          <cell r="H10"/>
        </row>
        <row r="11">
          <cell r="D11">
            <v>0</v>
          </cell>
          <cell r="F11"/>
          <cell r="H11"/>
        </row>
        <row r="12">
          <cell r="D12">
            <v>176778</v>
          </cell>
          <cell r="F12"/>
          <cell r="H12"/>
        </row>
        <row r="13">
          <cell r="D13">
            <v>240993</v>
          </cell>
          <cell r="F13">
            <v>-179159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357241</v>
          </cell>
          <cell r="F16"/>
          <cell r="H16">
            <v>-81754</v>
          </cell>
        </row>
        <row r="17">
          <cell r="D17">
            <v>0</v>
          </cell>
          <cell r="F17"/>
          <cell r="H17"/>
        </row>
        <row r="18">
          <cell r="D18">
            <v>6478</v>
          </cell>
          <cell r="F18"/>
          <cell r="H18"/>
        </row>
        <row r="19">
          <cell r="D19">
            <v>20014</v>
          </cell>
          <cell r="F19">
            <v>-1983</v>
          </cell>
          <cell r="H19"/>
        </row>
        <row r="20">
          <cell r="D20">
            <v>19874</v>
          </cell>
          <cell r="F20"/>
          <cell r="H20"/>
        </row>
        <row r="21">
          <cell r="D21">
            <v>2022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6122</v>
          </cell>
          <cell r="F23"/>
          <cell r="H23"/>
        </row>
        <row r="24">
          <cell r="D24">
            <v>73331</v>
          </cell>
          <cell r="F24"/>
          <cell r="H24">
            <v>-19161</v>
          </cell>
        </row>
        <row r="25">
          <cell r="D25">
            <v>0</v>
          </cell>
          <cell r="F25"/>
          <cell r="H25"/>
        </row>
        <row r="26">
          <cell r="D26">
            <v>467413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51851</v>
          </cell>
          <cell r="F29">
            <v>-51851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98155</v>
          </cell>
          <cell r="F31"/>
          <cell r="H31">
            <v>-57509</v>
          </cell>
        </row>
        <row r="32">
          <cell r="D32">
            <v>110843</v>
          </cell>
          <cell r="F32"/>
          <cell r="H32">
            <v>-49880</v>
          </cell>
        </row>
        <row r="33">
          <cell r="D33">
            <v>66074</v>
          </cell>
          <cell r="F33">
            <v>-66074</v>
          </cell>
          <cell r="H33"/>
        </row>
        <row r="34">
          <cell r="D34">
            <v>0</v>
          </cell>
          <cell r="F34"/>
          <cell r="H34"/>
        </row>
        <row r="35">
          <cell r="D35">
            <v>-99745</v>
          </cell>
          <cell r="F35">
            <v>99745</v>
          </cell>
          <cell r="H35"/>
        </row>
        <row r="36">
          <cell r="D36">
            <v>1271</v>
          </cell>
          <cell r="F36"/>
          <cell r="H36"/>
        </row>
        <row r="37">
          <cell r="D37">
            <v>141</v>
          </cell>
          <cell r="F37">
            <v>91</v>
          </cell>
          <cell r="H37"/>
        </row>
        <row r="38">
          <cell r="D38">
            <v>0</v>
          </cell>
          <cell r="F38"/>
          <cell r="H38"/>
        </row>
        <row r="39">
          <cell r="D39">
            <v>10759</v>
          </cell>
          <cell r="F39"/>
          <cell r="H39"/>
        </row>
        <row r="40">
          <cell r="D40">
            <v>1157</v>
          </cell>
          <cell r="F40"/>
          <cell r="H40"/>
        </row>
        <row r="41">
          <cell r="D41">
            <v>30704</v>
          </cell>
          <cell r="F41"/>
          <cell r="H41"/>
        </row>
        <row r="42">
          <cell r="D42">
            <v>12380</v>
          </cell>
          <cell r="F42"/>
          <cell r="H42"/>
        </row>
        <row r="43">
          <cell r="D43">
            <v>19013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-1686</v>
          </cell>
          <cell r="F45">
            <v>-424</v>
          </cell>
          <cell r="H45"/>
        </row>
        <row r="57">
          <cell r="D57">
            <v>724469</v>
          </cell>
          <cell r="F57">
            <v>-724469</v>
          </cell>
          <cell r="H57"/>
        </row>
        <row r="58">
          <cell r="D58">
            <v>1732</v>
          </cell>
          <cell r="F58">
            <v>203611</v>
          </cell>
          <cell r="H58"/>
        </row>
        <row r="59">
          <cell r="D59">
            <v>0</v>
          </cell>
          <cell r="F59"/>
          <cell r="H59"/>
        </row>
        <row r="60">
          <cell r="D60">
            <v>55412</v>
          </cell>
          <cell r="F60"/>
          <cell r="H60"/>
        </row>
        <row r="61">
          <cell r="D61">
            <v>8553</v>
          </cell>
          <cell r="F61"/>
          <cell r="H61"/>
        </row>
        <row r="62">
          <cell r="D62">
            <v>8484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7177</v>
          </cell>
          <cell r="F65"/>
          <cell r="H65"/>
        </row>
        <row r="66">
          <cell r="D66">
            <v>4742</v>
          </cell>
          <cell r="F66"/>
          <cell r="H66"/>
        </row>
        <row r="67">
          <cell r="D67">
            <v>66677</v>
          </cell>
          <cell r="F67">
            <v>-5179</v>
          </cell>
          <cell r="H67"/>
        </row>
        <row r="68">
          <cell r="D68">
            <v>0</v>
          </cell>
          <cell r="F68"/>
          <cell r="H68"/>
        </row>
        <row r="69">
          <cell r="D69">
            <v>5858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58277</v>
          </cell>
          <cell r="F75"/>
          <cell r="H75"/>
        </row>
        <row r="76">
          <cell r="D76">
            <v>8133</v>
          </cell>
          <cell r="F76">
            <v>4160</v>
          </cell>
          <cell r="H76"/>
        </row>
        <row r="77">
          <cell r="D77">
            <v>16476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8184</v>
          </cell>
          <cell r="F79">
            <v>5725</v>
          </cell>
          <cell r="H79"/>
        </row>
        <row r="80">
          <cell r="D80">
            <v>39172</v>
          </cell>
          <cell r="F80"/>
          <cell r="H80"/>
        </row>
        <row r="81">
          <cell r="D81">
            <v>11823</v>
          </cell>
          <cell r="F81"/>
          <cell r="H81"/>
        </row>
        <row r="82">
          <cell r="D82">
            <v>183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107075</v>
          </cell>
          <cell r="F84"/>
          <cell r="H84"/>
        </row>
        <row r="85">
          <cell r="D85">
            <v>19</v>
          </cell>
          <cell r="F85"/>
          <cell r="H85"/>
        </row>
        <row r="89">
          <cell r="D89">
            <v>178252</v>
          </cell>
          <cell r="F89"/>
          <cell r="H89"/>
        </row>
        <row r="90">
          <cell r="D90">
            <v>25780</v>
          </cell>
          <cell r="F90">
            <v>12724</v>
          </cell>
          <cell r="H90"/>
        </row>
        <row r="91">
          <cell r="D91">
            <v>9083</v>
          </cell>
          <cell r="F91"/>
          <cell r="H91"/>
        </row>
        <row r="92">
          <cell r="D92">
            <v>164048</v>
          </cell>
          <cell r="F92"/>
          <cell r="H92"/>
        </row>
        <row r="93">
          <cell r="D93">
            <v>20672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27293</v>
          </cell>
          <cell r="F98"/>
          <cell r="H98"/>
        </row>
        <row r="99">
          <cell r="D99">
            <v>3873</v>
          </cell>
          <cell r="F99">
            <v>1948</v>
          </cell>
          <cell r="H99"/>
        </row>
        <row r="100">
          <cell r="D100">
            <v>5543</v>
          </cell>
          <cell r="F100"/>
          <cell r="H100"/>
        </row>
        <row r="101">
          <cell r="D101">
            <v>122</v>
          </cell>
          <cell r="F101"/>
          <cell r="H101"/>
        </row>
        <row r="102">
          <cell r="D102">
            <v>3919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111989</v>
          </cell>
          <cell r="F115"/>
          <cell r="H115"/>
        </row>
        <row r="116">
          <cell r="D116">
            <v>14615</v>
          </cell>
          <cell r="F116">
            <v>7994</v>
          </cell>
          <cell r="H116"/>
        </row>
        <row r="117">
          <cell r="D117">
            <v>18351</v>
          </cell>
          <cell r="F117"/>
          <cell r="H117"/>
        </row>
        <row r="118">
          <cell r="D118">
            <v>1032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196333</v>
          </cell>
          <cell r="F125"/>
          <cell r="H125">
            <v>73136</v>
          </cell>
        </row>
        <row r="126">
          <cell r="D126">
            <v>64012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49627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14014</v>
          </cell>
          <cell r="H131">
            <v>8618</v>
          </cell>
        </row>
        <row r="132">
          <cell r="D132"/>
          <cell r="F132">
            <v>4569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3542</v>
          </cell>
          <cell r="H134"/>
        </row>
        <row r="136">
          <cell r="D136">
            <v>451248</v>
          </cell>
          <cell r="F136"/>
          <cell r="H136"/>
        </row>
        <row r="137">
          <cell r="D137">
            <v>375077</v>
          </cell>
          <cell r="F137"/>
          <cell r="H137"/>
        </row>
        <row r="138">
          <cell r="D138">
            <v>572250</v>
          </cell>
          <cell r="F138"/>
          <cell r="H138"/>
        </row>
        <row r="139">
          <cell r="D139">
            <v>120729</v>
          </cell>
          <cell r="F139"/>
          <cell r="H139"/>
        </row>
        <row r="141">
          <cell r="D141">
            <v>0</v>
          </cell>
          <cell r="F141">
            <v>32210</v>
          </cell>
          <cell r="H141"/>
        </row>
        <row r="142">
          <cell r="D142">
            <v>0</v>
          </cell>
          <cell r="F142">
            <v>26773</v>
          </cell>
          <cell r="H142"/>
        </row>
        <row r="143">
          <cell r="D143">
            <v>0</v>
          </cell>
          <cell r="F143">
            <v>40847</v>
          </cell>
          <cell r="H143"/>
        </row>
        <row r="144">
          <cell r="D144">
            <v>247286</v>
          </cell>
          <cell r="F144">
            <v>8618</v>
          </cell>
          <cell r="H144"/>
        </row>
        <row r="146">
          <cell r="D146">
            <v>36125</v>
          </cell>
          <cell r="F146"/>
          <cell r="H146"/>
        </row>
        <row r="147">
          <cell r="D147">
            <v>26650</v>
          </cell>
          <cell r="F147"/>
          <cell r="H147"/>
        </row>
        <row r="148">
          <cell r="D148">
            <v>3925</v>
          </cell>
          <cell r="F148"/>
          <cell r="H148"/>
        </row>
        <row r="149">
          <cell r="D149">
            <v>211262</v>
          </cell>
          <cell r="F149"/>
          <cell r="H149"/>
        </row>
        <row r="150">
          <cell r="D150">
            <v>14960</v>
          </cell>
          <cell r="F150"/>
          <cell r="H150"/>
        </row>
        <row r="151">
          <cell r="D151">
            <v>123536</v>
          </cell>
          <cell r="F151">
            <v>3483</v>
          </cell>
          <cell r="H151"/>
        </row>
        <row r="152">
          <cell r="D152">
            <v>1585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3199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222068</v>
          </cell>
          <cell r="F177"/>
          <cell r="H177"/>
        </row>
        <row r="178">
          <cell r="D178">
            <v>34139</v>
          </cell>
          <cell r="F178">
            <v>15851</v>
          </cell>
          <cell r="H178"/>
        </row>
        <row r="179">
          <cell r="D179">
            <v>34575</v>
          </cell>
          <cell r="F179"/>
          <cell r="H179"/>
        </row>
        <row r="180">
          <cell r="D180">
            <v>7642</v>
          </cell>
          <cell r="F180">
            <v>2468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75530</v>
          </cell>
          <cell r="F183"/>
          <cell r="H183"/>
        </row>
        <row r="184">
          <cell r="D184">
            <v>18879</v>
          </cell>
          <cell r="F184">
            <v>5391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252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1905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36934</v>
          </cell>
          <cell r="F198"/>
          <cell r="H198">
            <v>-1678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159186</v>
          </cell>
          <cell r="F205"/>
          <cell r="H205"/>
        </row>
        <row r="206">
          <cell r="D206">
            <v>2108</v>
          </cell>
          <cell r="F206"/>
          <cell r="H206"/>
        </row>
        <row r="207">
          <cell r="D207">
            <v>16754</v>
          </cell>
          <cell r="F207">
            <v>-4679</v>
          </cell>
          <cell r="H207"/>
        </row>
        <row r="211">
          <cell r="D211">
            <v>144913</v>
          </cell>
          <cell r="F211"/>
          <cell r="H211"/>
        </row>
        <row r="212">
          <cell r="D212">
            <v>17029</v>
          </cell>
          <cell r="F212">
            <v>10344</v>
          </cell>
          <cell r="H212"/>
        </row>
        <row r="213">
          <cell r="D213">
            <v>7809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39149</v>
          </cell>
          <cell r="F216"/>
          <cell r="H216">
            <v>-146</v>
          </cell>
        </row>
        <row r="221">
          <cell r="D221">
            <v>6832117</v>
          </cell>
        </row>
      </sheetData>
      <sheetData sheetId="9"/>
      <sheetData sheetId="10"/>
      <sheetData sheetId="11">
        <row r="9">
          <cell r="C9">
            <v>18016</v>
          </cell>
          <cell r="D9"/>
          <cell r="E9">
            <v>1560</v>
          </cell>
          <cell r="F9">
            <v>2133</v>
          </cell>
          <cell r="G9">
            <v>0</v>
          </cell>
          <cell r="H9">
            <v>2505</v>
          </cell>
          <cell r="I9">
            <v>1233</v>
          </cell>
          <cell r="J9">
            <v>525</v>
          </cell>
          <cell r="K9">
            <v>194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0.59739726027397255</v>
          </cell>
        </row>
        <row r="32">
          <cell r="N32">
            <v>0.41132420091324201</v>
          </cell>
        </row>
        <row r="34">
          <cell r="N34">
            <v>0.68852709623175123</v>
          </cell>
        </row>
      </sheetData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2647</v>
          </cell>
          <cell r="G10">
            <v>7423</v>
          </cell>
        </row>
        <row r="12">
          <cell r="E12">
            <v>0</v>
          </cell>
          <cell r="G12"/>
        </row>
        <row r="13">
          <cell r="E13">
            <v>112</v>
          </cell>
          <cell r="G13"/>
        </row>
        <row r="14">
          <cell r="E14">
            <v>2925</v>
          </cell>
          <cell r="G14"/>
        </row>
        <row r="15">
          <cell r="E15">
            <v>5684</v>
          </cell>
          <cell r="G15">
            <v>7423</v>
          </cell>
        </row>
        <row r="20">
          <cell r="E20">
            <v>0</v>
          </cell>
          <cell r="G20">
            <v>0</v>
          </cell>
        </row>
        <row r="26">
          <cell r="E26">
            <v>6221241</v>
          </cell>
          <cell r="G26">
            <v>0</v>
          </cell>
        </row>
        <row r="32">
          <cell r="E32">
            <v>1644945.92253671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60055</v>
          </cell>
          <cell r="G42">
            <v>-7423</v>
          </cell>
        </row>
        <row r="47">
          <cell r="E47">
            <v>0</v>
          </cell>
          <cell r="G47">
            <v>0</v>
          </cell>
        </row>
        <row r="52">
          <cell r="E52">
            <v>12728</v>
          </cell>
          <cell r="G52">
            <v>0</v>
          </cell>
        </row>
        <row r="57">
          <cell r="E57">
            <v>440314.07746329007</v>
          </cell>
          <cell r="G57">
            <v>0</v>
          </cell>
        </row>
        <row r="72">
          <cell r="E72">
            <v>872</v>
          </cell>
          <cell r="G72">
            <v>0</v>
          </cell>
        </row>
        <row r="90">
          <cell r="C90">
            <v>283.5</v>
          </cell>
          <cell r="E90">
            <v>618.65909090909088</v>
          </cell>
          <cell r="G90">
            <v>834.22222222222217</v>
          </cell>
          <cell r="I90">
            <v>172.68421052631578</v>
          </cell>
        </row>
      </sheetData>
      <sheetData sheetId="6"/>
      <sheetData sheetId="7">
        <row r="10">
          <cell r="D10">
            <v>189931</v>
          </cell>
          <cell r="F10">
            <v>-89276</v>
          </cell>
          <cell r="H10"/>
        </row>
        <row r="11">
          <cell r="D11">
            <v>0</v>
          </cell>
          <cell r="F11"/>
          <cell r="H11"/>
        </row>
        <row r="12">
          <cell r="D12">
            <v>380924</v>
          </cell>
          <cell r="F12"/>
          <cell r="H12"/>
        </row>
        <row r="13">
          <cell r="D13">
            <v>408454</v>
          </cell>
          <cell r="F13">
            <v>-255873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419259</v>
          </cell>
          <cell r="F16"/>
          <cell r="H16">
            <v>-9107</v>
          </cell>
        </row>
        <row r="17">
          <cell r="D17">
            <v>0</v>
          </cell>
          <cell r="F17"/>
          <cell r="H17"/>
        </row>
        <row r="18">
          <cell r="D18">
            <v>14215</v>
          </cell>
          <cell r="F18"/>
          <cell r="H18"/>
        </row>
        <row r="19">
          <cell r="D19">
            <v>7995</v>
          </cell>
          <cell r="F19">
            <v>-506</v>
          </cell>
          <cell r="H19"/>
        </row>
        <row r="20">
          <cell r="D20">
            <v>37999</v>
          </cell>
          <cell r="F20">
            <v>1876</v>
          </cell>
          <cell r="H20"/>
        </row>
        <row r="21">
          <cell r="D21">
            <v>0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17190</v>
          </cell>
          <cell r="F23"/>
          <cell r="H23"/>
        </row>
        <row r="24">
          <cell r="D24">
            <v>67181</v>
          </cell>
          <cell r="F24"/>
          <cell r="H24">
            <v>-19192</v>
          </cell>
        </row>
        <row r="25">
          <cell r="D25">
            <v>0</v>
          </cell>
          <cell r="F25"/>
          <cell r="H25"/>
        </row>
        <row r="26">
          <cell r="D26">
            <v>4996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40680</v>
          </cell>
          <cell r="F29">
            <v>-40680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60555</v>
          </cell>
          <cell r="F31"/>
          <cell r="H31">
            <v>-35479</v>
          </cell>
        </row>
        <row r="32">
          <cell r="D32">
            <v>56310</v>
          </cell>
          <cell r="F32"/>
          <cell r="H32">
            <v>-25340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12</v>
          </cell>
          <cell r="F35">
            <v>-12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3297</v>
          </cell>
          <cell r="F39"/>
          <cell r="H39"/>
        </row>
        <row r="40">
          <cell r="D40">
            <v>17784</v>
          </cell>
          <cell r="F40"/>
          <cell r="H40"/>
        </row>
        <row r="41">
          <cell r="D41">
            <v>7781</v>
          </cell>
          <cell r="F41"/>
          <cell r="H41"/>
        </row>
        <row r="42">
          <cell r="D42">
            <v>1603</v>
          </cell>
          <cell r="F42"/>
          <cell r="H42"/>
        </row>
        <row r="43">
          <cell r="D43">
            <v>8704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979</v>
          </cell>
          <cell r="F45">
            <v>21</v>
          </cell>
          <cell r="H45"/>
        </row>
        <row r="57">
          <cell r="D57">
            <v>743803</v>
          </cell>
          <cell r="F57"/>
          <cell r="H57"/>
        </row>
        <row r="58">
          <cell r="D58">
            <v>17161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45921</v>
          </cell>
          <cell r="F60"/>
          <cell r="H60"/>
        </row>
        <row r="61">
          <cell r="D61">
            <v>6166</v>
          </cell>
          <cell r="F61"/>
          <cell r="H61"/>
        </row>
        <row r="62">
          <cell r="D62">
            <v>6329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4515</v>
          </cell>
          <cell r="F65"/>
          <cell r="H65"/>
        </row>
        <row r="66">
          <cell r="D66">
            <v>3538</v>
          </cell>
          <cell r="F66"/>
          <cell r="H66"/>
        </row>
        <row r="67">
          <cell r="D67">
            <v>66483</v>
          </cell>
          <cell r="F67">
            <v>-819</v>
          </cell>
          <cell r="H67"/>
        </row>
        <row r="68">
          <cell r="D68">
            <v>0</v>
          </cell>
          <cell r="F68"/>
          <cell r="H68"/>
        </row>
        <row r="69">
          <cell r="D69">
            <v>3838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38986</v>
          </cell>
          <cell r="F75"/>
          <cell r="H75"/>
        </row>
        <row r="76">
          <cell r="D76">
            <v>6759</v>
          </cell>
          <cell r="F76">
            <v>3113</v>
          </cell>
          <cell r="H76"/>
        </row>
        <row r="77">
          <cell r="D77">
            <v>14009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6245</v>
          </cell>
          <cell r="F79">
            <v>8732</v>
          </cell>
          <cell r="H79"/>
        </row>
        <row r="80">
          <cell r="D80">
            <v>27969</v>
          </cell>
          <cell r="F80"/>
          <cell r="H80"/>
        </row>
        <row r="81">
          <cell r="D81">
            <v>24618</v>
          </cell>
          <cell r="F81"/>
          <cell r="H81"/>
        </row>
        <row r="82">
          <cell r="D82">
            <v>4027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91737</v>
          </cell>
          <cell r="F84"/>
          <cell r="H84"/>
        </row>
        <row r="85">
          <cell r="D85">
            <v>63</v>
          </cell>
          <cell r="F85"/>
          <cell r="H85"/>
        </row>
        <row r="89">
          <cell r="D89">
            <v>161713</v>
          </cell>
          <cell r="F89"/>
          <cell r="H89"/>
        </row>
        <row r="90">
          <cell r="D90">
            <v>25242</v>
          </cell>
          <cell r="F90">
            <v>12913</v>
          </cell>
          <cell r="H90"/>
        </row>
        <row r="91">
          <cell r="D91">
            <v>2729</v>
          </cell>
          <cell r="F91"/>
          <cell r="H91"/>
        </row>
        <row r="92">
          <cell r="D92">
            <v>139179</v>
          </cell>
          <cell r="F92"/>
          <cell r="H92"/>
        </row>
        <row r="93">
          <cell r="D93">
            <v>8688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16071</v>
          </cell>
          <cell r="F98"/>
          <cell r="H98"/>
        </row>
        <row r="99">
          <cell r="D99">
            <v>3324</v>
          </cell>
          <cell r="F99">
            <v>1283</v>
          </cell>
          <cell r="H99"/>
        </row>
        <row r="100">
          <cell r="D100">
            <v>8470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6633</v>
          </cell>
          <cell r="F102"/>
          <cell r="H102"/>
        </row>
        <row r="103">
          <cell r="D103">
            <v>235</v>
          </cell>
          <cell r="F103"/>
          <cell r="H103"/>
        </row>
        <row r="115">
          <cell r="D115">
            <v>84300</v>
          </cell>
          <cell r="F115"/>
          <cell r="H115"/>
        </row>
        <row r="116">
          <cell r="D116">
            <v>13026</v>
          </cell>
          <cell r="F116">
            <v>6732</v>
          </cell>
          <cell r="H116"/>
        </row>
        <row r="117">
          <cell r="D117">
            <v>43595</v>
          </cell>
          <cell r="F117"/>
          <cell r="H117"/>
        </row>
        <row r="118">
          <cell r="D118">
            <v>1125</v>
          </cell>
          <cell r="F118"/>
          <cell r="H118"/>
        </row>
        <row r="119">
          <cell r="D119">
            <v>73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90423</v>
          </cell>
          <cell r="F125"/>
          <cell r="H125">
            <v>8287</v>
          </cell>
        </row>
        <row r="126">
          <cell r="D126">
            <v>132711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66233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7220</v>
          </cell>
          <cell r="H131">
            <v>820</v>
          </cell>
        </row>
        <row r="132">
          <cell r="D132"/>
          <cell r="F132">
            <v>10597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5289</v>
          </cell>
          <cell r="H134"/>
        </row>
        <row r="136">
          <cell r="D136">
            <v>588600</v>
          </cell>
          <cell r="F136"/>
          <cell r="H136"/>
        </row>
        <row r="137">
          <cell r="D137">
            <v>194719</v>
          </cell>
          <cell r="F137"/>
          <cell r="H137"/>
        </row>
        <row r="138">
          <cell r="D138">
            <v>591649</v>
          </cell>
          <cell r="F138"/>
          <cell r="H138"/>
        </row>
        <row r="139">
          <cell r="D139">
            <v>184767</v>
          </cell>
          <cell r="F139"/>
          <cell r="H139"/>
        </row>
        <row r="141">
          <cell r="D141"/>
          <cell r="F141">
            <v>47001</v>
          </cell>
          <cell r="H141"/>
        </row>
        <row r="142">
          <cell r="D142"/>
          <cell r="F142">
            <v>15549</v>
          </cell>
          <cell r="H142"/>
        </row>
        <row r="143">
          <cell r="D143"/>
          <cell r="F143">
            <v>47245</v>
          </cell>
          <cell r="H143"/>
        </row>
        <row r="144">
          <cell r="D144">
            <v>287836</v>
          </cell>
          <cell r="F144">
            <v>14754</v>
          </cell>
          <cell r="H144"/>
        </row>
        <row r="146">
          <cell r="D146">
            <v>30358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7103</v>
          </cell>
          <cell r="F150"/>
          <cell r="H150"/>
        </row>
        <row r="151">
          <cell r="D151">
            <v>82046</v>
          </cell>
          <cell r="F151"/>
          <cell r="H151"/>
        </row>
        <row r="152">
          <cell r="D152">
            <v>4349</v>
          </cell>
          <cell r="F152"/>
          <cell r="H152"/>
        </row>
        <row r="153">
          <cell r="D153">
            <v>1757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13276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740255</v>
          </cell>
          <cell r="F177"/>
          <cell r="H177"/>
        </row>
        <row r="178">
          <cell r="D178">
            <v>118906</v>
          </cell>
          <cell r="F178">
            <v>59111</v>
          </cell>
          <cell r="H178"/>
        </row>
        <row r="179">
          <cell r="D179">
            <v>52563</v>
          </cell>
          <cell r="F179"/>
          <cell r="H179"/>
        </row>
        <row r="180">
          <cell r="D180">
            <v>10086</v>
          </cell>
          <cell r="F180">
            <v>4197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464750</v>
          </cell>
          <cell r="F183"/>
          <cell r="H183"/>
        </row>
        <row r="184">
          <cell r="D184">
            <v>81532</v>
          </cell>
          <cell r="F184">
            <v>37111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11065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911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863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62839</v>
          </cell>
          <cell r="F198"/>
          <cell r="H198">
            <v>-150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605503</v>
          </cell>
          <cell r="F205"/>
          <cell r="H205"/>
        </row>
        <row r="206">
          <cell r="D206">
            <v>6994</v>
          </cell>
          <cell r="F206"/>
          <cell r="H206"/>
        </row>
        <row r="207">
          <cell r="D207">
            <v>42357</v>
          </cell>
          <cell r="F207">
            <v>-2483</v>
          </cell>
          <cell r="H207"/>
        </row>
        <row r="211">
          <cell r="D211">
            <v>29375</v>
          </cell>
          <cell r="F211"/>
          <cell r="H211"/>
        </row>
        <row r="212">
          <cell r="D212">
            <v>6058</v>
          </cell>
          <cell r="F212">
            <v>2346</v>
          </cell>
          <cell r="H212"/>
        </row>
        <row r="213">
          <cell r="D213">
            <v>4130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9130</v>
          </cell>
          <cell r="F216"/>
          <cell r="H216"/>
        </row>
        <row r="221">
          <cell r="D221">
            <v>7895563</v>
          </cell>
        </row>
      </sheetData>
      <sheetData sheetId="8"/>
      <sheetData sheetId="9"/>
      <sheetData sheetId="10">
        <row r="9">
          <cell r="C9">
            <v>111</v>
          </cell>
          <cell r="D9"/>
          <cell r="E9">
            <v>11797</v>
          </cell>
          <cell r="F9">
            <v>3705</v>
          </cell>
          <cell r="G9"/>
          <cell r="H9">
            <v>131</v>
          </cell>
          <cell r="I9"/>
          <cell r="J9">
            <v>46</v>
          </cell>
          <cell r="K9">
            <v>994</v>
          </cell>
        </row>
        <row r="22">
          <cell r="N22">
            <v>60</v>
          </cell>
        </row>
        <row r="24">
          <cell r="N24">
            <v>28</v>
          </cell>
        </row>
        <row r="28">
          <cell r="N28">
            <v>21900</v>
          </cell>
        </row>
        <row r="30">
          <cell r="N30">
            <v>0.76639269406392696</v>
          </cell>
        </row>
        <row r="32">
          <cell r="N32">
            <v>5.0684931506849318E-3</v>
          </cell>
        </row>
        <row r="34">
          <cell r="N34">
            <v>6.6134413727359396E-3</v>
          </cell>
        </row>
      </sheetData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Trial Balance"/>
      <sheetName val="Tie In"/>
      <sheetName val="Support Sched"/>
      <sheetName val="Salaries &amp; Benefits 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9795398</v>
          </cell>
          <cell r="G10">
            <v>-2527128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9795398</v>
          </cell>
          <cell r="G15">
            <v>-2527128</v>
          </cell>
        </row>
        <row r="20">
          <cell r="E20">
            <v>0</v>
          </cell>
          <cell r="G20">
            <v>148682</v>
          </cell>
        </row>
        <row r="26">
          <cell r="E26">
            <v>6139</v>
          </cell>
          <cell r="G26">
            <v>707756</v>
          </cell>
        </row>
        <row r="32">
          <cell r="E32">
            <v>0</v>
          </cell>
          <cell r="G32">
            <v>78263</v>
          </cell>
        </row>
        <row r="37">
          <cell r="E37">
            <v>0</v>
          </cell>
          <cell r="G37">
            <v>0</v>
          </cell>
        </row>
        <row r="42">
          <cell r="E42">
            <v>0</v>
          </cell>
          <cell r="G42">
            <v>648413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944014</v>
          </cell>
        </row>
        <row r="72">
          <cell r="E72">
            <v>95</v>
          </cell>
          <cell r="G72">
            <v>0</v>
          </cell>
        </row>
        <row r="90">
          <cell r="C90">
            <v>509.32203389830511</v>
          </cell>
          <cell r="E90">
            <v>546.94420600858371</v>
          </cell>
          <cell r="G90">
            <v>674.87272727272727</v>
          </cell>
          <cell r="I90">
            <v>654.05775075987845</v>
          </cell>
        </row>
      </sheetData>
      <sheetData sheetId="6"/>
      <sheetData sheetId="7">
        <row r="10">
          <cell r="D10"/>
          <cell r="F10">
            <v>75719</v>
          </cell>
          <cell r="H10"/>
        </row>
        <row r="11">
          <cell r="D11"/>
          <cell r="F11">
            <v>13900</v>
          </cell>
          <cell r="H11"/>
        </row>
        <row r="12">
          <cell r="D12">
            <v>3314391</v>
          </cell>
          <cell r="F12">
            <v>-3007835</v>
          </cell>
          <cell r="H12"/>
        </row>
        <row r="13">
          <cell r="D13">
            <v>875999</v>
          </cell>
          <cell r="F13">
            <v>-737212</v>
          </cell>
          <cell r="H13"/>
        </row>
        <row r="14">
          <cell r="D14"/>
          <cell r="F14">
            <v>112629</v>
          </cell>
          <cell r="H14"/>
        </row>
        <row r="15">
          <cell r="D15">
            <v>70665</v>
          </cell>
          <cell r="F15"/>
          <cell r="H15"/>
        </row>
        <row r="16">
          <cell r="D16"/>
          <cell r="F16"/>
          <cell r="H16"/>
        </row>
        <row r="17">
          <cell r="D17">
            <v>20669</v>
          </cell>
          <cell r="F17">
            <v>-20669</v>
          </cell>
          <cell r="H17"/>
        </row>
        <row r="18">
          <cell r="D18">
            <v>7293</v>
          </cell>
          <cell r="F18"/>
          <cell r="H18"/>
        </row>
        <row r="19">
          <cell r="D19">
            <v>3151</v>
          </cell>
          <cell r="F19"/>
          <cell r="H19"/>
        </row>
        <row r="20">
          <cell r="D20">
            <v>41229</v>
          </cell>
          <cell r="F20"/>
          <cell r="H20"/>
        </row>
        <row r="21">
          <cell r="D21"/>
          <cell r="F21"/>
          <cell r="H21"/>
        </row>
        <row r="22">
          <cell r="D22"/>
          <cell r="F22"/>
          <cell r="H22"/>
        </row>
        <row r="23">
          <cell r="D23">
            <v>11549</v>
          </cell>
          <cell r="F23"/>
          <cell r="H23"/>
        </row>
        <row r="24">
          <cell r="D24"/>
          <cell r="F24"/>
          <cell r="H24"/>
        </row>
        <row r="25">
          <cell r="D25">
            <v>642855</v>
          </cell>
          <cell r="F25"/>
          <cell r="H25"/>
        </row>
        <row r="26">
          <cell r="D26"/>
          <cell r="F26"/>
          <cell r="H26"/>
        </row>
        <row r="27">
          <cell r="D27">
            <v>38293</v>
          </cell>
          <cell r="F27"/>
          <cell r="H27"/>
        </row>
        <row r="28">
          <cell r="D28">
            <v>19524</v>
          </cell>
          <cell r="F28">
            <v>-19524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88805</v>
          </cell>
          <cell r="F31"/>
          <cell r="H31"/>
        </row>
        <row r="32">
          <cell r="D32">
            <v>67245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/>
          <cell r="F39"/>
          <cell r="H39"/>
        </row>
        <row r="40">
          <cell r="D40">
            <v>3570</v>
          </cell>
          <cell r="F40"/>
          <cell r="H40"/>
        </row>
        <row r="41">
          <cell r="D41">
            <v>311996</v>
          </cell>
          <cell r="F41"/>
          <cell r="H41"/>
        </row>
        <row r="42">
          <cell r="D42"/>
          <cell r="F42"/>
          <cell r="H42"/>
        </row>
        <row r="43">
          <cell r="D43">
            <v>13633</v>
          </cell>
          <cell r="F43"/>
          <cell r="H43"/>
        </row>
        <row r="44">
          <cell r="D44"/>
          <cell r="F44"/>
          <cell r="H44"/>
        </row>
        <row r="45">
          <cell r="D45">
            <v>517</v>
          </cell>
          <cell r="F45"/>
          <cell r="H45"/>
        </row>
        <row r="57">
          <cell r="D57">
            <v>619118</v>
          </cell>
          <cell r="F57"/>
          <cell r="H57"/>
        </row>
        <row r="58">
          <cell r="D58"/>
          <cell r="F58"/>
          <cell r="H58"/>
        </row>
        <row r="59">
          <cell r="D59"/>
          <cell r="F59"/>
          <cell r="H59"/>
        </row>
        <row r="60">
          <cell r="D60">
            <v>79260</v>
          </cell>
          <cell r="F60"/>
          <cell r="H60"/>
        </row>
        <row r="61">
          <cell r="D61">
            <v>2522</v>
          </cell>
          <cell r="F61"/>
          <cell r="H61"/>
        </row>
        <row r="62">
          <cell r="D62">
            <v>4280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7356</v>
          </cell>
          <cell r="F65"/>
          <cell r="H65"/>
        </row>
        <row r="66">
          <cell r="D66">
            <v>130575</v>
          </cell>
          <cell r="F66"/>
          <cell r="H66"/>
        </row>
        <row r="67">
          <cell r="D67">
            <v>54765</v>
          </cell>
          <cell r="F67"/>
          <cell r="H67"/>
        </row>
        <row r="68">
          <cell r="D68"/>
          <cell r="F68"/>
          <cell r="H68"/>
        </row>
        <row r="69">
          <cell r="D69">
            <v>129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/>
          <cell r="F75">
            <v>42917</v>
          </cell>
          <cell r="H75"/>
        </row>
        <row r="76">
          <cell r="D76"/>
          <cell r="F76">
            <v>11707</v>
          </cell>
          <cell r="H76"/>
        </row>
        <row r="77">
          <cell r="D77"/>
          <cell r="F77"/>
          <cell r="H77"/>
        </row>
        <row r="78">
          <cell r="D78"/>
          <cell r="F78"/>
          <cell r="H78"/>
        </row>
        <row r="79">
          <cell r="D79"/>
          <cell r="F79"/>
          <cell r="H79"/>
        </row>
        <row r="80">
          <cell r="D80">
            <v>84476</v>
          </cell>
          <cell r="F80"/>
          <cell r="H80"/>
        </row>
        <row r="81">
          <cell r="D81"/>
          <cell r="F81"/>
          <cell r="H81"/>
        </row>
        <row r="82">
          <cell r="D82">
            <v>1867</v>
          </cell>
          <cell r="F82"/>
          <cell r="H82"/>
        </row>
        <row r="83">
          <cell r="D83">
            <v>12477</v>
          </cell>
          <cell r="F83"/>
          <cell r="H83"/>
        </row>
        <row r="84">
          <cell r="D84">
            <v>91619</v>
          </cell>
          <cell r="F84"/>
          <cell r="H84"/>
        </row>
        <row r="85">
          <cell r="D85"/>
          <cell r="F85"/>
          <cell r="H85"/>
        </row>
        <row r="89">
          <cell r="D89"/>
          <cell r="F89"/>
          <cell r="H89"/>
        </row>
        <row r="90">
          <cell r="D90"/>
          <cell r="F90"/>
          <cell r="H90"/>
        </row>
        <row r="91">
          <cell r="D91"/>
          <cell r="F91"/>
          <cell r="H91"/>
        </row>
        <row r="92">
          <cell r="D92">
            <v>72957</v>
          </cell>
          <cell r="F92"/>
          <cell r="H92"/>
        </row>
        <row r="93">
          <cell r="D93"/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/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/>
          <cell r="F115">
            <v>276122</v>
          </cell>
          <cell r="H115"/>
        </row>
        <row r="116">
          <cell r="D116"/>
          <cell r="F116">
            <v>75318</v>
          </cell>
          <cell r="H116"/>
        </row>
        <row r="117">
          <cell r="D117">
            <v>32560</v>
          </cell>
          <cell r="F117"/>
          <cell r="H117"/>
        </row>
        <row r="118">
          <cell r="D118">
            <v>509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>
            <v>87231</v>
          </cell>
          <cell r="H124"/>
        </row>
        <row r="125">
          <cell r="D125"/>
          <cell r="F125">
            <v>88269</v>
          </cell>
          <cell r="H125"/>
        </row>
        <row r="126">
          <cell r="D126"/>
          <cell r="F126"/>
          <cell r="H126"/>
        </row>
        <row r="127">
          <cell r="D127"/>
          <cell r="F127">
            <v>6658</v>
          </cell>
          <cell r="H127"/>
        </row>
        <row r="128">
          <cell r="D128"/>
          <cell r="F128"/>
          <cell r="H128"/>
        </row>
        <row r="130">
          <cell r="D130"/>
          <cell r="F130">
            <v>23794</v>
          </cell>
          <cell r="H130"/>
        </row>
        <row r="131">
          <cell r="D131"/>
          <cell r="F131">
            <v>24077</v>
          </cell>
          <cell r="H131"/>
        </row>
        <row r="132">
          <cell r="D132"/>
          <cell r="F132"/>
          <cell r="H132"/>
        </row>
        <row r="133">
          <cell r="D133"/>
          <cell r="F133">
            <v>1816</v>
          </cell>
          <cell r="H133"/>
        </row>
        <row r="134">
          <cell r="D134"/>
          <cell r="F134"/>
          <cell r="H134"/>
        </row>
        <row r="136">
          <cell r="D136"/>
          <cell r="F136">
            <v>702959</v>
          </cell>
          <cell r="H136"/>
        </row>
        <row r="137">
          <cell r="D137"/>
          <cell r="F137">
            <v>204958</v>
          </cell>
          <cell r="H137"/>
        </row>
        <row r="138">
          <cell r="D138"/>
          <cell r="F138">
            <v>497171</v>
          </cell>
          <cell r="H138"/>
        </row>
        <row r="139">
          <cell r="D139"/>
          <cell r="F139"/>
          <cell r="H139"/>
        </row>
        <row r="141">
          <cell r="D141"/>
          <cell r="F141">
            <v>191747</v>
          </cell>
          <cell r="H141"/>
        </row>
        <row r="142">
          <cell r="D142"/>
          <cell r="F142">
            <v>55906</v>
          </cell>
          <cell r="H142"/>
        </row>
        <row r="143">
          <cell r="D143"/>
          <cell r="F143">
            <v>135614</v>
          </cell>
          <cell r="H143"/>
        </row>
        <row r="144">
          <cell r="D144"/>
          <cell r="F144"/>
          <cell r="H144"/>
        </row>
        <row r="146">
          <cell r="D146"/>
          <cell r="F146">
            <v>81500</v>
          </cell>
          <cell r="H146"/>
        </row>
        <row r="147">
          <cell r="D147"/>
          <cell r="F147">
            <v>624</v>
          </cell>
          <cell r="H147"/>
        </row>
        <row r="148">
          <cell r="D148"/>
          <cell r="F148">
            <v>432</v>
          </cell>
          <cell r="H148"/>
        </row>
        <row r="149">
          <cell r="D149"/>
          <cell r="F149">
            <v>1895</v>
          </cell>
          <cell r="H149"/>
        </row>
        <row r="150">
          <cell r="D150"/>
          <cell r="F150">
            <v>18457</v>
          </cell>
          <cell r="H150"/>
        </row>
        <row r="151">
          <cell r="D151">
            <v>529669</v>
          </cell>
          <cell r="F151"/>
          <cell r="H151"/>
        </row>
        <row r="152">
          <cell r="D152">
            <v>52407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>
            <v>844235</v>
          </cell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>
            <v>77863</v>
          </cell>
          <cell r="H177"/>
        </row>
        <row r="178">
          <cell r="D178"/>
          <cell r="F178">
            <v>21239</v>
          </cell>
          <cell r="H178"/>
        </row>
        <row r="179">
          <cell r="D179"/>
          <cell r="F179">
            <v>42350</v>
          </cell>
          <cell r="H179"/>
        </row>
        <row r="180">
          <cell r="D180"/>
          <cell r="F180">
            <v>11552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>
            <v>12876</v>
          </cell>
          <cell r="H183"/>
        </row>
        <row r="184">
          <cell r="D184"/>
          <cell r="F184">
            <v>3512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130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15435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150290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/>
          <cell r="F211"/>
          <cell r="H211"/>
        </row>
        <row r="212">
          <cell r="D212"/>
          <cell r="F212"/>
          <cell r="H212"/>
        </row>
        <row r="213">
          <cell r="D213">
            <v>18857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7492642</v>
          </cell>
        </row>
      </sheetData>
      <sheetData sheetId="8"/>
      <sheetData sheetId="9"/>
      <sheetData sheetId="10">
        <row r="9">
          <cell r="C9">
            <v>8648</v>
          </cell>
          <cell r="D9">
            <v>447</v>
          </cell>
          <cell r="E9">
            <v>907</v>
          </cell>
          <cell r="F9">
            <v>107</v>
          </cell>
          <cell r="G9"/>
          <cell r="H9">
            <v>1073</v>
          </cell>
          <cell r="I9"/>
          <cell r="J9"/>
          <cell r="K9">
            <v>1457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0.96187214611872152</v>
          </cell>
        </row>
        <row r="32">
          <cell r="N32">
            <v>0.6921613394216134</v>
          </cell>
        </row>
        <row r="34">
          <cell r="N34">
            <v>0.71959806946752114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2657569</v>
          </cell>
          <cell r="G10">
            <v>0</v>
          </cell>
        </row>
        <row r="12">
          <cell r="E12">
            <v>1102887</v>
          </cell>
          <cell r="G12">
            <v>1180668</v>
          </cell>
        </row>
        <row r="13">
          <cell r="E13">
            <v>0</v>
          </cell>
          <cell r="G13"/>
        </row>
        <row r="14">
          <cell r="E14">
            <v>52611</v>
          </cell>
          <cell r="G14"/>
        </row>
        <row r="15">
          <cell r="E15">
            <v>3813067</v>
          </cell>
          <cell r="G15">
            <v>1180668</v>
          </cell>
        </row>
        <row r="20">
          <cell r="E20">
            <v>0</v>
          </cell>
          <cell r="G20">
            <v>0</v>
          </cell>
        </row>
        <row r="26">
          <cell r="E26">
            <v>752133</v>
          </cell>
          <cell r="G26">
            <v>0</v>
          </cell>
        </row>
        <row r="32">
          <cell r="E32">
            <v>566712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540740</v>
          </cell>
          <cell r="G42">
            <v>0</v>
          </cell>
        </row>
        <row r="47">
          <cell r="E47">
            <v>440392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14200</v>
          </cell>
          <cell r="G72">
            <v>0</v>
          </cell>
        </row>
        <row r="90">
          <cell r="C90">
            <v>167.96889580093313</v>
          </cell>
          <cell r="E90">
            <v>224.28636363636363</v>
          </cell>
          <cell r="G90">
            <v>217.79303278688525</v>
          </cell>
          <cell r="I90">
            <v>263.96932515337426</v>
          </cell>
        </row>
      </sheetData>
      <sheetData sheetId="6"/>
      <sheetData sheetId="7">
        <row r="10">
          <cell r="D10">
            <v>124713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80900</v>
          </cell>
          <cell r="F12">
            <v>0</v>
          </cell>
          <cell r="H12">
            <v>0</v>
          </cell>
        </row>
        <row r="13">
          <cell r="D13">
            <v>143649</v>
          </cell>
          <cell r="F13">
            <v>-118861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595371</v>
          </cell>
          <cell r="F15">
            <v>0</v>
          </cell>
          <cell r="H15">
            <v>-595371</v>
          </cell>
        </row>
        <row r="16">
          <cell r="D16">
            <v>158400</v>
          </cell>
          <cell r="F16">
            <v>0</v>
          </cell>
          <cell r="H16">
            <v>-9521</v>
          </cell>
        </row>
        <row r="17">
          <cell r="D17">
            <v>28188</v>
          </cell>
          <cell r="F17">
            <v>-28188</v>
          </cell>
          <cell r="H17">
            <v>0</v>
          </cell>
        </row>
        <row r="18">
          <cell r="D18">
            <v>15035</v>
          </cell>
          <cell r="F18">
            <v>0</v>
          </cell>
          <cell r="H18">
            <v>0</v>
          </cell>
        </row>
        <row r="19">
          <cell r="D19">
            <v>54000</v>
          </cell>
          <cell r="F19">
            <v>0</v>
          </cell>
          <cell r="H19">
            <v>0</v>
          </cell>
        </row>
        <row r="20">
          <cell r="D20">
            <v>16150</v>
          </cell>
          <cell r="F20">
            <v>0</v>
          </cell>
          <cell r="H20">
            <v>0</v>
          </cell>
        </row>
        <row r="21">
          <cell r="D21">
            <v>53061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15707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377283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99689</v>
          </cell>
          <cell r="F29">
            <v>-99689</v>
          </cell>
          <cell r="H29">
            <v>0</v>
          </cell>
        </row>
        <row r="30">
          <cell r="D30">
            <v>5400</v>
          </cell>
          <cell r="F30">
            <v>-5400</v>
          </cell>
          <cell r="H30">
            <v>0</v>
          </cell>
        </row>
        <row r="31">
          <cell r="D31">
            <v>49073</v>
          </cell>
          <cell r="F31">
            <v>259</v>
          </cell>
          <cell r="H31">
            <v>0</v>
          </cell>
        </row>
        <row r="32">
          <cell r="D32">
            <v>40655</v>
          </cell>
          <cell r="F32">
            <v>-5089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</row>
        <row r="36">
          <cell r="D36">
            <v>31670</v>
          </cell>
          <cell r="F36">
            <v>2417</v>
          </cell>
          <cell r="H36">
            <v>0</v>
          </cell>
        </row>
        <row r="37">
          <cell r="D37">
            <v>0</v>
          </cell>
          <cell r="F37">
            <v>4828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1538</v>
          </cell>
          <cell r="F39">
            <v>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104716</v>
          </cell>
          <cell r="F41">
            <v>0</v>
          </cell>
          <cell r="H41">
            <v>0</v>
          </cell>
        </row>
        <row r="42">
          <cell r="D42">
            <v>1592</v>
          </cell>
          <cell r="F42">
            <v>0</v>
          </cell>
          <cell r="H42">
            <v>0</v>
          </cell>
        </row>
        <row r="43">
          <cell r="D43">
            <v>15575</v>
          </cell>
          <cell r="F43">
            <v>-15575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25317</v>
          </cell>
          <cell r="F45">
            <v>-7538</v>
          </cell>
          <cell r="H45">
            <v>0</v>
          </cell>
        </row>
        <row r="57">
          <cell r="D57">
            <v>412300</v>
          </cell>
          <cell r="F57">
            <v>0</v>
          </cell>
          <cell r="H57">
            <v>-412300</v>
          </cell>
        </row>
        <row r="58">
          <cell r="D58">
            <v>0</v>
          </cell>
          <cell r="F58">
            <v>0</v>
          </cell>
          <cell r="H58">
            <v>175175</v>
          </cell>
        </row>
        <row r="59">
          <cell r="D59">
            <v>0</v>
          </cell>
          <cell r="F59">
            <v>0</v>
          </cell>
          <cell r="H59">
            <v>269158</v>
          </cell>
        </row>
        <row r="60">
          <cell r="D60">
            <v>38865</v>
          </cell>
          <cell r="F60">
            <v>0</v>
          </cell>
          <cell r="H60">
            <v>-5652</v>
          </cell>
        </row>
        <row r="61">
          <cell r="D61">
            <v>0</v>
          </cell>
          <cell r="F61">
            <v>11056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17272</v>
          </cell>
          <cell r="F65">
            <v>-7915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0</v>
          </cell>
          <cell r="F67">
            <v>4922</v>
          </cell>
          <cell r="H67">
            <v>2640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0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50513</v>
          </cell>
          <cell r="F75">
            <v>0</v>
          </cell>
          <cell r="H75">
            <v>0</v>
          </cell>
        </row>
        <row r="76">
          <cell r="D76">
            <v>4263</v>
          </cell>
          <cell r="F76">
            <v>2941</v>
          </cell>
          <cell r="H76">
            <v>0</v>
          </cell>
        </row>
        <row r="77">
          <cell r="D77">
            <v>8001</v>
          </cell>
          <cell r="F77">
            <v>0</v>
          </cell>
          <cell r="H77">
            <v>0</v>
          </cell>
        </row>
        <row r="78">
          <cell r="D78">
            <v>0</v>
          </cell>
          <cell r="F78">
            <v>0</v>
          </cell>
          <cell r="H78">
            <v>0</v>
          </cell>
        </row>
        <row r="79">
          <cell r="D79">
            <v>2363</v>
          </cell>
          <cell r="F79">
            <v>0</v>
          </cell>
          <cell r="H79">
            <v>0</v>
          </cell>
        </row>
        <row r="80">
          <cell r="D80">
            <v>24358</v>
          </cell>
          <cell r="F80">
            <v>0</v>
          </cell>
          <cell r="H80">
            <v>0</v>
          </cell>
        </row>
        <row r="81">
          <cell r="D81">
            <v>31612</v>
          </cell>
          <cell r="F81">
            <v>-28692</v>
          </cell>
          <cell r="H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</row>
        <row r="84">
          <cell r="D84">
            <v>61608</v>
          </cell>
          <cell r="F84">
            <v>0</v>
          </cell>
          <cell r="H84">
            <v>0</v>
          </cell>
        </row>
        <row r="85">
          <cell r="D85">
            <v>10553</v>
          </cell>
          <cell r="F85">
            <v>0</v>
          </cell>
          <cell r="H85">
            <v>0</v>
          </cell>
        </row>
        <row r="89">
          <cell r="D89">
            <v>180175</v>
          </cell>
          <cell r="F89">
            <v>0</v>
          </cell>
          <cell r="H89">
            <v>0</v>
          </cell>
        </row>
        <row r="90">
          <cell r="D90">
            <v>14817</v>
          </cell>
          <cell r="F90">
            <v>10491</v>
          </cell>
          <cell r="H90">
            <v>0</v>
          </cell>
        </row>
        <row r="91">
          <cell r="D91">
            <v>18438</v>
          </cell>
          <cell r="F91">
            <v>0</v>
          </cell>
          <cell r="H91">
            <v>0</v>
          </cell>
        </row>
        <row r="92">
          <cell r="D92">
            <v>117235</v>
          </cell>
          <cell r="F92">
            <v>0</v>
          </cell>
          <cell r="H92">
            <v>0</v>
          </cell>
        </row>
        <row r="93">
          <cell r="D93">
            <v>13054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8750</v>
          </cell>
          <cell r="F98">
            <v>-8750</v>
          </cell>
          <cell r="H98">
            <v>0</v>
          </cell>
        </row>
        <row r="99">
          <cell r="D99">
            <v>755</v>
          </cell>
          <cell r="F99">
            <v>-755</v>
          </cell>
          <cell r="H99">
            <v>0</v>
          </cell>
        </row>
        <row r="100">
          <cell r="D100">
            <v>79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2056</v>
          </cell>
          <cell r="F102">
            <v>0</v>
          </cell>
          <cell r="H102">
            <v>0</v>
          </cell>
        </row>
        <row r="103">
          <cell r="D103">
            <v>598</v>
          </cell>
          <cell r="F103">
            <v>0</v>
          </cell>
          <cell r="H103">
            <v>0</v>
          </cell>
        </row>
        <row r="115">
          <cell r="D115">
            <v>99829</v>
          </cell>
          <cell r="F115">
            <v>0</v>
          </cell>
          <cell r="H115">
            <v>0</v>
          </cell>
        </row>
        <row r="116">
          <cell r="D116">
            <v>8097</v>
          </cell>
          <cell r="F116">
            <v>5813</v>
          </cell>
          <cell r="H116">
            <v>0</v>
          </cell>
        </row>
        <row r="117">
          <cell r="D117">
            <v>22947</v>
          </cell>
          <cell r="F117">
            <v>0</v>
          </cell>
          <cell r="H117">
            <v>0</v>
          </cell>
        </row>
        <row r="118">
          <cell r="D118">
            <v>0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156635</v>
          </cell>
          <cell r="F125">
            <v>72490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18448</v>
          </cell>
          <cell r="F128">
            <v>1408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31136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2812</v>
          </cell>
          <cell r="H134">
            <v>0</v>
          </cell>
        </row>
        <row r="136">
          <cell r="D136">
            <v>429547</v>
          </cell>
          <cell r="F136">
            <v>-88128</v>
          </cell>
          <cell r="H136">
            <v>0</v>
          </cell>
        </row>
        <row r="137">
          <cell r="D137">
            <v>269401</v>
          </cell>
          <cell r="F137">
            <v>20563</v>
          </cell>
          <cell r="H137">
            <v>0</v>
          </cell>
        </row>
        <row r="138">
          <cell r="D138">
            <v>642467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70626</v>
          </cell>
          <cell r="F141">
            <v>-25844</v>
          </cell>
          <cell r="H141">
            <v>0</v>
          </cell>
        </row>
        <row r="142">
          <cell r="D142">
            <v>0</v>
          </cell>
          <cell r="F142">
            <v>41068</v>
          </cell>
          <cell r="H142">
            <v>0</v>
          </cell>
        </row>
        <row r="143">
          <cell r="D143">
            <v>50613</v>
          </cell>
          <cell r="F143">
            <v>37408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54000</v>
          </cell>
          <cell r="F146">
            <v>0</v>
          </cell>
          <cell r="H146">
            <v>0</v>
          </cell>
        </row>
        <row r="147">
          <cell r="D147">
            <v>4348</v>
          </cell>
          <cell r="F147">
            <v>0</v>
          </cell>
          <cell r="H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6050</v>
          </cell>
          <cell r="F150">
            <v>0</v>
          </cell>
          <cell r="H150">
            <v>0</v>
          </cell>
        </row>
        <row r="151">
          <cell r="D151">
            <v>110223</v>
          </cell>
          <cell r="F151">
            <v>0</v>
          </cell>
          <cell r="H151">
            <v>0</v>
          </cell>
        </row>
        <row r="152">
          <cell r="D152">
            <v>25204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376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190710</v>
          </cell>
          <cell r="F194">
            <v>0</v>
          </cell>
          <cell r="H194">
            <v>0</v>
          </cell>
        </row>
        <row r="195">
          <cell r="D195">
            <v>45996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177307</v>
          </cell>
          <cell r="F197">
            <v>0</v>
          </cell>
          <cell r="H197">
            <v>0</v>
          </cell>
        </row>
        <row r="198">
          <cell r="D198">
            <v>18335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212890</v>
          </cell>
          <cell r="F205">
            <v>0</v>
          </cell>
          <cell r="H205">
            <v>0</v>
          </cell>
        </row>
        <row r="206">
          <cell r="D206">
            <v>0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102984</v>
          </cell>
          <cell r="F211">
            <v>0</v>
          </cell>
          <cell r="H211">
            <v>0</v>
          </cell>
        </row>
        <row r="212">
          <cell r="D212">
            <v>8161</v>
          </cell>
          <cell r="F212">
            <v>5996</v>
          </cell>
          <cell r="H212">
            <v>0</v>
          </cell>
        </row>
        <row r="213">
          <cell r="D213">
            <v>10715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5121</v>
          </cell>
          <cell r="F216">
            <v>0</v>
          </cell>
          <cell r="H216">
            <v>0</v>
          </cell>
        </row>
        <row r="221">
          <cell r="D221">
            <v>5796377</v>
          </cell>
        </row>
      </sheetData>
      <sheetData sheetId="8"/>
      <sheetData sheetId="9"/>
      <sheetData sheetId="10"/>
      <sheetData sheetId="11">
        <row r="9">
          <cell r="C9">
            <v>13469</v>
          </cell>
          <cell r="D9"/>
          <cell r="E9">
            <v>1551</v>
          </cell>
          <cell r="F9">
            <v>1166</v>
          </cell>
          <cell r="G9"/>
          <cell r="H9">
            <v>2500</v>
          </cell>
          <cell r="I9">
            <v>2090</v>
          </cell>
          <cell r="J9"/>
          <cell r="K9"/>
        </row>
        <row r="22">
          <cell r="N22">
            <v>88</v>
          </cell>
        </row>
        <row r="24">
          <cell r="N24">
            <v>88</v>
          </cell>
        </row>
        <row r="28">
          <cell r="N28">
            <v>32120</v>
          </cell>
        </row>
        <row r="30">
          <cell r="N30">
            <v>0.64682440846824407</v>
          </cell>
        </row>
        <row r="32">
          <cell r="N32">
            <v>0.41933374844333748</v>
          </cell>
        </row>
        <row r="34">
          <cell r="N34">
            <v>0.64829611089718908</v>
          </cell>
        </row>
      </sheetData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2444853</v>
          </cell>
          <cell r="G10">
            <v>0</v>
          </cell>
        </row>
        <row r="12">
          <cell r="E12">
            <v>747654</v>
          </cell>
          <cell r="G12">
            <v>835302.06602734211</v>
          </cell>
        </row>
        <row r="13">
          <cell r="E13">
            <v>40222</v>
          </cell>
          <cell r="G13"/>
        </row>
        <row r="14">
          <cell r="E14">
            <v>68056</v>
          </cell>
          <cell r="G14"/>
        </row>
        <row r="15">
          <cell r="E15">
            <v>3300785</v>
          </cell>
          <cell r="G15">
            <v>835302.06602734211</v>
          </cell>
        </row>
        <row r="20">
          <cell r="E20">
            <v>0</v>
          </cell>
          <cell r="G20">
            <v>0</v>
          </cell>
        </row>
        <row r="26">
          <cell r="E26">
            <v>512852</v>
          </cell>
          <cell r="G26">
            <v>0</v>
          </cell>
        </row>
        <row r="32">
          <cell r="E32">
            <v>806449.56437389762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405380</v>
          </cell>
          <cell r="G42">
            <v>0</v>
          </cell>
        </row>
        <row r="47">
          <cell r="E47">
            <v>342123</v>
          </cell>
          <cell r="G47">
            <v>0</v>
          </cell>
        </row>
        <row r="52">
          <cell r="E52">
            <v>12507</v>
          </cell>
          <cell r="G52">
            <v>0</v>
          </cell>
        </row>
        <row r="57">
          <cell r="E57">
            <v>198376.43562610229</v>
          </cell>
          <cell r="G57">
            <v>0</v>
          </cell>
        </row>
        <row r="72">
          <cell r="E72">
            <v>1308</v>
          </cell>
          <cell r="G72">
            <v>0</v>
          </cell>
        </row>
        <row r="90">
          <cell r="C90">
            <v>278.74029126213594</v>
          </cell>
          <cell r="E90">
            <v>205.57468354430381</v>
          </cell>
          <cell r="G90">
            <v>196.30023640661938</v>
          </cell>
          <cell r="I90">
            <v>233.46025878003698</v>
          </cell>
        </row>
      </sheetData>
      <sheetData sheetId="7"/>
      <sheetData sheetId="8">
        <row r="10">
          <cell r="D10">
            <v>135312</v>
          </cell>
          <cell r="F10">
            <v>-46201.760000000002</v>
          </cell>
          <cell r="H10"/>
        </row>
        <row r="11">
          <cell r="D11">
            <v>0</v>
          </cell>
          <cell r="F11">
            <v>0</v>
          </cell>
          <cell r="H11"/>
        </row>
        <row r="12">
          <cell r="D12">
            <v>142287</v>
          </cell>
          <cell r="F12">
            <v>0</v>
          </cell>
          <cell r="H12"/>
        </row>
        <row r="13">
          <cell r="D13">
            <v>176811</v>
          </cell>
          <cell r="F13">
            <v>-117499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278989</v>
          </cell>
          <cell r="F16"/>
          <cell r="H16">
            <v>-41348</v>
          </cell>
        </row>
        <row r="17">
          <cell r="D17">
            <v>0</v>
          </cell>
          <cell r="F17"/>
          <cell r="H17"/>
        </row>
        <row r="18">
          <cell r="D18">
            <v>12130</v>
          </cell>
          <cell r="F18"/>
          <cell r="H18"/>
        </row>
        <row r="19">
          <cell r="D19">
            <v>15909</v>
          </cell>
          <cell r="F19">
            <v>-1539</v>
          </cell>
          <cell r="H19"/>
        </row>
        <row r="20">
          <cell r="D20">
            <v>14544</v>
          </cell>
          <cell r="F20"/>
          <cell r="H20"/>
        </row>
        <row r="21">
          <cell r="D21">
            <v>1307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6255</v>
          </cell>
          <cell r="F23"/>
          <cell r="H23"/>
        </row>
        <row r="24">
          <cell r="D24">
            <v>57068</v>
          </cell>
          <cell r="F24"/>
          <cell r="H24">
            <v>-16345</v>
          </cell>
        </row>
        <row r="25">
          <cell r="D25">
            <v>0</v>
          </cell>
          <cell r="F25"/>
          <cell r="H25"/>
        </row>
        <row r="26">
          <cell r="D26">
            <v>336771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34074</v>
          </cell>
          <cell r="F29">
            <v>-34074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55566</v>
          </cell>
          <cell r="F31"/>
          <cell r="H31">
            <v>-32556</v>
          </cell>
        </row>
        <row r="32">
          <cell r="D32">
            <v>83966</v>
          </cell>
          <cell r="F32"/>
          <cell r="H32">
            <v>-37785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3900</v>
          </cell>
          <cell r="F36"/>
          <cell r="H36"/>
        </row>
        <row r="37">
          <cell r="D37">
            <v>437</v>
          </cell>
          <cell r="F37">
            <v>235</v>
          </cell>
          <cell r="H37"/>
        </row>
        <row r="38">
          <cell r="D38">
            <v>0</v>
          </cell>
          <cell r="F38"/>
          <cell r="H38"/>
        </row>
        <row r="39">
          <cell r="D39">
            <v>16950</v>
          </cell>
          <cell r="F39"/>
          <cell r="H39"/>
        </row>
        <row r="40">
          <cell r="D40">
            <v>17516</v>
          </cell>
          <cell r="F40"/>
          <cell r="H40"/>
        </row>
        <row r="41">
          <cell r="D41">
            <v>23319</v>
          </cell>
          <cell r="F41"/>
          <cell r="H41"/>
        </row>
        <row r="42">
          <cell r="D42">
            <v>7891</v>
          </cell>
          <cell r="F42"/>
          <cell r="H42"/>
        </row>
        <row r="43">
          <cell r="D43">
            <v>9988</v>
          </cell>
          <cell r="F43"/>
          <cell r="H43"/>
        </row>
        <row r="44">
          <cell r="D44">
            <v>15</v>
          </cell>
          <cell r="F44"/>
          <cell r="H44"/>
        </row>
        <row r="45">
          <cell r="D45">
            <v>1631</v>
          </cell>
          <cell r="F45">
            <v>-1303</v>
          </cell>
          <cell r="H45"/>
        </row>
        <row r="57">
          <cell r="D57">
            <v>433441</v>
          </cell>
          <cell r="F57">
            <v>-433441</v>
          </cell>
          <cell r="H57"/>
        </row>
        <row r="58">
          <cell r="D58">
            <v>201247</v>
          </cell>
          <cell r="F58">
            <v>103140</v>
          </cell>
          <cell r="H58"/>
        </row>
        <row r="59">
          <cell r="D59">
            <v>0</v>
          </cell>
          <cell r="F59"/>
          <cell r="H59"/>
        </row>
        <row r="60">
          <cell r="D60">
            <v>25541</v>
          </cell>
          <cell r="F60"/>
          <cell r="H60"/>
        </row>
        <row r="61">
          <cell r="D61">
            <v>10394</v>
          </cell>
          <cell r="F61"/>
          <cell r="H61"/>
        </row>
        <row r="62">
          <cell r="D62">
            <v>9888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5425</v>
          </cell>
          <cell r="F65"/>
          <cell r="H65"/>
        </row>
        <row r="66">
          <cell r="D66">
            <v>7654</v>
          </cell>
          <cell r="F66"/>
          <cell r="H66"/>
        </row>
        <row r="67">
          <cell r="D67">
            <v>83342</v>
          </cell>
          <cell r="F67">
            <v>-6298</v>
          </cell>
          <cell r="H67"/>
        </row>
        <row r="68">
          <cell r="D68">
            <v>0</v>
          </cell>
          <cell r="F68"/>
          <cell r="H68"/>
        </row>
        <row r="69">
          <cell r="D69">
            <v>5342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48553</v>
          </cell>
          <cell r="F75"/>
          <cell r="H75"/>
        </row>
        <row r="76">
          <cell r="D76">
            <v>7704</v>
          </cell>
          <cell r="F76">
            <v>2924</v>
          </cell>
          <cell r="H76"/>
        </row>
        <row r="77">
          <cell r="D77">
            <v>11422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10003</v>
          </cell>
          <cell r="F79">
            <v>3086</v>
          </cell>
          <cell r="H79"/>
        </row>
        <row r="80">
          <cell r="D80">
            <v>22925</v>
          </cell>
          <cell r="F80"/>
          <cell r="H80"/>
        </row>
        <row r="81">
          <cell r="D81">
            <v>9591</v>
          </cell>
          <cell r="F81"/>
          <cell r="H81"/>
        </row>
        <row r="82">
          <cell r="D82">
            <v>2880</v>
          </cell>
          <cell r="F82"/>
          <cell r="H82"/>
        </row>
        <row r="83">
          <cell r="D83">
            <v>2128</v>
          </cell>
          <cell r="F83"/>
          <cell r="H83"/>
        </row>
        <row r="84">
          <cell r="D84">
            <v>71984</v>
          </cell>
          <cell r="F84"/>
          <cell r="H84"/>
        </row>
        <row r="85">
          <cell r="D85">
            <v>-465</v>
          </cell>
          <cell r="F85"/>
          <cell r="H85"/>
        </row>
        <row r="89">
          <cell r="D89">
            <v>141182</v>
          </cell>
          <cell r="F89"/>
          <cell r="H89"/>
        </row>
        <row r="90">
          <cell r="D90">
            <v>21950</v>
          </cell>
          <cell r="F90">
            <v>8502</v>
          </cell>
          <cell r="H90"/>
        </row>
        <row r="91">
          <cell r="D91">
            <v>16806</v>
          </cell>
          <cell r="F91"/>
          <cell r="H91"/>
        </row>
        <row r="92">
          <cell r="D92">
            <v>134943</v>
          </cell>
          <cell r="F92"/>
          <cell r="H92"/>
        </row>
        <row r="93">
          <cell r="D93">
            <v>14317</v>
          </cell>
          <cell r="F93"/>
          <cell r="H93"/>
        </row>
        <row r="94">
          <cell r="D94">
            <v>108</v>
          </cell>
          <cell r="F94"/>
          <cell r="H94"/>
        </row>
        <row r="98">
          <cell r="D98">
            <v>37469</v>
          </cell>
          <cell r="F98"/>
          <cell r="H98"/>
        </row>
        <row r="99">
          <cell r="D99">
            <v>6221</v>
          </cell>
          <cell r="F99">
            <v>2256</v>
          </cell>
          <cell r="H99"/>
        </row>
        <row r="100">
          <cell r="D100">
            <v>7103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1943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90603</v>
          </cell>
          <cell r="F115"/>
          <cell r="H115"/>
        </row>
        <row r="116">
          <cell r="D116">
            <v>14053</v>
          </cell>
          <cell r="F116">
            <v>5456</v>
          </cell>
          <cell r="H116"/>
        </row>
        <row r="117">
          <cell r="D117">
            <v>20107</v>
          </cell>
          <cell r="F117"/>
          <cell r="H117"/>
        </row>
        <row r="118">
          <cell r="D118">
            <v>2130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145449</v>
          </cell>
          <cell r="F125"/>
          <cell r="H125">
            <v>37206</v>
          </cell>
        </row>
        <row r="126">
          <cell r="D126">
            <v>71664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13138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0</v>
          </cell>
          <cell r="F131">
            <v>8759</v>
          </cell>
          <cell r="H131">
            <v>4142</v>
          </cell>
        </row>
        <row r="132">
          <cell r="D132">
            <v>0</v>
          </cell>
          <cell r="F132">
            <v>4316</v>
          </cell>
          <cell r="H132"/>
        </row>
        <row r="133">
          <cell r="D133">
            <v>0</v>
          </cell>
          <cell r="F133">
            <v>0</v>
          </cell>
          <cell r="H133"/>
        </row>
        <row r="134">
          <cell r="D134">
            <v>0</v>
          </cell>
          <cell r="F134">
            <v>791</v>
          </cell>
          <cell r="H134"/>
        </row>
        <row r="136">
          <cell r="D136">
            <v>440719</v>
          </cell>
          <cell r="F136"/>
          <cell r="H136"/>
        </row>
        <row r="137">
          <cell r="D137">
            <v>115874</v>
          </cell>
          <cell r="F137"/>
          <cell r="H137"/>
        </row>
        <row r="138">
          <cell r="D138">
            <v>427124</v>
          </cell>
          <cell r="F138"/>
          <cell r="H138"/>
        </row>
        <row r="139">
          <cell r="D139">
            <v>140958</v>
          </cell>
          <cell r="F139"/>
          <cell r="H139"/>
        </row>
        <row r="141">
          <cell r="D141">
            <v>0</v>
          </cell>
          <cell r="F141">
            <v>26541</v>
          </cell>
          <cell r="H141"/>
        </row>
        <row r="142">
          <cell r="D142">
            <v>0</v>
          </cell>
          <cell r="F142">
            <v>6978</v>
          </cell>
          <cell r="H142"/>
        </row>
        <row r="143">
          <cell r="D143">
            <v>0</v>
          </cell>
          <cell r="F143">
            <v>25722</v>
          </cell>
          <cell r="H143"/>
        </row>
        <row r="144">
          <cell r="D144">
            <v>206580</v>
          </cell>
          <cell r="F144">
            <v>8489</v>
          </cell>
          <cell r="H144"/>
        </row>
        <row r="146">
          <cell r="D146">
            <v>23125</v>
          </cell>
          <cell r="F146"/>
          <cell r="H146"/>
        </row>
        <row r="147">
          <cell r="D147">
            <v>2813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69646</v>
          </cell>
          <cell r="F149"/>
          <cell r="H149"/>
        </row>
        <row r="150">
          <cell r="D150">
            <v>18260</v>
          </cell>
          <cell r="F150"/>
          <cell r="H150"/>
        </row>
        <row r="151">
          <cell r="D151">
            <v>65352</v>
          </cell>
          <cell r="F151">
            <v>2677</v>
          </cell>
          <cell r="H151"/>
        </row>
        <row r="152">
          <cell r="D152">
            <v>5438</v>
          </cell>
          <cell r="F152"/>
          <cell r="H152"/>
        </row>
        <row r="153">
          <cell r="D153">
            <v>176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3142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109371</v>
          </cell>
          <cell r="F177"/>
          <cell r="H177"/>
        </row>
        <row r="178">
          <cell r="D178">
            <v>18045</v>
          </cell>
          <cell r="F178">
            <v>6586</v>
          </cell>
          <cell r="H178"/>
        </row>
        <row r="179">
          <cell r="D179">
            <v>32922</v>
          </cell>
          <cell r="F179"/>
          <cell r="H179"/>
        </row>
        <row r="180">
          <cell r="D180">
            <v>3742</v>
          </cell>
          <cell r="F180">
            <v>1983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142766</v>
          </cell>
          <cell r="F183"/>
          <cell r="H183"/>
        </row>
        <row r="184">
          <cell r="D184">
            <v>17441</v>
          </cell>
          <cell r="F184">
            <v>8598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321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569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1990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21173</v>
          </cell>
          <cell r="F198"/>
          <cell r="H198">
            <v>-583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93126</v>
          </cell>
          <cell r="F205">
            <v>-1332</v>
          </cell>
          <cell r="H205"/>
        </row>
        <row r="206">
          <cell r="D206">
            <v>-2325</v>
          </cell>
          <cell r="F206"/>
          <cell r="H206"/>
        </row>
        <row r="207">
          <cell r="D207">
            <v>2531</v>
          </cell>
          <cell r="H207"/>
        </row>
        <row r="211">
          <cell r="D211">
            <v>126906</v>
          </cell>
          <cell r="F211"/>
          <cell r="H211"/>
        </row>
        <row r="212">
          <cell r="D212">
            <v>30247</v>
          </cell>
          <cell r="F212">
            <v>7642</v>
          </cell>
          <cell r="H212"/>
        </row>
        <row r="213">
          <cell r="D213">
            <v>2998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57370</v>
          </cell>
          <cell r="F216"/>
          <cell r="H216">
            <v>-1332</v>
          </cell>
        </row>
        <row r="221">
          <cell r="D221">
            <v>5319221</v>
          </cell>
        </row>
      </sheetData>
      <sheetData sheetId="9"/>
      <sheetData sheetId="10"/>
      <sheetData sheetId="11">
        <row r="9">
          <cell r="C9">
            <v>12523</v>
          </cell>
          <cell r="D9"/>
          <cell r="E9">
            <v>862</v>
          </cell>
          <cell r="F9">
            <v>1819</v>
          </cell>
          <cell r="G9"/>
          <cell r="H9">
            <v>1771</v>
          </cell>
          <cell r="I9">
            <v>1696</v>
          </cell>
          <cell r="J9">
            <v>62</v>
          </cell>
          <cell r="K9">
            <v>449</v>
          </cell>
        </row>
        <row r="22">
          <cell r="N22">
            <v>93</v>
          </cell>
        </row>
        <row r="24">
          <cell r="N24">
            <v>93</v>
          </cell>
        </row>
        <row r="28">
          <cell r="N28">
            <v>33945</v>
          </cell>
        </row>
        <row r="30">
          <cell r="N30">
            <v>0.56509058771542198</v>
          </cell>
        </row>
        <row r="32">
          <cell r="N32">
            <v>0.36892031226984828</v>
          </cell>
        </row>
        <row r="34">
          <cell r="N34">
            <v>0.6528516317380878</v>
          </cell>
        </row>
      </sheetData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1232639</v>
          </cell>
          <cell r="G10">
            <v>0</v>
          </cell>
        </row>
        <row r="12">
          <cell r="E12">
            <v>1132678</v>
          </cell>
          <cell r="G12">
            <v>13659</v>
          </cell>
        </row>
        <row r="13">
          <cell r="E13">
            <v>0</v>
          </cell>
          <cell r="G13"/>
        </row>
        <row r="14">
          <cell r="E14">
            <v>0</v>
          </cell>
          <cell r="G14"/>
        </row>
        <row r="15">
          <cell r="E15">
            <v>2365317</v>
          </cell>
          <cell r="G15">
            <v>13659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87162</v>
          </cell>
          <cell r="G42">
            <v>0</v>
          </cell>
        </row>
        <row r="47">
          <cell r="E47">
            <v>24558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387</v>
          </cell>
          <cell r="G72">
            <v>0</v>
          </cell>
        </row>
        <row r="90">
          <cell r="C90">
            <v>195</v>
          </cell>
          <cell r="E90">
            <v>195</v>
          </cell>
          <cell r="G90">
            <v>173.51694915254237</v>
          </cell>
          <cell r="I90">
            <v>126.39560439560439</v>
          </cell>
        </row>
      </sheetData>
      <sheetData sheetId="6"/>
      <sheetData sheetId="7">
        <row r="10">
          <cell r="D10">
            <v>52568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39520</v>
          </cell>
          <cell r="F12">
            <v>0</v>
          </cell>
          <cell r="H12">
            <v>0</v>
          </cell>
        </row>
        <row r="13">
          <cell r="D13">
            <v>21222</v>
          </cell>
          <cell r="F13">
            <v>-14510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558050</v>
          </cell>
          <cell r="F15">
            <v>0</v>
          </cell>
          <cell r="H15">
            <v>-558050</v>
          </cell>
        </row>
        <row r="16">
          <cell r="D16">
            <v>46800</v>
          </cell>
          <cell r="F16">
            <v>0</v>
          </cell>
          <cell r="H16">
            <v>17858</v>
          </cell>
        </row>
        <row r="17">
          <cell r="D17">
            <v>192</v>
          </cell>
          <cell r="F17">
            <v>-192</v>
          </cell>
          <cell r="H17">
            <v>0</v>
          </cell>
        </row>
        <row r="18">
          <cell r="D18">
            <v>8617</v>
          </cell>
          <cell r="F18">
            <v>0</v>
          </cell>
          <cell r="H18">
            <v>0</v>
          </cell>
        </row>
        <row r="19">
          <cell r="D19">
            <v>18797</v>
          </cell>
          <cell r="F19">
            <v>0</v>
          </cell>
          <cell r="H19">
            <v>0</v>
          </cell>
        </row>
        <row r="20">
          <cell r="D20">
            <v>10080</v>
          </cell>
          <cell r="F20">
            <v>0</v>
          </cell>
          <cell r="H20">
            <v>0</v>
          </cell>
        </row>
        <row r="21">
          <cell r="D21">
            <v>51005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4704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189324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14886</v>
          </cell>
          <cell r="F29">
            <v>-14886</v>
          </cell>
          <cell r="H29">
            <v>0</v>
          </cell>
        </row>
        <row r="30">
          <cell r="D30">
            <v>2160</v>
          </cell>
          <cell r="F30">
            <v>-2160</v>
          </cell>
          <cell r="H30">
            <v>0</v>
          </cell>
        </row>
        <row r="31">
          <cell r="D31">
            <v>21740</v>
          </cell>
          <cell r="F31">
            <v>44</v>
          </cell>
          <cell r="H31">
            <v>0</v>
          </cell>
        </row>
        <row r="32">
          <cell r="D32">
            <v>22625</v>
          </cell>
          <cell r="F32">
            <v>-3203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8625</v>
          </cell>
          <cell r="F39">
            <v>-7330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6549</v>
          </cell>
          <cell r="F41">
            <v>2500</v>
          </cell>
          <cell r="H41">
            <v>0</v>
          </cell>
        </row>
        <row r="42">
          <cell r="D42">
            <v>387</v>
          </cell>
          <cell r="F42">
            <v>0</v>
          </cell>
          <cell r="H42">
            <v>0</v>
          </cell>
        </row>
        <row r="43">
          <cell r="D43">
            <v>6260</v>
          </cell>
          <cell r="F43">
            <v>-6260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25978</v>
          </cell>
          <cell r="F45">
            <v>-7868</v>
          </cell>
          <cell r="H45">
            <v>0</v>
          </cell>
        </row>
        <row r="57">
          <cell r="D57">
            <v>151860</v>
          </cell>
          <cell r="F57">
            <v>0</v>
          </cell>
          <cell r="H57">
            <v>-151860</v>
          </cell>
        </row>
        <row r="58">
          <cell r="D58">
            <v>0</v>
          </cell>
          <cell r="F58">
            <v>0</v>
          </cell>
          <cell r="H58">
            <v>41148</v>
          </cell>
        </row>
        <row r="59">
          <cell r="D59">
            <v>0</v>
          </cell>
          <cell r="F59">
            <v>0</v>
          </cell>
          <cell r="H59">
            <v>153190</v>
          </cell>
        </row>
        <row r="60">
          <cell r="D60">
            <v>5620</v>
          </cell>
          <cell r="F60">
            <v>0</v>
          </cell>
          <cell r="H60">
            <v>0</v>
          </cell>
        </row>
        <row r="61">
          <cell r="D61">
            <v>0</v>
          </cell>
          <cell r="F61">
            <v>4413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6170</v>
          </cell>
          <cell r="F65">
            <v>-4416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0</v>
          </cell>
          <cell r="F67">
            <v>8266</v>
          </cell>
          <cell r="H67">
            <v>5000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0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12492</v>
          </cell>
          <cell r="F75">
            <v>0</v>
          </cell>
          <cell r="H75">
            <v>0</v>
          </cell>
        </row>
        <row r="76">
          <cell r="D76">
            <v>1143</v>
          </cell>
          <cell r="F76">
            <v>264</v>
          </cell>
          <cell r="H76">
            <v>0</v>
          </cell>
        </row>
        <row r="77">
          <cell r="D77">
            <v>5660</v>
          </cell>
          <cell r="F77">
            <v>0</v>
          </cell>
          <cell r="H77">
            <v>0</v>
          </cell>
        </row>
        <row r="78">
          <cell r="D78">
            <v>0</v>
          </cell>
          <cell r="F78">
            <v>0</v>
          </cell>
          <cell r="H78">
            <v>0</v>
          </cell>
        </row>
        <row r="79">
          <cell r="D79">
            <v>0</v>
          </cell>
          <cell r="F79">
            <v>0</v>
          </cell>
          <cell r="H79">
            <v>0</v>
          </cell>
        </row>
        <row r="80">
          <cell r="D80">
            <v>6699</v>
          </cell>
          <cell r="F80">
            <v>-1870</v>
          </cell>
          <cell r="H80">
            <v>0</v>
          </cell>
        </row>
        <row r="81">
          <cell r="D81">
            <v>31766</v>
          </cell>
          <cell r="F81">
            <v>-28922</v>
          </cell>
          <cell r="H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</row>
        <row r="84">
          <cell r="D84">
            <v>21637</v>
          </cell>
          <cell r="F84">
            <v>0</v>
          </cell>
          <cell r="H84">
            <v>0</v>
          </cell>
        </row>
        <row r="85">
          <cell r="D85">
            <v>5172</v>
          </cell>
          <cell r="F85">
            <v>0</v>
          </cell>
          <cell r="H85">
            <v>0</v>
          </cell>
        </row>
        <row r="89">
          <cell r="D89">
            <v>65618</v>
          </cell>
          <cell r="F89">
            <v>0</v>
          </cell>
          <cell r="H89">
            <v>0</v>
          </cell>
        </row>
        <row r="90">
          <cell r="D90">
            <v>5694</v>
          </cell>
          <cell r="F90">
            <v>1389</v>
          </cell>
          <cell r="H90">
            <v>0</v>
          </cell>
        </row>
        <row r="91">
          <cell r="D91">
            <v>4050</v>
          </cell>
          <cell r="F91">
            <v>0</v>
          </cell>
          <cell r="H91">
            <v>0</v>
          </cell>
        </row>
        <row r="92">
          <cell r="D92">
            <v>57750</v>
          </cell>
          <cell r="F92">
            <v>0</v>
          </cell>
          <cell r="H92">
            <v>0</v>
          </cell>
        </row>
        <row r="93">
          <cell r="D93">
            <v>9150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0</v>
          </cell>
          <cell r="F98">
            <v>0</v>
          </cell>
          <cell r="H98">
            <v>0</v>
          </cell>
        </row>
        <row r="99">
          <cell r="D99">
            <v>0</v>
          </cell>
          <cell r="F99">
            <v>0</v>
          </cell>
          <cell r="H99">
            <v>0</v>
          </cell>
        </row>
        <row r="100">
          <cell r="D100">
            <v>4481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2941</v>
          </cell>
          <cell r="F102">
            <v>0</v>
          </cell>
          <cell r="H102">
            <v>0</v>
          </cell>
        </row>
        <row r="103">
          <cell r="D103">
            <v>508</v>
          </cell>
          <cell r="F103">
            <v>0</v>
          </cell>
          <cell r="H103">
            <v>0</v>
          </cell>
        </row>
        <row r="115">
          <cell r="D115">
            <v>43623</v>
          </cell>
          <cell r="F115">
            <v>0</v>
          </cell>
          <cell r="H115">
            <v>0</v>
          </cell>
        </row>
        <row r="116">
          <cell r="D116">
            <v>3853</v>
          </cell>
          <cell r="F116">
            <v>923</v>
          </cell>
          <cell r="H116">
            <v>0</v>
          </cell>
        </row>
        <row r="117">
          <cell r="D117">
            <v>4616</v>
          </cell>
          <cell r="F117">
            <v>0</v>
          </cell>
          <cell r="H117">
            <v>0</v>
          </cell>
        </row>
        <row r="118">
          <cell r="D118">
            <v>2870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114999</v>
          </cell>
          <cell r="F125">
            <v>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0</v>
          </cell>
          <cell r="F128">
            <v>0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12030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0</v>
          </cell>
          <cell r="H134">
            <v>0</v>
          </cell>
        </row>
        <row r="136">
          <cell r="D136">
            <v>101938</v>
          </cell>
          <cell r="F136">
            <v>-6426</v>
          </cell>
          <cell r="H136">
            <v>0</v>
          </cell>
        </row>
        <row r="137">
          <cell r="D137">
            <v>124921</v>
          </cell>
          <cell r="F137">
            <v>6426</v>
          </cell>
          <cell r="H137">
            <v>0</v>
          </cell>
        </row>
        <row r="138">
          <cell r="D138">
            <v>179553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28528</v>
          </cell>
          <cell r="F141">
            <v>-18536</v>
          </cell>
          <cell r="H141">
            <v>0</v>
          </cell>
        </row>
        <row r="142">
          <cell r="D142">
            <v>0</v>
          </cell>
          <cell r="F142">
            <v>13741</v>
          </cell>
          <cell r="H142">
            <v>0</v>
          </cell>
        </row>
        <row r="143">
          <cell r="D143">
            <v>15601</v>
          </cell>
          <cell r="F143">
            <v>3800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9600</v>
          </cell>
          <cell r="F146">
            <v>0</v>
          </cell>
          <cell r="H146">
            <v>0</v>
          </cell>
        </row>
        <row r="147">
          <cell r="D147">
            <v>0</v>
          </cell>
          <cell r="F147">
            <v>0</v>
          </cell>
          <cell r="H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2635</v>
          </cell>
          <cell r="F150">
            <v>0</v>
          </cell>
          <cell r="H150">
            <v>0</v>
          </cell>
        </row>
        <row r="151">
          <cell r="D151">
            <v>23832</v>
          </cell>
          <cell r="F151">
            <v>0</v>
          </cell>
          <cell r="H151">
            <v>0</v>
          </cell>
        </row>
        <row r="152">
          <cell r="D152">
            <v>8138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0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2444</v>
          </cell>
          <cell r="F194">
            <v>0</v>
          </cell>
          <cell r="H194">
            <v>0</v>
          </cell>
        </row>
        <row r="195">
          <cell r="D195">
            <v>828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1231</v>
          </cell>
          <cell r="F197">
            <v>0</v>
          </cell>
          <cell r="H197">
            <v>0</v>
          </cell>
        </row>
        <row r="198">
          <cell r="D198">
            <v>578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7900</v>
          </cell>
          <cell r="F205">
            <v>0</v>
          </cell>
          <cell r="H205">
            <v>0</v>
          </cell>
        </row>
        <row r="206">
          <cell r="D206">
            <v>0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42430</v>
          </cell>
          <cell r="F211">
            <v>0</v>
          </cell>
          <cell r="H211">
            <v>0</v>
          </cell>
        </row>
        <row r="212">
          <cell r="D212">
            <v>3665</v>
          </cell>
          <cell r="F212">
            <v>898</v>
          </cell>
          <cell r="H212">
            <v>0</v>
          </cell>
        </row>
        <row r="213">
          <cell r="D213">
            <v>9761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4238</v>
          </cell>
          <cell r="F216">
            <v>0</v>
          </cell>
          <cell r="H216">
            <v>0</v>
          </cell>
        </row>
        <row r="221">
          <cell r="D221">
            <v>2246282</v>
          </cell>
        </row>
      </sheetData>
      <sheetData sheetId="8"/>
      <sheetData sheetId="9"/>
      <sheetData sheetId="10">
        <row r="9">
          <cell r="C9">
            <v>8399</v>
          </cell>
          <cell r="D9"/>
          <cell r="E9"/>
          <cell r="F9"/>
          <cell r="G9"/>
          <cell r="H9">
            <v>492</v>
          </cell>
          <cell r="I9">
            <v>132</v>
          </cell>
          <cell r="J9"/>
          <cell r="K9"/>
        </row>
        <row r="22">
          <cell r="N22">
            <v>26</v>
          </cell>
        </row>
        <row r="24">
          <cell r="N24">
            <v>26</v>
          </cell>
        </row>
        <row r="28">
          <cell r="N28">
            <v>9490</v>
          </cell>
        </row>
        <row r="30">
          <cell r="N30">
            <v>0.95079030558482613</v>
          </cell>
        </row>
        <row r="32">
          <cell r="N32">
            <v>0.88503688092729194</v>
          </cell>
        </row>
        <row r="34">
          <cell r="N34">
            <v>0.93084340019949019</v>
          </cell>
        </row>
      </sheetData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Trial Balance"/>
      <sheetName val="Sch B"/>
      <sheetName val="Sch B-1"/>
      <sheetName val="Explanation of Misc Rev"/>
      <sheetName val="Sch C"/>
      <sheetName val="Sch C-1"/>
      <sheetName val="FCP Adjustments"/>
      <sheetName val="Explanation of Misc Exp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688124.42999999993</v>
          </cell>
          <cell r="G10">
            <v>0</v>
          </cell>
        </row>
        <row r="12">
          <cell r="E12">
            <v>366197.75</v>
          </cell>
          <cell r="G12"/>
        </row>
        <row r="13">
          <cell r="E13"/>
          <cell r="G13"/>
        </row>
        <row r="14">
          <cell r="E14">
            <v>14102.94</v>
          </cell>
          <cell r="G14"/>
        </row>
        <row r="15">
          <cell r="E15">
            <v>1068425.1199999999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1038882.1499999999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282861.62</v>
          </cell>
          <cell r="G42">
            <v>0</v>
          </cell>
        </row>
        <row r="47">
          <cell r="E47">
            <v>174117.2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59372.770000000004</v>
          </cell>
          <cell r="G72">
            <v>0</v>
          </cell>
        </row>
        <row r="90">
          <cell r="C90">
            <v>125.08320000000001</v>
          </cell>
          <cell r="E90">
            <v>124.1590054249548</v>
          </cell>
          <cell r="G90">
            <v>98.418600000000012</v>
          </cell>
          <cell r="I90">
            <v>161.55974903474902</v>
          </cell>
        </row>
      </sheetData>
      <sheetData sheetId="7"/>
      <sheetData sheetId="8"/>
      <sheetData sheetId="9">
        <row r="10">
          <cell r="D10">
            <v>68854.039999999994</v>
          </cell>
          <cell r="F10"/>
          <cell r="H10"/>
        </row>
        <row r="11">
          <cell r="D11"/>
          <cell r="F11"/>
          <cell r="H11"/>
        </row>
        <row r="12">
          <cell r="D12">
            <v>33851.35</v>
          </cell>
          <cell r="F12"/>
          <cell r="H12"/>
        </row>
        <row r="13">
          <cell r="D13">
            <v>253840</v>
          </cell>
          <cell r="F13">
            <v>-225521.53491001143</v>
          </cell>
          <cell r="H13"/>
        </row>
        <row r="14">
          <cell r="D14">
            <v>3600</v>
          </cell>
          <cell r="F14"/>
          <cell r="H14"/>
        </row>
        <row r="15">
          <cell r="D15">
            <v>38400</v>
          </cell>
          <cell r="F15"/>
          <cell r="H15">
            <v>-38400</v>
          </cell>
        </row>
        <row r="16">
          <cell r="D16"/>
          <cell r="F16"/>
          <cell r="H16">
            <v>110931</v>
          </cell>
        </row>
        <row r="17">
          <cell r="D17">
            <v>7682.35</v>
          </cell>
          <cell r="F17">
            <v>-7682.35</v>
          </cell>
          <cell r="H17"/>
        </row>
        <row r="18">
          <cell r="D18">
            <v>17559.07</v>
          </cell>
          <cell r="F18"/>
          <cell r="H18"/>
        </row>
        <row r="19">
          <cell r="D19">
            <v>8159.98</v>
          </cell>
          <cell r="F19"/>
          <cell r="H19"/>
        </row>
        <row r="20">
          <cell r="D20">
            <v>8334</v>
          </cell>
          <cell r="F20"/>
          <cell r="H20"/>
        </row>
        <row r="21">
          <cell r="D21">
            <v>25990.28</v>
          </cell>
          <cell r="F21"/>
          <cell r="H21"/>
        </row>
        <row r="22">
          <cell r="D22"/>
          <cell r="F22"/>
          <cell r="H22"/>
        </row>
        <row r="23">
          <cell r="D23">
            <v>5060.0600000000004</v>
          </cell>
          <cell r="F23"/>
          <cell r="H23"/>
        </row>
        <row r="24">
          <cell r="D24">
            <v>29759.53</v>
          </cell>
          <cell r="F24"/>
          <cell r="H24">
            <v>-29760</v>
          </cell>
        </row>
        <row r="25">
          <cell r="D25"/>
          <cell r="F25"/>
          <cell r="H25"/>
        </row>
        <row r="26">
          <cell r="D26">
            <v>153342.79999999999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4172.33</v>
          </cell>
          <cell r="F29">
            <v>-4172.33</v>
          </cell>
          <cell r="H29"/>
        </row>
        <row r="30">
          <cell r="D30">
            <v>210.71</v>
          </cell>
          <cell r="F30">
            <v>-210.71</v>
          </cell>
          <cell r="H30"/>
        </row>
        <row r="31">
          <cell r="D31">
            <v>33437.49</v>
          </cell>
          <cell r="F31"/>
          <cell r="H31"/>
        </row>
        <row r="32">
          <cell r="D32">
            <v>12904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877.47</v>
          </cell>
          <cell r="F38"/>
          <cell r="H38"/>
        </row>
        <row r="39">
          <cell r="D39">
            <v>1791.92</v>
          </cell>
          <cell r="F39"/>
          <cell r="H39"/>
        </row>
        <row r="40">
          <cell r="D40">
            <v>8286.08</v>
          </cell>
          <cell r="F40">
            <v>-8286.08</v>
          </cell>
          <cell r="H40"/>
        </row>
        <row r="41">
          <cell r="D41"/>
          <cell r="F41"/>
          <cell r="H41"/>
        </row>
        <row r="42">
          <cell r="D42">
            <v>1155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120614.16</v>
          </cell>
          <cell r="F45"/>
          <cell r="H45"/>
        </row>
        <row r="57">
          <cell r="D57">
            <v>42000</v>
          </cell>
          <cell r="F57"/>
          <cell r="H57">
            <v>-42000</v>
          </cell>
        </row>
        <row r="58">
          <cell r="D58">
            <v>112478.93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12762</v>
          </cell>
          <cell r="F61"/>
          <cell r="H61"/>
        </row>
        <row r="62">
          <cell r="D62">
            <v>6100.82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3140.61</v>
          </cell>
          <cell r="F65"/>
          <cell r="H65"/>
        </row>
        <row r="66">
          <cell r="D66">
            <v>23886.080000000002</v>
          </cell>
          <cell r="F66"/>
          <cell r="H66"/>
        </row>
        <row r="67">
          <cell r="D67">
            <v>12060.17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>
            <v>-500</v>
          </cell>
          <cell r="F70"/>
          <cell r="H70"/>
        </row>
        <row r="71">
          <cell r="D71"/>
          <cell r="F71"/>
          <cell r="H71"/>
        </row>
        <row r="75">
          <cell r="D75">
            <v>28910.89</v>
          </cell>
          <cell r="F75"/>
          <cell r="H75"/>
        </row>
        <row r="76">
          <cell r="D76"/>
          <cell r="F76">
            <v>7971.4611782838292</v>
          </cell>
          <cell r="H76"/>
        </row>
        <row r="77">
          <cell r="D77">
            <v>286.98</v>
          </cell>
          <cell r="F77"/>
          <cell r="H77"/>
        </row>
        <row r="78">
          <cell r="D78">
            <v>106.99</v>
          </cell>
          <cell r="F78"/>
          <cell r="H78"/>
        </row>
        <row r="79">
          <cell r="D79">
            <v>6378.56</v>
          </cell>
          <cell r="F79"/>
          <cell r="H79"/>
        </row>
        <row r="80">
          <cell r="D80">
            <v>37060.03</v>
          </cell>
          <cell r="F80"/>
          <cell r="H80"/>
        </row>
        <row r="81">
          <cell r="D81">
            <v>29298.71</v>
          </cell>
          <cell r="F81"/>
          <cell r="H81"/>
        </row>
        <row r="82">
          <cell r="D82">
            <v>1108.55</v>
          </cell>
          <cell r="F82"/>
          <cell r="H82"/>
        </row>
        <row r="83">
          <cell r="D83">
            <v>5020.24</v>
          </cell>
          <cell r="F83"/>
          <cell r="H83"/>
        </row>
        <row r="84">
          <cell r="D84">
            <v>57816.959999999999</v>
          </cell>
          <cell r="F84"/>
          <cell r="H84"/>
        </row>
        <row r="85">
          <cell r="D85"/>
          <cell r="F85"/>
          <cell r="H85"/>
        </row>
        <row r="89">
          <cell r="D89">
            <v>99854.29</v>
          </cell>
          <cell r="F89"/>
          <cell r="H89"/>
        </row>
        <row r="90">
          <cell r="D90"/>
          <cell r="F90">
            <v>27532.344947529982</v>
          </cell>
          <cell r="H90"/>
        </row>
        <row r="91">
          <cell r="D91">
            <v>8312.36</v>
          </cell>
          <cell r="F91"/>
          <cell r="H91"/>
        </row>
        <row r="92">
          <cell r="D92">
            <v>75903.960000000006</v>
          </cell>
          <cell r="F92"/>
          <cell r="H92"/>
        </row>
        <row r="93">
          <cell r="D93">
            <v>14356.77</v>
          </cell>
          <cell r="F93"/>
          <cell r="H93"/>
        </row>
        <row r="94">
          <cell r="D94"/>
          <cell r="F94"/>
          <cell r="H94"/>
        </row>
        <row r="98">
          <cell r="D98">
            <v>23499.39</v>
          </cell>
          <cell r="F98"/>
          <cell r="H98"/>
        </row>
        <row r="99">
          <cell r="D99"/>
          <cell r="F99">
            <v>6479.3742115289851</v>
          </cell>
          <cell r="H99"/>
        </row>
        <row r="100">
          <cell r="D100">
            <v>5493.79</v>
          </cell>
          <cell r="F100"/>
          <cell r="H100"/>
        </row>
        <row r="101">
          <cell r="D101"/>
          <cell r="F101"/>
          <cell r="H101"/>
        </row>
        <row r="102">
          <cell r="D102">
            <v>4649.32</v>
          </cell>
          <cell r="F102"/>
          <cell r="H102"/>
        </row>
        <row r="103">
          <cell r="D103"/>
          <cell r="F103"/>
          <cell r="H103"/>
        </row>
        <row r="115">
          <cell r="D115">
            <v>27101.7</v>
          </cell>
          <cell r="F115"/>
          <cell r="H115"/>
        </row>
        <row r="116">
          <cell r="D116"/>
          <cell r="F116">
            <v>7472.621887997735</v>
          </cell>
          <cell r="H116"/>
        </row>
        <row r="117">
          <cell r="D117">
            <v>7084.13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69347.59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22127.49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19120.878723987531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6101.1067977451976</v>
          </cell>
          <cell r="H134"/>
        </row>
        <row r="136">
          <cell r="D136">
            <v>115282.18</v>
          </cell>
          <cell r="F136"/>
          <cell r="H136"/>
        </row>
        <row r="137">
          <cell r="D137">
            <v>135850.21</v>
          </cell>
          <cell r="F137"/>
          <cell r="H137"/>
        </row>
        <row r="138">
          <cell r="D138">
            <v>254415.45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31786.203137223671</v>
          </cell>
          <cell r="H141"/>
        </row>
        <row r="142">
          <cell r="D142"/>
          <cell r="F142">
            <v>37457.327501045642</v>
          </cell>
          <cell r="H142"/>
        </row>
        <row r="143">
          <cell r="D143"/>
          <cell r="F143">
            <v>70148.753041867982</v>
          </cell>
          <cell r="H143"/>
        </row>
        <row r="144">
          <cell r="D144"/>
          <cell r="F144"/>
          <cell r="H144"/>
        </row>
        <row r="146">
          <cell r="D146">
            <v>35566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4543.67</v>
          </cell>
          <cell r="F150"/>
          <cell r="H150"/>
        </row>
        <row r="151">
          <cell r="D151">
            <v>40795.26</v>
          </cell>
          <cell r="F151"/>
          <cell r="H151"/>
        </row>
        <row r="152">
          <cell r="D152">
            <v>568.34</v>
          </cell>
          <cell r="F152"/>
          <cell r="H152"/>
        </row>
        <row r="153">
          <cell r="D153">
            <v>2212.9499999999998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>
            <v>1150</v>
          </cell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519.6</v>
          </cell>
          <cell r="F183"/>
          <cell r="H183"/>
        </row>
        <row r="184">
          <cell r="D184"/>
          <cell r="F184">
            <v>143.26681842849797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106448.79</v>
          </cell>
          <cell r="F194"/>
          <cell r="H194"/>
        </row>
        <row r="195">
          <cell r="D195">
            <v>659.8</v>
          </cell>
          <cell r="F195"/>
          <cell r="H195"/>
        </row>
        <row r="196">
          <cell r="D196"/>
          <cell r="F196"/>
          <cell r="H196"/>
        </row>
        <row r="197">
          <cell r="D197">
            <v>116986.76</v>
          </cell>
          <cell r="F197"/>
          <cell r="H197"/>
        </row>
        <row r="198">
          <cell r="D198">
            <v>10361.83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84737.67</v>
          </cell>
          <cell r="F205"/>
          <cell r="H205"/>
        </row>
        <row r="206">
          <cell r="D206">
            <v>9728.32</v>
          </cell>
          <cell r="F206"/>
          <cell r="H206"/>
        </row>
        <row r="207">
          <cell r="D207"/>
          <cell r="F207"/>
          <cell r="H207"/>
        </row>
        <row r="211">
          <cell r="D211">
            <v>41012.559999999998</v>
          </cell>
          <cell r="F211"/>
          <cell r="H211"/>
        </row>
        <row r="212">
          <cell r="D212"/>
          <cell r="F212">
            <v>11308.196664372359</v>
          </cell>
          <cell r="H212"/>
        </row>
        <row r="213">
          <cell r="D213">
            <v>12884.02</v>
          </cell>
          <cell r="F213"/>
          <cell r="H213"/>
        </row>
        <row r="214">
          <cell r="D214">
            <v>4688.54</v>
          </cell>
          <cell r="F214"/>
          <cell r="H214"/>
        </row>
        <row r="215">
          <cell r="D215"/>
          <cell r="F215"/>
          <cell r="H215"/>
        </row>
        <row r="216">
          <cell r="D216">
            <v>2671.63</v>
          </cell>
          <cell r="F216"/>
          <cell r="H216"/>
        </row>
        <row r="221">
          <cell r="D221">
            <v>2554613.48</v>
          </cell>
        </row>
      </sheetData>
      <sheetData sheetId="10"/>
      <sheetData sheetId="11"/>
      <sheetData sheetId="12"/>
      <sheetData sheetId="13"/>
      <sheetData sheetId="14">
        <row r="9">
          <cell r="C9">
            <v>3953</v>
          </cell>
          <cell r="D9"/>
          <cell r="E9">
            <v>2007</v>
          </cell>
          <cell r="F9">
            <v>6</v>
          </cell>
          <cell r="G9"/>
          <cell r="H9">
            <v>2221</v>
          </cell>
          <cell r="I9">
            <v>1135</v>
          </cell>
          <cell r="J9"/>
          <cell r="K9"/>
        </row>
        <row r="22">
          <cell r="N22">
            <v>51</v>
          </cell>
        </row>
        <row r="24">
          <cell r="N24">
            <v>51</v>
          </cell>
        </row>
        <row r="28">
          <cell r="N28">
            <v>18615</v>
          </cell>
        </row>
        <row r="30">
          <cell r="N30">
            <v>0.50077894171367177</v>
          </cell>
        </row>
        <row r="32">
          <cell r="N32">
            <v>0.2123556271823798</v>
          </cell>
        </row>
        <row r="34">
          <cell r="N34">
            <v>0.42405063291139239</v>
          </cell>
        </row>
      </sheetData>
      <sheetData sheetId="15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B-OTHER INC DETAIL"/>
      <sheetName val="C-MISC REC DETAIL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2197240.86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2197240.86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90541.62</v>
          </cell>
          <cell r="G42">
            <v>0</v>
          </cell>
        </row>
        <row r="47">
          <cell r="E47">
            <v>121035.48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43895.06</v>
          </cell>
          <cell r="G72">
            <v>0</v>
          </cell>
        </row>
        <row r="90">
          <cell r="C90">
            <v>185.32608695652175</v>
          </cell>
          <cell r="E90">
            <v>202.40891304347824</v>
          </cell>
          <cell r="G90">
            <v>207.88888888888889</v>
          </cell>
          <cell r="I90">
            <v>210</v>
          </cell>
        </row>
      </sheetData>
      <sheetData sheetId="6"/>
      <sheetData sheetId="7">
        <row r="10">
          <cell r="D10">
            <v>67030.539999999994</v>
          </cell>
          <cell r="F10"/>
          <cell r="H10"/>
        </row>
        <row r="11">
          <cell r="D11">
            <v>13800</v>
          </cell>
          <cell r="F11"/>
          <cell r="H11"/>
        </row>
        <row r="12">
          <cell r="D12">
            <v>48945.34</v>
          </cell>
          <cell r="F12"/>
          <cell r="H12"/>
        </row>
        <row r="13">
          <cell r="D13">
            <v>23677.88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3360.29</v>
          </cell>
          <cell r="F17"/>
          <cell r="H17"/>
        </row>
        <row r="18">
          <cell r="D18">
            <v>4403.3599999999997</v>
          </cell>
          <cell r="F18"/>
          <cell r="H18"/>
        </row>
        <row r="19">
          <cell r="D19">
            <v>3990.84</v>
          </cell>
          <cell r="F19"/>
          <cell r="H19"/>
        </row>
        <row r="20">
          <cell r="D20">
            <v>19447.77</v>
          </cell>
          <cell r="F20"/>
          <cell r="H20"/>
        </row>
        <row r="21">
          <cell r="D21">
            <v>645</v>
          </cell>
          <cell r="F21"/>
          <cell r="H21"/>
        </row>
        <row r="22">
          <cell r="D22"/>
          <cell r="F22"/>
          <cell r="H22"/>
        </row>
        <row r="23">
          <cell r="D23">
            <v>5404.56</v>
          </cell>
          <cell r="F23"/>
          <cell r="H23">
            <v>-2390</v>
          </cell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272544.15999999997</v>
          </cell>
          <cell r="F26"/>
          <cell r="H26"/>
        </row>
        <row r="27">
          <cell r="D27">
            <v>34664.07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5761.59</v>
          </cell>
          <cell r="F29">
            <v>-5761.59</v>
          </cell>
          <cell r="H29"/>
        </row>
        <row r="30">
          <cell r="D30"/>
          <cell r="F30">
            <v>0</v>
          </cell>
          <cell r="H30"/>
        </row>
        <row r="31">
          <cell r="D31">
            <v>17676.169999999998</v>
          </cell>
          <cell r="F31"/>
          <cell r="H31"/>
        </row>
        <row r="32">
          <cell r="D32">
            <v>21645.03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2310.0300000000002</v>
          </cell>
          <cell r="F39"/>
          <cell r="H39"/>
        </row>
        <row r="40">
          <cell r="D40">
            <v>500</v>
          </cell>
          <cell r="F40"/>
          <cell r="H40"/>
        </row>
        <row r="41">
          <cell r="D41">
            <v>6486</v>
          </cell>
          <cell r="F41"/>
          <cell r="H41"/>
        </row>
        <row r="42">
          <cell r="D42"/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/>
          <cell r="F45"/>
          <cell r="H45"/>
        </row>
        <row r="57">
          <cell r="D57">
            <v>100368</v>
          </cell>
          <cell r="F57"/>
          <cell r="H57">
            <v>-100368</v>
          </cell>
        </row>
        <row r="58">
          <cell r="D58">
            <v>822</v>
          </cell>
          <cell r="F58"/>
          <cell r="H58">
            <v>10897</v>
          </cell>
        </row>
        <row r="59">
          <cell r="D59"/>
          <cell r="F59"/>
          <cell r="H59">
            <v>56111.03</v>
          </cell>
        </row>
        <row r="60">
          <cell r="D60"/>
          <cell r="F60"/>
          <cell r="H60">
            <v>9098.44</v>
          </cell>
        </row>
        <row r="61">
          <cell r="D61"/>
          <cell r="F61"/>
          <cell r="H61"/>
        </row>
        <row r="62">
          <cell r="D62">
            <v>1451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4555.12</v>
          </cell>
          <cell r="F65"/>
          <cell r="H65"/>
        </row>
        <row r="66">
          <cell r="D66"/>
          <cell r="F66"/>
          <cell r="H66"/>
        </row>
        <row r="67">
          <cell r="D67">
            <v>27680</v>
          </cell>
          <cell r="F67"/>
          <cell r="H67"/>
        </row>
        <row r="68">
          <cell r="D68">
            <v>18901.11</v>
          </cell>
          <cell r="F68"/>
          <cell r="H68">
            <v>-18901</v>
          </cell>
        </row>
        <row r="69">
          <cell r="D69">
            <v>421.27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59707</v>
          </cell>
          <cell r="F75"/>
          <cell r="H75"/>
        </row>
        <row r="76">
          <cell r="D76">
            <v>7004.85</v>
          </cell>
          <cell r="F76"/>
          <cell r="H76"/>
        </row>
        <row r="77">
          <cell r="D77">
            <v>6644.99</v>
          </cell>
          <cell r="F77"/>
          <cell r="H77"/>
        </row>
        <row r="78">
          <cell r="D78">
            <v>5709.67</v>
          </cell>
          <cell r="F78"/>
          <cell r="H78"/>
        </row>
        <row r="79">
          <cell r="D79"/>
          <cell r="F79"/>
          <cell r="H79"/>
        </row>
        <row r="80">
          <cell r="D80">
            <v>6541.57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5900.39</v>
          </cell>
          <cell r="F83"/>
          <cell r="H83"/>
        </row>
        <row r="84">
          <cell r="D84">
            <v>39334.699999999997</v>
          </cell>
          <cell r="F84"/>
          <cell r="H84"/>
        </row>
        <row r="85">
          <cell r="D85"/>
          <cell r="F85"/>
          <cell r="H85"/>
        </row>
        <row r="89">
          <cell r="D89">
            <v>149329.92000000001</v>
          </cell>
          <cell r="F89"/>
          <cell r="H89"/>
        </row>
        <row r="90">
          <cell r="D90">
            <v>19062.54</v>
          </cell>
          <cell r="F90"/>
          <cell r="H90"/>
        </row>
        <row r="91">
          <cell r="D91">
            <v>6581.25</v>
          </cell>
          <cell r="F91"/>
          <cell r="H91"/>
        </row>
        <row r="92">
          <cell r="D92">
            <v>129970.34</v>
          </cell>
          <cell r="F92"/>
          <cell r="H92"/>
        </row>
        <row r="93">
          <cell r="D93">
            <v>13960.08</v>
          </cell>
          <cell r="F93"/>
          <cell r="H93"/>
        </row>
        <row r="94">
          <cell r="D94"/>
          <cell r="F94"/>
          <cell r="H94"/>
        </row>
        <row r="98">
          <cell r="D98">
            <v>22455.46</v>
          </cell>
          <cell r="F98"/>
          <cell r="H98"/>
        </row>
        <row r="99">
          <cell r="D99">
            <v>2001.42</v>
          </cell>
          <cell r="F99"/>
          <cell r="H99"/>
        </row>
        <row r="100">
          <cell r="D100">
            <v>998.48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29493.35</v>
          </cell>
          <cell r="F115"/>
          <cell r="H115"/>
        </row>
        <row r="116">
          <cell r="D116">
            <v>11851.48</v>
          </cell>
          <cell r="F116"/>
          <cell r="H116"/>
        </row>
        <row r="117">
          <cell r="D117">
            <v>25009.38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98001.41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77881.710000000006</v>
          </cell>
          <cell r="F128"/>
          <cell r="H128"/>
        </row>
        <row r="130">
          <cell r="D130"/>
          <cell r="F130"/>
          <cell r="H130"/>
        </row>
        <row r="131">
          <cell r="D131">
            <v>16398.849999999999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8865.48</v>
          </cell>
          <cell r="F134"/>
          <cell r="H134"/>
        </row>
        <row r="136">
          <cell r="D136">
            <v>91916.57</v>
          </cell>
          <cell r="F136"/>
          <cell r="H136"/>
        </row>
        <row r="137">
          <cell r="D137">
            <v>145311.26</v>
          </cell>
          <cell r="F137"/>
          <cell r="H137"/>
        </row>
        <row r="138">
          <cell r="D138">
            <v>482177</v>
          </cell>
          <cell r="F138"/>
          <cell r="H138"/>
        </row>
        <row r="139">
          <cell r="D139"/>
          <cell r="F139"/>
          <cell r="H139"/>
        </row>
        <row r="141">
          <cell r="D141">
            <v>13164.33</v>
          </cell>
          <cell r="F141"/>
          <cell r="H141"/>
        </row>
        <row r="142">
          <cell r="D142">
            <v>19417.97</v>
          </cell>
          <cell r="F142"/>
          <cell r="H142"/>
        </row>
        <row r="143">
          <cell r="D143">
            <v>44453.09</v>
          </cell>
          <cell r="F143"/>
          <cell r="H143"/>
        </row>
        <row r="144">
          <cell r="D144"/>
          <cell r="F144"/>
          <cell r="H144"/>
        </row>
        <row r="146">
          <cell r="D146">
            <v>21337.29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5156</v>
          </cell>
          <cell r="F150"/>
          <cell r="H150"/>
        </row>
        <row r="151">
          <cell r="D151">
            <v>41991.57</v>
          </cell>
          <cell r="F151"/>
          <cell r="H151"/>
        </row>
        <row r="152">
          <cell r="D152">
            <v>121.47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3463.06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15012.67</v>
          </cell>
          <cell r="F205"/>
          <cell r="H205"/>
        </row>
        <row r="206">
          <cell r="D206">
            <v>71.64</v>
          </cell>
          <cell r="F206"/>
          <cell r="H206"/>
        </row>
        <row r="207">
          <cell r="D207"/>
          <cell r="F207"/>
          <cell r="H207"/>
        </row>
        <row r="211">
          <cell r="D211">
            <v>68905.55</v>
          </cell>
          <cell r="F211"/>
          <cell r="H211"/>
        </row>
        <row r="212">
          <cell r="D212">
            <v>11228.27</v>
          </cell>
          <cell r="F212"/>
          <cell r="H212"/>
        </row>
        <row r="213">
          <cell r="D213">
            <v>17829.740000000002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130829.74</v>
          </cell>
          <cell r="F216">
            <v>-11312.36</v>
          </cell>
          <cell r="H216">
            <v>-101606</v>
          </cell>
        </row>
        <row r="221">
          <cell r="D221">
            <v>2561582.2799999998</v>
          </cell>
        </row>
      </sheetData>
      <sheetData sheetId="8"/>
      <sheetData sheetId="9"/>
      <sheetData sheetId="10">
        <row r="9">
          <cell r="C9">
            <v>11728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457</v>
          </cell>
          <cell r="I9">
            <v>635</v>
          </cell>
          <cell r="J9">
            <v>0</v>
          </cell>
          <cell r="K9">
            <v>0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0.9756468797564688</v>
          </cell>
        </row>
        <row r="32">
          <cell r="N32">
            <v>0.89254185692541854</v>
          </cell>
        </row>
        <row r="34">
          <cell r="N34">
            <v>0.91482059282371297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2478858.7599999998</v>
          </cell>
          <cell r="G10">
            <v>0</v>
          </cell>
        </row>
        <row r="12">
          <cell r="E12">
            <v>963037.03</v>
          </cell>
          <cell r="G12">
            <v>619714.57999999996</v>
          </cell>
        </row>
        <row r="13">
          <cell r="E13">
            <v>150067.63</v>
          </cell>
          <cell r="G13"/>
        </row>
        <row r="14">
          <cell r="E14">
            <v>16004.67</v>
          </cell>
          <cell r="G14"/>
        </row>
        <row r="15">
          <cell r="E15">
            <v>3607968.09</v>
          </cell>
          <cell r="G15">
            <v>619714.57999999996</v>
          </cell>
        </row>
        <row r="20">
          <cell r="E20">
            <v>605503.69000000006</v>
          </cell>
          <cell r="G20">
            <v>0</v>
          </cell>
        </row>
        <row r="26">
          <cell r="E26">
            <v>788655.54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160824.57</v>
          </cell>
          <cell r="G42">
            <v>0</v>
          </cell>
        </row>
        <row r="47">
          <cell r="E47">
            <v>19368.09</v>
          </cell>
          <cell r="G47">
            <v>0</v>
          </cell>
        </row>
        <row r="52">
          <cell r="E52">
            <v>1679.9499999999998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189.16999999999996</v>
          </cell>
          <cell r="G72">
            <v>-189.16999999999996</v>
          </cell>
        </row>
      </sheetData>
      <sheetData sheetId="6"/>
      <sheetData sheetId="7">
        <row r="10">
          <cell r="D10">
            <v>171272.28</v>
          </cell>
          <cell r="F10">
            <v>2628</v>
          </cell>
          <cell r="H10"/>
        </row>
        <row r="11">
          <cell r="D11"/>
          <cell r="F11"/>
          <cell r="H11"/>
        </row>
        <row r="12">
          <cell r="D12">
            <v>86852.34</v>
          </cell>
          <cell r="F12">
            <v>-18190</v>
          </cell>
          <cell r="H12"/>
        </row>
        <row r="13">
          <cell r="D13">
            <v>73126.429999999993</v>
          </cell>
          <cell r="F13"/>
          <cell r="H13"/>
        </row>
        <row r="14">
          <cell r="D14"/>
          <cell r="F14"/>
          <cell r="H14"/>
        </row>
        <row r="15">
          <cell r="D15">
            <v>359359.16</v>
          </cell>
          <cell r="F15">
            <v>-359359.16000000003</v>
          </cell>
          <cell r="H15"/>
        </row>
        <row r="16">
          <cell r="D16"/>
          <cell r="F16">
            <v>165161</v>
          </cell>
          <cell r="H16"/>
        </row>
        <row r="17">
          <cell r="D17"/>
          <cell r="F17"/>
          <cell r="H17"/>
        </row>
        <row r="18">
          <cell r="D18">
            <v>13869.43</v>
          </cell>
          <cell r="F18"/>
          <cell r="H18"/>
        </row>
        <row r="19">
          <cell r="D19">
            <v>23854.560000000001</v>
          </cell>
          <cell r="F19">
            <v>1676</v>
          </cell>
          <cell r="H19"/>
        </row>
        <row r="20">
          <cell r="D20">
            <v>12577.61</v>
          </cell>
          <cell r="F20">
            <v>-4084</v>
          </cell>
          <cell r="H20"/>
        </row>
        <row r="21">
          <cell r="D21">
            <v>11777.23</v>
          </cell>
          <cell r="F21">
            <v>10833</v>
          </cell>
          <cell r="H21"/>
        </row>
        <row r="22">
          <cell r="D22"/>
          <cell r="F22"/>
          <cell r="H22"/>
        </row>
        <row r="23">
          <cell r="D23">
            <v>26958.54</v>
          </cell>
          <cell r="F23">
            <v>18564</v>
          </cell>
          <cell r="H23"/>
        </row>
        <row r="24">
          <cell r="D24">
            <v>45814.78</v>
          </cell>
          <cell r="F24"/>
          <cell r="H24"/>
        </row>
        <row r="25">
          <cell r="D25"/>
          <cell r="F25"/>
          <cell r="H25"/>
        </row>
        <row r="26">
          <cell r="D26">
            <v>430866.26</v>
          </cell>
          <cell r="F26"/>
          <cell r="H26"/>
        </row>
        <row r="27">
          <cell r="D27"/>
          <cell r="F27">
            <v>9763.4599999999991</v>
          </cell>
          <cell r="H27"/>
        </row>
        <row r="28">
          <cell r="D28"/>
          <cell r="F28">
            <v>0</v>
          </cell>
          <cell r="H28"/>
        </row>
        <row r="29">
          <cell r="D29">
            <v>69466.36</v>
          </cell>
          <cell r="F29">
            <v>-69466.36</v>
          </cell>
          <cell r="H29"/>
        </row>
        <row r="30">
          <cell r="D30">
            <v>240</v>
          </cell>
          <cell r="F30">
            <v>-240</v>
          </cell>
          <cell r="H30"/>
        </row>
        <row r="31">
          <cell r="D31"/>
          <cell r="F31"/>
          <cell r="H31"/>
        </row>
        <row r="32">
          <cell r="D32">
            <v>114822.78</v>
          </cell>
          <cell r="F32">
            <v>3839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9999.82</v>
          </cell>
          <cell r="F39">
            <v>2737</v>
          </cell>
          <cell r="H39"/>
        </row>
        <row r="40">
          <cell r="D40">
            <v>2623.03</v>
          </cell>
          <cell r="F40">
            <v>-2623.03</v>
          </cell>
          <cell r="H40"/>
        </row>
        <row r="41">
          <cell r="D41">
            <v>14053.33</v>
          </cell>
          <cell r="F41">
            <v>32030</v>
          </cell>
          <cell r="H41"/>
        </row>
        <row r="42">
          <cell r="D42">
            <v>25.5</v>
          </cell>
          <cell r="F42">
            <v>1859</v>
          </cell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8419.59</v>
          </cell>
          <cell r="F45">
            <v>626.37</v>
          </cell>
          <cell r="H45"/>
        </row>
        <row r="57">
          <cell r="D57">
            <v>911040</v>
          </cell>
          <cell r="F57"/>
          <cell r="H57">
            <v>-911040</v>
          </cell>
        </row>
        <row r="58">
          <cell r="D58">
            <v>3636.84</v>
          </cell>
          <cell r="F58">
            <v>4886</v>
          </cell>
          <cell r="H58">
            <v>52568.959999999999</v>
          </cell>
        </row>
        <row r="59">
          <cell r="D59"/>
          <cell r="F59"/>
          <cell r="H59">
            <v>149470.14000000001</v>
          </cell>
        </row>
        <row r="60">
          <cell r="D60">
            <v>29251.66</v>
          </cell>
          <cell r="F60">
            <v>1249.44</v>
          </cell>
          <cell r="H60"/>
        </row>
        <row r="61">
          <cell r="D61">
            <v>10219.049999999999</v>
          </cell>
          <cell r="F61">
            <v>1097</v>
          </cell>
          <cell r="H61"/>
        </row>
        <row r="62">
          <cell r="D62">
            <v>9488.14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6702.82</v>
          </cell>
          <cell r="F67">
            <v>15766</v>
          </cell>
          <cell r="H67">
            <v>250.48</v>
          </cell>
        </row>
        <row r="68">
          <cell r="D68"/>
          <cell r="F68"/>
          <cell r="H68"/>
        </row>
        <row r="69">
          <cell r="D69">
            <v>3583.47</v>
          </cell>
          <cell r="F69">
            <v>-2.81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61728.94</v>
          </cell>
          <cell r="F75"/>
          <cell r="H75"/>
        </row>
        <row r="76">
          <cell r="D76">
            <v>22264.55</v>
          </cell>
          <cell r="F76"/>
          <cell r="H76"/>
        </row>
        <row r="77">
          <cell r="D77">
            <v>12147.52</v>
          </cell>
          <cell r="F77"/>
          <cell r="H77"/>
        </row>
        <row r="78">
          <cell r="D78">
            <v>4227.96</v>
          </cell>
          <cell r="F78">
            <v>1089</v>
          </cell>
          <cell r="H78"/>
        </row>
        <row r="79">
          <cell r="D79">
            <v>15122.35</v>
          </cell>
          <cell r="F79"/>
          <cell r="H79"/>
        </row>
        <row r="80">
          <cell r="D80">
            <v>17333.419999999998</v>
          </cell>
          <cell r="F80"/>
          <cell r="H80"/>
        </row>
        <row r="81">
          <cell r="D81">
            <v>2304.29</v>
          </cell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125367.67999999999</v>
          </cell>
          <cell r="F84">
            <v>525</v>
          </cell>
          <cell r="H84"/>
        </row>
        <row r="85">
          <cell r="D85"/>
          <cell r="F85"/>
          <cell r="H85"/>
        </row>
        <row r="89">
          <cell r="D89">
            <v>149438.71</v>
          </cell>
          <cell r="F89"/>
          <cell r="H89"/>
        </row>
        <row r="90">
          <cell r="D90">
            <v>34868.949999999997</v>
          </cell>
          <cell r="F90"/>
          <cell r="H90"/>
        </row>
        <row r="91">
          <cell r="D91">
            <v>19570</v>
          </cell>
          <cell r="F91"/>
          <cell r="H91"/>
        </row>
        <row r="92">
          <cell r="D92">
            <v>178893.94</v>
          </cell>
          <cell r="F92"/>
          <cell r="H92"/>
        </row>
        <row r="93">
          <cell r="D93">
            <v>7311.29</v>
          </cell>
          <cell r="F93"/>
          <cell r="H93"/>
        </row>
        <row r="94">
          <cell r="D94">
            <v>11349.49</v>
          </cell>
          <cell r="F94"/>
          <cell r="H94"/>
        </row>
        <row r="98">
          <cell r="D98">
            <v>36553.379999999997</v>
          </cell>
          <cell r="F98"/>
          <cell r="H98"/>
        </row>
        <row r="99">
          <cell r="D99">
            <v>15407.63</v>
          </cell>
          <cell r="F99"/>
          <cell r="H99"/>
        </row>
        <row r="100">
          <cell r="D100">
            <v>10084.030000000001</v>
          </cell>
          <cell r="F100"/>
          <cell r="H100"/>
        </row>
        <row r="101">
          <cell r="D101"/>
          <cell r="F101"/>
          <cell r="H101"/>
        </row>
        <row r="102">
          <cell r="D102">
            <v>2704.02</v>
          </cell>
          <cell r="F102"/>
          <cell r="H102"/>
        </row>
        <row r="103">
          <cell r="D103"/>
          <cell r="F103"/>
          <cell r="H103"/>
        </row>
        <row r="115">
          <cell r="D115">
            <v>87299.26</v>
          </cell>
          <cell r="F115"/>
          <cell r="H115"/>
        </row>
        <row r="116">
          <cell r="D116">
            <v>26642.55</v>
          </cell>
          <cell r="F116"/>
          <cell r="H116"/>
        </row>
        <row r="117">
          <cell r="D117">
            <v>18350.46</v>
          </cell>
          <cell r="F117"/>
          <cell r="H117"/>
        </row>
        <row r="118">
          <cell r="D118">
            <v>780.5</v>
          </cell>
          <cell r="F118"/>
          <cell r="H118"/>
        </row>
        <row r="119">
          <cell r="D119">
            <v>30.1</v>
          </cell>
          <cell r="F119"/>
          <cell r="H119"/>
        </row>
        <row r="124">
          <cell r="D124">
            <v>107516.93</v>
          </cell>
          <cell r="F124"/>
          <cell r="H124"/>
        </row>
        <row r="125">
          <cell r="D125">
            <v>39885.78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51444.82</v>
          </cell>
          <cell r="F128">
            <v>29214</v>
          </cell>
          <cell r="H128"/>
        </row>
        <row r="130">
          <cell r="D130">
            <v>21351.67</v>
          </cell>
          <cell r="F130"/>
          <cell r="H130"/>
        </row>
        <row r="131">
          <cell r="D131">
            <v>7920.87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9861.27</v>
          </cell>
          <cell r="F134"/>
          <cell r="H134"/>
        </row>
        <row r="136">
          <cell r="D136">
            <v>234150.16</v>
          </cell>
          <cell r="F136"/>
          <cell r="H136"/>
        </row>
        <row r="137">
          <cell r="D137">
            <v>122985.96</v>
          </cell>
          <cell r="F137"/>
          <cell r="H137"/>
        </row>
        <row r="138">
          <cell r="D138">
            <v>373719.66</v>
          </cell>
          <cell r="F138"/>
          <cell r="H138"/>
        </row>
        <row r="139">
          <cell r="D139">
            <v>103642.65</v>
          </cell>
          <cell r="F139"/>
          <cell r="H139"/>
        </row>
        <row r="141">
          <cell r="D141">
            <v>46499.62</v>
          </cell>
          <cell r="F141"/>
          <cell r="H141"/>
        </row>
        <row r="142">
          <cell r="D142">
            <v>24423.65</v>
          </cell>
          <cell r="F142"/>
          <cell r="H142"/>
        </row>
        <row r="143">
          <cell r="D143">
            <v>74216.58</v>
          </cell>
          <cell r="F143"/>
          <cell r="H143"/>
        </row>
        <row r="144">
          <cell r="D144">
            <v>20582.28</v>
          </cell>
          <cell r="F144"/>
          <cell r="H144"/>
        </row>
        <row r="146">
          <cell r="D146">
            <v>17982.88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13726.8</v>
          </cell>
          <cell r="F150"/>
          <cell r="H150"/>
        </row>
        <row r="151">
          <cell r="D151">
            <v>61500.47</v>
          </cell>
          <cell r="F151"/>
          <cell r="H151"/>
        </row>
        <row r="152">
          <cell r="D152">
            <v>9365.14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4020.86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>
            <v>9044</v>
          </cell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209.33</v>
          </cell>
          <cell r="F191"/>
          <cell r="H191"/>
        </row>
        <row r="192">
          <cell r="D192">
            <v>3171.88</v>
          </cell>
          <cell r="F192"/>
          <cell r="H192"/>
        </row>
        <row r="193">
          <cell r="D193"/>
          <cell r="F193"/>
          <cell r="H193"/>
        </row>
        <row r="194">
          <cell r="D194">
            <v>247756.7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28761.65</v>
          </cell>
          <cell r="F205"/>
          <cell r="H205"/>
        </row>
        <row r="206">
          <cell r="D206"/>
          <cell r="F206"/>
          <cell r="H206"/>
        </row>
        <row r="207">
          <cell r="D207">
            <v>10008.299999999999</v>
          </cell>
          <cell r="F207"/>
          <cell r="H207"/>
        </row>
        <row r="211">
          <cell r="D211">
            <v>72186.63</v>
          </cell>
          <cell r="F211"/>
          <cell r="H211"/>
        </row>
        <row r="212">
          <cell r="D212">
            <v>13343.79</v>
          </cell>
          <cell r="F212"/>
          <cell r="H212"/>
        </row>
        <row r="213">
          <cell r="D213">
            <v>12056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11912.75</v>
          </cell>
          <cell r="F216"/>
          <cell r="H216"/>
        </row>
        <row r="221">
          <cell r="D221">
            <v>5053887.1100000003</v>
          </cell>
        </row>
      </sheetData>
      <sheetData sheetId="8"/>
      <sheetData sheetId="9"/>
      <sheetData sheetId="10">
        <row r="9">
          <cell r="C9">
            <v>15763</v>
          </cell>
          <cell r="D9">
            <v>3640</v>
          </cell>
          <cell r="E9">
            <v>1524</v>
          </cell>
          <cell r="F9"/>
          <cell r="G9"/>
          <cell r="H9">
            <v>1008</v>
          </cell>
          <cell r="I9">
            <v>116</v>
          </cell>
          <cell r="J9">
            <v>10</v>
          </cell>
          <cell r="K9"/>
        </row>
        <row r="22">
          <cell r="N22">
            <v>104</v>
          </cell>
        </row>
        <row r="24">
          <cell r="N24">
            <v>104</v>
          </cell>
        </row>
        <row r="28">
          <cell r="N28">
            <v>37960</v>
          </cell>
        </row>
        <row r="30">
          <cell r="N30">
            <v>0.58116438356164379</v>
          </cell>
        </row>
        <row r="32">
          <cell r="N32">
            <v>0.51114330874604852</v>
          </cell>
        </row>
        <row r="34">
          <cell r="N34">
            <v>0.87951588776574063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1162763.8899999999</v>
          </cell>
          <cell r="G10">
            <v>508.1200000000008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1162763.8899999999</v>
          </cell>
          <cell r="G15">
            <v>508.1200000000008</v>
          </cell>
        </row>
        <row r="20">
          <cell r="E20">
            <v>0</v>
          </cell>
          <cell r="G20">
            <v>0</v>
          </cell>
        </row>
        <row r="26">
          <cell r="E26">
            <v>-131452.34999999998</v>
          </cell>
          <cell r="G26">
            <v>131452.35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59446.85</v>
          </cell>
          <cell r="G42">
            <v>1433.15</v>
          </cell>
        </row>
        <row r="47">
          <cell r="E47">
            <v>0</v>
          </cell>
          <cell r="G47">
            <v>0</v>
          </cell>
        </row>
        <row r="52">
          <cell r="E52">
            <v>5266</v>
          </cell>
          <cell r="G52">
            <v>0</v>
          </cell>
        </row>
        <row r="57">
          <cell r="E57">
            <v>-223763.69</v>
          </cell>
          <cell r="G57">
            <v>223763.69</v>
          </cell>
        </row>
        <row r="72">
          <cell r="E72">
            <v>0</v>
          </cell>
          <cell r="G72">
            <v>0</v>
          </cell>
        </row>
        <row r="90">
          <cell r="C90">
            <v>198.52307692307693</v>
          </cell>
          <cell r="E90">
            <v>175.61764705882354</v>
          </cell>
          <cell r="G90">
            <v>189.15625</v>
          </cell>
          <cell r="I90">
            <v>193.68067226890756</v>
          </cell>
        </row>
      </sheetData>
      <sheetData sheetId="6"/>
      <sheetData sheetId="7">
        <row r="10">
          <cell r="D10">
            <v>68124.710000000006</v>
          </cell>
          <cell r="F10"/>
          <cell r="H10"/>
        </row>
        <row r="11">
          <cell r="D11"/>
          <cell r="F11"/>
          <cell r="H11"/>
        </row>
        <row r="12">
          <cell r="D12"/>
          <cell r="F12"/>
          <cell r="H12"/>
        </row>
        <row r="13">
          <cell r="D13"/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165.02</v>
          </cell>
          <cell r="F17"/>
          <cell r="H17"/>
        </row>
        <row r="18">
          <cell r="D18"/>
          <cell r="F18"/>
          <cell r="H18"/>
        </row>
        <row r="19">
          <cell r="D19">
            <v>2284</v>
          </cell>
          <cell r="F19"/>
          <cell r="H19"/>
        </row>
        <row r="20">
          <cell r="D20">
            <v>8407.7000000000007</v>
          </cell>
          <cell r="F20"/>
          <cell r="H20"/>
        </row>
        <row r="21">
          <cell r="D21"/>
          <cell r="F21"/>
          <cell r="H21"/>
        </row>
        <row r="22">
          <cell r="D22">
            <v>9308.52</v>
          </cell>
          <cell r="F22"/>
          <cell r="H22"/>
        </row>
        <row r="23">
          <cell r="D23">
            <v>7405.77</v>
          </cell>
          <cell r="F23"/>
          <cell r="H23"/>
        </row>
        <row r="24">
          <cell r="D24">
            <v>142114.45000000001</v>
          </cell>
          <cell r="F24"/>
          <cell r="H24"/>
        </row>
        <row r="25">
          <cell r="D25"/>
          <cell r="F25"/>
          <cell r="H25"/>
        </row>
        <row r="26">
          <cell r="D26">
            <v>136799.26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4472.5</v>
          </cell>
          <cell r="F31"/>
          <cell r="H31"/>
        </row>
        <row r="32">
          <cell r="D32">
            <v>10140.17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22.23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/>
          <cell r="F39"/>
          <cell r="H39"/>
        </row>
        <row r="40">
          <cell r="D40"/>
          <cell r="F40"/>
          <cell r="H40"/>
        </row>
        <row r="41">
          <cell r="D41">
            <v>138296.14000000001</v>
          </cell>
          <cell r="F41"/>
          <cell r="H41"/>
        </row>
        <row r="42">
          <cell r="D42">
            <v>454</v>
          </cell>
          <cell r="F42"/>
          <cell r="H42"/>
        </row>
        <row r="43">
          <cell r="D43">
            <v>1757.4</v>
          </cell>
          <cell r="F43">
            <v>-1757.4</v>
          </cell>
          <cell r="H43"/>
        </row>
        <row r="44">
          <cell r="D44"/>
          <cell r="F44"/>
          <cell r="H44"/>
        </row>
        <row r="45">
          <cell r="D45">
            <v>84.91</v>
          </cell>
          <cell r="F45"/>
          <cell r="H45"/>
        </row>
        <row r="57">
          <cell r="D57"/>
          <cell r="F57"/>
          <cell r="H57"/>
        </row>
        <row r="58">
          <cell r="D58">
            <v>112108.86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5693.56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/>
          <cell r="F75"/>
          <cell r="H75"/>
        </row>
        <row r="76">
          <cell r="D76"/>
          <cell r="F76"/>
          <cell r="H76"/>
        </row>
        <row r="77">
          <cell r="D77">
            <v>2585.5300000000002</v>
          </cell>
          <cell r="F77"/>
          <cell r="H77"/>
        </row>
        <row r="78">
          <cell r="D78"/>
          <cell r="F78"/>
          <cell r="H78"/>
        </row>
        <row r="79">
          <cell r="D79">
            <v>12950.35</v>
          </cell>
          <cell r="F79"/>
          <cell r="H79"/>
        </row>
        <row r="80">
          <cell r="D80">
            <v>101169.7</v>
          </cell>
          <cell r="F80"/>
          <cell r="H80"/>
        </row>
        <row r="81">
          <cell r="D81">
            <v>9239.2000000000007</v>
          </cell>
          <cell r="F81"/>
          <cell r="H81"/>
        </row>
        <row r="82">
          <cell r="D82">
            <v>5677.2</v>
          </cell>
          <cell r="F82"/>
          <cell r="H82"/>
        </row>
        <row r="83">
          <cell r="D83">
            <v>15</v>
          </cell>
          <cell r="F83"/>
          <cell r="H83"/>
        </row>
        <row r="84">
          <cell r="D84"/>
          <cell r="F84"/>
          <cell r="H84"/>
        </row>
        <row r="85">
          <cell r="D85"/>
          <cell r="F85"/>
          <cell r="H85"/>
        </row>
        <row r="89">
          <cell r="D89">
            <v>215.9</v>
          </cell>
          <cell r="F89"/>
          <cell r="H89"/>
        </row>
        <row r="90">
          <cell r="D90">
            <v>78.900000000000006</v>
          </cell>
          <cell r="F90"/>
          <cell r="H90"/>
        </row>
        <row r="91">
          <cell r="D91">
            <v>237057.51</v>
          </cell>
          <cell r="F91"/>
          <cell r="H91"/>
        </row>
        <row r="92">
          <cell r="D92">
            <v>41167.5</v>
          </cell>
          <cell r="F92"/>
          <cell r="H92"/>
        </row>
        <row r="93">
          <cell r="D93"/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582.24</v>
          </cell>
          <cell r="F100"/>
          <cell r="H100"/>
        </row>
        <row r="101">
          <cell r="D101">
            <v>62765.02</v>
          </cell>
          <cell r="F101"/>
          <cell r="H101"/>
        </row>
        <row r="102">
          <cell r="D102">
            <v>82.9</v>
          </cell>
          <cell r="F102"/>
          <cell r="H102"/>
        </row>
        <row r="103">
          <cell r="D103"/>
          <cell r="F103"/>
          <cell r="H103"/>
        </row>
        <row r="115">
          <cell r="D115">
            <v>27273.56</v>
          </cell>
          <cell r="F115"/>
          <cell r="H115"/>
        </row>
        <row r="116">
          <cell r="D116">
            <v>9966.68</v>
          </cell>
          <cell r="F116"/>
          <cell r="H116"/>
        </row>
        <row r="117">
          <cell r="D117">
            <v>6905.78</v>
          </cell>
          <cell r="F117"/>
          <cell r="H117"/>
        </row>
        <row r="118">
          <cell r="D118">
            <v>24937.200000000001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58821.14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45.44</v>
          </cell>
          <cell r="F128"/>
          <cell r="H128"/>
        </row>
        <row r="130">
          <cell r="D130"/>
          <cell r="F130"/>
          <cell r="H130"/>
        </row>
        <row r="131">
          <cell r="D131">
            <v>21495.23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16.600000000000001</v>
          </cell>
          <cell r="F134"/>
          <cell r="H134"/>
        </row>
        <row r="136">
          <cell r="D136">
            <v>266749.90999999997</v>
          </cell>
          <cell r="F136"/>
          <cell r="H136"/>
        </row>
        <row r="137">
          <cell r="D137">
            <v>39441.39</v>
          </cell>
          <cell r="F137"/>
          <cell r="H137"/>
        </row>
        <row r="138">
          <cell r="D138">
            <v>365945.11</v>
          </cell>
          <cell r="F138"/>
          <cell r="H138"/>
        </row>
        <row r="139">
          <cell r="D139"/>
          <cell r="F139"/>
          <cell r="H139"/>
        </row>
        <row r="141">
          <cell r="D141">
            <v>97479.4</v>
          </cell>
          <cell r="F141"/>
          <cell r="H141"/>
        </row>
        <row r="142">
          <cell r="D142">
            <v>14413.21</v>
          </cell>
          <cell r="F142"/>
          <cell r="H142"/>
        </row>
        <row r="143">
          <cell r="D143">
            <v>133728.66</v>
          </cell>
          <cell r="F143"/>
          <cell r="H143"/>
        </row>
        <row r="144">
          <cell r="D144"/>
          <cell r="F144"/>
          <cell r="H144"/>
        </row>
        <row r="146">
          <cell r="D146"/>
          <cell r="F146"/>
          <cell r="H146"/>
        </row>
        <row r="147">
          <cell r="D147">
            <v>43286.94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55237.3</v>
          </cell>
          <cell r="F150"/>
          <cell r="H150"/>
        </row>
        <row r="151">
          <cell r="D151">
            <v>26833.24</v>
          </cell>
          <cell r="F151"/>
          <cell r="H151"/>
        </row>
        <row r="152">
          <cell r="D152">
            <v>949.81</v>
          </cell>
          <cell r="F152"/>
          <cell r="H152"/>
        </row>
        <row r="153">
          <cell r="D153">
            <v>20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>
            <v>237</v>
          </cell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/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91850.09</v>
          </cell>
          <cell r="F211"/>
          <cell r="H211"/>
        </row>
        <row r="212">
          <cell r="D212">
            <v>33565.120000000003</v>
          </cell>
          <cell r="F212"/>
          <cell r="H212"/>
        </row>
        <row r="213">
          <cell r="D213">
            <v>19113.84</v>
          </cell>
          <cell r="F213"/>
          <cell r="H213"/>
        </row>
        <row r="214">
          <cell r="D214">
            <v>2417.5</v>
          </cell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2461956.29</v>
          </cell>
        </row>
      </sheetData>
      <sheetData sheetId="8"/>
      <sheetData sheetId="9"/>
      <sheetData sheetId="10">
        <row r="9">
          <cell r="C9">
            <v>6120</v>
          </cell>
          <cell r="D9"/>
          <cell r="E9"/>
          <cell r="F9"/>
          <cell r="G9"/>
          <cell r="H9">
            <v>315</v>
          </cell>
          <cell r="I9"/>
          <cell r="J9">
            <v>27</v>
          </cell>
          <cell r="K9"/>
        </row>
        <row r="22">
          <cell r="N22">
            <v>21</v>
          </cell>
        </row>
        <row r="24">
          <cell r="N24">
            <v>21</v>
          </cell>
        </row>
        <row r="28">
          <cell r="N28">
            <v>7665</v>
          </cell>
        </row>
        <row r="30">
          <cell r="N30">
            <v>0.84305283757338556</v>
          </cell>
        </row>
        <row r="32">
          <cell r="N32">
            <v>0.79843444227005866</v>
          </cell>
        </row>
        <row r="34">
          <cell r="N34">
            <v>0.94707520891364894</v>
          </cell>
        </row>
      </sheetData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90-490"/>
      <sheetName val="70-490"/>
      <sheetName val="60-490 "/>
      <sheetName val="40-490"/>
      <sheetName val="10-490"/>
      <sheetName val="10-25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429103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2118</v>
          </cell>
          <cell r="G13"/>
        </row>
        <row r="14">
          <cell r="E14">
            <v>0</v>
          </cell>
          <cell r="G14"/>
        </row>
        <row r="15">
          <cell r="E15">
            <v>431221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1389679</v>
          </cell>
          <cell r="G26">
            <v>0</v>
          </cell>
        </row>
        <row r="32">
          <cell r="E32">
            <v>269789</v>
          </cell>
          <cell r="G32">
            <v>0</v>
          </cell>
        </row>
        <row r="37">
          <cell r="E37">
            <v>7944836</v>
          </cell>
          <cell r="G37">
            <v>-2536676</v>
          </cell>
        </row>
        <row r="42">
          <cell r="E42">
            <v>1798012</v>
          </cell>
          <cell r="G42">
            <v>2536676</v>
          </cell>
        </row>
        <row r="47">
          <cell r="E47">
            <v>141593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20231</v>
          </cell>
          <cell r="G57">
            <v>0</v>
          </cell>
        </row>
        <row r="72">
          <cell r="E72">
            <v>60427</v>
          </cell>
          <cell r="G72">
            <v>-52615</v>
          </cell>
        </row>
        <row r="90">
          <cell r="C90">
            <v>192.48171614771906</v>
          </cell>
          <cell r="E90">
            <v>192.48169315949278</v>
          </cell>
          <cell r="G90">
            <v>192.48165218932814</v>
          </cell>
          <cell r="I90">
            <v>192.48175816539262</v>
          </cell>
        </row>
      </sheetData>
      <sheetData sheetId="6"/>
      <sheetData sheetId="7">
        <row r="10">
          <cell r="D10"/>
          <cell r="F10">
            <v>122266</v>
          </cell>
          <cell r="H10"/>
        </row>
        <row r="11">
          <cell r="D11"/>
          <cell r="F11"/>
          <cell r="H11"/>
        </row>
        <row r="12">
          <cell r="D12">
            <v>327793</v>
          </cell>
          <cell r="F12">
            <v>-122636</v>
          </cell>
          <cell r="H12"/>
        </row>
        <row r="13">
          <cell r="D13">
            <v>114395</v>
          </cell>
          <cell r="F13">
            <v>-13259</v>
          </cell>
          <cell r="H13"/>
        </row>
        <row r="14">
          <cell r="D14"/>
          <cell r="F14"/>
          <cell r="H14"/>
        </row>
        <row r="15">
          <cell r="D15"/>
          <cell r="F15">
            <v>722817</v>
          </cell>
          <cell r="H15"/>
        </row>
        <row r="16">
          <cell r="D16">
            <v>722817</v>
          </cell>
          <cell r="F16">
            <v>-722817</v>
          </cell>
          <cell r="H16"/>
        </row>
        <row r="17">
          <cell r="D17">
            <v>13297</v>
          </cell>
          <cell r="F17">
            <v>-13297</v>
          </cell>
          <cell r="H17"/>
        </row>
        <row r="18">
          <cell r="D18">
            <v>86727</v>
          </cell>
          <cell r="F18"/>
          <cell r="H18"/>
        </row>
        <row r="19">
          <cell r="D19">
            <v>18655</v>
          </cell>
          <cell r="F19"/>
          <cell r="H19"/>
        </row>
        <row r="20">
          <cell r="D20">
            <v>39220</v>
          </cell>
          <cell r="F20">
            <v>-409</v>
          </cell>
          <cell r="H20"/>
        </row>
        <row r="21">
          <cell r="D21">
            <v>10800</v>
          </cell>
          <cell r="F21"/>
          <cell r="H21"/>
        </row>
        <row r="22">
          <cell r="D22"/>
          <cell r="F22"/>
          <cell r="H22"/>
        </row>
        <row r="23">
          <cell r="D23">
            <v>26991</v>
          </cell>
          <cell r="F23"/>
          <cell r="H23"/>
        </row>
        <row r="24">
          <cell r="D24">
            <v>2646</v>
          </cell>
          <cell r="F24"/>
          <cell r="H24"/>
        </row>
        <row r="25">
          <cell r="D25"/>
          <cell r="F25"/>
          <cell r="H25"/>
        </row>
        <row r="26">
          <cell r="D26"/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12676</v>
          </cell>
          <cell r="F29">
            <v>-12676</v>
          </cell>
          <cell r="H29"/>
        </row>
        <row r="30">
          <cell r="D30">
            <v>571</v>
          </cell>
          <cell r="F30">
            <v>-571</v>
          </cell>
          <cell r="H30"/>
        </row>
        <row r="31">
          <cell r="D31"/>
          <cell r="F31"/>
          <cell r="H31"/>
        </row>
        <row r="32">
          <cell r="D32">
            <v>91940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5253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65148</v>
          </cell>
          <cell r="F36"/>
          <cell r="H36"/>
        </row>
        <row r="37">
          <cell r="D37">
            <v>11733</v>
          </cell>
          <cell r="F37"/>
          <cell r="H37"/>
        </row>
        <row r="38">
          <cell r="D38">
            <v>23643</v>
          </cell>
          <cell r="F38">
            <v>-23643</v>
          </cell>
          <cell r="H38"/>
        </row>
        <row r="39">
          <cell r="D39">
            <v>13461</v>
          </cell>
          <cell r="F39"/>
          <cell r="H39"/>
        </row>
        <row r="40">
          <cell r="D40">
            <v>18078</v>
          </cell>
          <cell r="F40">
            <v>-18078</v>
          </cell>
          <cell r="H40"/>
        </row>
        <row r="41">
          <cell r="D41">
            <v>93155</v>
          </cell>
          <cell r="F41">
            <v>-15822</v>
          </cell>
          <cell r="H41"/>
        </row>
        <row r="42">
          <cell r="D42"/>
          <cell r="F42"/>
          <cell r="H42"/>
        </row>
        <row r="43">
          <cell r="D43">
            <v>23065</v>
          </cell>
          <cell r="F43">
            <v>-23065</v>
          </cell>
          <cell r="H43"/>
        </row>
        <row r="44">
          <cell r="D44"/>
          <cell r="F44"/>
          <cell r="H44"/>
        </row>
        <row r="45">
          <cell r="D45">
            <v>509332</v>
          </cell>
          <cell r="F45">
            <v>-438347</v>
          </cell>
          <cell r="H45"/>
        </row>
        <row r="57">
          <cell r="D57"/>
          <cell r="F57"/>
          <cell r="H57"/>
        </row>
        <row r="58">
          <cell r="D58">
            <v>6662</v>
          </cell>
          <cell r="F58"/>
          <cell r="H58"/>
        </row>
        <row r="59">
          <cell r="D59"/>
          <cell r="F59"/>
          <cell r="H59"/>
        </row>
        <row r="60">
          <cell r="D60">
            <v>902</v>
          </cell>
          <cell r="F60"/>
          <cell r="H60"/>
        </row>
        <row r="61">
          <cell r="D61">
            <v>19824</v>
          </cell>
          <cell r="F61"/>
          <cell r="H61"/>
        </row>
        <row r="62">
          <cell r="D62">
            <v>14100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11639</v>
          </cell>
          <cell r="F65"/>
          <cell r="H65"/>
        </row>
        <row r="66">
          <cell r="D66">
            <v>116768</v>
          </cell>
          <cell r="F66"/>
          <cell r="H66"/>
        </row>
        <row r="67">
          <cell r="D67">
            <v>39749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120948</v>
          </cell>
          <cell r="F75"/>
          <cell r="H75"/>
        </row>
        <row r="76">
          <cell r="D76">
            <v>26760</v>
          </cell>
          <cell r="F76"/>
          <cell r="H76"/>
        </row>
        <row r="77">
          <cell r="D77">
            <v>31229</v>
          </cell>
          <cell r="F77"/>
          <cell r="H77"/>
        </row>
        <row r="78">
          <cell r="D78"/>
          <cell r="F78"/>
          <cell r="H78"/>
        </row>
        <row r="79">
          <cell r="D79">
            <v>17042</v>
          </cell>
          <cell r="F79"/>
          <cell r="H79"/>
        </row>
        <row r="80">
          <cell r="D80">
            <v>18151</v>
          </cell>
          <cell r="F80"/>
          <cell r="H80"/>
        </row>
        <row r="81">
          <cell r="D81">
            <v>59238</v>
          </cell>
          <cell r="F81"/>
          <cell r="H81"/>
        </row>
        <row r="82">
          <cell r="D82">
            <v>35407</v>
          </cell>
          <cell r="F82"/>
          <cell r="H82"/>
        </row>
        <row r="83">
          <cell r="D83">
            <v>10345</v>
          </cell>
          <cell r="F83"/>
          <cell r="H83"/>
        </row>
        <row r="84">
          <cell r="D84">
            <v>224201</v>
          </cell>
          <cell r="F84"/>
          <cell r="H84"/>
        </row>
        <row r="85">
          <cell r="D85"/>
          <cell r="F85"/>
          <cell r="H85"/>
        </row>
        <row r="89">
          <cell r="D89">
            <v>546558</v>
          </cell>
          <cell r="F89"/>
          <cell r="H89"/>
        </row>
        <row r="90">
          <cell r="D90">
            <v>83827</v>
          </cell>
          <cell r="F90"/>
          <cell r="H90"/>
        </row>
        <row r="91">
          <cell r="D91">
            <v>24758</v>
          </cell>
          <cell r="F91"/>
          <cell r="H91"/>
        </row>
        <row r="92">
          <cell r="D92">
            <v>409498</v>
          </cell>
          <cell r="F92">
            <v>-9748</v>
          </cell>
          <cell r="H92"/>
        </row>
        <row r="93">
          <cell r="D93">
            <v>32468</v>
          </cell>
          <cell r="F93"/>
          <cell r="H93"/>
        </row>
        <row r="94">
          <cell r="D94">
            <v>50</v>
          </cell>
          <cell r="F94"/>
          <cell r="H94"/>
        </row>
        <row r="98">
          <cell r="D98">
            <v>107158</v>
          </cell>
          <cell r="F98"/>
          <cell r="H98"/>
        </row>
        <row r="99">
          <cell r="D99">
            <v>14695</v>
          </cell>
          <cell r="F99"/>
          <cell r="H99"/>
        </row>
        <row r="100">
          <cell r="D100">
            <v>6923</v>
          </cell>
          <cell r="F100"/>
          <cell r="H100"/>
        </row>
        <row r="101">
          <cell r="D101"/>
          <cell r="F101"/>
          <cell r="H101"/>
        </row>
        <row r="102">
          <cell r="D102">
            <v>11420</v>
          </cell>
          <cell r="F102"/>
          <cell r="H102"/>
        </row>
        <row r="103">
          <cell r="D103"/>
          <cell r="F103"/>
          <cell r="H103"/>
        </row>
        <row r="115">
          <cell r="D115">
            <v>300818</v>
          </cell>
          <cell r="F115"/>
          <cell r="H115"/>
        </row>
        <row r="116">
          <cell r="D116">
            <v>68046</v>
          </cell>
          <cell r="F116"/>
          <cell r="H116"/>
        </row>
        <row r="117">
          <cell r="D117">
            <v>75095</v>
          </cell>
          <cell r="F117"/>
          <cell r="H117"/>
        </row>
        <row r="118">
          <cell r="D118"/>
          <cell r="F118"/>
          <cell r="H118"/>
        </row>
        <row r="119">
          <cell r="D119">
            <v>1204</v>
          </cell>
          <cell r="F119"/>
          <cell r="H119"/>
        </row>
        <row r="124">
          <cell r="D124"/>
          <cell r="F124"/>
          <cell r="H124"/>
        </row>
        <row r="125">
          <cell r="D125">
            <v>678734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108309</v>
          </cell>
          <cell r="F128"/>
          <cell r="H128"/>
        </row>
        <row r="130">
          <cell r="D130"/>
          <cell r="F130"/>
          <cell r="H130"/>
        </row>
        <row r="131">
          <cell r="D131">
            <v>183607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31381</v>
          </cell>
          <cell r="F134"/>
          <cell r="H134"/>
        </row>
        <row r="136">
          <cell r="D136">
            <v>1110818</v>
          </cell>
          <cell r="F136"/>
          <cell r="H136"/>
        </row>
        <row r="137">
          <cell r="D137">
            <v>492559</v>
          </cell>
          <cell r="F137"/>
          <cell r="H137"/>
        </row>
        <row r="138">
          <cell r="D138">
            <v>1699144</v>
          </cell>
          <cell r="F138">
            <v>93662</v>
          </cell>
          <cell r="H138"/>
        </row>
        <row r="139">
          <cell r="D139">
            <v>93662</v>
          </cell>
          <cell r="F139">
            <v>-93662</v>
          </cell>
          <cell r="H139"/>
        </row>
        <row r="141">
          <cell r="D141">
            <v>642963</v>
          </cell>
          <cell r="F141">
            <v>-432664</v>
          </cell>
          <cell r="H141"/>
        </row>
        <row r="142">
          <cell r="D142"/>
          <cell r="F142">
            <v>93251</v>
          </cell>
          <cell r="H142"/>
        </row>
        <row r="143">
          <cell r="D143"/>
          <cell r="F143">
            <v>339413</v>
          </cell>
          <cell r="H143"/>
        </row>
        <row r="144">
          <cell r="D144"/>
          <cell r="F144"/>
          <cell r="H144"/>
        </row>
        <row r="146">
          <cell r="D146">
            <v>55738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5800</v>
          </cell>
          <cell r="F150"/>
          <cell r="H150"/>
        </row>
        <row r="151">
          <cell r="D151">
            <v>196089</v>
          </cell>
          <cell r="F151"/>
          <cell r="H151"/>
        </row>
        <row r="152">
          <cell r="D152">
            <v>26193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61444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378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38264</v>
          </cell>
          <cell r="F193"/>
          <cell r="H193"/>
        </row>
        <row r="194">
          <cell r="D194">
            <v>398745</v>
          </cell>
          <cell r="F194"/>
          <cell r="H194"/>
        </row>
        <row r="195">
          <cell r="D195">
            <v>92833</v>
          </cell>
          <cell r="F195"/>
          <cell r="H195"/>
        </row>
        <row r="196">
          <cell r="D196"/>
          <cell r="F196"/>
          <cell r="H196"/>
        </row>
        <row r="197">
          <cell r="D197">
            <v>199398</v>
          </cell>
          <cell r="F197"/>
          <cell r="H197"/>
        </row>
        <row r="198">
          <cell r="D198">
            <v>79206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402074</v>
          </cell>
          <cell r="F205"/>
          <cell r="H205"/>
        </row>
        <row r="206">
          <cell r="D206">
            <v>16631</v>
          </cell>
          <cell r="F206"/>
          <cell r="H206"/>
        </row>
        <row r="207">
          <cell r="D207"/>
          <cell r="F207"/>
          <cell r="H207"/>
        </row>
        <row r="211">
          <cell r="D211">
            <v>306755</v>
          </cell>
          <cell r="F211"/>
          <cell r="H211"/>
        </row>
        <row r="212">
          <cell r="D212">
            <v>49144</v>
          </cell>
          <cell r="F212"/>
          <cell r="H212"/>
        </row>
        <row r="213">
          <cell r="D213">
            <v>28459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27445</v>
          </cell>
          <cell r="F216"/>
          <cell r="H216"/>
        </row>
        <row r="221">
          <cell r="D221">
            <v>11692652</v>
          </cell>
        </row>
      </sheetData>
      <sheetData sheetId="8"/>
      <sheetData sheetId="9"/>
      <sheetData sheetId="10">
        <row r="9">
          <cell r="C9">
            <v>2301</v>
          </cell>
          <cell r="D9">
            <v>0</v>
          </cell>
          <cell r="E9">
            <v>2381</v>
          </cell>
          <cell r="F9">
            <v>525</v>
          </cell>
          <cell r="G9">
            <v>13741</v>
          </cell>
          <cell r="H9">
            <v>22520</v>
          </cell>
          <cell r="I9">
            <v>731</v>
          </cell>
          <cell r="J9">
            <v>0</v>
          </cell>
          <cell r="K9">
            <v>53</v>
          </cell>
        </row>
        <row r="22">
          <cell r="N22">
            <v>120</v>
          </cell>
        </row>
        <row r="24">
          <cell r="N24">
            <v>22</v>
          </cell>
        </row>
        <row r="28">
          <cell r="N28">
            <v>43800</v>
          </cell>
        </row>
        <row r="30">
          <cell r="N30">
            <v>0.9646575342465753</v>
          </cell>
        </row>
        <row r="32">
          <cell r="N32">
            <v>5.2534246575342468E-2</v>
          </cell>
        </row>
        <row r="34">
          <cell r="N34">
            <v>5.4458960522578814E-2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1385375</v>
          </cell>
          <cell r="G10">
            <v>0</v>
          </cell>
        </row>
        <row r="12">
          <cell r="E12">
            <v>405482</v>
          </cell>
          <cell r="G12">
            <v>524068.26919072727</v>
          </cell>
        </row>
        <row r="13">
          <cell r="E13">
            <v>21004</v>
          </cell>
          <cell r="G13"/>
        </row>
        <row r="14">
          <cell r="E14">
            <v>40857</v>
          </cell>
          <cell r="G14"/>
        </row>
        <row r="15">
          <cell r="E15">
            <v>1852718</v>
          </cell>
          <cell r="G15">
            <v>524068.26919072727</v>
          </cell>
        </row>
        <row r="20">
          <cell r="E20">
            <v>0</v>
          </cell>
          <cell r="G20">
            <v>0</v>
          </cell>
        </row>
        <row r="26">
          <cell r="E26">
            <v>864564</v>
          </cell>
          <cell r="G26">
            <v>0</v>
          </cell>
        </row>
        <row r="32">
          <cell r="E32">
            <v>541800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153530</v>
          </cell>
          <cell r="G42">
            <v>0</v>
          </cell>
        </row>
        <row r="47">
          <cell r="E47">
            <v>265971.04602510459</v>
          </cell>
          <cell r="G47">
            <v>0</v>
          </cell>
        </row>
        <row r="52">
          <cell r="E52">
            <v>14471.953974895398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203</v>
          </cell>
          <cell r="G72">
            <v>0</v>
          </cell>
        </row>
        <row r="90">
          <cell r="C90">
            <v>82.066964285714292</v>
          </cell>
          <cell r="E90">
            <v>250.97413793103448</v>
          </cell>
          <cell r="G90">
            <v>252.71929824561403</v>
          </cell>
          <cell r="I90">
            <v>246.7220447284345</v>
          </cell>
        </row>
      </sheetData>
      <sheetData sheetId="7"/>
      <sheetData sheetId="8">
        <row r="10">
          <cell r="D10">
            <v>113419</v>
          </cell>
          <cell r="F10">
            <v>-22377</v>
          </cell>
          <cell r="H10"/>
        </row>
        <row r="11">
          <cell r="D11">
            <v>0</v>
          </cell>
          <cell r="F11"/>
          <cell r="H11"/>
        </row>
        <row r="12">
          <cell r="D12">
            <v>84241</v>
          </cell>
          <cell r="F12"/>
          <cell r="H12"/>
        </row>
        <row r="13">
          <cell r="D13">
            <v>121470</v>
          </cell>
          <cell r="F13">
            <v>-84122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185549</v>
          </cell>
          <cell r="F16"/>
          <cell r="H16">
            <v>-32143</v>
          </cell>
        </row>
        <row r="17">
          <cell r="D17">
            <v>0</v>
          </cell>
          <cell r="F17"/>
          <cell r="H17"/>
        </row>
        <row r="18">
          <cell r="D18">
            <v>20127</v>
          </cell>
          <cell r="F18"/>
          <cell r="H18"/>
        </row>
        <row r="19">
          <cell r="D19">
            <v>13498</v>
          </cell>
          <cell r="F19">
            <v>-1137</v>
          </cell>
          <cell r="H19"/>
        </row>
        <row r="20">
          <cell r="D20">
            <v>9243</v>
          </cell>
          <cell r="F20"/>
          <cell r="H20"/>
        </row>
        <row r="21">
          <cell r="D21">
            <v>1737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2086</v>
          </cell>
          <cell r="F23"/>
          <cell r="H23"/>
        </row>
        <row r="24">
          <cell r="D24">
            <v>51484</v>
          </cell>
          <cell r="F24"/>
          <cell r="H24">
            <v>-12517</v>
          </cell>
        </row>
        <row r="25">
          <cell r="D25">
            <v>0</v>
          </cell>
          <cell r="F25"/>
          <cell r="H25"/>
        </row>
        <row r="26">
          <cell r="D26">
            <v>214232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151261</v>
          </cell>
          <cell r="F29">
            <v>-151261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52390</v>
          </cell>
          <cell r="F31"/>
          <cell r="H31">
            <v>-30695</v>
          </cell>
        </row>
        <row r="32">
          <cell r="D32">
            <v>60995</v>
          </cell>
          <cell r="F32"/>
          <cell r="H32">
            <v>-27448</v>
          </cell>
        </row>
        <row r="33">
          <cell r="D33">
            <v>12678</v>
          </cell>
          <cell r="F33">
            <v>-12678</v>
          </cell>
          <cell r="H33"/>
        </row>
        <row r="34">
          <cell r="D34">
            <v>0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2957</v>
          </cell>
          <cell r="F39"/>
          <cell r="H39"/>
        </row>
        <row r="40">
          <cell r="D40">
            <v>3622</v>
          </cell>
          <cell r="F40"/>
          <cell r="H40"/>
        </row>
        <row r="41">
          <cell r="D41">
            <v>9135</v>
          </cell>
          <cell r="F41"/>
          <cell r="H41"/>
        </row>
        <row r="42">
          <cell r="D42">
            <v>1063</v>
          </cell>
          <cell r="F42"/>
          <cell r="H42"/>
        </row>
        <row r="43">
          <cell r="D43">
            <v>9008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1331</v>
          </cell>
          <cell r="F45">
            <v>-99</v>
          </cell>
          <cell r="H45"/>
        </row>
        <row r="57">
          <cell r="D57">
            <v>242818</v>
          </cell>
          <cell r="F57"/>
          <cell r="H57"/>
        </row>
        <row r="58">
          <cell r="D58">
            <v>0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12968</v>
          </cell>
          <cell r="F60"/>
          <cell r="H60"/>
        </row>
        <row r="61">
          <cell r="D61">
            <v>4234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2452</v>
          </cell>
          <cell r="F65"/>
          <cell r="H65"/>
        </row>
        <row r="66">
          <cell r="D66">
            <v>3298</v>
          </cell>
          <cell r="F66"/>
          <cell r="H66"/>
        </row>
        <row r="67">
          <cell r="D67">
            <v>0</v>
          </cell>
          <cell r="F67">
            <v>-1509</v>
          </cell>
          <cell r="H67"/>
        </row>
        <row r="68">
          <cell r="D68">
            <v>0</v>
          </cell>
          <cell r="F68"/>
          <cell r="H68"/>
        </row>
        <row r="69">
          <cell r="D69">
            <v>4588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39524</v>
          </cell>
          <cell r="F75"/>
          <cell r="H75"/>
        </row>
        <row r="76">
          <cell r="D76">
            <v>4700</v>
          </cell>
          <cell r="F76">
            <v>2380</v>
          </cell>
          <cell r="H76"/>
        </row>
        <row r="77">
          <cell r="D77">
            <v>3388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5522</v>
          </cell>
          <cell r="F79"/>
          <cell r="H79"/>
        </row>
        <row r="80">
          <cell r="D80">
            <v>15253</v>
          </cell>
          <cell r="F80"/>
          <cell r="H80"/>
        </row>
        <row r="81">
          <cell r="D81">
            <v>6024</v>
          </cell>
          <cell r="F81"/>
          <cell r="H81"/>
        </row>
        <row r="82">
          <cell r="D82">
            <v>78</v>
          </cell>
          <cell r="F82"/>
          <cell r="H82"/>
        </row>
        <row r="83">
          <cell r="D83">
            <v>771</v>
          </cell>
          <cell r="F83"/>
          <cell r="H83"/>
        </row>
        <row r="84">
          <cell r="D84">
            <v>59539</v>
          </cell>
          <cell r="F84"/>
          <cell r="H84"/>
        </row>
        <row r="85">
          <cell r="D85">
            <v>83</v>
          </cell>
          <cell r="F85"/>
          <cell r="H85"/>
        </row>
        <row r="89">
          <cell r="D89">
            <v>98020</v>
          </cell>
          <cell r="F89"/>
          <cell r="H89"/>
        </row>
        <row r="90">
          <cell r="D90">
            <v>13181</v>
          </cell>
          <cell r="F90">
            <v>5901</v>
          </cell>
          <cell r="H90"/>
        </row>
        <row r="91">
          <cell r="D91">
            <v>18061</v>
          </cell>
          <cell r="F91"/>
          <cell r="H91"/>
        </row>
        <row r="92">
          <cell r="D92">
            <v>83462</v>
          </cell>
          <cell r="F92"/>
          <cell r="H92"/>
        </row>
        <row r="93">
          <cell r="D93">
            <v>6590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156</v>
          </cell>
          <cell r="F98"/>
          <cell r="H98"/>
        </row>
        <row r="99">
          <cell r="D99">
            <v>19</v>
          </cell>
          <cell r="F99">
            <v>9</v>
          </cell>
          <cell r="H99"/>
        </row>
        <row r="100">
          <cell r="D100">
            <v>1059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1302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45629</v>
          </cell>
          <cell r="F115"/>
          <cell r="H115"/>
        </row>
        <row r="116">
          <cell r="D116">
            <v>5907</v>
          </cell>
          <cell r="F116">
            <v>2747</v>
          </cell>
          <cell r="H116"/>
        </row>
        <row r="117">
          <cell r="D117">
            <v>12108</v>
          </cell>
          <cell r="F117"/>
          <cell r="H117"/>
        </row>
        <row r="118">
          <cell r="D118">
            <v>1740</v>
          </cell>
          <cell r="F118"/>
          <cell r="H118"/>
        </row>
        <row r="119">
          <cell r="D119">
            <v>6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179546</v>
          </cell>
          <cell r="F125"/>
          <cell r="H125">
            <v>28951</v>
          </cell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22041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10810</v>
          </cell>
          <cell r="H131">
            <v>3193</v>
          </cell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1327</v>
          </cell>
          <cell r="H134"/>
        </row>
        <row r="136">
          <cell r="D136">
            <v>302471</v>
          </cell>
          <cell r="F136"/>
          <cell r="H136"/>
        </row>
        <row r="137">
          <cell r="D137">
            <v>154142</v>
          </cell>
          <cell r="F137"/>
          <cell r="H137"/>
        </row>
        <row r="138">
          <cell r="D138">
            <v>322685</v>
          </cell>
          <cell r="F138"/>
          <cell r="H138"/>
        </row>
        <row r="139">
          <cell r="D139">
            <v>10820</v>
          </cell>
          <cell r="F139"/>
          <cell r="H139"/>
        </row>
        <row r="141">
          <cell r="D141"/>
          <cell r="F141">
            <v>18211</v>
          </cell>
          <cell r="H141"/>
        </row>
        <row r="142">
          <cell r="D142"/>
          <cell r="F142">
            <v>9280</v>
          </cell>
          <cell r="H142"/>
        </row>
        <row r="143">
          <cell r="D143"/>
          <cell r="F143">
            <v>19428</v>
          </cell>
          <cell r="H143"/>
        </row>
        <row r="144">
          <cell r="D144">
            <v>145570</v>
          </cell>
          <cell r="F144">
            <v>651</v>
          </cell>
          <cell r="H144"/>
        </row>
        <row r="146">
          <cell r="D146">
            <v>33600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5324</v>
          </cell>
          <cell r="F150"/>
          <cell r="H150"/>
        </row>
        <row r="151">
          <cell r="D151">
            <v>48264</v>
          </cell>
          <cell r="F151">
            <v>5317</v>
          </cell>
          <cell r="H151"/>
        </row>
        <row r="152">
          <cell r="D152">
            <v>418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1108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108666</v>
          </cell>
          <cell r="F177"/>
          <cell r="H177"/>
        </row>
        <row r="178">
          <cell r="D178">
            <v>13866</v>
          </cell>
          <cell r="F178">
            <v>6542</v>
          </cell>
          <cell r="H178"/>
        </row>
        <row r="179">
          <cell r="D179">
            <v>45323</v>
          </cell>
          <cell r="F179"/>
          <cell r="H179"/>
        </row>
        <row r="180">
          <cell r="D180">
            <v>5385</v>
          </cell>
          <cell r="F180">
            <v>2729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105103</v>
          </cell>
          <cell r="F183"/>
          <cell r="H183"/>
        </row>
        <row r="184">
          <cell r="D184">
            <v>15088</v>
          </cell>
          <cell r="F184">
            <v>6328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1879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144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27470</v>
          </cell>
          <cell r="F198"/>
          <cell r="H198">
            <v>-1458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87453</v>
          </cell>
          <cell r="F205"/>
          <cell r="H205"/>
        </row>
        <row r="206">
          <cell r="D206">
            <v>2680</v>
          </cell>
          <cell r="F206"/>
          <cell r="H206"/>
        </row>
        <row r="207">
          <cell r="D207">
            <v>32640</v>
          </cell>
          <cell r="F207"/>
          <cell r="H207"/>
        </row>
        <row r="211">
          <cell r="D211">
            <v>61462</v>
          </cell>
          <cell r="F211"/>
          <cell r="H211"/>
        </row>
        <row r="212">
          <cell r="D212">
            <v>8663</v>
          </cell>
          <cell r="F212">
            <v>3700</v>
          </cell>
          <cell r="H212"/>
        </row>
        <row r="213">
          <cell r="D213">
            <v>2184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12473</v>
          </cell>
          <cell r="F216"/>
          <cell r="H216">
            <v>-217</v>
          </cell>
        </row>
        <row r="221">
          <cell r="D221">
            <v>3570474</v>
          </cell>
        </row>
      </sheetData>
      <sheetData sheetId="9"/>
      <sheetData sheetId="10"/>
      <sheetData sheetId="11">
        <row r="9">
          <cell r="C9">
            <v>8043</v>
          </cell>
          <cell r="D9"/>
          <cell r="E9">
            <v>1577</v>
          </cell>
          <cell r="F9">
            <v>1383</v>
          </cell>
          <cell r="G9"/>
          <cell r="H9">
            <v>767</v>
          </cell>
          <cell r="I9">
            <v>1360</v>
          </cell>
          <cell r="J9">
            <v>74</v>
          </cell>
          <cell r="K9"/>
        </row>
        <row r="22">
          <cell r="N22">
            <v>63</v>
          </cell>
        </row>
        <row r="24">
          <cell r="N24">
            <v>63</v>
          </cell>
        </row>
        <row r="28">
          <cell r="N28">
            <v>22995</v>
          </cell>
        </row>
        <row r="30">
          <cell r="N30">
            <v>0.57421178517068927</v>
          </cell>
        </row>
        <row r="32">
          <cell r="N32">
            <v>0.34977168949771692</v>
          </cell>
        </row>
        <row r="34">
          <cell r="N34">
            <v>0.60913359588003646</v>
          </cell>
        </row>
      </sheetData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-List"/>
      <sheetName val="Supp 1012"/>
      <sheetName val="Supp 10-490"/>
      <sheetName val="Supp 70-490"/>
      <sheetName val="Supp 80-490"/>
      <sheetName val="Supp 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2044004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93840</v>
          </cell>
          <cell r="G13"/>
        </row>
        <row r="14">
          <cell r="E14">
            <v>0</v>
          </cell>
          <cell r="G14"/>
        </row>
        <row r="15">
          <cell r="E15">
            <v>2137844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694738</v>
          </cell>
          <cell r="G26">
            <v>0</v>
          </cell>
        </row>
        <row r="32">
          <cell r="E32">
            <v>110431</v>
          </cell>
          <cell r="G32">
            <v>0</v>
          </cell>
        </row>
        <row r="37">
          <cell r="E37">
            <v>457371</v>
          </cell>
          <cell r="G37">
            <v>0</v>
          </cell>
        </row>
        <row r="42">
          <cell r="E42">
            <v>348241</v>
          </cell>
          <cell r="G42">
            <v>0</v>
          </cell>
        </row>
        <row r="47">
          <cell r="E47">
            <v>449333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175584</v>
          </cell>
          <cell r="G57">
            <v>-122792</v>
          </cell>
        </row>
        <row r="72">
          <cell r="E72">
            <v>93975</v>
          </cell>
          <cell r="G72">
            <v>-16917</v>
          </cell>
        </row>
        <row r="90">
          <cell r="C90">
            <v>248.39017341040463</v>
          </cell>
          <cell r="E90">
            <v>248.3891402714932</v>
          </cell>
          <cell r="G90">
            <v>248.38987341772153</v>
          </cell>
          <cell r="I90">
            <v>248.38356164383561</v>
          </cell>
        </row>
      </sheetData>
      <sheetData sheetId="6"/>
      <sheetData sheetId="7">
        <row r="10">
          <cell r="D10">
            <v>0</v>
          </cell>
          <cell r="F10">
            <v>108324</v>
          </cell>
          <cell r="H10"/>
        </row>
        <row r="11">
          <cell r="D11">
            <v>0</v>
          </cell>
          <cell r="F11"/>
          <cell r="H11"/>
        </row>
        <row r="12">
          <cell r="D12">
            <v>255931</v>
          </cell>
          <cell r="F12">
            <v>-108324</v>
          </cell>
          <cell r="H12"/>
        </row>
        <row r="13">
          <cell r="D13">
            <v>59932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223253</v>
          </cell>
          <cell r="F16"/>
          <cell r="H16">
            <v>67339</v>
          </cell>
        </row>
        <row r="17">
          <cell r="D17">
            <v>573</v>
          </cell>
          <cell r="F17">
            <v>-573</v>
          </cell>
          <cell r="H17"/>
        </row>
        <row r="18">
          <cell r="D18">
            <v>15328</v>
          </cell>
          <cell r="F18"/>
          <cell r="H18"/>
        </row>
        <row r="19">
          <cell r="D19">
            <v>11601</v>
          </cell>
          <cell r="F19"/>
          <cell r="H19"/>
        </row>
        <row r="20">
          <cell r="D20">
            <v>14580</v>
          </cell>
          <cell r="F20"/>
          <cell r="H20"/>
        </row>
        <row r="21">
          <cell r="D21">
            <v>22760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9034</v>
          </cell>
          <cell r="F23"/>
          <cell r="H23"/>
        </row>
        <row r="24">
          <cell r="D24">
            <v>0</v>
          </cell>
          <cell r="F24"/>
          <cell r="H24"/>
        </row>
        <row r="25">
          <cell r="D25">
            <v>13124</v>
          </cell>
          <cell r="F25"/>
          <cell r="H25"/>
        </row>
        <row r="26">
          <cell r="D26">
            <v>388592</v>
          </cell>
          <cell r="F26"/>
          <cell r="H26"/>
        </row>
        <row r="27">
          <cell r="D27">
            <v>59387</v>
          </cell>
          <cell r="F27">
            <v>-137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175391</v>
          </cell>
          <cell r="F29">
            <v>-175391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66048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193</v>
          </cell>
          <cell r="F34"/>
          <cell r="H34"/>
        </row>
        <row r="35">
          <cell r="D35">
            <v>24187</v>
          </cell>
          <cell r="F35">
            <v>-24187</v>
          </cell>
          <cell r="H35"/>
        </row>
        <row r="36">
          <cell r="D36">
            <v>30757</v>
          </cell>
          <cell r="F36"/>
          <cell r="H36"/>
        </row>
        <row r="37">
          <cell r="D37">
            <v>6023</v>
          </cell>
          <cell r="F37"/>
          <cell r="H37"/>
        </row>
        <row r="38">
          <cell r="D38">
            <v>0</v>
          </cell>
          <cell r="F38">
            <v>0</v>
          </cell>
          <cell r="H38"/>
        </row>
        <row r="39">
          <cell r="D39">
            <v>2700</v>
          </cell>
          <cell r="F39"/>
          <cell r="H39"/>
        </row>
        <row r="40">
          <cell r="D40">
            <v>2280</v>
          </cell>
          <cell r="F40">
            <v>-2280</v>
          </cell>
          <cell r="H40"/>
        </row>
        <row r="41">
          <cell r="D41">
            <v>126946</v>
          </cell>
          <cell r="F41"/>
          <cell r="H41">
            <v>-18</v>
          </cell>
        </row>
        <row r="42">
          <cell r="D42">
            <v>0</v>
          </cell>
          <cell r="F42"/>
          <cell r="H42"/>
        </row>
        <row r="43">
          <cell r="D43">
            <v>16751</v>
          </cell>
          <cell r="F43">
            <v>-16751</v>
          </cell>
          <cell r="H43"/>
        </row>
        <row r="44">
          <cell r="D44">
            <v>0</v>
          </cell>
          <cell r="F44"/>
          <cell r="H44"/>
        </row>
        <row r="45">
          <cell r="D45">
            <v>5190</v>
          </cell>
          <cell r="F45">
            <v>-9906</v>
          </cell>
          <cell r="H45"/>
        </row>
        <row r="57">
          <cell r="D57">
            <v>0</v>
          </cell>
          <cell r="F57"/>
          <cell r="H57"/>
        </row>
        <row r="58">
          <cell r="D58">
            <v>128979</v>
          </cell>
          <cell r="F58">
            <v>-4200</v>
          </cell>
          <cell r="H58"/>
        </row>
        <row r="59">
          <cell r="D59">
            <v>53497</v>
          </cell>
          <cell r="F59"/>
          <cell r="H59"/>
        </row>
        <row r="60">
          <cell r="D60">
            <v>26435</v>
          </cell>
          <cell r="F60"/>
          <cell r="H60"/>
        </row>
        <row r="61">
          <cell r="D61">
            <v>16414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4943</v>
          </cell>
          <cell r="F65"/>
          <cell r="H65"/>
        </row>
        <row r="66">
          <cell r="D66">
            <v>42669</v>
          </cell>
          <cell r="F66"/>
          <cell r="H66">
            <v>-797</v>
          </cell>
        </row>
        <row r="67">
          <cell r="D67">
            <v>37985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2966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66731</v>
          </cell>
          <cell r="F75"/>
          <cell r="H75"/>
        </row>
        <row r="76">
          <cell r="D76">
            <v>15031</v>
          </cell>
          <cell r="F76"/>
          <cell r="H76"/>
        </row>
        <row r="77">
          <cell r="D77">
            <v>11593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3141</v>
          </cell>
          <cell r="F79"/>
          <cell r="H79"/>
        </row>
        <row r="80">
          <cell r="D80">
            <v>18529</v>
          </cell>
          <cell r="F80"/>
          <cell r="H80"/>
        </row>
        <row r="81">
          <cell r="D81">
            <v>19247</v>
          </cell>
          <cell r="F81"/>
          <cell r="H81"/>
        </row>
        <row r="82">
          <cell r="D82">
            <v>8134</v>
          </cell>
          <cell r="F82"/>
          <cell r="H82"/>
        </row>
        <row r="83">
          <cell r="D83">
            <v>5601</v>
          </cell>
          <cell r="F83"/>
          <cell r="H83"/>
        </row>
        <row r="84">
          <cell r="D84">
            <v>122971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433769</v>
          </cell>
          <cell r="F91">
            <v>-2674</v>
          </cell>
          <cell r="H91"/>
        </row>
        <row r="92">
          <cell r="D92">
            <v>-2384</v>
          </cell>
          <cell r="F92">
            <v>2463</v>
          </cell>
          <cell r="H92"/>
        </row>
        <row r="93">
          <cell r="D93">
            <v>1528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0</v>
          </cell>
          <cell r="F100"/>
          <cell r="H100"/>
        </row>
        <row r="101">
          <cell r="D101">
            <v>66234</v>
          </cell>
          <cell r="F101"/>
          <cell r="H101"/>
        </row>
        <row r="102">
          <cell r="D102">
            <v>5673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12472</v>
          </cell>
          <cell r="F117"/>
          <cell r="H117"/>
        </row>
        <row r="118">
          <cell r="D118">
            <v>119153</v>
          </cell>
          <cell r="F118"/>
          <cell r="H118"/>
        </row>
        <row r="119">
          <cell r="D119">
            <v>396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146254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31324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33740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24574</v>
          </cell>
          <cell r="F134"/>
          <cell r="H134"/>
        </row>
        <row r="136">
          <cell r="D136">
            <v>472359</v>
          </cell>
          <cell r="F136"/>
          <cell r="H136"/>
        </row>
        <row r="137">
          <cell r="D137">
            <v>355576</v>
          </cell>
          <cell r="F137"/>
          <cell r="H137"/>
        </row>
        <row r="138">
          <cell r="D138">
            <v>649406</v>
          </cell>
          <cell r="F138">
            <v>20023</v>
          </cell>
          <cell r="H138"/>
        </row>
        <row r="139">
          <cell r="D139">
            <v>20023</v>
          </cell>
          <cell r="F139">
            <v>-20023</v>
          </cell>
          <cell r="H139"/>
        </row>
        <row r="141">
          <cell r="D141">
            <v>263390</v>
          </cell>
          <cell r="F141">
            <v>-180301</v>
          </cell>
          <cell r="H141"/>
        </row>
        <row r="142">
          <cell r="D142">
            <v>0</v>
          </cell>
          <cell r="F142">
            <v>62547</v>
          </cell>
          <cell r="H142"/>
        </row>
        <row r="143">
          <cell r="D143">
            <v>0</v>
          </cell>
          <cell r="F143">
            <v>117754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26800</v>
          </cell>
          <cell r="F146"/>
          <cell r="H146"/>
        </row>
        <row r="147">
          <cell r="D147">
            <v>66830</v>
          </cell>
          <cell r="F147"/>
          <cell r="H147"/>
        </row>
        <row r="148">
          <cell r="D148">
            <v>10139</v>
          </cell>
          <cell r="F148"/>
          <cell r="H148"/>
        </row>
        <row r="149">
          <cell r="D149">
            <v>148124</v>
          </cell>
          <cell r="F149"/>
          <cell r="H149"/>
        </row>
        <row r="150">
          <cell r="D150">
            <v>5164</v>
          </cell>
          <cell r="F150"/>
          <cell r="H150"/>
        </row>
        <row r="151">
          <cell r="D151">
            <v>91209</v>
          </cell>
          <cell r="F151"/>
          <cell r="H151"/>
        </row>
        <row r="152">
          <cell r="D152">
            <v>4822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1767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15959</v>
          </cell>
          <cell r="F161">
            <v>-122792</v>
          </cell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1276</v>
          </cell>
          <cell r="F193"/>
          <cell r="H193"/>
        </row>
        <row r="194">
          <cell r="D194">
            <v>115198</v>
          </cell>
          <cell r="F194"/>
          <cell r="H194">
            <v>2016</v>
          </cell>
        </row>
        <row r="195">
          <cell r="D195">
            <v>44655</v>
          </cell>
          <cell r="F195"/>
          <cell r="H195">
            <v>781</v>
          </cell>
        </row>
        <row r="196">
          <cell r="D196">
            <v>0</v>
          </cell>
          <cell r="F196"/>
          <cell r="H196"/>
        </row>
        <row r="197">
          <cell r="D197">
            <v>130609</v>
          </cell>
          <cell r="F197"/>
          <cell r="H197">
            <v>2286</v>
          </cell>
        </row>
        <row r="198">
          <cell r="D198">
            <v>36172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115234</v>
          </cell>
          <cell r="F205"/>
          <cell r="H205"/>
        </row>
        <row r="206">
          <cell r="D206">
            <v>207</v>
          </cell>
          <cell r="F206"/>
          <cell r="H206"/>
        </row>
        <row r="207">
          <cell r="D207">
            <v>4824</v>
          </cell>
          <cell r="F207"/>
          <cell r="H207"/>
        </row>
        <row r="211">
          <cell r="D211">
            <v>105034</v>
          </cell>
          <cell r="F211"/>
          <cell r="H211"/>
        </row>
        <row r="212">
          <cell r="D212">
            <v>18736</v>
          </cell>
          <cell r="F212"/>
          <cell r="H212"/>
        </row>
        <row r="213">
          <cell r="D213">
            <v>3730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1827</v>
          </cell>
          <cell r="F216"/>
          <cell r="H216"/>
        </row>
        <row r="221">
          <cell r="D221">
            <v>5697230</v>
          </cell>
        </row>
      </sheetData>
      <sheetData sheetId="8"/>
      <sheetData sheetId="9"/>
      <sheetData sheetId="10">
        <row r="9">
          <cell r="C9">
            <v>12437</v>
          </cell>
          <cell r="D9">
            <v>0</v>
          </cell>
          <cell r="E9">
            <v>1241</v>
          </cell>
          <cell r="F9">
            <v>229</v>
          </cell>
          <cell r="G9">
            <v>1922</v>
          </cell>
          <cell r="H9">
            <v>1402</v>
          </cell>
          <cell r="I9">
            <v>2618</v>
          </cell>
          <cell r="J9">
            <v>0</v>
          </cell>
          <cell r="K9">
            <v>177</v>
          </cell>
        </row>
        <row r="22">
          <cell r="N22">
            <v>106</v>
          </cell>
        </row>
        <row r="24">
          <cell r="N24">
            <v>106</v>
          </cell>
        </row>
        <row r="28">
          <cell r="N28">
            <v>38690</v>
          </cell>
        </row>
        <row r="30">
          <cell r="N30">
            <v>0.51760144740242953</v>
          </cell>
        </row>
        <row r="32">
          <cell r="N32">
            <v>0.32145257172395969</v>
          </cell>
        </row>
        <row r="34">
          <cell r="N34">
            <v>0.62104264456206937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 Listing"/>
      <sheetName val="Supp 1012"/>
      <sheetName val="Supp 10-490"/>
      <sheetName val="Supp 7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1663239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52454</v>
          </cell>
          <cell r="G13"/>
        </row>
        <row r="14">
          <cell r="E14">
            <v>0</v>
          </cell>
          <cell r="G14"/>
        </row>
        <row r="15">
          <cell r="E15">
            <v>1715693</v>
          </cell>
          <cell r="G15">
            <v>0</v>
          </cell>
        </row>
        <row r="20">
          <cell r="E20">
            <v>6200</v>
          </cell>
          <cell r="G20">
            <v>0</v>
          </cell>
        </row>
        <row r="26">
          <cell r="E26">
            <v>871570</v>
          </cell>
          <cell r="G26">
            <v>0</v>
          </cell>
        </row>
        <row r="32">
          <cell r="E32">
            <v>97183</v>
          </cell>
          <cell r="G32">
            <v>0</v>
          </cell>
        </row>
        <row r="37">
          <cell r="E37">
            <v>252742</v>
          </cell>
          <cell r="G37">
            <v>0</v>
          </cell>
        </row>
        <row r="42">
          <cell r="E42">
            <v>168783</v>
          </cell>
          <cell r="G42">
            <v>0</v>
          </cell>
        </row>
        <row r="47">
          <cell r="E47">
            <v>40071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8006</v>
          </cell>
          <cell r="G57">
            <v>0</v>
          </cell>
        </row>
        <row r="72">
          <cell r="E72">
            <v>158416</v>
          </cell>
          <cell r="G72">
            <v>-4793</v>
          </cell>
        </row>
        <row r="90">
          <cell r="C90">
            <v>184.46231155778895</v>
          </cell>
          <cell r="E90">
            <v>184.46190476190475</v>
          </cell>
          <cell r="G90">
            <v>184.46245059288538</v>
          </cell>
          <cell r="I90">
            <v>184.46245059288538</v>
          </cell>
        </row>
      </sheetData>
      <sheetData sheetId="6"/>
      <sheetData sheetId="7">
        <row r="10">
          <cell r="D10">
            <v>0</v>
          </cell>
          <cell r="F10">
            <v>88841</v>
          </cell>
          <cell r="H10"/>
        </row>
        <row r="11">
          <cell r="D11">
            <v>0</v>
          </cell>
          <cell r="F11"/>
          <cell r="H11"/>
        </row>
        <row r="12">
          <cell r="D12">
            <v>150132</v>
          </cell>
          <cell r="F12">
            <v>-88841</v>
          </cell>
          <cell r="H12"/>
        </row>
        <row r="13">
          <cell r="D13">
            <v>-2263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165937</v>
          </cell>
          <cell r="F16"/>
          <cell r="H16">
            <v>7084</v>
          </cell>
        </row>
        <row r="17">
          <cell r="D17">
            <v>55</v>
          </cell>
          <cell r="F17">
            <v>-55</v>
          </cell>
          <cell r="H17"/>
        </row>
        <row r="18">
          <cell r="D18">
            <v>19743</v>
          </cell>
          <cell r="F18"/>
          <cell r="H18"/>
        </row>
        <row r="19">
          <cell r="D19">
            <v>7479</v>
          </cell>
          <cell r="F19"/>
          <cell r="H19"/>
        </row>
        <row r="20">
          <cell r="D20">
            <v>12841</v>
          </cell>
          <cell r="F20"/>
          <cell r="H20"/>
        </row>
        <row r="21">
          <cell r="D21">
            <v>9959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10680</v>
          </cell>
          <cell r="F23"/>
          <cell r="H23"/>
        </row>
        <row r="24">
          <cell r="D24">
            <v>12783</v>
          </cell>
          <cell r="F24"/>
          <cell r="H24"/>
        </row>
        <row r="25">
          <cell r="D25">
            <v>9093</v>
          </cell>
          <cell r="F25"/>
          <cell r="H25"/>
        </row>
        <row r="26">
          <cell r="D26">
            <v>240662</v>
          </cell>
          <cell r="F26"/>
          <cell r="H26"/>
        </row>
        <row r="27">
          <cell r="D27">
            <v>29754</v>
          </cell>
          <cell r="F27">
            <v>-32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32426</v>
          </cell>
          <cell r="F29">
            <v>-32426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44518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21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25989</v>
          </cell>
          <cell r="F36"/>
          <cell r="H36"/>
        </row>
        <row r="37">
          <cell r="D37">
            <v>603</v>
          </cell>
          <cell r="F37"/>
          <cell r="H37"/>
        </row>
        <row r="38">
          <cell r="D38">
            <v>938</v>
          </cell>
          <cell r="F38">
            <v>-938</v>
          </cell>
          <cell r="H38"/>
        </row>
        <row r="39">
          <cell r="D39">
            <v>2103</v>
          </cell>
          <cell r="F39"/>
          <cell r="H39"/>
        </row>
        <row r="40">
          <cell r="D40">
            <v>1426</v>
          </cell>
          <cell r="F40">
            <v>-1426</v>
          </cell>
          <cell r="H40"/>
        </row>
        <row r="41">
          <cell r="D41">
            <v>66565</v>
          </cell>
          <cell r="F41"/>
          <cell r="H41"/>
        </row>
        <row r="42">
          <cell r="D42">
            <v>0</v>
          </cell>
          <cell r="F42"/>
          <cell r="H42"/>
        </row>
        <row r="43">
          <cell r="D43">
            <v>8078</v>
          </cell>
          <cell r="F43">
            <v>-8078</v>
          </cell>
          <cell r="H43"/>
        </row>
        <row r="44">
          <cell r="D44">
            <v>0</v>
          </cell>
          <cell r="F44"/>
          <cell r="H44"/>
        </row>
        <row r="45">
          <cell r="D45">
            <v>3584</v>
          </cell>
          <cell r="F45">
            <v>-4845</v>
          </cell>
          <cell r="H45"/>
        </row>
        <row r="57">
          <cell r="D57">
            <v>0</v>
          </cell>
          <cell r="F57"/>
          <cell r="H57"/>
        </row>
        <row r="58">
          <cell r="D58">
            <v>84824</v>
          </cell>
          <cell r="F58"/>
          <cell r="H58"/>
        </row>
        <row r="59">
          <cell r="D59">
            <v>55475</v>
          </cell>
          <cell r="F59"/>
          <cell r="H59"/>
        </row>
        <row r="60">
          <cell r="D60">
            <v>10408</v>
          </cell>
          <cell r="F60"/>
          <cell r="H60"/>
        </row>
        <row r="61">
          <cell r="D61">
            <v>2593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3993</v>
          </cell>
          <cell r="F65"/>
          <cell r="H65"/>
        </row>
        <row r="66">
          <cell r="D66">
            <v>35170</v>
          </cell>
          <cell r="F66"/>
          <cell r="H66">
            <v>-651</v>
          </cell>
        </row>
        <row r="67">
          <cell r="D67">
            <v>26437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4345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43179</v>
          </cell>
          <cell r="F75"/>
          <cell r="H75"/>
        </row>
        <row r="76">
          <cell r="D76">
            <v>6185</v>
          </cell>
          <cell r="F76"/>
          <cell r="H76"/>
        </row>
        <row r="77">
          <cell r="D77">
            <v>11524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1170</v>
          </cell>
          <cell r="F79"/>
          <cell r="H79"/>
        </row>
        <row r="80">
          <cell r="D80">
            <v>12739</v>
          </cell>
          <cell r="F80"/>
          <cell r="H80"/>
        </row>
        <row r="81">
          <cell r="D81">
            <v>11719</v>
          </cell>
          <cell r="F81"/>
          <cell r="H81"/>
        </row>
        <row r="82">
          <cell r="D82">
            <v>16019</v>
          </cell>
          <cell r="F82"/>
          <cell r="H82"/>
        </row>
        <row r="83">
          <cell r="D83">
            <v>4460</v>
          </cell>
          <cell r="F83"/>
          <cell r="H83"/>
        </row>
        <row r="84">
          <cell r="D84">
            <v>46851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236469</v>
          </cell>
          <cell r="F91"/>
          <cell r="H91"/>
        </row>
        <row r="92">
          <cell r="D92">
            <v>166</v>
          </cell>
          <cell r="F92">
            <v>84</v>
          </cell>
          <cell r="H92"/>
        </row>
        <row r="93">
          <cell r="D93">
            <v>3363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0</v>
          </cell>
          <cell r="F100"/>
          <cell r="H100"/>
        </row>
        <row r="101">
          <cell r="D101">
            <v>46636</v>
          </cell>
          <cell r="F101"/>
          <cell r="H101"/>
        </row>
        <row r="102">
          <cell r="D102">
            <v>1993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7730</v>
          </cell>
          <cell r="F117"/>
          <cell r="H117"/>
        </row>
        <row r="118">
          <cell r="D118">
            <v>88300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289</v>
          </cell>
          <cell r="F124"/>
          <cell r="H124"/>
        </row>
        <row r="125">
          <cell r="D125">
            <v>116698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29430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13677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12183</v>
          </cell>
          <cell r="F134"/>
          <cell r="H134"/>
        </row>
        <row r="136">
          <cell r="D136">
            <v>164218</v>
          </cell>
          <cell r="F136"/>
          <cell r="H136"/>
        </row>
        <row r="137">
          <cell r="D137">
            <v>124734</v>
          </cell>
          <cell r="F137"/>
          <cell r="H137"/>
        </row>
        <row r="138">
          <cell r="D138">
            <v>324471</v>
          </cell>
          <cell r="F138">
            <v>6626</v>
          </cell>
          <cell r="H138"/>
        </row>
        <row r="139">
          <cell r="D139">
            <v>6626</v>
          </cell>
          <cell r="F139">
            <v>-6626</v>
          </cell>
          <cell r="H139"/>
        </row>
        <row r="141">
          <cell r="D141">
            <v>109023</v>
          </cell>
          <cell r="F141">
            <v>-80149</v>
          </cell>
          <cell r="H141"/>
        </row>
        <row r="142">
          <cell r="D142">
            <v>0</v>
          </cell>
          <cell r="F142">
            <v>21932</v>
          </cell>
          <cell r="H142"/>
        </row>
        <row r="143">
          <cell r="D143">
            <v>0</v>
          </cell>
          <cell r="F143">
            <v>58217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30600</v>
          </cell>
          <cell r="F146"/>
          <cell r="H146"/>
        </row>
        <row r="147">
          <cell r="D147">
            <v>73718</v>
          </cell>
          <cell r="F147"/>
          <cell r="H147"/>
        </row>
        <row r="148">
          <cell r="D148">
            <v>205851</v>
          </cell>
          <cell r="F148"/>
          <cell r="H148"/>
        </row>
        <row r="149">
          <cell r="D149">
            <v>5458</v>
          </cell>
          <cell r="F149"/>
          <cell r="H149"/>
        </row>
        <row r="150">
          <cell r="D150">
            <v>1223</v>
          </cell>
          <cell r="F150"/>
          <cell r="H150"/>
        </row>
        <row r="151">
          <cell r="D151">
            <v>41629</v>
          </cell>
          <cell r="F151"/>
          <cell r="H151"/>
        </row>
        <row r="152">
          <cell r="D152">
            <v>5403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>
            <v>475</v>
          </cell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5634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209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68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1991</v>
          </cell>
          <cell r="F193"/>
          <cell r="H193"/>
        </row>
        <row r="194">
          <cell r="D194">
            <v>120631</v>
          </cell>
          <cell r="F194"/>
          <cell r="H194">
            <v>2111</v>
          </cell>
        </row>
        <row r="195">
          <cell r="D195">
            <v>54920</v>
          </cell>
          <cell r="F195"/>
          <cell r="H195">
            <v>961</v>
          </cell>
        </row>
        <row r="196">
          <cell r="D196">
            <v>0</v>
          </cell>
          <cell r="F196"/>
          <cell r="H196"/>
        </row>
        <row r="197">
          <cell r="D197">
            <v>140497</v>
          </cell>
          <cell r="F197"/>
          <cell r="H197">
            <v>2459</v>
          </cell>
        </row>
        <row r="198">
          <cell r="D198">
            <v>5561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75067</v>
          </cell>
          <cell r="F205"/>
          <cell r="H205"/>
        </row>
        <row r="206">
          <cell r="D206">
            <v>2347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85360</v>
          </cell>
          <cell r="F211"/>
          <cell r="H211"/>
        </row>
        <row r="212">
          <cell r="D212">
            <v>26897</v>
          </cell>
          <cell r="F212"/>
          <cell r="H212"/>
        </row>
        <row r="213">
          <cell r="D213">
            <v>5884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877</v>
          </cell>
          <cell r="F216"/>
          <cell r="H216"/>
        </row>
        <row r="221">
          <cell r="D221">
            <v>3406503</v>
          </cell>
        </row>
      </sheetData>
      <sheetData sheetId="8"/>
      <sheetData sheetId="9"/>
      <sheetData sheetId="10">
        <row r="9">
          <cell r="C9">
            <v>9256</v>
          </cell>
          <cell r="D9">
            <v>31</v>
          </cell>
          <cell r="E9">
            <v>1429</v>
          </cell>
          <cell r="F9">
            <v>203</v>
          </cell>
          <cell r="G9">
            <v>1033</v>
          </cell>
          <cell r="H9">
            <v>915</v>
          </cell>
          <cell r="I9">
            <v>181</v>
          </cell>
          <cell r="J9"/>
          <cell r="K9">
            <v>34</v>
          </cell>
        </row>
        <row r="22">
          <cell r="N22">
            <v>80</v>
          </cell>
        </row>
        <row r="24">
          <cell r="N24">
            <v>80</v>
          </cell>
        </row>
        <row r="28">
          <cell r="N28">
            <v>29200</v>
          </cell>
        </row>
        <row r="30">
          <cell r="N30">
            <v>0.44801369863013701</v>
          </cell>
        </row>
        <row r="32">
          <cell r="N32">
            <v>0.31804794520547947</v>
          </cell>
        </row>
        <row r="34">
          <cell r="N34">
            <v>0.70990674208836568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4833640.8775356878</v>
          </cell>
          <cell r="G10">
            <v>0</v>
          </cell>
        </row>
        <row r="12">
          <cell r="E12">
            <v>796251</v>
          </cell>
          <cell r="G12"/>
        </row>
        <row r="13">
          <cell r="E13">
            <v>62755</v>
          </cell>
          <cell r="G13"/>
        </row>
        <row r="14">
          <cell r="E14">
            <v>114984</v>
          </cell>
          <cell r="G14"/>
        </row>
        <row r="15">
          <cell r="E15">
            <v>5807630.8775356878</v>
          </cell>
          <cell r="G15">
            <v>0</v>
          </cell>
        </row>
        <row r="20">
          <cell r="E20">
            <v>283201.12246431259</v>
          </cell>
          <cell r="G20">
            <v>0</v>
          </cell>
        </row>
        <row r="26">
          <cell r="E26">
            <v>1551152</v>
          </cell>
          <cell r="G26">
            <v>0</v>
          </cell>
        </row>
        <row r="32">
          <cell r="E32">
            <v>322938.1369863014</v>
          </cell>
          <cell r="G32">
            <v>0</v>
          </cell>
        </row>
        <row r="37">
          <cell r="E37">
            <v>1231186</v>
          </cell>
          <cell r="G37">
            <v>0</v>
          </cell>
        </row>
        <row r="42">
          <cell r="E42">
            <v>439415</v>
          </cell>
          <cell r="G42">
            <v>0</v>
          </cell>
        </row>
        <row r="47">
          <cell r="E47">
            <v>263663.75618587813</v>
          </cell>
          <cell r="G47">
            <v>0</v>
          </cell>
        </row>
        <row r="52">
          <cell r="E52">
            <v>50420.243814121903</v>
          </cell>
          <cell r="G52">
            <v>0</v>
          </cell>
        </row>
        <row r="57">
          <cell r="E57">
            <v>110161.86301369863</v>
          </cell>
          <cell r="G57">
            <v>0</v>
          </cell>
        </row>
        <row r="72">
          <cell r="E72">
            <v>3218</v>
          </cell>
          <cell r="G72">
            <v>0</v>
          </cell>
        </row>
        <row r="90">
          <cell r="C90">
            <v>251.84754521963825</v>
          </cell>
          <cell r="E90">
            <v>297.5936507936508</v>
          </cell>
          <cell r="G90">
            <v>175.05241935483872</v>
          </cell>
          <cell r="I90">
            <v>270.321608040201</v>
          </cell>
        </row>
      </sheetData>
      <sheetData sheetId="6"/>
      <sheetData sheetId="7">
        <row r="10">
          <cell r="D10">
            <v>177250</v>
          </cell>
          <cell r="F10">
            <v>-61250</v>
          </cell>
          <cell r="H10"/>
        </row>
        <row r="11">
          <cell r="D11">
            <v>0</v>
          </cell>
          <cell r="F11"/>
          <cell r="H11"/>
        </row>
        <row r="12">
          <cell r="D12">
            <v>216839</v>
          </cell>
          <cell r="F12"/>
          <cell r="H12"/>
        </row>
        <row r="13">
          <cell r="D13">
            <v>348544</v>
          </cell>
          <cell r="F13">
            <v>-260003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503048</v>
          </cell>
          <cell r="F16"/>
          <cell r="H16">
            <v>-142293</v>
          </cell>
        </row>
        <row r="17">
          <cell r="D17">
            <v>0</v>
          </cell>
          <cell r="F17"/>
          <cell r="H17"/>
        </row>
        <row r="18">
          <cell r="D18">
            <v>16552</v>
          </cell>
          <cell r="F18"/>
          <cell r="H18"/>
        </row>
        <row r="19">
          <cell r="D19">
            <v>18987</v>
          </cell>
          <cell r="F19"/>
          <cell r="H19"/>
        </row>
        <row r="20">
          <cell r="D20">
            <v>23116</v>
          </cell>
          <cell r="F20">
            <v>1896</v>
          </cell>
          <cell r="H20"/>
        </row>
        <row r="21">
          <cell r="D21">
            <v>3121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10650</v>
          </cell>
          <cell r="F23"/>
          <cell r="H23"/>
        </row>
        <row r="24">
          <cell r="D24">
            <v>85508</v>
          </cell>
          <cell r="F24"/>
          <cell r="H24">
            <v>-17360</v>
          </cell>
        </row>
        <row r="25">
          <cell r="D25">
            <v>45000</v>
          </cell>
          <cell r="F25"/>
          <cell r="H25"/>
        </row>
        <row r="26">
          <cell r="D26">
            <v>650405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145003</v>
          </cell>
          <cell r="F29">
            <v>-145003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150908</v>
          </cell>
          <cell r="F31"/>
          <cell r="H31">
            <v>-88417</v>
          </cell>
        </row>
        <row r="32">
          <cell r="D32">
            <v>72741</v>
          </cell>
          <cell r="F32"/>
          <cell r="H32">
            <v>-32733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378</v>
          </cell>
          <cell r="F35">
            <v>-378</v>
          </cell>
          <cell r="H35"/>
        </row>
        <row r="36">
          <cell r="D36">
            <v>3750</v>
          </cell>
          <cell r="F36"/>
          <cell r="H36"/>
        </row>
        <row r="37">
          <cell r="D37">
            <v>369</v>
          </cell>
          <cell r="F37">
            <v>256</v>
          </cell>
          <cell r="H37"/>
        </row>
        <row r="38">
          <cell r="D38">
            <v>0</v>
          </cell>
          <cell r="F38"/>
          <cell r="H38"/>
        </row>
        <row r="39">
          <cell r="D39">
            <v>7571</v>
          </cell>
          <cell r="F39"/>
          <cell r="H39"/>
        </row>
        <row r="40">
          <cell r="D40">
            <v>2687</v>
          </cell>
          <cell r="F40"/>
          <cell r="H40"/>
        </row>
        <row r="41">
          <cell r="D41">
            <v>12736</v>
          </cell>
          <cell r="F41"/>
          <cell r="H41"/>
        </row>
        <row r="42">
          <cell r="D42">
            <v>4603</v>
          </cell>
          <cell r="F42"/>
          <cell r="H42"/>
        </row>
        <row r="43">
          <cell r="D43">
            <v>15123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89</v>
          </cell>
          <cell r="F45">
            <v>-1388</v>
          </cell>
          <cell r="H45"/>
        </row>
        <row r="57">
          <cell r="D57">
            <v>825246</v>
          </cell>
          <cell r="F57"/>
          <cell r="H57"/>
        </row>
        <row r="58">
          <cell r="D58">
            <v>0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25890</v>
          </cell>
          <cell r="F60"/>
          <cell r="H60"/>
        </row>
        <row r="61">
          <cell r="D61">
            <v>12754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9586</v>
          </cell>
          <cell r="F65"/>
          <cell r="H65"/>
        </row>
        <row r="66">
          <cell r="D66">
            <v>893</v>
          </cell>
          <cell r="F66"/>
          <cell r="H66"/>
        </row>
        <row r="67">
          <cell r="D67">
            <v>0</v>
          </cell>
          <cell r="F67">
            <v>-687</v>
          </cell>
          <cell r="H67"/>
        </row>
        <row r="68">
          <cell r="D68">
            <v>0</v>
          </cell>
          <cell r="F68"/>
          <cell r="H68"/>
        </row>
        <row r="69">
          <cell r="D69">
            <v>4655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126952</v>
          </cell>
          <cell r="F75"/>
          <cell r="H75"/>
        </row>
        <row r="76">
          <cell r="D76">
            <v>17926</v>
          </cell>
          <cell r="F76">
            <v>8657</v>
          </cell>
          <cell r="H76"/>
        </row>
        <row r="77">
          <cell r="D77">
            <v>16546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23969</v>
          </cell>
          <cell r="F79">
            <v>4247</v>
          </cell>
          <cell r="H79"/>
        </row>
        <row r="80">
          <cell r="D80">
            <v>20491</v>
          </cell>
          <cell r="F80"/>
          <cell r="H80"/>
        </row>
        <row r="81">
          <cell r="D81">
            <v>32250</v>
          </cell>
          <cell r="F81"/>
          <cell r="H81"/>
        </row>
        <row r="82">
          <cell r="D82">
            <v>6550</v>
          </cell>
          <cell r="F82"/>
          <cell r="H82"/>
        </row>
        <row r="83">
          <cell r="D83">
            <v>250</v>
          </cell>
          <cell r="F83"/>
          <cell r="H83"/>
        </row>
        <row r="84">
          <cell r="D84">
            <v>212967</v>
          </cell>
          <cell r="F84"/>
          <cell r="H84"/>
        </row>
        <row r="85">
          <cell r="D85">
            <v>503</v>
          </cell>
          <cell r="F85"/>
          <cell r="H85"/>
        </row>
        <row r="89">
          <cell r="D89">
            <v>285898</v>
          </cell>
          <cell r="F89"/>
          <cell r="H89"/>
        </row>
        <row r="90">
          <cell r="D90">
            <v>43547</v>
          </cell>
          <cell r="F90">
            <v>19495</v>
          </cell>
          <cell r="H90"/>
        </row>
        <row r="91">
          <cell r="D91">
            <v>35772</v>
          </cell>
          <cell r="F91"/>
          <cell r="H91"/>
        </row>
        <row r="92">
          <cell r="D92">
            <v>217662</v>
          </cell>
          <cell r="F92"/>
          <cell r="H92"/>
        </row>
        <row r="93">
          <cell r="D93">
            <v>22143</v>
          </cell>
          <cell r="F93">
            <v>2139</v>
          </cell>
          <cell r="H93"/>
        </row>
        <row r="94">
          <cell r="D94">
            <v>0</v>
          </cell>
          <cell r="F94"/>
          <cell r="H94"/>
        </row>
        <row r="98">
          <cell r="D98">
            <v>29687</v>
          </cell>
          <cell r="F98"/>
          <cell r="H98"/>
        </row>
        <row r="99">
          <cell r="D99">
            <v>4518</v>
          </cell>
          <cell r="F99">
            <v>2024</v>
          </cell>
          <cell r="H99"/>
        </row>
        <row r="100">
          <cell r="D100">
            <v>13270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4150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112882</v>
          </cell>
          <cell r="F115"/>
          <cell r="H115"/>
        </row>
        <row r="116">
          <cell r="D116">
            <v>17413</v>
          </cell>
          <cell r="F116">
            <v>7697</v>
          </cell>
          <cell r="H116"/>
        </row>
        <row r="117">
          <cell r="D117">
            <v>26222</v>
          </cell>
          <cell r="F117"/>
          <cell r="H117"/>
        </row>
        <row r="118">
          <cell r="D118">
            <v>225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122260</v>
          </cell>
          <cell r="F125"/>
          <cell r="H125">
            <v>126924</v>
          </cell>
        </row>
        <row r="126">
          <cell r="D126">
            <v>78275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41825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8337</v>
          </cell>
          <cell r="H131">
            <v>15370</v>
          </cell>
        </row>
        <row r="132">
          <cell r="D132"/>
          <cell r="F132">
            <v>5338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2852</v>
          </cell>
          <cell r="H134"/>
        </row>
        <row r="136">
          <cell r="D136">
            <v>717582</v>
          </cell>
          <cell r="F136"/>
          <cell r="H136"/>
        </row>
        <row r="137">
          <cell r="D137">
            <v>510745</v>
          </cell>
          <cell r="F137"/>
          <cell r="H137"/>
        </row>
        <row r="138">
          <cell r="D138">
            <v>1100336</v>
          </cell>
          <cell r="F138"/>
          <cell r="H138"/>
        </row>
        <row r="139">
          <cell r="D139">
            <v>90564</v>
          </cell>
          <cell r="F139"/>
          <cell r="H139"/>
        </row>
        <row r="141">
          <cell r="D141"/>
          <cell r="F141">
            <v>48932</v>
          </cell>
          <cell r="H141"/>
        </row>
        <row r="142">
          <cell r="D142"/>
          <cell r="F142">
            <v>34828</v>
          </cell>
          <cell r="H142"/>
        </row>
        <row r="143">
          <cell r="D143"/>
          <cell r="F143">
            <v>75032</v>
          </cell>
          <cell r="H143"/>
        </row>
        <row r="144">
          <cell r="D144">
            <v>398925</v>
          </cell>
          <cell r="F144">
            <v>6176</v>
          </cell>
          <cell r="H144"/>
        </row>
        <row r="146">
          <cell r="D146">
            <v>78549</v>
          </cell>
          <cell r="F146"/>
          <cell r="H146"/>
        </row>
        <row r="147">
          <cell r="D147">
            <v>15791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59865</v>
          </cell>
          <cell r="F149"/>
          <cell r="H149"/>
        </row>
        <row r="150">
          <cell r="D150">
            <v>19931</v>
          </cell>
          <cell r="F150"/>
          <cell r="H150"/>
        </row>
        <row r="151">
          <cell r="D151">
            <v>242422</v>
          </cell>
          <cell r="F151">
            <v>4310</v>
          </cell>
          <cell r="H151"/>
        </row>
        <row r="152">
          <cell r="D152">
            <v>8570</v>
          </cell>
          <cell r="F152"/>
          <cell r="H152"/>
        </row>
        <row r="153">
          <cell r="D153">
            <v>145</v>
          </cell>
          <cell r="F153"/>
          <cell r="H153"/>
        </row>
        <row r="154">
          <cell r="D154">
            <v>64720</v>
          </cell>
          <cell r="F154">
            <v>7067</v>
          </cell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24113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215966</v>
          </cell>
          <cell r="F177"/>
          <cell r="H177"/>
        </row>
        <row r="178">
          <cell r="D178">
            <v>36490</v>
          </cell>
          <cell r="F178">
            <v>14727</v>
          </cell>
          <cell r="H178"/>
        </row>
        <row r="179">
          <cell r="D179">
            <v>92625</v>
          </cell>
          <cell r="F179"/>
          <cell r="H179"/>
        </row>
        <row r="180">
          <cell r="D180">
            <v>13416</v>
          </cell>
          <cell r="F180">
            <v>6316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172326</v>
          </cell>
          <cell r="F183"/>
          <cell r="H183"/>
        </row>
        <row r="184">
          <cell r="D184">
            <v>25598</v>
          </cell>
          <cell r="F184">
            <v>11751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1509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-90</v>
          </cell>
          <cell r="F194"/>
          <cell r="H194"/>
        </row>
        <row r="195">
          <cell r="D195">
            <v>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68946</v>
          </cell>
          <cell r="F198"/>
          <cell r="H198">
            <v>-1967</v>
          </cell>
        </row>
        <row r="199">
          <cell r="D199">
            <v>388275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287068</v>
          </cell>
          <cell r="F205"/>
          <cell r="H205"/>
        </row>
        <row r="206">
          <cell r="D206">
            <v>20989</v>
          </cell>
          <cell r="F206"/>
          <cell r="H206"/>
        </row>
        <row r="207">
          <cell r="D207">
            <v>27962</v>
          </cell>
          <cell r="F207">
            <v>-1644</v>
          </cell>
          <cell r="H207"/>
        </row>
        <row r="211">
          <cell r="D211">
            <v>267010</v>
          </cell>
          <cell r="F211"/>
          <cell r="H211"/>
        </row>
        <row r="212">
          <cell r="D212">
            <v>36826</v>
          </cell>
          <cell r="F212">
            <v>18207</v>
          </cell>
          <cell r="H212"/>
        </row>
        <row r="213">
          <cell r="D213">
            <v>8726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28831</v>
          </cell>
          <cell r="F216"/>
          <cell r="H216">
            <v>-566</v>
          </cell>
        </row>
        <row r="221">
          <cell r="D221">
            <v>9932886</v>
          </cell>
        </row>
      </sheetData>
      <sheetData sheetId="8"/>
      <sheetData sheetId="9"/>
      <sheetData sheetId="10">
        <row r="9">
          <cell r="C9">
            <v>22632</v>
          </cell>
          <cell r="D9">
            <v>1326</v>
          </cell>
          <cell r="E9">
            <v>2674</v>
          </cell>
          <cell r="F9">
            <v>644</v>
          </cell>
          <cell r="G9">
            <v>3482</v>
          </cell>
          <cell r="H9">
            <v>1795</v>
          </cell>
          <cell r="I9">
            <v>1391</v>
          </cell>
          <cell r="J9">
            <v>266</v>
          </cell>
          <cell r="K9">
            <v>232</v>
          </cell>
        </row>
        <row r="22">
          <cell r="N22">
            <v>176</v>
          </cell>
        </row>
        <row r="24">
          <cell r="N24">
            <v>176</v>
          </cell>
        </row>
        <row r="28">
          <cell r="N28">
            <v>64240</v>
          </cell>
        </row>
        <row r="30">
          <cell r="N30">
            <v>0.53614570361145708</v>
          </cell>
        </row>
        <row r="32">
          <cell r="N32">
            <v>0.37294520547945204</v>
          </cell>
        </row>
        <row r="34">
          <cell r="N34">
            <v>0.695604204169328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1921550</v>
          </cell>
          <cell r="G10">
            <v>0</v>
          </cell>
        </row>
        <row r="12">
          <cell r="E12">
            <v>1156692</v>
          </cell>
          <cell r="G12"/>
        </row>
        <row r="13">
          <cell r="E13">
            <v>79787</v>
          </cell>
          <cell r="G13"/>
        </row>
        <row r="14">
          <cell r="E14"/>
          <cell r="G14">
            <v>52230</v>
          </cell>
        </row>
        <row r="15">
          <cell r="E15">
            <v>3158029</v>
          </cell>
          <cell r="G15">
            <v>52230</v>
          </cell>
        </row>
        <row r="20">
          <cell r="E20">
            <v>0</v>
          </cell>
          <cell r="G20">
            <v>0</v>
          </cell>
        </row>
        <row r="26">
          <cell r="E26">
            <v>5346424</v>
          </cell>
          <cell r="G26">
            <v>0</v>
          </cell>
        </row>
        <row r="32">
          <cell r="E32">
            <v>1139720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1347842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239442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56321</v>
          </cell>
          <cell r="G72">
            <v>-52230</v>
          </cell>
        </row>
        <row r="90">
          <cell r="C90">
            <v>295.98891315846726</v>
          </cell>
          <cell r="E90">
            <v>259.21242138976646</v>
          </cell>
          <cell r="G90">
            <v>316.53595992112503</v>
          </cell>
          <cell r="I90">
            <v>295.80660681610328</v>
          </cell>
        </row>
      </sheetData>
      <sheetData sheetId="6"/>
      <sheetData sheetId="7">
        <row r="10">
          <cell r="D10">
            <v>136805</v>
          </cell>
          <cell r="F10">
            <v>4323</v>
          </cell>
          <cell r="H10"/>
        </row>
        <row r="11">
          <cell r="D11"/>
          <cell r="F11"/>
          <cell r="H11"/>
        </row>
        <row r="12">
          <cell r="D12">
            <v>358227</v>
          </cell>
          <cell r="F12">
            <v>11319</v>
          </cell>
          <cell r="H12"/>
        </row>
        <row r="13">
          <cell r="D13">
            <v>764681</v>
          </cell>
          <cell r="F13">
            <v>-700362</v>
          </cell>
          <cell r="H13"/>
        </row>
        <row r="14">
          <cell r="D14"/>
          <cell r="F14"/>
          <cell r="H14"/>
        </row>
        <row r="15">
          <cell r="D15">
            <v>3147630</v>
          </cell>
          <cell r="F15">
            <v>-3147630</v>
          </cell>
          <cell r="H15"/>
        </row>
        <row r="16">
          <cell r="D16"/>
          <cell r="F16">
            <v>292891</v>
          </cell>
          <cell r="H16"/>
        </row>
        <row r="17">
          <cell r="D17">
            <v>14912</v>
          </cell>
          <cell r="F17">
            <v>-14912</v>
          </cell>
          <cell r="H17"/>
        </row>
        <row r="18">
          <cell r="D18">
            <v>19057</v>
          </cell>
          <cell r="F18"/>
          <cell r="H18"/>
        </row>
        <row r="19">
          <cell r="D19">
            <v>28824</v>
          </cell>
          <cell r="F19"/>
          <cell r="H19"/>
        </row>
        <row r="20">
          <cell r="D20">
            <v>42730</v>
          </cell>
          <cell r="F20"/>
          <cell r="H20"/>
        </row>
        <row r="21">
          <cell r="D21">
            <v>55656</v>
          </cell>
          <cell r="F21">
            <v>3750</v>
          </cell>
          <cell r="H21"/>
        </row>
        <row r="22">
          <cell r="D22"/>
          <cell r="F22"/>
          <cell r="H22"/>
        </row>
        <row r="23">
          <cell r="D23">
            <v>26311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341072</v>
          </cell>
          <cell r="F26"/>
          <cell r="H26"/>
        </row>
        <row r="27">
          <cell r="D27">
            <v>36130</v>
          </cell>
          <cell r="F27">
            <v>-121</v>
          </cell>
          <cell r="H27"/>
        </row>
        <row r="28">
          <cell r="D28"/>
          <cell r="F28">
            <v>0</v>
          </cell>
          <cell r="H28"/>
        </row>
        <row r="29">
          <cell r="D29">
            <v>122395</v>
          </cell>
          <cell r="F29">
            <v>-122395</v>
          </cell>
          <cell r="H29"/>
        </row>
        <row r="30">
          <cell r="D30"/>
          <cell r="F30">
            <v>0</v>
          </cell>
          <cell r="H30"/>
        </row>
        <row r="31">
          <cell r="D31">
            <v>82129</v>
          </cell>
          <cell r="F31"/>
          <cell r="H31"/>
        </row>
        <row r="32">
          <cell r="D32">
            <v>54508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14876</v>
          </cell>
          <cell r="F35">
            <v>-14876</v>
          </cell>
          <cell r="H35"/>
        </row>
        <row r="36">
          <cell r="D36">
            <v>44779</v>
          </cell>
          <cell r="F36">
            <v>1415</v>
          </cell>
          <cell r="H36"/>
        </row>
        <row r="37">
          <cell r="D37"/>
          <cell r="F37">
            <v>5818</v>
          </cell>
          <cell r="H37"/>
        </row>
        <row r="38">
          <cell r="D38"/>
          <cell r="F38"/>
          <cell r="H38"/>
        </row>
        <row r="39">
          <cell r="D39">
            <v>20590</v>
          </cell>
          <cell r="F39">
            <v>2795</v>
          </cell>
          <cell r="H39"/>
        </row>
        <row r="40">
          <cell r="D40"/>
          <cell r="F40"/>
          <cell r="H40"/>
        </row>
        <row r="41">
          <cell r="D41">
            <v>109295</v>
          </cell>
          <cell r="F41"/>
          <cell r="H41"/>
        </row>
        <row r="42">
          <cell r="D42">
            <v>10926</v>
          </cell>
          <cell r="F42"/>
          <cell r="H42"/>
        </row>
        <row r="43">
          <cell r="D43">
            <v>14693</v>
          </cell>
          <cell r="F43">
            <v>-14693</v>
          </cell>
          <cell r="H43"/>
        </row>
        <row r="44">
          <cell r="D44"/>
          <cell r="F44"/>
          <cell r="H44"/>
        </row>
        <row r="45">
          <cell r="D45">
            <v>871</v>
          </cell>
          <cell r="F45"/>
          <cell r="H45"/>
        </row>
        <row r="57">
          <cell r="D57"/>
          <cell r="F57"/>
          <cell r="H57"/>
        </row>
        <row r="58">
          <cell r="D58"/>
          <cell r="F58">
            <v>267242</v>
          </cell>
          <cell r="H58"/>
        </row>
        <row r="59">
          <cell r="D59"/>
          <cell r="F59">
            <v>388101</v>
          </cell>
          <cell r="H59"/>
        </row>
        <row r="60">
          <cell r="D60">
            <v>57288</v>
          </cell>
          <cell r="F60"/>
          <cell r="H60"/>
        </row>
        <row r="61">
          <cell r="D61">
            <v>17906</v>
          </cell>
          <cell r="F61">
            <v>70101</v>
          </cell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10957</v>
          </cell>
          <cell r="F65"/>
          <cell r="H65"/>
        </row>
        <row r="66">
          <cell r="D66"/>
          <cell r="F66"/>
          <cell r="H66"/>
        </row>
        <row r="67">
          <cell r="D67"/>
          <cell r="F67">
            <v>11403</v>
          </cell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81786</v>
          </cell>
          <cell r="F75">
            <v>2584</v>
          </cell>
          <cell r="H75"/>
        </row>
        <row r="76">
          <cell r="D76"/>
          <cell r="F76">
            <v>10626</v>
          </cell>
          <cell r="H76"/>
        </row>
        <row r="77">
          <cell r="D77">
            <v>7633</v>
          </cell>
          <cell r="F77"/>
          <cell r="H77"/>
        </row>
        <row r="78">
          <cell r="D78">
            <v>56924</v>
          </cell>
          <cell r="F78"/>
          <cell r="H78"/>
        </row>
        <row r="79">
          <cell r="D79">
            <v>13471</v>
          </cell>
          <cell r="F79"/>
          <cell r="H79"/>
        </row>
        <row r="80">
          <cell r="D80">
            <v>44729</v>
          </cell>
          <cell r="F80"/>
          <cell r="H80"/>
        </row>
        <row r="81">
          <cell r="D81">
            <v>19544</v>
          </cell>
          <cell r="F81"/>
          <cell r="H81"/>
        </row>
        <row r="82">
          <cell r="D82">
            <v>425</v>
          </cell>
          <cell r="F82"/>
          <cell r="H82"/>
        </row>
        <row r="83">
          <cell r="D83">
            <v>14303</v>
          </cell>
          <cell r="F83"/>
          <cell r="H83"/>
        </row>
        <row r="84">
          <cell r="D84">
            <v>112320</v>
          </cell>
          <cell r="F84"/>
          <cell r="H84"/>
        </row>
        <row r="85">
          <cell r="D85">
            <v>113</v>
          </cell>
          <cell r="F85"/>
          <cell r="H85"/>
        </row>
        <row r="89">
          <cell r="D89">
            <v>335384</v>
          </cell>
          <cell r="F89">
            <v>10598</v>
          </cell>
          <cell r="H89"/>
        </row>
        <row r="90">
          <cell r="D90"/>
          <cell r="F90">
            <v>43574</v>
          </cell>
          <cell r="H90"/>
        </row>
        <row r="91">
          <cell r="D91">
            <v>20363</v>
          </cell>
          <cell r="F91"/>
          <cell r="H91"/>
        </row>
        <row r="92">
          <cell r="D92">
            <v>204815</v>
          </cell>
          <cell r="F92"/>
          <cell r="H92"/>
        </row>
        <row r="93">
          <cell r="D93">
            <v>14104</v>
          </cell>
          <cell r="F93"/>
          <cell r="H93"/>
        </row>
        <row r="94">
          <cell r="D94">
            <v>1338</v>
          </cell>
          <cell r="F94">
            <v>-1438</v>
          </cell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540</v>
          </cell>
          <cell r="F100"/>
          <cell r="H100"/>
        </row>
        <row r="101">
          <cell r="D101">
            <v>88126</v>
          </cell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2511</v>
          </cell>
          <cell r="F117"/>
          <cell r="H117"/>
        </row>
        <row r="118">
          <cell r="D118">
            <v>131790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320552</v>
          </cell>
          <cell r="F125">
            <v>10129</v>
          </cell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89509</v>
          </cell>
          <cell r="F128">
            <v>2828</v>
          </cell>
          <cell r="H128"/>
        </row>
        <row r="130">
          <cell r="D130"/>
          <cell r="F130"/>
          <cell r="H130"/>
        </row>
        <row r="131">
          <cell r="D131"/>
          <cell r="F131">
            <v>41647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11629</v>
          </cell>
          <cell r="H134"/>
        </row>
        <row r="136">
          <cell r="D136">
            <v>472441</v>
          </cell>
          <cell r="F136">
            <v>14928</v>
          </cell>
          <cell r="H136"/>
        </row>
        <row r="137">
          <cell r="D137">
            <v>561354</v>
          </cell>
          <cell r="F137">
            <v>17738</v>
          </cell>
          <cell r="H137"/>
        </row>
        <row r="138">
          <cell r="D138">
            <v>835388</v>
          </cell>
          <cell r="F138">
            <v>26397</v>
          </cell>
          <cell r="H138"/>
        </row>
        <row r="139">
          <cell r="D139"/>
          <cell r="F139"/>
          <cell r="H139"/>
        </row>
        <row r="141">
          <cell r="D141"/>
          <cell r="F141">
            <v>61381</v>
          </cell>
          <cell r="H141"/>
        </row>
        <row r="142">
          <cell r="D142"/>
          <cell r="F142">
            <v>72933</v>
          </cell>
          <cell r="H142"/>
        </row>
        <row r="143">
          <cell r="D143"/>
          <cell r="F143">
            <v>108537</v>
          </cell>
          <cell r="H143"/>
        </row>
        <row r="144">
          <cell r="D144"/>
          <cell r="F144"/>
          <cell r="H144"/>
        </row>
        <row r="146">
          <cell r="D146">
            <v>99750</v>
          </cell>
          <cell r="F146"/>
          <cell r="H146"/>
        </row>
        <row r="147">
          <cell r="D147">
            <v>4881</v>
          </cell>
          <cell r="F147"/>
          <cell r="H147"/>
        </row>
        <row r="148">
          <cell r="D148">
            <v>1770</v>
          </cell>
          <cell r="F148"/>
          <cell r="H148"/>
        </row>
        <row r="149">
          <cell r="D149">
            <v>111702</v>
          </cell>
          <cell r="F149"/>
          <cell r="H149"/>
        </row>
        <row r="150">
          <cell r="D150">
            <v>13157</v>
          </cell>
          <cell r="F150"/>
          <cell r="H150"/>
        </row>
        <row r="151">
          <cell r="D151">
            <v>142291</v>
          </cell>
          <cell r="F151"/>
          <cell r="H151"/>
        </row>
        <row r="152">
          <cell r="D152">
            <v>6528</v>
          </cell>
          <cell r="F152">
            <v>-2532</v>
          </cell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1032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746160</v>
          </cell>
          <cell r="F177">
            <v>23577</v>
          </cell>
          <cell r="H177"/>
        </row>
        <row r="178">
          <cell r="D178"/>
          <cell r="F178">
            <v>96944</v>
          </cell>
          <cell r="H178"/>
        </row>
        <row r="179">
          <cell r="D179">
            <v>147616</v>
          </cell>
          <cell r="F179">
            <v>4664</v>
          </cell>
          <cell r="H179"/>
        </row>
        <row r="180">
          <cell r="D180"/>
          <cell r="F180">
            <v>19179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455853</v>
          </cell>
          <cell r="F183">
            <v>14404</v>
          </cell>
          <cell r="H183"/>
        </row>
        <row r="184">
          <cell r="D184"/>
          <cell r="F184">
            <v>59226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12266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936</v>
          </cell>
          <cell r="F194"/>
          <cell r="H194"/>
        </row>
        <row r="195">
          <cell r="D195">
            <v>3250</v>
          </cell>
          <cell r="F195"/>
          <cell r="H195"/>
        </row>
        <row r="196">
          <cell r="D196"/>
          <cell r="F196"/>
          <cell r="H196"/>
        </row>
        <row r="197">
          <cell r="D197">
            <v>88522</v>
          </cell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404380</v>
          </cell>
          <cell r="F205"/>
          <cell r="H205"/>
        </row>
        <row r="206">
          <cell r="D206">
            <v>10188</v>
          </cell>
          <cell r="F206"/>
          <cell r="H206"/>
        </row>
        <row r="207">
          <cell r="D207">
            <v>19786</v>
          </cell>
          <cell r="F207"/>
          <cell r="H207"/>
        </row>
        <row r="211">
          <cell r="D211">
            <v>148363</v>
          </cell>
          <cell r="F211">
            <v>4688</v>
          </cell>
          <cell r="H211"/>
        </row>
        <row r="212">
          <cell r="D212"/>
          <cell r="F212">
            <v>19276</v>
          </cell>
          <cell r="H212"/>
        </row>
        <row r="213">
          <cell r="D213">
            <v>16413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11215</v>
          </cell>
          <cell r="F216"/>
          <cell r="H216"/>
        </row>
        <row r="221">
          <cell r="D221">
            <v>11408770</v>
          </cell>
        </row>
      </sheetData>
      <sheetData sheetId="8"/>
      <sheetData sheetId="9"/>
      <sheetData sheetId="10"/>
      <sheetData sheetId="11">
        <row r="9">
          <cell r="C9">
            <v>10678</v>
          </cell>
          <cell r="D9"/>
          <cell r="E9">
            <v>8753</v>
          </cell>
          <cell r="F9">
            <v>1934</v>
          </cell>
          <cell r="G9"/>
          <cell r="H9">
            <v>4618</v>
          </cell>
          <cell r="I9"/>
          <cell r="J9">
            <v>1224</v>
          </cell>
          <cell r="K9"/>
        </row>
        <row r="22">
          <cell r="N22">
            <v>103</v>
          </cell>
        </row>
        <row r="24">
          <cell r="N24">
            <v>90</v>
          </cell>
        </row>
        <row r="28">
          <cell r="N28">
            <v>37595</v>
          </cell>
        </row>
        <row r="30">
          <cell r="N30">
            <v>0.72368666046016761</v>
          </cell>
        </row>
        <row r="32">
          <cell r="N32">
            <v>0.28402713126745577</v>
          </cell>
        </row>
        <row r="34">
          <cell r="N34">
            <v>0.39247252545300837</v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 List"/>
      <sheetName val="Supp-1012"/>
      <sheetName val="Supp-10-490"/>
      <sheetName val="Supp-70-490"/>
      <sheetName val="Supp 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2928752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109625</v>
          </cell>
          <cell r="G13"/>
        </row>
        <row r="14">
          <cell r="E14">
            <v>0</v>
          </cell>
          <cell r="G14"/>
        </row>
        <row r="15">
          <cell r="E15">
            <v>3038377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2066715</v>
          </cell>
          <cell r="G26">
            <v>0</v>
          </cell>
        </row>
        <row r="32">
          <cell r="E32">
            <v>385200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553068</v>
          </cell>
          <cell r="G42">
            <v>0</v>
          </cell>
        </row>
        <row r="47">
          <cell r="E47">
            <v>332516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216257</v>
          </cell>
          <cell r="G57">
            <v>0</v>
          </cell>
        </row>
        <row r="72">
          <cell r="E72">
            <v>87559</v>
          </cell>
          <cell r="G72">
            <v>-15004</v>
          </cell>
        </row>
        <row r="90">
          <cell r="C90">
            <v>216.63499245852188</v>
          </cell>
          <cell r="E90">
            <v>216.63529411764705</v>
          </cell>
          <cell r="G90">
            <v>216.634691195795</v>
          </cell>
          <cell r="I90">
            <v>216.63295880149812</v>
          </cell>
        </row>
      </sheetData>
      <sheetData sheetId="6"/>
      <sheetData sheetId="7">
        <row r="10">
          <cell r="D10">
            <v>0</v>
          </cell>
          <cell r="F10">
            <v>130158</v>
          </cell>
          <cell r="H10"/>
        </row>
        <row r="11">
          <cell r="D11">
            <v>0</v>
          </cell>
          <cell r="F11"/>
          <cell r="H11"/>
        </row>
        <row r="12">
          <cell r="D12">
            <v>271057</v>
          </cell>
          <cell r="F12">
            <v>-130158</v>
          </cell>
          <cell r="H12"/>
        </row>
        <row r="13">
          <cell r="D13">
            <v>66815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333961</v>
          </cell>
          <cell r="F16"/>
          <cell r="H16">
            <v>20380</v>
          </cell>
        </row>
        <row r="17">
          <cell r="D17">
            <v>351</v>
          </cell>
          <cell r="F17">
            <v>-351</v>
          </cell>
          <cell r="H17"/>
        </row>
        <row r="18">
          <cell r="D18">
            <v>16284</v>
          </cell>
          <cell r="F18"/>
          <cell r="H18"/>
        </row>
        <row r="19">
          <cell r="D19">
            <v>13726</v>
          </cell>
          <cell r="F19"/>
          <cell r="H19"/>
        </row>
        <row r="20">
          <cell r="D20">
            <v>16831</v>
          </cell>
          <cell r="F20"/>
          <cell r="H20"/>
        </row>
        <row r="21">
          <cell r="D21">
            <v>20700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1471</v>
          </cell>
          <cell r="F23"/>
          <cell r="H23"/>
        </row>
        <row r="24">
          <cell r="D24">
            <v>1340</v>
          </cell>
          <cell r="F24"/>
          <cell r="H24"/>
        </row>
        <row r="25">
          <cell r="D25">
            <v>15315</v>
          </cell>
          <cell r="F25"/>
          <cell r="H25"/>
        </row>
        <row r="26">
          <cell r="D26">
            <v>450629</v>
          </cell>
          <cell r="F26"/>
          <cell r="H26"/>
        </row>
        <row r="27">
          <cell r="D27">
            <v>33655</v>
          </cell>
          <cell r="F27">
            <v>-1550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109478</v>
          </cell>
          <cell r="F29">
            <v>-109478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65360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59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2544</v>
          </cell>
          <cell r="F39"/>
          <cell r="H39"/>
        </row>
        <row r="40">
          <cell r="D40">
            <v>1189</v>
          </cell>
          <cell r="F40">
            <v>-1189</v>
          </cell>
          <cell r="H40"/>
        </row>
        <row r="41">
          <cell r="D41">
            <v>213007</v>
          </cell>
          <cell r="F41"/>
          <cell r="H41">
            <v>-5904</v>
          </cell>
        </row>
        <row r="42">
          <cell r="D42">
            <v>0</v>
          </cell>
          <cell r="F42"/>
          <cell r="H42"/>
        </row>
        <row r="43">
          <cell r="D43">
            <v>9505</v>
          </cell>
          <cell r="F43">
            <v>-9505</v>
          </cell>
          <cell r="H43"/>
        </row>
        <row r="44">
          <cell r="D44">
            <v>0</v>
          </cell>
          <cell r="F44"/>
          <cell r="H44"/>
        </row>
        <row r="45">
          <cell r="D45">
            <v>8851</v>
          </cell>
          <cell r="F45">
            <v>-13596</v>
          </cell>
          <cell r="H45"/>
        </row>
        <row r="57">
          <cell r="D57">
            <v>0</v>
          </cell>
          <cell r="F57"/>
          <cell r="H57"/>
        </row>
        <row r="58">
          <cell r="D58">
            <v>168050</v>
          </cell>
          <cell r="F58"/>
          <cell r="H58"/>
        </row>
        <row r="59">
          <cell r="D59">
            <v>242277</v>
          </cell>
          <cell r="F59"/>
          <cell r="H59"/>
        </row>
        <row r="60">
          <cell r="D60">
            <v>33876</v>
          </cell>
          <cell r="F60"/>
          <cell r="H60"/>
        </row>
        <row r="61">
          <cell r="D61">
            <v>38674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0</v>
          </cell>
          <cell r="F65"/>
          <cell r="H65"/>
        </row>
        <row r="66">
          <cell r="D66">
            <v>44664</v>
          </cell>
          <cell r="F66"/>
          <cell r="H66">
            <v>-502</v>
          </cell>
        </row>
        <row r="67">
          <cell r="D67">
            <v>60049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5420</v>
          </cell>
          <cell r="F69"/>
          <cell r="H69"/>
        </row>
        <row r="70">
          <cell r="D70">
            <v>-287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39935</v>
          </cell>
          <cell r="F75"/>
          <cell r="H75"/>
        </row>
        <row r="76">
          <cell r="D76">
            <v>7523</v>
          </cell>
          <cell r="F76"/>
          <cell r="H76"/>
        </row>
        <row r="77">
          <cell r="D77">
            <v>10729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8442</v>
          </cell>
          <cell r="F79"/>
          <cell r="H79"/>
        </row>
        <row r="80">
          <cell r="D80">
            <v>35845</v>
          </cell>
          <cell r="F80"/>
          <cell r="H80"/>
        </row>
        <row r="81">
          <cell r="D81">
            <v>34707</v>
          </cell>
          <cell r="F81"/>
          <cell r="H81"/>
        </row>
        <row r="82">
          <cell r="D82">
            <v>18428</v>
          </cell>
          <cell r="F82"/>
          <cell r="H82"/>
        </row>
        <row r="83">
          <cell r="D83">
            <v>1009</v>
          </cell>
          <cell r="F83"/>
          <cell r="H83"/>
        </row>
        <row r="84">
          <cell r="D84">
            <v>89499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461817</v>
          </cell>
          <cell r="F91"/>
          <cell r="H91"/>
        </row>
        <row r="92">
          <cell r="D92">
            <v>4972</v>
          </cell>
          <cell r="F92">
            <v>142</v>
          </cell>
          <cell r="H92"/>
        </row>
        <row r="93">
          <cell r="D93">
            <v>4663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7</v>
          </cell>
          <cell r="F100"/>
          <cell r="H100"/>
        </row>
        <row r="101">
          <cell r="D101">
            <v>77002</v>
          </cell>
          <cell r="F101"/>
          <cell r="H101"/>
        </row>
        <row r="102">
          <cell r="D102">
            <v>4053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8084</v>
          </cell>
          <cell r="F117"/>
          <cell r="H117"/>
        </row>
        <row r="118">
          <cell r="D118">
            <v>116133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162882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69126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11407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26688</v>
          </cell>
          <cell r="F134"/>
          <cell r="H134"/>
        </row>
        <row r="136">
          <cell r="D136">
            <v>872097</v>
          </cell>
          <cell r="F136"/>
          <cell r="H136"/>
        </row>
        <row r="137">
          <cell r="D137">
            <v>254656</v>
          </cell>
          <cell r="F137"/>
          <cell r="H137"/>
        </row>
        <row r="138">
          <cell r="D138">
            <v>626189</v>
          </cell>
          <cell r="F138">
            <v>90173</v>
          </cell>
          <cell r="H138"/>
        </row>
        <row r="139">
          <cell r="D139">
            <v>90173</v>
          </cell>
          <cell r="F139">
            <v>-90173</v>
          </cell>
          <cell r="H139"/>
        </row>
        <row r="141">
          <cell r="D141">
            <v>303439</v>
          </cell>
          <cell r="F141">
            <v>-159862</v>
          </cell>
          <cell r="H141"/>
        </row>
        <row r="142">
          <cell r="D142">
            <v>0</v>
          </cell>
          <cell r="F142">
            <v>41925</v>
          </cell>
          <cell r="H142"/>
        </row>
        <row r="143">
          <cell r="D143">
            <v>0</v>
          </cell>
          <cell r="F143">
            <v>117937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40825</v>
          </cell>
          <cell r="F146"/>
          <cell r="H146"/>
        </row>
        <row r="147">
          <cell r="D147">
            <v>131922</v>
          </cell>
          <cell r="F147"/>
          <cell r="H147"/>
        </row>
        <row r="148">
          <cell r="D148">
            <v>34802</v>
          </cell>
          <cell r="F148"/>
          <cell r="H148"/>
        </row>
        <row r="149">
          <cell r="D149">
            <v>230918</v>
          </cell>
          <cell r="F149"/>
          <cell r="H149"/>
        </row>
        <row r="150">
          <cell r="D150">
            <v>6040</v>
          </cell>
          <cell r="F150"/>
          <cell r="H150"/>
        </row>
        <row r="151">
          <cell r="D151">
            <v>131013</v>
          </cell>
          <cell r="F151"/>
          <cell r="H151"/>
        </row>
        <row r="152">
          <cell r="D152">
            <v>5169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9286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113</v>
          </cell>
          <cell r="F193"/>
          <cell r="H193"/>
        </row>
        <row r="194">
          <cell r="D194">
            <v>282507</v>
          </cell>
          <cell r="F194"/>
          <cell r="H194">
            <v>4944</v>
          </cell>
        </row>
        <row r="195">
          <cell r="D195">
            <v>113277</v>
          </cell>
          <cell r="F195"/>
          <cell r="H195">
            <v>1982</v>
          </cell>
        </row>
        <row r="196">
          <cell r="D196">
            <v>0</v>
          </cell>
          <cell r="F196"/>
          <cell r="H196"/>
        </row>
        <row r="197">
          <cell r="D197">
            <v>297642</v>
          </cell>
          <cell r="F197"/>
          <cell r="H197">
            <v>5209</v>
          </cell>
        </row>
        <row r="198">
          <cell r="D198">
            <v>39291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161897</v>
          </cell>
          <cell r="F205"/>
          <cell r="H205"/>
        </row>
        <row r="206">
          <cell r="D206">
            <v>7697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123191</v>
          </cell>
          <cell r="F211"/>
          <cell r="H211"/>
        </row>
        <row r="212">
          <cell r="D212">
            <v>44229</v>
          </cell>
          <cell r="F212"/>
          <cell r="H212"/>
        </row>
        <row r="213">
          <cell r="D213">
            <v>7571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3470</v>
          </cell>
          <cell r="F216"/>
          <cell r="H216"/>
        </row>
        <row r="221">
          <cell r="D221">
            <v>7255216</v>
          </cell>
        </row>
      </sheetData>
      <sheetData sheetId="8"/>
      <sheetData sheetId="9"/>
      <sheetData sheetId="10">
        <row r="9">
          <cell r="C9">
            <v>16448</v>
          </cell>
          <cell r="D9">
            <v>0</v>
          </cell>
          <cell r="E9">
            <v>3780</v>
          </cell>
          <cell r="F9">
            <v>856</v>
          </cell>
          <cell r="G9">
            <v>0</v>
          </cell>
          <cell r="H9">
            <v>2553</v>
          </cell>
          <cell r="I9">
            <v>1815</v>
          </cell>
          <cell r="J9">
            <v>0</v>
          </cell>
          <cell r="K9">
            <v>668</v>
          </cell>
        </row>
        <row r="22">
          <cell r="N22">
            <v>122</v>
          </cell>
        </row>
        <row r="24">
          <cell r="N24">
            <v>122</v>
          </cell>
        </row>
        <row r="28">
          <cell r="N28">
            <v>44530</v>
          </cell>
        </row>
        <row r="30">
          <cell r="N30">
            <v>0.58657085111161011</v>
          </cell>
        </row>
        <row r="32">
          <cell r="N32">
            <v>0.36936896474286995</v>
          </cell>
        </row>
        <row r="34">
          <cell r="N34">
            <v>0.62970903522205202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3070059</v>
          </cell>
          <cell r="G10">
            <v>0</v>
          </cell>
        </row>
        <row r="12">
          <cell r="E12">
            <v>1026136</v>
          </cell>
          <cell r="G12">
            <v>1191341.90018669</v>
          </cell>
        </row>
        <row r="13">
          <cell r="E13">
            <v>21830</v>
          </cell>
          <cell r="G13"/>
        </row>
        <row r="14">
          <cell r="E14">
            <v>82322</v>
          </cell>
          <cell r="G14"/>
        </row>
        <row r="15">
          <cell r="E15">
            <v>4200347</v>
          </cell>
          <cell r="G15">
            <v>1191341.90018669</v>
          </cell>
        </row>
        <row r="20">
          <cell r="E20">
            <v>0</v>
          </cell>
          <cell r="G20">
            <v>0</v>
          </cell>
        </row>
        <row r="26">
          <cell r="E26">
            <v>1176120</v>
          </cell>
          <cell r="G26">
            <v>0</v>
          </cell>
        </row>
        <row r="32">
          <cell r="E32">
            <v>1534016.2010869565</v>
          </cell>
          <cell r="G32">
            <v>0</v>
          </cell>
        </row>
        <row r="37">
          <cell r="E37">
            <v>381353</v>
          </cell>
          <cell r="G37">
            <v>0</v>
          </cell>
        </row>
        <row r="42">
          <cell r="E42">
            <v>599428</v>
          </cell>
          <cell r="G42">
            <v>0</v>
          </cell>
        </row>
        <row r="47">
          <cell r="E47">
            <v>622636.36227544909</v>
          </cell>
          <cell r="G47">
            <v>0</v>
          </cell>
        </row>
        <row r="52">
          <cell r="E52">
            <v>24711.637724550899</v>
          </cell>
          <cell r="G52">
            <v>0</v>
          </cell>
        </row>
        <row r="57">
          <cell r="E57">
            <v>77406.798913043473</v>
          </cell>
          <cell r="G57">
            <v>0</v>
          </cell>
        </row>
        <row r="72">
          <cell r="E72">
            <v>1793</v>
          </cell>
          <cell r="G72">
            <v>0</v>
          </cell>
        </row>
        <row r="90">
          <cell r="C90">
            <v>259.56550580431178</v>
          </cell>
          <cell r="E90">
            <v>235.00327332242225</v>
          </cell>
          <cell r="G90">
            <v>251.45469798657717</v>
          </cell>
          <cell r="I90">
            <v>303.77235772357722</v>
          </cell>
        </row>
      </sheetData>
      <sheetData sheetId="7"/>
      <sheetData sheetId="8">
        <row r="10">
          <cell r="D10">
            <v>222222</v>
          </cell>
          <cell r="F10">
            <v>-91116.83</v>
          </cell>
          <cell r="H10"/>
        </row>
        <row r="11">
          <cell r="D11">
            <v>0</v>
          </cell>
          <cell r="F11"/>
          <cell r="H11"/>
        </row>
        <row r="12">
          <cell r="D12">
            <v>184619</v>
          </cell>
          <cell r="F12"/>
          <cell r="H12"/>
        </row>
        <row r="13">
          <cell r="D13">
            <v>239384</v>
          </cell>
          <cell r="F13">
            <v>-167483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430868</v>
          </cell>
          <cell r="F16"/>
          <cell r="H16">
            <v>-52851</v>
          </cell>
        </row>
        <row r="17">
          <cell r="D17">
            <v>0</v>
          </cell>
          <cell r="F17"/>
          <cell r="H17"/>
        </row>
        <row r="18">
          <cell r="D18">
            <v>20433</v>
          </cell>
          <cell r="F18"/>
          <cell r="H18"/>
        </row>
        <row r="19">
          <cell r="D19">
            <v>20099</v>
          </cell>
          <cell r="F19">
            <v>-1733</v>
          </cell>
          <cell r="H19"/>
        </row>
        <row r="20">
          <cell r="D20">
            <v>13950</v>
          </cell>
          <cell r="F20"/>
          <cell r="H20"/>
        </row>
        <row r="21">
          <cell r="D21">
            <v>2214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3425</v>
          </cell>
          <cell r="F23"/>
          <cell r="H23"/>
        </row>
        <row r="24">
          <cell r="D24">
            <v>73036</v>
          </cell>
          <cell r="F24"/>
          <cell r="H24">
            <v>-19329</v>
          </cell>
        </row>
        <row r="25">
          <cell r="D25">
            <v>0</v>
          </cell>
          <cell r="F25"/>
          <cell r="H25"/>
        </row>
        <row r="26">
          <cell r="D26">
            <v>499745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158333</v>
          </cell>
          <cell r="F29">
            <v>-158333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105612</v>
          </cell>
          <cell r="F31"/>
          <cell r="H31">
            <v>-61877</v>
          </cell>
        </row>
        <row r="32">
          <cell r="D32">
            <v>81970</v>
          </cell>
          <cell r="F32"/>
          <cell r="H32">
            <v>-36887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130</v>
          </cell>
          <cell r="F35">
            <v>-130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8235</v>
          </cell>
          <cell r="F39"/>
          <cell r="H39"/>
        </row>
        <row r="40">
          <cell r="D40">
            <v>4586</v>
          </cell>
          <cell r="F40"/>
          <cell r="H40"/>
        </row>
        <row r="41">
          <cell r="D41">
            <v>20866</v>
          </cell>
          <cell r="F41"/>
          <cell r="H41"/>
        </row>
        <row r="42">
          <cell r="D42">
            <v>7079</v>
          </cell>
          <cell r="F42"/>
          <cell r="H42"/>
        </row>
        <row r="43">
          <cell r="D43">
            <v>9478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1023</v>
          </cell>
          <cell r="F45">
            <v>-1152</v>
          </cell>
          <cell r="H45"/>
        </row>
        <row r="57">
          <cell r="D57">
            <v>588234</v>
          </cell>
          <cell r="F57">
            <v>-588234</v>
          </cell>
          <cell r="H57"/>
        </row>
        <row r="58">
          <cell r="D58">
            <v>11323</v>
          </cell>
          <cell r="F58">
            <v>124675</v>
          </cell>
          <cell r="H58"/>
        </row>
        <row r="59">
          <cell r="D59">
            <v>0</v>
          </cell>
          <cell r="F59"/>
          <cell r="H59"/>
        </row>
        <row r="60">
          <cell r="D60">
            <v>28241</v>
          </cell>
          <cell r="F60"/>
          <cell r="H60"/>
        </row>
        <row r="61">
          <cell r="D61">
            <v>7866</v>
          </cell>
          <cell r="F61"/>
          <cell r="H61"/>
        </row>
        <row r="62">
          <cell r="D62">
            <v>13468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6195</v>
          </cell>
          <cell r="F65"/>
          <cell r="H65"/>
        </row>
        <row r="66">
          <cell r="D66">
            <v>5741</v>
          </cell>
          <cell r="F66"/>
          <cell r="H66"/>
        </row>
        <row r="67">
          <cell r="D67">
            <v>46045</v>
          </cell>
          <cell r="F67">
            <v>-3660</v>
          </cell>
          <cell r="H67"/>
        </row>
        <row r="68">
          <cell r="D68">
            <v>0</v>
          </cell>
          <cell r="F68"/>
          <cell r="H68"/>
        </row>
        <row r="69">
          <cell r="D69">
            <v>3910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85553</v>
          </cell>
          <cell r="F75"/>
          <cell r="H75"/>
        </row>
        <row r="76">
          <cell r="D76">
            <v>13127</v>
          </cell>
          <cell r="F76">
            <v>4645</v>
          </cell>
          <cell r="H76"/>
        </row>
        <row r="77">
          <cell r="D77">
            <v>20718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10901</v>
          </cell>
          <cell r="F79"/>
          <cell r="H79"/>
        </row>
        <row r="80">
          <cell r="D80">
            <v>30222</v>
          </cell>
          <cell r="F80"/>
          <cell r="H80"/>
        </row>
        <row r="81">
          <cell r="D81">
            <v>17872</v>
          </cell>
          <cell r="F81"/>
          <cell r="H81"/>
        </row>
        <row r="82">
          <cell r="D82">
            <v>4825</v>
          </cell>
          <cell r="F82"/>
          <cell r="H82"/>
        </row>
        <row r="83">
          <cell r="D83">
            <v>3488</v>
          </cell>
          <cell r="F83"/>
          <cell r="H83"/>
        </row>
        <row r="84">
          <cell r="D84">
            <v>75976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216358</v>
          </cell>
          <cell r="F89"/>
          <cell r="H89"/>
        </row>
        <row r="90">
          <cell r="D90">
            <v>35708</v>
          </cell>
          <cell r="F90">
            <v>11748</v>
          </cell>
          <cell r="H90"/>
        </row>
        <row r="91">
          <cell r="D91">
            <v>17873</v>
          </cell>
          <cell r="F91"/>
          <cell r="H91"/>
        </row>
        <row r="92">
          <cell r="D92">
            <v>183382</v>
          </cell>
          <cell r="F92"/>
          <cell r="H92"/>
        </row>
        <row r="93">
          <cell r="D93">
            <v>18006</v>
          </cell>
          <cell r="F93">
            <v>2523</v>
          </cell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1973</v>
          </cell>
          <cell r="F100"/>
          <cell r="H100"/>
        </row>
        <row r="101">
          <cell r="D101">
            <v>14400</v>
          </cell>
          <cell r="F101"/>
          <cell r="H101"/>
        </row>
        <row r="102">
          <cell r="D102">
            <v>6305</v>
          </cell>
          <cell r="F102"/>
          <cell r="H102"/>
        </row>
        <row r="103">
          <cell r="D103">
            <v>3968</v>
          </cell>
          <cell r="F103"/>
          <cell r="H103"/>
        </row>
        <row r="115">
          <cell r="D115">
            <v>98832</v>
          </cell>
          <cell r="F115"/>
          <cell r="H115"/>
        </row>
        <row r="116">
          <cell r="D116">
            <v>16573</v>
          </cell>
          <cell r="F116">
            <v>5367</v>
          </cell>
          <cell r="H116"/>
        </row>
        <row r="117">
          <cell r="D117">
            <v>19599</v>
          </cell>
          <cell r="F117"/>
          <cell r="H117"/>
        </row>
        <row r="118">
          <cell r="D118">
            <v>24454</v>
          </cell>
          <cell r="F118"/>
          <cell r="H118"/>
        </row>
        <row r="119">
          <cell r="D119">
            <v>906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117851</v>
          </cell>
          <cell r="F125"/>
          <cell r="H125">
            <v>47601</v>
          </cell>
        </row>
        <row r="126">
          <cell r="D126">
            <v>71046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43899</v>
          </cell>
          <cell r="F128"/>
          <cell r="H128"/>
        </row>
        <row r="130">
          <cell r="D130"/>
          <cell r="F130">
            <v>0</v>
          </cell>
          <cell r="H130"/>
        </row>
        <row r="131">
          <cell r="D131"/>
          <cell r="F131">
            <v>6399</v>
          </cell>
          <cell r="H131">
            <v>5250</v>
          </cell>
        </row>
        <row r="132">
          <cell r="D132"/>
          <cell r="F132">
            <v>3858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2384</v>
          </cell>
          <cell r="H134"/>
        </row>
        <row r="136">
          <cell r="D136">
            <v>632243</v>
          </cell>
          <cell r="F136"/>
          <cell r="H136"/>
        </row>
        <row r="137">
          <cell r="D137">
            <v>342814</v>
          </cell>
          <cell r="F137"/>
          <cell r="H137"/>
        </row>
        <row r="138">
          <cell r="D138">
            <v>844651</v>
          </cell>
          <cell r="F138"/>
          <cell r="H138"/>
        </row>
        <row r="139">
          <cell r="D139">
            <v>126684</v>
          </cell>
          <cell r="F139"/>
          <cell r="H139"/>
        </row>
        <row r="141">
          <cell r="D141">
            <v>0</v>
          </cell>
          <cell r="F141">
            <v>34330</v>
          </cell>
          <cell r="H141"/>
        </row>
        <row r="142">
          <cell r="D142">
            <v>0</v>
          </cell>
          <cell r="F142">
            <v>18615</v>
          </cell>
          <cell r="H142"/>
        </row>
        <row r="143">
          <cell r="D143">
            <v>0</v>
          </cell>
          <cell r="F143">
            <v>45864</v>
          </cell>
          <cell r="H143"/>
        </row>
        <row r="144">
          <cell r="D144">
            <v>329111</v>
          </cell>
          <cell r="F144">
            <v>6879</v>
          </cell>
          <cell r="H144"/>
        </row>
        <row r="146">
          <cell r="D146">
            <v>48125</v>
          </cell>
          <cell r="F146"/>
          <cell r="H146"/>
        </row>
        <row r="147">
          <cell r="D147">
            <v>1723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172110</v>
          </cell>
          <cell r="F149"/>
          <cell r="H149"/>
        </row>
        <row r="150">
          <cell r="D150">
            <v>15399</v>
          </cell>
          <cell r="F150"/>
          <cell r="H150"/>
        </row>
        <row r="151">
          <cell r="D151">
            <v>97573</v>
          </cell>
          <cell r="F151">
            <v>3349</v>
          </cell>
          <cell r="H151"/>
        </row>
        <row r="152">
          <cell r="D152">
            <v>7211</v>
          </cell>
          <cell r="F152"/>
          <cell r="H152"/>
        </row>
        <row r="153">
          <cell r="D153">
            <v>1883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18595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260483</v>
          </cell>
          <cell r="F177">
            <v>0</v>
          </cell>
          <cell r="H177"/>
        </row>
        <row r="178">
          <cell r="D178">
            <v>41363</v>
          </cell>
          <cell r="F178">
            <v>14144</v>
          </cell>
          <cell r="H178"/>
        </row>
        <row r="179">
          <cell r="D179">
            <v>67679</v>
          </cell>
          <cell r="F179">
            <v>0</v>
          </cell>
          <cell r="H179"/>
        </row>
        <row r="180">
          <cell r="D180">
            <v>13291</v>
          </cell>
          <cell r="F180">
            <v>3675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160665</v>
          </cell>
          <cell r="F183">
            <v>0</v>
          </cell>
          <cell r="H183"/>
        </row>
        <row r="184">
          <cell r="D184">
            <v>26741</v>
          </cell>
          <cell r="F184">
            <v>8724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806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3938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38642</v>
          </cell>
          <cell r="F198"/>
          <cell r="H198">
            <v>-1910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142085</v>
          </cell>
          <cell r="F205"/>
          <cell r="H205"/>
        </row>
        <row r="206">
          <cell r="D206">
            <v>10948</v>
          </cell>
          <cell r="F206"/>
          <cell r="H206"/>
        </row>
        <row r="207">
          <cell r="D207">
            <v>14909</v>
          </cell>
          <cell r="F207">
            <v>-808.5</v>
          </cell>
          <cell r="H207"/>
        </row>
        <row r="211">
          <cell r="D211">
            <v>230939</v>
          </cell>
          <cell r="F211"/>
          <cell r="H211"/>
        </row>
        <row r="212">
          <cell r="D212">
            <v>48278</v>
          </cell>
          <cell r="F212">
            <v>12540</v>
          </cell>
          <cell r="H212"/>
        </row>
        <row r="213">
          <cell r="D213">
            <v>12466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52981</v>
          </cell>
          <cell r="F216"/>
          <cell r="H216">
            <v>-260</v>
          </cell>
        </row>
        <row r="221">
          <cell r="D221">
            <v>7736481</v>
          </cell>
        </row>
      </sheetData>
      <sheetData sheetId="9"/>
      <sheetData sheetId="10"/>
      <sheetData sheetId="11">
        <row r="9">
          <cell r="C9">
            <v>16624</v>
          </cell>
          <cell r="D9"/>
          <cell r="E9">
            <v>2083</v>
          </cell>
          <cell r="F9">
            <v>3501</v>
          </cell>
          <cell r="G9">
            <v>3503</v>
          </cell>
          <cell r="H9">
            <v>2302</v>
          </cell>
          <cell r="I9">
            <v>1285</v>
          </cell>
          <cell r="J9">
            <v>51</v>
          </cell>
          <cell r="K9">
            <v>179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0.6741552511415525</v>
          </cell>
        </row>
        <row r="32">
          <cell r="N32">
            <v>0.37954337899543378</v>
          </cell>
        </row>
        <row r="34">
          <cell r="N34">
            <v>0.5629910593335139</v>
          </cell>
        </row>
      </sheetData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1380891</v>
          </cell>
          <cell r="G10">
            <v>0</v>
          </cell>
        </row>
        <row r="12">
          <cell r="E12">
            <v>408250</v>
          </cell>
          <cell r="G12">
            <v>470096</v>
          </cell>
        </row>
        <row r="13">
          <cell r="E13">
            <v>1776</v>
          </cell>
          <cell r="G13"/>
        </row>
        <row r="14">
          <cell r="E14">
            <v>55394</v>
          </cell>
          <cell r="G14"/>
        </row>
        <row r="15">
          <cell r="E15">
            <v>1846311</v>
          </cell>
          <cell r="G15">
            <v>470096</v>
          </cell>
        </row>
        <row r="20">
          <cell r="E20">
            <v>0</v>
          </cell>
          <cell r="G20">
            <v>0</v>
          </cell>
        </row>
        <row r="26">
          <cell r="E26">
            <v>1372248</v>
          </cell>
          <cell r="G26">
            <v>0</v>
          </cell>
        </row>
        <row r="32">
          <cell r="E32">
            <v>269354.68508287292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389578</v>
          </cell>
          <cell r="G42">
            <v>0</v>
          </cell>
        </row>
        <row r="47">
          <cell r="E47">
            <v>65017.360613810743</v>
          </cell>
          <cell r="G47">
            <v>0</v>
          </cell>
        </row>
        <row r="52">
          <cell r="E52">
            <v>9098.6393861892593</v>
          </cell>
          <cell r="G52">
            <v>0</v>
          </cell>
        </row>
        <row r="57">
          <cell r="E57">
            <v>23457.314917127074</v>
          </cell>
          <cell r="G57">
            <v>0</v>
          </cell>
        </row>
        <row r="72">
          <cell r="E72">
            <v>255</v>
          </cell>
          <cell r="G72">
            <v>0</v>
          </cell>
        </row>
        <row r="90">
          <cell r="C90">
            <v>169.3755868544601</v>
          </cell>
          <cell r="E90">
            <v>171.6396255850234</v>
          </cell>
          <cell r="G90">
            <v>170.41617357001974</v>
          </cell>
          <cell r="I90">
            <v>177.2964509394572</v>
          </cell>
        </row>
      </sheetData>
      <sheetData sheetId="7"/>
      <sheetData sheetId="8">
        <row r="10">
          <cell r="D10">
            <v>220754</v>
          </cell>
          <cell r="F10">
            <v>-109140</v>
          </cell>
          <cell r="H10"/>
        </row>
        <row r="11">
          <cell r="D11">
            <v>0</v>
          </cell>
          <cell r="F11"/>
          <cell r="H11"/>
        </row>
        <row r="12">
          <cell r="D12">
            <v>51146</v>
          </cell>
          <cell r="F12"/>
          <cell r="H12"/>
        </row>
        <row r="13">
          <cell r="D13">
            <v>127351</v>
          </cell>
          <cell r="F13">
            <v>-81742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198000</v>
          </cell>
          <cell r="F16"/>
          <cell r="H16">
            <v>-32642</v>
          </cell>
        </row>
        <row r="17">
          <cell r="D17">
            <v>0</v>
          </cell>
          <cell r="F17"/>
          <cell r="H17"/>
        </row>
        <row r="18">
          <cell r="D18">
            <v>12023</v>
          </cell>
          <cell r="F18"/>
          <cell r="H18"/>
        </row>
        <row r="19">
          <cell r="D19">
            <v>8148</v>
          </cell>
          <cell r="F19">
            <v>-985</v>
          </cell>
          <cell r="H19"/>
        </row>
        <row r="20">
          <cell r="D20">
            <v>7986</v>
          </cell>
          <cell r="F20">
            <v>1099</v>
          </cell>
          <cell r="H20"/>
        </row>
        <row r="21">
          <cell r="D21">
            <v>1195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1896</v>
          </cell>
          <cell r="F23"/>
          <cell r="H23"/>
        </row>
        <row r="24">
          <cell r="D24">
            <v>46367</v>
          </cell>
          <cell r="F24"/>
          <cell r="H24">
            <v>-11171</v>
          </cell>
        </row>
        <row r="25">
          <cell r="D25">
            <v>0</v>
          </cell>
          <cell r="F25"/>
          <cell r="H25"/>
        </row>
        <row r="26">
          <cell r="D26">
            <v>211604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26823</v>
          </cell>
          <cell r="F29">
            <v>-26823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18337</v>
          </cell>
          <cell r="F31"/>
          <cell r="H31">
            <v>-10744</v>
          </cell>
        </row>
        <row r="32">
          <cell r="D32">
            <v>33416</v>
          </cell>
          <cell r="F32"/>
          <cell r="H32">
            <v>-15037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51</v>
          </cell>
          <cell r="F35">
            <v>-51</v>
          </cell>
          <cell r="H35"/>
        </row>
        <row r="36">
          <cell r="D36">
            <v>7582</v>
          </cell>
          <cell r="F36"/>
          <cell r="H36"/>
        </row>
        <row r="37">
          <cell r="D37">
            <v>1105</v>
          </cell>
          <cell r="F37">
            <v>474</v>
          </cell>
          <cell r="H37"/>
        </row>
        <row r="38">
          <cell r="D38">
            <v>400</v>
          </cell>
          <cell r="F38">
            <v>-400</v>
          </cell>
          <cell r="H38"/>
        </row>
        <row r="39">
          <cell r="D39">
            <v>6023</v>
          </cell>
          <cell r="F39"/>
          <cell r="H39"/>
        </row>
        <row r="40">
          <cell r="D40">
            <v>4995</v>
          </cell>
          <cell r="F40"/>
          <cell r="H40"/>
        </row>
        <row r="41">
          <cell r="D41">
            <v>6390</v>
          </cell>
          <cell r="F41"/>
          <cell r="H41"/>
        </row>
        <row r="42">
          <cell r="D42">
            <v>1128</v>
          </cell>
          <cell r="F42"/>
          <cell r="H42"/>
        </row>
        <row r="43">
          <cell r="D43">
            <v>7043</v>
          </cell>
          <cell r="F43"/>
          <cell r="H43"/>
        </row>
        <row r="44">
          <cell r="D44">
            <v>23</v>
          </cell>
          <cell r="F44"/>
          <cell r="H44"/>
        </row>
        <row r="45">
          <cell r="D45">
            <v>0</v>
          </cell>
          <cell r="F45">
            <v>-75</v>
          </cell>
          <cell r="H45"/>
        </row>
        <row r="57">
          <cell r="D57">
            <v>284838</v>
          </cell>
          <cell r="F57">
            <v>-284838</v>
          </cell>
          <cell r="H57"/>
        </row>
        <row r="58">
          <cell r="D58">
            <v>17358</v>
          </cell>
          <cell r="F58">
            <v>37429</v>
          </cell>
          <cell r="H58"/>
        </row>
        <row r="59">
          <cell r="D59">
            <v>0</v>
          </cell>
          <cell r="F59"/>
          <cell r="H59"/>
        </row>
        <row r="60">
          <cell r="D60">
            <v>13239</v>
          </cell>
          <cell r="F60"/>
          <cell r="H60"/>
        </row>
        <row r="61">
          <cell r="D61">
            <v>4436</v>
          </cell>
          <cell r="F61"/>
          <cell r="H61"/>
        </row>
        <row r="62">
          <cell r="D62">
            <v>8661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6419</v>
          </cell>
          <cell r="F65"/>
          <cell r="H65"/>
        </row>
        <row r="66">
          <cell r="D66">
            <v>4246</v>
          </cell>
          <cell r="F66"/>
          <cell r="H66"/>
        </row>
        <row r="67">
          <cell r="D67">
            <v>20878</v>
          </cell>
          <cell r="F67">
            <v>-1166</v>
          </cell>
          <cell r="H67"/>
        </row>
        <row r="68">
          <cell r="D68">
            <v>0</v>
          </cell>
          <cell r="F68"/>
          <cell r="H68"/>
        </row>
        <row r="69">
          <cell r="D69">
            <v>1774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37990</v>
          </cell>
          <cell r="F75"/>
          <cell r="H75"/>
        </row>
        <row r="76">
          <cell r="D76">
            <v>5752</v>
          </cell>
          <cell r="F76">
            <v>2374</v>
          </cell>
          <cell r="H76"/>
        </row>
        <row r="77">
          <cell r="D77">
            <v>6249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7686</v>
          </cell>
          <cell r="F79"/>
          <cell r="H79"/>
        </row>
        <row r="80">
          <cell r="D80">
            <v>7235</v>
          </cell>
          <cell r="F80"/>
          <cell r="H80"/>
        </row>
        <row r="81">
          <cell r="D81">
            <v>14258</v>
          </cell>
          <cell r="F81"/>
          <cell r="H81"/>
        </row>
        <row r="82">
          <cell r="D82">
            <v>6666</v>
          </cell>
          <cell r="F82"/>
          <cell r="H82"/>
        </row>
        <row r="83">
          <cell r="D83">
            <v>2542</v>
          </cell>
          <cell r="F83">
            <v>4790</v>
          </cell>
          <cell r="H83"/>
        </row>
        <row r="84">
          <cell r="D84">
            <v>49237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88386</v>
          </cell>
          <cell r="F89"/>
          <cell r="H89"/>
        </row>
        <row r="90">
          <cell r="D90">
            <v>12216</v>
          </cell>
          <cell r="F90">
            <v>5523</v>
          </cell>
          <cell r="H90"/>
        </row>
        <row r="91">
          <cell r="D91">
            <v>7390</v>
          </cell>
          <cell r="F91"/>
          <cell r="H91"/>
        </row>
        <row r="92">
          <cell r="D92">
            <v>76770</v>
          </cell>
          <cell r="F92"/>
          <cell r="H92"/>
        </row>
        <row r="93">
          <cell r="D93">
            <v>9869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19268</v>
          </cell>
          <cell r="F98"/>
          <cell r="H98"/>
        </row>
        <row r="99">
          <cell r="D99">
            <v>2847</v>
          </cell>
          <cell r="F99">
            <v>1204</v>
          </cell>
          <cell r="H99"/>
        </row>
        <row r="100">
          <cell r="D100">
            <v>5638</v>
          </cell>
          <cell r="F100"/>
          <cell r="H100"/>
        </row>
        <row r="101">
          <cell r="D101">
            <v>452</v>
          </cell>
          <cell r="F101"/>
          <cell r="H101"/>
        </row>
        <row r="102">
          <cell r="D102">
            <v>1804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45838</v>
          </cell>
          <cell r="F115"/>
          <cell r="H115"/>
        </row>
        <row r="116">
          <cell r="D116">
            <v>6388</v>
          </cell>
          <cell r="F116">
            <v>2864</v>
          </cell>
          <cell r="H116"/>
        </row>
        <row r="117">
          <cell r="D117">
            <v>9517</v>
          </cell>
          <cell r="F117"/>
          <cell r="H117"/>
        </row>
        <row r="118">
          <cell r="D118">
            <v>2213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/>
          <cell r="F124"/>
          <cell r="H124"/>
        </row>
        <row r="125">
          <cell r="D125">
            <v>87042</v>
          </cell>
          <cell r="F125"/>
          <cell r="H125">
            <v>29561</v>
          </cell>
        </row>
        <row r="126">
          <cell r="D126">
            <v>45546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27435</v>
          </cell>
          <cell r="F128"/>
          <cell r="H128"/>
        </row>
        <row r="130">
          <cell r="D130"/>
          <cell r="F130">
            <v>0</v>
          </cell>
          <cell r="H130"/>
        </row>
        <row r="131">
          <cell r="D131"/>
          <cell r="F131">
            <v>5439</v>
          </cell>
          <cell r="H131">
            <v>3081</v>
          </cell>
        </row>
        <row r="132">
          <cell r="D132"/>
          <cell r="F132">
            <v>2846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1714</v>
          </cell>
          <cell r="H134"/>
        </row>
        <row r="136">
          <cell r="D136">
            <v>117307</v>
          </cell>
          <cell r="F136"/>
          <cell r="H136"/>
        </row>
        <row r="137">
          <cell r="D137">
            <v>229200</v>
          </cell>
          <cell r="F137"/>
          <cell r="H137"/>
        </row>
        <row r="138">
          <cell r="D138">
            <v>344139</v>
          </cell>
          <cell r="F138"/>
          <cell r="H138"/>
        </row>
        <row r="139">
          <cell r="D139">
            <v>7864</v>
          </cell>
          <cell r="F139"/>
          <cell r="H139"/>
        </row>
        <row r="141">
          <cell r="D141">
            <v>0</v>
          </cell>
          <cell r="F141">
            <v>7330</v>
          </cell>
          <cell r="H141"/>
        </row>
        <row r="142">
          <cell r="D142">
            <v>0</v>
          </cell>
          <cell r="F142">
            <v>14322</v>
          </cell>
          <cell r="H142"/>
        </row>
        <row r="143">
          <cell r="D143">
            <v>0</v>
          </cell>
          <cell r="F143">
            <v>21505</v>
          </cell>
          <cell r="H143"/>
        </row>
        <row r="144">
          <cell r="D144">
            <v>132027</v>
          </cell>
          <cell r="F144">
            <v>491</v>
          </cell>
          <cell r="H144"/>
        </row>
        <row r="146">
          <cell r="D146">
            <v>14400</v>
          </cell>
          <cell r="F146"/>
          <cell r="H146"/>
        </row>
        <row r="147">
          <cell r="D147">
            <v>255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929</v>
          </cell>
          <cell r="F150"/>
          <cell r="H150"/>
        </row>
        <row r="151">
          <cell r="D151">
            <v>49238</v>
          </cell>
          <cell r="F151">
            <v>14707</v>
          </cell>
          <cell r="H151"/>
        </row>
        <row r="152">
          <cell r="D152">
            <v>3973</v>
          </cell>
          <cell r="F152"/>
          <cell r="H152"/>
        </row>
        <row r="153">
          <cell r="D153">
            <v>262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2804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164831</v>
          </cell>
          <cell r="F177"/>
          <cell r="H177"/>
        </row>
        <row r="178">
          <cell r="D178">
            <v>19414</v>
          </cell>
          <cell r="F178">
            <v>10300</v>
          </cell>
          <cell r="H178"/>
        </row>
        <row r="179">
          <cell r="D179">
            <v>4092</v>
          </cell>
          <cell r="F179"/>
          <cell r="H179"/>
        </row>
        <row r="180">
          <cell r="D180">
            <v>452</v>
          </cell>
          <cell r="F180">
            <v>256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96050</v>
          </cell>
          <cell r="F183"/>
          <cell r="H183"/>
        </row>
        <row r="184">
          <cell r="D184">
            <v>13486</v>
          </cell>
          <cell r="F184">
            <v>6002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56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41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4742</v>
          </cell>
          <cell r="F198"/>
          <cell r="H198">
            <v>-55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88075</v>
          </cell>
          <cell r="F205"/>
          <cell r="H205"/>
        </row>
        <row r="206">
          <cell r="D206">
            <v>472</v>
          </cell>
          <cell r="F206"/>
          <cell r="H206"/>
        </row>
        <row r="207">
          <cell r="D207">
            <v>6788</v>
          </cell>
          <cell r="F207">
            <v>-7177</v>
          </cell>
          <cell r="H207"/>
        </row>
        <row r="211">
          <cell r="D211">
            <v>82993</v>
          </cell>
          <cell r="F211"/>
          <cell r="H211"/>
        </row>
        <row r="212">
          <cell r="D212">
            <v>11623</v>
          </cell>
          <cell r="F212">
            <v>5186</v>
          </cell>
          <cell r="H212"/>
        </row>
        <row r="213">
          <cell r="D213">
            <v>2090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7074</v>
          </cell>
          <cell r="F216"/>
          <cell r="H216"/>
        </row>
        <row r="221">
          <cell r="D221">
            <v>3352546</v>
          </cell>
        </row>
      </sheetData>
      <sheetData sheetId="9"/>
      <sheetData sheetId="10"/>
      <sheetData sheetId="11">
        <row r="9">
          <cell r="C9">
            <v>7429</v>
          </cell>
          <cell r="D9"/>
          <cell r="E9">
            <v>2363</v>
          </cell>
          <cell r="F9">
            <v>666</v>
          </cell>
          <cell r="G9"/>
          <cell r="H9">
            <v>2266</v>
          </cell>
          <cell r="I9">
            <v>343</v>
          </cell>
          <cell r="J9">
            <v>48</v>
          </cell>
          <cell r="K9">
            <v>58</v>
          </cell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0.60150684931506848</v>
          </cell>
        </row>
        <row r="32">
          <cell r="N32">
            <v>0.33922374429223745</v>
          </cell>
        </row>
        <row r="34">
          <cell r="N34">
            <v>0.56395657784862985</v>
          </cell>
        </row>
      </sheetData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a"/>
      <sheetName val="Sch B-1b"/>
      <sheetName val="Sch C"/>
      <sheetName val="Sch C-1a"/>
      <sheetName val="Sch C-1b"/>
      <sheetName val="Sch C-1c"/>
      <sheetName val="Sch C-1d"/>
      <sheetName val="Sch C-1e"/>
      <sheetName val="Sch C-1f"/>
      <sheetName val="Sch C-1g"/>
      <sheetName val="Sch C-1h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2252728</v>
          </cell>
          <cell r="G10">
            <v>0</v>
          </cell>
        </row>
        <row r="12">
          <cell r="E12"/>
          <cell r="G12"/>
        </row>
        <row r="13">
          <cell r="E13">
            <v>25247</v>
          </cell>
          <cell r="G13"/>
        </row>
        <row r="14">
          <cell r="E14"/>
          <cell r="G14">
            <v>3227</v>
          </cell>
        </row>
        <row r="15">
          <cell r="E15">
            <v>2277975</v>
          </cell>
          <cell r="G15">
            <v>3227</v>
          </cell>
        </row>
        <row r="20">
          <cell r="E20">
            <v>0</v>
          </cell>
          <cell r="G20">
            <v>0</v>
          </cell>
        </row>
        <row r="26">
          <cell r="E26">
            <v>2256598</v>
          </cell>
          <cell r="G26">
            <v>0</v>
          </cell>
        </row>
        <row r="32">
          <cell r="E32">
            <v>152218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1028712</v>
          </cell>
          <cell r="G42">
            <v>0</v>
          </cell>
        </row>
        <row r="47">
          <cell r="E47">
            <v>91910</v>
          </cell>
          <cell r="G47">
            <v>168373.5244519393</v>
          </cell>
        </row>
        <row r="52">
          <cell r="E52">
            <v>0</v>
          </cell>
          <cell r="G52">
            <v>1323.4755480607084</v>
          </cell>
        </row>
        <row r="57">
          <cell r="E57">
            <v>503492</v>
          </cell>
          <cell r="G57">
            <v>-169697</v>
          </cell>
        </row>
        <row r="72">
          <cell r="E72">
            <v>-75021</v>
          </cell>
          <cell r="G72">
            <v>111363</v>
          </cell>
        </row>
        <row r="90">
          <cell r="C90">
            <v>211.47932203389831</v>
          </cell>
          <cell r="E90">
            <v>211.92328042328043</v>
          </cell>
          <cell r="G90">
            <v>225.75025278058646</v>
          </cell>
          <cell r="I90">
            <v>220.55052264808361</v>
          </cell>
        </row>
      </sheetData>
      <sheetData sheetId="6"/>
      <sheetData sheetId="7"/>
      <sheetData sheetId="8">
        <row r="10">
          <cell r="D10">
            <v>141338</v>
          </cell>
          <cell r="F10">
            <v>-26495</v>
          </cell>
          <cell r="H10"/>
        </row>
        <row r="11">
          <cell r="D11">
            <v>0</v>
          </cell>
          <cell r="F11">
            <v>0</v>
          </cell>
          <cell r="H11"/>
        </row>
        <row r="12">
          <cell r="D12">
            <v>122756</v>
          </cell>
          <cell r="F12">
            <v>65316.448705620431</v>
          </cell>
          <cell r="H12"/>
        </row>
        <row r="13">
          <cell r="D13">
            <v>294563</v>
          </cell>
          <cell r="F13">
            <v>-267169.53394571401</v>
          </cell>
          <cell r="H13">
            <v>-4649</v>
          </cell>
        </row>
        <row r="14">
          <cell r="D14">
            <v>0</v>
          </cell>
          <cell r="F14">
            <v>0</v>
          </cell>
          <cell r="H14"/>
        </row>
        <row r="15">
          <cell r="D15">
            <v>0</v>
          </cell>
          <cell r="F15">
            <v>0</v>
          </cell>
          <cell r="H15">
            <v>236858</v>
          </cell>
        </row>
        <row r="16">
          <cell r="D16">
            <v>0</v>
          </cell>
          <cell r="F16">
            <v>0</v>
          </cell>
          <cell r="H16"/>
        </row>
        <row r="17">
          <cell r="D17">
            <v>0</v>
          </cell>
          <cell r="F17">
            <v>0</v>
          </cell>
          <cell r="H17"/>
        </row>
        <row r="18">
          <cell r="D18">
            <v>12655</v>
          </cell>
          <cell r="F18">
            <v>0</v>
          </cell>
          <cell r="H18"/>
        </row>
        <row r="19">
          <cell r="D19">
            <v>17314</v>
          </cell>
          <cell r="F19">
            <v>-1800</v>
          </cell>
          <cell r="H19"/>
        </row>
        <row r="20">
          <cell r="D20">
            <v>20582</v>
          </cell>
          <cell r="F20">
            <v>-119.92</v>
          </cell>
          <cell r="H20"/>
        </row>
        <row r="21">
          <cell r="D21">
            <v>452</v>
          </cell>
          <cell r="F21">
            <v>0</v>
          </cell>
          <cell r="H21">
            <v>396</v>
          </cell>
        </row>
        <row r="22">
          <cell r="D22">
            <v>0</v>
          </cell>
          <cell r="F22">
            <v>0</v>
          </cell>
          <cell r="H22"/>
        </row>
        <row r="23">
          <cell r="D23">
            <v>9832</v>
          </cell>
          <cell r="F23">
            <v>-3352.5299999999997</v>
          </cell>
          <cell r="H23"/>
        </row>
        <row r="24">
          <cell r="D24">
            <v>0</v>
          </cell>
          <cell r="F24">
            <v>0</v>
          </cell>
          <cell r="H24"/>
        </row>
        <row r="25">
          <cell r="D25">
            <v>0</v>
          </cell>
          <cell r="F25">
            <v>0</v>
          </cell>
          <cell r="H25"/>
        </row>
        <row r="26">
          <cell r="D26">
            <v>399947</v>
          </cell>
          <cell r="F26">
            <v>0</v>
          </cell>
          <cell r="H26"/>
        </row>
        <row r="27">
          <cell r="D27">
            <v>0</v>
          </cell>
          <cell r="F27">
            <v>0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0</v>
          </cell>
          <cell r="F29">
            <v>0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44501</v>
          </cell>
          <cell r="F31">
            <v>-31303</v>
          </cell>
          <cell r="H31">
            <v>-13198</v>
          </cell>
        </row>
        <row r="32">
          <cell r="D32">
            <v>81270</v>
          </cell>
          <cell r="F32">
            <v>-9636</v>
          </cell>
          <cell r="H32">
            <v>3620</v>
          </cell>
        </row>
        <row r="33">
          <cell r="D33">
            <v>4622</v>
          </cell>
          <cell r="F33">
            <v>-4622</v>
          </cell>
          <cell r="H33"/>
        </row>
        <row r="34">
          <cell r="D34">
            <v>2560</v>
          </cell>
          <cell r="F34">
            <v>0</v>
          </cell>
          <cell r="H34"/>
        </row>
        <row r="35">
          <cell r="D35">
            <v>75</v>
          </cell>
          <cell r="F35">
            <v>-75</v>
          </cell>
          <cell r="H35"/>
        </row>
        <row r="36">
          <cell r="D36">
            <v>0</v>
          </cell>
          <cell r="F36">
            <v>37764.331878571429</v>
          </cell>
          <cell r="H36"/>
        </row>
        <row r="37">
          <cell r="D37">
            <v>0</v>
          </cell>
          <cell r="F37">
            <v>5854.8402875706033</v>
          </cell>
          <cell r="H37"/>
        </row>
        <row r="38">
          <cell r="D38">
            <v>0</v>
          </cell>
          <cell r="F38">
            <v>0</v>
          </cell>
          <cell r="H38"/>
        </row>
        <row r="39">
          <cell r="D39">
            <v>4776</v>
          </cell>
          <cell r="F39">
            <v>0</v>
          </cell>
          <cell r="H39"/>
        </row>
        <row r="40">
          <cell r="D40">
            <v>102619</v>
          </cell>
          <cell r="F40">
            <v>-102619</v>
          </cell>
          <cell r="H40"/>
        </row>
        <row r="41">
          <cell r="D41">
            <v>682</v>
          </cell>
          <cell r="F41">
            <v>0</v>
          </cell>
          <cell r="H41"/>
        </row>
        <row r="42">
          <cell r="D42">
            <v>10228</v>
          </cell>
          <cell r="F42">
            <v>0</v>
          </cell>
          <cell r="H42"/>
        </row>
        <row r="43">
          <cell r="D43">
            <v>17823</v>
          </cell>
          <cell r="F43">
            <v>0</v>
          </cell>
          <cell r="H43"/>
        </row>
        <row r="44">
          <cell r="D44">
            <v>1729</v>
          </cell>
          <cell r="F44">
            <v>0</v>
          </cell>
          <cell r="H44"/>
        </row>
        <row r="45">
          <cell r="D45">
            <v>77899</v>
          </cell>
          <cell r="F45">
            <v>-17346</v>
          </cell>
          <cell r="H45"/>
        </row>
        <row r="57">
          <cell r="D57">
            <v>245739</v>
          </cell>
          <cell r="F57">
            <v>0</v>
          </cell>
          <cell r="H57">
            <v>-241951</v>
          </cell>
        </row>
        <row r="58">
          <cell r="D58">
            <v>0</v>
          </cell>
          <cell r="F58">
            <v>0</v>
          </cell>
          <cell r="H58">
            <v>334351</v>
          </cell>
        </row>
        <row r="59">
          <cell r="D59">
            <v>0</v>
          </cell>
          <cell r="F59">
            <v>0</v>
          </cell>
          <cell r="H59"/>
        </row>
        <row r="60">
          <cell r="D60">
            <v>28176</v>
          </cell>
          <cell r="F60">
            <v>0</v>
          </cell>
          <cell r="H60">
            <v>1417</v>
          </cell>
        </row>
        <row r="61">
          <cell r="D61">
            <v>14192</v>
          </cell>
          <cell r="F61">
            <v>0</v>
          </cell>
          <cell r="H61"/>
        </row>
        <row r="62">
          <cell r="D62">
            <v>0</v>
          </cell>
          <cell r="F62">
            <v>0</v>
          </cell>
          <cell r="H62"/>
        </row>
        <row r="63">
          <cell r="D63">
            <v>0</v>
          </cell>
          <cell r="F63">
            <v>0</v>
          </cell>
          <cell r="H63"/>
        </row>
        <row r="64">
          <cell r="D64">
            <v>0</v>
          </cell>
          <cell r="F64">
            <v>0</v>
          </cell>
          <cell r="H64"/>
        </row>
        <row r="65">
          <cell r="D65">
            <v>3374</v>
          </cell>
          <cell r="F65">
            <v>0</v>
          </cell>
          <cell r="H65">
            <v>1747</v>
          </cell>
        </row>
        <row r="66">
          <cell r="D66">
            <v>1058</v>
          </cell>
          <cell r="F66">
            <v>0</v>
          </cell>
          <cell r="H66"/>
        </row>
        <row r="67">
          <cell r="D67">
            <v>93395</v>
          </cell>
          <cell r="F67">
            <v>0</v>
          </cell>
          <cell r="H67">
            <v>30802</v>
          </cell>
        </row>
        <row r="68">
          <cell r="D68">
            <v>38</v>
          </cell>
          <cell r="F68">
            <v>-273</v>
          </cell>
          <cell r="H68"/>
        </row>
        <row r="69">
          <cell r="D69">
            <v>2708</v>
          </cell>
          <cell r="F69">
            <v>0</v>
          </cell>
          <cell r="H69"/>
        </row>
        <row r="70">
          <cell r="D70">
            <v>147</v>
          </cell>
          <cell r="F70">
            <v>-147</v>
          </cell>
          <cell r="H70"/>
        </row>
        <row r="71">
          <cell r="D71">
            <v>0</v>
          </cell>
          <cell r="F71">
            <v>0</v>
          </cell>
          <cell r="H71"/>
        </row>
        <row r="75">
          <cell r="D75">
            <v>73989</v>
          </cell>
          <cell r="F75">
            <v>6016.0832177527418</v>
          </cell>
          <cell r="H75"/>
        </row>
        <row r="76">
          <cell r="D76">
            <v>5721</v>
          </cell>
          <cell r="F76">
            <v>0</v>
          </cell>
          <cell r="H76"/>
        </row>
        <row r="77">
          <cell r="D77">
            <v>14174</v>
          </cell>
          <cell r="F77">
            <v>-23.76</v>
          </cell>
          <cell r="H77"/>
        </row>
        <row r="78">
          <cell r="D78">
            <v>0</v>
          </cell>
          <cell r="F78">
            <v>0</v>
          </cell>
          <cell r="H78"/>
        </row>
        <row r="79">
          <cell r="D79">
            <v>12669</v>
          </cell>
          <cell r="F79">
            <v>-2876.88</v>
          </cell>
          <cell r="H79"/>
        </row>
        <row r="80">
          <cell r="D80">
            <v>0</v>
          </cell>
          <cell r="F80">
            <v>0</v>
          </cell>
          <cell r="H80"/>
        </row>
        <row r="81">
          <cell r="D81">
            <v>0</v>
          </cell>
          <cell r="F81">
            <v>0</v>
          </cell>
          <cell r="H81"/>
        </row>
        <row r="82">
          <cell r="D82">
            <v>55162</v>
          </cell>
          <cell r="F82">
            <v>0</v>
          </cell>
          <cell r="H82"/>
        </row>
        <row r="83">
          <cell r="D83">
            <v>14775</v>
          </cell>
          <cell r="F83">
            <v>-976</v>
          </cell>
          <cell r="H83"/>
        </row>
        <row r="84">
          <cell r="D84">
            <v>80312</v>
          </cell>
          <cell r="F84">
            <v>0</v>
          </cell>
          <cell r="H84"/>
        </row>
        <row r="85">
          <cell r="D85">
            <v>45937</v>
          </cell>
          <cell r="F85">
            <v>0</v>
          </cell>
          <cell r="H85"/>
        </row>
        <row r="89">
          <cell r="D89">
            <v>263430</v>
          </cell>
          <cell r="F89">
            <v>21398.660658868379</v>
          </cell>
          <cell r="H89"/>
        </row>
        <row r="90">
          <cell r="D90">
            <v>21465</v>
          </cell>
          <cell r="F90">
            <v>19.39</v>
          </cell>
          <cell r="H90"/>
        </row>
        <row r="91">
          <cell r="D91">
            <v>14268</v>
          </cell>
          <cell r="F91">
            <v>0</v>
          </cell>
          <cell r="H91"/>
        </row>
        <row r="92">
          <cell r="D92">
            <v>173456</v>
          </cell>
          <cell r="F92">
            <v>-4878.5200000000004</v>
          </cell>
          <cell r="H92"/>
        </row>
        <row r="93">
          <cell r="D93">
            <v>15000</v>
          </cell>
          <cell r="F93">
            <v>-466.75</v>
          </cell>
          <cell r="H93"/>
        </row>
        <row r="94">
          <cell r="D94">
            <v>1327</v>
          </cell>
          <cell r="F94">
            <v>0</v>
          </cell>
          <cell r="H94"/>
        </row>
        <row r="98">
          <cell r="D98">
            <v>50774</v>
          </cell>
          <cell r="F98">
            <v>4128.4597615615521</v>
          </cell>
          <cell r="H98"/>
        </row>
        <row r="99">
          <cell r="D99">
            <v>3722</v>
          </cell>
          <cell r="F99">
            <v>0</v>
          </cell>
          <cell r="H99"/>
        </row>
        <row r="100">
          <cell r="D100">
            <v>8462</v>
          </cell>
          <cell r="F100">
            <v>-101.51</v>
          </cell>
          <cell r="H100"/>
        </row>
        <row r="101">
          <cell r="D101">
            <v>0</v>
          </cell>
          <cell r="F101">
            <v>0</v>
          </cell>
          <cell r="H101"/>
        </row>
        <row r="102">
          <cell r="D102">
            <v>3120</v>
          </cell>
          <cell r="F102">
            <v>0</v>
          </cell>
          <cell r="H102"/>
        </row>
        <row r="103">
          <cell r="D103">
            <v>0</v>
          </cell>
          <cell r="F103">
            <v>0</v>
          </cell>
          <cell r="H103"/>
        </row>
        <row r="115">
          <cell r="D115">
            <v>81286</v>
          </cell>
          <cell r="F115">
            <v>6609.4059987058808</v>
          </cell>
          <cell r="H115"/>
        </row>
        <row r="116">
          <cell r="D116">
            <v>6077</v>
          </cell>
          <cell r="F116">
            <v>0</v>
          </cell>
          <cell r="H116"/>
        </row>
        <row r="117">
          <cell r="D117">
            <v>16959</v>
          </cell>
          <cell r="F117">
            <v>-3.05</v>
          </cell>
          <cell r="H117"/>
        </row>
        <row r="118">
          <cell r="D118">
            <v>0</v>
          </cell>
          <cell r="F118">
            <v>0</v>
          </cell>
          <cell r="H118"/>
        </row>
        <row r="119">
          <cell r="D119">
            <v>4417</v>
          </cell>
          <cell r="F119">
            <v>0</v>
          </cell>
          <cell r="H119"/>
        </row>
        <row r="124">
          <cell r="D124"/>
          <cell r="F124"/>
          <cell r="H124"/>
        </row>
        <row r="125">
          <cell r="D125"/>
          <cell r="F125">
            <v>250309.06240716274</v>
          </cell>
          <cell r="H125"/>
        </row>
        <row r="126">
          <cell r="D126"/>
          <cell r="F126">
            <v>83987.93759283729</v>
          </cell>
          <cell r="H126"/>
        </row>
        <row r="127">
          <cell r="D127"/>
          <cell r="F127">
            <v>0</v>
          </cell>
          <cell r="H127"/>
        </row>
        <row r="128">
          <cell r="D128">
            <v>404097</v>
          </cell>
          <cell r="F128">
            <v>-334297</v>
          </cell>
          <cell r="H128"/>
        </row>
        <row r="130">
          <cell r="D130"/>
          <cell r="F130"/>
          <cell r="H130"/>
        </row>
        <row r="131">
          <cell r="D131"/>
          <cell r="F131">
            <v>39883.53520010988</v>
          </cell>
          <cell r="H131"/>
        </row>
        <row r="132">
          <cell r="D132"/>
          <cell r="F132">
            <v>13361.512300394035</v>
          </cell>
          <cell r="H132"/>
        </row>
        <row r="133">
          <cell r="D133"/>
          <cell r="F133">
            <v>-62.25</v>
          </cell>
          <cell r="H133"/>
        </row>
        <row r="134">
          <cell r="D134">
            <v>31167</v>
          </cell>
          <cell r="F134">
            <v>-20330.526502599827</v>
          </cell>
          <cell r="H134"/>
        </row>
        <row r="136">
          <cell r="D136"/>
          <cell r="F136">
            <v>616557.54295530706</v>
          </cell>
          <cell r="H136"/>
        </row>
        <row r="137">
          <cell r="D137"/>
          <cell r="F137">
            <v>480980.49734315235</v>
          </cell>
          <cell r="H137"/>
        </row>
        <row r="138">
          <cell r="D138"/>
          <cell r="F138">
            <v>863893.86585124861</v>
          </cell>
          <cell r="H138"/>
        </row>
        <row r="139">
          <cell r="D139">
            <v>1972819</v>
          </cell>
          <cell r="F139">
            <v>-1970763.906149708</v>
          </cell>
          <cell r="H139"/>
        </row>
        <row r="141">
          <cell r="D141"/>
          <cell r="F141">
            <v>94981.175144786641</v>
          </cell>
          <cell r="H141"/>
        </row>
        <row r="142">
          <cell r="D142"/>
          <cell r="F142">
            <v>82115.002866528986</v>
          </cell>
          <cell r="H142"/>
        </row>
        <row r="143">
          <cell r="D143"/>
          <cell r="F143">
            <v>133575.98127268106</v>
          </cell>
          <cell r="H143"/>
        </row>
        <row r="144">
          <cell r="D144">
            <v>156615</v>
          </cell>
          <cell r="F144">
            <v>-150259.3859676329</v>
          </cell>
          <cell r="H144"/>
        </row>
        <row r="146">
          <cell r="D146"/>
          <cell r="F146">
            <v>38400</v>
          </cell>
          <cell r="H146"/>
        </row>
        <row r="147">
          <cell r="D147"/>
          <cell r="F147">
            <v>0</v>
          </cell>
          <cell r="H147"/>
        </row>
        <row r="148">
          <cell r="D148"/>
          <cell r="F148">
            <v>0</v>
          </cell>
          <cell r="H148"/>
        </row>
        <row r="149">
          <cell r="D149"/>
          <cell r="F149">
            <v>0</v>
          </cell>
          <cell r="H149"/>
        </row>
        <row r="150">
          <cell r="D150">
            <v>38820</v>
          </cell>
          <cell r="F150">
            <v>-38400</v>
          </cell>
          <cell r="H150"/>
        </row>
        <row r="151">
          <cell r="D151">
            <v>155289</v>
          </cell>
          <cell r="F151">
            <v>-1457.66</v>
          </cell>
          <cell r="H151"/>
        </row>
        <row r="152">
          <cell r="D152">
            <v>3136</v>
          </cell>
          <cell r="F152">
            <v>0</v>
          </cell>
          <cell r="H152"/>
        </row>
        <row r="153">
          <cell r="D153">
            <v>0</v>
          </cell>
          <cell r="F153">
            <v>0</v>
          </cell>
          <cell r="H153"/>
        </row>
        <row r="154">
          <cell r="D154">
            <v>0</v>
          </cell>
          <cell r="F154">
            <v>0</v>
          </cell>
          <cell r="H154"/>
        </row>
        <row r="156">
          <cell r="D156"/>
          <cell r="F156"/>
          <cell r="H156"/>
        </row>
        <row r="157">
          <cell r="D157"/>
          <cell r="F157">
            <v>9332</v>
          </cell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0</v>
          </cell>
          <cell r="F160">
            <v>0</v>
          </cell>
          <cell r="H160"/>
        </row>
        <row r="161">
          <cell r="D161">
            <v>2678</v>
          </cell>
          <cell r="F161">
            <v>0</v>
          </cell>
          <cell r="H161"/>
        </row>
        <row r="175">
          <cell r="D175">
            <v>0</v>
          </cell>
          <cell r="F175">
            <v>0</v>
          </cell>
          <cell r="H175"/>
        </row>
        <row r="176">
          <cell r="D176">
            <v>0</v>
          </cell>
          <cell r="F176">
            <v>0</v>
          </cell>
          <cell r="H176"/>
        </row>
        <row r="177">
          <cell r="D177">
            <v>250868</v>
          </cell>
          <cell r="F177">
            <v>20427.886634574359</v>
          </cell>
          <cell r="H177"/>
        </row>
        <row r="178">
          <cell r="D178">
            <v>19528</v>
          </cell>
          <cell r="F178">
            <v>-27.45</v>
          </cell>
          <cell r="H178"/>
        </row>
        <row r="179">
          <cell r="D179">
            <v>31882</v>
          </cell>
          <cell r="F179">
            <v>2601.9436711858057</v>
          </cell>
          <cell r="H179"/>
        </row>
        <row r="180">
          <cell r="D180">
            <v>2788</v>
          </cell>
          <cell r="F180">
            <v>-8.8800000000000008</v>
          </cell>
          <cell r="H180"/>
        </row>
        <row r="181">
          <cell r="D181">
            <v>0</v>
          </cell>
          <cell r="F181">
            <v>0</v>
          </cell>
          <cell r="H181"/>
        </row>
        <row r="182">
          <cell r="D182">
            <v>0</v>
          </cell>
          <cell r="F182">
            <v>0</v>
          </cell>
          <cell r="H182"/>
        </row>
        <row r="183">
          <cell r="D183">
            <v>335111</v>
          </cell>
          <cell r="F183">
            <v>27266.839010267253</v>
          </cell>
          <cell r="H183"/>
        </row>
        <row r="184">
          <cell r="D184">
            <v>26674</v>
          </cell>
          <cell r="F184">
            <v>-17.38</v>
          </cell>
          <cell r="H184"/>
        </row>
        <row r="185">
          <cell r="D185">
            <v>0</v>
          </cell>
          <cell r="F185">
            <v>0</v>
          </cell>
          <cell r="H185"/>
        </row>
        <row r="186">
          <cell r="D186">
            <v>0</v>
          </cell>
          <cell r="F186">
            <v>0</v>
          </cell>
          <cell r="H186"/>
        </row>
        <row r="187">
          <cell r="D187">
            <v>0</v>
          </cell>
          <cell r="F187">
            <v>0</v>
          </cell>
          <cell r="H187"/>
        </row>
        <row r="188">
          <cell r="D188">
            <v>1780</v>
          </cell>
          <cell r="F188">
            <v>0</v>
          </cell>
          <cell r="H188"/>
        </row>
        <row r="189">
          <cell r="D189">
            <v>0</v>
          </cell>
          <cell r="F189">
            <v>0</v>
          </cell>
          <cell r="H189"/>
        </row>
        <row r="190">
          <cell r="D190">
            <v>0</v>
          </cell>
          <cell r="F190">
            <v>0</v>
          </cell>
          <cell r="H190"/>
        </row>
        <row r="191">
          <cell r="D191">
            <v>1184</v>
          </cell>
          <cell r="F191">
            <v>0</v>
          </cell>
          <cell r="H191"/>
        </row>
        <row r="192">
          <cell r="D192">
            <v>27678</v>
          </cell>
          <cell r="F192">
            <v>0</v>
          </cell>
          <cell r="H192"/>
        </row>
        <row r="193">
          <cell r="D193">
            <v>0</v>
          </cell>
          <cell r="F193">
            <v>0</v>
          </cell>
          <cell r="H193"/>
        </row>
        <row r="194">
          <cell r="D194">
            <v>0</v>
          </cell>
          <cell r="F194">
            <v>0</v>
          </cell>
          <cell r="H194"/>
        </row>
        <row r="195">
          <cell r="D195">
            <v>0</v>
          </cell>
          <cell r="F195">
            <v>0</v>
          </cell>
          <cell r="H195"/>
        </row>
        <row r="196">
          <cell r="D196">
            <v>0</v>
          </cell>
          <cell r="F196">
            <v>0</v>
          </cell>
          <cell r="H196"/>
        </row>
        <row r="197">
          <cell r="D197">
            <v>0</v>
          </cell>
          <cell r="F197">
            <v>0</v>
          </cell>
          <cell r="H197"/>
        </row>
        <row r="198">
          <cell r="D198">
            <v>0</v>
          </cell>
          <cell r="F198">
            <v>0</v>
          </cell>
          <cell r="H198"/>
        </row>
        <row r="199">
          <cell r="D199">
            <v>0</v>
          </cell>
          <cell r="F199">
            <v>0</v>
          </cell>
          <cell r="H199"/>
        </row>
        <row r="200">
          <cell r="D200">
            <v>0</v>
          </cell>
          <cell r="F200">
            <v>0</v>
          </cell>
          <cell r="H200"/>
        </row>
        <row r="201">
          <cell r="D201">
            <v>0</v>
          </cell>
          <cell r="F201">
            <v>0</v>
          </cell>
          <cell r="H201"/>
        </row>
        <row r="202">
          <cell r="D202">
            <v>0</v>
          </cell>
          <cell r="F202">
            <v>0</v>
          </cell>
          <cell r="H202"/>
        </row>
        <row r="203">
          <cell r="D203">
            <v>0</v>
          </cell>
          <cell r="F203">
            <v>0</v>
          </cell>
          <cell r="H203"/>
        </row>
        <row r="204">
          <cell r="D204">
            <v>0</v>
          </cell>
          <cell r="F204">
            <v>0</v>
          </cell>
          <cell r="H204"/>
        </row>
        <row r="205">
          <cell r="D205">
            <v>159166</v>
          </cell>
          <cell r="F205">
            <v>0</v>
          </cell>
          <cell r="H205"/>
        </row>
        <row r="206">
          <cell r="D206">
            <v>28624</v>
          </cell>
          <cell r="F206">
            <v>0</v>
          </cell>
          <cell r="H206"/>
        </row>
        <row r="207">
          <cell r="D207">
            <v>7418</v>
          </cell>
          <cell r="F207">
            <v>-50</v>
          </cell>
          <cell r="H207"/>
        </row>
        <row r="211">
          <cell r="D211">
            <v>142336</v>
          </cell>
          <cell r="F211">
            <v>-31254.162928638903</v>
          </cell>
          <cell r="H211"/>
        </row>
        <row r="212">
          <cell r="D212">
            <v>10724</v>
          </cell>
          <cell r="F212">
            <v>-2906.9432571428574</v>
          </cell>
          <cell r="H212"/>
        </row>
        <row r="213">
          <cell r="D213">
            <v>0</v>
          </cell>
          <cell r="F213">
            <v>0</v>
          </cell>
          <cell r="H213"/>
        </row>
        <row r="214">
          <cell r="D214">
            <v>0</v>
          </cell>
          <cell r="F214">
            <v>0</v>
          </cell>
          <cell r="H214"/>
        </row>
        <row r="215">
          <cell r="D215">
            <v>0</v>
          </cell>
          <cell r="F215">
            <v>0</v>
          </cell>
          <cell r="H215"/>
        </row>
        <row r="216">
          <cell r="D216">
            <v>32515</v>
          </cell>
          <cell r="F216">
            <v>0</v>
          </cell>
          <cell r="H216"/>
        </row>
        <row r="221">
          <cell r="D221">
            <v>6566449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C9">
            <v>12672</v>
          </cell>
          <cell r="D9"/>
          <cell r="E9">
            <v>4308</v>
          </cell>
          <cell r="F9">
            <v>550</v>
          </cell>
          <cell r="G9">
            <v>0</v>
          </cell>
          <cell r="H9">
            <v>4746</v>
          </cell>
          <cell r="I9">
            <v>1180</v>
          </cell>
          <cell r="J9">
            <v>6</v>
          </cell>
          <cell r="K9">
            <v>663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0.66095890410958902</v>
          </cell>
        </row>
        <row r="32">
          <cell r="N32">
            <v>0.34717808219178081</v>
          </cell>
        </row>
        <row r="34">
          <cell r="N34">
            <v>0.52526424870466326</v>
          </cell>
        </row>
      </sheetData>
      <sheetData sheetId="19"/>
      <sheetData sheetId="2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a"/>
      <sheetName val="Sch B-1b"/>
      <sheetName val="Sch C"/>
      <sheetName val="Sch C-1a"/>
      <sheetName val="Sch C-1b"/>
      <sheetName val="Sch C-1c"/>
      <sheetName val="Sch C-1d"/>
      <sheetName val="Sch C-1e"/>
      <sheetName val="Sch C-1f"/>
      <sheetName val="Sch C-1g"/>
      <sheetName val="Sch C-1h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793511</v>
          </cell>
          <cell r="G10">
            <v>-69795</v>
          </cell>
        </row>
        <row r="12">
          <cell r="E12">
            <v>0</v>
          </cell>
          <cell r="G12"/>
        </row>
        <row r="13">
          <cell r="E13">
            <v>16031</v>
          </cell>
          <cell r="G13">
            <v>-4002</v>
          </cell>
        </row>
        <row r="14">
          <cell r="E14"/>
          <cell r="G14">
            <v>8176</v>
          </cell>
        </row>
        <row r="15">
          <cell r="E15">
            <v>809542</v>
          </cell>
          <cell r="G15">
            <v>-65621</v>
          </cell>
        </row>
        <row r="20">
          <cell r="E20">
            <v>0</v>
          </cell>
          <cell r="G20">
            <v>0</v>
          </cell>
        </row>
        <row r="26">
          <cell r="E26">
            <v>2183228</v>
          </cell>
          <cell r="G26">
            <v>0</v>
          </cell>
        </row>
        <row r="32">
          <cell r="E32">
            <v>1367415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1773424</v>
          </cell>
          <cell r="G42">
            <v>104619</v>
          </cell>
        </row>
        <row r="47">
          <cell r="E47">
            <v>142791</v>
          </cell>
          <cell r="G47">
            <v>-3917.4485596708023</v>
          </cell>
        </row>
        <row r="52">
          <cell r="E52">
            <v>0</v>
          </cell>
          <cell r="G52">
            <v>3917.4485596707814</v>
          </cell>
        </row>
        <row r="57">
          <cell r="E57">
            <v>254048</v>
          </cell>
          <cell r="G57">
            <v>0</v>
          </cell>
        </row>
        <row r="72">
          <cell r="E72">
            <v>-317434</v>
          </cell>
          <cell r="G72">
            <v>278618</v>
          </cell>
        </row>
        <row r="90">
          <cell r="C90">
            <v>214.47946611909651</v>
          </cell>
          <cell r="E90">
            <v>250.3780487804878</v>
          </cell>
          <cell r="G90">
            <v>229.43079800498754</v>
          </cell>
          <cell r="I90">
            <v>232.83085633404104</v>
          </cell>
        </row>
      </sheetData>
      <sheetData sheetId="6"/>
      <sheetData sheetId="7"/>
      <sheetData sheetId="8">
        <row r="10">
          <cell r="D10">
            <v>133843</v>
          </cell>
          <cell r="F10">
            <v>-14886</v>
          </cell>
          <cell r="H10"/>
        </row>
        <row r="11">
          <cell r="D11">
            <v>0</v>
          </cell>
          <cell r="F11">
            <v>0</v>
          </cell>
          <cell r="H11"/>
        </row>
        <row r="12">
          <cell r="D12">
            <v>121888</v>
          </cell>
          <cell r="F12">
            <v>52823.278035620388</v>
          </cell>
          <cell r="H12"/>
        </row>
        <row r="13">
          <cell r="D13">
            <v>385793</v>
          </cell>
          <cell r="F13">
            <v>-357317.72997142898</v>
          </cell>
          <cell r="H13">
            <v>-7151</v>
          </cell>
        </row>
        <row r="14">
          <cell r="D14">
            <v>0</v>
          </cell>
          <cell r="F14">
            <v>0</v>
          </cell>
          <cell r="H14"/>
        </row>
        <row r="15">
          <cell r="D15">
            <v>0</v>
          </cell>
          <cell r="F15">
            <v>0</v>
          </cell>
          <cell r="H15">
            <v>266005</v>
          </cell>
        </row>
        <row r="16">
          <cell r="D16">
            <v>0</v>
          </cell>
          <cell r="F16">
            <v>0</v>
          </cell>
          <cell r="H16"/>
        </row>
        <row r="17">
          <cell r="D17">
            <v>0</v>
          </cell>
          <cell r="F17">
            <v>0</v>
          </cell>
          <cell r="H17"/>
        </row>
        <row r="18">
          <cell r="D18">
            <v>18449</v>
          </cell>
          <cell r="F18">
            <v>0</v>
          </cell>
          <cell r="H18"/>
        </row>
        <row r="19">
          <cell r="D19">
            <v>21705</v>
          </cell>
          <cell r="F19">
            <v>-1800</v>
          </cell>
          <cell r="H19"/>
        </row>
        <row r="20">
          <cell r="D20">
            <v>18016</v>
          </cell>
          <cell r="F20">
            <v>-105.34</v>
          </cell>
          <cell r="H20"/>
        </row>
        <row r="21">
          <cell r="D21">
            <v>1220</v>
          </cell>
          <cell r="F21">
            <v>0</v>
          </cell>
          <cell r="H21">
            <v>5055</v>
          </cell>
        </row>
        <row r="22">
          <cell r="D22">
            <v>0</v>
          </cell>
          <cell r="F22">
            <v>0</v>
          </cell>
          <cell r="H22"/>
        </row>
        <row r="23">
          <cell r="D23">
            <v>11339</v>
          </cell>
          <cell r="F23">
            <v>-2653.66</v>
          </cell>
          <cell r="H23"/>
        </row>
        <row r="24">
          <cell r="D24">
            <v>0</v>
          </cell>
          <cell r="F24">
            <v>0</v>
          </cell>
          <cell r="H24"/>
        </row>
        <row r="25">
          <cell r="D25">
            <v>0</v>
          </cell>
          <cell r="F25">
            <v>0</v>
          </cell>
          <cell r="H25"/>
        </row>
        <row r="26">
          <cell r="D26">
            <v>284174</v>
          </cell>
          <cell r="F26">
            <v>0</v>
          </cell>
          <cell r="H26"/>
        </row>
        <row r="27">
          <cell r="D27">
            <v>0</v>
          </cell>
          <cell r="F27">
            <v>0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0</v>
          </cell>
          <cell r="F29">
            <v>0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62252</v>
          </cell>
          <cell r="F31">
            <v>-45226</v>
          </cell>
          <cell r="H31">
            <v>-17026</v>
          </cell>
        </row>
        <row r="32">
          <cell r="D32">
            <v>83469</v>
          </cell>
          <cell r="F32">
            <v>-12359</v>
          </cell>
          <cell r="H32">
            <v>3744</v>
          </cell>
        </row>
        <row r="33">
          <cell r="D33">
            <v>67392</v>
          </cell>
          <cell r="F33">
            <v>-67392</v>
          </cell>
          <cell r="H33"/>
        </row>
        <row r="34">
          <cell r="D34">
            <v>3400</v>
          </cell>
          <cell r="F34">
            <v>0</v>
          </cell>
          <cell r="H34"/>
        </row>
        <row r="35">
          <cell r="D35">
            <v>45</v>
          </cell>
          <cell r="F35">
            <v>-45</v>
          </cell>
          <cell r="H35"/>
        </row>
        <row r="36">
          <cell r="D36">
            <v>0</v>
          </cell>
          <cell r="F36">
            <v>40852.612778571427</v>
          </cell>
          <cell r="H36"/>
        </row>
        <row r="37">
          <cell r="D37">
            <v>0</v>
          </cell>
          <cell r="F37">
            <v>7083.7193024918251</v>
          </cell>
          <cell r="H37"/>
        </row>
        <row r="38">
          <cell r="D38">
            <v>0</v>
          </cell>
          <cell r="F38">
            <v>0</v>
          </cell>
          <cell r="H38"/>
        </row>
        <row r="39">
          <cell r="D39">
            <v>5230</v>
          </cell>
          <cell r="F39">
            <v>0</v>
          </cell>
          <cell r="H39"/>
        </row>
        <row r="40">
          <cell r="D40">
            <v>102052</v>
          </cell>
          <cell r="F40">
            <v>-102052</v>
          </cell>
          <cell r="H40"/>
        </row>
        <row r="41">
          <cell r="D41">
            <v>19</v>
          </cell>
          <cell r="F41">
            <v>0</v>
          </cell>
          <cell r="H41"/>
        </row>
        <row r="42">
          <cell r="D42">
            <v>13883</v>
          </cell>
          <cell r="F42">
            <v>0</v>
          </cell>
          <cell r="H42"/>
        </row>
        <row r="43">
          <cell r="D43">
            <v>21884</v>
          </cell>
          <cell r="F43">
            <v>0</v>
          </cell>
          <cell r="H43"/>
        </row>
        <row r="44">
          <cell r="D44">
            <v>90</v>
          </cell>
          <cell r="F44">
            <v>0</v>
          </cell>
          <cell r="H44"/>
        </row>
        <row r="45">
          <cell r="D45">
            <v>68918</v>
          </cell>
          <cell r="F45">
            <v>-10639</v>
          </cell>
          <cell r="H45"/>
        </row>
        <row r="57">
          <cell r="D57">
            <v>533908</v>
          </cell>
          <cell r="F57">
            <v>0</v>
          </cell>
          <cell r="H57">
            <v>-533908</v>
          </cell>
        </row>
        <row r="58">
          <cell r="D58">
            <v>0</v>
          </cell>
          <cell r="F58">
            <v>0</v>
          </cell>
          <cell r="H58">
            <v>244471</v>
          </cell>
        </row>
        <row r="59">
          <cell r="D59">
            <v>0</v>
          </cell>
          <cell r="F59">
            <v>0</v>
          </cell>
          <cell r="H59"/>
        </row>
        <row r="60">
          <cell r="D60">
            <v>86092</v>
          </cell>
          <cell r="F60">
            <v>0</v>
          </cell>
          <cell r="H60">
            <v>4699</v>
          </cell>
        </row>
        <row r="61">
          <cell r="D61">
            <v>19238</v>
          </cell>
          <cell r="F61">
            <v>0</v>
          </cell>
          <cell r="H61">
            <v>38021</v>
          </cell>
        </row>
        <row r="62">
          <cell r="D62">
            <v>0</v>
          </cell>
          <cell r="F62">
            <v>0</v>
          </cell>
          <cell r="H62"/>
        </row>
        <row r="63">
          <cell r="D63">
            <v>0</v>
          </cell>
          <cell r="F63">
            <v>0</v>
          </cell>
          <cell r="H63"/>
        </row>
        <row r="64">
          <cell r="D64">
            <v>0</v>
          </cell>
          <cell r="F64">
            <v>0</v>
          </cell>
          <cell r="H64"/>
        </row>
        <row r="65">
          <cell r="D65">
            <v>1476</v>
          </cell>
          <cell r="F65">
            <v>0</v>
          </cell>
          <cell r="H65">
            <v>1376</v>
          </cell>
        </row>
        <row r="66">
          <cell r="D66">
            <v>8724</v>
          </cell>
          <cell r="F66">
            <v>0</v>
          </cell>
          <cell r="H66"/>
        </row>
        <row r="67">
          <cell r="D67">
            <v>275</v>
          </cell>
          <cell r="F67">
            <v>0</v>
          </cell>
          <cell r="H67">
            <v>73749</v>
          </cell>
        </row>
        <row r="68">
          <cell r="D68">
            <v>19</v>
          </cell>
          <cell r="F68">
            <v>-86</v>
          </cell>
          <cell r="H68">
            <v>152688</v>
          </cell>
        </row>
        <row r="69">
          <cell r="D69">
            <v>438</v>
          </cell>
          <cell r="F69">
            <v>0</v>
          </cell>
          <cell r="H69">
            <v>6820</v>
          </cell>
        </row>
        <row r="70">
          <cell r="D70">
            <v>0</v>
          </cell>
          <cell r="F70">
            <v>0</v>
          </cell>
          <cell r="H70"/>
        </row>
        <row r="71">
          <cell r="D71">
            <v>0</v>
          </cell>
          <cell r="F71">
            <v>0</v>
          </cell>
          <cell r="H71"/>
        </row>
        <row r="75">
          <cell r="D75">
            <v>79871</v>
          </cell>
          <cell r="F75">
            <v>8001.7905682824348</v>
          </cell>
          <cell r="H75"/>
        </row>
        <row r="76">
          <cell r="D76">
            <v>5951</v>
          </cell>
          <cell r="F76">
            <v>0</v>
          </cell>
          <cell r="H76"/>
        </row>
        <row r="77">
          <cell r="D77">
            <v>7164</v>
          </cell>
          <cell r="F77">
            <v>0</v>
          </cell>
          <cell r="H77">
            <v>12252</v>
          </cell>
        </row>
        <row r="78">
          <cell r="D78">
            <v>0</v>
          </cell>
          <cell r="F78">
            <v>0</v>
          </cell>
          <cell r="H78"/>
        </row>
        <row r="79">
          <cell r="D79">
            <v>8077</v>
          </cell>
          <cell r="F79">
            <v>0</v>
          </cell>
          <cell r="H79"/>
        </row>
        <row r="80">
          <cell r="D80">
            <v>0</v>
          </cell>
          <cell r="F80">
            <v>0</v>
          </cell>
          <cell r="H80"/>
        </row>
        <row r="81">
          <cell r="D81">
            <v>0</v>
          </cell>
          <cell r="F81">
            <v>0</v>
          </cell>
          <cell r="H81"/>
        </row>
        <row r="82">
          <cell r="D82">
            <v>31492</v>
          </cell>
          <cell r="F82">
            <v>0</v>
          </cell>
          <cell r="H82"/>
        </row>
        <row r="83">
          <cell r="D83">
            <v>6683</v>
          </cell>
          <cell r="F83">
            <v>-654</v>
          </cell>
          <cell r="H83"/>
        </row>
        <row r="84">
          <cell r="D84">
            <v>113183</v>
          </cell>
          <cell r="F84">
            <v>0</v>
          </cell>
          <cell r="H84"/>
        </row>
        <row r="85">
          <cell r="D85">
            <v>47267</v>
          </cell>
          <cell r="F85">
            <v>0</v>
          </cell>
          <cell r="H85"/>
        </row>
        <row r="89">
          <cell r="D89">
            <v>198241</v>
          </cell>
          <cell r="F89">
            <v>19881.894773522268</v>
          </cell>
          <cell r="H89"/>
        </row>
        <row r="90">
          <cell r="D90">
            <v>16185</v>
          </cell>
          <cell r="F90">
            <v>-19.39</v>
          </cell>
          <cell r="H90"/>
        </row>
        <row r="91">
          <cell r="D91">
            <v>19700</v>
          </cell>
          <cell r="F91">
            <v>0</v>
          </cell>
          <cell r="H91"/>
        </row>
        <row r="92">
          <cell r="D92">
            <v>136748</v>
          </cell>
          <cell r="F92">
            <v>-2932.1000000000004</v>
          </cell>
          <cell r="H92"/>
        </row>
        <row r="93">
          <cell r="D93">
            <v>16953</v>
          </cell>
          <cell r="F93">
            <v>-231.48</v>
          </cell>
          <cell r="H93"/>
        </row>
        <row r="94">
          <cell r="D94">
            <v>3263</v>
          </cell>
          <cell r="F94">
            <v>0</v>
          </cell>
          <cell r="H94"/>
        </row>
        <row r="98">
          <cell r="D98">
            <v>43183</v>
          </cell>
          <cell r="F98">
            <v>4326.2425925572534</v>
          </cell>
          <cell r="H98"/>
        </row>
        <row r="99">
          <cell r="D99">
            <v>3882</v>
          </cell>
          <cell r="F99">
            <v>0</v>
          </cell>
          <cell r="H99"/>
        </row>
        <row r="100">
          <cell r="D100">
            <v>4433</v>
          </cell>
          <cell r="F100">
            <v>-114.17</v>
          </cell>
          <cell r="H100"/>
        </row>
        <row r="101">
          <cell r="D101">
            <v>0</v>
          </cell>
          <cell r="F101">
            <v>0</v>
          </cell>
          <cell r="H101"/>
        </row>
        <row r="102">
          <cell r="D102">
            <v>8273</v>
          </cell>
          <cell r="F102">
            <v>0</v>
          </cell>
          <cell r="H102"/>
        </row>
        <row r="103">
          <cell r="D103">
            <v>122</v>
          </cell>
          <cell r="F103">
            <v>0</v>
          </cell>
          <cell r="H103"/>
        </row>
        <row r="115">
          <cell r="D115">
            <v>111950</v>
          </cell>
          <cell r="F115">
            <v>11214.188241680493</v>
          </cell>
          <cell r="H115"/>
        </row>
        <row r="116">
          <cell r="D116">
            <v>8865</v>
          </cell>
          <cell r="F116">
            <v>0</v>
          </cell>
          <cell r="H116"/>
        </row>
        <row r="117">
          <cell r="D117">
            <v>15720</v>
          </cell>
          <cell r="F117">
            <v>-147.12</v>
          </cell>
          <cell r="H117"/>
        </row>
        <row r="118">
          <cell r="D118">
            <v>0</v>
          </cell>
          <cell r="F118">
            <v>0</v>
          </cell>
          <cell r="H118"/>
        </row>
        <row r="119">
          <cell r="D119">
            <v>2428</v>
          </cell>
          <cell r="F119">
            <v>0</v>
          </cell>
          <cell r="H119"/>
        </row>
        <row r="124">
          <cell r="D124"/>
          <cell r="F124"/>
          <cell r="H124"/>
        </row>
        <row r="125">
          <cell r="D125"/>
          <cell r="F125">
            <v>318567.34323335404</v>
          </cell>
          <cell r="H125"/>
        </row>
        <row r="126">
          <cell r="D126"/>
          <cell r="F126">
            <v>68566.65676664593</v>
          </cell>
          <cell r="H126"/>
        </row>
        <row r="127">
          <cell r="D127"/>
          <cell r="F127">
            <v>0</v>
          </cell>
          <cell r="H127"/>
        </row>
        <row r="128">
          <cell r="D128">
            <v>493325</v>
          </cell>
          <cell r="F128">
            <v>-387134</v>
          </cell>
          <cell r="H128"/>
        </row>
        <row r="130">
          <cell r="D130"/>
          <cell r="F130"/>
          <cell r="H130"/>
        </row>
        <row r="131">
          <cell r="D131"/>
          <cell r="F131">
            <v>53972.879289880002</v>
          </cell>
          <cell r="H131"/>
        </row>
        <row r="132">
          <cell r="D132"/>
          <cell r="F132">
            <v>11594.60477391028</v>
          </cell>
          <cell r="H132"/>
        </row>
        <row r="133">
          <cell r="D133"/>
          <cell r="F133">
            <v>-103.22</v>
          </cell>
          <cell r="H133"/>
        </row>
        <row r="134">
          <cell r="D134">
            <v>34818</v>
          </cell>
          <cell r="F134">
            <v>-16051.368428635174</v>
          </cell>
          <cell r="H134"/>
        </row>
        <row r="136">
          <cell r="D136"/>
          <cell r="F136">
            <v>645923.24450613477</v>
          </cell>
          <cell r="H136"/>
        </row>
        <row r="137">
          <cell r="D137"/>
          <cell r="F137">
            <v>500926.80637055694</v>
          </cell>
          <cell r="H137"/>
        </row>
        <row r="138">
          <cell r="D138"/>
          <cell r="F138">
            <v>899719.6303267976</v>
          </cell>
          <cell r="H138"/>
        </row>
        <row r="139">
          <cell r="D139">
            <v>2054632</v>
          </cell>
          <cell r="F139">
            <v>-2052491.6812034894</v>
          </cell>
          <cell r="H139"/>
        </row>
        <row r="141">
          <cell r="D141"/>
          <cell r="F141">
            <v>128697.99726766367</v>
          </cell>
          <cell r="H141"/>
        </row>
        <row r="142">
          <cell r="D142"/>
          <cell r="F142">
            <v>79909.526321944693</v>
          </cell>
          <cell r="H142"/>
        </row>
        <row r="143">
          <cell r="D143"/>
          <cell r="F143">
            <v>152368.6180604134</v>
          </cell>
          <cell r="H143"/>
        </row>
        <row r="144">
          <cell r="D144">
            <v>161724</v>
          </cell>
          <cell r="F144">
            <v>-155137.32408175926</v>
          </cell>
          <cell r="H144"/>
        </row>
        <row r="146">
          <cell r="D146"/>
          <cell r="F146">
            <v>43000</v>
          </cell>
          <cell r="H146"/>
        </row>
        <row r="147">
          <cell r="D147"/>
          <cell r="F147">
            <v>937</v>
          </cell>
          <cell r="H147"/>
        </row>
        <row r="148">
          <cell r="D148"/>
          <cell r="F148">
            <v>0</v>
          </cell>
          <cell r="H148"/>
        </row>
        <row r="149">
          <cell r="D149"/>
          <cell r="F149">
            <v>0</v>
          </cell>
          <cell r="H149"/>
        </row>
        <row r="150">
          <cell r="D150">
            <v>44327</v>
          </cell>
          <cell r="F150">
            <v>-43937</v>
          </cell>
          <cell r="H150"/>
        </row>
        <row r="151">
          <cell r="D151">
            <v>227244</v>
          </cell>
          <cell r="F151">
            <v>-836.53</v>
          </cell>
          <cell r="H151"/>
        </row>
        <row r="152">
          <cell r="D152">
            <v>8275</v>
          </cell>
          <cell r="F152">
            <v>0</v>
          </cell>
          <cell r="H152"/>
        </row>
        <row r="153">
          <cell r="D153">
            <v>0</v>
          </cell>
          <cell r="F153">
            <v>0</v>
          </cell>
          <cell r="H153"/>
        </row>
        <row r="154">
          <cell r="D154">
            <v>5275</v>
          </cell>
          <cell r="F154">
            <v>0</v>
          </cell>
          <cell r="H154"/>
        </row>
        <row r="156">
          <cell r="D156"/>
          <cell r="F156"/>
          <cell r="H156"/>
        </row>
        <row r="157">
          <cell r="D157"/>
          <cell r="F157">
            <v>5922</v>
          </cell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0</v>
          </cell>
          <cell r="F160">
            <v>-5900</v>
          </cell>
          <cell r="H160"/>
        </row>
        <row r="161">
          <cell r="D161">
            <v>11939</v>
          </cell>
          <cell r="F161">
            <v>-208</v>
          </cell>
          <cell r="H161"/>
        </row>
        <row r="175">
          <cell r="D175">
            <v>0</v>
          </cell>
          <cell r="F175">
            <v>0</v>
          </cell>
          <cell r="H175"/>
        </row>
        <row r="176">
          <cell r="D176">
            <v>0</v>
          </cell>
          <cell r="F176">
            <v>0</v>
          </cell>
          <cell r="H176"/>
        </row>
        <row r="177">
          <cell r="D177">
            <v>322060</v>
          </cell>
          <cell r="F177">
            <v>32298.032556345628</v>
          </cell>
          <cell r="H177"/>
        </row>
        <row r="178">
          <cell r="D178">
            <v>25863</v>
          </cell>
          <cell r="F178">
            <v>-29.81</v>
          </cell>
          <cell r="H178"/>
        </row>
        <row r="179">
          <cell r="D179">
            <v>59557</v>
          </cell>
          <cell r="F179">
            <v>5956.8846076166637</v>
          </cell>
          <cell r="H179"/>
        </row>
        <row r="180">
          <cell r="D180">
            <v>4578</v>
          </cell>
          <cell r="F180">
            <v>8.8800000000000008</v>
          </cell>
          <cell r="H180"/>
        </row>
        <row r="181">
          <cell r="D181">
            <v>0</v>
          </cell>
          <cell r="F181">
            <v>0</v>
          </cell>
          <cell r="H181"/>
        </row>
        <row r="182">
          <cell r="D182">
            <v>0</v>
          </cell>
          <cell r="F182">
            <v>0</v>
          </cell>
          <cell r="H182"/>
        </row>
        <row r="183">
          <cell r="D183">
            <v>376236</v>
          </cell>
          <cell r="F183">
            <v>37673.679397381195</v>
          </cell>
          <cell r="H183"/>
        </row>
        <row r="184">
          <cell r="D184">
            <v>28395</v>
          </cell>
          <cell r="F184">
            <v>17.38</v>
          </cell>
          <cell r="H184"/>
        </row>
        <row r="185">
          <cell r="D185">
            <v>0</v>
          </cell>
          <cell r="F185">
            <v>0</v>
          </cell>
          <cell r="H185"/>
        </row>
        <row r="186">
          <cell r="D186">
            <v>0</v>
          </cell>
          <cell r="F186">
            <v>0</v>
          </cell>
          <cell r="H186"/>
        </row>
        <row r="187">
          <cell r="D187">
            <v>0</v>
          </cell>
          <cell r="F187">
            <v>0</v>
          </cell>
          <cell r="H187"/>
        </row>
        <row r="188">
          <cell r="D188">
            <v>2210</v>
          </cell>
          <cell r="F188">
            <v>0</v>
          </cell>
          <cell r="H188"/>
        </row>
        <row r="189">
          <cell r="D189">
            <v>0</v>
          </cell>
          <cell r="F189">
            <v>0</v>
          </cell>
          <cell r="H189"/>
        </row>
        <row r="190">
          <cell r="D190">
            <v>0</v>
          </cell>
          <cell r="F190">
            <v>0</v>
          </cell>
          <cell r="H190"/>
        </row>
        <row r="191">
          <cell r="D191">
            <v>1125</v>
          </cell>
          <cell r="F191">
            <v>0</v>
          </cell>
          <cell r="H191"/>
        </row>
        <row r="192">
          <cell r="D192">
            <v>48801</v>
          </cell>
          <cell r="F192">
            <v>0</v>
          </cell>
          <cell r="H192"/>
        </row>
        <row r="193">
          <cell r="D193">
            <v>-248</v>
          </cell>
          <cell r="F193">
            <v>0</v>
          </cell>
          <cell r="H193"/>
        </row>
        <row r="194">
          <cell r="D194">
            <v>0</v>
          </cell>
          <cell r="F194">
            <v>0</v>
          </cell>
          <cell r="H194"/>
        </row>
        <row r="195">
          <cell r="D195">
            <v>0</v>
          </cell>
          <cell r="F195">
            <v>0</v>
          </cell>
          <cell r="H195"/>
        </row>
        <row r="196">
          <cell r="D196">
            <v>0</v>
          </cell>
          <cell r="F196">
            <v>0</v>
          </cell>
          <cell r="H196"/>
        </row>
        <row r="197">
          <cell r="D197">
            <v>0</v>
          </cell>
          <cell r="F197">
            <v>0</v>
          </cell>
          <cell r="H197"/>
        </row>
        <row r="198">
          <cell r="D198">
            <v>0</v>
          </cell>
          <cell r="F198">
            <v>0</v>
          </cell>
          <cell r="H198"/>
        </row>
        <row r="199">
          <cell r="D199">
            <v>0</v>
          </cell>
          <cell r="F199">
            <v>0</v>
          </cell>
          <cell r="H199"/>
        </row>
        <row r="200">
          <cell r="D200">
            <v>0</v>
          </cell>
          <cell r="F200">
            <v>0</v>
          </cell>
          <cell r="H200"/>
        </row>
        <row r="201">
          <cell r="D201">
            <v>0</v>
          </cell>
          <cell r="F201">
            <v>0</v>
          </cell>
          <cell r="H201"/>
        </row>
        <row r="202">
          <cell r="D202">
            <v>0</v>
          </cell>
          <cell r="F202">
            <v>0</v>
          </cell>
          <cell r="H202"/>
        </row>
        <row r="203">
          <cell r="D203">
            <v>0</v>
          </cell>
          <cell r="F203">
            <v>0</v>
          </cell>
          <cell r="H203"/>
        </row>
        <row r="204">
          <cell r="D204">
            <v>0</v>
          </cell>
          <cell r="F204">
            <v>0</v>
          </cell>
          <cell r="H204"/>
        </row>
        <row r="205">
          <cell r="D205">
            <v>262219</v>
          </cell>
          <cell r="F205">
            <v>0</v>
          </cell>
          <cell r="H205"/>
        </row>
        <row r="206">
          <cell r="D206">
            <v>14600</v>
          </cell>
          <cell r="F206">
            <v>0</v>
          </cell>
          <cell r="H206"/>
        </row>
        <row r="207">
          <cell r="D207">
            <v>4346</v>
          </cell>
          <cell r="F207">
            <v>0</v>
          </cell>
          <cell r="H207"/>
        </row>
        <row r="211">
          <cell r="D211">
            <v>188571</v>
          </cell>
          <cell r="F211">
            <v>-27173.321221388847</v>
          </cell>
          <cell r="H211"/>
        </row>
        <row r="212">
          <cell r="D212">
            <v>14758</v>
          </cell>
          <cell r="F212">
            <v>-3073.0544571428572</v>
          </cell>
          <cell r="H212"/>
        </row>
        <row r="213">
          <cell r="D213">
            <v>-710</v>
          </cell>
          <cell r="F213">
            <v>0</v>
          </cell>
          <cell r="H213"/>
        </row>
        <row r="214">
          <cell r="D214">
            <v>0</v>
          </cell>
          <cell r="F214">
            <v>0</v>
          </cell>
          <cell r="H214"/>
        </row>
        <row r="215">
          <cell r="D215">
            <v>0</v>
          </cell>
          <cell r="F215">
            <v>0</v>
          </cell>
          <cell r="H215"/>
        </row>
        <row r="216">
          <cell r="D216">
            <v>15712</v>
          </cell>
          <cell r="F216">
            <v>0</v>
          </cell>
          <cell r="H216"/>
        </row>
        <row r="221">
          <cell r="D221">
            <v>7374497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C9">
            <v>4142</v>
          </cell>
          <cell r="D9"/>
          <cell r="E9">
            <v>4150</v>
          </cell>
          <cell r="F9">
            <v>3481</v>
          </cell>
          <cell r="G9">
            <v>0</v>
          </cell>
          <cell r="H9">
            <v>8153</v>
          </cell>
          <cell r="I9">
            <v>709</v>
          </cell>
          <cell r="J9">
            <v>20</v>
          </cell>
          <cell r="K9">
            <v>618</v>
          </cell>
        </row>
        <row r="22">
          <cell r="N22">
            <v>120</v>
          </cell>
        </row>
        <row r="24">
          <cell r="N24">
            <v>14</v>
          </cell>
        </row>
        <row r="28">
          <cell r="N28">
            <v>43800</v>
          </cell>
        </row>
        <row r="30">
          <cell r="N30">
            <v>0.48568493150684933</v>
          </cell>
        </row>
        <row r="32">
          <cell r="N32">
            <v>9.4566210045662097E-2</v>
          </cell>
        </row>
        <row r="34">
          <cell r="N34">
            <v>0.19470690546702391</v>
          </cell>
        </row>
      </sheetData>
      <sheetData sheetId="19"/>
      <sheetData sheetId="2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2386307</v>
          </cell>
          <cell r="G10">
            <v>0</v>
          </cell>
        </row>
        <row r="12">
          <cell r="E12">
            <v>998267</v>
          </cell>
          <cell r="G12">
            <v>453596</v>
          </cell>
        </row>
        <row r="13">
          <cell r="E13">
            <v>0</v>
          </cell>
          <cell r="G13"/>
        </row>
        <row r="14">
          <cell r="E14">
            <v>31701</v>
          </cell>
          <cell r="G14"/>
        </row>
        <row r="15">
          <cell r="E15">
            <v>3416275</v>
          </cell>
          <cell r="G15">
            <v>453596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52930</v>
          </cell>
          <cell r="G42">
            <v>0</v>
          </cell>
        </row>
        <row r="47">
          <cell r="E47">
            <v>233944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1707</v>
          </cell>
          <cell r="G72">
            <v>0</v>
          </cell>
        </row>
        <row r="90">
          <cell r="C90">
            <v>0</v>
          </cell>
          <cell r="E90">
            <v>131.5979381443299</v>
          </cell>
          <cell r="G90">
            <v>187.30337078651687</v>
          </cell>
          <cell r="I90" t="str">
            <v/>
          </cell>
        </row>
      </sheetData>
      <sheetData sheetId="6"/>
      <sheetData sheetId="7">
        <row r="10">
          <cell r="D10">
            <v>178640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20501</v>
          </cell>
          <cell r="F12">
            <v>0</v>
          </cell>
          <cell r="H12">
            <v>0</v>
          </cell>
        </row>
        <row r="13">
          <cell r="D13">
            <v>73376</v>
          </cell>
          <cell r="F13">
            <v>-49629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903861</v>
          </cell>
          <cell r="F15">
            <v>0</v>
          </cell>
          <cell r="H15">
            <v>-903861</v>
          </cell>
        </row>
        <row r="16">
          <cell r="D16">
            <v>64050</v>
          </cell>
          <cell r="F16">
            <v>0</v>
          </cell>
          <cell r="H16">
            <v>29723</v>
          </cell>
        </row>
        <row r="17">
          <cell r="D17">
            <v>259</v>
          </cell>
          <cell r="F17">
            <v>-259</v>
          </cell>
          <cell r="H17">
            <v>0</v>
          </cell>
        </row>
        <row r="18">
          <cell r="D18">
            <v>7870</v>
          </cell>
          <cell r="F18">
            <v>0</v>
          </cell>
          <cell r="H18">
            <v>0</v>
          </cell>
        </row>
        <row r="19">
          <cell r="D19">
            <v>23493</v>
          </cell>
          <cell r="F19">
            <v>0</v>
          </cell>
          <cell r="H19">
            <v>0</v>
          </cell>
        </row>
        <row r="20">
          <cell r="D20">
            <v>17975</v>
          </cell>
          <cell r="F20">
            <v>0</v>
          </cell>
          <cell r="H20">
            <v>0</v>
          </cell>
        </row>
        <row r="21">
          <cell r="D21">
            <v>14147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18497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274544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40424</v>
          </cell>
          <cell r="F29">
            <v>-40424</v>
          </cell>
          <cell r="H29">
            <v>0</v>
          </cell>
        </row>
        <row r="30">
          <cell r="D30">
            <v>3060</v>
          </cell>
          <cell r="F30">
            <v>-3060</v>
          </cell>
          <cell r="H30">
            <v>0</v>
          </cell>
        </row>
        <row r="31">
          <cell r="D31">
            <v>16871</v>
          </cell>
          <cell r="F31">
            <v>2451</v>
          </cell>
          <cell r="H31">
            <v>0</v>
          </cell>
        </row>
        <row r="32">
          <cell r="D32">
            <v>19456</v>
          </cell>
          <cell r="F32">
            <v>12811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2756</v>
          </cell>
          <cell r="F39">
            <v>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9613</v>
          </cell>
          <cell r="F41">
            <v>0</v>
          </cell>
          <cell r="H41">
            <v>0</v>
          </cell>
        </row>
        <row r="42">
          <cell r="D42">
            <v>159</v>
          </cell>
          <cell r="F42">
            <v>0</v>
          </cell>
          <cell r="H42">
            <v>0</v>
          </cell>
        </row>
        <row r="43">
          <cell r="D43">
            <v>6820</v>
          </cell>
          <cell r="F43">
            <v>-6820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-70011</v>
          </cell>
          <cell r="F45">
            <v>82430</v>
          </cell>
          <cell r="H45">
            <v>0</v>
          </cell>
        </row>
        <row r="57">
          <cell r="D57">
            <v>364632</v>
          </cell>
          <cell r="F57">
            <v>0</v>
          </cell>
          <cell r="H57">
            <v>-364632</v>
          </cell>
        </row>
        <row r="58">
          <cell r="D58">
            <v>0</v>
          </cell>
          <cell r="F58">
            <v>0</v>
          </cell>
          <cell r="H58">
            <v>35773</v>
          </cell>
        </row>
        <row r="59">
          <cell r="D59">
            <v>0</v>
          </cell>
          <cell r="F59">
            <v>0</v>
          </cell>
          <cell r="H59">
            <v>72106</v>
          </cell>
        </row>
        <row r="60">
          <cell r="D60">
            <v>10691</v>
          </cell>
          <cell r="F60">
            <v>-1374</v>
          </cell>
          <cell r="H60">
            <v>0</v>
          </cell>
        </row>
        <row r="61">
          <cell r="D61">
            <v>0</v>
          </cell>
          <cell r="F61">
            <v>5431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12267</v>
          </cell>
          <cell r="F65">
            <v>-8451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0</v>
          </cell>
          <cell r="F67">
            <v>5146</v>
          </cell>
          <cell r="H67">
            <v>7090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1374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50565</v>
          </cell>
          <cell r="F75">
            <v>0</v>
          </cell>
          <cell r="H75">
            <v>0</v>
          </cell>
        </row>
        <row r="76">
          <cell r="D76">
            <v>4069</v>
          </cell>
          <cell r="F76">
            <v>2905</v>
          </cell>
          <cell r="H76">
            <v>0</v>
          </cell>
        </row>
        <row r="77">
          <cell r="D77">
            <v>9032</v>
          </cell>
          <cell r="F77">
            <v>0</v>
          </cell>
          <cell r="H77">
            <v>0</v>
          </cell>
        </row>
        <row r="78">
          <cell r="D78">
            <v>0</v>
          </cell>
          <cell r="F78">
            <v>0</v>
          </cell>
          <cell r="H78">
            <v>0</v>
          </cell>
        </row>
        <row r="79">
          <cell r="D79">
            <v>0</v>
          </cell>
          <cell r="F79">
            <v>0</v>
          </cell>
          <cell r="H79">
            <v>0</v>
          </cell>
        </row>
        <row r="80">
          <cell r="D80">
            <v>9487</v>
          </cell>
          <cell r="F80">
            <v>-1620</v>
          </cell>
          <cell r="H80">
            <v>0</v>
          </cell>
        </row>
        <row r="81">
          <cell r="D81">
            <v>23103</v>
          </cell>
          <cell r="F81">
            <v>-22205</v>
          </cell>
          <cell r="H81">
            <v>0</v>
          </cell>
        </row>
        <row r="82">
          <cell r="D82">
            <v>11221</v>
          </cell>
          <cell r="F82">
            <v>0</v>
          </cell>
          <cell r="H82">
            <v>0</v>
          </cell>
        </row>
        <row r="83">
          <cell r="D83">
            <v>214</v>
          </cell>
          <cell r="F83">
            <v>0</v>
          </cell>
          <cell r="H83">
            <v>0</v>
          </cell>
        </row>
        <row r="84">
          <cell r="D84">
            <v>28289</v>
          </cell>
          <cell r="F84">
            <v>0</v>
          </cell>
          <cell r="H84">
            <v>0</v>
          </cell>
        </row>
        <row r="85">
          <cell r="D85">
            <v>2949</v>
          </cell>
          <cell r="F85">
            <v>0</v>
          </cell>
          <cell r="H85">
            <v>0</v>
          </cell>
        </row>
        <row r="89">
          <cell r="D89">
            <v>90987</v>
          </cell>
          <cell r="F89">
            <v>0</v>
          </cell>
          <cell r="H89">
            <v>0</v>
          </cell>
        </row>
        <row r="90">
          <cell r="D90">
            <v>7445</v>
          </cell>
          <cell r="F90">
            <v>5228</v>
          </cell>
          <cell r="H90">
            <v>0</v>
          </cell>
        </row>
        <row r="91">
          <cell r="D91">
            <v>10801</v>
          </cell>
          <cell r="F91">
            <v>0</v>
          </cell>
          <cell r="H91">
            <v>0</v>
          </cell>
        </row>
        <row r="92">
          <cell r="D92">
            <v>68990</v>
          </cell>
          <cell r="F92">
            <v>0</v>
          </cell>
          <cell r="H92">
            <v>0</v>
          </cell>
        </row>
        <row r="93">
          <cell r="D93">
            <v>8116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0</v>
          </cell>
          <cell r="F98">
            <v>0</v>
          </cell>
          <cell r="H98">
            <v>0</v>
          </cell>
        </row>
        <row r="99">
          <cell r="D99">
            <v>0</v>
          </cell>
          <cell r="F99">
            <v>0</v>
          </cell>
          <cell r="H99">
            <v>0</v>
          </cell>
        </row>
        <row r="100">
          <cell r="D100">
            <v>3195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349</v>
          </cell>
          <cell r="F102">
            <v>0</v>
          </cell>
          <cell r="H102">
            <v>0</v>
          </cell>
        </row>
        <row r="103">
          <cell r="D103">
            <v>31</v>
          </cell>
          <cell r="F103">
            <v>0</v>
          </cell>
          <cell r="H103">
            <v>0</v>
          </cell>
        </row>
        <row r="115">
          <cell r="D115">
            <v>52422</v>
          </cell>
          <cell r="F115">
            <v>0</v>
          </cell>
          <cell r="H115">
            <v>0</v>
          </cell>
        </row>
        <row r="116">
          <cell r="D116">
            <v>4451</v>
          </cell>
          <cell r="F116">
            <v>3012</v>
          </cell>
          <cell r="H116">
            <v>0</v>
          </cell>
        </row>
        <row r="117">
          <cell r="D117">
            <v>9940</v>
          </cell>
          <cell r="F117">
            <v>0</v>
          </cell>
          <cell r="H117">
            <v>0</v>
          </cell>
        </row>
        <row r="118">
          <cell r="D118">
            <v>2500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122917</v>
          </cell>
          <cell r="F125">
            <v>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0</v>
          </cell>
          <cell r="F128">
            <v>0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16912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0</v>
          </cell>
          <cell r="H134">
            <v>0</v>
          </cell>
        </row>
        <row r="136">
          <cell r="D136">
            <v>145352</v>
          </cell>
          <cell r="F136">
            <v>-8115</v>
          </cell>
          <cell r="H136">
            <v>0</v>
          </cell>
        </row>
        <row r="137">
          <cell r="D137">
            <v>98412</v>
          </cell>
          <cell r="F137">
            <v>8115</v>
          </cell>
          <cell r="H137">
            <v>0</v>
          </cell>
        </row>
        <row r="138">
          <cell r="D138">
            <v>237298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29385</v>
          </cell>
          <cell r="F141">
            <v>-10502</v>
          </cell>
          <cell r="H141">
            <v>0</v>
          </cell>
        </row>
        <row r="142">
          <cell r="D142">
            <v>0</v>
          </cell>
          <cell r="F142">
            <v>14657</v>
          </cell>
          <cell r="H142">
            <v>0</v>
          </cell>
        </row>
        <row r="143">
          <cell r="D143">
            <v>19177</v>
          </cell>
          <cell r="F143">
            <v>13634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12000</v>
          </cell>
          <cell r="F146">
            <v>0</v>
          </cell>
          <cell r="H146">
            <v>0</v>
          </cell>
        </row>
        <row r="147">
          <cell r="D147">
            <v>0</v>
          </cell>
          <cell r="F147">
            <v>0</v>
          </cell>
          <cell r="H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4898</v>
          </cell>
          <cell r="F150">
            <v>0</v>
          </cell>
          <cell r="H150">
            <v>0</v>
          </cell>
        </row>
        <row r="151">
          <cell r="D151">
            <v>26916</v>
          </cell>
          <cell r="F151">
            <v>0</v>
          </cell>
          <cell r="H151">
            <v>0</v>
          </cell>
        </row>
        <row r="152">
          <cell r="D152">
            <v>748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0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4448</v>
          </cell>
          <cell r="F194">
            <v>0</v>
          </cell>
          <cell r="H194">
            <v>0</v>
          </cell>
        </row>
        <row r="195">
          <cell r="D195">
            <v>1540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5243</v>
          </cell>
          <cell r="F197">
            <v>0</v>
          </cell>
          <cell r="H197">
            <v>0</v>
          </cell>
        </row>
        <row r="198">
          <cell r="D198">
            <v>334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15249</v>
          </cell>
          <cell r="F205">
            <v>0</v>
          </cell>
          <cell r="H205">
            <v>0</v>
          </cell>
        </row>
        <row r="206">
          <cell r="D206">
            <v>0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65825</v>
          </cell>
          <cell r="F211">
            <v>0</v>
          </cell>
          <cell r="H211">
            <v>0</v>
          </cell>
        </row>
        <row r="212">
          <cell r="D212">
            <v>4903</v>
          </cell>
          <cell r="F212">
            <v>3782</v>
          </cell>
          <cell r="H212">
            <v>0</v>
          </cell>
        </row>
        <row r="213">
          <cell r="D213">
            <v>8540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3482</v>
          </cell>
          <cell r="F216">
            <v>0</v>
          </cell>
          <cell r="H216">
            <v>0</v>
          </cell>
        </row>
        <row r="221">
          <cell r="D221">
            <v>3218774</v>
          </cell>
        </row>
      </sheetData>
      <sheetData sheetId="8"/>
      <sheetData sheetId="9"/>
      <sheetData sheetId="10">
        <row r="9">
          <cell r="C9">
            <v>11822</v>
          </cell>
          <cell r="D9"/>
          <cell r="E9"/>
          <cell r="F9"/>
          <cell r="G9"/>
          <cell r="H9">
            <v>368</v>
          </cell>
          <cell r="I9">
            <v>896</v>
          </cell>
          <cell r="J9"/>
          <cell r="K9"/>
        </row>
        <row r="22">
          <cell r="N22">
            <v>37</v>
          </cell>
        </row>
        <row r="24">
          <cell r="N24">
            <v>37</v>
          </cell>
        </row>
        <row r="28">
          <cell r="N28">
            <v>13505</v>
          </cell>
        </row>
        <row r="30">
          <cell r="N30">
            <v>0.96897445390596071</v>
          </cell>
        </row>
        <row r="32">
          <cell r="N32">
            <v>0.87537948907811924</v>
          </cell>
        </row>
        <row r="34">
          <cell r="N34">
            <v>0.90340822252789243</v>
          </cell>
        </row>
      </sheetData>
      <sheetData sheetId="11"/>
      <sheetData sheetId="1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Notes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3281392</v>
          </cell>
          <cell r="G10">
            <v>0</v>
          </cell>
        </row>
        <row r="12">
          <cell r="E12">
            <v>1286763</v>
          </cell>
          <cell r="G12">
            <v>448103</v>
          </cell>
        </row>
        <row r="13">
          <cell r="E13">
            <v>0</v>
          </cell>
          <cell r="G13"/>
        </row>
        <row r="14">
          <cell r="E14">
            <v>50007</v>
          </cell>
          <cell r="G14"/>
        </row>
        <row r="15">
          <cell r="E15">
            <v>4618162</v>
          </cell>
          <cell r="G15">
            <v>448103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-4512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6544</v>
          </cell>
          <cell r="G42">
            <v>0</v>
          </cell>
        </row>
        <row r="47">
          <cell r="E47">
            <v>342860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711</v>
          </cell>
          <cell r="G72">
            <v>0</v>
          </cell>
        </row>
        <row r="90">
          <cell r="C90">
            <v>304.78666666666669</v>
          </cell>
          <cell r="E90">
            <v>-440.90476190476193</v>
          </cell>
          <cell r="G90">
            <v>121.2258064516129</v>
          </cell>
          <cell r="I90" t="str">
            <v/>
          </cell>
        </row>
      </sheetData>
      <sheetData sheetId="6"/>
      <sheetData sheetId="7">
        <row r="10">
          <cell r="D10">
            <v>169834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43656</v>
          </cell>
          <cell r="F12">
            <v>0</v>
          </cell>
          <cell r="H12">
            <v>0</v>
          </cell>
        </row>
        <row r="13">
          <cell r="D13">
            <v>124874</v>
          </cell>
          <cell r="F13">
            <v>-98575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345848</v>
          </cell>
          <cell r="F15">
            <v>0</v>
          </cell>
          <cell r="H15">
            <v>-345848</v>
          </cell>
        </row>
        <row r="16">
          <cell r="D16">
            <v>151101</v>
          </cell>
          <cell r="F16">
            <v>0</v>
          </cell>
          <cell r="H16">
            <v>-19463</v>
          </cell>
        </row>
        <row r="17">
          <cell r="D17">
            <v>2195</v>
          </cell>
          <cell r="F17">
            <v>-2195</v>
          </cell>
          <cell r="H17">
            <v>0</v>
          </cell>
        </row>
        <row r="18">
          <cell r="D18">
            <v>21718</v>
          </cell>
          <cell r="F18">
            <v>0</v>
          </cell>
          <cell r="H18">
            <v>0</v>
          </cell>
        </row>
        <row r="19">
          <cell r="D19">
            <v>38880</v>
          </cell>
          <cell r="F19">
            <v>0</v>
          </cell>
          <cell r="H19">
            <v>0</v>
          </cell>
        </row>
        <row r="20">
          <cell r="D20">
            <v>26638</v>
          </cell>
          <cell r="F20">
            <v>-1562</v>
          </cell>
          <cell r="H20">
            <v>0</v>
          </cell>
        </row>
        <row r="21">
          <cell r="D21">
            <v>19181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19977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385403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131552</v>
          </cell>
          <cell r="F29">
            <v>-131552</v>
          </cell>
          <cell r="H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</row>
        <row r="31">
          <cell r="D31">
            <v>24735</v>
          </cell>
          <cell r="F31">
            <v>973</v>
          </cell>
          <cell r="H31">
            <v>0</v>
          </cell>
        </row>
        <row r="32">
          <cell r="D32">
            <v>63912</v>
          </cell>
          <cell r="F32">
            <v>3314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-116156</v>
          </cell>
          <cell r="F35">
            <v>116156</v>
          </cell>
          <cell r="H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11534</v>
          </cell>
          <cell r="F39">
            <v>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72891</v>
          </cell>
          <cell r="F41">
            <v>0</v>
          </cell>
          <cell r="H41">
            <v>0</v>
          </cell>
        </row>
        <row r="42">
          <cell r="D42">
            <v>0</v>
          </cell>
          <cell r="F42">
            <v>0</v>
          </cell>
          <cell r="H42">
            <v>0</v>
          </cell>
        </row>
        <row r="43">
          <cell r="D43">
            <v>3573</v>
          </cell>
          <cell r="F43">
            <v>-3573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52820</v>
          </cell>
          <cell r="F45">
            <v>-30738</v>
          </cell>
          <cell r="H45">
            <v>0</v>
          </cell>
        </row>
        <row r="57">
          <cell r="D57">
            <v>682560</v>
          </cell>
          <cell r="F57">
            <v>0</v>
          </cell>
          <cell r="H57">
            <v>-501929</v>
          </cell>
        </row>
        <row r="58">
          <cell r="D58">
            <v>0</v>
          </cell>
          <cell r="F58">
            <v>0</v>
          </cell>
          <cell r="H58">
            <v>52145</v>
          </cell>
        </row>
        <row r="59">
          <cell r="D59">
            <v>0</v>
          </cell>
          <cell r="F59">
            <v>0</v>
          </cell>
          <cell r="H59">
            <v>106551</v>
          </cell>
        </row>
        <row r="60">
          <cell r="D60">
            <v>32731</v>
          </cell>
          <cell r="F60">
            <v>-225</v>
          </cell>
          <cell r="H60">
            <v>0</v>
          </cell>
        </row>
        <row r="61">
          <cell r="D61">
            <v>0</v>
          </cell>
          <cell r="F61">
            <v>4849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425</v>
          </cell>
          <cell r="F65">
            <v>1923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0</v>
          </cell>
          <cell r="F67">
            <v>6436</v>
          </cell>
          <cell r="H67">
            <v>22167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225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61742</v>
          </cell>
          <cell r="F75">
            <v>0</v>
          </cell>
          <cell r="H75">
            <v>0</v>
          </cell>
        </row>
        <row r="76">
          <cell r="D76">
            <v>4862</v>
          </cell>
          <cell r="F76">
            <v>3728</v>
          </cell>
          <cell r="H76">
            <v>0</v>
          </cell>
        </row>
        <row r="77">
          <cell r="D77">
            <v>16501</v>
          </cell>
          <cell r="F77">
            <v>0</v>
          </cell>
          <cell r="H77">
            <v>0</v>
          </cell>
        </row>
        <row r="78">
          <cell r="D78">
            <v>0</v>
          </cell>
          <cell r="F78">
            <v>0</v>
          </cell>
          <cell r="H78">
            <v>0</v>
          </cell>
        </row>
        <row r="79">
          <cell r="D79">
            <v>2085</v>
          </cell>
          <cell r="F79">
            <v>0</v>
          </cell>
          <cell r="H79">
            <v>0</v>
          </cell>
        </row>
        <row r="80">
          <cell r="D80">
            <v>48646</v>
          </cell>
          <cell r="F80">
            <v>0</v>
          </cell>
          <cell r="H80">
            <v>0</v>
          </cell>
        </row>
        <row r="81">
          <cell r="D81">
            <v>33851</v>
          </cell>
          <cell r="F81">
            <v>-31633</v>
          </cell>
          <cell r="H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</row>
        <row r="84">
          <cell r="D84">
            <v>66725</v>
          </cell>
          <cell r="F84">
            <v>0</v>
          </cell>
          <cell r="H84">
            <v>0</v>
          </cell>
        </row>
        <row r="85">
          <cell r="D85">
            <v>5029</v>
          </cell>
          <cell r="F85">
            <v>0</v>
          </cell>
          <cell r="H85">
            <v>0</v>
          </cell>
        </row>
        <row r="89">
          <cell r="D89">
            <v>148908</v>
          </cell>
          <cell r="F89">
            <v>0</v>
          </cell>
          <cell r="H89">
            <v>0</v>
          </cell>
        </row>
        <row r="90">
          <cell r="D90">
            <v>12385</v>
          </cell>
          <cell r="F90">
            <v>8990</v>
          </cell>
          <cell r="H90">
            <v>0</v>
          </cell>
        </row>
        <row r="91">
          <cell r="D91">
            <v>10660</v>
          </cell>
          <cell r="F91">
            <v>0</v>
          </cell>
          <cell r="H91">
            <v>0</v>
          </cell>
        </row>
        <row r="92">
          <cell r="D92">
            <v>108267</v>
          </cell>
          <cell r="F92">
            <v>0</v>
          </cell>
          <cell r="H92">
            <v>0</v>
          </cell>
        </row>
        <row r="93">
          <cell r="D93">
            <v>15155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18472</v>
          </cell>
          <cell r="F98">
            <v>0</v>
          </cell>
          <cell r="H98">
            <v>0</v>
          </cell>
        </row>
        <row r="99">
          <cell r="D99">
            <v>1541</v>
          </cell>
          <cell r="F99">
            <v>1115</v>
          </cell>
          <cell r="H99">
            <v>0</v>
          </cell>
        </row>
        <row r="100">
          <cell r="D100">
            <v>1930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2491</v>
          </cell>
          <cell r="F102">
            <v>0</v>
          </cell>
          <cell r="H102">
            <v>0</v>
          </cell>
        </row>
        <row r="103">
          <cell r="D103">
            <v>2442</v>
          </cell>
          <cell r="F103">
            <v>0</v>
          </cell>
          <cell r="H103">
            <v>0</v>
          </cell>
        </row>
        <row r="115">
          <cell r="D115">
            <v>63662</v>
          </cell>
          <cell r="F115">
            <v>0</v>
          </cell>
          <cell r="H115">
            <v>0</v>
          </cell>
        </row>
        <row r="116">
          <cell r="D116">
            <v>4860</v>
          </cell>
          <cell r="F116">
            <v>3843</v>
          </cell>
          <cell r="H116">
            <v>0</v>
          </cell>
        </row>
        <row r="117">
          <cell r="D117">
            <v>13356</v>
          </cell>
          <cell r="F117">
            <v>0</v>
          </cell>
          <cell r="H117">
            <v>0</v>
          </cell>
        </row>
        <row r="118">
          <cell r="D118">
            <v>0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110879</v>
          </cell>
          <cell r="F125">
            <v>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0</v>
          </cell>
          <cell r="F128">
            <v>0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15690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0</v>
          </cell>
          <cell r="H134">
            <v>0</v>
          </cell>
        </row>
        <row r="136">
          <cell r="D136">
            <v>125713</v>
          </cell>
          <cell r="F136">
            <v>-18803</v>
          </cell>
          <cell r="H136">
            <v>0</v>
          </cell>
        </row>
        <row r="137">
          <cell r="D137">
            <v>393726</v>
          </cell>
          <cell r="F137">
            <v>18803</v>
          </cell>
          <cell r="H137">
            <v>0</v>
          </cell>
        </row>
        <row r="138">
          <cell r="D138">
            <v>634158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51139</v>
          </cell>
          <cell r="F141">
            <v>-36011</v>
          </cell>
          <cell r="H141">
            <v>0</v>
          </cell>
        </row>
        <row r="142">
          <cell r="D142">
            <v>0</v>
          </cell>
          <cell r="F142">
            <v>58375</v>
          </cell>
          <cell r="H142">
            <v>0</v>
          </cell>
        </row>
        <row r="143">
          <cell r="D143">
            <v>51886</v>
          </cell>
          <cell r="F143">
            <v>38286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42000</v>
          </cell>
          <cell r="F146">
            <v>0</v>
          </cell>
          <cell r="H146">
            <v>0</v>
          </cell>
        </row>
        <row r="147">
          <cell r="D147">
            <v>0</v>
          </cell>
          <cell r="F147">
            <v>0</v>
          </cell>
          <cell r="H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</row>
        <row r="149">
          <cell r="D149">
            <v>663</v>
          </cell>
          <cell r="F149">
            <v>0</v>
          </cell>
          <cell r="H149">
            <v>0</v>
          </cell>
        </row>
        <row r="150">
          <cell r="D150">
            <v>8361</v>
          </cell>
          <cell r="F150">
            <v>0</v>
          </cell>
          <cell r="H150">
            <v>0</v>
          </cell>
        </row>
        <row r="151">
          <cell r="D151">
            <v>81294</v>
          </cell>
          <cell r="F151">
            <v>0</v>
          </cell>
          <cell r="H151">
            <v>0</v>
          </cell>
        </row>
        <row r="152">
          <cell r="D152">
            <v>29241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1000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28111</v>
          </cell>
          <cell r="F194">
            <v>0</v>
          </cell>
          <cell r="H194">
            <v>0</v>
          </cell>
        </row>
        <row r="195">
          <cell r="D195">
            <v>806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2798</v>
          </cell>
          <cell r="F197">
            <v>0</v>
          </cell>
          <cell r="H197">
            <v>0</v>
          </cell>
        </row>
        <row r="198">
          <cell r="D198">
            <v>1073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23501</v>
          </cell>
          <cell r="F205">
            <v>0</v>
          </cell>
          <cell r="H205">
            <v>0</v>
          </cell>
        </row>
        <row r="206">
          <cell r="D206">
            <v>0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75516</v>
          </cell>
          <cell r="F211">
            <v>0</v>
          </cell>
          <cell r="H211">
            <v>0</v>
          </cell>
        </row>
        <row r="212">
          <cell r="D212">
            <v>6246</v>
          </cell>
          <cell r="F212">
            <v>4559</v>
          </cell>
          <cell r="H212">
            <v>0</v>
          </cell>
        </row>
        <row r="213">
          <cell r="D213">
            <v>6784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9314</v>
          </cell>
          <cell r="F216">
            <v>0</v>
          </cell>
          <cell r="H216">
            <v>0</v>
          </cell>
        </row>
        <row r="221">
          <cell r="D221">
            <v>4637662</v>
          </cell>
        </row>
      </sheetData>
      <sheetData sheetId="8"/>
      <sheetData sheetId="9"/>
      <sheetData sheetId="10"/>
      <sheetData sheetId="11">
        <row r="9">
          <cell r="C9">
            <v>16471</v>
          </cell>
          <cell r="D9"/>
          <cell r="E9"/>
          <cell r="F9">
            <v>1</v>
          </cell>
          <cell r="G9"/>
          <cell r="H9">
            <v>127</v>
          </cell>
          <cell r="I9">
            <v>1771</v>
          </cell>
          <cell r="J9"/>
          <cell r="K9"/>
        </row>
        <row r="22">
          <cell r="N22">
            <v>74</v>
          </cell>
        </row>
        <row r="24">
          <cell r="N24">
            <v>74</v>
          </cell>
        </row>
        <row r="28">
          <cell r="N28">
            <v>27010</v>
          </cell>
        </row>
        <row r="30">
          <cell r="N30">
            <v>0.68011847463902253</v>
          </cell>
        </row>
        <row r="32">
          <cell r="N32">
            <v>0.60981118104405774</v>
          </cell>
        </row>
        <row r="34">
          <cell r="N34">
            <v>0.89662493195427329</v>
          </cell>
        </row>
      </sheetData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2325182</v>
          </cell>
          <cell r="G10">
            <v>0</v>
          </cell>
        </row>
        <row r="12">
          <cell r="E12">
            <v>1479177</v>
          </cell>
          <cell r="G12"/>
        </row>
        <row r="13">
          <cell r="E13">
            <v>15498</v>
          </cell>
          <cell r="G13"/>
        </row>
        <row r="14">
          <cell r="E14">
            <v>45578</v>
          </cell>
          <cell r="G14"/>
        </row>
        <row r="15">
          <cell r="E15">
            <v>3865435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647229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106429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103110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465</v>
          </cell>
          <cell r="G72">
            <v>0</v>
          </cell>
        </row>
        <row r="90">
          <cell r="C90">
            <v>195.28256880733946</v>
          </cell>
          <cell r="E90">
            <v>195.28256880733946</v>
          </cell>
          <cell r="G90">
            <v>195.28256880733946</v>
          </cell>
          <cell r="I90">
            <v>195.28256880733943</v>
          </cell>
        </row>
      </sheetData>
      <sheetData sheetId="6"/>
      <sheetData sheetId="7">
        <row r="10">
          <cell r="D10">
            <v>80125</v>
          </cell>
          <cell r="F10"/>
          <cell r="H10"/>
        </row>
        <row r="11">
          <cell r="D11"/>
          <cell r="F11"/>
          <cell r="H11"/>
        </row>
        <row r="12">
          <cell r="D12">
            <v>53448</v>
          </cell>
          <cell r="F12"/>
          <cell r="H12"/>
        </row>
        <row r="13">
          <cell r="D13">
            <v>48343</v>
          </cell>
          <cell r="F13"/>
          <cell r="H13"/>
        </row>
        <row r="14">
          <cell r="D14"/>
          <cell r="F14"/>
          <cell r="H14"/>
        </row>
        <row r="15">
          <cell r="D15">
            <v>999711</v>
          </cell>
          <cell r="F15"/>
          <cell r="H15">
            <v>-999711</v>
          </cell>
        </row>
        <row r="16">
          <cell r="D16">
            <v>144049</v>
          </cell>
          <cell r="F16"/>
          <cell r="H16">
            <v>-20321</v>
          </cell>
        </row>
        <row r="17">
          <cell r="D17">
            <v>33</v>
          </cell>
          <cell r="F17">
            <v>-33</v>
          </cell>
          <cell r="H17"/>
        </row>
        <row r="18">
          <cell r="D18">
            <v>6981</v>
          </cell>
          <cell r="F18"/>
          <cell r="H18"/>
        </row>
        <row r="19">
          <cell r="D19">
            <v>12565</v>
          </cell>
          <cell r="F19"/>
          <cell r="H19"/>
        </row>
        <row r="20">
          <cell r="D20">
            <v>6304</v>
          </cell>
          <cell r="F20"/>
          <cell r="H20"/>
        </row>
        <row r="21">
          <cell r="D21">
            <v>6586</v>
          </cell>
          <cell r="F21"/>
          <cell r="H21"/>
        </row>
        <row r="22">
          <cell r="D22"/>
          <cell r="F22"/>
          <cell r="H22"/>
        </row>
        <row r="23">
          <cell r="D23">
            <v>11492</v>
          </cell>
          <cell r="F23"/>
          <cell r="H23"/>
        </row>
        <row r="24">
          <cell r="D24">
            <v>112</v>
          </cell>
          <cell r="F24"/>
          <cell r="H24"/>
        </row>
        <row r="25">
          <cell r="D25"/>
          <cell r="F25"/>
          <cell r="H25"/>
        </row>
        <row r="26">
          <cell r="D26">
            <v>260871</v>
          </cell>
          <cell r="F26"/>
          <cell r="H26"/>
        </row>
        <row r="27">
          <cell r="D27"/>
          <cell r="F27"/>
          <cell r="H27"/>
        </row>
        <row r="28">
          <cell r="D28">
            <v>209284</v>
          </cell>
          <cell r="F28">
            <v>-209284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18243</v>
          </cell>
          <cell r="F31"/>
          <cell r="H31"/>
        </row>
        <row r="32">
          <cell r="D32">
            <v>24788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215</v>
          </cell>
          <cell r="F39"/>
          <cell r="H39"/>
        </row>
        <row r="40">
          <cell r="D40"/>
          <cell r="F40"/>
          <cell r="H40"/>
        </row>
        <row r="41">
          <cell r="D41">
            <v>7748</v>
          </cell>
          <cell r="F41"/>
          <cell r="H41"/>
        </row>
        <row r="42">
          <cell r="D42">
            <v>212</v>
          </cell>
          <cell r="F42"/>
          <cell r="H42"/>
        </row>
        <row r="43">
          <cell r="D43">
            <v>9883</v>
          </cell>
          <cell r="F43">
            <v>-9883</v>
          </cell>
          <cell r="H43"/>
        </row>
        <row r="44">
          <cell r="D44"/>
          <cell r="F44"/>
          <cell r="H44"/>
        </row>
        <row r="45">
          <cell r="D45">
            <v>7471</v>
          </cell>
          <cell r="F45">
            <v>-465</v>
          </cell>
          <cell r="H45"/>
        </row>
        <row r="57">
          <cell r="D57">
            <v>404040</v>
          </cell>
          <cell r="F57"/>
          <cell r="H57">
            <v>-404040</v>
          </cell>
        </row>
        <row r="58">
          <cell r="D58"/>
          <cell r="F58"/>
          <cell r="H58">
            <v>49624</v>
          </cell>
        </row>
        <row r="59">
          <cell r="D59"/>
          <cell r="F59"/>
          <cell r="H59">
            <v>112702</v>
          </cell>
        </row>
        <row r="60">
          <cell r="D60">
            <v>10500</v>
          </cell>
          <cell r="F60"/>
          <cell r="H60"/>
        </row>
        <row r="61">
          <cell r="D61">
            <v>6946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489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10329</v>
          </cell>
          <cell r="F75"/>
          <cell r="H75"/>
        </row>
        <row r="76">
          <cell r="D76">
            <v>3958</v>
          </cell>
          <cell r="F76"/>
          <cell r="H76"/>
        </row>
        <row r="77">
          <cell r="D77">
            <v>7094</v>
          </cell>
          <cell r="F77"/>
          <cell r="H77"/>
        </row>
        <row r="78">
          <cell r="D78">
            <v>14023</v>
          </cell>
          <cell r="F78"/>
          <cell r="H78"/>
        </row>
        <row r="79">
          <cell r="D79">
            <v>2824</v>
          </cell>
          <cell r="F79"/>
          <cell r="H79"/>
        </row>
        <row r="80">
          <cell r="D80">
            <v>12539</v>
          </cell>
          <cell r="F80"/>
          <cell r="H80"/>
        </row>
        <row r="81">
          <cell r="D81">
            <v>922</v>
          </cell>
          <cell r="F81"/>
          <cell r="H81"/>
        </row>
        <row r="82">
          <cell r="D82">
            <v>4269</v>
          </cell>
          <cell r="F82"/>
          <cell r="H82"/>
        </row>
        <row r="83">
          <cell r="D83">
            <v>1607</v>
          </cell>
          <cell r="F83"/>
          <cell r="H83"/>
        </row>
        <row r="84">
          <cell r="D84">
            <v>57824</v>
          </cell>
          <cell r="F84"/>
          <cell r="H84"/>
        </row>
        <row r="85">
          <cell r="D85"/>
          <cell r="F85"/>
          <cell r="H85"/>
        </row>
        <row r="89">
          <cell r="D89">
            <v>153204</v>
          </cell>
          <cell r="F89"/>
          <cell r="H89"/>
        </row>
        <row r="90">
          <cell r="D90">
            <v>22186</v>
          </cell>
          <cell r="F90"/>
          <cell r="H90"/>
        </row>
        <row r="91">
          <cell r="D91">
            <v>7238</v>
          </cell>
          <cell r="F91"/>
          <cell r="H91"/>
        </row>
        <row r="92">
          <cell r="D92">
            <v>90510</v>
          </cell>
          <cell r="F92"/>
          <cell r="H92"/>
        </row>
        <row r="93">
          <cell r="D93">
            <v>11592</v>
          </cell>
          <cell r="F93"/>
          <cell r="H93"/>
        </row>
        <row r="94">
          <cell r="D94"/>
          <cell r="F94"/>
          <cell r="H94"/>
        </row>
        <row r="98">
          <cell r="D98">
            <v>19285</v>
          </cell>
          <cell r="F98"/>
          <cell r="H98"/>
        </row>
        <row r="99">
          <cell r="D99">
            <v>1646</v>
          </cell>
          <cell r="F99"/>
          <cell r="H99"/>
        </row>
        <row r="100">
          <cell r="D100">
            <v>4143</v>
          </cell>
          <cell r="F100"/>
          <cell r="H100"/>
        </row>
        <row r="101">
          <cell r="D101"/>
          <cell r="F101"/>
          <cell r="H101"/>
        </row>
        <row r="102">
          <cell r="D102">
            <v>1471</v>
          </cell>
          <cell r="F102"/>
          <cell r="H102"/>
        </row>
        <row r="103">
          <cell r="D103"/>
          <cell r="F103"/>
          <cell r="H103"/>
        </row>
        <row r="115">
          <cell r="D115">
            <v>51060</v>
          </cell>
          <cell r="F115"/>
          <cell r="H115"/>
        </row>
        <row r="116">
          <cell r="D116">
            <v>6555</v>
          </cell>
          <cell r="F116"/>
          <cell r="H116"/>
        </row>
        <row r="117">
          <cell r="D117">
            <v>13985</v>
          </cell>
          <cell r="F117"/>
          <cell r="H117"/>
        </row>
        <row r="118">
          <cell r="D118">
            <v>1961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77635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14691</v>
          </cell>
          <cell r="F128"/>
          <cell r="H128"/>
        </row>
        <row r="130">
          <cell r="D130"/>
          <cell r="F130"/>
          <cell r="H130"/>
        </row>
        <row r="131">
          <cell r="D131">
            <v>90176</v>
          </cell>
          <cell r="F131">
            <v>-74591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2949</v>
          </cell>
          <cell r="H134"/>
        </row>
        <row r="136">
          <cell r="D136">
            <v>139281</v>
          </cell>
          <cell r="F136"/>
          <cell r="H136"/>
        </row>
        <row r="137">
          <cell r="D137">
            <v>217606</v>
          </cell>
          <cell r="F137"/>
          <cell r="H137"/>
        </row>
        <row r="138">
          <cell r="D138">
            <v>432404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27959</v>
          </cell>
          <cell r="H141"/>
        </row>
        <row r="142">
          <cell r="D142"/>
          <cell r="F142">
            <v>43683</v>
          </cell>
          <cell r="H142"/>
        </row>
        <row r="143">
          <cell r="D143">
            <v>36804</v>
          </cell>
          <cell r="F143"/>
          <cell r="H143"/>
        </row>
        <row r="144">
          <cell r="D144"/>
          <cell r="F144"/>
          <cell r="H144"/>
        </row>
        <row r="146">
          <cell r="D146">
            <v>12000</v>
          </cell>
          <cell r="F146"/>
          <cell r="H146"/>
        </row>
        <row r="147">
          <cell r="D147">
            <v>48900</v>
          </cell>
          <cell r="F147"/>
          <cell r="H147"/>
        </row>
        <row r="148">
          <cell r="D148">
            <v>9628</v>
          </cell>
          <cell r="F148"/>
          <cell r="H148"/>
        </row>
        <row r="149">
          <cell r="D149">
            <v>30182</v>
          </cell>
          <cell r="F149"/>
          <cell r="H149"/>
        </row>
        <row r="150">
          <cell r="D150">
            <v>3755</v>
          </cell>
          <cell r="F150"/>
          <cell r="H150"/>
        </row>
        <row r="151">
          <cell r="D151">
            <v>47854</v>
          </cell>
          <cell r="F151"/>
          <cell r="H151"/>
        </row>
        <row r="152">
          <cell r="D152">
            <v>605</v>
          </cell>
          <cell r="F152"/>
          <cell r="H152"/>
        </row>
        <row r="153">
          <cell r="D153">
            <v>2694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38000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83032</v>
          </cell>
          <cell r="F194"/>
          <cell r="H194"/>
        </row>
        <row r="195">
          <cell r="D195">
            <v>38723</v>
          </cell>
          <cell r="F195"/>
          <cell r="H195"/>
        </row>
        <row r="196">
          <cell r="D196"/>
          <cell r="F196"/>
          <cell r="H196"/>
        </row>
        <row r="197">
          <cell r="D197">
            <v>78919</v>
          </cell>
          <cell r="F197"/>
          <cell r="H197"/>
        </row>
        <row r="198">
          <cell r="D198">
            <v>7744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57376</v>
          </cell>
          <cell r="F205"/>
          <cell r="H205"/>
        </row>
        <row r="206">
          <cell r="D206">
            <v>89</v>
          </cell>
          <cell r="F206"/>
          <cell r="H206"/>
        </row>
        <row r="207">
          <cell r="D207"/>
          <cell r="F207"/>
          <cell r="H207"/>
        </row>
        <row r="211">
          <cell r="D211">
            <v>95454</v>
          </cell>
          <cell r="F211"/>
          <cell r="H211"/>
        </row>
        <row r="212">
          <cell r="D212">
            <v>11576</v>
          </cell>
          <cell r="F212"/>
          <cell r="H212"/>
        </row>
        <row r="213">
          <cell r="D213">
            <v>10188</v>
          </cell>
          <cell r="F213"/>
          <cell r="H213"/>
        </row>
        <row r="214">
          <cell r="D214">
            <v>3845</v>
          </cell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4419825</v>
          </cell>
        </row>
      </sheetData>
      <sheetData sheetId="8"/>
      <sheetData sheetId="9"/>
      <sheetData sheetId="10">
        <row r="9">
          <cell r="C9">
            <v>11432</v>
          </cell>
          <cell r="D9"/>
          <cell r="E9">
            <v>1061</v>
          </cell>
          <cell r="F9"/>
          <cell r="G9"/>
          <cell r="H9">
            <v>545</v>
          </cell>
          <cell r="I9"/>
          <cell r="J9">
            <v>500</v>
          </cell>
          <cell r="K9"/>
        </row>
        <row r="22">
          <cell r="N22">
            <v>41</v>
          </cell>
        </row>
        <row r="24">
          <cell r="N24">
            <v>41</v>
          </cell>
        </row>
        <row r="28">
          <cell r="N28">
            <v>14965</v>
          </cell>
        </row>
        <row r="30">
          <cell r="N30">
            <v>0.90464416972936856</v>
          </cell>
        </row>
        <row r="32">
          <cell r="N32">
            <v>0.76391580354159705</v>
          </cell>
        </row>
        <row r="34">
          <cell r="N34">
            <v>0.84443787856404195</v>
          </cell>
        </row>
      </sheetData>
      <sheetData sheetId="11"/>
      <sheetData sheetId="1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ch B - INC DETAIL"/>
      <sheetName val="Sch C - MISC REC DETAIL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ch B - INC DETAIL"/>
      <sheetName val="Sch C - MISC REC DETAIL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4203613.3600000003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4203613.3600000003</v>
          </cell>
          <cell r="G15">
            <v>0</v>
          </cell>
        </row>
        <row r="20">
          <cell r="E20">
            <v>384712.46</v>
          </cell>
          <cell r="G20">
            <v>0</v>
          </cell>
        </row>
        <row r="26">
          <cell r="E26">
            <v>690337.6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1303295.8999999999</v>
          </cell>
          <cell r="G37">
            <v>0</v>
          </cell>
        </row>
        <row r="42">
          <cell r="E42">
            <v>244615.91</v>
          </cell>
          <cell r="G42">
            <v>0</v>
          </cell>
        </row>
        <row r="47">
          <cell r="E47">
            <v>115098.15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-15032</v>
          </cell>
          <cell r="G57">
            <v>0</v>
          </cell>
        </row>
        <row r="72">
          <cell r="E72">
            <v>76779.39</v>
          </cell>
          <cell r="G72">
            <v>0</v>
          </cell>
        </row>
      </sheetData>
      <sheetData sheetId="6"/>
      <sheetData sheetId="7">
        <row r="10">
          <cell r="D10">
            <v>153967</v>
          </cell>
          <cell r="F10"/>
          <cell r="H10"/>
        </row>
        <row r="11">
          <cell r="D11"/>
          <cell r="F11"/>
          <cell r="H11"/>
        </row>
        <row r="12">
          <cell r="D12">
            <v>158866</v>
          </cell>
          <cell r="F12"/>
          <cell r="H12"/>
        </row>
        <row r="13">
          <cell r="D13">
            <v>34723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8120</v>
          </cell>
          <cell r="F17"/>
          <cell r="H17"/>
        </row>
        <row r="18">
          <cell r="D18">
            <v>20154</v>
          </cell>
          <cell r="F18"/>
          <cell r="H18"/>
        </row>
        <row r="19">
          <cell r="D19">
            <v>10327</v>
          </cell>
          <cell r="F19"/>
          <cell r="H19"/>
        </row>
        <row r="20">
          <cell r="D20">
            <v>35528</v>
          </cell>
          <cell r="F20"/>
          <cell r="H20"/>
        </row>
        <row r="21">
          <cell r="D21">
            <v>2024</v>
          </cell>
          <cell r="F21"/>
          <cell r="H21"/>
        </row>
        <row r="22">
          <cell r="D22"/>
          <cell r="F22"/>
          <cell r="H22"/>
        </row>
        <row r="23">
          <cell r="D23">
            <v>26171</v>
          </cell>
          <cell r="F23"/>
          <cell r="H23">
            <v>-18868.599999999999</v>
          </cell>
        </row>
        <row r="24">
          <cell r="D24">
            <v>21852</v>
          </cell>
          <cell r="F24"/>
          <cell r="H24"/>
        </row>
        <row r="25">
          <cell r="D25"/>
          <cell r="F25"/>
          <cell r="H25"/>
        </row>
        <row r="26">
          <cell r="D26">
            <v>606731</v>
          </cell>
          <cell r="F26"/>
          <cell r="H26"/>
        </row>
        <row r="27">
          <cell r="D27">
            <v>98109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16159</v>
          </cell>
          <cell r="F29">
            <v>-16159</v>
          </cell>
          <cell r="H29"/>
        </row>
        <row r="30">
          <cell r="D30"/>
          <cell r="F30">
            <v>0</v>
          </cell>
          <cell r="H30"/>
        </row>
        <row r="31">
          <cell r="D31">
            <v>36938</v>
          </cell>
          <cell r="F31"/>
          <cell r="H31"/>
        </row>
        <row r="32">
          <cell r="D32">
            <v>88140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57612</v>
          </cell>
          <cell r="F36"/>
          <cell r="H36"/>
        </row>
        <row r="37">
          <cell r="D37">
            <v>5034</v>
          </cell>
          <cell r="F37"/>
          <cell r="H37"/>
        </row>
        <row r="38">
          <cell r="D38"/>
          <cell r="F38"/>
          <cell r="H38"/>
        </row>
        <row r="39">
          <cell r="D39">
            <v>5043</v>
          </cell>
          <cell r="F39"/>
          <cell r="H39"/>
        </row>
        <row r="40">
          <cell r="D40">
            <v>3380</v>
          </cell>
          <cell r="F40"/>
          <cell r="H40"/>
        </row>
        <row r="41">
          <cell r="D41">
            <v>5444</v>
          </cell>
          <cell r="F41"/>
          <cell r="H41"/>
        </row>
        <row r="42">
          <cell r="D42"/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/>
          <cell r="F45"/>
          <cell r="H45"/>
        </row>
        <row r="57">
          <cell r="D57">
            <v>280968</v>
          </cell>
          <cell r="F57"/>
          <cell r="H57">
            <v>-280968</v>
          </cell>
        </row>
        <row r="58">
          <cell r="D58">
            <v>21575</v>
          </cell>
          <cell r="F58"/>
          <cell r="H58">
            <v>76408</v>
          </cell>
        </row>
        <row r="59">
          <cell r="D59"/>
          <cell r="F59"/>
          <cell r="H59">
            <v>110983.84</v>
          </cell>
        </row>
        <row r="60">
          <cell r="D60"/>
          <cell r="F60"/>
          <cell r="H60">
            <v>22149.37</v>
          </cell>
        </row>
        <row r="61">
          <cell r="D61"/>
          <cell r="F61"/>
          <cell r="H61"/>
        </row>
        <row r="62">
          <cell r="D62">
            <v>10315</v>
          </cell>
          <cell r="F62"/>
          <cell r="H62"/>
        </row>
        <row r="63">
          <cell r="D63">
            <v>2723</v>
          </cell>
          <cell r="F63"/>
          <cell r="H63"/>
        </row>
        <row r="64">
          <cell r="D64"/>
          <cell r="F64"/>
          <cell r="H64"/>
        </row>
        <row r="65">
          <cell r="D65">
            <v>17492.84</v>
          </cell>
          <cell r="F65"/>
          <cell r="H65"/>
        </row>
        <row r="66">
          <cell r="D66">
            <v>1410.4</v>
          </cell>
          <cell r="F66"/>
          <cell r="H66"/>
        </row>
        <row r="67">
          <cell r="D67">
            <v>49117</v>
          </cell>
          <cell r="F67"/>
          <cell r="H67"/>
        </row>
        <row r="68">
          <cell r="D68">
            <v>35234</v>
          </cell>
          <cell r="F68"/>
          <cell r="H68">
            <v>-35234</v>
          </cell>
        </row>
        <row r="69">
          <cell r="D69">
            <v>1184.03</v>
          </cell>
          <cell r="F69"/>
          <cell r="H69"/>
        </row>
        <row r="70">
          <cell r="D70">
            <v>22052</v>
          </cell>
          <cell r="F70"/>
          <cell r="H70"/>
        </row>
        <row r="71">
          <cell r="D71"/>
          <cell r="F71"/>
          <cell r="H71"/>
        </row>
        <row r="75">
          <cell r="D75">
            <v>166263.74</v>
          </cell>
          <cell r="F75"/>
          <cell r="H75"/>
        </row>
        <row r="76">
          <cell r="D76">
            <v>23367.56</v>
          </cell>
          <cell r="F76"/>
          <cell r="H76"/>
        </row>
        <row r="77">
          <cell r="D77">
            <v>38023.14</v>
          </cell>
          <cell r="F77"/>
          <cell r="H77"/>
        </row>
        <row r="78">
          <cell r="D78">
            <v>11447.54</v>
          </cell>
          <cell r="F78"/>
          <cell r="H78"/>
        </row>
        <row r="79">
          <cell r="D79"/>
          <cell r="F79"/>
          <cell r="H79"/>
        </row>
        <row r="80">
          <cell r="D80">
            <v>22925.23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33965</v>
          </cell>
          <cell r="F83"/>
          <cell r="H83"/>
        </row>
        <row r="84">
          <cell r="D84">
            <v>110049.92</v>
          </cell>
          <cell r="F84"/>
          <cell r="H84"/>
        </row>
        <row r="85">
          <cell r="D85"/>
          <cell r="F85"/>
          <cell r="H85"/>
        </row>
        <row r="89">
          <cell r="D89">
            <v>239031.29</v>
          </cell>
          <cell r="F89"/>
          <cell r="H89"/>
        </row>
        <row r="90">
          <cell r="D90">
            <v>24404</v>
          </cell>
          <cell r="F90"/>
          <cell r="H90"/>
        </row>
        <row r="91">
          <cell r="D91">
            <v>10475.44</v>
          </cell>
          <cell r="F91"/>
          <cell r="H91"/>
        </row>
        <row r="92">
          <cell r="D92">
            <v>277089.13</v>
          </cell>
          <cell r="F92"/>
          <cell r="H92"/>
        </row>
        <row r="93">
          <cell r="D93">
            <v>546.36</v>
          </cell>
          <cell r="F93"/>
          <cell r="H93"/>
        </row>
        <row r="94">
          <cell r="D94"/>
          <cell r="F94"/>
          <cell r="H94"/>
        </row>
        <row r="98">
          <cell r="D98">
            <v>87225.64</v>
          </cell>
          <cell r="F98"/>
          <cell r="H98"/>
        </row>
        <row r="99">
          <cell r="D99">
            <v>8025.83</v>
          </cell>
          <cell r="F99"/>
          <cell r="H99"/>
        </row>
        <row r="100">
          <cell r="D100">
            <v>8538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152613.76999999999</v>
          </cell>
          <cell r="F115"/>
          <cell r="H115"/>
        </row>
        <row r="116">
          <cell r="D116">
            <v>14262.71</v>
          </cell>
          <cell r="F116"/>
          <cell r="H116"/>
        </row>
        <row r="117">
          <cell r="D117">
            <v>38199.199999999997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92449.5</v>
          </cell>
          <cell r="F125"/>
          <cell r="H125"/>
        </row>
        <row r="126">
          <cell r="D126">
            <v>93578.75</v>
          </cell>
          <cell r="F126"/>
          <cell r="H126"/>
        </row>
        <row r="127">
          <cell r="D127"/>
          <cell r="F127"/>
          <cell r="H127"/>
        </row>
        <row r="128">
          <cell r="D128">
            <v>268974.45</v>
          </cell>
          <cell r="F128"/>
          <cell r="H128">
            <v>-87600</v>
          </cell>
        </row>
        <row r="130">
          <cell r="D130"/>
          <cell r="F130"/>
          <cell r="H130"/>
        </row>
        <row r="131">
          <cell r="D131">
            <v>6804</v>
          </cell>
          <cell r="F131"/>
          <cell r="H131"/>
        </row>
        <row r="132">
          <cell r="D132">
            <v>17018</v>
          </cell>
          <cell r="F132"/>
          <cell r="H132"/>
        </row>
        <row r="133">
          <cell r="D133"/>
          <cell r="F133"/>
          <cell r="H133"/>
        </row>
        <row r="134">
          <cell r="D134">
            <v>23733.96</v>
          </cell>
          <cell r="F134"/>
          <cell r="H134"/>
        </row>
        <row r="136">
          <cell r="D136">
            <v>387982.89</v>
          </cell>
          <cell r="F136"/>
          <cell r="H136"/>
        </row>
        <row r="137">
          <cell r="D137">
            <v>160936.85</v>
          </cell>
          <cell r="F137"/>
          <cell r="H137"/>
        </row>
        <row r="138">
          <cell r="D138">
            <v>1507812</v>
          </cell>
          <cell r="F138"/>
          <cell r="H138"/>
        </row>
        <row r="139">
          <cell r="D139"/>
          <cell r="F139"/>
          <cell r="H139"/>
        </row>
        <row r="141">
          <cell r="D141">
            <v>73033</v>
          </cell>
          <cell r="F141"/>
          <cell r="H141"/>
        </row>
        <row r="142">
          <cell r="D142">
            <v>16790</v>
          </cell>
          <cell r="F142"/>
          <cell r="H142"/>
        </row>
        <row r="143">
          <cell r="D143">
            <v>104591</v>
          </cell>
          <cell r="F143"/>
          <cell r="H143"/>
        </row>
        <row r="144">
          <cell r="D144"/>
          <cell r="F144"/>
          <cell r="H144"/>
        </row>
        <row r="146">
          <cell r="D146">
            <v>25538.82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10186</v>
          </cell>
          <cell r="F150"/>
          <cell r="H150"/>
        </row>
        <row r="151">
          <cell r="D151">
            <v>133698.92000000001</v>
          </cell>
          <cell r="F151"/>
          <cell r="H151"/>
        </row>
        <row r="152">
          <cell r="D152">
            <v>1117.76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31822</v>
          </cell>
          <cell r="F177"/>
          <cell r="H177"/>
        </row>
        <row r="178">
          <cell r="D178">
            <v>2510.1</v>
          </cell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25498</v>
          </cell>
          <cell r="F183"/>
          <cell r="H183"/>
        </row>
        <row r="184">
          <cell r="D184">
            <v>2510.1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94925</v>
          </cell>
          <cell r="F194"/>
          <cell r="H194"/>
        </row>
        <row r="195">
          <cell r="D195">
            <v>27503.75</v>
          </cell>
          <cell r="F195"/>
          <cell r="H195"/>
        </row>
        <row r="196">
          <cell r="D196"/>
          <cell r="F196"/>
          <cell r="H196"/>
        </row>
        <row r="197">
          <cell r="D197">
            <v>48460</v>
          </cell>
          <cell r="F197"/>
          <cell r="H197"/>
        </row>
        <row r="198">
          <cell r="D198">
            <v>28589.040000000001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97181.2</v>
          </cell>
          <cell r="F205"/>
          <cell r="H205"/>
        </row>
        <row r="206">
          <cell r="D206">
            <v>9630.7800000000007</v>
          </cell>
          <cell r="F206"/>
          <cell r="H206"/>
        </row>
        <row r="207">
          <cell r="D207"/>
          <cell r="F207"/>
          <cell r="H207"/>
        </row>
        <row r="211">
          <cell r="D211">
            <v>229818.54</v>
          </cell>
          <cell r="F211"/>
          <cell r="H211"/>
        </row>
        <row r="212">
          <cell r="D212">
            <v>24326.3</v>
          </cell>
          <cell r="F212"/>
          <cell r="H212"/>
        </row>
        <row r="213">
          <cell r="D213">
            <v>26675.25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369563</v>
          </cell>
          <cell r="F216">
            <v>-15637</v>
          </cell>
          <cell r="H216">
            <v>-342685</v>
          </cell>
        </row>
        <row r="221">
          <cell r="D221">
            <v>7046106</v>
          </cell>
        </row>
      </sheetData>
      <sheetData sheetId="8"/>
      <sheetData sheetId="9"/>
      <sheetData sheetId="10">
        <row r="9">
          <cell r="C9">
            <v>19759</v>
          </cell>
          <cell r="D9">
            <v>1836</v>
          </cell>
          <cell r="E9">
            <v>576</v>
          </cell>
          <cell r="F9">
            <v>0</v>
          </cell>
          <cell r="G9">
            <v>5442</v>
          </cell>
          <cell r="H9">
            <v>999</v>
          </cell>
          <cell r="I9">
            <v>540</v>
          </cell>
          <cell r="J9">
            <v>0</v>
          </cell>
          <cell r="K9">
            <v>0</v>
          </cell>
        </row>
        <row r="22">
          <cell r="N22">
            <v>82</v>
          </cell>
        </row>
        <row r="24">
          <cell r="N24">
            <v>78</v>
          </cell>
        </row>
        <row r="28">
          <cell r="N28">
            <v>29930</v>
          </cell>
        </row>
        <row r="30">
          <cell r="N30">
            <v>0.97400601403274312</v>
          </cell>
        </row>
        <row r="32">
          <cell r="N32">
            <v>0.7215168727029736</v>
          </cell>
        </row>
        <row r="34">
          <cell r="N34">
            <v>0.740772502744237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Trial Balance"/>
      <sheetName val="Sch B"/>
      <sheetName val="Explanation of Misc Rev"/>
      <sheetName val="Sch B-1"/>
      <sheetName val="Sch C"/>
      <sheetName val="Sch C-1"/>
      <sheetName val="FCP Adjustments"/>
      <sheetName val="Explanation of Misc Expenses"/>
      <sheetName val="THC Home Office Summary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1059172.03</v>
          </cell>
          <cell r="G10">
            <v>0</v>
          </cell>
        </row>
        <row r="12">
          <cell r="E12">
            <v>550227.12</v>
          </cell>
          <cell r="G12"/>
        </row>
        <row r="13">
          <cell r="E13">
            <v>5963.09</v>
          </cell>
          <cell r="G13"/>
        </row>
        <row r="14">
          <cell r="E14">
            <v>54199.96</v>
          </cell>
          <cell r="G14"/>
        </row>
        <row r="15">
          <cell r="E15">
            <v>1669562.2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995630.6100000001</v>
          </cell>
          <cell r="G26">
            <v>0</v>
          </cell>
        </row>
        <row r="32">
          <cell r="E32">
            <v>15179.5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1099524.31</v>
          </cell>
          <cell r="G42">
            <v>11700</v>
          </cell>
        </row>
        <row r="47">
          <cell r="E47">
            <v>0</v>
          </cell>
          <cell r="G47">
            <v>0</v>
          </cell>
        </row>
        <row r="52">
          <cell r="E52">
            <v>11700</v>
          </cell>
          <cell r="G52">
            <v>-11700</v>
          </cell>
        </row>
        <row r="57">
          <cell r="E57">
            <v>0</v>
          </cell>
          <cell r="G57">
            <v>0</v>
          </cell>
        </row>
        <row r="72">
          <cell r="E72">
            <v>115988.93000000002</v>
          </cell>
          <cell r="G72">
            <v>0</v>
          </cell>
        </row>
      </sheetData>
      <sheetData sheetId="7"/>
      <sheetData sheetId="8"/>
      <sheetData sheetId="9">
        <row r="10">
          <cell r="D10">
            <v>76720.13</v>
          </cell>
          <cell r="F10"/>
          <cell r="H10"/>
        </row>
        <row r="11">
          <cell r="D11"/>
          <cell r="F11"/>
          <cell r="H11"/>
        </row>
        <row r="12">
          <cell r="D12">
            <v>58199.46</v>
          </cell>
          <cell r="F12"/>
          <cell r="H12"/>
        </row>
        <row r="13">
          <cell r="D13">
            <v>669778.02</v>
          </cell>
          <cell r="F13">
            <v>-619445.86168141826</v>
          </cell>
          <cell r="H13"/>
        </row>
        <row r="14">
          <cell r="D14"/>
          <cell r="F14"/>
          <cell r="H14"/>
        </row>
        <row r="15">
          <cell r="D15">
            <v>225741.49</v>
          </cell>
          <cell r="F15"/>
          <cell r="H15">
            <v>-225741.41</v>
          </cell>
        </row>
        <row r="16">
          <cell r="D16"/>
          <cell r="F16"/>
          <cell r="H16">
            <v>181663</v>
          </cell>
        </row>
        <row r="17">
          <cell r="D17">
            <v>22241.919999999998</v>
          </cell>
          <cell r="F17">
            <v>-22241.919999999998</v>
          </cell>
          <cell r="H17"/>
        </row>
        <row r="18">
          <cell r="D18">
            <v>33898.410000000003</v>
          </cell>
          <cell r="F18"/>
          <cell r="H18"/>
        </row>
        <row r="19">
          <cell r="D19">
            <v>8483</v>
          </cell>
          <cell r="F19"/>
          <cell r="H19"/>
        </row>
        <row r="20">
          <cell r="D20">
            <v>8814.5300000000007</v>
          </cell>
          <cell r="F20"/>
          <cell r="H20"/>
        </row>
        <row r="21">
          <cell r="D21">
            <v>23582.799999999999</v>
          </cell>
          <cell r="F21"/>
          <cell r="H21"/>
        </row>
        <row r="22">
          <cell r="D22"/>
          <cell r="F22"/>
          <cell r="H22"/>
        </row>
        <row r="23">
          <cell r="D23">
            <v>5495.99</v>
          </cell>
          <cell r="F23"/>
          <cell r="H23"/>
        </row>
        <row r="24">
          <cell r="D24">
            <v>37518.83</v>
          </cell>
          <cell r="F24"/>
          <cell r="H24">
            <v>-37518.83</v>
          </cell>
        </row>
        <row r="25">
          <cell r="D25"/>
          <cell r="F25"/>
          <cell r="H25"/>
        </row>
        <row r="26">
          <cell r="D26">
            <v>292380.79999999999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24577.03</v>
          </cell>
          <cell r="F29">
            <v>-24577.03</v>
          </cell>
          <cell r="H29"/>
        </row>
        <row r="30">
          <cell r="D30">
            <v>1359</v>
          </cell>
          <cell r="F30">
            <v>-1359</v>
          </cell>
          <cell r="H30"/>
        </row>
        <row r="31">
          <cell r="D31">
            <v>42956.06</v>
          </cell>
          <cell r="F31"/>
          <cell r="H31"/>
        </row>
        <row r="32">
          <cell r="D32">
            <v>15143.3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980.26</v>
          </cell>
          <cell r="F38"/>
          <cell r="H38"/>
        </row>
        <row r="39">
          <cell r="D39">
            <v>4615.55</v>
          </cell>
          <cell r="F39"/>
          <cell r="H39"/>
        </row>
        <row r="40">
          <cell r="D40">
            <v>3096.04</v>
          </cell>
          <cell r="F40"/>
          <cell r="H40"/>
        </row>
        <row r="41">
          <cell r="D41">
            <v>6447.84</v>
          </cell>
          <cell r="F41"/>
          <cell r="H41"/>
        </row>
        <row r="42">
          <cell r="D42">
            <v>1803</v>
          </cell>
          <cell r="F42"/>
          <cell r="H42"/>
        </row>
        <row r="43">
          <cell r="D43">
            <v>8180.76</v>
          </cell>
          <cell r="F43"/>
          <cell r="H43"/>
        </row>
        <row r="44">
          <cell r="D44">
            <v>842.86</v>
          </cell>
          <cell r="F44"/>
          <cell r="H44"/>
        </row>
        <row r="45">
          <cell r="D45">
            <v>193005.89</v>
          </cell>
          <cell r="F45">
            <v>-193005.89</v>
          </cell>
          <cell r="H45"/>
        </row>
        <row r="57">
          <cell r="D57"/>
          <cell r="F57"/>
          <cell r="H57"/>
        </row>
        <row r="58">
          <cell r="D58">
            <v>165171.84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/>
          <cell r="F61"/>
          <cell r="H61"/>
        </row>
        <row r="62">
          <cell r="D62">
            <v>14610.72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2681.3</v>
          </cell>
          <cell r="F65"/>
          <cell r="H65"/>
        </row>
        <row r="66">
          <cell r="D66">
            <v>24855.39</v>
          </cell>
          <cell r="F66"/>
          <cell r="H66"/>
        </row>
        <row r="67">
          <cell r="D67">
            <v>31548.6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43147.55</v>
          </cell>
          <cell r="F75"/>
          <cell r="H75"/>
        </row>
        <row r="76">
          <cell r="D76"/>
          <cell r="F76">
            <v>16096.323133348717</v>
          </cell>
          <cell r="H76"/>
        </row>
        <row r="77">
          <cell r="D77">
            <v>11603.82</v>
          </cell>
          <cell r="F77"/>
          <cell r="H77"/>
        </row>
        <row r="78">
          <cell r="D78"/>
          <cell r="F78"/>
          <cell r="H78"/>
        </row>
        <row r="79">
          <cell r="D79">
            <v>7899.15</v>
          </cell>
          <cell r="F79"/>
          <cell r="H79"/>
        </row>
        <row r="80">
          <cell r="D80">
            <v>23067.66</v>
          </cell>
          <cell r="F80"/>
          <cell r="H80"/>
        </row>
        <row r="81">
          <cell r="D81">
            <v>34586.050000000003</v>
          </cell>
          <cell r="F81"/>
          <cell r="H81"/>
        </row>
        <row r="82">
          <cell r="D82">
            <v>18423.439999999999</v>
          </cell>
          <cell r="F82"/>
          <cell r="H82"/>
        </row>
        <row r="83">
          <cell r="D83">
            <v>6365.23</v>
          </cell>
          <cell r="F83"/>
          <cell r="H83"/>
        </row>
        <row r="84">
          <cell r="D84">
            <v>82904.78</v>
          </cell>
          <cell r="F84"/>
          <cell r="H84"/>
        </row>
        <row r="85">
          <cell r="D85"/>
          <cell r="F85"/>
          <cell r="H85"/>
        </row>
        <row r="89">
          <cell r="D89">
            <v>146282.12</v>
          </cell>
          <cell r="F89"/>
          <cell r="H89"/>
        </row>
        <row r="90">
          <cell r="D90"/>
          <cell r="F90">
            <v>54570.984265648745</v>
          </cell>
          <cell r="H90"/>
        </row>
        <row r="91">
          <cell r="D91">
            <v>9891.81</v>
          </cell>
          <cell r="F91"/>
          <cell r="H91"/>
        </row>
        <row r="92">
          <cell r="D92">
            <v>152518.17000000001</v>
          </cell>
          <cell r="F92"/>
          <cell r="H92"/>
        </row>
        <row r="93">
          <cell r="D93">
            <v>16669.12</v>
          </cell>
          <cell r="F93"/>
          <cell r="H93"/>
        </row>
        <row r="94">
          <cell r="D94"/>
          <cell r="F94"/>
          <cell r="H94"/>
        </row>
        <row r="98">
          <cell r="D98">
            <v>45837.38</v>
          </cell>
          <cell r="F98"/>
          <cell r="H98"/>
        </row>
        <row r="99">
          <cell r="D99"/>
          <cell r="F99">
            <v>17099.772294512564</v>
          </cell>
          <cell r="H99"/>
        </row>
        <row r="100">
          <cell r="D100">
            <v>6729.18</v>
          </cell>
          <cell r="F100"/>
          <cell r="H100"/>
        </row>
        <row r="101">
          <cell r="D101"/>
          <cell r="F101"/>
          <cell r="H101"/>
        </row>
        <row r="102">
          <cell r="D102">
            <v>5855.54</v>
          </cell>
          <cell r="F102"/>
          <cell r="H102"/>
        </row>
        <row r="103">
          <cell r="D103"/>
          <cell r="F103"/>
          <cell r="H103"/>
        </row>
        <row r="115">
          <cell r="D115">
            <v>115033.89</v>
          </cell>
          <cell r="F115"/>
          <cell r="H115"/>
        </row>
        <row r="116">
          <cell r="D116"/>
          <cell r="F116">
            <v>42913.738201267312</v>
          </cell>
          <cell r="H116"/>
        </row>
        <row r="117">
          <cell r="D117">
            <v>19712.8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148134.35999999999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/>
          <cell r="F128"/>
          <cell r="H128"/>
        </row>
        <row r="130">
          <cell r="D130"/>
          <cell r="F130"/>
          <cell r="H130"/>
        </row>
        <row r="131">
          <cell r="D131"/>
          <cell r="F131">
            <v>55261.967961374547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/>
          <cell r="H134"/>
        </row>
        <row r="136">
          <cell r="D136">
            <v>466375.86</v>
          </cell>
          <cell r="F136"/>
          <cell r="H136"/>
        </row>
        <row r="137">
          <cell r="D137">
            <v>95106.4</v>
          </cell>
          <cell r="F137"/>
          <cell r="H137"/>
        </row>
        <row r="138">
          <cell r="D138">
            <v>516013.54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173982.91546457217</v>
          </cell>
          <cell r="H141"/>
        </row>
        <row r="142">
          <cell r="D142"/>
          <cell r="F142">
            <v>35479.728198924757</v>
          </cell>
          <cell r="H142"/>
        </row>
        <row r="143">
          <cell r="D143"/>
          <cell r="F143">
            <v>192500.40108935875</v>
          </cell>
          <cell r="H143"/>
        </row>
        <row r="144">
          <cell r="D144"/>
          <cell r="F144"/>
          <cell r="H144"/>
        </row>
        <row r="146">
          <cell r="D146"/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6948</v>
          </cell>
          <cell r="F150"/>
          <cell r="H150"/>
        </row>
        <row r="151">
          <cell r="D151">
            <v>84031.67</v>
          </cell>
          <cell r="F151"/>
          <cell r="H151"/>
        </row>
        <row r="152">
          <cell r="D152">
            <v>965.56</v>
          </cell>
          <cell r="F152"/>
          <cell r="H152"/>
        </row>
        <row r="153">
          <cell r="D153">
            <v>2403.21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>
            <v>1539</v>
          </cell>
          <cell r="F157"/>
          <cell r="H157"/>
        </row>
        <row r="158">
          <cell r="D158">
            <v>75</v>
          </cell>
          <cell r="F158"/>
          <cell r="H158"/>
        </row>
        <row r="159">
          <cell r="D159">
            <v>275</v>
          </cell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150095</v>
          </cell>
          <cell r="F194"/>
          <cell r="H194"/>
        </row>
        <row r="195">
          <cell r="D195">
            <v>307</v>
          </cell>
          <cell r="F195"/>
          <cell r="H195"/>
        </row>
        <row r="196">
          <cell r="D196"/>
          <cell r="F196"/>
          <cell r="H196"/>
        </row>
        <row r="197">
          <cell r="D197">
            <v>45999.33</v>
          </cell>
          <cell r="F197"/>
          <cell r="H197"/>
        </row>
        <row r="198">
          <cell r="D198">
            <v>32072.02</v>
          </cell>
          <cell r="F198"/>
          <cell r="H198"/>
        </row>
        <row r="199">
          <cell r="D199"/>
          <cell r="F199"/>
          <cell r="H199"/>
        </row>
        <row r="200">
          <cell r="D200">
            <v>76</v>
          </cell>
          <cell r="F200"/>
          <cell r="H200"/>
        </row>
        <row r="201">
          <cell r="D201"/>
          <cell r="F201"/>
          <cell r="H201"/>
        </row>
        <row r="202">
          <cell r="D202">
            <v>4</v>
          </cell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76091.63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84545.71</v>
          </cell>
          <cell r="F211"/>
          <cell r="H211"/>
        </row>
        <row r="212">
          <cell r="D212"/>
          <cell r="F212">
            <v>31540.031072410646</v>
          </cell>
          <cell r="H212"/>
        </row>
        <row r="213">
          <cell r="D213">
            <v>13431.3</v>
          </cell>
          <cell r="F213"/>
          <cell r="H213"/>
        </row>
        <row r="214">
          <cell r="D214">
            <v>3412.5</v>
          </cell>
          <cell r="F214"/>
          <cell r="H214"/>
        </row>
        <row r="215">
          <cell r="D215"/>
          <cell r="F215"/>
          <cell r="H215"/>
        </row>
        <row r="216">
          <cell r="D216">
            <v>4324.24</v>
          </cell>
          <cell r="F216"/>
          <cell r="H216"/>
        </row>
        <row r="221">
          <cell r="D221">
            <v>4483484.84</v>
          </cell>
        </row>
      </sheetData>
      <sheetData sheetId="10"/>
      <sheetData sheetId="11"/>
      <sheetData sheetId="12"/>
      <sheetData sheetId="13"/>
      <sheetData sheetId="14"/>
      <sheetData sheetId="15">
        <row r="9">
          <cell r="C9">
            <v>6065</v>
          </cell>
          <cell r="D9"/>
          <cell r="E9">
            <v>1907</v>
          </cell>
          <cell r="F9">
            <v>81</v>
          </cell>
          <cell r="G9"/>
          <cell r="H9">
            <v>7852</v>
          </cell>
          <cell r="I9"/>
          <cell r="J9"/>
          <cell r="K9"/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0.7262557077625571</v>
          </cell>
        </row>
        <row r="32">
          <cell r="N32">
            <v>0.27694063926940637</v>
          </cell>
        </row>
        <row r="34">
          <cell r="N34">
            <v>0.38132662684690344</v>
          </cell>
        </row>
      </sheetData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250"/>
      <sheetName val="10-490"/>
      <sheetName val="60-490 "/>
      <sheetName val="70-490"/>
      <sheetName val="90-490  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5652986</v>
          </cell>
          <cell r="G10">
            <v>0</v>
          </cell>
        </row>
        <row r="12">
          <cell r="E12"/>
          <cell r="G12"/>
        </row>
        <row r="13">
          <cell r="E13">
            <v>326696</v>
          </cell>
          <cell r="G13"/>
        </row>
        <row r="14">
          <cell r="E14"/>
          <cell r="G14"/>
        </row>
        <row r="15">
          <cell r="E15">
            <v>5979682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1124308</v>
          </cell>
          <cell r="G26">
            <v>0</v>
          </cell>
        </row>
        <row r="32">
          <cell r="E32">
            <v>1010408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428789</v>
          </cell>
          <cell r="G42">
            <v>0</v>
          </cell>
        </row>
        <row r="47">
          <cell r="E47">
            <v>732036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173188</v>
          </cell>
          <cell r="G57">
            <v>0</v>
          </cell>
        </row>
        <row r="72">
          <cell r="E72">
            <v>118832</v>
          </cell>
          <cell r="G72">
            <v>-51426</v>
          </cell>
        </row>
        <row r="90">
          <cell r="C90">
            <v>201.49918166939443</v>
          </cell>
          <cell r="E90">
            <v>201.49906191369607</v>
          </cell>
          <cell r="G90">
            <v>201.49886104783599</v>
          </cell>
          <cell r="I90">
            <v>201.49724770642203</v>
          </cell>
        </row>
      </sheetData>
      <sheetData sheetId="6"/>
      <sheetData sheetId="7">
        <row r="10">
          <cell r="D10"/>
          <cell r="F10">
            <v>118965</v>
          </cell>
          <cell r="H10"/>
        </row>
        <row r="11">
          <cell r="D11"/>
          <cell r="F11"/>
          <cell r="H11"/>
        </row>
        <row r="12">
          <cell r="D12">
            <v>330167</v>
          </cell>
          <cell r="F12">
            <v>-119169</v>
          </cell>
          <cell r="H12"/>
        </row>
        <row r="13">
          <cell r="D13">
            <v>74628</v>
          </cell>
          <cell r="F13">
            <v>-8066</v>
          </cell>
          <cell r="H13"/>
        </row>
        <row r="14">
          <cell r="D14">
            <v>4500</v>
          </cell>
          <cell r="F14"/>
          <cell r="H14"/>
        </row>
        <row r="15">
          <cell r="D15"/>
          <cell r="F15">
            <v>578168</v>
          </cell>
          <cell r="H15"/>
        </row>
        <row r="16">
          <cell r="D16">
            <v>578168</v>
          </cell>
          <cell r="F16">
            <v>-578168</v>
          </cell>
          <cell r="H16"/>
        </row>
        <row r="17">
          <cell r="D17"/>
          <cell r="F17"/>
          <cell r="H17"/>
        </row>
        <row r="18">
          <cell r="D18">
            <v>13506</v>
          </cell>
          <cell r="F18"/>
          <cell r="H18"/>
        </row>
        <row r="19">
          <cell r="D19">
            <v>22135</v>
          </cell>
          <cell r="F19"/>
          <cell r="H19"/>
        </row>
        <row r="20">
          <cell r="D20">
            <v>23453</v>
          </cell>
          <cell r="F20">
            <v>-317</v>
          </cell>
          <cell r="H20"/>
        </row>
        <row r="21">
          <cell r="D21">
            <v>60514</v>
          </cell>
          <cell r="F21">
            <v>-20826</v>
          </cell>
          <cell r="H21"/>
        </row>
        <row r="22">
          <cell r="D22"/>
          <cell r="F22"/>
          <cell r="H22"/>
        </row>
        <row r="23">
          <cell r="D23">
            <v>8593</v>
          </cell>
          <cell r="F23"/>
          <cell r="H23"/>
        </row>
        <row r="24">
          <cell r="D24">
            <v>44416</v>
          </cell>
          <cell r="F24"/>
          <cell r="H24"/>
        </row>
        <row r="25">
          <cell r="D25">
            <v>-29500</v>
          </cell>
          <cell r="F25"/>
          <cell r="H25"/>
        </row>
        <row r="26">
          <cell r="D26">
            <v>775526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179856</v>
          </cell>
          <cell r="F29">
            <v>-179856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115977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747</v>
          </cell>
          <cell r="F34"/>
          <cell r="H34"/>
        </row>
        <row r="35">
          <cell r="D35">
            <v>125240</v>
          </cell>
          <cell r="F35">
            <v>-125240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80</v>
          </cell>
          <cell r="F38">
            <v>-80</v>
          </cell>
          <cell r="H38"/>
        </row>
        <row r="39">
          <cell r="D39">
            <v>13957</v>
          </cell>
          <cell r="F39"/>
          <cell r="H39"/>
        </row>
        <row r="40">
          <cell r="D40">
            <v>6255</v>
          </cell>
          <cell r="F40">
            <v>-6255</v>
          </cell>
          <cell r="H40"/>
        </row>
        <row r="41">
          <cell r="D41">
            <v>247649</v>
          </cell>
          <cell r="F41">
            <v>-10391</v>
          </cell>
          <cell r="H41"/>
        </row>
        <row r="42">
          <cell r="D42">
            <v>559</v>
          </cell>
          <cell r="F42"/>
          <cell r="H42"/>
        </row>
        <row r="43">
          <cell r="D43">
            <v>8574</v>
          </cell>
          <cell r="F43">
            <v>-8574</v>
          </cell>
          <cell r="H43"/>
        </row>
        <row r="44">
          <cell r="D44">
            <v>27</v>
          </cell>
          <cell r="F44"/>
          <cell r="H44"/>
        </row>
        <row r="45">
          <cell r="D45">
            <v>12274</v>
          </cell>
          <cell r="F45">
            <v>-8059</v>
          </cell>
          <cell r="H45"/>
        </row>
        <row r="57">
          <cell r="D57"/>
          <cell r="F57"/>
          <cell r="H57"/>
        </row>
        <row r="58">
          <cell r="D58">
            <v>176899</v>
          </cell>
          <cell r="F58"/>
          <cell r="H58"/>
        </row>
        <row r="59">
          <cell r="D59">
            <v>210740</v>
          </cell>
          <cell r="F59"/>
          <cell r="H59"/>
        </row>
        <row r="60">
          <cell r="D60">
            <v>59072</v>
          </cell>
          <cell r="F60"/>
          <cell r="H60"/>
        </row>
        <row r="61">
          <cell r="D61">
            <v>33502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74200</v>
          </cell>
          <cell r="F66"/>
          <cell r="H66"/>
        </row>
        <row r="67">
          <cell r="D67">
            <v>123400</v>
          </cell>
          <cell r="F67"/>
          <cell r="H67"/>
        </row>
        <row r="68">
          <cell r="D68">
            <v>9820</v>
          </cell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82423</v>
          </cell>
          <cell r="F75"/>
          <cell r="H75"/>
        </row>
        <row r="76">
          <cell r="D76">
            <v>15530</v>
          </cell>
          <cell r="F76"/>
          <cell r="H76"/>
        </row>
        <row r="77">
          <cell r="D77">
            <v>22111</v>
          </cell>
          <cell r="F77"/>
          <cell r="H77"/>
        </row>
        <row r="78">
          <cell r="D78"/>
          <cell r="F78"/>
          <cell r="H78"/>
        </row>
        <row r="79">
          <cell r="D79">
            <v>9628</v>
          </cell>
          <cell r="F79"/>
          <cell r="H79"/>
        </row>
        <row r="80">
          <cell r="D80">
            <v>21283</v>
          </cell>
          <cell r="F80"/>
          <cell r="H80"/>
        </row>
        <row r="81">
          <cell r="D81">
            <v>47747</v>
          </cell>
          <cell r="F81"/>
          <cell r="H81"/>
        </row>
        <row r="82">
          <cell r="D82">
            <v>22424</v>
          </cell>
          <cell r="F82"/>
          <cell r="H82"/>
        </row>
        <row r="83">
          <cell r="D83">
            <v>2646</v>
          </cell>
          <cell r="F83"/>
          <cell r="H83"/>
        </row>
        <row r="84">
          <cell r="D84">
            <v>175229</v>
          </cell>
          <cell r="F84"/>
          <cell r="H84"/>
        </row>
        <row r="85">
          <cell r="D85"/>
          <cell r="F85"/>
          <cell r="H85"/>
        </row>
        <row r="89">
          <cell r="D89">
            <v>362275</v>
          </cell>
          <cell r="F89"/>
          <cell r="H89"/>
        </row>
        <row r="90">
          <cell r="D90">
            <v>62622</v>
          </cell>
          <cell r="F90"/>
          <cell r="H90"/>
        </row>
        <row r="91">
          <cell r="D91">
            <v>-12855</v>
          </cell>
          <cell r="F91"/>
          <cell r="H91"/>
        </row>
        <row r="92">
          <cell r="D92">
            <v>257982</v>
          </cell>
          <cell r="F92">
            <v>-3563</v>
          </cell>
          <cell r="H92"/>
        </row>
        <row r="93">
          <cell r="D93">
            <v>37499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682</v>
          </cell>
          <cell r="F100"/>
          <cell r="H100"/>
        </row>
        <row r="101">
          <cell r="D101">
            <v>124659</v>
          </cell>
          <cell r="F101"/>
          <cell r="H101"/>
        </row>
        <row r="102">
          <cell r="D102">
            <v>6555</v>
          </cell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15504</v>
          </cell>
          <cell r="F117"/>
          <cell r="H117"/>
        </row>
        <row r="118">
          <cell r="D118">
            <v>190288</v>
          </cell>
          <cell r="F118"/>
          <cell r="H118"/>
        </row>
        <row r="119">
          <cell r="D119">
            <v>115</v>
          </cell>
          <cell r="F119"/>
          <cell r="H119"/>
        </row>
        <row r="124">
          <cell r="D124"/>
          <cell r="F124"/>
          <cell r="H124"/>
        </row>
        <row r="125">
          <cell r="D125">
            <v>232690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124846</v>
          </cell>
          <cell r="F128"/>
          <cell r="H128"/>
        </row>
        <row r="130">
          <cell r="D130"/>
          <cell r="F130"/>
          <cell r="H130"/>
        </row>
        <row r="131">
          <cell r="D131">
            <v>55416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20749</v>
          </cell>
          <cell r="F134"/>
          <cell r="H134"/>
        </row>
        <row r="136">
          <cell r="D136">
            <v>1171832</v>
          </cell>
          <cell r="F136"/>
          <cell r="H136"/>
        </row>
        <row r="137">
          <cell r="D137">
            <v>346376</v>
          </cell>
          <cell r="F137"/>
          <cell r="H137"/>
        </row>
        <row r="138">
          <cell r="D138">
            <v>1149730</v>
          </cell>
          <cell r="F138">
            <v>44295</v>
          </cell>
          <cell r="H138"/>
        </row>
        <row r="139">
          <cell r="D139">
            <v>44295</v>
          </cell>
          <cell r="F139">
            <v>-44295</v>
          </cell>
          <cell r="H139"/>
        </row>
        <row r="141">
          <cell r="D141">
            <v>482299</v>
          </cell>
          <cell r="F141">
            <v>-273920</v>
          </cell>
          <cell r="H141"/>
        </row>
        <row r="142">
          <cell r="D142"/>
          <cell r="F142">
            <v>61594</v>
          </cell>
          <cell r="H142"/>
        </row>
        <row r="143">
          <cell r="D143"/>
          <cell r="F143">
            <v>212326</v>
          </cell>
          <cell r="H143"/>
        </row>
        <row r="144">
          <cell r="D144"/>
          <cell r="F144"/>
          <cell r="H144"/>
        </row>
        <row r="146">
          <cell r="D146">
            <v>48000</v>
          </cell>
          <cell r="F146"/>
          <cell r="H146"/>
        </row>
        <row r="147">
          <cell r="D147">
            <v>226513</v>
          </cell>
          <cell r="F147"/>
          <cell r="H147"/>
        </row>
        <row r="148">
          <cell r="D148">
            <v>183086</v>
          </cell>
          <cell r="F148"/>
          <cell r="H148"/>
        </row>
        <row r="149">
          <cell r="D149">
            <v>221122</v>
          </cell>
          <cell r="F149"/>
          <cell r="H149"/>
        </row>
        <row r="150">
          <cell r="D150">
            <v>12418</v>
          </cell>
          <cell r="F150"/>
          <cell r="H150"/>
        </row>
        <row r="151">
          <cell r="D151">
            <v>195788</v>
          </cell>
          <cell r="F151"/>
          <cell r="H151"/>
        </row>
        <row r="152">
          <cell r="D152">
            <v>11106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859</v>
          </cell>
          <cell r="F160"/>
          <cell r="H160"/>
        </row>
        <row r="161">
          <cell r="D161">
            <v>19040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384233</v>
          </cell>
          <cell r="F194"/>
          <cell r="H194"/>
        </row>
        <row r="195">
          <cell r="D195">
            <v>108883</v>
          </cell>
          <cell r="F195"/>
          <cell r="H195"/>
        </row>
        <row r="196">
          <cell r="D196"/>
          <cell r="F196"/>
          <cell r="H196"/>
        </row>
        <row r="197">
          <cell r="D197">
            <v>317605</v>
          </cell>
          <cell r="F197"/>
          <cell r="H197"/>
        </row>
        <row r="198">
          <cell r="D198">
            <v>37864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245981</v>
          </cell>
          <cell r="F205"/>
          <cell r="H205"/>
        </row>
        <row r="206">
          <cell r="D206">
            <v>11346</v>
          </cell>
          <cell r="F206"/>
          <cell r="H206"/>
        </row>
        <row r="207">
          <cell r="D207"/>
          <cell r="F207"/>
          <cell r="H207"/>
        </row>
        <row r="211">
          <cell r="D211">
            <v>155770</v>
          </cell>
          <cell r="F211"/>
          <cell r="H211"/>
        </row>
        <row r="212">
          <cell r="D212">
            <v>54754</v>
          </cell>
          <cell r="F212"/>
          <cell r="H212"/>
        </row>
        <row r="213">
          <cell r="D213">
            <v>7231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2822</v>
          </cell>
          <cell r="F216"/>
          <cell r="H216"/>
        </row>
        <row r="221">
          <cell r="D221">
            <v>10621935</v>
          </cell>
        </row>
      </sheetData>
      <sheetData sheetId="8"/>
      <sheetData sheetId="9"/>
      <sheetData sheetId="10">
        <row r="9">
          <cell r="C9">
            <v>29847</v>
          </cell>
          <cell r="D9"/>
          <cell r="E9">
            <v>2031</v>
          </cell>
          <cell r="F9">
            <v>2118</v>
          </cell>
          <cell r="G9"/>
          <cell r="H9">
            <v>2128</v>
          </cell>
          <cell r="I9">
            <v>4300</v>
          </cell>
          <cell r="J9"/>
          <cell r="K9">
            <v>797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0.8066731898238747</v>
          </cell>
        </row>
        <row r="32">
          <cell r="N32">
            <v>0.5840900195694716</v>
          </cell>
        </row>
        <row r="34">
          <cell r="N34">
            <v>0.72407268140025716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2868079</v>
          </cell>
          <cell r="G10">
            <v>0</v>
          </cell>
        </row>
        <row r="12">
          <cell r="E12">
            <v>1366003</v>
          </cell>
          <cell r="G12">
            <v>581360</v>
          </cell>
        </row>
        <row r="13">
          <cell r="E13">
            <v>0</v>
          </cell>
          <cell r="G13"/>
        </row>
        <row r="14">
          <cell r="E14">
            <v>35870</v>
          </cell>
          <cell r="G14"/>
        </row>
        <row r="15">
          <cell r="E15">
            <v>4269952</v>
          </cell>
          <cell r="G15">
            <v>581360</v>
          </cell>
        </row>
        <row r="20">
          <cell r="E20">
            <v>891691</v>
          </cell>
          <cell r="G20">
            <v>0</v>
          </cell>
        </row>
        <row r="26">
          <cell r="E26">
            <v>574203</v>
          </cell>
          <cell r="G26">
            <v>0</v>
          </cell>
        </row>
        <row r="32">
          <cell r="E32">
            <v>7532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71038</v>
          </cell>
          <cell r="G42">
            <v>0</v>
          </cell>
        </row>
        <row r="47">
          <cell r="E47">
            <v>74569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11873</v>
          </cell>
          <cell r="G72">
            <v>0</v>
          </cell>
        </row>
        <row r="90">
          <cell r="C90">
            <v>188.43697478991598</v>
          </cell>
          <cell r="E90">
            <v>250.05494505494505</v>
          </cell>
          <cell r="G90">
            <v>45.680555555555557</v>
          </cell>
          <cell r="I90">
            <v>336.86567164179104</v>
          </cell>
        </row>
      </sheetData>
      <sheetData sheetId="6"/>
      <sheetData sheetId="7">
        <row r="10">
          <cell r="D10">
            <v>151672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50555</v>
          </cell>
          <cell r="F12">
            <v>-380</v>
          </cell>
          <cell r="H12">
            <v>0</v>
          </cell>
        </row>
        <row r="13">
          <cell r="D13">
            <v>163820</v>
          </cell>
          <cell r="F13">
            <v>-135616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1061319</v>
          </cell>
          <cell r="F15">
            <v>0</v>
          </cell>
          <cell r="H15">
            <v>-1061319</v>
          </cell>
        </row>
        <row r="16">
          <cell r="D16">
            <v>109800</v>
          </cell>
          <cell r="F16">
            <v>0</v>
          </cell>
          <cell r="H16">
            <v>33941</v>
          </cell>
        </row>
        <row r="17">
          <cell r="D17">
            <v>518</v>
          </cell>
          <cell r="F17">
            <v>-518</v>
          </cell>
          <cell r="H17">
            <v>0</v>
          </cell>
        </row>
        <row r="18">
          <cell r="D18">
            <v>8101</v>
          </cell>
          <cell r="F18">
            <v>0</v>
          </cell>
          <cell r="H18">
            <v>0</v>
          </cell>
        </row>
        <row r="19">
          <cell r="D19">
            <v>40275</v>
          </cell>
          <cell r="F19">
            <v>0</v>
          </cell>
          <cell r="H19">
            <v>0</v>
          </cell>
        </row>
        <row r="20">
          <cell r="D20">
            <v>13500</v>
          </cell>
          <cell r="F20">
            <v>0</v>
          </cell>
          <cell r="H20">
            <v>0</v>
          </cell>
        </row>
        <row r="21">
          <cell r="D21">
            <v>44337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12570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401851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93010</v>
          </cell>
          <cell r="F29">
            <v>-93010</v>
          </cell>
          <cell r="H29">
            <v>0</v>
          </cell>
        </row>
        <row r="30">
          <cell r="D30">
            <v>5040</v>
          </cell>
          <cell r="F30">
            <v>-5040</v>
          </cell>
          <cell r="H30">
            <v>0</v>
          </cell>
        </row>
        <row r="31">
          <cell r="D31">
            <v>25857</v>
          </cell>
          <cell r="F31">
            <v>5415</v>
          </cell>
          <cell r="H31">
            <v>0</v>
          </cell>
        </row>
        <row r="32">
          <cell r="D32">
            <v>42575</v>
          </cell>
          <cell r="F32">
            <v>-6050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</row>
        <row r="36">
          <cell r="D36">
            <v>4340</v>
          </cell>
          <cell r="F36">
            <v>322</v>
          </cell>
          <cell r="H36">
            <v>0</v>
          </cell>
        </row>
        <row r="37">
          <cell r="D37">
            <v>0</v>
          </cell>
          <cell r="F37">
            <v>738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13147</v>
          </cell>
          <cell r="F39">
            <v>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11392</v>
          </cell>
          <cell r="F41">
            <v>0</v>
          </cell>
          <cell r="H41">
            <v>0</v>
          </cell>
        </row>
        <row r="42">
          <cell r="D42">
            <v>8027</v>
          </cell>
          <cell r="F42">
            <v>0</v>
          </cell>
          <cell r="H42">
            <v>0</v>
          </cell>
        </row>
        <row r="43">
          <cell r="D43">
            <v>5374</v>
          </cell>
          <cell r="F43">
            <v>-5374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60673</v>
          </cell>
          <cell r="F45">
            <v>-26431</v>
          </cell>
          <cell r="H45">
            <v>0</v>
          </cell>
        </row>
        <row r="57">
          <cell r="D57">
            <v>601152</v>
          </cell>
          <cell r="F57">
            <v>0</v>
          </cell>
          <cell r="H57">
            <v>-24869</v>
          </cell>
        </row>
        <row r="58">
          <cell r="D58">
            <v>0</v>
          </cell>
          <cell r="F58">
            <v>0</v>
          </cell>
          <cell r="H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</row>
        <row r="60">
          <cell r="D60">
            <v>14977</v>
          </cell>
          <cell r="F60">
            <v>-1475</v>
          </cell>
          <cell r="H60">
            <v>0</v>
          </cell>
        </row>
        <row r="61">
          <cell r="D61">
            <v>0</v>
          </cell>
          <cell r="F61">
            <v>12032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3516</v>
          </cell>
          <cell r="F65">
            <v>35</v>
          </cell>
          <cell r="H65">
            <v>0</v>
          </cell>
        </row>
        <row r="66">
          <cell r="D66">
            <v>0</v>
          </cell>
          <cell r="F66">
            <v>4526</v>
          </cell>
          <cell r="H66">
            <v>0</v>
          </cell>
        </row>
        <row r="67">
          <cell r="D67">
            <v>0</v>
          </cell>
          <cell r="F67">
            <v>8130</v>
          </cell>
          <cell r="H67">
            <v>0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1475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49531</v>
          </cell>
          <cell r="F75">
            <v>0</v>
          </cell>
          <cell r="H75">
            <v>0</v>
          </cell>
        </row>
        <row r="76">
          <cell r="D76">
            <v>3695</v>
          </cell>
          <cell r="F76">
            <v>4075</v>
          </cell>
          <cell r="H76">
            <v>0</v>
          </cell>
        </row>
        <row r="77">
          <cell r="D77">
            <v>8926</v>
          </cell>
          <cell r="F77">
            <v>0</v>
          </cell>
          <cell r="H77">
            <v>0</v>
          </cell>
        </row>
        <row r="78">
          <cell r="D78">
            <v>1834</v>
          </cell>
          <cell r="F78">
            <v>0</v>
          </cell>
          <cell r="H78">
            <v>0</v>
          </cell>
        </row>
        <row r="79">
          <cell r="D79">
            <v>8113</v>
          </cell>
          <cell r="F79">
            <v>0</v>
          </cell>
          <cell r="H79">
            <v>0</v>
          </cell>
        </row>
        <row r="80">
          <cell r="D80">
            <v>15979</v>
          </cell>
          <cell r="F80">
            <v>0</v>
          </cell>
          <cell r="H80">
            <v>0</v>
          </cell>
        </row>
        <row r="81">
          <cell r="D81">
            <v>14779</v>
          </cell>
          <cell r="F81">
            <v>-13652</v>
          </cell>
          <cell r="H81">
            <v>0</v>
          </cell>
        </row>
        <row r="82">
          <cell r="D82">
            <v>1374</v>
          </cell>
          <cell r="F82">
            <v>0</v>
          </cell>
          <cell r="H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</row>
        <row r="84">
          <cell r="D84">
            <v>48882</v>
          </cell>
          <cell r="F84">
            <v>0</v>
          </cell>
          <cell r="H84">
            <v>0</v>
          </cell>
        </row>
        <row r="85">
          <cell r="D85">
            <v>7686</v>
          </cell>
          <cell r="F85">
            <v>0</v>
          </cell>
          <cell r="H85">
            <v>0</v>
          </cell>
        </row>
        <row r="89">
          <cell r="D89">
            <v>149238</v>
          </cell>
          <cell r="F89">
            <v>0</v>
          </cell>
          <cell r="H89">
            <v>0</v>
          </cell>
        </row>
        <row r="90">
          <cell r="D90">
            <v>11065</v>
          </cell>
          <cell r="F90">
            <v>12277</v>
          </cell>
          <cell r="H90">
            <v>0</v>
          </cell>
        </row>
        <row r="91">
          <cell r="D91">
            <v>13065</v>
          </cell>
          <cell r="F91">
            <v>0</v>
          </cell>
          <cell r="H91">
            <v>0</v>
          </cell>
        </row>
        <row r="92">
          <cell r="D92">
            <v>127955</v>
          </cell>
          <cell r="F92">
            <v>0</v>
          </cell>
          <cell r="H92">
            <v>0</v>
          </cell>
        </row>
        <row r="93">
          <cell r="D93">
            <v>18757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21689</v>
          </cell>
          <cell r="F98">
            <v>0</v>
          </cell>
          <cell r="H98">
            <v>0</v>
          </cell>
        </row>
        <row r="99">
          <cell r="D99">
            <v>1708</v>
          </cell>
          <cell r="F99">
            <v>1784</v>
          </cell>
          <cell r="H99">
            <v>0</v>
          </cell>
        </row>
        <row r="100">
          <cell r="D100">
            <v>13321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5894</v>
          </cell>
          <cell r="F102">
            <v>0</v>
          </cell>
          <cell r="H102">
            <v>0</v>
          </cell>
        </row>
        <row r="103">
          <cell r="D103">
            <v>506</v>
          </cell>
          <cell r="F103">
            <v>0</v>
          </cell>
          <cell r="H103">
            <v>0</v>
          </cell>
        </row>
        <row r="115">
          <cell r="D115">
            <v>75415</v>
          </cell>
          <cell r="F115">
            <v>0</v>
          </cell>
          <cell r="H115">
            <v>0</v>
          </cell>
        </row>
        <row r="116">
          <cell r="D116">
            <v>6050</v>
          </cell>
          <cell r="F116">
            <v>6204</v>
          </cell>
          <cell r="H116">
            <v>0</v>
          </cell>
        </row>
        <row r="117">
          <cell r="D117">
            <v>21189</v>
          </cell>
          <cell r="F117">
            <v>0</v>
          </cell>
          <cell r="H117">
            <v>0</v>
          </cell>
        </row>
        <row r="118">
          <cell r="D118">
            <v>1452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228778</v>
          </cell>
          <cell r="F125">
            <v>8899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2173</v>
          </cell>
          <cell r="F128">
            <v>0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37650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0</v>
          </cell>
          <cell r="H134">
            <v>0</v>
          </cell>
        </row>
        <row r="136">
          <cell r="D136">
            <v>350140</v>
          </cell>
          <cell r="F136">
            <v>-21873</v>
          </cell>
          <cell r="H136">
            <v>0</v>
          </cell>
        </row>
        <row r="137">
          <cell r="D137">
            <v>170663</v>
          </cell>
          <cell r="F137">
            <v>12653</v>
          </cell>
          <cell r="H137">
            <v>0</v>
          </cell>
        </row>
        <row r="138">
          <cell r="D138">
            <v>511558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57407</v>
          </cell>
          <cell r="F141">
            <v>-5407</v>
          </cell>
          <cell r="H141">
            <v>0</v>
          </cell>
        </row>
        <row r="142">
          <cell r="D142">
            <v>0</v>
          </cell>
          <cell r="F142">
            <v>29039</v>
          </cell>
          <cell r="H142">
            <v>0</v>
          </cell>
        </row>
        <row r="143">
          <cell r="D143">
            <v>40046</v>
          </cell>
          <cell r="F143">
            <v>42083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24000</v>
          </cell>
          <cell r="F146">
            <v>0</v>
          </cell>
          <cell r="H146">
            <v>0</v>
          </cell>
        </row>
        <row r="147">
          <cell r="D147">
            <v>6588</v>
          </cell>
          <cell r="F147">
            <v>0</v>
          </cell>
          <cell r="H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6458</v>
          </cell>
          <cell r="F150">
            <v>0</v>
          </cell>
          <cell r="H150">
            <v>0</v>
          </cell>
        </row>
        <row r="151">
          <cell r="D151">
            <v>74047</v>
          </cell>
          <cell r="F151">
            <v>0</v>
          </cell>
          <cell r="H151">
            <v>0</v>
          </cell>
        </row>
        <row r="152">
          <cell r="D152">
            <v>26961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450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90056</v>
          </cell>
          <cell r="F194">
            <v>0</v>
          </cell>
          <cell r="H194">
            <v>0</v>
          </cell>
        </row>
        <row r="195">
          <cell r="D195">
            <v>46462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84562</v>
          </cell>
          <cell r="F197">
            <v>0</v>
          </cell>
          <cell r="H197">
            <v>0</v>
          </cell>
        </row>
        <row r="198">
          <cell r="D198">
            <v>16384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68316</v>
          </cell>
          <cell r="F205">
            <v>0</v>
          </cell>
          <cell r="H205">
            <v>0</v>
          </cell>
        </row>
        <row r="206">
          <cell r="D206">
            <v>668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87194</v>
          </cell>
          <cell r="F211">
            <v>0</v>
          </cell>
          <cell r="H211">
            <v>0</v>
          </cell>
        </row>
        <row r="212">
          <cell r="D212">
            <v>6785</v>
          </cell>
          <cell r="F212">
            <v>7173</v>
          </cell>
          <cell r="H212">
            <v>0</v>
          </cell>
        </row>
        <row r="213">
          <cell r="D213">
            <v>11853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4006</v>
          </cell>
          <cell r="F216">
            <v>0</v>
          </cell>
          <cell r="H216">
            <v>0</v>
          </cell>
        </row>
        <row r="221">
          <cell r="D221">
            <v>5491056</v>
          </cell>
        </row>
      </sheetData>
      <sheetData sheetId="8"/>
      <sheetData sheetId="9"/>
      <sheetData sheetId="10"/>
      <sheetData sheetId="11">
        <row r="9">
          <cell r="C9">
            <v>14508</v>
          </cell>
          <cell r="D9">
            <v>3898</v>
          </cell>
          <cell r="E9">
            <v>909</v>
          </cell>
          <cell r="F9">
            <v>15</v>
          </cell>
          <cell r="G9"/>
          <cell r="H9">
            <v>349</v>
          </cell>
          <cell r="I9">
            <v>380</v>
          </cell>
          <cell r="J9"/>
          <cell r="K9"/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22265</v>
          </cell>
        </row>
        <row r="30">
          <cell r="N30">
            <v>0.90092072759937125</v>
          </cell>
        </row>
        <row r="32">
          <cell r="N32">
            <v>0.8266786436110487</v>
          </cell>
        </row>
        <row r="34">
          <cell r="N34">
            <v>0.9175931003539558</v>
          </cell>
        </row>
      </sheetData>
      <sheetData sheetId="12"/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2034310.52</v>
          </cell>
          <cell r="G10">
            <v>0</v>
          </cell>
        </row>
        <row r="12">
          <cell r="E12">
            <v>1026987.31</v>
          </cell>
          <cell r="G12"/>
        </row>
        <row r="13">
          <cell r="E13">
            <v>-722.62000000000035</v>
          </cell>
          <cell r="G13"/>
        </row>
        <row r="14">
          <cell r="E14">
            <v>26519.37</v>
          </cell>
          <cell r="G14"/>
        </row>
        <row r="15">
          <cell r="E15">
            <v>3087094.58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201997.78</v>
          </cell>
          <cell r="G26">
            <v>0</v>
          </cell>
        </row>
        <row r="32">
          <cell r="E32">
            <v>45370.78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240726</v>
          </cell>
          <cell r="G42">
            <v>0</v>
          </cell>
        </row>
        <row r="47">
          <cell r="E47">
            <v>131889.54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10970.69</v>
          </cell>
          <cell r="G72">
            <v>-1279.92</v>
          </cell>
        </row>
        <row r="90">
          <cell r="C90">
            <v>185.56343283582089</v>
          </cell>
          <cell r="E90">
            <v>187.77806122448979</v>
          </cell>
          <cell r="G90">
            <v>158.84640522875816</v>
          </cell>
          <cell r="I90">
            <v>221.15434083601286</v>
          </cell>
        </row>
      </sheetData>
      <sheetData sheetId="6"/>
      <sheetData sheetId="7">
        <row r="10">
          <cell r="D10">
            <v>66107.73</v>
          </cell>
          <cell r="F10"/>
          <cell r="H10"/>
        </row>
        <row r="11">
          <cell r="D11"/>
          <cell r="F11"/>
          <cell r="H11"/>
        </row>
        <row r="12">
          <cell r="D12">
            <v>35269.279999999999</v>
          </cell>
          <cell r="F12"/>
          <cell r="H12"/>
        </row>
        <row r="13">
          <cell r="D13">
            <v>271839.19</v>
          </cell>
          <cell r="F13">
            <v>-250392.09999999998</v>
          </cell>
          <cell r="H13"/>
        </row>
        <row r="14">
          <cell r="D14"/>
          <cell r="F14"/>
          <cell r="H14"/>
        </row>
        <row r="15">
          <cell r="D15">
            <v>732075.24</v>
          </cell>
          <cell r="F15"/>
          <cell r="H15">
            <v>-591508</v>
          </cell>
        </row>
        <row r="16">
          <cell r="D16"/>
          <cell r="F16"/>
          <cell r="H16"/>
        </row>
        <row r="17">
          <cell r="D17"/>
          <cell r="F17"/>
          <cell r="H17"/>
        </row>
        <row r="18">
          <cell r="D18">
            <v>12060.16</v>
          </cell>
          <cell r="F18"/>
          <cell r="H18"/>
        </row>
        <row r="19">
          <cell r="D19">
            <v>14130.02</v>
          </cell>
          <cell r="F19"/>
          <cell r="H19"/>
        </row>
        <row r="20">
          <cell r="D20">
            <v>3446.59</v>
          </cell>
          <cell r="F20"/>
          <cell r="H20"/>
        </row>
        <row r="21">
          <cell r="D21">
            <v>110</v>
          </cell>
          <cell r="F21"/>
          <cell r="H21"/>
        </row>
        <row r="22">
          <cell r="D22"/>
          <cell r="F22"/>
          <cell r="H22"/>
        </row>
        <row r="23">
          <cell r="D23">
            <v>4996.49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283502.74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37310.81</v>
          </cell>
          <cell r="F29">
            <v>-37310.81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>
            <v>27608.400000000001</v>
          </cell>
          <cell r="H31"/>
        </row>
        <row r="32">
          <cell r="D32">
            <v>13334.4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311.88</v>
          </cell>
          <cell r="F38"/>
          <cell r="H38"/>
        </row>
        <row r="39">
          <cell r="D39">
            <v>6763.11</v>
          </cell>
          <cell r="F39"/>
          <cell r="H39"/>
        </row>
        <row r="40">
          <cell r="D40">
            <v>10373.67</v>
          </cell>
          <cell r="F40">
            <v>-10374</v>
          </cell>
          <cell r="H40"/>
        </row>
        <row r="41">
          <cell r="D41">
            <v>92531</v>
          </cell>
          <cell r="F41">
            <v>-92531</v>
          </cell>
          <cell r="H41"/>
        </row>
        <row r="42">
          <cell r="D42">
            <v>2404.9</v>
          </cell>
          <cell r="F42"/>
          <cell r="H42"/>
        </row>
        <row r="43">
          <cell r="D43">
            <v>6514.62</v>
          </cell>
          <cell r="F43"/>
          <cell r="H43"/>
        </row>
        <row r="44">
          <cell r="D44"/>
          <cell r="F44"/>
          <cell r="H44"/>
        </row>
        <row r="45">
          <cell r="D45">
            <v>34955.49</v>
          </cell>
          <cell r="F45"/>
          <cell r="H45"/>
        </row>
        <row r="57">
          <cell r="D57">
            <v>356400</v>
          </cell>
          <cell r="F57"/>
          <cell r="H57">
            <v>-356400</v>
          </cell>
        </row>
        <row r="58">
          <cell r="D58"/>
          <cell r="F58"/>
          <cell r="H58">
            <v>80122</v>
          </cell>
        </row>
        <row r="59">
          <cell r="D59"/>
          <cell r="F59"/>
          <cell r="H59">
            <v>113152.35</v>
          </cell>
        </row>
        <row r="60">
          <cell r="D60"/>
          <cell r="F60"/>
          <cell r="H60"/>
        </row>
        <row r="61">
          <cell r="D61">
            <v>5119.01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3241.83</v>
          </cell>
          <cell r="F65"/>
          <cell r="H65"/>
        </row>
        <row r="66">
          <cell r="D66"/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37190.93</v>
          </cell>
          <cell r="F75">
            <v>0</v>
          </cell>
          <cell r="H75"/>
        </row>
        <row r="76">
          <cell r="D76"/>
          <cell r="F76">
            <v>8187</v>
          </cell>
          <cell r="H76"/>
        </row>
        <row r="77">
          <cell r="D77">
            <v>17275.189999999999</v>
          </cell>
          <cell r="F77"/>
          <cell r="H77"/>
        </row>
        <row r="78">
          <cell r="D78">
            <v>218.36</v>
          </cell>
          <cell r="F78"/>
          <cell r="H78"/>
        </row>
        <row r="79">
          <cell r="D79">
            <v>12425.82</v>
          </cell>
          <cell r="F79"/>
          <cell r="H79"/>
        </row>
        <row r="80">
          <cell r="D80">
            <v>39590.79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9138.6299999999992</v>
          </cell>
          <cell r="F83"/>
          <cell r="H83"/>
        </row>
        <row r="84">
          <cell r="D84">
            <v>41192.240000000005</v>
          </cell>
          <cell r="F84"/>
          <cell r="H84"/>
        </row>
        <row r="85">
          <cell r="D85"/>
          <cell r="F85"/>
          <cell r="H85"/>
        </row>
        <row r="89">
          <cell r="D89">
            <v>83842.31</v>
          </cell>
          <cell r="F89">
            <v>0</v>
          </cell>
          <cell r="H89"/>
        </row>
        <row r="90">
          <cell r="D90"/>
          <cell r="F90">
            <v>18457</v>
          </cell>
          <cell r="H90"/>
        </row>
        <row r="91">
          <cell r="D91">
            <v>4757.8500000000004</v>
          </cell>
          <cell r="F91"/>
          <cell r="H91"/>
        </row>
        <row r="92">
          <cell r="D92">
            <v>78695.290000000008</v>
          </cell>
          <cell r="F92">
            <v>-409</v>
          </cell>
          <cell r="H92"/>
        </row>
        <row r="93">
          <cell r="D93">
            <v>7597.39</v>
          </cell>
          <cell r="F93"/>
          <cell r="H93"/>
        </row>
        <row r="94">
          <cell r="D94"/>
          <cell r="F94"/>
          <cell r="H94"/>
        </row>
        <row r="98">
          <cell r="D98">
            <v>24011.82</v>
          </cell>
          <cell r="F98">
            <v>0</v>
          </cell>
          <cell r="H98"/>
        </row>
        <row r="99">
          <cell r="D99"/>
          <cell r="F99">
            <v>5286</v>
          </cell>
          <cell r="H99"/>
        </row>
        <row r="100">
          <cell r="D100">
            <v>4044.5200000000004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39758.67</v>
          </cell>
          <cell r="F115">
            <v>0</v>
          </cell>
          <cell r="H115"/>
        </row>
        <row r="116">
          <cell r="D116"/>
          <cell r="F116">
            <v>8753</v>
          </cell>
          <cell r="H116"/>
        </row>
        <row r="117">
          <cell r="D117">
            <v>7783.04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>
            <v>24000</v>
          </cell>
          <cell r="F124"/>
          <cell r="H124"/>
        </row>
        <row r="125">
          <cell r="D125">
            <v>118846.58</v>
          </cell>
          <cell r="F125">
            <v>0</v>
          </cell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7257.01</v>
          </cell>
          <cell r="F128">
            <v>0</v>
          </cell>
          <cell r="H128"/>
        </row>
        <row r="130">
          <cell r="D130"/>
          <cell r="F130"/>
          <cell r="H130"/>
        </row>
        <row r="131">
          <cell r="D131"/>
          <cell r="F131">
            <v>26163.64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1597.6</v>
          </cell>
          <cell r="H134"/>
        </row>
        <row r="136">
          <cell r="D136">
            <v>34178.67</v>
          </cell>
          <cell r="F136"/>
          <cell r="H136"/>
        </row>
        <row r="137">
          <cell r="D137">
            <v>243337.48</v>
          </cell>
          <cell r="F137"/>
          <cell r="H137"/>
        </row>
        <row r="138">
          <cell r="D138">
            <v>356593.14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7524.35</v>
          </cell>
          <cell r="H141"/>
        </row>
        <row r="142">
          <cell r="D142"/>
          <cell r="F142">
            <v>53569.56</v>
          </cell>
          <cell r="H142"/>
        </row>
        <row r="143">
          <cell r="D143"/>
          <cell r="F143">
            <v>78502.36</v>
          </cell>
          <cell r="H143"/>
        </row>
        <row r="144">
          <cell r="D144"/>
          <cell r="F144"/>
          <cell r="H144"/>
        </row>
        <row r="146">
          <cell r="D146"/>
          <cell r="F146"/>
          <cell r="H146"/>
        </row>
        <row r="147">
          <cell r="D147">
            <v>2966.45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4481</v>
          </cell>
          <cell r="F150"/>
          <cell r="H150"/>
        </row>
        <row r="151">
          <cell r="D151">
            <v>50346.85</v>
          </cell>
          <cell r="F151"/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3802.4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44878.12</v>
          </cell>
          <cell r="F194"/>
          <cell r="H194"/>
        </row>
        <row r="195">
          <cell r="D195">
            <v>4781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25227.42</v>
          </cell>
          <cell r="F197"/>
          <cell r="H197"/>
        </row>
        <row r="198">
          <cell r="D198">
            <v>4074.64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9437.7200000000012</v>
          </cell>
          <cell r="F205"/>
          <cell r="H205">
            <v>-2225</v>
          </cell>
        </row>
        <row r="206">
          <cell r="D206">
            <v>837.84</v>
          </cell>
          <cell r="F206"/>
          <cell r="H206"/>
        </row>
        <row r="207">
          <cell r="D207"/>
          <cell r="F207"/>
          <cell r="H207"/>
        </row>
        <row r="211">
          <cell r="D211">
            <v>63012.429999999993</v>
          </cell>
          <cell r="F211"/>
          <cell r="H211"/>
        </row>
        <row r="212">
          <cell r="D212"/>
          <cell r="F212">
            <v>13871.81</v>
          </cell>
          <cell r="H212"/>
        </row>
        <row r="213">
          <cell r="D213">
            <v>9788.06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1784.21</v>
          </cell>
          <cell r="F216"/>
          <cell r="H216"/>
        </row>
        <row r="221">
          <cell r="D221">
            <v>3409952.39</v>
          </cell>
        </row>
      </sheetData>
      <sheetData sheetId="8"/>
      <sheetData sheetId="9"/>
      <sheetData sheetId="10">
        <row r="9">
          <cell r="C9">
            <v>11480</v>
          </cell>
          <cell r="D9"/>
          <cell r="E9">
            <v>260</v>
          </cell>
          <cell r="F9">
            <v>125</v>
          </cell>
          <cell r="G9"/>
          <cell r="H9">
            <v>1277</v>
          </cell>
          <cell r="I9">
            <v>756</v>
          </cell>
          <cell r="J9"/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18980</v>
          </cell>
        </row>
        <row r="30">
          <cell r="N30">
            <v>0.73224446786090625</v>
          </cell>
        </row>
        <row r="32">
          <cell r="N32">
            <v>0.60484720758693367</v>
          </cell>
        </row>
        <row r="34">
          <cell r="N34">
            <v>0.82601813210533892</v>
          </cell>
        </row>
      </sheetData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90">
          <cell r="C90">
            <v>179.26061776061775</v>
          </cell>
          <cell r="E90">
            <v>179.60077519379846</v>
          </cell>
          <cell r="G90">
            <v>179.51423149905122</v>
          </cell>
          <cell r="I90">
            <v>180.00268096514745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733802.74</v>
          </cell>
          <cell r="G10">
            <v>0</v>
          </cell>
        </row>
        <row r="12">
          <cell r="E12">
            <v>315315.15000000002</v>
          </cell>
          <cell r="G12"/>
        </row>
        <row r="13">
          <cell r="E13">
            <v>-2551.3599999999997</v>
          </cell>
          <cell r="G13"/>
        </row>
        <row r="14">
          <cell r="E14">
            <v>5664.3</v>
          </cell>
          <cell r="G14"/>
        </row>
        <row r="15">
          <cell r="E15">
            <v>1052230.83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469599.91</v>
          </cell>
          <cell r="G26">
            <v>0</v>
          </cell>
        </row>
        <row r="32">
          <cell r="E32">
            <v>250450.43000000002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347275.61</v>
          </cell>
          <cell r="G42">
            <v>0</v>
          </cell>
        </row>
        <row r="47">
          <cell r="E47">
            <v>260897.65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2987</v>
          </cell>
          <cell r="G57">
            <v>0</v>
          </cell>
        </row>
        <row r="72">
          <cell r="E72">
            <v>11115.76</v>
          </cell>
          <cell r="G72">
            <v>-5650</v>
          </cell>
        </row>
      </sheetData>
      <sheetData sheetId="6"/>
      <sheetData sheetId="7">
        <row r="10">
          <cell r="D10">
            <v>73696.479999999996</v>
          </cell>
          <cell r="F10"/>
          <cell r="H10"/>
        </row>
        <row r="11">
          <cell r="D11"/>
          <cell r="F11"/>
          <cell r="H11"/>
        </row>
        <row r="12">
          <cell r="D12">
            <v>36377.11</v>
          </cell>
          <cell r="F12"/>
          <cell r="H12"/>
        </row>
        <row r="13">
          <cell r="D13">
            <v>210845.75</v>
          </cell>
          <cell r="F13">
            <v>-188579.8</v>
          </cell>
          <cell r="H13"/>
        </row>
        <row r="14">
          <cell r="D14"/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135301</v>
          </cell>
          <cell r="F16"/>
          <cell r="H16">
            <v>32144</v>
          </cell>
        </row>
        <row r="17">
          <cell r="D17"/>
          <cell r="F17"/>
          <cell r="H17"/>
        </row>
        <row r="18">
          <cell r="D18">
            <v>15657.62</v>
          </cell>
          <cell r="F18"/>
          <cell r="H18"/>
        </row>
        <row r="19">
          <cell r="D19">
            <v>10174.549999999999</v>
          </cell>
          <cell r="F19"/>
          <cell r="H19"/>
        </row>
        <row r="20">
          <cell r="D20">
            <v>3227.36</v>
          </cell>
          <cell r="F20"/>
          <cell r="H20"/>
        </row>
        <row r="21">
          <cell r="D21"/>
          <cell r="F21"/>
          <cell r="H21"/>
        </row>
        <row r="22">
          <cell r="D22"/>
          <cell r="F22"/>
          <cell r="H22"/>
        </row>
        <row r="23">
          <cell r="D23">
            <v>7685.93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155315.82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22741.43</v>
          </cell>
          <cell r="F29">
            <v>-22741.43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>
            <v>25092.799999999999</v>
          </cell>
          <cell r="H31"/>
        </row>
        <row r="32">
          <cell r="D32">
            <v>11681.41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2371.87</v>
          </cell>
          <cell r="F39"/>
          <cell r="H39"/>
        </row>
        <row r="40">
          <cell r="D40">
            <v>7781.91</v>
          </cell>
          <cell r="F40">
            <v>-7782</v>
          </cell>
          <cell r="H40"/>
        </row>
        <row r="41">
          <cell r="D41"/>
          <cell r="F41"/>
          <cell r="H41"/>
        </row>
        <row r="42">
          <cell r="D42">
            <v>2609.6999999999998</v>
          </cell>
          <cell r="F42"/>
          <cell r="H42"/>
        </row>
        <row r="43">
          <cell r="D43">
            <v>8071.63</v>
          </cell>
          <cell r="F43"/>
          <cell r="H43"/>
        </row>
        <row r="44">
          <cell r="D44"/>
          <cell r="F44"/>
          <cell r="H44"/>
        </row>
        <row r="45">
          <cell r="D45">
            <v>30177.26</v>
          </cell>
          <cell r="F45"/>
          <cell r="H45"/>
        </row>
        <row r="57">
          <cell r="D57">
            <v>244816.16</v>
          </cell>
          <cell r="F57">
            <v>0</v>
          </cell>
          <cell r="H57">
            <v>-244816</v>
          </cell>
        </row>
        <row r="58">
          <cell r="D58"/>
          <cell r="F58">
            <v>0</v>
          </cell>
          <cell r="H58">
            <v>96860</v>
          </cell>
        </row>
        <row r="59">
          <cell r="D59"/>
          <cell r="F59">
            <v>-1436</v>
          </cell>
          <cell r="H59">
            <v>28780</v>
          </cell>
        </row>
        <row r="60">
          <cell r="D60"/>
          <cell r="F60"/>
          <cell r="H60"/>
        </row>
        <row r="61">
          <cell r="D61">
            <v>5763.81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3868.89</v>
          </cell>
          <cell r="F65"/>
          <cell r="H65"/>
        </row>
        <row r="66">
          <cell r="D66"/>
          <cell r="F66"/>
          <cell r="H66"/>
        </row>
        <row r="67">
          <cell r="D67">
            <v>648.64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30083.78</v>
          </cell>
          <cell r="F75">
            <v>-3150</v>
          </cell>
          <cell r="H75"/>
        </row>
        <row r="76">
          <cell r="D76"/>
          <cell r="F76">
            <v>6085</v>
          </cell>
          <cell r="H76"/>
        </row>
        <row r="77">
          <cell r="D77">
            <v>12394.59</v>
          </cell>
          <cell r="F77"/>
          <cell r="H77"/>
        </row>
        <row r="78">
          <cell r="D78">
            <v>8644.67</v>
          </cell>
          <cell r="F78"/>
          <cell r="H78"/>
        </row>
        <row r="79">
          <cell r="D79">
            <v>1000.12</v>
          </cell>
          <cell r="F79"/>
          <cell r="H79"/>
        </row>
        <row r="80">
          <cell r="D80">
            <v>22678.68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4796.21</v>
          </cell>
          <cell r="F83">
            <v>-93</v>
          </cell>
          <cell r="H83"/>
        </row>
        <row r="84">
          <cell r="D84">
            <v>64260.36</v>
          </cell>
          <cell r="F84"/>
          <cell r="H84"/>
        </row>
        <row r="85">
          <cell r="D85"/>
          <cell r="F85"/>
          <cell r="H85"/>
        </row>
        <row r="89">
          <cell r="D89">
            <v>94078.16</v>
          </cell>
          <cell r="F89"/>
          <cell r="H89"/>
        </row>
        <row r="90">
          <cell r="D90"/>
          <cell r="F90">
            <v>19030</v>
          </cell>
          <cell r="H90"/>
        </row>
        <row r="91">
          <cell r="D91">
            <v>1374.6</v>
          </cell>
          <cell r="F91"/>
          <cell r="H91"/>
        </row>
        <row r="92">
          <cell r="D92">
            <v>59002.32</v>
          </cell>
          <cell r="F92">
            <v>-842</v>
          </cell>
          <cell r="H92"/>
        </row>
        <row r="93">
          <cell r="D93">
            <v>6526.61</v>
          </cell>
          <cell r="F93"/>
          <cell r="H93"/>
        </row>
        <row r="94">
          <cell r="D94"/>
          <cell r="F94"/>
          <cell r="H94"/>
        </row>
        <row r="98">
          <cell r="D98">
            <v>26864.53</v>
          </cell>
          <cell r="F98"/>
          <cell r="H98"/>
        </row>
        <row r="99">
          <cell r="D99"/>
          <cell r="F99">
            <v>5434</v>
          </cell>
          <cell r="H99"/>
        </row>
        <row r="100">
          <cell r="D100">
            <v>2433.5</v>
          </cell>
          <cell r="F100"/>
          <cell r="H100"/>
        </row>
        <row r="101">
          <cell r="D101"/>
          <cell r="F101"/>
          <cell r="H101"/>
        </row>
        <row r="102">
          <cell r="D102">
            <v>728.74</v>
          </cell>
          <cell r="F102"/>
          <cell r="H102"/>
        </row>
        <row r="103">
          <cell r="D103"/>
          <cell r="F103"/>
          <cell r="H103"/>
        </row>
        <row r="115">
          <cell r="D115">
            <v>21244.52</v>
          </cell>
          <cell r="F115"/>
          <cell r="H115"/>
        </row>
        <row r="116">
          <cell r="D116"/>
          <cell r="F116">
            <v>4297</v>
          </cell>
          <cell r="H116"/>
        </row>
        <row r="117">
          <cell r="D117">
            <v>6173.22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>
            <v>10225</v>
          </cell>
          <cell r="F124"/>
          <cell r="H124"/>
        </row>
        <row r="125">
          <cell r="D125">
            <v>119266.9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/>
          <cell r="F127"/>
          <cell r="H127"/>
        </row>
        <row r="128">
          <cell r="D128">
            <v>3741.61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24126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757</v>
          </cell>
          <cell r="H134"/>
        </row>
        <row r="136">
          <cell r="D136">
            <v>81534.960000000006</v>
          </cell>
          <cell r="F136">
            <v>16493</v>
          </cell>
          <cell r="H136"/>
        </row>
        <row r="137">
          <cell r="D137">
            <v>125680.97</v>
          </cell>
          <cell r="F137">
            <v>25423</v>
          </cell>
          <cell r="H137"/>
        </row>
        <row r="138">
          <cell r="D138">
            <v>257531.97</v>
          </cell>
          <cell r="F138">
            <v>52094</v>
          </cell>
          <cell r="H138"/>
        </row>
        <row r="139">
          <cell r="D139"/>
          <cell r="F139"/>
          <cell r="H139"/>
        </row>
        <row r="141">
          <cell r="D141"/>
          <cell r="F141"/>
          <cell r="H141"/>
        </row>
        <row r="142">
          <cell r="D142"/>
          <cell r="F142"/>
          <cell r="H142"/>
        </row>
        <row r="143">
          <cell r="D143"/>
          <cell r="F143"/>
          <cell r="H143"/>
        </row>
        <row r="144">
          <cell r="D144"/>
          <cell r="F144"/>
          <cell r="H144"/>
        </row>
        <row r="146">
          <cell r="D146"/>
          <cell r="F146"/>
          <cell r="H146"/>
        </row>
        <row r="147">
          <cell r="D147">
            <v>5570.36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3449</v>
          </cell>
          <cell r="F150"/>
          <cell r="H150"/>
        </row>
        <row r="151">
          <cell r="D151">
            <v>40303.160000000003</v>
          </cell>
          <cell r="F151">
            <v>-129</v>
          </cell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2896.95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455.59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105247.22</v>
          </cell>
          <cell r="F194"/>
          <cell r="H194"/>
        </row>
        <row r="195">
          <cell r="D195">
            <v>17519.419999999998</v>
          </cell>
          <cell r="F195"/>
          <cell r="H195"/>
        </row>
        <row r="196">
          <cell r="D196"/>
          <cell r="F196"/>
          <cell r="H196"/>
        </row>
        <row r="197">
          <cell r="D197">
            <v>55070.04</v>
          </cell>
          <cell r="F197"/>
          <cell r="H197"/>
        </row>
        <row r="198">
          <cell r="D198">
            <v>7894.4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57301.090000000004</v>
          </cell>
          <cell r="F205"/>
          <cell r="H205">
            <v>-9999</v>
          </cell>
        </row>
        <row r="206">
          <cell r="D206">
            <v>3804</v>
          </cell>
          <cell r="F206"/>
          <cell r="H206"/>
        </row>
        <row r="207">
          <cell r="D207"/>
          <cell r="F207"/>
          <cell r="H207"/>
        </row>
        <row r="211">
          <cell r="D211">
            <v>48186.78</v>
          </cell>
          <cell r="F211"/>
          <cell r="H211"/>
        </row>
        <row r="212">
          <cell r="D212"/>
          <cell r="F212">
            <v>9747</v>
          </cell>
          <cell r="H212"/>
        </row>
        <row r="213">
          <cell r="D213">
            <v>2125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1059.77</v>
          </cell>
          <cell r="F216"/>
          <cell r="H216"/>
        </row>
        <row r="221">
          <cell r="D221">
            <v>2299962.96</v>
          </cell>
        </row>
      </sheetData>
      <sheetData sheetId="8"/>
      <sheetData sheetId="9"/>
      <sheetData sheetId="10">
        <row r="9">
          <cell r="C9">
            <v>4027</v>
          </cell>
          <cell r="D9"/>
          <cell r="E9">
            <v>946</v>
          </cell>
          <cell r="F9">
            <v>614</v>
          </cell>
          <cell r="G9"/>
          <cell r="H9">
            <v>1934</v>
          </cell>
          <cell r="I9">
            <v>1427</v>
          </cell>
          <cell r="J9"/>
          <cell r="K9">
            <v>7</v>
          </cell>
        </row>
        <row r="22">
          <cell r="N22">
            <v>38</v>
          </cell>
        </row>
        <row r="24">
          <cell r="N24">
            <v>38</v>
          </cell>
        </row>
        <row r="28">
          <cell r="N28">
            <v>13870</v>
          </cell>
        </row>
        <row r="30">
          <cell r="N30">
            <v>0.64563806777217014</v>
          </cell>
        </row>
        <row r="32">
          <cell r="N32">
            <v>0.29033886085075705</v>
          </cell>
        </row>
        <row r="34">
          <cell r="N34">
            <v>0.44969290898939146</v>
          </cell>
        </row>
      </sheetData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1528273.96</v>
          </cell>
          <cell r="G10">
            <v>0</v>
          </cell>
        </row>
        <row r="12">
          <cell r="E12">
            <v>595691.21</v>
          </cell>
          <cell r="G12"/>
        </row>
        <row r="13">
          <cell r="E13">
            <v>-2107.1500000000005</v>
          </cell>
          <cell r="G13"/>
        </row>
        <row r="14">
          <cell r="E14">
            <v>38875.449999999997</v>
          </cell>
          <cell r="G14"/>
        </row>
        <row r="15">
          <cell r="E15">
            <v>2160733.4699999997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507011.76999999996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566025.98</v>
          </cell>
          <cell r="G42">
            <v>0</v>
          </cell>
        </row>
        <row r="47">
          <cell r="E47">
            <v>224853.88999999998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3517</v>
          </cell>
          <cell r="G57">
            <v>0</v>
          </cell>
        </row>
        <row r="72">
          <cell r="E72">
            <v>457026.33</v>
          </cell>
          <cell r="G72">
            <v>-452889.75</v>
          </cell>
        </row>
        <row r="90">
          <cell r="C90">
            <v>171.58885017421602</v>
          </cell>
          <cell r="E90">
            <v>153.38685344827587</v>
          </cell>
          <cell r="G90">
            <v>170.67168998923574</v>
          </cell>
          <cell r="I90">
            <v>185.45181674565561</v>
          </cell>
        </row>
      </sheetData>
      <sheetData sheetId="6"/>
      <sheetData sheetId="7">
        <row r="10">
          <cell r="D10">
            <v>101425.21</v>
          </cell>
          <cell r="F10">
            <v>-3755</v>
          </cell>
          <cell r="H10"/>
        </row>
        <row r="11">
          <cell r="D11"/>
          <cell r="F11"/>
          <cell r="H11"/>
        </row>
        <row r="12">
          <cell r="D12">
            <v>34756.71</v>
          </cell>
          <cell r="F12"/>
          <cell r="H12"/>
        </row>
        <row r="13">
          <cell r="D13">
            <v>342779.93</v>
          </cell>
          <cell r="F13">
            <v>-312781.65000000002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293504</v>
          </cell>
          <cell r="F16"/>
          <cell r="H16">
            <v>-56247</v>
          </cell>
        </row>
        <row r="17">
          <cell r="D17"/>
          <cell r="F17"/>
          <cell r="H17"/>
        </row>
        <row r="18">
          <cell r="D18">
            <v>20565.329999999998</v>
          </cell>
          <cell r="F18"/>
          <cell r="H18"/>
        </row>
        <row r="19">
          <cell r="D19">
            <v>10701.859999999999</v>
          </cell>
          <cell r="F19"/>
          <cell r="H19"/>
        </row>
        <row r="20">
          <cell r="D20">
            <v>6919.37</v>
          </cell>
          <cell r="F20"/>
          <cell r="H20"/>
        </row>
        <row r="21">
          <cell r="D21">
            <v>3088</v>
          </cell>
          <cell r="F21"/>
          <cell r="H21"/>
        </row>
        <row r="22">
          <cell r="D22"/>
          <cell r="F22"/>
          <cell r="H22"/>
        </row>
        <row r="23">
          <cell r="D23">
            <v>4174.24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275966.28000000003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180713.87</v>
          </cell>
          <cell r="F29">
            <v>-180713.87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>
            <v>34256.949999999997</v>
          </cell>
          <cell r="H31"/>
        </row>
        <row r="32">
          <cell r="D32">
            <v>14370.47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3695.58</v>
          </cell>
          <cell r="F39"/>
          <cell r="H39"/>
        </row>
        <row r="40">
          <cell r="D40">
            <v>16299.87</v>
          </cell>
          <cell r="F40">
            <v>-16300</v>
          </cell>
          <cell r="H40"/>
        </row>
        <row r="41">
          <cell r="D41">
            <v>147957.79999999999</v>
          </cell>
          <cell r="F41">
            <v>-145545</v>
          </cell>
          <cell r="H41"/>
        </row>
        <row r="42">
          <cell r="D42">
            <v>3276.2</v>
          </cell>
          <cell r="F42"/>
          <cell r="H42"/>
        </row>
        <row r="43">
          <cell r="D43">
            <v>10665.93</v>
          </cell>
          <cell r="F43"/>
          <cell r="H43"/>
        </row>
        <row r="44">
          <cell r="D44"/>
          <cell r="F44"/>
          <cell r="H44"/>
        </row>
        <row r="45">
          <cell r="D45">
            <v>44850.020000000004</v>
          </cell>
          <cell r="F45">
            <v>-86926</v>
          </cell>
          <cell r="H45">
            <v>2168</v>
          </cell>
        </row>
        <row r="57">
          <cell r="D57">
            <v>348910.02</v>
          </cell>
          <cell r="F57"/>
          <cell r="H57">
            <v>-348910</v>
          </cell>
        </row>
        <row r="58">
          <cell r="D58"/>
          <cell r="F58"/>
          <cell r="H58">
            <v>134731</v>
          </cell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2963.68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2656</v>
          </cell>
          <cell r="F65"/>
          <cell r="H65"/>
        </row>
        <row r="66">
          <cell r="D66"/>
          <cell r="F66"/>
          <cell r="H66"/>
        </row>
        <row r="67">
          <cell r="D67">
            <v>6316.37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>
            <v>-43155</v>
          </cell>
          <cell r="H71"/>
        </row>
        <row r="75">
          <cell r="D75">
            <v>41641.11</v>
          </cell>
          <cell r="F75"/>
          <cell r="H75"/>
        </row>
        <row r="76">
          <cell r="D76"/>
          <cell r="F76">
            <v>9172.7099999999991</v>
          </cell>
          <cell r="H76"/>
        </row>
        <row r="77">
          <cell r="D77">
            <v>11836.12</v>
          </cell>
          <cell r="F77"/>
          <cell r="H77"/>
        </row>
        <row r="78">
          <cell r="D78">
            <v>1721.99</v>
          </cell>
          <cell r="F78"/>
          <cell r="H78"/>
        </row>
        <row r="79">
          <cell r="D79">
            <v>17873.16</v>
          </cell>
          <cell r="F79"/>
          <cell r="H79"/>
        </row>
        <row r="80">
          <cell r="D80">
            <v>36377.25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7264.57</v>
          </cell>
          <cell r="F83"/>
          <cell r="H83"/>
        </row>
        <row r="84">
          <cell r="D84">
            <v>56615.02</v>
          </cell>
          <cell r="F84"/>
          <cell r="H84"/>
        </row>
        <row r="85">
          <cell r="D85"/>
          <cell r="F85">
            <v>-45796</v>
          </cell>
          <cell r="H85"/>
        </row>
        <row r="89">
          <cell r="D89">
            <v>141039.01</v>
          </cell>
          <cell r="F89"/>
          <cell r="H89"/>
        </row>
        <row r="90">
          <cell r="D90"/>
          <cell r="F90">
            <v>31068.18</v>
          </cell>
          <cell r="H90"/>
        </row>
        <row r="91">
          <cell r="D91">
            <v>3276.8</v>
          </cell>
          <cell r="F91"/>
          <cell r="H91"/>
        </row>
        <row r="92">
          <cell r="D92">
            <v>116583.19</v>
          </cell>
          <cell r="F92">
            <v>-1053</v>
          </cell>
          <cell r="H92"/>
        </row>
        <row r="93">
          <cell r="D93">
            <v>15644.75</v>
          </cell>
          <cell r="F93"/>
          <cell r="H93"/>
        </row>
        <row r="94">
          <cell r="D94"/>
          <cell r="F94">
            <v>-78034</v>
          </cell>
          <cell r="H94"/>
        </row>
        <row r="98">
          <cell r="D98">
            <v>23252.6</v>
          </cell>
          <cell r="F98"/>
          <cell r="H98"/>
        </row>
        <row r="99">
          <cell r="D99"/>
          <cell r="F99">
            <v>5122.1899999999996</v>
          </cell>
          <cell r="H99"/>
        </row>
        <row r="100">
          <cell r="D100">
            <v>5498.96</v>
          </cell>
          <cell r="F100"/>
          <cell r="H100"/>
        </row>
        <row r="101">
          <cell r="D101"/>
          <cell r="F101"/>
          <cell r="H101"/>
        </row>
        <row r="102">
          <cell r="D102">
            <v>-94.82</v>
          </cell>
          <cell r="F102"/>
          <cell r="H102"/>
        </row>
        <row r="103">
          <cell r="D103"/>
          <cell r="F103"/>
          <cell r="H103"/>
        </row>
        <row r="115">
          <cell r="D115">
            <v>30840.09</v>
          </cell>
          <cell r="F115"/>
          <cell r="H115"/>
        </row>
        <row r="116">
          <cell r="D116"/>
          <cell r="F116">
            <v>6793.46</v>
          </cell>
          <cell r="H116"/>
        </row>
        <row r="117">
          <cell r="D117">
            <v>15820.4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>
            <v>22000</v>
          </cell>
          <cell r="F124"/>
          <cell r="H124"/>
        </row>
        <row r="125">
          <cell r="D125">
            <v>94164.64</v>
          </cell>
          <cell r="F125"/>
          <cell r="H125"/>
        </row>
        <row r="126">
          <cell r="D126">
            <v>34552.730000000003</v>
          </cell>
          <cell r="F126"/>
          <cell r="H126"/>
        </row>
        <row r="127">
          <cell r="D127"/>
          <cell r="F127"/>
          <cell r="H127"/>
        </row>
        <row r="128">
          <cell r="D128">
            <v>11901.79</v>
          </cell>
          <cell r="F128">
            <v>-1360</v>
          </cell>
          <cell r="H128"/>
        </row>
        <row r="130">
          <cell r="D130"/>
          <cell r="F130"/>
          <cell r="H130"/>
        </row>
        <row r="131">
          <cell r="D131"/>
          <cell r="F131">
            <v>28354.1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2621.78</v>
          </cell>
          <cell r="H134"/>
        </row>
        <row r="136">
          <cell r="D136">
            <v>106021.58</v>
          </cell>
          <cell r="F136"/>
          <cell r="H136"/>
        </row>
        <row r="137">
          <cell r="D137">
            <v>191536.16</v>
          </cell>
          <cell r="F137"/>
          <cell r="H137"/>
        </row>
        <row r="138">
          <cell r="D138">
            <v>349482.22000000003</v>
          </cell>
          <cell r="F138"/>
          <cell r="H138"/>
        </row>
        <row r="139">
          <cell r="D139">
            <v>7488.04</v>
          </cell>
          <cell r="F139"/>
          <cell r="H139"/>
        </row>
        <row r="141">
          <cell r="D141"/>
          <cell r="F141">
            <v>23354.61</v>
          </cell>
          <cell r="H141"/>
        </row>
        <row r="142">
          <cell r="D142"/>
          <cell r="F142">
            <v>42191.7</v>
          </cell>
          <cell r="H142"/>
        </row>
        <row r="143">
          <cell r="D143"/>
          <cell r="F143">
            <v>76984.179999999993</v>
          </cell>
          <cell r="H143"/>
        </row>
        <row r="144">
          <cell r="D144"/>
          <cell r="F144">
            <v>1649.46</v>
          </cell>
          <cell r="H144"/>
        </row>
        <row r="146">
          <cell r="D146"/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9866.1699999999983</v>
          </cell>
          <cell r="F150"/>
          <cell r="H150"/>
        </row>
        <row r="151">
          <cell r="D151">
            <v>61181.909999999996</v>
          </cell>
          <cell r="F151"/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4201.84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0.4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59057.85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>
            <v>52473.85</v>
          </cell>
          <cell r="F197"/>
          <cell r="H197"/>
        </row>
        <row r="198">
          <cell r="D198">
            <v>8227</v>
          </cell>
          <cell r="F198"/>
          <cell r="H198">
            <v>-3846</v>
          </cell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43697.85</v>
          </cell>
          <cell r="F205"/>
          <cell r="H205">
            <v>-4179.49</v>
          </cell>
        </row>
        <row r="206">
          <cell r="D206">
            <v>6701.06</v>
          </cell>
          <cell r="F206"/>
          <cell r="H206"/>
        </row>
        <row r="207">
          <cell r="D207">
            <v>182988.90000000002</v>
          </cell>
          <cell r="F207">
            <v>-182104.88</v>
          </cell>
          <cell r="H207"/>
        </row>
        <row r="211">
          <cell r="D211">
            <v>50381.520000000004</v>
          </cell>
          <cell r="F211"/>
          <cell r="H211"/>
        </row>
        <row r="212">
          <cell r="D212"/>
          <cell r="F212">
            <v>11098</v>
          </cell>
          <cell r="H212"/>
        </row>
        <row r="213">
          <cell r="D213">
            <v>23473.989999999998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5851.55</v>
          </cell>
          <cell r="F216"/>
          <cell r="H216"/>
        </row>
        <row r="221">
          <cell r="D221">
            <v>3726997.99</v>
          </cell>
        </row>
      </sheetData>
      <sheetData sheetId="8"/>
      <sheetData sheetId="9"/>
      <sheetData sheetId="10">
        <row r="9">
          <cell r="C9">
            <v>8610</v>
          </cell>
          <cell r="D9"/>
          <cell r="E9">
            <v>1100</v>
          </cell>
          <cell r="F9">
            <v>0</v>
          </cell>
          <cell r="G9"/>
          <cell r="H9">
            <v>3351</v>
          </cell>
          <cell r="I9">
            <v>1168</v>
          </cell>
          <cell r="J9"/>
          <cell r="K9">
            <v>20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0.84865991661703399</v>
          </cell>
        </row>
        <row r="32">
          <cell r="N32">
            <v>0.51280524121500892</v>
          </cell>
        </row>
        <row r="34">
          <cell r="N34">
            <v>0.60425293003017755</v>
          </cell>
        </row>
      </sheetData>
      <sheetData sheetId="11"/>
      <sheetData sheetId="1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43253</v>
          </cell>
        </row>
      </sheetData>
      <sheetData sheetId="3"/>
      <sheetData sheetId="4"/>
      <sheetData sheetId="5">
        <row r="10">
          <cell r="E10">
            <v>1863805.5</v>
          </cell>
          <cell r="G10">
            <v>0</v>
          </cell>
        </row>
        <row r="12">
          <cell r="E12">
            <v>1449183.67</v>
          </cell>
          <cell r="G12"/>
        </row>
        <row r="13">
          <cell r="E13">
            <v>-8627.76</v>
          </cell>
          <cell r="G13"/>
        </row>
        <row r="14">
          <cell r="E14"/>
          <cell r="G14">
            <v>32466.720000000001</v>
          </cell>
        </row>
        <row r="15">
          <cell r="E15">
            <v>3304361.41</v>
          </cell>
          <cell r="G15">
            <v>32466.720000000001</v>
          </cell>
        </row>
        <row r="20">
          <cell r="E20">
            <v>0</v>
          </cell>
          <cell r="G20">
            <v>0</v>
          </cell>
        </row>
        <row r="26">
          <cell r="E26">
            <v>576403.05000000005</v>
          </cell>
          <cell r="G26">
            <v>0</v>
          </cell>
        </row>
        <row r="32">
          <cell r="E32">
            <v>43468.930000000008</v>
          </cell>
          <cell r="G32">
            <v>-7929.6</v>
          </cell>
        </row>
        <row r="37">
          <cell r="E37">
            <v>0</v>
          </cell>
          <cell r="G37">
            <v>0</v>
          </cell>
        </row>
        <row r="42">
          <cell r="E42">
            <v>858827.06</v>
          </cell>
          <cell r="G42">
            <v>0</v>
          </cell>
        </row>
        <row r="47">
          <cell r="E47">
            <v>283355.7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7929.6</v>
          </cell>
        </row>
        <row r="72">
          <cell r="E72">
            <v>40266.660000000003</v>
          </cell>
          <cell r="G72">
            <v>-38061.909999999996</v>
          </cell>
        </row>
        <row r="90">
          <cell r="C90">
            <v>219.22401614530776</v>
          </cell>
          <cell r="E90">
            <v>213.00673724735321</v>
          </cell>
          <cell r="G90">
            <v>210.61692969870876</v>
          </cell>
          <cell r="I90">
            <v>229.87658802177859</v>
          </cell>
        </row>
      </sheetData>
      <sheetData sheetId="6"/>
      <sheetData sheetId="7">
        <row r="10">
          <cell r="D10">
            <v>109461.53</v>
          </cell>
          <cell r="F10"/>
          <cell r="H10"/>
        </row>
        <row r="11">
          <cell r="D11"/>
          <cell r="F11"/>
          <cell r="H11"/>
        </row>
        <row r="12">
          <cell r="D12">
            <v>119352.31</v>
          </cell>
          <cell r="F12">
            <v>-62098</v>
          </cell>
          <cell r="H12">
            <v>0</v>
          </cell>
        </row>
        <row r="13">
          <cell r="D13">
            <v>431904.78</v>
          </cell>
          <cell r="F13">
            <v>-397511.7</v>
          </cell>
          <cell r="H13">
            <v>0</v>
          </cell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342392</v>
          </cell>
          <cell r="F16"/>
          <cell r="H16">
            <v>-91562.66</v>
          </cell>
        </row>
        <row r="17">
          <cell r="D17"/>
          <cell r="F17"/>
          <cell r="H17"/>
        </row>
        <row r="18">
          <cell r="D18">
            <v>18069.689999999999</v>
          </cell>
          <cell r="F18"/>
          <cell r="H18"/>
        </row>
        <row r="19">
          <cell r="D19">
            <v>13861.33</v>
          </cell>
          <cell r="F19"/>
          <cell r="H19"/>
        </row>
        <row r="20">
          <cell r="D20">
            <v>5884.63</v>
          </cell>
          <cell r="F20"/>
          <cell r="H20"/>
        </row>
        <row r="21">
          <cell r="D21">
            <v>6921.8</v>
          </cell>
          <cell r="F21"/>
          <cell r="H21"/>
        </row>
        <row r="22">
          <cell r="D22"/>
          <cell r="F22"/>
          <cell r="H22"/>
        </row>
        <row r="23">
          <cell r="D23">
            <v>13775.87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345771.38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312709</v>
          </cell>
          <cell r="F29">
            <v>-312709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>
            <v>45871.8</v>
          </cell>
          <cell r="H31"/>
        </row>
        <row r="32">
          <cell r="D32">
            <v>20485.78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18078.11</v>
          </cell>
          <cell r="F36">
            <v>3729.39</v>
          </cell>
          <cell r="H36"/>
        </row>
        <row r="37">
          <cell r="D37"/>
          <cell r="F37"/>
          <cell r="H37"/>
        </row>
        <row r="38">
          <cell r="D38">
            <v>109.32</v>
          </cell>
          <cell r="F38"/>
          <cell r="H38"/>
        </row>
        <row r="39">
          <cell r="D39">
            <v>12431.6</v>
          </cell>
          <cell r="F39"/>
          <cell r="H39"/>
        </row>
        <row r="40">
          <cell r="D40">
            <v>8582.75</v>
          </cell>
          <cell r="F40">
            <v>-8583</v>
          </cell>
          <cell r="H40">
            <v>0</v>
          </cell>
        </row>
        <row r="41">
          <cell r="D41">
            <v>70434</v>
          </cell>
          <cell r="F41">
            <v>-70434</v>
          </cell>
          <cell r="H41"/>
        </row>
        <row r="42">
          <cell r="D42">
            <v>4461.18</v>
          </cell>
          <cell r="F42"/>
          <cell r="H42"/>
        </row>
        <row r="43">
          <cell r="D43">
            <v>14659.07</v>
          </cell>
          <cell r="F43"/>
          <cell r="H43"/>
        </row>
        <row r="44">
          <cell r="D44"/>
          <cell r="F44"/>
          <cell r="H44"/>
        </row>
        <row r="45">
          <cell r="D45">
            <v>49075.130000000005</v>
          </cell>
          <cell r="F45">
            <v>-676.99</v>
          </cell>
          <cell r="H45"/>
        </row>
        <row r="57">
          <cell r="D57">
            <v>296010</v>
          </cell>
          <cell r="F57"/>
          <cell r="H57">
            <v>-296010</v>
          </cell>
        </row>
        <row r="58">
          <cell r="D58"/>
          <cell r="F58"/>
          <cell r="H58">
            <v>188243.9</v>
          </cell>
        </row>
        <row r="59">
          <cell r="D59"/>
          <cell r="F59"/>
          <cell r="H59">
            <v>91228.09</v>
          </cell>
        </row>
        <row r="60">
          <cell r="D60"/>
          <cell r="F60"/>
          <cell r="H60"/>
        </row>
        <row r="61">
          <cell r="D61">
            <v>7016.31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5490.86</v>
          </cell>
          <cell r="F65"/>
          <cell r="H65"/>
        </row>
        <row r="66">
          <cell r="D66"/>
          <cell r="F66"/>
          <cell r="H66"/>
        </row>
        <row r="67">
          <cell r="D67"/>
          <cell r="F67"/>
          <cell r="H67"/>
        </row>
        <row r="68">
          <cell r="D68"/>
          <cell r="F68"/>
          <cell r="H68">
            <v>50622</v>
          </cell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33419.47</v>
          </cell>
          <cell r="F75">
            <v>-1575</v>
          </cell>
          <cell r="H75"/>
        </row>
        <row r="76">
          <cell r="D76"/>
          <cell r="F76">
            <v>6894.16</v>
          </cell>
          <cell r="H76"/>
        </row>
        <row r="77">
          <cell r="D77">
            <v>7460.26</v>
          </cell>
          <cell r="F77"/>
          <cell r="H77"/>
        </row>
        <row r="78">
          <cell r="D78">
            <v>5107.58</v>
          </cell>
          <cell r="F78"/>
          <cell r="H78"/>
        </row>
        <row r="79">
          <cell r="D79">
            <v>31913.49</v>
          </cell>
          <cell r="F79"/>
          <cell r="H79"/>
        </row>
        <row r="80">
          <cell r="D80">
            <v>35578.79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10079.629999999999</v>
          </cell>
          <cell r="F83"/>
          <cell r="H83"/>
        </row>
        <row r="84">
          <cell r="D84">
            <v>61336.76</v>
          </cell>
          <cell r="F84"/>
          <cell r="H84"/>
        </row>
        <row r="85">
          <cell r="D85"/>
          <cell r="F85"/>
          <cell r="H85"/>
        </row>
        <row r="89">
          <cell r="D89">
            <v>160663.75</v>
          </cell>
          <cell r="F89"/>
          <cell r="H89"/>
        </row>
        <row r="90">
          <cell r="D90"/>
          <cell r="F90">
            <v>33144.11</v>
          </cell>
          <cell r="H90"/>
        </row>
        <row r="91">
          <cell r="D91">
            <v>3628.8</v>
          </cell>
          <cell r="F91"/>
          <cell r="H91"/>
        </row>
        <row r="92">
          <cell r="D92">
            <v>131254.62</v>
          </cell>
          <cell r="F92">
            <v>-3343.45</v>
          </cell>
          <cell r="H92"/>
        </row>
        <row r="93">
          <cell r="D93">
            <v>15985.32</v>
          </cell>
          <cell r="F93"/>
          <cell r="H93"/>
        </row>
        <row r="94">
          <cell r="D94"/>
          <cell r="F94"/>
          <cell r="H94"/>
        </row>
        <row r="98">
          <cell r="D98">
            <v>0</v>
          </cell>
          <cell r="F98"/>
          <cell r="H98"/>
        </row>
        <row r="99">
          <cell r="D99"/>
          <cell r="F99"/>
          <cell r="H99"/>
        </row>
        <row r="100">
          <cell r="D100"/>
          <cell r="F100"/>
          <cell r="H100"/>
        </row>
        <row r="101">
          <cell r="D101">
            <v>30026.95</v>
          </cell>
          <cell r="F101"/>
          <cell r="H101"/>
        </row>
        <row r="102">
          <cell r="D102">
            <v>670.64</v>
          </cell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10040.89</v>
          </cell>
          <cell r="F117"/>
          <cell r="H117"/>
        </row>
        <row r="118">
          <cell r="D118">
            <v>72186.899999999994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198855.67999999999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35212.26</v>
          </cell>
          <cell r="F128"/>
          <cell r="H128"/>
        </row>
        <row r="130">
          <cell r="D130"/>
          <cell r="F130"/>
          <cell r="H130"/>
        </row>
        <row r="131">
          <cell r="D131">
            <v>0</v>
          </cell>
          <cell r="F131">
            <v>41022.910000000003</v>
          </cell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0</v>
          </cell>
          <cell r="F134">
            <v>7264.04</v>
          </cell>
          <cell r="H134"/>
        </row>
        <row r="136">
          <cell r="D136">
            <v>230921</v>
          </cell>
          <cell r="F136"/>
          <cell r="H136"/>
        </row>
        <row r="137">
          <cell r="D137">
            <v>278712</v>
          </cell>
          <cell r="F137"/>
          <cell r="H137"/>
        </row>
        <row r="138">
          <cell r="D138">
            <v>605526.06000000006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47637.74</v>
          </cell>
          <cell r="H141"/>
        </row>
        <row r="142">
          <cell r="D142"/>
          <cell r="F142">
            <v>57496.76</v>
          </cell>
          <cell r="H142"/>
        </row>
        <row r="143">
          <cell r="D143"/>
          <cell r="F143">
            <v>124916.7</v>
          </cell>
          <cell r="H143"/>
        </row>
        <row r="144">
          <cell r="D144"/>
          <cell r="F144"/>
          <cell r="H144"/>
        </row>
        <row r="146">
          <cell r="D146">
            <v>39600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8840.98</v>
          </cell>
          <cell r="F150"/>
          <cell r="H150"/>
        </row>
        <row r="151">
          <cell r="D151">
            <v>96356.66</v>
          </cell>
          <cell r="F151"/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2487.56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141.56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89304</v>
          </cell>
          <cell r="F194"/>
          <cell r="H194"/>
        </row>
        <row r="195">
          <cell r="D195">
            <v>15749.13</v>
          </cell>
          <cell r="F195"/>
          <cell r="H195"/>
        </row>
        <row r="196">
          <cell r="D196"/>
          <cell r="F196"/>
          <cell r="H196"/>
        </row>
        <row r="197">
          <cell r="D197">
            <v>58861.64</v>
          </cell>
          <cell r="F197"/>
          <cell r="H197"/>
        </row>
        <row r="198">
          <cell r="D198">
            <v>10251.900000000001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60861.34</v>
          </cell>
          <cell r="F205"/>
          <cell r="H205">
            <v>-8288</v>
          </cell>
        </row>
        <row r="206">
          <cell r="D206">
            <v>4451.75</v>
          </cell>
          <cell r="F206"/>
          <cell r="H206"/>
        </row>
        <row r="207">
          <cell r="D207"/>
          <cell r="F207"/>
          <cell r="H207"/>
        </row>
        <row r="211">
          <cell r="D211">
            <v>81069.14</v>
          </cell>
          <cell r="F211"/>
          <cell r="H211"/>
        </row>
        <row r="212">
          <cell r="D212"/>
          <cell r="F212">
            <v>16724.09</v>
          </cell>
          <cell r="H212"/>
        </row>
        <row r="213">
          <cell r="D213">
            <v>5139.92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13292.369999999999</v>
          </cell>
          <cell r="F216"/>
          <cell r="H216"/>
        </row>
        <row r="221">
          <cell r="D221">
            <v>4671927.2699999996</v>
          </cell>
        </row>
      </sheetData>
      <sheetData sheetId="8"/>
      <sheetData sheetId="9"/>
      <sheetData sheetId="10">
        <row r="9">
          <cell r="C9">
            <v>10804</v>
          </cell>
          <cell r="D9"/>
          <cell r="E9">
            <v>1012</v>
          </cell>
          <cell r="F9">
            <v>107</v>
          </cell>
          <cell r="G9"/>
          <cell r="H9">
            <v>3975</v>
          </cell>
          <cell r="I9">
            <v>1645</v>
          </cell>
          <cell r="J9"/>
          <cell r="K9">
            <v>48</v>
          </cell>
        </row>
        <row r="22">
          <cell r="N22">
            <v>111.27</v>
          </cell>
        </row>
        <row r="24">
          <cell r="N24">
            <v>111</v>
          </cell>
        </row>
        <row r="28">
          <cell r="N28">
            <v>37497.99</v>
          </cell>
        </row>
        <row r="30">
          <cell r="N30">
            <v>0.46911847808375867</v>
          </cell>
        </row>
        <row r="32">
          <cell r="N32">
            <v>0.2881221100117633</v>
          </cell>
        </row>
        <row r="34">
          <cell r="N34">
            <v>0.61417770450798703</v>
          </cell>
        </row>
      </sheetData>
      <sheetData sheetId="11"/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G39">
            <v>43281</v>
          </cell>
        </row>
      </sheetData>
      <sheetData sheetId="3"/>
      <sheetData sheetId="4"/>
      <sheetData sheetId="5">
        <row r="10">
          <cell r="E10">
            <v>3095967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>
            <v>98103</v>
          </cell>
          <cell r="G14"/>
        </row>
        <row r="15">
          <cell r="E15">
            <v>3194070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187000</v>
          </cell>
          <cell r="G26">
            <v>0</v>
          </cell>
        </row>
        <row r="32">
          <cell r="E32">
            <v>23030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317701</v>
          </cell>
          <cell r="G42">
            <v>0</v>
          </cell>
        </row>
        <row r="47">
          <cell r="E47">
            <v>93478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2527</v>
          </cell>
          <cell r="G72">
            <v>0</v>
          </cell>
        </row>
      </sheetData>
      <sheetData sheetId="6"/>
      <sheetData sheetId="7">
        <row r="10">
          <cell r="D10">
            <v>63000</v>
          </cell>
          <cell r="F10"/>
          <cell r="H10"/>
        </row>
        <row r="11">
          <cell r="D11"/>
          <cell r="F11"/>
          <cell r="H11"/>
        </row>
        <row r="12">
          <cell r="D12">
            <v>91720</v>
          </cell>
          <cell r="F12"/>
          <cell r="H12"/>
        </row>
        <row r="13">
          <cell r="D13">
            <v>34907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21935</v>
          </cell>
          <cell r="F17"/>
          <cell r="H17"/>
        </row>
        <row r="18">
          <cell r="D18">
            <v>11373</v>
          </cell>
          <cell r="F18"/>
          <cell r="H18"/>
        </row>
        <row r="19">
          <cell r="D19">
            <v>10727</v>
          </cell>
          <cell r="F19"/>
          <cell r="H19"/>
        </row>
        <row r="20">
          <cell r="D20">
            <v>18633</v>
          </cell>
          <cell r="F20"/>
          <cell r="H20"/>
        </row>
        <row r="21">
          <cell r="D21">
            <v>4291</v>
          </cell>
          <cell r="F21"/>
          <cell r="H21"/>
        </row>
        <row r="22">
          <cell r="D22"/>
          <cell r="F22"/>
          <cell r="H22"/>
        </row>
        <row r="23">
          <cell r="D23">
            <v>11704</v>
          </cell>
          <cell r="F23"/>
          <cell r="H23"/>
        </row>
        <row r="24">
          <cell r="D24">
            <v>13989</v>
          </cell>
          <cell r="F24"/>
          <cell r="H24"/>
        </row>
        <row r="25">
          <cell r="D25"/>
          <cell r="F25"/>
          <cell r="H25"/>
        </row>
        <row r="26">
          <cell r="D26">
            <v>431410</v>
          </cell>
          <cell r="F26"/>
          <cell r="H26"/>
        </row>
        <row r="27">
          <cell r="D27"/>
          <cell r="F27"/>
          <cell r="H27"/>
        </row>
        <row r="28">
          <cell r="D28">
            <v>40497</v>
          </cell>
          <cell r="F28">
            <v>-40497</v>
          </cell>
          <cell r="H28"/>
        </row>
        <row r="29">
          <cell r="D29">
            <v>1000</v>
          </cell>
          <cell r="F29">
            <v>-1000</v>
          </cell>
          <cell r="H29"/>
        </row>
        <row r="30">
          <cell r="D30">
            <v>390</v>
          </cell>
          <cell r="F30">
            <v>-390</v>
          </cell>
          <cell r="H30"/>
        </row>
        <row r="31">
          <cell r="D31">
            <v>20719</v>
          </cell>
          <cell r="F31"/>
          <cell r="H31"/>
        </row>
        <row r="32">
          <cell r="D32">
            <v>35355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/>
          <cell r="F39"/>
          <cell r="H39"/>
        </row>
        <row r="40">
          <cell r="D40">
            <v>392</v>
          </cell>
          <cell r="F40"/>
          <cell r="H40"/>
        </row>
        <row r="41">
          <cell r="D41">
            <v>3426</v>
          </cell>
          <cell r="F41"/>
          <cell r="H41"/>
        </row>
        <row r="42">
          <cell r="D42"/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/>
          <cell r="F45"/>
          <cell r="H45"/>
        </row>
        <row r="57">
          <cell r="D57">
            <v>300000</v>
          </cell>
          <cell r="F57">
            <v>0</v>
          </cell>
          <cell r="H57">
            <v>-300000</v>
          </cell>
        </row>
        <row r="58">
          <cell r="D58"/>
          <cell r="F58"/>
          <cell r="H58"/>
        </row>
        <row r="59">
          <cell r="D59"/>
          <cell r="F59"/>
          <cell r="H59"/>
        </row>
        <row r="60">
          <cell r="D60">
            <v>28321</v>
          </cell>
          <cell r="F60"/>
          <cell r="H60"/>
        </row>
        <row r="61">
          <cell r="D61">
            <v>7405</v>
          </cell>
          <cell r="F61"/>
          <cell r="H61"/>
        </row>
        <row r="62">
          <cell r="D62">
            <v>13095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1887</v>
          </cell>
          <cell r="F65"/>
          <cell r="H65"/>
        </row>
        <row r="66">
          <cell r="D66"/>
          <cell r="F66"/>
          <cell r="H66"/>
        </row>
        <row r="67">
          <cell r="D67">
            <v>49780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33631</v>
          </cell>
          <cell r="F75"/>
          <cell r="H75"/>
        </row>
        <row r="76">
          <cell r="D76">
            <v>4631</v>
          </cell>
          <cell r="F76"/>
          <cell r="H76"/>
        </row>
        <row r="77">
          <cell r="D77">
            <v>5033</v>
          </cell>
          <cell r="F77"/>
          <cell r="H77"/>
        </row>
        <row r="78">
          <cell r="D78">
            <v>1216</v>
          </cell>
          <cell r="F78"/>
          <cell r="H78"/>
        </row>
        <row r="79">
          <cell r="D79"/>
          <cell r="F79"/>
          <cell r="H79"/>
        </row>
        <row r="80">
          <cell r="D80">
            <v>41317</v>
          </cell>
          <cell r="F80"/>
          <cell r="H80"/>
        </row>
        <row r="81">
          <cell r="D81">
            <v>40902</v>
          </cell>
          <cell r="F81"/>
          <cell r="H81"/>
        </row>
        <row r="82">
          <cell r="D82">
            <v>1522</v>
          </cell>
          <cell r="F82"/>
          <cell r="H82"/>
        </row>
        <row r="83">
          <cell r="D83">
            <v>10278</v>
          </cell>
          <cell r="F83"/>
          <cell r="H83"/>
        </row>
        <row r="84">
          <cell r="D84">
            <v>91754</v>
          </cell>
          <cell r="F84"/>
          <cell r="H84"/>
        </row>
        <row r="85">
          <cell r="D85"/>
          <cell r="F85"/>
          <cell r="H85"/>
        </row>
        <row r="89">
          <cell r="D89">
            <v>141219</v>
          </cell>
          <cell r="F89"/>
          <cell r="H89"/>
        </row>
        <row r="90">
          <cell r="D90">
            <v>15228</v>
          </cell>
          <cell r="F90"/>
          <cell r="H90"/>
        </row>
        <row r="91">
          <cell r="D91">
            <v>4438</v>
          </cell>
          <cell r="F91"/>
          <cell r="H91"/>
        </row>
        <row r="92">
          <cell r="D92">
            <v>176261</v>
          </cell>
          <cell r="F92"/>
          <cell r="H92"/>
        </row>
        <row r="93">
          <cell r="D93">
            <v>20971</v>
          </cell>
          <cell r="F93"/>
          <cell r="H93"/>
        </row>
        <row r="94">
          <cell r="D94"/>
          <cell r="F94"/>
          <cell r="H94"/>
        </row>
        <row r="98">
          <cell r="D98">
            <v>20803</v>
          </cell>
          <cell r="F98"/>
          <cell r="H98"/>
        </row>
        <row r="99">
          <cell r="D99">
            <v>1660</v>
          </cell>
          <cell r="F99"/>
          <cell r="H99"/>
        </row>
        <row r="100">
          <cell r="D100">
            <v>5787</v>
          </cell>
          <cell r="F100"/>
          <cell r="H100"/>
        </row>
        <row r="101">
          <cell r="D101"/>
          <cell r="F101"/>
          <cell r="H101"/>
        </row>
        <row r="102">
          <cell r="D102">
            <v>1610</v>
          </cell>
          <cell r="F102"/>
          <cell r="H102"/>
        </row>
        <row r="103">
          <cell r="D103"/>
          <cell r="F103"/>
          <cell r="H103"/>
        </row>
        <row r="115">
          <cell r="D115">
            <v>52004</v>
          </cell>
          <cell r="F115"/>
          <cell r="H115"/>
        </row>
        <row r="116">
          <cell r="D116">
            <v>4197</v>
          </cell>
          <cell r="F116"/>
          <cell r="H116"/>
        </row>
        <row r="117">
          <cell r="D117">
            <v>19786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48184.55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7571</v>
          </cell>
          <cell r="F128"/>
          <cell r="H128"/>
        </row>
        <row r="130">
          <cell r="D130"/>
          <cell r="F130"/>
          <cell r="H130"/>
        </row>
        <row r="131">
          <cell r="D131">
            <v>6251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440</v>
          </cell>
          <cell r="F134"/>
          <cell r="H134"/>
        </row>
        <row r="136">
          <cell r="D136">
            <v>284042</v>
          </cell>
          <cell r="F136"/>
          <cell r="H136"/>
        </row>
        <row r="137">
          <cell r="D137">
            <v>80161</v>
          </cell>
          <cell r="F137"/>
          <cell r="H137"/>
        </row>
        <row r="138">
          <cell r="D138">
            <v>366140</v>
          </cell>
          <cell r="F138"/>
          <cell r="H138"/>
        </row>
        <row r="139">
          <cell r="D139"/>
          <cell r="F139"/>
          <cell r="H139"/>
        </row>
        <row r="141">
          <cell r="D141">
            <v>22513</v>
          </cell>
          <cell r="F141"/>
          <cell r="H141"/>
        </row>
        <row r="142">
          <cell r="D142">
            <v>6445</v>
          </cell>
          <cell r="F142"/>
          <cell r="H142"/>
        </row>
        <row r="143">
          <cell r="D143">
            <v>29789</v>
          </cell>
          <cell r="F143"/>
          <cell r="H143"/>
        </row>
        <row r="144">
          <cell r="D144"/>
          <cell r="F144"/>
          <cell r="H144"/>
        </row>
        <row r="146">
          <cell r="D146">
            <v>18000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4086</v>
          </cell>
          <cell r="F150"/>
          <cell r="H150"/>
        </row>
        <row r="151">
          <cell r="D151">
            <v>61809</v>
          </cell>
          <cell r="F151"/>
          <cell r="H151"/>
        </row>
        <row r="152">
          <cell r="D152">
            <v>14692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50754</v>
          </cell>
          <cell r="F194"/>
          <cell r="H194"/>
        </row>
        <row r="195">
          <cell r="D195">
            <v>23758</v>
          </cell>
          <cell r="F195"/>
          <cell r="H195"/>
        </row>
        <row r="196">
          <cell r="D196"/>
          <cell r="F196"/>
          <cell r="H196"/>
        </row>
        <row r="197">
          <cell r="D197">
            <v>55192</v>
          </cell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3105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31767</v>
          </cell>
          <cell r="F211"/>
          <cell r="H211"/>
        </row>
        <row r="212">
          <cell r="D212">
            <v>2562</v>
          </cell>
          <cell r="F212"/>
          <cell r="H212"/>
        </row>
        <row r="213">
          <cell r="D213">
            <v>5583</v>
          </cell>
          <cell r="F213"/>
          <cell r="H213"/>
        </row>
        <row r="214">
          <cell r="D214">
            <v>5721</v>
          </cell>
          <cell r="F214"/>
          <cell r="H214"/>
        </row>
        <row r="215">
          <cell r="D215"/>
          <cell r="F215"/>
          <cell r="H215"/>
        </row>
        <row r="216">
          <cell r="D216">
            <v>299</v>
          </cell>
          <cell r="F216"/>
          <cell r="H216"/>
        </row>
        <row r="221">
          <cell r="D221">
            <v>3039072</v>
          </cell>
        </row>
      </sheetData>
      <sheetData sheetId="8"/>
      <sheetData sheetId="9"/>
      <sheetData sheetId="10">
        <row r="9">
          <cell r="C9">
            <v>18174</v>
          </cell>
          <cell r="D9"/>
          <cell r="E9">
            <v>126</v>
          </cell>
          <cell r="F9">
            <v>69</v>
          </cell>
          <cell r="G9"/>
          <cell r="H9">
            <v>1696</v>
          </cell>
          <cell r="I9">
            <v>547</v>
          </cell>
          <cell r="J9"/>
          <cell r="K9"/>
        </row>
        <row r="22">
          <cell r="N22">
            <v>155</v>
          </cell>
        </row>
        <row r="24">
          <cell r="N24">
            <v>155</v>
          </cell>
        </row>
        <row r="28">
          <cell r="N28">
            <v>56575</v>
          </cell>
        </row>
        <row r="30">
          <cell r="N30">
            <v>0.36433053468846666</v>
          </cell>
        </row>
        <row r="32">
          <cell r="N32">
            <v>0.3212372956252762</v>
          </cell>
        </row>
        <row r="34">
          <cell r="N34">
            <v>0.88171938676499129</v>
          </cell>
        </row>
      </sheetData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2045451</v>
          </cell>
          <cell r="G10">
            <v>0</v>
          </cell>
        </row>
        <row r="12">
          <cell r="E12">
            <v>592043</v>
          </cell>
          <cell r="G12">
            <v>453304</v>
          </cell>
        </row>
        <row r="13">
          <cell r="E13">
            <v>32269</v>
          </cell>
          <cell r="G13"/>
        </row>
        <row r="14">
          <cell r="E14">
            <v>87735</v>
          </cell>
          <cell r="G14"/>
        </row>
        <row r="15">
          <cell r="E15">
            <v>2757498</v>
          </cell>
          <cell r="G15">
            <v>453304</v>
          </cell>
        </row>
        <row r="20">
          <cell r="E20">
            <v>0</v>
          </cell>
          <cell r="G20">
            <v>0</v>
          </cell>
        </row>
        <row r="26">
          <cell r="E26">
            <v>1548122</v>
          </cell>
          <cell r="G26">
            <v>0</v>
          </cell>
        </row>
        <row r="32">
          <cell r="E32">
            <v>1112227.4089312593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693831</v>
          </cell>
          <cell r="G42">
            <v>0</v>
          </cell>
        </row>
        <row r="47">
          <cell r="E47">
            <v>428567</v>
          </cell>
          <cell r="G47">
            <v>0</v>
          </cell>
        </row>
        <row r="52">
          <cell r="E52">
            <v>48597</v>
          </cell>
          <cell r="G52">
            <v>0</v>
          </cell>
        </row>
        <row r="57">
          <cell r="E57">
            <v>444955.59106874058</v>
          </cell>
          <cell r="G57">
            <v>0</v>
          </cell>
        </row>
        <row r="72">
          <cell r="E72">
            <v>40622</v>
          </cell>
          <cell r="G72">
            <v>0</v>
          </cell>
        </row>
        <row r="90">
          <cell r="C90">
            <v>203.2051282051282</v>
          </cell>
          <cell r="E90">
            <v>210.98368522072937</v>
          </cell>
          <cell r="G90">
            <v>172.53635116598079</v>
          </cell>
          <cell r="I90">
            <v>282.15535714285716</v>
          </cell>
        </row>
      </sheetData>
      <sheetData sheetId="7"/>
      <sheetData sheetId="8">
        <row r="10">
          <cell r="D10">
            <v>196774</v>
          </cell>
          <cell r="F10">
            <v>-92315</v>
          </cell>
          <cell r="H10"/>
        </row>
        <row r="11">
          <cell r="D11">
            <v>0</v>
          </cell>
          <cell r="F11"/>
          <cell r="H11"/>
        </row>
        <row r="12">
          <cell r="D12">
            <v>86803</v>
          </cell>
          <cell r="F12"/>
          <cell r="H12"/>
        </row>
        <row r="13">
          <cell r="D13">
            <v>210041</v>
          </cell>
          <cell r="F13">
            <v>-153660</v>
          </cell>
          <cell r="H13">
            <v>9836</v>
          </cell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353676</v>
          </cell>
          <cell r="F16"/>
          <cell r="H16">
            <v>-51691</v>
          </cell>
        </row>
        <row r="17">
          <cell r="D17">
            <v>0</v>
          </cell>
          <cell r="F17"/>
          <cell r="H17"/>
        </row>
        <row r="18">
          <cell r="D18">
            <v>12453</v>
          </cell>
          <cell r="F18"/>
          <cell r="H18"/>
        </row>
        <row r="19">
          <cell r="D19">
            <v>22910</v>
          </cell>
          <cell r="F19">
            <v>-1618</v>
          </cell>
          <cell r="H19"/>
        </row>
        <row r="20">
          <cell r="D20">
            <v>13452</v>
          </cell>
          <cell r="F20">
            <v>3825</v>
          </cell>
          <cell r="H20"/>
        </row>
        <row r="21">
          <cell r="D21">
            <v>2237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4947</v>
          </cell>
          <cell r="F23"/>
          <cell r="H23"/>
        </row>
        <row r="24">
          <cell r="D24">
            <v>57521</v>
          </cell>
          <cell r="F24"/>
          <cell r="H24">
            <v>-17099</v>
          </cell>
        </row>
        <row r="25">
          <cell r="D25">
            <v>0</v>
          </cell>
          <cell r="F25"/>
          <cell r="H25"/>
        </row>
        <row r="26">
          <cell r="D26">
            <v>339372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103162</v>
          </cell>
          <cell r="F29">
            <v>-103162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36022</v>
          </cell>
          <cell r="F31"/>
          <cell r="H31">
            <v>-21252.98</v>
          </cell>
        </row>
        <row r="32">
          <cell r="D32">
            <v>94446</v>
          </cell>
          <cell r="F32"/>
          <cell r="H32">
            <v>-42501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500</v>
          </cell>
          <cell r="F38">
            <v>-500</v>
          </cell>
          <cell r="H38"/>
        </row>
        <row r="39">
          <cell r="D39">
            <v>9814</v>
          </cell>
          <cell r="F39"/>
          <cell r="H39"/>
        </row>
        <row r="40">
          <cell r="D40">
            <v>2144</v>
          </cell>
          <cell r="F40"/>
          <cell r="H40"/>
        </row>
        <row r="41">
          <cell r="D41">
            <v>12078</v>
          </cell>
          <cell r="F41"/>
          <cell r="H41"/>
        </row>
        <row r="42">
          <cell r="D42">
            <v>3989</v>
          </cell>
          <cell r="F42"/>
          <cell r="H42"/>
        </row>
        <row r="43">
          <cell r="D43">
            <v>5065</v>
          </cell>
          <cell r="F43"/>
          <cell r="H43"/>
        </row>
        <row r="44">
          <cell r="D44">
            <v>2215</v>
          </cell>
          <cell r="F44"/>
          <cell r="H44"/>
        </row>
        <row r="45">
          <cell r="D45">
            <v>260</v>
          </cell>
          <cell r="F45">
            <v>-1877</v>
          </cell>
          <cell r="H45"/>
        </row>
        <row r="57">
          <cell r="D57">
            <v>556603</v>
          </cell>
          <cell r="F57">
            <v>-556603</v>
          </cell>
          <cell r="H57"/>
        </row>
        <row r="58">
          <cell r="D58">
            <v>45970</v>
          </cell>
          <cell r="F58">
            <v>124386</v>
          </cell>
          <cell r="H58"/>
        </row>
        <row r="59">
          <cell r="D59">
            <v>0</v>
          </cell>
          <cell r="F59"/>
          <cell r="H59"/>
        </row>
        <row r="60">
          <cell r="D60">
            <v>32504</v>
          </cell>
          <cell r="F60"/>
          <cell r="H60"/>
        </row>
        <row r="61">
          <cell r="D61">
            <v>8004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3823</v>
          </cell>
          <cell r="F65"/>
          <cell r="H65"/>
        </row>
        <row r="66">
          <cell r="D66">
            <v>13522</v>
          </cell>
          <cell r="F66"/>
          <cell r="H66"/>
        </row>
        <row r="67">
          <cell r="D67">
            <v>43176</v>
          </cell>
          <cell r="F67">
            <v>-6898</v>
          </cell>
          <cell r="H67"/>
        </row>
        <row r="68">
          <cell r="D68">
            <v>0</v>
          </cell>
          <cell r="F68"/>
          <cell r="H68"/>
        </row>
        <row r="69">
          <cell r="D69">
            <v>5173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33801</v>
          </cell>
          <cell r="F75"/>
          <cell r="H75"/>
        </row>
        <row r="76">
          <cell r="D76">
            <v>6124</v>
          </cell>
          <cell r="F76">
            <v>1870</v>
          </cell>
          <cell r="H76"/>
        </row>
        <row r="77">
          <cell r="D77">
            <v>10567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7252</v>
          </cell>
          <cell r="F79"/>
          <cell r="H79"/>
        </row>
        <row r="80">
          <cell r="D80">
            <v>17415</v>
          </cell>
          <cell r="F80"/>
          <cell r="H80"/>
        </row>
        <row r="81">
          <cell r="D81">
            <v>9798</v>
          </cell>
          <cell r="F81"/>
          <cell r="H81"/>
        </row>
        <row r="82">
          <cell r="D82">
            <v>940</v>
          </cell>
          <cell r="F82"/>
          <cell r="H82"/>
        </row>
        <row r="83">
          <cell r="D83">
            <v>546</v>
          </cell>
          <cell r="F83"/>
          <cell r="H83"/>
        </row>
        <row r="84">
          <cell r="D84">
            <v>124262</v>
          </cell>
          <cell r="F84"/>
          <cell r="H84"/>
        </row>
        <row r="85">
          <cell r="D85">
            <v>268</v>
          </cell>
          <cell r="F85"/>
          <cell r="H85"/>
        </row>
        <row r="89">
          <cell r="D89">
            <v>151340</v>
          </cell>
          <cell r="F89"/>
          <cell r="H89"/>
        </row>
        <row r="90">
          <cell r="D90">
            <v>27608</v>
          </cell>
          <cell r="F90">
            <v>8375</v>
          </cell>
          <cell r="H90"/>
        </row>
        <row r="91">
          <cell r="D91">
            <v>26765</v>
          </cell>
          <cell r="F91"/>
          <cell r="H91"/>
        </row>
        <row r="92">
          <cell r="D92">
            <v>132732</v>
          </cell>
          <cell r="F92"/>
          <cell r="H92"/>
        </row>
        <row r="93">
          <cell r="D93">
            <v>13072</v>
          </cell>
          <cell r="F93">
            <v>1462</v>
          </cell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561</v>
          </cell>
          <cell r="F100"/>
          <cell r="H100"/>
        </row>
        <row r="101">
          <cell r="D101">
            <v>60759</v>
          </cell>
          <cell r="F101"/>
          <cell r="H101"/>
        </row>
        <row r="102">
          <cell r="D102">
            <v>820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931</v>
          </cell>
          <cell r="F117"/>
          <cell r="H117"/>
        </row>
        <row r="118">
          <cell r="D118">
            <v>93707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191359</v>
          </cell>
          <cell r="F125"/>
          <cell r="H125">
            <v>46508</v>
          </cell>
        </row>
        <row r="126">
          <cell r="D126">
            <v>55554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72669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0</v>
          </cell>
          <cell r="F131">
            <v>10589</v>
          </cell>
          <cell r="H131">
            <v>5183</v>
          </cell>
        </row>
        <row r="132">
          <cell r="D132">
            <v>0</v>
          </cell>
          <cell r="F132">
            <v>3074</v>
          </cell>
          <cell r="H132"/>
        </row>
        <row r="133">
          <cell r="D133">
            <v>0</v>
          </cell>
          <cell r="F133"/>
          <cell r="H133"/>
        </row>
        <row r="134">
          <cell r="D134">
            <v>0</v>
          </cell>
          <cell r="F134">
            <v>4021</v>
          </cell>
          <cell r="H134"/>
        </row>
        <row r="136">
          <cell r="D136">
            <v>447160</v>
          </cell>
          <cell r="F136"/>
          <cell r="H136"/>
        </row>
        <row r="137">
          <cell r="D137">
            <v>240671</v>
          </cell>
          <cell r="F137"/>
          <cell r="H137"/>
        </row>
        <row r="138">
          <cell r="D138">
            <v>752107</v>
          </cell>
          <cell r="F138"/>
          <cell r="H138"/>
        </row>
        <row r="139">
          <cell r="D139">
            <v>80596</v>
          </cell>
          <cell r="F139"/>
          <cell r="H139"/>
        </row>
        <row r="141">
          <cell r="D141">
            <v>0</v>
          </cell>
          <cell r="F141">
            <v>24744</v>
          </cell>
          <cell r="H141"/>
        </row>
        <row r="142">
          <cell r="D142">
            <v>0</v>
          </cell>
          <cell r="F142">
            <v>13318</v>
          </cell>
          <cell r="H142"/>
        </row>
        <row r="143">
          <cell r="D143">
            <v>0</v>
          </cell>
          <cell r="F143">
            <v>41618</v>
          </cell>
          <cell r="H143"/>
        </row>
        <row r="144">
          <cell r="D144">
            <v>297228</v>
          </cell>
          <cell r="F144">
            <v>4460</v>
          </cell>
          <cell r="H144"/>
        </row>
        <row r="146">
          <cell r="D146">
            <v>36800</v>
          </cell>
          <cell r="F146"/>
          <cell r="H146"/>
        </row>
        <row r="147">
          <cell r="D147">
            <v>3819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18262</v>
          </cell>
          <cell r="F150"/>
          <cell r="H150"/>
        </row>
        <row r="151">
          <cell r="D151">
            <v>92186</v>
          </cell>
          <cell r="F151">
            <v>3790</v>
          </cell>
          <cell r="H151"/>
        </row>
        <row r="152">
          <cell r="D152">
            <v>8904</v>
          </cell>
          <cell r="F152"/>
          <cell r="H152"/>
        </row>
        <row r="153">
          <cell r="D153">
            <v>68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2233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353097</v>
          </cell>
          <cell r="F177">
            <v>0</v>
          </cell>
          <cell r="H177"/>
        </row>
        <row r="178">
          <cell r="D178">
            <v>55567</v>
          </cell>
          <cell r="F178">
            <v>19539</v>
          </cell>
          <cell r="H178"/>
        </row>
        <row r="179">
          <cell r="D179">
            <v>54035</v>
          </cell>
          <cell r="F179">
            <v>0</v>
          </cell>
          <cell r="H179"/>
        </row>
        <row r="180">
          <cell r="D180">
            <v>7868</v>
          </cell>
          <cell r="F180">
            <v>2990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143489</v>
          </cell>
          <cell r="F183">
            <v>0</v>
          </cell>
          <cell r="H183"/>
        </row>
        <row r="184">
          <cell r="D184">
            <v>25551</v>
          </cell>
          <cell r="F184">
            <v>7940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2399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334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2947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59764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216566</v>
          </cell>
          <cell r="F205">
            <v>-3</v>
          </cell>
          <cell r="H205"/>
        </row>
        <row r="206">
          <cell r="D206">
            <v>6906</v>
          </cell>
          <cell r="F206"/>
          <cell r="H206"/>
        </row>
        <row r="207">
          <cell r="D207">
            <v>13038</v>
          </cell>
          <cell r="F207"/>
          <cell r="H207">
            <v>-1082</v>
          </cell>
        </row>
        <row r="211">
          <cell r="D211">
            <v>200997</v>
          </cell>
          <cell r="F211"/>
          <cell r="H211"/>
        </row>
        <row r="212">
          <cell r="D212">
            <v>29611</v>
          </cell>
          <cell r="F212">
            <v>11122</v>
          </cell>
          <cell r="H212"/>
        </row>
        <row r="213">
          <cell r="D213">
            <v>10225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24975</v>
          </cell>
          <cell r="F216"/>
          <cell r="H216">
            <v>-8</v>
          </cell>
        </row>
        <row r="221">
          <cell r="D221">
            <v>6504910</v>
          </cell>
        </row>
      </sheetData>
      <sheetData sheetId="9"/>
      <sheetData sheetId="10"/>
      <sheetData sheetId="11">
        <row r="9">
          <cell r="C9">
            <v>10523</v>
          </cell>
          <cell r="D9"/>
          <cell r="E9">
            <v>2734</v>
          </cell>
          <cell r="F9">
            <v>2832</v>
          </cell>
          <cell r="G9"/>
          <cell r="H9">
            <v>3267</v>
          </cell>
          <cell r="I9">
            <v>2143</v>
          </cell>
          <cell r="J9">
            <v>243</v>
          </cell>
          <cell r="K9">
            <v>1154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0.58082191780821912</v>
          </cell>
        </row>
        <row r="32">
          <cell r="N32">
            <v>0.26694571283612378</v>
          </cell>
        </row>
        <row r="34">
          <cell r="N34">
            <v>0.45959993011879807</v>
          </cell>
        </row>
      </sheetData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2291515.77</v>
          </cell>
          <cell r="G10">
            <v>0</v>
          </cell>
        </row>
        <row r="12">
          <cell r="E12">
            <v>955096.94</v>
          </cell>
          <cell r="G12">
            <v>768616.80999999994</v>
          </cell>
        </row>
        <row r="13">
          <cell r="E13">
            <v>-14209.91</v>
          </cell>
          <cell r="G13"/>
        </row>
        <row r="14">
          <cell r="E14">
            <v>42956.94</v>
          </cell>
          <cell r="G14"/>
        </row>
        <row r="15">
          <cell r="E15">
            <v>3275359.74</v>
          </cell>
          <cell r="G15">
            <v>768616.80999999994</v>
          </cell>
        </row>
        <row r="20">
          <cell r="E20">
            <v>213083</v>
          </cell>
          <cell r="G20">
            <v>0</v>
          </cell>
        </row>
        <row r="26">
          <cell r="E26">
            <v>964357.29</v>
          </cell>
          <cell r="G26">
            <v>0</v>
          </cell>
        </row>
        <row r="32">
          <cell r="E32">
            <v>69379.28</v>
          </cell>
          <cell r="G32">
            <v>0</v>
          </cell>
        </row>
        <row r="37">
          <cell r="E37">
            <v>1949930.4999999998</v>
          </cell>
          <cell r="G37">
            <v>0</v>
          </cell>
        </row>
        <row r="42">
          <cell r="E42">
            <v>599394.99</v>
          </cell>
          <cell r="G42">
            <v>0</v>
          </cell>
        </row>
        <row r="47">
          <cell r="E47">
            <v>230527.55</v>
          </cell>
          <cell r="G47">
            <v>0</v>
          </cell>
        </row>
        <row r="52">
          <cell r="E52">
            <v>16788.680000000004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455.54</v>
          </cell>
          <cell r="G72">
            <v>-455.54</v>
          </cell>
        </row>
        <row r="90">
          <cell r="C90">
            <v>254.79499461786867</v>
          </cell>
          <cell r="E90">
            <v>313.37692063492062</v>
          </cell>
          <cell r="G90">
            <v>281.30022044088173</v>
          </cell>
          <cell r="I90">
            <v>288.80350467289719</v>
          </cell>
        </row>
      </sheetData>
      <sheetData sheetId="6"/>
      <sheetData sheetId="7">
        <row r="10">
          <cell r="D10">
            <v>123746.79</v>
          </cell>
          <cell r="F10">
            <v>0</v>
          </cell>
          <cell r="H10"/>
        </row>
        <row r="11">
          <cell r="D11"/>
          <cell r="F11"/>
          <cell r="H11"/>
        </row>
        <row r="12">
          <cell r="D12">
            <v>270388.7</v>
          </cell>
          <cell r="F12">
            <v>-62112</v>
          </cell>
          <cell r="H12"/>
        </row>
        <row r="13">
          <cell r="D13">
            <v>87889.86</v>
          </cell>
          <cell r="F13">
            <v>-10062.19</v>
          </cell>
          <cell r="H13"/>
        </row>
        <row r="14">
          <cell r="D14"/>
          <cell r="F14"/>
          <cell r="H14"/>
        </row>
        <row r="15">
          <cell r="D15">
            <v>513312.9</v>
          </cell>
          <cell r="F15">
            <v>-513312.9</v>
          </cell>
          <cell r="H15"/>
        </row>
        <row r="16">
          <cell r="D16"/>
          <cell r="F16">
            <v>305089</v>
          </cell>
          <cell r="H16"/>
        </row>
        <row r="17">
          <cell r="D17"/>
          <cell r="F17"/>
          <cell r="H17"/>
        </row>
        <row r="18">
          <cell r="D18">
            <v>21845.66</v>
          </cell>
          <cell r="F18"/>
          <cell r="H18"/>
        </row>
        <row r="19">
          <cell r="D19">
            <v>25045.17</v>
          </cell>
          <cell r="F19"/>
          <cell r="H19"/>
        </row>
        <row r="20">
          <cell r="D20">
            <v>23861.919999999998</v>
          </cell>
          <cell r="F20">
            <v>-2580</v>
          </cell>
          <cell r="H20"/>
        </row>
        <row r="21">
          <cell r="D21">
            <v>3025.3799999999992</v>
          </cell>
          <cell r="F21">
            <v>76251</v>
          </cell>
          <cell r="H21"/>
        </row>
        <row r="22">
          <cell r="D22"/>
          <cell r="F22"/>
          <cell r="H22"/>
        </row>
        <row r="23">
          <cell r="D23">
            <v>47991.670000000006</v>
          </cell>
          <cell r="F23">
            <v>21759</v>
          </cell>
          <cell r="H23"/>
        </row>
        <row r="24">
          <cell r="D24">
            <v>44624.340000000004</v>
          </cell>
          <cell r="F24"/>
          <cell r="H24"/>
        </row>
        <row r="25">
          <cell r="D25"/>
          <cell r="F25"/>
          <cell r="H25"/>
        </row>
        <row r="26">
          <cell r="D26">
            <v>484763.88</v>
          </cell>
          <cell r="F26"/>
          <cell r="H26"/>
        </row>
        <row r="27">
          <cell r="D27"/>
          <cell r="F27">
            <v>18555.46</v>
          </cell>
          <cell r="H27"/>
        </row>
        <row r="28">
          <cell r="D28"/>
          <cell r="F28">
            <v>0</v>
          </cell>
          <cell r="H28"/>
        </row>
        <row r="29">
          <cell r="D29">
            <v>197211.66999999998</v>
          </cell>
          <cell r="F29">
            <v>-197211.66999999998</v>
          </cell>
          <cell r="H29"/>
        </row>
        <row r="30">
          <cell r="D30"/>
          <cell r="F30">
            <v>0</v>
          </cell>
          <cell r="H30"/>
        </row>
        <row r="31">
          <cell r="D31">
            <v>7335.04</v>
          </cell>
          <cell r="F31"/>
          <cell r="H31"/>
        </row>
        <row r="32">
          <cell r="D32">
            <v>143256.56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>
            <v>3095</v>
          </cell>
          <cell r="H34"/>
        </row>
        <row r="35">
          <cell r="D35">
            <v>844.10999999999967</v>
          </cell>
          <cell r="F35">
            <v>-844.10999999999967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10649.670000000002</v>
          </cell>
          <cell r="F39">
            <v>4750</v>
          </cell>
          <cell r="H39"/>
        </row>
        <row r="40">
          <cell r="D40">
            <v>5213.8500000000004</v>
          </cell>
          <cell r="F40">
            <v>-5213.8500000000004</v>
          </cell>
          <cell r="H40"/>
        </row>
        <row r="41">
          <cell r="D41">
            <v>57332.59</v>
          </cell>
          <cell r="F41"/>
          <cell r="H41"/>
        </row>
        <row r="42">
          <cell r="D42"/>
          <cell r="F42">
            <v>4702</v>
          </cell>
          <cell r="H42"/>
        </row>
        <row r="43">
          <cell r="D43"/>
          <cell r="F43"/>
          <cell r="H43"/>
        </row>
        <row r="44">
          <cell r="D44">
            <v>765</v>
          </cell>
          <cell r="F44"/>
          <cell r="H44"/>
        </row>
        <row r="45">
          <cell r="D45">
            <v>4611.07</v>
          </cell>
          <cell r="F45">
            <v>7103</v>
          </cell>
          <cell r="H45"/>
        </row>
        <row r="57">
          <cell r="D57">
            <v>859209.96</v>
          </cell>
          <cell r="F57"/>
          <cell r="H57">
            <v>-859209.96</v>
          </cell>
        </row>
        <row r="58">
          <cell r="D58">
            <v>13656.96</v>
          </cell>
          <cell r="F58">
            <v>7753.5</v>
          </cell>
          <cell r="H58">
            <v>127457.04</v>
          </cell>
        </row>
        <row r="59">
          <cell r="D59"/>
          <cell r="F59"/>
          <cell r="H59">
            <v>224205.21</v>
          </cell>
        </row>
        <row r="60">
          <cell r="D60">
            <v>41390.07</v>
          </cell>
          <cell r="F60">
            <v>-3212.0099999999998</v>
          </cell>
          <cell r="H60"/>
        </row>
        <row r="61">
          <cell r="D61">
            <v>15456.029999999999</v>
          </cell>
          <cell r="F61">
            <v>2026</v>
          </cell>
          <cell r="H61"/>
        </row>
        <row r="62">
          <cell r="D62">
            <v>10331.49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50098.39</v>
          </cell>
          <cell r="F67">
            <v>4343.4500000000007</v>
          </cell>
          <cell r="H67"/>
        </row>
        <row r="68">
          <cell r="D68"/>
          <cell r="F68"/>
          <cell r="H68"/>
        </row>
        <row r="69">
          <cell r="D69"/>
          <cell r="F69">
            <v>4354.4299999999994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45882.03</v>
          </cell>
          <cell r="F75"/>
          <cell r="H75"/>
        </row>
        <row r="76">
          <cell r="D76">
            <v>11674.699999999999</v>
          </cell>
          <cell r="F76"/>
          <cell r="H76"/>
        </row>
        <row r="77">
          <cell r="D77">
            <v>11859.970000000001</v>
          </cell>
          <cell r="F77"/>
          <cell r="H77"/>
        </row>
        <row r="78">
          <cell r="D78">
            <v>34866.490000000005</v>
          </cell>
          <cell r="F78">
            <v>2013</v>
          </cell>
          <cell r="H78"/>
        </row>
        <row r="79">
          <cell r="D79">
            <v>25821.919999999998</v>
          </cell>
          <cell r="F79"/>
          <cell r="H79"/>
        </row>
        <row r="80">
          <cell r="D80">
            <v>47545.119999999995</v>
          </cell>
          <cell r="F80"/>
          <cell r="H80"/>
        </row>
        <row r="81">
          <cell r="D81">
            <v>10350.200000000001</v>
          </cell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110543.15000000001</v>
          </cell>
          <cell r="F84">
            <v>970</v>
          </cell>
          <cell r="H84"/>
        </row>
        <row r="85">
          <cell r="D85"/>
          <cell r="F85"/>
          <cell r="H85"/>
        </row>
        <row r="89">
          <cell r="D89">
            <v>273819.81</v>
          </cell>
          <cell r="F89"/>
          <cell r="H89"/>
        </row>
        <row r="90">
          <cell r="D90">
            <v>64391.060000000012</v>
          </cell>
          <cell r="F90"/>
          <cell r="H90"/>
        </row>
        <row r="91">
          <cell r="D91">
            <v>7549.15</v>
          </cell>
          <cell r="F91"/>
          <cell r="H91"/>
        </row>
        <row r="92">
          <cell r="D92">
            <v>207375.32</v>
          </cell>
          <cell r="F92"/>
          <cell r="H92"/>
        </row>
        <row r="93">
          <cell r="D93">
            <v>11748.87</v>
          </cell>
          <cell r="F93"/>
          <cell r="H93"/>
        </row>
        <row r="94">
          <cell r="D94">
            <v>8721.0500000000011</v>
          </cell>
          <cell r="F94"/>
          <cell r="H94"/>
        </row>
        <row r="98">
          <cell r="D98">
            <v>20449.940000000002</v>
          </cell>
          <cell r="F98"/>
          <cell r="H98"/>
        </row>
        <row r="99">
          <cell r="D99">
            <v>4661.54</v>
          </cell>
          <cell r="F99"/>
          <cell r="H99"/>
        </row>
        <row r="100">
          <cell r="D100">
            <v>9008.43</v>
          </cell>
          <cell r="F100"/>
          <cell r="H100"/>
        </row>
        <row r="101">
          <cell r="D101">
            <v>1446.5300000000002</v>
          </cell>
          <cell r="F101"/>
          <cell r="H101"/>
        </row>
        <row r="102">
          <cell r="D102">
            <v>2979.9599999999996</v>
          </cell>
          <cell r="F102"/>
          <cell r="H102"/>
        </row>
        <row r="103">
          <cell r="D103"/>
          <cell r="F103"/>
          <cell r="H103"/>
        </row>
        <row r="115">
          <cell r="D115">
            <v>114333.05</v>
          </cell>
          <cell r="F115"/>
          <cell r="H115"/>
        </row>
        <row r="116">
          <cell r="D116">
            <v>30428.76</v>
          </cell>
          <cell r="F116"/>
          <cell r="H116"/>
        </row>
        <row r="117">
          <cell r="D117">
            <v>21265.93</v>
          </cell>
          <cell r="F117"/>
          <cell r="H117"/>
        </row>
        <row r="118">
          <cell r="D118">
            <v>2083.7399999999998</v>
          </cell>
          <cell r="F118"/>
          <cell r="H118"/>
        </row>
        <row r="119">
          <cell r="D119">
            <v>21.58</v>
          </cell>
          <cell r="F119"/>
          <cell r="H119"/>
        </row>
        <row r="124">
          <cell r="D124">
            <v>138544.84999999998</v>
          </cell>
          <cell r="F124"/>
          <cell r="H124"/>
        </row>
        <row r="125">
          <cell r="D125">
            <v>114370.23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90808</v>
          </cell>
          <cell r="F128"/>
          <cell r="H128"/>
        </row>
        <row r="130">
          <cell r="D130">
            <v>27249.013263696987</v>
          </cell>
          <cell r="F130"/>
          <cell r="H130"/>
        </row>
        <row r="131">
          <cell r="D131">
            <v>22494.346879310746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25131.27</v>
          </cell>
          <cell r="F134"/>
          <cell r="H134"/>
        </row>
        <row r="136">
          <cell r="D136">
            <v>652766.99</v>
          </cell>
          <cell r="F136"/>
          <cell r="H136"/>
        </row>
        <row r="137">
          <cell r="D137">
            <v>546958.73</v>
          </cell>
          <cell r="F137"/>
          <cell r="H137"/>
        </row>
        <row r="138">
          <cell r="D138">
            <v>694497.04</v>
          </cell>
          <cell r="F138"/>
          <cell r="H138"/>
        </row>
        <row r="139">
          <cell r="D139">
            <v>114085.22000000002</v>
          </cell>
          <cell r="F139"/>
          <cell r="H139"/>
        </row>
        <row r="141">
          <cell r="D141">
            <v>128386.26891301668</v>
          </cell>
          <cell r="F141"/>
          <cell r="H141"/>
        </row>
        <row r="142">
          <cell r="D142">
            <v>107575.89104513708</v>
          </cell>
          <cell r="F142"/>
          <cell r="H142"/>
        </row>
        <row r="143">
          <cell r="D143">
            <v>136593.73881135459</v>
          </cell>
          <cell r="F143"/>
          <cell r="H143"/>
        </row>
        <row r="144">
          <cell r="D144">
            <v>22438.291087483867</v>
          </cell>
          <cell r="F144"/>
          <cell r="H144"/>
        </row>
        <row r="146">
          <cell r="D146">
            <v>51572.83</v>
          </cell>
          <cell r="F146"/>
          <cell r="H146"/>
        </row>
        <row r="147">
          <cell r="D147">
            <v>76821.469999999972</v>
          </cell>
          <cell r="F147"/>
          <cell r="H147"/>
        </row>
        <row r="148">
          <cell r="D148">
            <v>56612.75</v>
          </cell>
          <cell r="F148"/>
          <cell r="H148"/>
        </row>
        <row r="149">
          <cell r="D149">
            <v>235819.92999999993</v>
          </cell>
          <cell r="F149"/>
          <cell r="H149"/>
        </row>
        <row r="150">
          <cell r="D150">
            <v>46014.039999999994</v>
          </cell>
          <cell r="F150">
            <v>53964</v>
          </cell>
          <cell r="H150"/>
        </row>
        <row r="151">
          <cell r="D151">
            <v>101241.14</v>
          </cell>
          <cell r="F151"/>
          <cell r="H151"/>
        </row>
        <row r="152">
          <cell r="D152">
            <v>17616.04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148.6</v>
          </cell>
          <cell r="F160"/>
          <cell r="H160"/>
        </row>
        <row r="161">
          <cell r="D161">
            <v>11398.2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275482.19</v>
          </cell>
          <cell r="F177"/>
          <cell r="H177"/>
        </row>
        <row r="178">
          <cell r="D178">
            <v>70857.95</v>
          </cell>
          <cell r="F178"/>
          <cell r="H178"/>
        </row>
        <row r="179">
          <cell r="D179">
            <v>98777.08</v>
          </cell>
          <cell r="F179"/>
          <cell r="H179"/>
        </row>
        <row r="180">
          <cell r="D180">
            <v>36906.239999999998</v>
          </cell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110967.5</v>
          </cell>
          <cell r="F183"/>
          <cell r="H183"/>
        </row>
        <row r="184">
          <cell r="D184">
            <v>40166.219999999994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5901.2200000000012</v>
          </cell>
          <cell r="F188"/>
          <cell r="H188"/>
        </row>
        <row r="189">
          <cell r="D189">
            <v>-1355.3999999999999</v>
          </cell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46457.22</v>
          </cell>
          <cell r="F192">
            <v>-262</v>
          </cell>
          <cell r="H192"/>
        </row>
        <row r="193">
          <cell r="D193"/>
          <cell r="F193"/>
          <cell r="H193"/>
        </row>
        <row r="194">
          <cell r="D194"/>
          <cell r="F194">
            <v>16706</v>
          </cell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50666.3</v>
          </cell>
          <cell r="F203"/>
          <cell r="H203"/>
        </row>
        <row r="204">
          <cell r="D204"/>
          <cell r="F204"/>
          <cell r="H204"/>
        </row>
        <row r="205">
          <cell r="D205">
            <v>186610.16000000003</v>
          </cell>
          <cell r="F205"/>
          <cell r="H205"/>
        </row>
        <row r="206">
          <cell r="D206"/>
          <cell r="F206"/>
          <cell r="H206"/>
        </row>
        <row r="207">
          <cell r="D207">
            <v>31903.579999999994</v>
          </cell>
          <cell r="F207"/>
          <cell r="H207"/>
        </row>
        <row r="211">
          <cell r="D211">
            <v>160957.07</v>
          </cell>
          <cell r="F211"/>
          <cell r="H211"/>
        </row>
        <row r="212">
          <cell r="D212">
            <v>44349.409999999989</v>
          </cell>
          <cell r="F212"/>
          <cell r="H212"/>
        </row>
        <row r="213">
          <cell r="D213">
            <v>17270.580000000002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72808.990000000005</v>
          </cell>
          <cell r="F216"/>
          <cell r="H216"/>
        </row>
        <row r="221">
          <cell r="D221">
            <v>8810558.2200000118</v>
          </cell>
        </row>
      </sheetData>
      <sheetData sheetId="8"/>
      <sheetData sheetId="9"/>
      <sheetData sheetId="10">
        <row r="9">
          <cell r="C9">
            <v>10513</v>
          </cell>
          <cell r="D9">
            <v>977</v>
          </cell>
          <cell r="E9">
            <v>1661</v>
          </cell>
          <cell r="F9">
            <v>99</v>
          </cell>
          <cell r="G9">
            <v>8311</v>
          </cell>
          <cell r="H9">
            <v>2171</v>
          </cell>
          <cell r="I9">
            <v>1054</v>
          </cell>
          <cell r="J9">
            <v>80</v>
          </cell>
          <cell r="K9">
            <v>0</v>
          </cell>
        </row>
        <row r="22">
          <cell r="N22">
            <v>107</v>
          </cell>
        </row>
        <row r="24">
          <cell r="N24">
            <v>107</v>
          </cell>
        </row>
        <row r="28">
          <cell r="N28">
            <v>39055</v>
          </cell>
        </row>
        <row r="30">
          <cell r="N30">
            <v>0.63669184483420815</v>
          </cell>
        </row>
        <row r="32">
          <cell r="N32">
            <v>0.29420048649340674</v>
          </cell>
        </row>
        <row r="34">
          <cell r="N34">
            <v>0.46207673127965898</v>
          </cell>
        </row>
      </sheetData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-Listing"/>
      <sheetName val="Supp 1012"/>
      <sheetName val="Supp 10-490"/>
      <sheetName val="Supp 70-490"/>
      <sheetName val="Supp 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2048608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63750</v>
          </cell>
          <cell r="G13"/>
        </row>
        <row r="14">
          <cell r="E14">
            <v>0</v>
          </cell>
          <cell r="G14"/>
        </row>
        <row r="15">
          <cell r="E15">
            <v>2112358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1032139</v>
          </cell>
          <cell r="G26">
            <v>0</v>
          </cell>
        </row>
        <row r="32">
          <cell r="E32">
            <v>866826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885096</v>
          </cell>
          <cell r="G42">
            <v>0</v>
          </cell>
        </row>
        <row r="47">
          <cell r="E47">
            <v>262391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80632</v>
          </cell>
          <cell r="G57">
            <v>0</v>
          </cell>
        </row>
        <row r="72">
          <cell r="E72">
            <v>72519</v>
          </cell>
          <cell r="G72">
            <v>-13085</v>
          </cell>
        </row>
        <row r="90">
          <cell r="C90">
            <v>233.35061262959474</v>
          </cell>
          <cell r="E90">
            <v>233.35</v>
          </cell>
          <cell r="G90">
            <v>233.34981905910735</v>
          </cell>
          <cell r="I90">
            <v>233.34869240348692</v>
          </cell>
        </row>
      </sheetData>
      <sheetData sheetId="6"/>
      <sheetData sheetId="7">
        <row r="10">
          <cell r="D10">
            <v>0</v>
          </cell>
          <cell r="F10">
            <v>112757</v>
          </cell>
          <cell r="H10"/>
        </row>
        <row r="11">
          <cell r="D11">
            <v>0</v>
          </cell>
          <cell r="F11"/>
          <cell r="H11"/>
        </row>
        <row r="12">
          <cell r="D12">
            <v>253156</v>
          </cell>
          <cell r="F12">
            <v>-112757</v>
          </cell>
          <cell r="H12"/>
        </row>
        <row r="13">
          <cell r="D13">
            <v>41187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265591</v>
          </cell>
          <cell r="F16"/>
          <cell r="H16">
            <v>-1451</v>
          </cell>
        </row>
        <row r="17">
          <cell r="D17">
            <v>47</v>
          </cell>
          <cell r="F17">
            <v>-47</v>
          </cell>
          <cell r="H17"/>
        </row>
        <row r="18">
          <cell r="D18">
            <v>27031</v>
          </cell>
          <cell r="F18"/>
          <cell r="H18"/>
        </row>
        <row r="19">
          <cell r="D19">
            <v>12709</v>
          </cell>
          <cell r="F19"/>
          <cell r="H19"/>
        </row>
        <row r="20">
          <cell r="D20">
            <v>13898</v>
          </cell>
          <cell r="F20"/>
          <cell r="H20"/>
        </row>
        <row r="21">
          <cell r="D21">
            <v>11364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3259</v>
          </cell>
          <cell r="F23"/>
          <cell r="H23"/>
        </row>
        <row r="24">
          <cell r="D24">
            <v>21947</v>
          </cell>
          <cell r="F24"/>
          <cell r="H24"/>
        </row>
        <row r="25">
          <cell r="D25">
            <v>10042</v>
          </cell>
          <cell r="F25"/>
          <cell r="H25"/>
        </row>
        <row r="26">
          <cell r="D26">
            <v>348478</v>
          </cell>
          <cell r="F26"/>
          <cell r="H26"/>
        </row>
        <row r="27">
          <cell r="D27">
            <v>46317</v>
          </cell>
          <cell r="F27">
            <v>-265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149269</v>
          </cell>
          <cell r="F29">
            <v>-149269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51150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173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2366</v>
          </cell>
          <cell r="F39"/>
          <cell r="H39"/>
        </row>
        <row r="40">
          <cell r="D40">
            <v>243</v>
          </cell>
          <cell r="F40">
            <v>-243</v>
          </cell>
          <cell r="H40"/>
        </row>
        <row r="41">
          <cell r="D41">
            <v>149525</v>
          </cell>
          <cell r="F41"/>
          <cell r="H41">
            <v>-4484</v>
          </cell>
        </row>
        <row r="42">
          <cell r="D42">
            <v>0</v>
          </cell>
          <cell r="F42"/>
          <cell r="H42"/>
        </row>
        <row r="43">
          <cell r="D43">
            <v>9379</v>
          </cell>
          <cell r="F43">
            <v>-9379</v>
          </cell>
          <cell r="H43"/>
        </row>
        <row r="44">
          <cell r="D44">
            <v>0</v>
          </cell>
          <cell r="F44"/>
          <cell r="H44"/>
        </row>
        <row r="45">
          <cell r="D45">
            <v>8247</v>
          </cell>
          <cell r="F45">
            <v>-12223</v>
          </cell>
          <cell r="H45"/>
        </row>
        <row r="57">
          <cell r="D57">
            <v>339066</v>
          </cell>
          <cell r="F57"/>
          <cell r="H57"/>
        </row>
        <row r="58">
          <cell r="D58">
            <v>19886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30958</v>
          </cell>
          <cell r="F60"/>
          <cell r="H60"/>
        </row>
        <row r="61">
          <cell r="D61">
            <v>10261</v>
          </cell>
          <cell r="F61"/>
          <cell r="H61"/>
        </row>
        <row r="62">
          <cell r="D62">
            <v>473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0</v>
          </cell>
          <cell r="F65"/>
          <cell r="H65"/>
        </row>
        <row r="66">
          <cell r="D66">
            <v>46483</v>
          </cell>
          <cell r="F66"/>
          <cell r="H66">
            <v>-409</v>
          </cell>
        </row>
        <row r="67">
          <cell r="D67">
            <v>34041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4087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42626</v>
          </cell>
          <cell r="F75"/>
          <cell r="H75"/>
        </row>
        <row r="76">
          <cell r="D76">
            <v>17816</v>
          </cell>
          <cell r="F76"/>
          <cell r="H76"/>
        </row>
        <row r="77">
          <cell r="D77">
            <v>10890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5431</v>
          </cell>
          <cell r="F79"/>
          <cell r="H79"/>
        </row>
        <row r="80">
          <cell r="D80">
            <v>16907</v>
          </cell>
          <cell r="F80"/>
          <cell r="H80"/>
        </row>
        <row r="81">
          <cell r="D81">
            <v>30964</v>
          </cell>
          <cell r="F81"/>
          <cell r="H81"/>
        </row>
        <row r="82">
          <cell r="D82">
            <v>9843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94126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391593</v>
          </cell>
          <cell r="F91"/>
          <cell r="H91"/>
        </row>
        <row r="92">
          <cell r="D92">
            <v>2763</v>
          </cell>
          <cell r="F92">
            <v>-597</v>
          </cell>
          <cell r="H92"/>
        </row>
        <row r="93">
          <cell r="D93">
            <v>1751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0</v>
          </cell>
          <cell r="F100"/>
          <cell r="H100"/>
        </row>
        <row r="101">
          <cell r="D101">
            <v>33921</v>
          </cell>
          <cell r="F101"/>
          <cell r="H101"/>
        </row>
        <row r="102">
          <cell r="D102">
            <v>4004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10862</v>
          </cell>
          <cell r="F117"/>
          <cell r="H117"/>
        </row>
        <row r="118">
          <cell r="D118">
            <v>82135</v>
          </cell>
          <cell r="F118"/>
          <cell r="H118"/>
        </row>
        <row r="119">
          <cell r="D119">
            <v>815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175765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34867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41342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7088</v>
          </cell>
          <cell r="F134"/>
          <cell r="H134"/>
        </row>
        <row r="136">
          <cell r="D136">
            <v>623977</v>
          </cell>
          <cell r="F136"/>
          <cell r="H136"/>
        </row>
        <row r="137">
          <cell r="D137">
            <v>106094</v>
          </cell>
          <cell r="F137"/>
          <cell r="H137"/>
        </row>
        <row r="138">
          <cell r="D138">
            <v>515274</v>
          </cell>
          <cell r="F138">
            <v>1975</v>
          </cell>
          <cell r="H138"/>
        </row>
        <row r="139">
          <cell r="D139">
            <v>1975</v>
          </cell>
          <cell r="F139">
            <v>-1975</v>
          </cell>
          <cell r="H139"/>
        </row>
        <row r="141">
          <cell r="D141">
            <v>245254</v>
          </cell>
          <cell r="F141">
            <v>-122565</v>
          </cell>
          <cell r="H141"/>
        </row>
        <row r="142">
          <cell r="D142">
            <v>0</v>
          </cell>
          <cell r="F142">
            <v>20861</v>
          </cell>
          <cell r="H142"/>
        </row>
        <row r="143">
          <cell r="D143">
            <v>0</v>
          </cell>
          <cell r="F143">
            <v>101704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33600</v>
          </cell>
          <cell r="F146"/>
          <cell r="H146"/>
        </row>
        <row r="147">
          <cell r="D147">
            <v>2893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250320</v>
          </cell>
          <cell r="F149"/>
          <cell r="H149"/>
        </row>
        <row r="150">
          <cell r="D150">
            <v>3167</v>
          </cell>
          <cell r="F150"/>
          <cell r="H150"/>
        </row>
        <row r="151">
          <cell r="D151">
            <v>93808</v>
          </cell>
          <cell r="F151"/>
          <cell r="H151"/>
        </row>
        <row r="152">
          <cell r="D152">
            <v>2786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75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9772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930</v>
          </cell>
          <cell r="F193"/>
          <cell r="H193"/>
        </row>
        <row r="194">
          <cell r="D194">
            <v>204234</v>
          </cell>
          <cell r="F194"/>
          <cell r="H194">
            <v>3574</v>
          </cell>
        </row>
        <row r="195">
          <cell r="D195">
            <v>89900</v>
          </cell>
          <cell r="F195"/>
          <cell r="H195">
            <v>1573</v>
          </cell>
        </row>
        <row r="196">
          <cell r="D196">
            <v>0</v>
          </cell>
          <cell r="F196"/>
          <cell r="H196"/>
        </row>
        <row r="197">
          <cell r="D197">
            <v>217045</v>
          </cell>
          <cell r="F197"/>
          <cell r="H197">
            <v>3798</v>
          </cell>
        </row>
        <row r="198">
          <cell r="D198">
            <v>30063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133471</v>
          </cell>
          <cell r="F205"/>
          <cell r="H205"/>
        </row>
        <row r="206">
          <cell r="D206">
            <v>2492</v>
          </cell>
          <cell r="F206"/>
          <cell r="H206"/>
        </row>
        <row r="207">
          <cell r="D207">
            <v>1619</v>
          </cell>
          <cell r="F207"/>
          <cell r="H207"/>
        </row>
        <row r="211">
          <cell r="D211">
            <v>99833</v>
          </cell>
          <cell r="F211"/>
          <cell r="H211"/>
        </row>
        <row r="212">
          <cell r="D212">
            <v>23305</v>
          </cell>
          <cell r="F212"/>
          <cell r="H212"/>
        </row>
        <row r="213">
          <cell r="D213">
            <v>4966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2845</v>
          </cell>
          <cell r="F216"/>
          <cell r="H216"/>
        </row>
        <row r="221">
          <cell r="D221">
            <v>5625840</v>
          </cell>
        </row>
      </sheetData>
      <sheetData sheetId="8"/>
      <sheetData sheetId="9"/>
      <sheetData sheetId="10">
        <row r="9">
          <cell r="C9">
            <v>11235</v>
          </cell>
          <cell r="D9"/>
          <cell r="E9">
            <v>1808</v>
          </cell>
          <cell r="F9">
            <v>2144</v>
          </cell>
          <cell r="G9"/>
          <cell r="H9">
            <v>3793</v>
          </cell>
          <cell r="I9">
            <v>1379</v>
          </cell>
          <cell r="J9"/>
          <cell r="K9">
            <v>194</v>
          </cell>
        </row>
        <row r="22">
          <cell r="N22">
            <v>102</v>
          </cell>
        </row>
        <row r="24">
          <cell r="N24">
            <v>102</v>
          </cell>
        </row>
        <row r="28">
          <cell r="N28">
            <v>37230</v>
          </cell>
        </row>
        <row r="30">
          <cell r="N30">
            <v>0.55205479452054795</v>
          </cell>
        </row>
        <row r="32">
          <cell r="N32">
            <v>0.30177276390008057</v>
          </cell>
        </row>
        <row r="34">
          <cell r="N34">
            <v>0.54663552766019552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Detail"/>
      <sheetName val="Sch B-1"/>
      <sheetName val="Sch C"/>
      <sheetName val="Sch C Detail"/>
      <sheetName val="Sch C-1"/>
      <sheetName val="Sch C-1 (2)"/>
      <sheetName val="Sch C-1 (3)"/>
      <sheetName val="Sch C-2"/>
      <sheetName val="Sch D"/>
      <sheetName val="Summary"/>
      <sheetName val="UPL Summary"/>
      <sheetName val="WTB Coded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2334352.0099999998</v>
          </cell>
          <cell r="G10">
            <v>0</v>
          </cell>
        </row>
        <row r="12">
          <cell r="E12">
            <v>101943.34</v>
          </cell>
          <cell r="G12"/>
        </row>
        <row r="13">
          <cell r="E13"/>
          <cell r="G13"/>
        </row>
        <row r="14">
          <cell r="E14">
            <v>93285.22</v>
          </cell>
          <cell r="G14"/>
        </row>
        <row r="15">
          <cell r="E15">
            <v>2529580.5699999998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1336273.9400000004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2008278.0500000003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35596.159999999996</v>
          </cell>
          <cell r="G72">
            <v>-35596.159999999996</v>
          </cell>
        </row>
        <row r="90">
          <cell r="C90">
            <v>286.13421342134211</v>
          </cell>
          <cell r="E90">
            <v>282.94320241691844</v>
          </cell>
          <cell r="G90">
            <v>284.21205479452055</v>
          </cell>
          <cell r="I90">
            <v>265.28745367919532</v>
          </cell>
        </row>
      </sheetData>
      <sheetData sheetId="6"/>
      <sheetData sheetId="7"/>
      <sheetData sheetId="8">
        <row r="10">
          <cell r="D10">
            <v>81870.350000000006</v>
          </cell>
          <cell r="F10">
            <v>-68.087667722380914</v>
          </cell>
          <cell r="H10">
            <v>16848.179435115409</v>
          </cell>
        </row>
        <row r="11">
          <cell r="D11"/>
          <cell r="F11"/>
          <cell r="H11"/>
        </row>
        <row r="12">
          <cell r="D12">
            <v>68383.569999999992</v>
          </cell>
          <cell r="F12">
            <v>2267.5240543189211</v>
          </cell>
          <cell r="H12">
            <v>130069.54649608904</v>
          </cell>
        </row>
        <row r="13">
          <cell r="D13">
            <v>519820.52000000008</v>
          </cell>
          <cell r="F13">
            <v>-491466.60077759274</v>
          </cell>
          <cell r="H13">
            <v>27426.92041714878</v>
          </cell>
        </row>
        <row r="14">
          <cell r="D14"/>
          <cell r="F14"/>
          <cell r="H14"/>
        </row>
        <row r="15">
          <cell r="D15">
            <v>345715</v>
          </cell>
          <cell r="F15"/>
          <cell r="H15">
            <v>-345715</v>
          </cell>
        </row>
        <row r="16">
          <cell r="D16"/>
          <cell r="F16"/>
          <cell r="H16"/>
        </row>
        <row r="17">
          <cell r="D17">
            <v>33202.379999999997</v>
          </cell>
          <cell r="F17">
            <v>-33202.379999999997</v>
          </cell>
          <cell r="H17"/>
        </row>
        <row r="18">
          <cell r="D18">
            <v>16155.35</v>
          </cell>
          <cell r="F18"/>
          <cell r="H18"/>
        </row>
        <row r="19">
          <cell r="D19">
            <v>17723.68</v>
          </cell>
          <cell r="F19"/>
          <cell r="H19">
            <v>652.78871062839096</v>
          </cell>
        </row>
        <row r="20">
          <cell r="D20">
            <v>70718.740000000005</v>
          </cell>
          <cell r="F20"/>
          <cell r="H20">
            <v>0.77358990242432768</v>
          </cell>
        </row>
        <row r="21">
          <cell r="D21">
            <v>80686.63</v>
          </cell>
          <cell r="F21"/>
          <cell r="H21"/>
        </row>
        <row r="22">
          <cell r="D22"/>
          <cell r="F22"/>
          <cell r="H22"/>
        </row>
        <row r="23">
          <cell r="D23">
            <v>14197.760000000002</v>
          </cell>
          <cell r="F23"/>
          <cell r="H23">
            <v>860.1878723350743</v>
          </cell>
        </row>
        <row r="24">
          <cell r="D24">
            <v>27046.28</v>
          </cell>
          <cell r="F24"/>
          <cell r="H24"/>
        </row>
        <row r="25">
          <cell r="D25"/>
          <cell r="F25"/>
          <cell r="H25"/>
        </row>
        <row r="26">
          <cell r="D26">
            <v>377465.42</v>
          </cell>
          <cell r="F26"/>
          <cell r="H26"/>
        </row>
        <row r="27">
          <cell r="D27"/>
          <cell r="F27"/>
          <cell r="H27">
            <v>4216.452580480699</v>
          </cell>
        </row>
        <row r="28">
          <cell r="D28"/>
          <cell r="F28">
            <v>0</v>
          </cell>
          <cell r="H28"/>
        </row>
        <row r="29">
          <cell r="D29">
            <v>64451</v>
          </cell>
          <cell r="F29">
            <v>-64451</v>
          </cell>
          <cell r="H29"/>
        </row>
        <row r="30">
          <cell r="D30">
            <v>8216.11</v>
          </cell>
          <cell r="F30">
            <v>-8216.11</v>
          </cell>
          <cell r="H30"/>
        </row>
        <row r="31">
          <cell r="D31">
            <v>62528</v>
          </cell>
          <cell r="F31"/>
          <cell r="H31"/>
        </row>
        <row r="32">
          <cell r="D32">
            <v>73506.759999999995</v>
          </cell>
          <cell r="F32"/>
          <cell r="H32">
            <v>962.40687562418213</v>
          </cell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348.3</v>
          </cell>
          <cell r="F35">
            <v>-348.3</v>
          </cell>
          <cell r="H35"/>
        </row>
        <row r="36">
          <cell r="D36">
            <v>54150.95</v>
          </cell>
          <cell r="F36">
            <v>-45.034681484188596</v>
          </cell>
          <cell r="H36"/>
        </row>
        <row r="37">
          <cell r="D37"/>
          <cell r="F37">
            <v>10063.056314585912</v>
          </cell>
          <cell r="H37"/>
        </row>
        <row r="38">
          <cell r="D38"/>
          <cell r="F38"/>
          <cell r="H38"/>
        </row>
        <row r="39">
          <cell r="D39">
            <v>0</v>
          </cell>
          <cell r="F39"/>
          <cell r="H39"/>
        </row>
        <row r="40">
          <cell r="D40"/>
          <cell r="F40"/>
          <cell r="H40"/>
        </row>
        <row r="41">
          <cell r="D41">
            <v>40355.54</v>
          </cell>
          <cell r="F41"/>
          <cell r="H41">
            <v>15274.628498161015</v>
          </cell>
        </row>
        <row r="42">
          <cell r="D42">
            <v>10218</v>
          </cell>
          <cell r="F42"/>
          <cell r="H42"/>
        </row>
        <row r="43">
          <cell r="D43">
            <v>11870.1</v>
          </cell>
          <cell r="F43">
            <v>-11870.1</v>
          </cell>
          <cell r="H43"/>
        </row>
        <row r="44">
          <cell r="D44"/>
          <cell r="F44"/>
          <cell r="H44"/>
        </row>
        <row r="45">
          <cell r="D45">
            <v>49146.52</v>
          </cell>
          <cell r="F45">
            <v>-40414.42</v>
          </cell>
          <cell r="H45"/>
        </row>
        <row r="57">
          <cell r="D57">
            <v>284726.03000000003</v>
          </cell>
          <cell r="F57"/>
          <cell r="H57">
            <v>-284726</v>
          </cell>
        </row>
        <row r="58">
          <cell r="D58">
            <v>41500</v>
          </cell>
          <cell r="F58"/>
          <cell r="H58">
            <v>257167</v>
          </cell>
        </row>
        <row r="59">
          <cell r="D59"/>
          <cell r="F59"/>
          <cell r="H59">
            <v>997367.44</v>
          </cell>
        </row>
        <row r="60">
          <cell r="D60"/>
          <cell r="F60"/>
          <cell r="H60">
            <v>27444.582072567075</v>
          </cell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12580.88</v>
          </cell>
          <cell r="F66"/>
          <cell r="H66">
            <v>2442.1901191304564</v>
          </cell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>
            <v>3468</v>
          </cell>
          <cell r="F71"/>
          <cell r="H71">
            <v>69.583692289635394</v>
          </cell>
        </row>
        <row r="75">
          <cell r="D75">
            <v>48167.270000000004</v>
          </cell>
          <cell r="F75">
            <v>-40.058349159394488</v>
          </cell>
          <cell r="H75"/>
        </row>
        <row r="76">
          <cell r="D76"/>
          <cell r="F76">
            <v>8951.0352133234046</v>
          </cell>
          <cell r="H76"/>
        </row>
        <row r="77">
          <cell r="D77">
            <v>13803.96</v>
          </cell>
          <cell r="F77"/>
          <cell r="H77"/>
        </row>
        <row r="78">
          <cell r="D78"/>
          <cell r="F78"/>
          <cell r="H78"/>
        </row>
        <row r="79">
          <cell r="D79"/>
          <cell r="F79"/>
          <cell r="H79"/>
        </row>
        <row r="80">
          <cell r="D80">
            <v>10149.33</v>
          </cell>
          <cell r="F80"/>
          <cell r="H80"/>
        </row>
        <row r="81">
          <cell r="D81">
            <v>27250.260000000002</v>
          </cell>
          <cell r="F81"/>
          <cell r="H81">
            <v>3320.414924347011</v>
          </cell>
        </row>
        <row r="82">
          <cell r="D82">
            <v>11771.52</v>
          </cell>
          <cell r="F82"/>
          <cell r="H82"/>
        </row>
        <row r="83">
          <cell r="D83">
            <v>6382.25</v>
          </cell>
          <cell r="F83"/>
          <cell r="H83"/>
        </row>
        <row r="84">
          <cell r="D84">
            <v>83222.69</v>
          </cell>
          <cell r="F84"/>
          <cell r="H84">
            <v>939.30196575279626</v>
          </cell>
        </row>
        <row r="85">
          <cell r="D85"/>
          <cell r="F85"/>
          <cell r="H85"/>
        </row>
        <row r="89">
          <cell r="D89">
            <v>253198.25</v>
          </cell>
          <cell r="F89">
            <v>-210.57252995753456</v>
          </cell>
          <cell r="H89"/>
        </row>
        <row r="90">
          <cell r="D90"/>
          <cell r="F90">
            <v>47052.683453119076</v>
          </cell>
          <cell r="H90"/>
        </row>
        <row r="91">
          <cell r="D91">
            <v>8626.24</v>
          </cell>
          <cell r="F91"/>
          <cell r="H91"/>
        </row>
        <row r="92">
          <cell r="D92">
            <v>187090.25</v>
          </cell>
          <cell r="F92"/>
          <cell r="H92">
            <v>36</v>
          </cell>
        </row>
        <row r="93">
          <cell r="D93">
            <v>17999.239999999998</v>
          </cell>
          <cell r="F93"/>
          <cell r="H93"/>
        </row>
        <row r="94">
          <cell r="D94"/>
          <cell r="F94"/>
          <cell r="H94"/>
        </row>
        <row r="98">
          <cell r="D98">
            <v>64199.45</v>
          </cell>
          <cell r="F98">
            <v>-53.391524658571853</v>
          </cell>
          <cell r="H98"/>
        </row>
        <row r="99">
          <cell r="D99"/>
          <cell r="F99">
            <v>11930.373902255349</v>
          </cell>
          <cell r="H99"/>
        </row>
        <row r="100">
          <cell r="D100">
            <v>3468.75</v>
          </cell>
          <cell r="F100"/>
          <cell r="H100"/>
        </row>
        <row r="101">
          <cell r="D101"/>
          <cell r="F101"/>
          <cell r="H101"/>
        </row>
        <row r="102">
          <cell r="D102">
            <v>3586.3</v>
          </cell>
          <cell r="F102"/>
          <cell r="H102">
            <v>4.1941600087189075</v>
          </cell>
        </row>
        <row r="103">
          <cell r="D103"/>
          <cell r="F103"/>
          <cell r="H103"/>
        </row>
        <row r="115">
          <cell r="D115">
            <v>98428.74</v>
          </cell>
          <cell r="F115">
            <v>-81.858341447195542</v>
          </cell>
          <cell r="H115"/>
        </row>
        <row r="116">
          <cell r="D116"/>
          <cell r="F116">
            <v>18291.342907821327</v>
          </cell>
          <cell r="H116"/>
        </row>
        <row r="117">
          <cell r="D117">
            <v>22407.38</v>
          </cell>
          <cell r="F117"/>
          <cell r="H117">
            <v>159.58444681047277</v>
          </cell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169417.47999999998</v>
          </cell>
          <cell r="F125">
            <v>-140.89618464041519</v>
          </cell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82972.999999999985</v>
          </cell>
          <cell r="F128">
            <v>-69.004562741513865</v>
          </cell>
          <cell r="H128"/>
        </row>
        <row r="130">
          <cell r="D130"/>
          <cell r="F130"/>
          <cell r="H130"/>
        </row>
        <row r="131">
          <cell r="D131"/>
          <cell r="F131">
            <v>31483.458096406303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15419.133196030578</v>
          </cell>
          <cell r="H134"/>
        </row>
        <row r="136">
          <cell r="D136">
            <v>396915.24</v>
          </cell>
          <cell r="F136">
            <v>-330.0948812462251</v>
          </cell>
          <cell r="H136"/>
        </row>
        <row r="137">
          <cell r="D137">
            <v>435248.58</v>
          </cell>
          <cell r="F137">
            <v>-361.97483454575371</v>
          </cell>
          <cell r="H137"/>
        </row>
        <row r="138">
          <cell r="D138">
            <v>818964.52999999991</v>
          </cell>
          <cell r="F138">
            <v>-681.09251555878916</v>
          </cell>
          <cell r="H138"/>
        </row>
        <row r="139">
          <cell r="D139"/>
          <cell r="F139"/>
          <cell r="H139"/>
        </row>
        <row r="141">
          <cell r="D141"/>
          <cell r="F141">
            <v>73760.001642299292</v>
          </cell>
          <cell r="H141"/>
        </row>
        <row r="142">
          <cell r="D142"/>
          <cell r="F142">
            <v>80883.606221843322</v>
          </cell>
          <cell r="H142"/>
        </row>
        <row r="143">
          <cell r="D143"/>
          <cell r="F143">
            <v>152190.74248140448</v>
          </cell>
          <cell r="H143"/>
        </row>
        <row r="144">
          <cell r="D144"/>
          <cell r="F144"/>
          <cell r="H144"/>
        </row>
        <row r="146">
          <cell r="D146">
            <v>22050</v>
          </cell>
          <cell r="F146"/>
          <cell r="H146">
            <v>489.60018779185287</v>
          </cell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1045.1400000000001</v>
          </cell>
          <cell r="F150"/>
          <cell r="H150"/>
        </row>
        <row r="151">
          <cell r="D151">
            <v>174413.02</v>
          </cell>
          <cell r="F151"/>
          <cell r="H151">
            <v>30.293032419245314</v>
          </cell>
        </row>
        <row r="152">
          <cell r="D152"/>
          <cell r="F152"/>
          <cell r="H152"/>
        </row>
        <row r="153">
          <cell r="D153">
            <v>2426.02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3790.78</v>
          </cell>
          <cell r="F161">
            <v>-3790.78</v>
          </cell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111750.01</v>
          </cell>
          <cell r="F177">
            <v>-20684.52</v>
          </cell>
          <cell r="H177"/>
        </row>
        <row r="178">
          <cell r="D178">
            <v>21869.17</v>
          </cell>
          <cell r="F178">
            <v>-13337.986696206768</v>
          </cell>
          <cell r="H178"/>
        </row>
        <row r="179">
          <cell r="D179">
            <v>45152.149999999994</v>
          </cell>
          <cell r="F179">
            <v>7674.78</v>
          </cell>
          <cell r="H179"/>
        </row>
        <row r="180">
          <cell r="D180"/>
          <cell r="F180">
            <v>4948.9243752672246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76538.69</v>
          </cell>
          <cell r="F183">
            <v>13009.740000000002</v>
          </cell>
          <cell r="H183"/>
        </row>
        <row r="184">
          <cell r="D184"/>
          <cell r="F184">
            <v>8389.0623209395453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65398.73</v>
          </cell>
          <cell r="F188"/>
          <cell r="H188"/>
        </row>
        <row r="189">
          <cell r="D189">
            <v>33355.519999999997</v>
          </cell>
          <cell r="F189"/>
          <cell r="H189"/>
        </row>
        <row r="190">
          <cell r="D190"/>
          <cell r="F190"/>
          <cell r="H190"/>
        </row>
        <row r="191">
          <cell r="D191">
            <v>52138.18</v>
          </cell>
          <cell r="F191"/>
          <cell r="H191"/>
        </row>
        <row r="192">
          <cell r="D192">
            <v>34157.629999999997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>
            <v>153.6</v>
          </cell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174493.22999999998</v>
          </cell>
          <cell r="F205"/>
          <cell r="H205"/>
        </row>
        <row r="206">
          <cell r="D206">
            <v>106.56</v>
          </cell>
          <cell r="F206"/>
          <cell r="H206"/>
        </row>
        <row r="207">
          <cell r="D207">
            <v>2356.63</v>
          </cell>
          <cell r="F207"/>
          <cell r="H207"/>
        </row>
        <row r="211">
          <cell r="D211">
            <v>222999.81999999998</v>
          </cell>
          <cell r="F211">
            <v>-185.45798115695825</v>
          </cell>
          <cell r="H211"/>
        </row>
        <row r="212">
          <cell r="D212"/>
          <cell r="F212">
            <v>41440.687348503772</v>
          </cell>
          <cell r="H212"/>
        </row>
        <row r="213">
          <cell r="D213">
            <v>1100</v>
          </cell>
          <cell r="F213"/>
          <cell r="H213">
            <v>58.546880056337557</v>
          </cell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10298.379999999999</v>
          </cell>
          <cell r="F216"/>
          <cell r="H216">
            <v>3706.3894568288329</v>
          </cell>
        </row>
        <row r="221">
          <cell r="D221">
            <v>6188915.8399999952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C9">
            <v>11995</v>
          </cell>
          <cell r="D9">
            <v>365</v>
          </cell>
          <cell r="E9">
            <v>2542</v>
          </cell>
          <cell r="F9"/>
          <cell r="G9"/>
          <cell r="H9">
            <v>7198</v>
          </cell>
          <cell r="I9">
            <v>640</v>
          </cell>
          <cell r="J9"/>
          <cell r="K9"/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0.51917808219178085</v>
          </cell>
        </row>
        <row r="32">
          <cell r="N32">
            <v>0.28219178082191781</v>
          </cell>
        </row>
        <row r="34">
          <cell r="N34">
            <v>0.54353562005277045</v>
          </cell>
        </row>
      </sheetData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2629978</v>
          </cell>
          <cell r="G10">
            <v>0</v>
          </cell>
        </row>
        <row r="12">
          <cell r="E12">
            <v>860574</v>
          </cell>
          <cell r="G12">
            <v>801027.28338327538</v>
          </cell>
        </row>
        <row r="13">
          <cell r="E13">
            <v>40480</v>
          </cell>
          <cell r="G13"/>
        </row>
        <row r="14">
          <cell r="E14">
            <v>67712</v>
          </cell>
          <cell r="G14"/>
        </row>
        <row r="15">
          <cell r="E15">
            <v>3598744</v>
          </cell>
          <cell r="G15">
            <v>801027.28338327538</v>
          </cell>
        </row>
        <row r="20">
          <cell r="E20">
            <v>0</v>
          </cell>
          <cell r="G20">
            <v>0</v>
          </cell>
        </row>
        <row r="26">
          <cell r="E26">
            <v>1103264</v>
          </cell>
          <cell r="G26">
            <v>0</v>
          </cell>
        </row>
        <row r="32">
          <cell r="E32">
            <v>695547.94154084392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269581</v>
          </cell>
          <cell r="G42">
            <v>0</v>
          </cell>
        </row>
        <row r="47">
          <cell r="E47">
            <v>340579.87616099068</v>
          </cell>
          <cell r="G47">
            <v>0</v>
          </cell>
        </row>
        <row r="52">
          <cell r="E52">
            <v>26111.123839009291</v>
          </cell>
          <cell r="G52">
            <v>0</v>
          </cell>
        </row>
        <row r="57">
          <cell r="E57">
            <v>322057.05845915602</v>
          </cell>
          <cell r="G57">
            <v>0</v>
          </cell>
        </row>
        <row r="72">
          <cell r="E72">
            <v>6490</v>
          </cell>
          <cell r="G72">
            <v>0</v>
          </cell>
        </row>
        <row r="90">
          <cell r="C90">
            <v>212.71095571095572</v>
          </cell>
          <cell r="E90">
            <v>143.45876288659792</v>
          </cell>
          <cell r="G90">
            <v>175.94632768361581</v>
          </cell>
          <cell r="I90">
            <v>221.9889705882353</v>
          </cell>
        </row>
      </sheetData>
      <sheetData sheetId="7"/>
      <sheetData sheetId="8">
        <row r="10">
          <cell r="D10">
            <v>124808</v>
          </cell>
          <cell r="F10">
            <v>-12838</v>
          </cell>
          <cell r="H10"/>
        </row>
        <row r="11">
          <cell r="D11">
            <v>0</v>
          </cell>
          <cell r="F11"/>
          <cell r="H11"/>
        </row>
        <row r="12">
          <cell r="D12">
            <v>136805</v>
          </cell>
          <cell r="F12"/>
          <cell r="H12"/>
        </row>
        <row r="13">
          <cell r="D13">
            <v>193515</v>
          </cell>
          <cell r="F13">
            <v>-134694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318295</v>
          </cell>
          <cell r="F16"/>
          <cell r="H16">
            <v>-91386</v>
          </cell>
        </row>
        <row r="17">
          <cell r="D17">
            <v>0</v>
          </cell>
          <cell r="F17"/>
          <cell r="H17"/>
        </row>
        <row r="18">
          <cell r="D18">
            <v>13933</v>
          </cell>
          <cell r="F18"/>
          <cell r="H18"/>
        </row>
        <row r="19">
          <cell r="D19">
            <v>21771</v>
          </cell>
          <cell r="F19">
            <v>-1983</v>
          </cell>
          <cell r="H19"/>
        </row>
        <row r="20">
          <cell r="D20">
            <v>16319</v>
          </cell>
          <cell r="F20">
            <v>4765</v>
          </cell>
          <cell r="H20"/>
        </row>
        <row r="21">
          <cell r="D21">
            <v>2213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13507</v>
          </cell>
          <cell r="F23"/>
          <cell r="H23"/>
        </row>
        <row r="24">
          <cell r="D24">
            <v>67170</v>
          </cell>
          <cell r="F24"/>
          <cell r="H24">
            <v>-17001</v>
          </cell>
        </row>
        <row r="25">
          <cell r="D25">
            <v>0</v>
          </cell>
          <cell r="F25"/>
          <cell r="H25"/>
        </row>
        <row r="26">
          <cell r="D26">
            <v>376330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114966</v>
          </cell>
          <cell r="F29">
            <v>-114966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87190</v>
          </cell>
          <cell r="F31"/>
          <cell r="H31">
            <v>-51084</v>
          </cell>
        </row>
        <row r="32">
          <cell r="D32">
            <v>111492</v>
          </cell>
          <cell r="F32"/>
          <cell r="H32">
            <v>-50171</v>
          </cell>
        </row>
        <row r="33">
          <cell r="D33">
            <v>11053</v>
          </cell>
          <cell r="F33">
            <v>-11053</v>
          </cell>
          <cell r="H33"/>
        </row>
        <row r="34">
          <cell r="D34">
            <v>0</v>
          </cell>
          <cell r="F34"/>
          <cell r="H34"/>
        </row>
        <row r="35">
          <cell r="D35">
            <v>52</v>
          </cell>
          <cell r="F35">
            <v>-52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7766</v>
          </cell>
          <cell r="F39"/>
          <cell r="H39"/>
        </row>
        <row r="40">
          <cell r="D40">
            <v>9279</v>
          </cell>
          <cell r="F40"/>
          <cell r="H40"/>
        </row>
        <row r="41">
          <cell r="D41">
            <v>15290</v>
          </cell>
          <cell r="F41"/>
          <cell r="H41"/>
        </row>
        <row r="42">
          <cell r="D42">
            <v>5893</v>
          </cell>
          <cell r="F42"/>
          <cell r="H42"/>
        </row>
        <row r="43">
          <cell r="D43">
            <v>9027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982</v>
          </cell>
          <cell r="F45">
            <v>-5979</v>
          </cell>
          <cell r="H45"/>
        </row>
        <row r="57">
          <cell r="D57">
            <v>736849</v>
          </cell>
          <cell r="F57">
            <v>-736849</v>
          </cell>
          <cell r="H57"/>
        </row>
        <row r="58">
          <cell r="D58">
            <v>23831</v>
          </cell>
          <cell r="F58">
            <v>250055</v>
          </cell>
          <cell r="H58"/>
        </row>
        <row r="59">
          <cell r="D59">
            <v>0</v>
          </cell>
          <cell r="F59"/>
          <cell r="H59"/>
        </row>
        <row r="60">
          <cell r="D60">
            <v>18058</v>
          </cell>
          <cell r="F60"/>
          <cell r="H60"/>
        </row>
        <row r="61">
          <cell r="D61">
            <v>6333</v>
          </cell>
          <cell r="F61"/>
          <cell r="H61"/>
        </row>
        <row r="62">
          <cell r="D62">
            <v>8919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5427</v>
          </cell>
          <cell r="F65"/>
          <cell r="H65"/>
        </row>
        <row r="66">
          <cell r="D66">
            <v>8943</v>
          </cell>
          <cell r="F66"/>
          <cell r="H66"/>
        </row>
        <row r="67">
          <cell r="D67">
            <v>65587</v>
          </cell>
          <cell r="F67">
            <v>-680</v>
          </cell>
          <cell r="H67"/>
        </row>
        <row r="68">
          <cell r="D68">
            <v>0</v>
          </cell>
          <cell r="F68"/>
          <cell r="H68"/>
        </row>
        <row r="69">
          <cell r="D69">
            <v>5376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44697</v>
          </cell>
          <cell r="F75"/>
          <cell r="H75"/>
        </row>
        <row r="76">
          <cell r="D76">
            <v>5174</v>
          </cell>
          <cell r="F76">
            <v>2555</v>
          </cell>
          <cell r="H76"/>
        </row>
        <row r="77">
          <cell r="D77">
            <v>6852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6417</v>
          </cell>
          <cell r="F79">
            <v>1244</v>
          </cell>
          <cell r="H79"/>
        </row>
        <row r="80">
          <cell r="D80">
            <v>28820</v>
          </cell>
          <cell r="F80"/>
          <cell r="H80"/>
        </row>
        <row r="81">
          <cell r="D81">
            <v>15627</v>
          </cell>
          <cell r="F81"/>
          <cell r="H81"/>
        </row>
        <row r="82">
          <cell r="D82">
            <v>152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77167</v>
          </cell>
          <cell r="F84"/>
          <cell r="H84"/>
        </row>
        <row r="85">
          <cell r="D85">
            <v>11</v>
          </cell>
          <cell r="F85"/>
          <cell r="H85"/>
        </row>
        <row r="89">
          <cell r="D89">
            <v>188150</v>
          </cell>
          <cell r="F89"/>
          <cell r="H89"/>
        </row>
        <row r="90">
          <cell r="D90">
            <v>26633</v>
          </cell>
          <cell r="F90">
            <v>10756</v>
          </cell>
          <cell r="H90"/>
        </row>
        <row r="91">
          <cell r="D91">
            <v>6071</v>
          </cell>
          <cell r="F91"/>
          <cell r="H91"/>
        </row>
        <row r="92">
          <cell r="D92">
            <v>132923</v>
          </cell>
          <cell r="F92"/>
          <cell r="H92"/>
        </row>
        <row r="93">
          <cell r="D93">
            <v>12588</v>
          </cell>
          <cell r="F93"/>
          <cell r="H93"/>
        </row>
        <row r="94">
          <cell r="D94">
            <v>0</v>
          </cell>
          <cell r="F94">
            <v>1000</v>
          </cell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6459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5457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95448</v>
          </cell>
          <cell r="F115"/>
          <cell r="H115"/>
        </row>
        <row r="116">
          <cell r="D116">
            <v>13182</v>
          </cell>
          <cell r="F116">
            <v>5457</v>
          </cell>
          <cell r="H116"/>
        </row>
        <row r="117">
          <cell r="D117">
            <v>16341</v>
          </cell>
          <cell r="F117"/>
          <cell r="H117"/>
        </row>
        <row r="118">
          <cell r="D118">
            <v>4958</v>
          </cell>
          <cell r="F118"/>
          <cell r="H118"/>
        </row>
        <row r="119">
          <cell r="D119">
            <v>61</v>
          </cell>
          <cell r="F119"/>
          <cell r="H119"/>
        </row>
        <row r="124">
          <cell r="D124"/>
          <cell r="F124"/>
          <cell r="H124"/>
        </row>
        <row r="125">
          <cell r="D125">
            <v>157657</v>
          </cell>
          <cell r="F125"/>
          <cell r="H125">
            <v>82828</v>
          </cell>
        </row>
        <row r="126">
          <cell r="D126">
            <v>75068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39549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0</v>
          </cell>
          <cell r="F131">
            <v>9013</v>
          </cell>
          <cell r="H131">
            <v>8558</v>
          </cell>
        </row>
        <row r="132">
          <cell r="D132">
            <v>0</v>
          </cell>
          <cell r="F132">
            <v>4292</v>
          </cell>
          <cell r="H132"/>
        </row>
        <row r="133">
          <cell r="D133">
            <v>0</v>
          </cell>
          <cell r="F133">
            <v>0</v>
          </cell>
          <cell r="H133"/>
        </row>
        <row r="134">
          <cell r="D134">
            <v>0</v>
          </cell>
          <cell r="F134">
            <v>2261</v>
          </cell>
          <cell r="H134"/>
        </row>
        <row r="136">
          <cell r="D136">
            <v>175360</v>
          </cell>
          <cell r="F136"/>
          <cell r="H136"/>
        </row>
        <row r="137">
          <cell r="D137">
            <v>487498</v>
          </cell>
          <cell r="F137"/>
          <cell r="H137"/>
        </row>
        <row r="138">
          <cell r="D138">
            <v>570126</v>
          </cell>
          <cell r="F138"/>
          <cell r="H138"/>
        </row>
        <row r="139">
          <cell r="D139">
            <v>100012</v>
          </cell>
          <cell r="F139"/>
          <cell r="H139"/>
        </row>
        <row r="141">
          <cell r="D141"/>
          <cell r="F141">
            <v>10025</v>
          </cell>
          <cell r="H141"/>
        </row>
        <row r="142">
          <cell r="D142"/>
          <cell r="F142">
            <v>27869</v>
          </cell>
          <cell r="H142"/>
        </row>
        <row r="143">
          <cell r="D143"/>
          <cell r="F143">
            <v>32593</v>
          </cell>
          <cell r="H143"/>
        </row>
        <row r="144">
          <cell r="D144">
            <v>226045</v>
          </cell>
          <cell r="F144">
            <v>5718</v>
          </cell>
          <cell r="H144"/>
        </row>
        <row r="146">
          <cell r="D146">
            <v>22125</v>
          </cell>
          <cell r="F146"/>
          <cell r="H146"/>
        </row>
        <row r="147">
          <cell r="D147">
            <v>21561</v>
          </cell>
          <cell r="F147"/>
          <cell r="H147"/>
        </row>
        <row r="148">
          <cell r="D148">
            <v>7499</v>
          </cell>
          <cell r="F148"/>
          <cell r="H148"/>
        </row>
        <row r="149">
          <cell r="D149">
            <v>19851</v>
          </cell>
          <cell r="F149"/>
          <cell r="H149"/>
        </row>
        <row r="150">
          <cell r="D150">
            <v>17055</v>
          </cell>
          <cell r="F150"/>
          <cell r="H150"/>
        </row>
        <row r="151">
          <cell r="D151">
            <v>117579</v>
          </cell>
          <cell r="F151">
            <v>1456</v>
          </cell>
          <cell r="H151"/>
        </row>
        <row r="152">
          <cell r="D152">
            <v>8080</v>
          </cell>
          <cell r="F152"/>
          <cell r="H152"/>
        </row>
        <row r="153">
          <cell r="D153">
            <v>1496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8633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238877</v>
          </cell>
          <cell r="F177"/>
          <cell r="H177"/>
        </row>
        <row r="178">
          <cell r="D178">
            <v>33078</v>
          </cell>
          <cell r="F178">
            <v>13656</v>
          </cell>
          <cell r="H178"/>
        </row>
        <row r="179">
          <cell r="D179">
            <v>34542</v>
          </cell>
          <cell r="F179"/>
          <cell r="H179"/>
        </row>
        <row r="180">
          <cell r="D180">
            <v>7401</v>
          </cell>
          <cell r="F180">
            <v>1975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144543</v>
          </cell>
          <cell r="F183"/>
          <cell r="H183"/>
        </row>
        <row r="184">
          <cell r="D184">
            <v>24551</v>
          </cell>
          <cell r="F184">
            <v>8263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1991</v>
          </cell>
          <cell r="F188"/>
          <cell r="H188"/>
        </row>
        <row r="189">
          <cell r="D189">
            <v>86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261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882</v>
          </cell>
          <cell r="F194"/>
          <cell r="H194"/>
        </row>
        <row r="195">
          <cell r="D195">
            <v>4051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34235</v>
          </cell>
          <cell r="F198"/>
          <cell r="H198">
            <v>-1112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161403</v>
          </cell>
          <cell r="F205"/>
          <cell r="H205"/>
        </row>
        <row r="206">
          <cell r="D206">
            <v>2196</v>
          </cell>
          <cell r="F206"/>
          <cell r="H206"/>
        </row>
        <row r="207">
          <cell r="D207">
            <v>12756</v>
          </cell>
          <cell r="F207">
            <v>-638</v>
          </cell>
          <cell r="H207"/>
        </row>
        <row r="211">
          <cell r="D211">
            <v>165979</v>
          </cell>
          <cell r="F211"/>
          <cell r="H211"/>
        </row>
        <row r="212">
          <cell r="D212">
            <v>23535</v>
          </cell>
          <cell r="F212">
            <v>9489</v>
          </cell>
          <cell r="H212"/>
        </row>
        <row r="213">
          <cell r="D213">
            <v>37343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38084</v>
          </cell>
          <cell r="F216">
            <v>1186</v>
          </cell>
          <cell r="H216"/>
        </row>
        <row r="221">
          <cell r="D221">
            <v>6251155</v>
          </cell>
        </row>
      </sheetData>
      <sheetData sheetId="9"/>
      <sheetData sheetId="10"/>
      <sheetData sheetId="11">
        <row r="9">
          <cell r="C9">
            <v>14511</v>
          </cell>
          <cell r="D9"/>
          <cell r="E9">
            <v>1697</v>
          </cell>
          <cell r="F9">
            <v>1745</v>
          </cell>
          <cell r="G9"/>
          <cell r="H9">
            <v>1443</v>
          </cell>
          <cell r="I9">
            <v>1800</v>
          </cell>
          <cell r="J9">
            <v>138</v>
          </cell>
          <cell r="K9">
            <v>838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0.50621004566210048</v>
          </cell>
        </row>
        <row r="32">
          <cell r="N32">
            <v>0.33130136986301367</v>
          </cell>
        </row>
        <row r="34">
          <cell r="N34">
            <v>0.65447411149197177</v>
          </cell>
        </row>
      </sheetData>
      <sheetData sheetId="12"/>
      <sheetData sheetId="1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2402232</v>
          </cell>
          <cell r="G10">
            <v>0</v>
          </cell>
        </row>
        <row r="12">
          <cell r="E12">
            <v>718689</v>
          </cell>
          <cell r="G12">
            <v>983964.36151881074</v>
          </cell>
        </row>
        <row r="13">
          <cell r="E13">
            <v>55844</v>
          </cell>
          <cell r="G13"/>
        </row>
        <row r="14">
          <cell r="E14">
            <v>48519</v>
          </cell>
          <cell r="G14"/>
        </row>
        <row r="15">
          <cell r="E15">
            <v>3225284</v>
          </cell>
          <cell r="G15">
            <v>983964.36151881074</v>
          </cell>
        </row>
        <row r="20">
          <cell r="E20">
            <v>0</v>
          </cell>
          <cell r="G20">
            <v>0</v>
          </cell>
        </row>
        <row r="26">
          <cell r="E26">
            <v>360005</v>
          </cell>
          <cell r="G26">
            <v>0</v>
          </cell>
        </row>
        <row r="32">
          <cell r="E32">
            <v>403836.3255004352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179300</v>
          </cell>
          <cell r="G42">
            <v>0</v>
          </cell>
        </row>
        <row r="47">
          <cell r="E47">
            <v>171589</v>
          </cell>
          <cell r="G47">
            <v>0</v>
          </cell>
        </row>
        <row r="52">
          <cell r="E52">
            <v>8162</v>
          </cell>
          <cell r="G52">
            <v>0</v>
          </cell>
        </row>
        <row r="57">
          <cell r="E57">
            <v>83329.674499564848</v>
          </cell>
          <cell r="G57">
            <v>0</v>
          </cell>
        </row>
        <row r="72">
          <cell r="E72">
            <v>-298</v>
          </cell>
          <cell r="G72">
            <v>0</v>
          </cell>
        </row>
        <row r="90">
          <cell r="C90">
            <v>143.56498673740052</v>
          </cell>
          <cell r="E90">
            <v>180.9619771863118</v>
          </cell>
          <cell r="G90">
            <v>713.84705882352944</v>
          </cell>
          <cell r="I90">
            <v>73.504347826086956</v>
          </cell>
        </row>
      </sheetData>
      <sheetData sheetId="7"/>
      <sheetData sheetId="8">
        <row r="10">
          <cell r="D10">
            <v>79928</v>
          </cell>
          <cell r="F10">
            <v>-26209</v>
          </cell>
          <cell r="H10"/>
        </row>
        <row r="11">
          <cell r="D11">
            <v>0</v>
          </cell>
          <cell r="F11"/>
          <cell r="H11"/>
        </row>
        <row r="12">
          <cell r="D12">
            <v>162846</v>
          </cell>
          <cell r="F12"/>
          <cell r="H12"/>
        </row>
        <row r="13">
          <cell r="D13">
            <v>138305</v>
          </cell>
          <cell r="F13">
            <v>-85792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221659</v>
          </cell>
          <cell r="F16"/>
          <cell r="H16">
            <v>-122753</v>
          </cell>
        </row>
        <row r="17">
          <cell r="D17">
            <v>0</v>
          </cell>
          <cell r="F17"/>
          <cell r="H17"/>
        </row>
        <row r="18">
          <cell r="D18">
            <v>9609</v>
          </cell>
          <cell r="F18"/>
          <cell r="H18"/>
        </row>
        <row r="19">
          <cell r="D19">
            <v>21613</v>
          </cell>
          <cell r="F19">
            <v>-1405</v>
          </cell>
          <cell r="H19"/>
        </row>
        <row r="20">
          <cell r="D20">
            <v>15646</v>
          </cell>
          <cell r="F20"/>
          <cell r="H20"/>
        </row>
        <row r="21">
          <cell r="D21">
            <v>1431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8942</v>
          </cell>
          <cell r="F23"/>
          <cell r="H23"/>
        </row>
        <row r="24">
          <cell r="D24">
            <v>47699</v>
          </cell>
          <cell r="F24"/>
          <cell r="H24">
            <v>-12941</v>
          </cell>
        </row>
        <row r="25">
          <cell r="D25">
            <v>0</v>
          </cell>
          <cell r="F25"/>
          <cell r="H25"/>
        </row>
        <row r="26">
          <cell r="D26">
            <v>320257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88351</v>
          </cell>
          <cell r="F29">
            <v>-88351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47486</v>
          </cell>
          <cell r="F31"/>
          <cell r="H31">
            <v>-27822</v>
          </cell>
        </row>
        <row r="32">
          <cell r="D32">
            <v>86884</v>
          </cell>
          <cell r="F32"/>
          <cell r="H32">
            <v>-39098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93</v>
          </cell>
          <cell r="F35">
            <v>-93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6503</v>
          </cell>
          <cell r="F39"/>
          <cell r="H39"/>
        </row>
        <row r="40">
          <cell r="D40">
            <v>1528</v>
          </cell>
          <cell r="F40"/>
          <cell r="H40"/>
        </row>
        <row r="41">
          <cell r="D41">
            <v>25604</v>
          </cell>
          <cell r="F41"/>
          <cell r="H41"/>
        </row>
        <row r="42">
          <cell r="D42">
            <v>4649</v>
          </cell>
          <cell r="F42"/>
          <cell r="H42"/>
        </row>
        <row r="43">
          <cell r="D43">
            <v>8198</v>
          </cell>
          <cell r="F43"/>
          <cell r="H43"/>
        </row>
        <row r="44">
          <cell r="D44">
            <v>125</v>
          </cell>
          <cell r="F44"/>
          <cell r="H44"/>
        </row>
        <row r="45">
          <cell r="D45">
            <v>431</v>
          </cell>
          <cell r="F45">
            <v>-1665</v>
          </cell>
          <cell r="H45"/>
        </row>
        <row r="57">
          <cell r="D57">
            <v>284838</v>
          </cell>
          <cell r="F57">
            <v>-284838</v>
          </cell>
          <cell r="H57"/>
        </row>
        <row r="58">
          <cell r="D58">
            <v>1764</v>
          </cell>
          <cell r="F58">
            <v>132701</v>
          </cell>
          <cell r="H58"/>
        </row>
        <row r="59">
          <cell r="D59">
            <v>0</v>
          </cell>
          <cell r="F59"/>
          <cell r="H59"/>
        </row>
        <row r="60">
          <cell r="D60">
            <v>17044</v>
          </cell>
          <cell r="F60"/>
          <cell r="H60"/>
        </row>
        <row r="61">
          <cell r="D61">
            <v>5912</v>
          </cell>
          <cell r="F61"/>
          <cell r="H61"/>
        </row>
        <row r="62">
          <cell r="D62">
            <v>13445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5920</v>
          </cell>
          <cell r="F65"/>
          <cell r="H65"/>
        </row>
        <row r="66">
          <cell r="D66">
            <v>6028</v>
          </cell>
          <cell r="F66"/>
          <cell r="H66"/>
        </row>
        <row r="67">
          <cell r="D67">
            <v>49043</v>
          </cell>
          <cell r="F67">
            <v>-3850</v>
          </cell>
          <cell r="H67"/>
        </row>
        <row r="68">
          <cell r="D68">
            <v>0</v>
          </cell>
          <cell r="F68"/>
          <cell r="H68"/>
        </row>
        <row r="69">
          <cell r="D69">
            <v>5065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47547</v>
          </cell>
          <cell r="F75"/>
          <cell r="H75"/>
        </row>
        <row r="76">
          <cell r="D76">
            <v>6368</v>
          </cell>
          <cell r="F76">
            <v>2437</v>
          </cell>
          <cell r="H76"/>
        </row>
        <row r="77">
          <cell r="D77">
            <v>16660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12050</v>
          </cell>
          <cell r="F79">
            <v>4546</v>
          </cell>
          <cell r="H79"/>
        </row>
        <row r="80">
          <cell r="D80">
            <v>23739</v>
          </cell>
          <cell r="F80"/>
          <cell r="H80"/>
        </row>
        <row r="81">
          <cell r="D81">
            <v>13976</v>
          </cell>
          <cell r="F81"/>
          <cell r="H81"/>
        </row>
        <row r="82">
          <cell r="D82">
            <v>4436</v>
          </cell>
          <cell r="F82"/>
          <cell r="H82"/>
        </row>
        <row r="83">
          <cell r="D83">
            <v>99</v>
          </cell>
          <cell r="F83"/>
          <cell r="H83"/>
        </row>
        <row r="84">
          <cell r="D84">
            <v>51994</v>
          </cell>
          <cell r="F84"/>
          <cell r="H84"/>
        </row>
        <row r="85">
          <cell r="D85">
            <v>68</v>
          </cell>
          <cell r="F85"/>
          <cell r="H85"/>
        </row>
        <row r="89">
          <cell r="D89">
            <v>170581</v>
          </cell>
          <cell r="F89"/>
          <cell r="H89"/>
        </row>
        <row r="90">
          <cell r="D90">
            <v>21482</v>
          </cell>
          <cell r="F90">
            <v>8741</v>
          </cell>
          <cell r="H90"/>
        </row>
        <row r="91">
          <cell r="D91">
            <v>14146</v>
          </cell>
          <cell r="F91"/>
          <cell r="H91"/>
        </row>
        <row r="92">
          <cell r="D92">
            <v>109197</v>
          </cell>
          <cell r="F92"/>
          <cell r="H92"/>
        </row>
        <row r="93">
          <cell r="D93">
            <v>13627</v>
          </cell>
          <cell r="F93">
            <v>712</v>
          </cell>
          <cell r="H93"/>
        </row>
        <row r="94">
          <cell r="D94">
            <v>679</v>
          </cell>
          <cell r="F94"/>
          <cell r="H94"/>
        </row>
        <row r="98">
          <cell r="D98">
            <v>25627</v>
          </cell>
          <cell r="F98"/>
          <cell r="H98"/>
        </row>
        <row r="99">
          <cell r="D99">
            <v>3640</v>
          </cell>
          <cell r="F99">
            <v>1313</v>
          </cell>
          <cell r="H99"/>
        </row>
        <row r="100">
          <cell r="D100">
            <v>1867</v>
          </cell>
          <cell r="F100"/>
          <cell r="H100"/>
        </row>
        <row r="101">
          <cell r="D101">
            <v>291</v>
          </cell>
          <cell r="F101"/>
          <cell r="H101"/>
        </row>
        <row r="102">
          <cell r="D102">
            <v>3777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77754</v>
          </cell>
          <cell r="F115"/>
          <cell r="H115"/>
        </row>
        <row r="116">
          <cell r="D116">
            <v>11403</v>
          </cell>
          <cell r="F116">
            <v>3985</v>
          </cell>
          <cell r="H116"/>
        </row>
        <row r="117">
          <cell r="D117">
            <v>15218</v>
          </cell>
          <cell r="F117"/>
          <cell r="H117"/>
        </row>
        <row r="118">
          <cell r="D118">
            <v>240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148686</v>
          </cell>
          <cell r="F125"/>
          <cell r="H125">
            <v>108731</v>
          </cell>
        </row>
        <row r="126">
          <cell r="D126">
            <v>46884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28437</v>
          </cell>
          <cell r="F128"/>
          <cell r="H128"/>
        </row>
        <row r="130">
          <cell r="D130"/>
          <cell r="F130">
            <v>0</v>
          </cell>
          <cell r="H130"/>
        </row>
        <row r="131">
          <cell r="D131"/>
          <cell r="F131">
            <v>7619</v>
          </cell>
          <cell r="H131">
            <v>14022</v>
          </cell>
        </row>
        <row r="132">
          <cell r="D132"/>
          <cell r="F132">
            <v>2403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1457</v>
          </cell>
          <cell r="H134"/>
        </row>
        <row r="136">
          <cell r="D136">
            <v>292926</v>
          </cell>
          <cell r="F136"/>
          <cell r="H136"/>
        </row>
        <row r="137">
          <cell r="D137">
            <v>167830</v>
          </cell>
          <cell r="F137"/>
          <cell r="H137"/>
        </row>
        <row r="138">
          <cell r="D138">
            <v>442600</v>
          </cell>
          <cell r="F138"/>
          <cell r="H138"/>
        </row>
        <row r="139">
          <cell r="D139">
            <v>5742</v>
          </cell>
          <cell r="F139"/>
          <cell r="H139"/>
        </row>
        <row r="141">
          <cell r="D141"/>
          <cell r="F141">
            <v>15011</v>
          </cell>
          <cell r="H141"/>
        </row>
        <row r="142">
          <cell r="D142"/>
          <cell r="F142">
            <v>8600</v>
          </cell>
          <cell r="H142"/>
        </row>
        <row r="143">
          <cell r="D143"/>
          <cell r="F143">
            <v>22681</v>
          </cell>
          <cell r="H143"/>
        </row>
        <row r="144">
          <cell r="D144">
            <v>149268</v>
          </cell>
          <cell r="F144">
            <v>294</v>
          </cell>
          <cell r="H144"/>
        </row>
        <row r="146">
          <cell r="D146">
            <v>19963</v>
          </cell>
          <cell r="F146"/>
          <cell r="H146"/>
        </row>
        <row r="147">
          <cell r="D147">
            <v>58682</v>
          </cell>
          <cell r="F147"/>
          <cell r="H147"/>
        </row>
        <row r="148">
          <cell r="D148">
            <v>8956</v>
          </cell>
          <cell r="F148"/>
          <cell r="H148"/>
        </row>
        <row r="149">
          <cell r="D149">
            <v>46370</v>
          </cell>
          <cell r="F149"/>
          <cell r="H149"/>
        </row>
        <row r="150">
          <cell r="D150">
            <v>13654</v>
          </cell>
          <cell r="F150"/>
          <cell r="H150"/>
        </row>
        <row r="151">
          <cell r="D151">
            <v>67069</v>
          </cell>
          <cell r="F151">
            <v>2901</v>
          </cell>
          <cell r="H151"/>
        </row>
        <row r="152">
          <cell r="D152">
            <v>1656</v>
          </cell>
          <cell r="F152"/>
          <cell r="H152"/>
        </row>
        <row r="153">
          <cell r="D153">
            <v>452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2318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116573</v>
          </cell>
          <cell r="F177"/>
          <cell r="H177"/>
        </row>
        <row r="178">
          <cell r="D178">
            <v>12103</v>
          </cell>
          <cell r="F178">
            <v>5974</v>
          </cell>
          <cell r="H178"/>
        </row>
        <row r="179">
          <cell r="D179">
            <v>27508</v>
          </cell>
          <cell r="F179"/>
          <cell r="H179"/>
        </row>
        <row r="180">
          <cell r="D180">
            <v>3509</v>
          </cell>
          <cell r="F180">
            <v>1410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69404</v>
          </cell>
          <cell r="F183"/>
          <cell r="H183"/>
        </row>
        <row r="184">
          <cell r="D184">
            <v>8134</v>
          </cell>
          <cell r="F184">
            <v>3557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533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659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21460</v>
          </cell>
          <cell r="F198"/>
          <cell r="H198">
            <v>-900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46118</v>
          </cell>
          <cell r="F205"/>
          <cell r="H205"/>
        </row>
        <row r="206">
          <cell r="D206">
            <v>245</v>
          </cell>
          <cell r="F206"/>
          <cell r="H206"/>
        </row>
        <row r="207">
          <cell r="D207">
            <v>5426</v>
          </cell>
          <cell r="F207">
            <v>-1634</v>
          </cell>
          <cell r="H207"/>
        </row>
        <row r="211">
          <cell r="D211">
            <v>124246</v>
          </cell>
          <cell r="F211"/>
          <cell r="H211"/>
        </row>
        <row r="212">
          <cell r="D212">
            <v>18149</v>
          </cell>
          <cell r="F212">
            <v>6367</v>
          </cell>
          <cell r="H212"/>
        </row>
        <row r="213">
          <cell r="D213">
            <v>2653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6155</v>
          </cell>
          <cell r="F216"/>
          <cell r="H216">
            <v>-52</v>
          </cell>
        </row>
        <row r="221">
          <cell r="D221">
            <v>4297680</v>
          </cell>
        </row>
      </sheetData>
      <sheetData sheetId="9"/>
      <sheetData sheetId="10"/>
      <sheetData sheetId="11">
        <row r="9">
          <cell r="C9">
            <v>13294</v>
          </cell>
          <cell r="D9"/>
          <cell r="E9">
            <v>524</v>
          </cell>
          <cell r="F9">
            <v>941</v>
          </cell>
          <cell r="G9"/>
          <cell r="H9">
            <v>955</v>
          </cell>
          <cell r="I9">
            <v>925</v>
          </cell>
          <cell r="J9">
            <v>44</v>
          </cell>
          <cell r="K9">
            <v>208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36135</v>
          </cell>
        </row>
        <row r="30">
          <cell r="N30">
            <v>0.4674415386744154</v>
          </cell>
        </row>
        <row r="32">
          <cell r="N32">
            <v>0.3678981596789816</v>
          </cell>
        </row>
        <row r="34">
          <cell r="N34">
            <v>0.78704635604759932</v>
          </cell>
        </row>
      </sheetData>
      <sheetData sheetId="12"/>
      <sheetData sheetId="1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984830.53</v>
          </cell>
          <cell r="G10">
            <v>0</v>
          </cell>
        </row>
        <row r="12">
          <cell r="E12">
            <v>304423.49</v>
          </cell>
          <cell r="G12">
            <v>236954.47999999998</v>
          </cell>
        </row>
        <row r="13">
          <cell r="E13">
            <v>23894.05</v>
          </cell>
          <cell r="G13"/>
        </row>
        <row r="14">
          <cell r="E14">
            <v>19034.939999999999</v>
          </cell>
          <cell r="G14"/>
        </row>
        <row r="15">
          <cell r="E15">
            <v>1332183.01</v>
          </cell>
          <cell r="G15">
            <v>236954.47999999998</v>
          </cell>
        </row>
        <row r="20">
          <cell r="E20">
            <v>0</v>
          </cell>
          <cell r="G20">
            <v>0</v>
          </cell>
        </row>
        <row r="26">
          <cell r="E26">
            <v>1861145.83</v>
          </cell>
          <cell r="G26">
            <v>0</v>
          </cell>
        </row>
        <row r="32">
          <cell r="E32">
            <v>60484.26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306230.70999999996</v>
          </cell>
          <cell r="G42">
            <v>0</v>
          </cell>
        </row>
        <row r="47">
          <cell r="E47">
            <v>70169.5</v>
          </cell>
          <cell r="G47">
            <v>0</v>
          </cell>
        </row>
        <row r="52">
          <cell r="E52">
            <v>3008.32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81.64</v>
          </cell>
          <cell r="G72">
            <v>-81.64</v>
          </cell>
        </row>
        <row r="90">
          <cell r="C90">
            <v>151.62916006339145</v>
          </cell>
          <cell r="E90">
            <v>149.90359504132232</v>
          </cell>
          <cell r="G90">
            <v>153.58474747474747</v>
          </cell>
          <cell r="I90">
            <v>155.79207419898819</v>
          </cell>
        </row>
      </sheetData>
      <sheetData sheetId="6"/>
      <sheetData sheetId="7">
        <row r="10">
          <cell r="D10">
            <v>95225.25</v>
          </cell>
          <cell r="F10">
            <v>-15493</v>
          </cell>
          <cell r="H10"/>
        </row>
        <row r="11">
          <cell r="D11"/>
          <cell r="F11"/>
          <cell r="H11"/>
        </row>
        <row r="12">
          <cell r="D12">
            <v>87383.8</v>
          </cell>
          <cell r="F12">
            <v>-5479</v>
          </cell>
          <cell r="H12"/>
        </row>
        <row r="13">
          <cell r="D13">
            <v>42966.64</v>
          </cell>
          <cell r="F13"/>
          <cell r="H13"/>
        </row>
        <row r="14">
          <cell r="D14"/>
          <cell r="F14"/>
          <cell r="H14"/>
        </row>
        <row r="15">
          <cell r="D15">
            <v>348370.04</v>
          </cell>
          <cell r="F15">
            <v>-348370.04</v>
          </cell>
          <cell r="H15"/>
        </row>
        <row r="16">
          <cell r="D16"/>
          <cell r="F16">
            <v>117075</v>
          </cell>
          <cell r="H16"/>
        </row>
        <row r="17">
          <cell r="D17"/>
          <cell r="F17"/>
          <cell r="H17"/>
        </row>
        <row r="18">
          <cell r="D18">
            <v>13818.68</v>
          </cell>
          <cell r="F18"/>
          <cell r="H18"/>
        </row>
        <row r="19">
          <cell r="D19">
            <v>18093.189999999999</v>
          </cell>
          <cell r="F19">
            <v>1188</v>
          </cell>
          <cell r="H19"/>
        </row>
        <row r="20">
          <cell r="D20">
            <v>14412.15</v>
          </cell>
          <cell r="F20">
            <v>-2301</v>
          </cell>
          <cell r="H20"/>
        </row>
        <row r="21">
          <cell r="D21">
            <v>10090.09</v>
          </cell>
          <cell r="F21">
            <v>7679</v>
          </cell>
          <cell r="H21"/>
        </row>
        <row r="22">
          <cell r="D22"/>
          <cell r="F22"/>
          <cell r="H22"/>
        </row>
        <row r="23">
          <cell r="D23">
            <v>31384</v>
          </cell>
          <cell r="F23">
            <v>11247</v>
          </cell>
          <cell r="H23"/>
        </row>
        <row r="24">
          <cell r="D24">
            <v>31963.439999999999</v>
          </cell>
          <cell r="F24"/>
          <cell r="H24"/>
        </row>
        <row r="25">
          <cell r="D25"/>
          <cell r="F25"/>
          <cell r="H25"/>
        </row>
        <row r="26">
          <cell r="D26">
            <v>166874.92000000001</v>
          </cell>
          <cell r="F26"/>
          <cell r="H26"/>
        </row>
        <row r="27">
          <cell r="D27"/>
          <cell r="F27">
            <v>7214.36</v>
          </cell>
          <cell r="H27"/>
        </row>
        <row r="28">
          <cell r="D28"/>
          <cell r="F28">
            <v>0</v>
          </cell>
          <cell r="H28"/>
        </row>
        <row r="29">
          <cell r="D29">
            <v>28133.56</v>
          </cell>
          <cell r="F29">
            <v>-28133.56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67107.5</v>
          </cell>
          <cell r="F32">
            <v>2721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12536.19</v>
          </cell>
          <cell r="F39">
            <v>2045</v>
          </cell>
          <cell r="H39"/>
        </row>
        <row r="40">
          <cell r="D40">
            <v>13484.6</v>
          </cell>
          <cell r="F40">
            <v>-13484.6</v>
          </cell>
          <cell r="H40"/>
        </row>
        <row r="41">
          <cell r="D41">
            <v>24379.89</v>
          </cell>
          <cell r="F41">
            <v>23709</v>
          </cell>
          <cell r="H41"/>
        </row>
        <row r="42">
          <cell r="D42">
            <v>93.5</v>
          </cell>
          <cell r="F42">
            <v>1318</v>
          </cell>
          <cell r="H42"/>
        </row>
        <row r="43">
          <cell r="D43"/>
          <cell r="F43"/>
          <cell r="H43"/>
        </row>
        <row r="44">
          <cell r="D44">
            <v>1756</v>
          </cell>
          <cell r="F44"/>
          <cell r="H44"/>
        </row>
        <row r="45">
          <cell r="D45">
            <v>324.98</v>
          </cell>
          <cell r="F45">
            <v>203</v>
          </cell>
          <cell r="H45"/>
        </row>
        <row r="57">
          <cell r="D57">
            <v>381060</v>
          </cell>
          <cell r="F57"/>
          <cell r="H57">
            <v>-381060</v>
          </cell>
        </row>
        <row r="58">
          <cell r="D58">
            <v>1290.8399999999999</v>
          </cell>
          <cell r="F58">
            <v>3463</v>
          </cell>
          <cell r="H58">
            <v>24575.200000000001</v>
          </cell>
        </row>
        <row r="59">
          <cell r="D59"/>
          <cell r="F59"/>
          <cell r="H59">
            <v>92529.15</v>
          </cell>
        </row>
        <row r="60">
          <cell r="D60">
            <v>14591.69</v>
          </cell>
          <cell r="F60">
            <v>-63.9</v>
          </cell>
          <cell r="H60"/>
        </row>
        <row r="61">
          <cell r="D61">
            <v>8547.35</v>
          </cell>
          <cell r="F61">
            <v>778</v>
          </cell>
          <cell r="H61"/>
        </row>
        <row r="62">
          <cell r="D62">
            <v>9865.56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2375.04</v>
          </cell>
          <cell r="F67">
            <v>11176</v>
          </cell>
          <cell r="H67">
            <v>7646.56</v>
          </cell>
        </row>
        <row r="68">
          <cell r="D68"/>
          <cell r="F68"/>
          <cell r="H68"/>
        </row>
        <row r="69">
          <cell r="D69">
            <v>2573.38</v>
          </cell>
          <cell r="F69">
            <v>-136.04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38410.17</v>
          </cell>
          <cell r="F75"/>
          <cell r="H75"/>
        </row>
        <row r="76">
          <cell r="D76">
            <v>7070.82</v>
          </cell>
          <cell r="F76"/>
          <cell r="H76"/>
        </row>
        <row r="77">
          <cell r="D77">
            <v>17639.63</v>
          </cell>
          <cell r="F77"/>
          <cell r="H77"/>
        </row>
        <row r="78">
          <cell r="D78">
            <v>3403.89</v>
          </cell>
          <cell r="F78">
            <v>772</v>
          </cell>
          <cell r="H78"/>
        </row>
        <row r="79">
          <cell r="D79">
            <v>26162.78</v>
          </cell>
          <cell r="F79"/>
          <cell r="H79"/>
        </row>
        <row r="80">
          <cell r="D80">
            <v>22437.67</v>
          </cell>
          <cell r="F80"/>
          <cell r="H80"/>
        </row>
        <row r="81">
          <cell r="D81">
            <v>2305.7600000000002</v>
          </cell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71959.75</v>
          </cell>
          <cell r="F84">
            <v>372</v>
          </cell>
          <cell r="H84"/>
        </row>
        <row r="85">
          <cell r="D85"/>
          <cell r="F85"/>
          <cell r="H85"/>
        </row>
        <row r="89">
          <cell r="D89">
            <v>89293.34</v>
          </cell>
          <cell r="F89"/>
          <cell r="H89"/>
        </row>
        <row r="90">
          <cell r="D90">
            <v>19913.439999999999</v>
          </cell>
          <cell r="F90"/>
          <cell r="H90"/>
        </row>
        <row r="91">
          <cell r="D91">
            <v>34631.19</v>
          </cell>
          <cell r="F91"/>
          <cell r="H91"/>
        </row>
        <row r="92">
          <cell r="D92">
            <v>89664.14</v>
          </cell>
          <cell r="F92"/>
          <cell r="H92"/>
        </row>
        <row r="93">
          <cell r="D93">
            <v>822.48</v>
          </cell>
          <cell r="F93"/>
          <cell r="H93"/>
        </row>
        <row r="94">
          <cell r="D94">
            <v>8711.17</v>
          </cell>
          <cell r="F94"/>
          <cell r="H94"/>
        </row>
        <row r="98">
          <cell r="D98">
            <v>26059.53</v>
          </cell>
          <cell r="F98"/>
          <cell r="H98"/>
        </row>
        <row r="99">
          <cell r="D99">
            <v>3971.75</v>
          </cell>
          <cell r="F99"/>
          <cell r="H99"/>
        </row>
        <row r="100">
          <cell r="D100">
            <v>621.14</v>
          </cell>
          <cell r="F100"/>
          <cell r="H100"/>
        </row>
        <row r="101">
          <cell r="D101">
            <v>2407.88</v>
          </cell>
          <cell r="F101"/>
          <cell r="H101"/>
        </row>
        <row r="102">
          <cell r="D102">
            <v>1940.2</v>
          </cell>
          <cell r="F102"/>
          <cell r="H102"/>
        </row>
        <row r="103">
          <cell r="D103">
            <v>115</v>
          </cell>
          <cell r="F103"/>
          <cell r="H103"/>
        </row>
        <row r="115">
          <cell r="D115">
            <v>34107.89</v>
          </cell>
          <cell r="F115"/>
          <cell r="H115"/>
        </row>
        <row r="116">
          <cell r="D116">
            <v>6689.39</v>
          </cell>
          <cell r="F116"/>
          <cell r="H116"/>
        </row>
        <row r="117">
          <cell r="D117">
            <v>13599.17</v>
          </cell>
          <cell r="F117"/>
          <cell r="H117"/>
        </row>
        <row r="118">
          <cell r="D118"/>
          <cell r="F118"/>
          <cell r="H118"/>
        </row>
        <row r="119">
          <cell r="D119">
            <v>1027.42</v>
          </cell>
          <cell r="F119"/>
          <cell r="H119"/>
        </row>
        <row r="124">
          <cell r="D124">
            <v>83075.78</v>
          </cell>
          <cell r="F124"/>
          <cell r="H124"/>
        </row>
        <row r="125">
          <cell r="D125"/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25715.62</v>
          </cell>
          <cell r="F128">
            <v>20708</v>
          </cell>
          <cell r="H128"/>
        </row>
        <row r="130">
          <cell r="D130">
            <v>16418.66</v>
          </cell>
          <cell r="F130"/>
          <cell r="H130"/>
        </row>
        <row r="131">
          <cell r="D131"/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3514.03</v>
          </cell>
          <cell r="F134"/>
          <cell r="H134"/>
        </row>
        <row r="136">
          <cell r="D136">
            <v>186181.09</v>
          </cell>
          <cell r="F136"/>
          <cell r="H136"/>
        </row>
        <row r="137">
          <cell r="D137">
            <v>162398.42000000001</v>
          </cell>
          <cell r="F137"/>
          <cell r="H137"/>
        </row>
        <row r="138">
          <cell r="D138">
            <v>219491.27</v>
          </cell>
          <cell r="F138"/>
          <cell r="H138"/>
        </row>
        <row r="139">
          <cell r="D139">
            <v>63819.38</v>
          </cell>
          <cell r="F139"/>
          <cell r="H139"/>
        </row>
        <row r="141">
          <cell r="D141">
            <v>36795.86</v>
          </cell>
          <cell r="F141"/>
          <cell r="H141"/>
        </row>
        <row r="142">
          <cell r="D142">
            <v>32095.57</v>
          </cell>
          <cell r="F142"/>
          <cell r="H142"/>
        </row>
        <row r="143">
          <cell r="D143">
            <v>43379.11</v>
          </cell>
          <cell r="F143"/>
          <cell r="H143"/>
        </row>
        <row r="144">
          <cell r="D144">
            <v>12612.93</v>
          </cell>
          <cell r="F144"/>
          <cell r="H144"/>
        </row>
        <row r="146">
          <cell r="D146">
            <v>20982.880000000001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5448.8</v>
          </cell>
          <cell r="F150"/>
          <cell r="H150"/>
        </row>
        <row r="151">
          <cell r="D151">
            <v>43329.73</v>
          </cell>
          <cell r="F151"/>
          <cell r="H151"/>
        </row>
        <row r="152">
          <cell r="D152">
            <v>3750.93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6432.14</v>
          </cell>
          <cell r="F160"/>
          <cell r="H160"/>
        </row>
        <row r="161">
          <cell r="D161">
            <v>4220.53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160817.72</v>
          </cell>
          <cell r="F177">
            <v>6411</v>
          </cell>
          <cell r="H177"/>
        </row>
        <row r="178">
          <cell r="D178">
            <v>34392.839999999997</v>
          </cell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21177.29</v>
          </cell>
          <cell r="F183"/>
          <cell r="H183"/>
        </row>
        <row r="184">
          <cell r="D184">
            <v>2247.02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16588.7</v>
          </cell>
          <cell r="F192"/>
          <cell r="H192"/>
        </row>
        <row r="193">
          <cell r="D193"/>
          <cell r="F193"/>
          <cell r="H193"/>
        </row>
        <row r="194">
          <cell r="D194">
            <v>79721.440000000002</v>
          </cell>
          <cell r="F194"/>
          <cell r="H194"/>
        </row>
        <row r="195">
          <cell r="D195">
            <v>2561</v>
          </cell>
          <cell r="F195"/>
          <cell r="H195"/>
        </row>
        <row r="196">
          <cell r="D196"/>
          <cell r="F196"/>
          <cell r="H196"/>
        </row>
        <row r="197">
          <cell r="D197">
            <v>17547.900000000001</v>
          </cell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7136.39</v>
          </cell>
          <cell r="F203"/>
          <cell r="H203"/>
        </row>
        <row r="204">
          <cell r="D204"/>
          <cell r="F204"/>
          <cell r="H204"/>
        </row>
        <row r="205">
          <cell r="D205">
            <v>89475.54</v>
          </cell>
          <cell r="F205"/>
          <cell r="H205"/>
        </row>
        <row r="206">
          <cell r="D206">
            <v>16055.78</v>
          </cell>
          <cell r="F206"/>
          <cell r="H206"/>
        </row>
        <row r="207">
          <cell r="D207">
            <v>4158.01</v>
          </cell>
          <cell r="F207"/>
          <cell r="H207"/>
        </row>
        <row r="211">
          <cell r="D211">
            <v>78870.66</v>
          </cell>
          <cell r="F211"/>
          <cell r="H211"/>
        </row>
        <row r="212">
          <cell r="D212">
            <v>13142.69</v>
          </cell>
          <cell r="F212"/>
          <cell r="H212"/>
        </row>
        <row r="213">
          <cell r="D213">
            <v>6612.25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11148.78</v>
          </cell>
          <cell r="F216"/>
          <cell r="H216"/>
        </row>
        <row r="221">
          <cell r="D221">
            <v>3482984.62</v>
          </cell>
        </row>
      </sheetData>
      <sheetData sheetId="8"/>
      <sheetData sheetId="9"/>
      <sheetData sheetId="10">
        <row r="9">
          <cell r="C9">
            <v>5547</v>
          </cell>
          <cell r="D9">
            <v>0</v>
          </cell>
          <cell r="E9">
            <v>3577</v>
          </cell>
          <cell r="F9">
            <v>155</v>
          </cell>
          <cell r="G9"/>
          <cell r="H9">
            <v>2005</v>
          </cell>
          <cell r="I9">
            <v>386</v>
          </cell>
          <cell r="J9">
            <v>16</v>
          </cell>
          <cell r="K9"/>
        </row>
        <row r="22">
          <cell r="N22">
            <v>58</v>
          </cell>
        </row>
        <row r="24">
          <cell r="N24">
            <v>58</v>
          </cell>
        </row>
        <row r="28">
          <cell r="N28">
            <v>21170</v>
          </cell>
        </row>
        <row r="30">
          <cell r="N30">
            <v>0.55200755786490319</v>
          </cell>
        </row>
        <row r="32">
          <cell r="N32">
            <v>0.26202172886159658</v>
          </cell>
        </row>
        <row r="34">
          <cell r="N34">
            <v>0.47467054595242164</v>
          </cell>
        </row>
      </sheetData>
      <sheetData sheetId="11"/>
      <sheetData sheetId="1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Trial Balance"/>
      <sheetName val="Sch B"/>
      <sheetName val="Explanation of Misc Rev"/>
      <sheetName val="Sch B-1"/>
      <sheetName val="Sch C"/>
      <sheetName val="Sch C-1"/>
      <sheetName val="Emp Benefits Adjustments"/>
      <sheetName val="THC Home Office Summary"/>
      <sheetName val="Explanation of Misc Exp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2098888.16</v>
          </cell>
          <cell r="G10">
            <v>0</v>
          </cell>
        </row>
        <row r="12">
          <cell r="E12"/>
          <cell r="G12"/>
        </row>
        <row r="13">
          <cell r="E13">
            <v>347.33</v>
          </cell>
          <cell r="G13"/>
        </row>
        <row r="14">
          <cell r="E14">
            <v>20327.48</v>
          </cell>
          <cell r="G14"/>
        </row>
        <row r="15">
          <cell r="E15">
            <v>2119562.9700000002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1076564.3700000001</v>
          </cell>
          <cell r="G26">
            <v>0</v>
          </cell>
        </row>
        <row r="32">
          <cell r="E32">
            <v>660093.26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166709.41999999998</v>
          </cell>
          <cell r="G42">
            <v>0</v>
          </cell>
        </row>
        <row r="47">
          <cell r="E47">
            <v>268930.81</v>
          </cell>
          <cell r="G47">
            <v>0</v>
          </cell>
        </row>
        <row r="52">
          <cell r="E52">
            <v>24101.63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15846.91</v>
          </cell>
          <cell r="G72">
            <v>0</v>
          </cell>
        </row>
        <row r="90">
          <cell r="C90">
            <v>312.16221621621617</v>
          </cell>
          <cell r="E90">
            <v>136.86927601809955</v>
          </cell>
          <cell r="G90">
            <v>664.74536585365854</v>
          </cell>
          <cell r="I90">
            <v>263.06717391304346</v>
          </cell>
        </row>
      </sheetData>
      <sheetData sheetId="7"/>
      <sheetData sheetId="8"/>
      <sheetData sheetId="9">
        <row r="10">
          <cell r="D10">
            <v>95594.76</v>
          </cell>
          <cell r="F10"/>
          <cell r="H10"/>
        </row>
        <row r="11">
          <cell r="D11"/>
          <cell r="F11"/>
          <cell r="H11"/>
        </row>
        <row r="12">
          <cell r="D12">
            <v>99633.26</v>
          </cell>
          <cell r="F12"/>
          <cell r="H12"/>
        </row>
        <row r="13">
          <cell r="D13">
            <v>321021.93</v>
          </cell>
          <cell r="F13">
            <v>-289755.85537484474</v>
          </cell>
          <cell r="H13"/>
        </row>
        <row r="14">
          <cell r="D14"/>
          <cell r="F14"/>
          <cell r="H14"/>
        </row>
        <row r="15">
          <cell r="D15">
            <v>120000</v>
          </cell>
          <cell r="F15"/>
          <cell r="H15">
            <v>-120000</v>
          </cell>
        </row>
        <row r="16">
          <cell r="D16"/>
          <cell r="F16"/>
          <cell r="H16">
            <v>213948</v>
          </cell>
        </row>
        <row r="17">
          <cell r="D17">
            <v>21734.83</v>
          </cell>
          <cell r="F17">
            <v>-21735</v>
          </cell>
          <cell r="H17"/>
        </row>
        <row r="18">
          <cell r="D18">
            <v>15242.01</v>
          </cell>
          <cell r="F18"/>
          <cell r="H18"/>
        </row>
        <row r="19">
          <cell r="D19">
            <v>15551.44</v>
          </cell>
          <cell r="F19"/>
          <cell r="H19"/>
        </row>
        <row r="20">
          <cell r="D20">
            <v>11010.7</v>
          </cell>
          <cell r="F20"/>
          <cell r="H20"/>
        </row>
        <row r="21">
          <cell r="D21">
            <v>45461.599999999999</v>
          </cell>
          <cell r="F21"/>
          <cell r="H21"/>
        </row>
        <row r="22">
          <cell r="D22"/>
          <cell r="F22"/>
          <cell r="H22"/>
        </row>
        <row r="23">
          <cell r="D23">
            <v>6472.26</v>
          </cell>
          <cell r="F23"/>
          <cell r="H23"/>
        </row>
        <row r="24">
          <cell r="D24">
            <v>28651.5</v>
          </cell>
          <cell r="F24"/>
          <cell r="H24">
            <v>-28651.5</v>
          </cell>
        </row>
        <row r="25">
          <cell r="D25"/>
          <cell r="F25"/>
          <cell r="H25"/>
        </row>
        <row r="26">
          <cell r="D26">
            <v>273196.96000000002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83855.16</v>
          </cell>
          <cell r="F29">
            <v>-83855.16</v>
          </cell>
          <cell r="H29"/>
        </row>
        <row r="30">
          <cell r="D30">
            <v>50</v>
          </cell>
          <cell r="F30">
            <v>-50</v>
          </cell>
          <cell r="H30"/>
        </row>
        <row r="31">
          <cell r="D31">
            <v>52076.27</v>
          </cell>
          <cell r="F31"/>
          <cell r="H31"/>
        </row>
        <row r="32">
          <cell r="D32">
            <v>10461.040000000001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10562.72</v>
          </cell>
          <cell r="F36"/>
          <cell r="H36"/>
        </row>
        <row r="37">
          <cell r="D37"/>
          <cell r="F37">
            <v>1691.6362301098973</v>
          </cell>
          <cell r="H37"/>
        </row>
        <row r="38">
          <cell r="D38">
            <v>74.3</v>
          </cell>
          <cell r="F38"/>
          <cell r="H38"/>
        </row>
        <row r="39">
          <cell r="D39">
            <v>14047.08</v>
          </cell>
          <cell r="F39"/>
          <cell r="H39"/>
        </row>
        <row r="40">
          <cell r="D40">
            <v>1535.77</v>
          </cell>
          <cell r="F40">
            <v>-1536</v>
          </cell>
          <cell r="H40"/>
        </row>
        <row r="41">
          <cell r="D41">
            <v>4164.42</v>
          </cell>
          <cell r="F41"/>
          <cell r="H41"/>
        </row>
        <row r="42">
          <cell r="D42">
            <v>3391</v>
          </cell>
          <cell r="F42"/>
          <cell r="H42"/>
        </row>
        <row r="43">
          <cell r="D43">
            <v>10828.1</v>
          </cell>
          <cell r="F43"/>
          <cell r="H43"/>
        </row>
        <row r="44">
          <cell r="D44"/>
          <cell r="F44"/>
          <cell r="H44"/>
        </row>
        <row r="45">
          <cell r="D45">
            <v>460.2</v>
          </cell>
          <cell r="F45"/>
          <cell r="H45"/>
        </row>
        <row r="57">
          <cell r="D57">
            <v>600000</v>
          </cell>
          <cell r="F57"/>
          <cell r="H57">
            <v>-600000</v>
          </cell>
        </row>
        <row r="58">
          <cell r="D58"/>
          <cell r="F58"/>
          <cell r="H58">
            <v>222960.84</v>
          </cell>
        </row>
        <row r="59">
          <cell r="D59"/>
          <cell r="F59"/>
          <cell r="H59">
            <v>364064.69</v>
          </cell>
        </row>
        <row r="60">
          <cell r="D60">
            <v>127</v>
          </cell>
          <cell r="F60"/>
          <cell r="H60">
            <v>29159.64</v>
          </cell>
        </row>
        <row r="61">
          <cell r="D61"/>
          <cell r="F61"/>
          <cell r="H61">
            <v>6640</v>
          </cell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10328.48</v>
          </cell>
          <cell r="F65"/>
          <cell r="H65"/>
        </row>
        <row r="66">
          <cell r="D66">
            <v>8777.59</v>
          </cell>
          <cell r="F66"/>
          <cell r="H66"/>
        </row>
        <row r="67">
          <cell r="D67">
            <v>116751.93</v>
          </cell>
          <cell r="F67"/>
          <cell r="H67"/>
        </row>
        <row r="68">
          <cell r="D68"/>
          <cell r="F68"/>
          <cell r="H68"/>
        </row>
        <row r="69">
          <cell r="D69">
            <v>4526.33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42267.01</v>
          </cell>
          <cell r="F75"/>
          <cell r="H75"/>
        </row>
        <row r="76">
          <cell r="D76"/>
          <cell r="F76">
            <v>6769.1281653226952</v>
          </cell>
          <cell r="H76"/>
        </row>
        <row r="77">
          <cell r="D77">
            <v>8519.18</v>
          </cell>
          <cell r="F77"/>
          <cell r="H77"/>
        </row>
        <row r="78">
          <cell r="D78"/>
          <cell r="F78"/>
          <cell r="H78"/>
        </row>
        <row r="79">
          <cell r="D79">
            <v>1042.23</v>
          </cell>
          <cell r="F79"/>
          <cell r="H79"/>
        </row>
        <row r="80">
          <cell r="D80">
            <v>7090.92</v>
          </cell>
          <cell r="F80"/>
          <cell r="H80"/>
        </row>
        <row r="81">
          <cell r="D81">
            <v>12630.05</v>
          </cell>
          <cell r="F81"/>
          <cell r="H81"/>
        </row>
        <row r="82">
          <cell r="D82">
            <v>12778.67</v>
          </cell>
          <cell r="F82"/>
          <cell r="H82"/>
        </row>
        <row r="83">
          <cell r="D83">
            <v>6934.97</v>
          </cell>
          <cell r="F83"/>
          <cell r="H83"/>
        </row>
        <row r="84">
          <cell r="D84">
            <v>72204.98</v>
          </cell>
          <cell r="F84"/>
          <cell r="H84"/>
        </row>
        <row r="85">
          <cell r="D85"/>
          <cell r="F85"/>
          <cell r="H85"/>
        </row>
        <row r="89">
          <cell r="D89">
            <v>148321.38</v>
          </cell>
          <cell r="F89"/>
          <cell r="H89"/>
        </row>
        <row r="90">
          <cell r="D90"/>
          <cell r="F90">
            <v>23753.902414141201</v>
          </cell>
          <cell r="H90"/>
        </row>
        <row r="91">
          <cell r="D91">
            <v>10448.75</v>
          </cell>
          <cell r="F91"/>
          <cell r="H91"/>
        </row>
        <row r="92">
          <cell r="D92">
            <v>127996.44</v>
          </cell>
          <cell r="F92"/>
          <cell r="H92"/>
        </row>
        <row r="93">
          <cell r="D93">
            <v>14034.97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4066.54</v>
          </cell>
          <cell r="F100"/>
          <cell r="H100"/>
        </row>
        <row r="101">
          <cell r="D101">
            <v>3062.01</v>
          </cell>
          <cell r="F101"/>
          <cell r="H101"/>
        </row>
        <row r="102">
          <cell r="D102">
            <v>1687.86</v>
          </cell>
          <cell r="F102"/>
          <cell r="H102"/>
        </row>
        <row r="103">
          <cell r="D103"/>
          <cell r="F103"/>
          <cell r="H103"/>
        </row>
        <row r="115">
          <cell r="D115">
            <v>120583.3</v>
          </cell>
          <cell r="F115"/>
          <cell r="H115"/>
        </row>
        <row r="116">
          <cell r="D116"/>
          <cell r="F116">
            <v>19311.6052518869</v>
          </cell>
          <cell r="H116"/>
        </row>
        <row r="117">
          <cell r="D117">
            <v>22133.18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205099.22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56445.02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32846.962839049076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9039.7587781629882</v>
          </cell>
          <cell r="H134"/>
        </row>
        <row r="136">
          <cell r="D136">
            <v>325650.09999999998</v>
          </cell>
          <cell r="F136"/>
          <cell r="H136"/>
        </row>
        <row r="137">
          <cell r="D137">
            <v>300613.67</v>
          </cell>
          <cell r="F137"/>
          <cell r="H137"/>
        </row>
        <row r="138">
          <cell r="D138">
            <v>529644.4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52153.375976917981</v>
          </cell>
          <cell r="H141"/>
        </row>
        <row r="142">
          <cell r="D142"/>
          <cell r="F142">
            <v>48143.752313637087</v>
          </cell>
          <cell r="H142"/>
        </row>
        <row r="143">
          <cell r="D143"/>
          <cell r="F143">
            <v>84823.384139200745</v>
          </cell>
          <cell r="H143"/>
        </row>
        <row r="144">
          <cell r="D144"/>
          <cell r="F144"/>
          <cell r="H144"/>
        </row>
        <row r="146">
          <cell r="D146">
            <v>30000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12096.3</v>
          </cell>
          <cell r="F150"/>
          <cell r="H150"/>
        </row>
        <row r="151">
          <cell r="D151">
            <v>90457.39</v>
          </cell>
          <cell r="F151"/>
          <cell r="H151"/>
        </row>
        <row r="152">
          <cell r="D152">
            <v>378.61</v>
          </cell>
          <cell r="F152"/>
          <cell r="H152"/>
        </row>
        <row r="153">
          <cell r="D153">
            <v>4264.3599999999997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239627.29</v>
          </cell>
          <cell r="F194"/>
          <cell r="H194"/>
        </row>
        <row r="195">
          <cell r="D195">
            <v>1018.23</v>
          </cell>
          <cell r="F195"/>
          <cell r="H195"/>
        </row>
        <row r="196">
          <cell r="D196"/>
          <cell r="F196"/>
          <cell r="H196"/>
        </row>
        <row r="197">
          <cell r="D197">
            <v>150314.23000000001</v>
          </cell>
          <cell r="F197"/>
          <cell r="H197"/>
        </row>
        <row r="198">
          <cell r="D198">
            <v>3233.93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105555.69</v>
          </cell>
          <cell r="F205"/>
          <cell r="H205"/>
        </row>
        <row r="206">
          <cell r="D206">
            <v>3810.2</v>
          </cell>
          <cell r="F206"/>
          <cell r="H206"/>
        </row>
        <row r="207">
          <cell r="D207"/>
          <cell r="F207"/>
          <cell r="H207"/>
        </row>
        <row r="211">
          <cell r="D211">
            <v>70073.3</v>
          </cell>
          <cell r="F211"/>
          <cell r="H211"/>
        </row>
        <row r="212">
          <cell r="D212"/>
          <cell r="F212">
            <v>11222.349266416213</v>
          </cell>
          <cell r="H212"/>
        </row>
        <row r="213">
          <cell r="D213">
            <v>7487.4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3135.96</v>
          </cell>
          <cell r="F216"/>
          <cell r="H216"/>
        </row>
        <row r="221">
          <cell r="D221">
            <v>4740296.38</v>
          </cell>
        </row>
      </sheetData>
      <sheetData sheetId="10"/>
      <sheetData sheetId="11"/>
      <sheetData sheetId="12"/>
      <sheetData sheetId="13"/>
      <sheetData sheetId="14"/>
      <sheetData sheetId="15">
        <row r="9">
          <cell r="C9">
            <v>10933</v>
          </cell>
          <cell r="D9"/>
          <cell r="E9">
            <v>1839</v>
          </cell>
          <cell r="F9">
            <v>1799</v>
          </cell>
          <cell r="G9"/>
          <cell r="H9">
            <v>580</v>
          </cell>
          <cell r="I9">
            <v>1485</v>
          </cell>
          <cell r="J9">
            <v>122</v>
          </cell>
          <cell r="K9"/>
        </row>
        <row r="22">
          <cell r="N22">
            <v>76</v>
          </cell>
        </row>
        <row r="24">
          <cell r="N24">
            <v>52</v>
          </cell>
        </row>
        <row r="28">
          <cell r="N28">
            <v>27740</v>
          </cell>
        </row>
        <row r="30">
          <cell r="N30">
            <v>0.60410958904109591</v>
          </cell>
        </row>
        <row r="32">
          <cell r="N32">
            <v>0.39412400865176639</v>
          </cell>
        </row>
        <row r="34">
          <cell r="N34">
            <v>0.65240482157775392</v>
          </cell>
        </row>
      </sheetData>
      <sheetData sheetId="16"/>
      <sheetData sheetId="1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2034801</v>
          </cell>
          <cell r="G10">
            <v>0</v>
          </cell>
        </row>
        <row r="12">
          <cell r="E12">
            <v>1168392</v>
          </cell>
          <cell r="G12"/>
        </row>
        <row r="13">
          <cell r="E13">
            <v>393</v>
          </cell>
          <cell r="G13"/>
        </row>
        <row r="14">
          <cell r="E14">
            <v>34514</v>
          </cell>
          <cell r="G14"/>
        </row>
        <row r="15">
          <cell r="E15">
            <v>3238100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0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4312</v>
          </cell>
          <cell r="G42">
            <v>0</v>
          </cell>
        </row>
        <row r="47">
          <cell r="E47">
            <v>58663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67963</v>
          </cell>
          <cell r="G72">
            <v>0</v>
          </cell>
        </row>
        <row r="90">
          <cell r="C90" t="str">
            <v/>
          </cell>
          <cell r="E90">
            <v>230</v>
          </cell>
          <cell r="G90" t="str">
            <v/>
          </cell>
          <cell r="I90">
            <v>192.6</v>
          </cell>
        </row>
      </sheetData>
      <sheetData sheetId="6"/>
      <sheetData sheetId="7">
        <row r="10">
          <cell r="D10">
            <v>77612</v>
          </cell>
          <cell r="F10"/>
          <cell r="H10"/>
        </row>
        <row r="11">
          <cell r="D11"/>
          <cell r="F11"/>
          <cell r="H11"/>
        </row>
        <row r="12">
          <cell r="D12">
            <v>42350</v>
          </cell>
          <cell r="F12"/>
          <cell r="H12"/>
        </row>
        <row r="13">
          <cell r="D13">
            <v>23390</v>
          </cell>
          <cell r="F13"/>
          <cell r="H13"/>
        </row>
        <row r="14">
          <cell r="D14"/>
          <cell r="F14"/>
          <cell r="H14"/>
        </row>
        <row r="15">
          <cell r="D15">
            <v>620467</v>
          </cell>
          <cell r="F15"/>
          <cell r="H15">
            <v>-620467</v>
          </cell>
        </row>
        <row r="16">
          <cell r="D16">
            <v>107513</v>
          </cell>
          <cell r="F16"/>
          <cell r="H16">
            <v>-15167</v>
          </cell>
        </row>
        <row r="17">
          <cell r="D17">
            <v>50</v>
          </cell>
          <cell r="F17">
            <v>-50</v>
          </cell>
          <cell r="H17"/>
        </row>
        <row r="18">
          <cell r="D18">
            <v>7137</v>
          </cell>
          <cell r="F18"/>
          <cell r="H18"/>
        </row>
        <row r="19">
          <cell r="D19">
            <v>16725</v>
          </cell>
          <cell r="F19"/>
          <cell r="H19"/>
        </row>
        <row r="20">
          <cell r="D20">
            <v>6723</v>
          </cell>
          <cell r="F20"/>
          <cell r="H20"/>
        </row>
        <row r="21">
          <cell r="D21">
            <v>9000</v>
          </cell>
          <cell r="F21"/>
          <cell r="H21"/>
        </row>
        <row r="22">
          <cell r="D22"/>
          <cell r="F22"/>
          <cell r="H22"/>
        </row>
        <row r="23">
          <cell r="D23">
            <v>10009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225820</v>
          </cell>
          <cell r="F26"/>
          <cell r="H26"/>
        </row>
        <row r="27">
          <cell r="D27"/>
          <cell r="F27"/>
          <cell r="H27"/>
        </row>
        <row r="28">
          <cell r="D28">
            <v>23954</v>
          </cell>
          <cell r="F28">
            <v>-23954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17352</v>
          </cell>
          <cell r="F31"/>
          <cell r="H31"/>
        </row>
        <row r="32">
          <cell r="D32">
            <v>23911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93106</v>
          </cell>
          <cell r="F35">
            <v>-93106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1082</v>
          </cell>
          <cell r="F39"/>
          <cell r="H39"/>
        </row>
        <row r="40">
          <cell r="D40"/>
          <cell r="F40"/>
          <cell r="H40"/>
        </row>
        <row r="41">
          <cell r="D41">
            <v>4629</v>
          </cell>
          <cell r="F41"/>
          <cell r="H41"/>
        </row>
        <row r="42">
          <cell r="D42">
            <v>797</v>
          </cell>
          <cell r="F42"/>
          <cell r="H42"/>
        </row>
        <row r="43">
          <cell r="D43">
            <v>2744</v>
          </cell>
          <cell r="F43">
            <v>-2744</v>
          </cell>
          <cell r="H43"/>
        </row>
        <row r="44">
          <cell r="D44"/>
          <cell r="F44"/>
          <cell r="H44"/>
        </row>
        <row r="45">
          <cell r="D45">
            <v>7011</v>
          </cell>
          <cell r="F45"/>
          <cell r="H45"/>
        </row>
        <row r="57">
          <cell r="D57">
            <v>355292</v>
          </cell>
          <cell r="F57"/>
          <cell r="H57">
            <v>-355292</v>
          </cell>
        </row>
        <row r="58">
          <cell r="D58"/>
          <cell r="F58"/>
          <cell r="H58">
            <v>63247</v>
          </cell>
        </row>
        <row r="59">
          <cell r="D59"/>
          <cell r="F59"/>
          <cell r="H59">
            <v>100679</v>
          </cell>
        </row>
        <row r="60">
          <cell r="D60">
            <v>4920</v>
          </cell>
          <cell r="F60"/>
          <cell r="H60"/>
        </row>
        <row r="61">
          <cell r="D61">
            <v>5079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1533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34249</v>
          </cell>
          <cell r="F75"/>
          <cell r="H75"/>
        </row>
        <row r="76">
          <cell r="D76">
            <v>6967</v>
          </cell>
          <cell r="F76"/>
          <cell r="H76"/>
        </row>
        <row r="77">
          <cell r="D77">
            <v>7919</v>
          </cell>
          <cell r="F77"/>
          <cell r="H77"/>
        </row>
        <row r="78">
          <cell r="D78">
            <v>26043</v>
          </cell>
          <cell r="F78"/>
          <cell r="H78"/>
        </row>
        <row r="79">
          <cell r="D79">
            <v>512</v>
          </cell>
          <cell r="F79"/>
          <cell r="H79"/>
        </row>
        <row r="80">
          <cell r="D80">
            <v>821</v>
          </cell>
          <cell r="F80"/>
          <cell r="H80"/>
        </row>
        <row r="81">
          <cell r="D81">
            <v>68552</v>
          </cell>
          <cell r="F81"/>
          <cell r="H81"/>
        </row>
        <row r="82">
          <cell r="D82">
            <v>449</v>
          </cell>
          <cell r="F82"/>
          <cell r="H82"/>
        </row>
        <row r="83">
          <cell r="D83">
            <v>58</v>
          </cell>
          <cell r="F83"/>
          <cell r="H83"/>
        </row>
        <row r="84">
          <cell r="D84">
            <v>30462</v>
          </cell>
          <cell r="F84"/>
          <cell r="H84"/>
        </row>
        <row r="85">
          <cell r="D85"/>
          <cell r="F85"/>
          <cell r="H85"/>
        </row>
        <row r="89">
          <cell r="D89">
            <v>93119</v>
          </cell>
          <cell r="F89"/>
          <cell r="H89"/>
        </row>
        <row r="90">
          <cell r="D90">
            <v>16490</v>
          </cell>
          <cell r="F90"/>
          <cell r="H90"/>
        </row>
        <row r="91">
          <cell r="D91">
            <v>5803</v>
          </cell>
          <cell r="F91"/>
          <cell r="H91"/>
        </row>
        <row r="92">
          <cell r="D92">
            <v>92431</v>
          </cell>
          <cell r="F92"/>
          <cell r="H92"/>
        </row>
        <row r="93">
          <cell r="D93">
            <v>15853</v>
          </cell>
          <cell r="F93"/>
          <cell r="H93"/>
        </row>
        <row r="94">
          <cell r="D94"/>
          <cell r="F94"/>
          <cell r="H94"/>
        </row>
        <row r="98">
          <cell r="D98">
            <v>19357</v>
          </cell>
          <cell r="F98"/>
          <cell r="H98"/>
        </row>
        <row r="99">
          <cell r="D99">
            <v>1657</v>
          </cell>
          <cell r="F99"/>
          <cell r="H99"/>
        </row>
        <row r="100">
          <cell r="D100">
            <v>5217</v>
          </cell>
          <cell r="F100"/>
          <cell r="H100"/>
        </row>
        <row r="101">
          <cell r="D101"/>
          <cell r="F101"/>
          <cell r="H101"/>
        </row>
        <row r="102">
          <cell r="D102">
            <v>984</v>
          </cell>
          <cell r="F102"/>
          <cell r="H102"/>
        </row>
        <row r="103">
          <cell r="D103"/>
          <cell r="F103"/>
          <cell r="H103"/>
        </row>
        <row r="115">
          <cell r="D115">
            <v>37487</v>
          </cell>
          <cell r="F115"/>
          <cell r="H115"/>
        </row>
        <row r="116">
          <cell r="D116">
            <v>3429</v>
          </cell>
          <cell r="F116"/>
          <cell r="H116"/>
        </row>
        <row r="117">
          <cell r="D117">
            <v>7022</v>
          </cell>
          <cell r="F117"/>
          <cell r="H117"/>
        </row>
        <row r="118">
          <cell r="D118">
            <v>888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92046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/>
          <cell r="F128"/>
          <cell r="H128"/>
        </row>
        <row r="130">
          <cell r="D130"/>
          <cell r="F130"/>
          <cell r="H130"/>
        </row>
        <row r="131">
          <cell r="D131">
            <v>75444</v>
          </cell>
          <cell r="F131">
            <v>-52738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/>
          <cell r="H134"/>
        </row>
        <row r="136">
          <cell r="D136">
            <v>111919</v>
          </cell>
          <cell r="F136"/>
          <cell r="H136"/>
        </row>
        <row r="137">
          <cell r="D137">
            <v>101869</v>
          </cell>
          <cell r="F137"/>
          <cell r="H137"/>
        </row>
        <row r="138">
          <cell r="D138">
            <v>305479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27609</v>
          </cell>
          <cell r="H141"/>
        </row>
        <row r="142">
          <cell r="D142"/>
          <cell r="F142">
            <v>25129</v>
          </cell>
          <cell r="H142"/>
        </row>
        <row r="143">
          <cell r="D143">
            <v>26038</v>
          </cell>
          <cell r="F143"/>
          <cell r="H143"/>
        </row>
        <row r="144">
          <cell r="D144"/>
          <cell r="F144"/>
          <cell r="H144"/>
        </row>
        <row r="146">
          <cell r="D146">
            <v>12000</v>
          </cell>
          <cell r="F146"/>
          <cell r="H146"/>
        </row>
        <row r="147">
          <cell r="D147">
            <v>21147</v>
          </cell>
          <cell r="F147"/>
          <cell r="H147"/>
        </row>
        <row r="148">
          <cell r="D148">
            <v>39939</v>
          </cell>
          <cell r="F148"/>
          <cell r="H148"/>
        </row>
        <row r="149">
          <cell r="D149"/>
          <cell r="F149"/>
          <cell r="H149"/>
        </row>
        <row r="150">
          <cell r="D150">
            <v>2941</v>
          </cell>
          <cell r="F150"/>
          <cell r="H150"/>
        </row>
        <row r="151">
          <cell r="D151">
            <v>30032</v>
          </cell>
          <cell r="F151"/>
          <cell r="H151"/>
        </row>
        <row r="152">
          <cell r="D152">
            <v>213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20570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3460</v>
          </cell>
          <cell r="F194"/>
          <cell r="H194"/>
        </row>
        <row r="195">
          <cell r="D195">
            <v>1719</v>
          </cell>
          <cell r="F195"/>
          <cell r="H195"/>
        </row>
        <row r="196">
          <cell r="D196"/>
          <cell r="F196"/>
          <cell r="H196"/>
        </row>
        <row r="197">
          <cell r="D197">
            <v>2286</v>
          </cell>
          <cell r="F197"/>
          <cell r="H197"/>
        </row>
        <row r="198">
          <cell r="D198">
            <v>258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5550</v>
          </cell>
          <cell r="F205"/>
          <cell r="H205"/>
        </row>
        <row r="206">
          <cell r="D206"/>
          <cell r="F206"/>
          <cell r="H206"/>
        </row>
        <row r="207">
          <cell r="D207"/>
          <cell r="F207"/>
          <cell r="H207"/>
        </row>
        <row r="211">
          <cell r="D211">
            <v>80159</v>
          </cell>
          <cell r="F211"/>
          <cell r="H211"/>
        </row>
        <row r="212">
          <cell r="D212">
            <v>15417</v>
          </cell>
          <cell r="F212"/>
          <cell r="H212"/>
        </row>
        <row r="213">
          <cell r="D213">
            <v>13768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4801</v>
          </cell>
          <cell r="F216"/>
          <cell r="H216"/>
        </row>
        <row r="221">
          <cell r="D221">
            <v>3131030</v>
          </cell>
        </row>
      </sheetData>
      <sheetData sheetId="8"/>
      <sheetData sheetId="9"/>
      <sheetData sheetId="10">
        <row r="9">
          <cell r="C9">
            <v>10416</v>
          </cell>
          <cell r="D9"/>
          <cell r="E9"/>
          <cell r="F9"/>
          <cell r="G9"/>
          <cell r="H9">
            <v>22</v>
          </cell>
          <cell r="I9">
            <v>316</v>
          </cell>
          <cell r="J9"/>
          <cell r="K9"/>
        </row>
        <row r="22">
          <cell r="N22">
            <v>34</v>
          </cell>
        </row>
        <row r="24">
          <cell r="N24">
            <v>34</v>
          </cell>
        </row>
        <row r="28">
          <cell r="N28">
            <v>12410</v>
          </cell>
        </row>
        <row r="30">
          <cell r="N30">
            <v>0.86655922643029815</v>
          </cell>
        </row>
        <row r="32">
          <cell r="N32">
            <v>0.83932312651087837</v>
          </cell>
        </row>
        <row r="34">
          <cell r="N34">
            <v>0.96856983448019351</v>
          </cell>
        </row>
      </sheetData>
      <sheetData sheetId="11"/>
      <sheetData sheetId="1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1774738</v>
          </cell>
          <cell r="G10">
            <v>0</v>
          </cell>
        </row>
        <row r="12">
          <cell r="E12">
            <v>506386</v>
          </cell>
          <cell r="G12">
            <v>468780.96210649551</v>
          </cell>
        </row>
        <row r="13">
          <cell r="E13">
            <v>675</v>
          </cell>
          <cell r="G13"/>
        </row>
        <row r="14">
          <cell r="E14">
            <v>78824</v>
          </cell>
          <cell r="G14"/>
        </row>
        <row r="15">
          <cell r="E15">
            <v>2360623</v>
          </cell>
          <cell r="G15">
            <v>468780.96210649551</v>
          </cell>
        </row>
        <row r="20">
          <cell r="E20">
            <v>0</v>
          </cell>
          <cell r="G20">
            <v>0</v>
          </cell>
        </row>
        <row r="26">
          <cell r="E26">
            <v>1910783</v>
          </cell>
          <cell r="G26">
            <v>0</v>
          </cell>
        </row>
        <row r="32">
          <cell r="E32">
            <v>12897.783251231533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311718</v>
          </cell>
          <cell r="G42">
            <v>0</v>
          </cell>
        </row>
        <row r="47">
          <cell r="E47">
            <v>71805.600000000006</v>
          </cell>
          <cell r="G47">
            <v>0</v>
          </cell>
        </row>
        <row r="52">
          <cell r="E52">
            <v>7978.4</v>
          </cell>
          <cell r="G52">
            <v>0</v>
          </cell>
        </row>
        <row r="57">
          <cell r="E57">
            <v>74377.216748768464</v>
          </cell>
          <cell r="G57">
            <v>0</v>
          </cell>
        </row>
        <row r="72">
          <cell r="E72">
            <v>6214</v>
          </cell>
          <cell r="G72">
            <v>0</v>
          </cell>
        </row>
        <row r="90">
          <cell r="C90">
            <v>139.92739273927393</v>
          </cell>
          <cell r="E90">
            <v>152.03803131991052</v>
          </cell>
          <cell r="G90">
            <v>150.42687074829931</v>
          </cell>
          <cell r="I90">
            <v>146.25388601036269</v>
          </cell>
        </row>
      </sheetData>
      <sheetData sheetId="7"/>
      <sheetData sheetId="8">
        <row r="10">
          <cell r="D10">
            <v>236049</v>
          </cell>
          <cell r="F10">
            <v>-136626</v>
          </cell>
          <cell r="H10"/>
        </row>
        <row r="11">
          <cell r="D11">
            <v>0</v>
          </cell>
          <cell r="F11"/>
          <cell r="H11"/>
        </row>
        <row r="12">
          <cell r="D12">
            <v>67686</v>
          </cell>
          <cell r="F12"/>
          <cell r="H12"/>
        </row>
        <row r="13">
          <cell r="D13">
            <v>130076</v>
          </cell>
          <cell r="F13">
            <v>-104668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237821</v>
          </cell>
          <cell r="F16"/>
          <cell r="H16">
            <v>-37734</v>
          </cell>
        </row>
        <row r="17">
          <cell r="D17">
            <v>0</v>
          </cell>
          <cell r="F17"/>
          <cell r="H17"/>
        </row>
        <row r="18">
          <cell r="D18">
            <v>3036</v>
          </cell>
          <cell r="F18"/>
          <cell r="H18"/>
        </row>
        <row r="19">
          <cell r="D19">
            <v>14611</v>
          </cell>
          <cell r="F19">
            <v>-1655</v>
          </cell>
          <cell r="H19"/>
        </row>
        <row r="20">
          <cell r="D20">
            <v>17646</v>
          </cell>
          <cell r="F20">
            <v>1318</v>
          </cell>
          <cell r="H20"/>
        </row>
        <row r="21">
          <cell r="D21">
            <v>1416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11657</v>
          </cell>
          <cell r="F23"/>
          <cell r="H23"/>
        </row>
        <row r="24">
          <cell r="D24">
            <v>72473</v>
          </cell>
          <cell r="F24"/>
          <cell r="H24">
            <v>-12700</v>
          </cell>
        </row>
        <row r="25">
          <cell r="D25">
            <v>0</v>
          </cell>
          <cell r="F25"/>
          <cell r="H25"/>
        </row>
        <row r="26">
          <cell r="D26">
            <v>259502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51123</v>
          </cell>
          <cell r="F29">
            <v>-51123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24061</v>
          </cell>
          <cell r="F31"/>
          <cell r="H31">
            <v>-14097</v>
          </cell>
        </row>
        <row r="32">
          <cell r="D32">
            <v>64413</v>
          </cell>
          <cell r="F32"/>
          <cell r="H32">
            <v>-28986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34</v>
          </cell>
          <cell r="F35">
            <v>-34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845</v>
          </cell>
          <cell r="F38">
            <v>-845</v>
          </cell>
          <cell r="H38"/>
        </row>
        <row r="39">
          <cell r="D39">
            <v>3330</v>
          </cell>
          <cell r="F39"/>
          <cell r="H39"/>
        </row>
        <row r="40">
          <cell r="D40">
            <v>4287</v>
          </cell>
          <cell r="F40"/>
          <cell r="H40"/>
        </row>
        <row r="41">
          <cell r="D41">
            <v>6567</v>
          </cell>
          <cell r="F41"/>
          <cell r="H41"/>
        </row>
        <row r="42">
          <cell r="D42">
            <v>15985</v>
          </cell>
          <cell r="F42"/>
          <cell r="H42"/>
        </row>
        <row r="43">
          <cell r="D43">
            <v>0</v>
          </cell>
          <cell r="F43"/>
          <cell r="H43"/>
        </row>
        <row r="44">
          <cell r="D44">
            <v>10</v>
          </cell>
          <cell r="F44"/>
          <cell r="H44"/>
        </row>
        <row r="45">
          <cell r="D45">
            <v>-1740</v>
          </cell>
          <cell r="F45">
            <v>-6214</v>
          </cell>
          <cell r="H45"/>
        </row>
        <row r="57">
          <cell r="D57">
            <v>340562</v>
          </cell>
          <cell r="F57">
            <v>-340562</v>
          </cell>
          <cell r="H57"/>
        </row>
        <row r="58">
          <cell r="D58">
            <v>7639</v>
          </cell>
          <cell r="F58">
            <v>106880</v>
          </cell>
          <cell r="H58"/>
        </row>
        <row r="59">
          <cell r="D59">
            <v>0</v>
          </cell>
          <cell r="F59"/>
          <cell r="H59"/>
        </row>
        <row r="60">
          <cell r="D60">
            <v>12809</v>
          </cell>
          <cell r="F60"/>
          <cell r="H60"/>
        </row>
        <row r="61">
          <cell r="D61">
            <v>6149</v>
          </cell>
          <cell r="F61"/>
          <cell r="H61"/>
        </row>
        <row r="62">
          <cell r="D62">
            <v>5518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5869</v>
          </cell>
          <cell r="F65"/>
          <cell r="H65"/>
        </row>
        <row r="66">
          <cell r="D66">
            <v>4719</v>
          </cell>
          <cell r="F66"/>
          <cell r="H66"/>
        </row>
        <row r="67">
          <cell r="D67">
            <v>43909</v>
          </cell>
          <cell r="F67">
            <v>-4690</v>
          </cell>
          <cell r="H67"/>
        </row>
        <row r="68">
          <cell r="D68">
            <v>0</v>
          </cell>
          <cell r="F68"/>
          <cell r="H68"/>
        </row>
        <row r="69">
          <cell r="D69">
            <v>4019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28115</v>
          </cell>
          <cell r="F75"/>
          <cell r="H75"/>
        </row>
        <row r="76">
          <cell r="D76">
            <v>3324</v>
          </cell>
          <cell r="F76">
            <v>2037</v>
          </cell>
          <cell r="H76"/>
        </row>
        <row r="77">
          <cell r="D77">
            <v>11196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8135</v>
          </cell>
          <cell r="F79">
            <v>13791</v>
          </cell>
          <cell r="H79"/>
        </row>
        <row r="80">
          <cell r="D80">
            <v>7166</v>
          </cell>
          <cell r="F80"/>
          <cell r="H80"/>
        </row>
        <row r="81">
          <cell r="D81">
            <v>9340</v>
          </cell>
          <cell r="F81"/>
          <cell r="H81"/>
        </row>
        <row r="82">
          <cell r="D82">
            <v>692</v>
          </cell>
          <cell r="F82"/>
          <cell r="H82"/>
        </row>
        <row r="83">
          <cell r="D83">
            <v>1971</v>
          </cell>
          <cell r="F83"/>
          <cell r="H83"/>
        </row>
        <row r="84">
          <cell r="D84">
            <v>82078</v>
          </cell>
          <cell r="F84"/>
          <cell r="H84"/>
        </row>
        <row r="85">
          <cell r="D85">
            <v>77</v>
          </cell>
          <cell r="F85"/>
          <cell r="H85"/>
        </row>
        <row r="89">
          <cell r="D89">
            <v>101563</v>
          </cell>
          <cell r="F89"/>
          <cell r="H89"/>
        </row>
        <row r="90">
          <cell r="D90">
            <v>14092</v>
          </cell>
          <cell r="F90">
            <v>7358</v>
          </cell>
          <cell r="H90"/>
        </row>
        <row r="91">
          <cell r="D91">
            <v>18301</v>
          </cell>
          <cell r="F91"/>
          <cell r="H91"/>
        </row>
        <row r="92">
          <cell r="D92">
            <v>118964</v>
          </cell>
          <cell r="F92"/>
          <cell r="H92"/>
        </row>
        <row r="93">
          <cell r="D93">
            <v>14778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160</v>
          </cell>
          <cell r="F98"/>
          <cell r="H98"/>
        </row>
        <row r="99">
          <cell r="D99">
            <v>19</v>
          </cell>
          <cell r="F99">
            <v>12</v>
          </cell>
          <cell r="H99"/>
        </row>
        <row r="100">
          <cell r="D100">
            <v>988</v>
          </cell>
          <cell r="F100">
            <v>1685</v>
          </cell>
          <cell r="H100"/>
        </row>
        <row r="101">
          <cell r="D101">
            <v>567</v>
          </cell>
          <cell r="F101"/>
          <cell r="H101"/>
        </row>
        <row r="102">
          <cell r="D102">
            <v>1634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60219</v>
          </cell>
          <cell r="F115"/>
          <cell r="H115"/>
        </row>
        <row r="116">
          <cell r="D116">
            <v>9908</v>
          </cell>
          <cell r="F116">
            <v>4362</v>
          </cell>
          <cell r="H116"/>
        </row>
        <row r="117">
          <cell r="D117">
            <v>17432</v>
          </cell>
          <cell r="F117"/>
          <cell r="H117"/>
        </row>
        <row r="118">
          <cell r="D118">
            <v>1845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100207</v>
          </cell>
          <cell r="F125"/>
          <cell r="H125">
            <v>34191</v>
          </cell>
        </row>
        <row r="126">
          <cell r="D126">
            <v>54421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31473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0</v>
          </cell>
          <cell r="F131">
            <v>7259</v>
          </cell>
          <cell r="H131">
            <v>3542</v>
          </cell>
        </row>
        <row r="132">
          <cell r="D132">
            <v>0</v>
          </cell>
          <cell r="F132">
            <v>3942</v>
          </cell>
          <cell r="H132"/>
        </row>
        <row r="133">
          <cell r="D133">
            <v>0</v>
          </cell>
          <cell r="F133">
            <v>0</v>
          </cell>
          <cell r="H133"/>
        </row>
        <row r="134">
          <cell r="D134">
            <v>0</v>
          </cell>
          <cell r="F134">
            <v>2280</v>
          </cell>
          <cell r="H134"/>
        </row>
        <row r="136">
          <cell r="D136">
            <v>236515</v>
          </cell>
          <cell r="F136"/>
          <cell r="H136"/>
        </row>
        <row r="137">
          <cell r="D137">
            <v>102452</v>
          </cell>
          <cell r="F137"/>
          <cell r="H137"/>
        </row>
        <row r="138">
          <cell r="D138">
            <v>323100</v>
          </cell>
          <cell r="F138"/>
          <cell r="H138"/>
        </row>
        <row r="139">
          <cell r="D139">
            <v>104896</v>
          </cell>
          <cell r="F139"/>
          <cell r="H139"/>
        </row>
        <row r="141">
          <cell r="D141">
            <v>0</v>
          </cell>
          <cell r="F141">
            <v>17134</v>
          </cell>
          <cell r="H141"/>
        </row>
        <row r="142">
          <cell r="D142">
            <v>0</v>
          </cell>
          <cell r="F142">
            <v>7422</v>
          </cell>
          <cell r="H142"/>
        </row>
        <row r="143">
          <cell r="D143">
            <v>0</v>
          </cell>
          <cell r="F143">
            <v>23406</v>
          </cell>
          <cell r="H143"/>
        </row>
        <row r="144">
          <cell r="D144">
            <v>158810</v>
          </cell>
          <cell r="F144">
            <v>7599</v>
          </cell>
          <cell r="H144"/>
        </row>
        <row r="146">
          <cell r="D146">
            <v>18000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9133</v>
          </cell>
          <cell r="F150"/>
          <cell r="H150"/>
        </row>
        <row r="151">
          <cell r="D151">
            <v>67531</v>
          </cell>
          <cell r="F151">
            <v>7697</v>
          </cell>
          <cell r="H151"/>
        </row>
        <row r="152">
          <cell r="D152">
            <v>4810</v>
          </cell>
          <cell r="F152"/>
          <cell r="H152"/>
        </row>
        <row r="153">
          <cell r="D153">
            <v>497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2924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167532</v>
          </cell>
          <cell r="F177"/>
          <cell r="H177"/>
        </row>
        <row r="178">
          <cell r="D178">
            <v>24193</v>
          </cell>
          <cell r="F178">
            <v>12137</v>
          </cell>
          <cell r="H178"/>
        </row>
        <row r="179">
          <cell r="D179">
            <v>0</v>
          </cell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146621</v>
          </cell>
          <cell r="F183"/>
          <cell r="H183"/>
        </row>
        <row r="184">
          <cell r="D184">
            <v>21845</v>
          </cell>
          <cell r="F184">
            <v>10622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494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992</v>
          </cell>
          <cell r="F194"/>
          <cell r="H194"/>
        </row>
        <row r="195">
          <cell r="D195">
            <v>3689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17123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115451</v>
          </cell>
          <cell r="F205"/>
          <cell r="H205"/>
        </row>
        <row r="206">
          <cell r="D206">
            <v>599</v>
          </cell>
          <cell r="F206"/>
          <cell r="H206"/>
        </row>
        <row r="207">
          <cell r="D207">
            <v>7159</v>
          </cell>
          <cell r="F207">
            <v>-957</v>
          </cell>
          <cell r="H207"/>
        </row>
        <row r="211">
          <cell r="D211">
            <v>95368</v>
          </cell>
          <cell r="F211"/>
          <cell r="H211"/>
        </row>
        <row r="212">
          <cell r="D212">
            <v>13933</v>
          </cell>
          <cell r="F212">
            <v>6909</v>
          </cell>
          <cell r="H212"/>
        </row>
        <row r="213">
          <cell r="D213">
            <v>1717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11397</v>
          </cell>
          <cell r="F216"/>
          <cell r="H216"/>
        </row>
        <row r="221">
          <cell r="D221">
            <v>4007527</v>
          </cell>
        </row>
      </sheetData>
      <sheetData sheetId="9"/>
      <sheetData sheetId="10"/>
      <sheetData sheetId="11">
        <row r="9">
          <cell r="C9">
            <v>9862</v>
          </cell>
          <cell r="D9"/>
          <cell r="E9">
            <v>3461</v>
          </cell>
          <cell r="F9">
            <v>30</v>
          </cell>
          <cell r="G9"/>
          <cell r="H9">
            <v>2110</v>
          </cell>
          <cell r="I9">
            <v>396</v>
          </cell>
          <cell r="J9">
            <v>44</v>
          </cell>
          <cell r="K9">
            <v>173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0.44043835616438354</v>
          </cell>
        </row>
        <row r="32">
          <cell r="N32">
            <v>0.2701917808219178</v>
          </cell>
        </row>
        <row r="34">
          <cell r="N34">
            <v>0.61346105996516553</v>
          </cell>
        </row>
      </sheetData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-Listing"/>
      <sheetName val="Supp 10250"/>
      <sheetName val="Supp 1012"/>
      <sheetName val="Supp 10-490"/>
      <sheetName val="Supp 70-490"/>
      <sheetName val="Supp 8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1426120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48744</v>
          </cell>
          <cell r="G13"/>
        </row>
        <row r="14">
          <cell r="E14">
            <v>0</v>
          </cell>
          <cell r="G14"/>
        </row>
        <row r="15">
          <cell r="E15">
            <v>1474864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850853</v>
          </cell>
          <cell r="G26">
            <v>0</v>
          </cell>
        </row>
        <row r="32">
          <cell r="E32">
            <v>86991</v>
          </cell>
          <cell r="G32">
            <v>-9184</v>
          </cell>
        </row>
        <row r="37">
          <cell r="E37">
            <v>369763</v>
          </cell>
          <cell r="G37">
            <v>0</v>
          </cell>
        </row>
        <row r="42">
          <cell r="E42">
            <v>258533</v>
          </cell>
          <cell r="G42">
            <v>0</v>
          </cell>
        </row>
        <row r="47">
          <cell r="E47">
            <v>281707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-9184</v>
          </cell>
          <cell r="G57">
            <v>9184</v>
          </cell>
        </row>
        <row r="72">
          <cell r="E72">
            <v>59725</v>
          </cell>
          <cell r="G72">
            <v>-8506</v>
          </cell>
        </row>
        <row r="90">
          <cell r="C90">
            <v>196.75324675324674</v>
          </cell>
          <cell r="E90">
            <v>196.75190839694656</v>
          </cell>
          <cell r="G90">
            <v>196.75280898876406</v>
          </cell>
          <cell r="I90">
            <v>196.75213675213675</v>
          </cell>
        </row>
      </sheetData>
      <sheetData sheetId="6"/>
      <sheetData sheetId="7">
        <row r="10">
          <cell r="D10">
            <v>0</v>
          </cell>
          <cell r="F10">
            <v>95656</v>
          </cell>
          <cell r="H10"/>
        </row>
        <row r="11">
          <cell r="D11">
            <v>0</v>
          </cell>
          <cell r="F11"/>
          <cell r="H11"/>
        </row>
        <row r="12">
          <cell r="D12">
            <v>182562</v>
          </cell>
          <cell r="F12">
            <v>-95681</v>
          </cell>
          <cell r="H12"/>
        </row>
        <row r="13">
          <cell r="D13">
            <v>40994</v>
          </cell>
          <cell r="F13">
            <v>-6203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168633</v>
          </cell>
          <cell r="F16"/>
          <cell r="H16">
            <v>339</v>
          </cell>
        </row>
        <row r="17">
          <cell r="D17">
            <v>196</v>
          </cell>
          <cell r="F17">
            <v>-196</v>
          </cell>
          <cell r="H17"/>
        </row>
        <row r="18">
          <cell r="D18">
            <v>9754</v>
          </cell>
          <cell r="F18"/>
          <cell r="H18"/>
        </row>
        <row r="19">
          <cell r="D19">
            <v>7439</v>
          </cell>
          <cell r="F19"/>
          <cell r="H19"/>
        </row>
        <row r="20">
          <cell r="D20">
            <v>6706</v>
          </cell>
          <cell r="F20"/>
          <cell r="H20"/>
        </row>
        <row r="21">
          <cell r="D21">
            <v>9975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1853</v>
          </cell>
          <cell r="F23"/>
          <cell r="H23"/>
        </row>
        <row r="24">
          <cell r="D24">
            <v>16527</v>
          </cell>
          <cell r="F24"/>
          <cell r="H24"/>
        </row>
        <row r="25">
          <cell r="D25">
            <v>8471</v>
          </cell>
          <cell r="F25"/>
          <cell r="H25"/>
        </row>
        <row r="26">
          <cell r="D26">
            <v>259900</v>
          </cell>
          <cell r="F26"/>
          <cell r="H26"/>
        </row>
        <row r="27">
          <cell r="D27">
            <v>29877</v>
          </cell>
          <cell r="F27">
            <v>-53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59474</v>
          </cell>
          <cell r="F29">
            <v>-59474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41040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99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16091</v>
          </cell>
          <cell r="F36"/>
          <cell r="H36"/>
        </row>
        <row r="37">
          <cell r="D37">
            <v>1704</v>
          </cell>
          <cell r="F37"/>
          <cell r="H37"/>
        </row>
        <row r="38">
          <cell r="D38">
            <v>265</v>
          </cell>
          <cell r="F38">
            <v>-265</v>
          </cell>
          <cell r="H38"/>
        </row>
        <row r="39">
          <cell r="D39">
            <v>1648</v>
          </cell>
          <cell r="F39"/>
          <cell r="H39"/>
        </row>
        <row r="40">
          <cell r="D40">
            <v>1524</v>
          </cell>
          <cell r="F40">
            <v>-1524</v>
          </cell>
          <cell r="H40"/>
        </row>
        <row r="41">
          <cell r="D41">
            <v>37099</v>
          </cell>
          <cell r="F41"/>
          <cell r="H41"/>
        </row>
        <row r="42">
          <cell r="D42">
            <v>0</v>
          </cell>
          <cell r="F42"/>
          <cell r="H42"/>
        </row>
        <row r="43">
          <cell r="D43">
            <v>9905</v>
          </cell>
          <cell r="F43">
            <v>-9905</v>
          </cell>
          <cell r="H43"/>
        </row>
        <row r="44">
          <cell r="D44">
            <v>0</v>
          </cell>
          <cell r="F44"/>
          <cell r="H44"/>
        </row>
        <row r="45">
          <cell r="D45">
            <v>2236</v>
          </cell>
          <cell r="F45">
            <v>-1634</v>
          </cell>
          <cell r="H45"/>
        </row>
        <row r="57">
          <cell r="D57">
            <v>0</v>
          </cell>
          <cell r="F57"/>
          <cell r="H57"/>
        </row>
        <row r="58">
          <cell r="D58">
            <v>104644</v>
          </cell>
          <cell r="F58"/>
          <cell r="H58"/>
        </row>
        <row r="59">
          <cell r="D59">
            <v>44114</v>
          </cell>
          <cell r="F59"/>
          <cell r="H59"/>
        </row>
        <row r="60">
          <cell r="D60">
            <v>14232</v>
          </cell>
          <cell r="F60"/>
          <cell r="H60"/>
        </row>
        <row r="61">
          <cell r="D61">
            <v>3016</v>
          </cell>
          <cell r="F61"/>
          <cell r="H61"/>
        </row>
        <row r="62">
          <cell r="D62">
            <v>346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6733</v>
          </cell>
          <cell r="F65"/>
          <cell r="H65"/>
        </row>
        <row r="66">
          <cell r="D66">
            <v>67198</v>
          </cell>
          <cell r="F66"/>
          <cell r="H66">
            <v>-1809</v>
          </cell>
        </row>
        <row r="67">
          <cell r="D67">
            <v>20703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1705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33352</v>
          </cell>
          <cell r="F75"/>
          <cell r="H75"/>
        </row>
        <row r="76">
          <cell r="D76">
            <v>3414</v>
          </cell>
          <cell r="F76"/>
          <cell r="H76"/>
        </row>
        <row r="77">
          <cell r="D77">
            <v>6157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1221</v>
          </cell>
          <cell r="F79"/>
          <cell r="H79"/>
        </row>
        <row r="80">
          <cell r="D80">
            <v>8536</v>
          </cell>
          <cell r="F80"/>
          <cell r="H80"/>
        </row>
        <row r="81">
          <cell r="D81">
            <v>12080</v>
          </cell>
          <cell r="F81"/>
          <cell r="H81"/>
        </row>
        <row r="82">
          <cell r="D82">
            <v>11069</v>
          </cell>
          <cell r="F82"/>
          <cell r="H82"/>
        </row>
        <row r="83">
          <cell r="D83">
            <v>9472</v>
          </cell>
          <cell r="F83"/>
          <cell r="H83"/>
        </row>
        <row r="84">
          <cell r="D84">
            <v>67388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266246</v>
          </cell>
          <cell r="F91"/>
          <cell r="H91"/>
        </row>
        <row r="92">
          <cell r="D92">
            <v>2171</v>
          </cell>
          <cell r="F92">
            <v>-591</v>
          </cell>
          <cell r="H92"/>
        </row>
        <row r="93">
          <cell r="D93">
            <v>3342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0</v>
          </cell>
          <cell r="F100"/>
          <cell r="H100"/>
        </row>
        <row r="101">
          <cell r="D101">
            <v>43008</v>
          </cell>
          <cell r="F101"/>
          <cell r="H101"/>
        </row>
        <row r="102">
          <cell r="D102">
            <v>5353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6860</v>
          </cell>
          <cell r="F117"/>
          <cell r="H117"/>
        </row>
        <row r="118">
          <cell r="D118">
            <v>65774</v>
          </cell>
          <cell r="F118"/>
          <cell r="H118"/>
        </row>
        <row r="119">
          <cell r="D119">
            <v>159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149917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11550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34754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2275</v>
          </cell>
          <cell r="F134"/>
          <cell r="H134"/>
        </row>
        <row r="136">
          <cell r="D136">
            <v>240303</v>
          </cell>
          <cell r="F136"/>
          <cell r="H136"/>
        </row>
        <row r="137">
          <cell r="D137">
            <v>218503</v>
          </cell>
          <cell r="F137"/>
          <cell r="H137"/>
        </row>
        <row r="138">
          <cell r="D138">
            <v>268760</v>
          </cell>
          <cell r="F138">
            <v>88</v>
          </cell>
          <cell r="H138"/>
        </row>
        <row r="139">
          <cell r="D139">
            <v>88</v>
          </cell>
          <cell r="F139">
            <v>-88</v>
          </cell>
          <cell r="H139"/>
        </row>
        <row r="141">
          <cell r="D141">
            <v>189885</v>
          </cell>
          <cell r="F141">
            <v>-127177</v>
          </cell>
          <cell r="H141"/>
        </row>
        <row r="142">
          <cell r="D142">
            <v>0</v>
          </cell>
          <cell r="F142">
            <v>57019</v>
          </cell>
          <cell r="H142"/>
        </row>
        <row r="143">
          <cell r="D143">
            <v>0</v>
          </cell>
          <cell r="F143">
            <v>70157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26250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116411</v>
          </cell>
          <cell r="F149"/>
          <cell r="H149"/>
        </row>
        <row r="150">
          <cell r="D150">
            <v>1282</v>
          </cell>
          <cell r="F150"/>
          <cell r="H150"/>
        </row>
        <row r="151">
          <cell r="D151">
            <v>63251</v>
          </cell>
          <cell r="F151"/>
          <cell r="H151"/>
        </row>
        <row r="152">
          <cell r="D152">
            <v>6208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7351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523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814</v>
          </cell>
          <cell r="F193"/>
          <cell r="H193"/>
        </row>
        <row r="194">
          <cell r="D194">
            <v>154790</v>
          </cell>
          <cell r="F194"/>
          <cell r="H194">
            <v>2709</v>
          </cell>
        </row>
        <row r="195">
          <cell r="D195">
            <v>10403</v>
          </cell>
          <cell r="F195"/>
          <cell r="H195">
            <v>182</v>
          </cell>
        </row>
        <row r="196">
          <cell r="D196">
            <v>0</v>
          </cell>
          <cell r="F196"/>
          <cell r="H196"/>
        </row>
        <row r="197">
          <cell r="D197">
            <v>92515</v>
          </cell>
          <cell r="F197"/>
          <cell r="H197">
            <v>1619</v>
          </cell>
        </row>
        <row r="198">
          <cell r="D198">
            <v>11311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86217</v>
          </cell>
          <cell r="F205"/>
          <cell r="H205"/>
        </row>
        <row r="206">
          <cell r="D206">
            <v>3959</v>
          </cell>
          <cell r="F206"/>
          <cell r="H206"/>
        </row>
        <row r="207">
          <cell r="D207">
            <v>2007</v>
          </cell>
          <cell r="F207"/>
          <cell r="H207"/>
        </row>
        <row r="211">
          <cell r="D211">
            <v>76830</v>
          </cell>
          <cell r="F211"/>
          <cell r="H211"/>
        </row>
        <row r="212">
          <cell r="D212">
            <v>27067</v>
          </cell>
          <cell r="F212"/>
          <cell r="H212"/>
        </row>
        <row r="213">
          <cell r="D213">
            <v>3072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1399</v>
          </cell>
          <cell r="F216"/>
          <cell r="H216"/>
        </row>
        <row r="221">
          <cell r="D221">
            <v>3529960</v>
          </cell>
        </row>
      </sheetData>
      <sheetData sheetId="8"/>
      <sheetData sheetId="9"/>
      <sheetData sheetId="10">
        <row r="9">
          <cell r="C9">
            <v>7798</v>
          </cell>
          <cell r="D9">
            <v>0</v>
          </cell>
          <cell r="E9">
            <v>1578</v>
          </cell>
          <cell r="F9">
            <v>248</v>
          </cell>
          <cell r="G9">
            <v>1718</v>
          </cell>
          <cell r="H9">
            <v>1314</v>
          </cell>
          <cell r="I9">
            <v>1508</v>
          </cell>
          <cell r="J9">
            <v>0</v>
          </cell>
          <cell r="K9">
            <v>0</v>
          </cell>
        </row>
        <row r="22">
          <cell r="N22">
            <v>72</v>
          </cell>
        </row>
        <row r="24">
          <cell r="N24">
            <v>72</v>
          </cell>
        </row>
        <row r="28">
          <cell r="N28">
            <v>26280</v>
          </cell>
        </row>
        <row r="30">
          <cell r="N30">
            <v>0.5389649923896499</v>
          </cell>
        </row>
        <row r="32">
          <cell r="N32">
            <v>0.29672754946727548</v>
          </cell>
        </row>
        <row r="34">
          <cell r="N34">
            <v>0.55055069189494488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43027</v>
          </cell>
          <cell r="G39">
            <v>43281</v>
          </cell>
        </row>
      </sheetData>
      <sheetData sheetId="3"/>
      <sheetData sheetId="4"/>
      <sheetData sheetId="5">
        <row r="10">
          <cell r="E10">
            <v>506502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9528</v>
          </cell>
          <cell r="G13"/>
        </row>
        <row r="14">
          <cell r="E14">
            <v>0</v>
          </cell>
          <cell r="G14"/>
        </row>
        <row r="15">
          <cell r="E15">
            <v>516030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1526744</v>
          </cell>
          <cell r="G26">
            <v>0</v>
          </cell>
        </row>
        <row r="32">
          <cell r="E32">
            <v>172916.33507853403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146013</v>
          </cell>
          <cell r="G42">
            <v>0</v>
          </cell>
        </row>
        <row r="47">
          <cell r="E47">
            <v>94239.104411764711</v>
          </cell>
          <cell r="G47">
            <v>0</v>
          </cell>
        </row>
        <row r="52">
          <cell r="E52">
            <v>31659.895588235293</v>
          </cell>
          <cell r="G52">
            <v>0</v>
          </cell>
        </row>
        <row r="57">
          <cell r="E57">
            <v>106973.66492146597</v>
          </cell>
          <cell r="G57">
            <v>0</v>
          </cell>
        </row>
        <row r="72">
          <cell r="E72">
            <v>61</v>
          </cell>
          <cell r="G72">
            <v>0</v>
          </cell>
        </row>
        <row r="90">
          <cell r="C90">
            <v>86.277777777777771</v>
          </cell>
          <cell r="E90">
            <v>246.21505376344086</v>
          </cell>
          <cell r="G90">
            <v>187.65853658536585</v>
          </cell>
          <cell r="I90">
            <v>221.30337078651687</v>
          </cell>
        </row>
      </sheetData>
      <sheetData sheetId="6"/>
      <sheetData sheetId="7">
        <row r="10">
          <cell r="D10">
            <v>149024</v>
          </cell>
          <cell r="F10">
            <v>-36024</v>
          </cell>
          <cell r="H10"/>
        </row>
        <row r="11">
          <cell r="D11">
            <v>0</v>
          </cell>
          <cell r="F11"/>
          <cell r="H11"/>
        </row>
        <row r="12">
          <cell r="D12">
            <v>188512</v>
          </cell>
          <cell r="F12"/>
          <cell r="H12"/>
        </row>
        <row r="13">
          <cell r="D13">
            <v>113750</v>
          </cell>
          <cell r="F13">
            <v>-63476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129736</v>
          </cell>
          <cell r="F16"/>
          <cell r="H16">
            <v>-30510</v>
          </cell>
        </row>
        <row r="17">
          <cell r="D17">
            <v>0</v>
          </cell>
          <cell r="F17"/>
          <cell r="H17"/>
        </row>
        <row r="18">
          <cell r="D18">
            <v>19956</v>
          </cell>
          <cell r="F18"/>
          <cell r="H18"/>
        </row>
        <row r="19">
          <cell r="D19">
            <v>16973</v>
          </cell>
          <cell r="F19">
            <v>-1840</v>
          </cell>
          <cell r="H19"/>
        </row>
        <row r="20">
          <cell r="D20">
            <v>27418</v>
          </cell>
          <cell r="F20"/>
          <cell r="H20"/>
        </row>
        <row r="21">
          <cell r="D21">
            <v>178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10935</v>
          </cell>
          <cell r="F23"/>
          <cell r="H23"/>
        </row>
        <row r="24">
          <cell r="D24">
            <v>47926</v>
          </cell>
          <cell r="F24"/>
          <cell r="H24">
            <v>-9573</v>
          </cell>
        </row>
        <row r="25">
          <cell r="D25">
            <v>0</v>
          </cell>
          <cell r="F25"/>
          <cell r="H25"/>
        </row>
        <row r="26">
          <cell r="D26">
            <v>81738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25879</v>
          </cell>
          <cell r="F29">
            <v>-25879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10883</v>
          </cell>
          <cell r="F31"/>
          <cell r="H31">
            <v>-6376</v>
          </cell>
        </row>
        <row r="32">
          <cell r="D32">
            <v>10552</v>
          </cell>
          <cell r="F32"/>
          <cell r="H32">
            <v>-4749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5989</v>
          </cell>
          <cell r="F36"/>
          <cell r="H36"/>
        </row>
        <row r="37">
          <cell r="D37">
            <v>697</v>
          </cell>
          <cell r="F37">
            <v>278</v>
          </cell>
          <cell r="H37"/>
        </row>
        <row r="38">
          <cell r="D38">
            <v>0</v>
          </cell>
          <cell r="F38"/>
          <cell r="H38"/>
        </row>
        <row r="39">
          <cell r="D39">
            <v>1964</v>
          </cell>
          <cell r="F39"/>
          <cell r="H39"/>
        </row>
        <row r="40">
          <cell r="D40">
            <v>42517</v>
          </cell>
          <cell r="F40"/>
          <cell r="H40"/>
        </row>
        <row r="41">
          <cell r="D41">
            <v>12599</v>
          </cell>
          <cell r="F41"/>
          <cell r="H41"/>
        </row>
        <row r="42">
          <cell r="D42">
            <v>5285</v>
          </cell>
          <cell r="F42"/>
          <cell r="H42"/>
        </row>
        <row r="43">
          <cell r="D43">
            <v>15042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538</v>
          </cell>
          <cell r="F45">
            <v>-60</v>
          </cell>
          <cell r="H45"/>
        </row>
        <row r="57">
          <cell r="D57">
            <v>1549580</v>
          </cell>
          <cell r="F57"/>
          <cell r="H57"/>
        </row>
        <row r="58">
          <cell r="D58">
            <v>17984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48952</v>
          </cell>
          <cell r="F60"/>
          <cell r="H60"/>
        </row>
        <row r="61">
          <cell r="D61">
            <v>10066</v>
          </cell>
          <cell r="F61"/>
          <cell r="H61"/>
        </row>
        <row r="62">
          <cell r="D62">
            <v>6060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1726</v>
          </cell>
          <cell r="F65"/>
          <cell r="H65"/>
        </row>
        <row r="66">
          <cell r="D66">
            <v>2071</v>
          </cell>
          <cell r="F66"/>
          <cell r="H66"/>
        </row>
        <row r="67">
          <cell r="D67">
            <v>70354</v>
          </cell>
          <cell r="F67">
            <v>-1447</v>
          </cell>
          <cell r="H67"/>
        </row>
        <row r="68">
          <cell r="D68">
            <v>0</v>
          </cell>
          <cell r="F68"/>
          <cell r="H68"/>
        </row>
        <row r="69">
          <cell r="D69">
            <v>1375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33842</v>
          </cell>
          <cell r="F75"/>
          <cell r="H75"/>
        </row>
        <row r="76">
          <cell r="D76">
            <v>5956</v>
          </cell>
          <cell r="F76">
            <v>1573</v>
          </cell>
          <cell r="H76"/>
        </row>
        <row r="77">
          <cell r="D77">
            <v>3349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17402</v>
          </cell>
          <cell r="F79">
            <v>11292</v>
          </cell>
          <cell r="H79"/>
        </row>
        <row r="80">
          <cell r="D80">
            <v>20409</v>
          </cell>
          <cell r="F80"/>
          <cell r="H80"/>
        </row>
        <row r="81">
          <cell r="D81">
            <v>1015</v>
          </cell>
          <cell r="F81"/>
          <cell r="H81"/>
        </row>
        <row r="82">
          <cell r="D82">
            <v>52</v>
          </cell>
          <cell r="F82"/>
          <cell r="H82"/>
        </row>
        <row r="83">
          <cell r="D83">
            <v>921</v>
          </cell>
          <cell r="F83"/>
          <cell r="H83"/>
        </row>
        <row r="84">
          <cell r="D84">
            <v>83619</v>
          </cell>
          <cell r="F84"/>
          <cell r="H84"/>
        </row>
        <row r="85">
          <cell r="D85">
            <v>39</v>
          </cell>
          <cell r="F85"/>
          <cell r="H85"/>
        </row>
        <row r="89">
          <cell r="D89">
            <v>126273</v>
          </cell>
          <cell r="F89"/>
          <cell r="H89"/>
        </row>
        <row r="90">
          <cell r="D90">
            <v>16218</v>
          </cell>
          <cell r="F90">
            <v>5870</v>
          </cell>
          <cell r="H90"/>
        </row>
        <row r="91">
          <cell r="D91">
            <v>14980</v>
          </cell>
          <cell r="F91"/>
          <cell r="H91"/>
        </row>
        <row r="92">
          <cell r="D92">
            <v>66424</v>
          </cell>
          <cell r="F92"/>
          <cell r="H92"/>
        </row>
        <row r="93">
          <cell r="D93">
            <v>13019</v>
          </cell>
          <cell r="F93">
            <v>1457</v>
          </cell>
          <cell r="H93"/>
        </row>
        <row r="94">
          <cell r="D94">
            <v>293</v>
          </cell>
          <cell r="F94"/>
          <cell r="H94"/>
        </row>
        <row r="98">
          <cell r="D98">
            <v>2490</v>
          </cell>
          <cell r="F98"/>
          <cell r="H98"/>
        </row>
        <row r="99">
          <cell r="D99">
            <v>290</v>
          </cell>
          <cell r="F99">
            <v>116</v>
          </cell>
          <cell r="H99"/>
        </row>
        <row r="100">
          <cell r="D100">
            <v>1832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310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31179</v>
          </cell>
          <cell r="F115"/>
          <cell r="H115"/>
        </row>
        <row r="116">
          <cell r="D116">
            <v>3740</v>
          </cell>
          <cell r="F116">
            <v>1449</v>
          </cell>
          <cell r="H116"/>
        </row>
        <row r="117">
          <cell r="D117">
            <v>6175</v>
          </cell>
          <cell r="F117"/>
          <cell r="H117"/>
        </row>
        <row r="118">
          <cell r="D118">
            <v>983</v>
          </cell>
          <cell r="F118"/>
          <cell r="H118"/>
        </row>
        <row r="119">
          <cell r="D119">
            <v>36</v>
          </cell>
          <cell r="F119"/>
          <cell r="H119"/>
        </row>
        <row r="124">
          <cell r="D124"/>
          <cell r="F124"/>
          <cell r="H124"/>
        </row>
        <row r="125">
          <cell r="D125">
            <v>126003</v>
          </cell>
          <cell r="F125"/>
          <cell r="H125">
            <v>27911</v>
          </cell>
        </row>
        <row r="126">
          <cell r="D126">
            <v>62087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8638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5857</v>
          </cell>
          <cell r="H131">
            <v>2599</v>
          </cell>
        </row>
        <row r="132">
          <cell r="D132"/>
          <cell r="F132">
            <v>2886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402</v>
          </cell>
          <cell r="H134"/>
        </row>
        <row r="136">
          <cell r="D136">
            <v>364716</v>
          </cell>
          <cell r="F136"/>
          <cell r="H136"/>
        </row>
        <row r="137">
          <cell r="D137">
            <v>64871</v>
          </cell>
          <cell r="F137"/>
          <cell r="H137"/>
        </row>
        <row r="138">
          <cell r="D138">
            <v>218644</v>
          </cell>
          <cell r="F138"/>
          <cell r="H138"/>
        </row>
        <row r="139">
          <cell r="D139">
            <v>10733</v>
          </cell>
          <cell r="F139"/>
          <cell r="H139"/>
        </row>
        <row r="141">
          <cell r="D141"/>
          <cell r="F141">
            <v>16953</v>
          </cell>
          <cell r="H141"/>
        </row>
        <row r="142">
          <cell r="D142"/>
          <cell r="F142">
            <v>3015</v>
          </cell>
          <cell r="H142"/>
        </row>
        <row r="143">
          <cell r="D143"/>
          <cell r="F143">
            <v>10163</v>
          </cell>
          <cell r="H143"/>
        </row>
        <row r="144">
          <cell r="D144">
            <v>111281</v>
          </cell>
          <cell r="F144">
            <v>499</v>
          </cell>
          <cell r="H144"/>
        </row>
        <row r="146">
          <cell r="D146">
            <v>33000</v>
          </cell>
          <cell r="F146"/>
          <cell r="H146"/>
        </row>
        <row r="147">
          <cell r="D147">
            <v>2985</v>
          </cell>
          <cell r="F147"/>
          <cell r="H147"/>
        </row>
        <row r="148">
          <cell r="D148">
            <v>1917</v>
          </cell>
          <cell r="F148"/>
          <cell r="H148"/>
        </row>
        <row r="149">
          <cell r="D149">
            <v>3496</v>
          </cell>
          <cell r="F149"/>
          <cell r="H149"/>
        </row>
        <row r="150">
          <cell r="D150">
            <v>3089</v>
          </cell>
          <cell r="F150"/>
          <cell r="H150"/>
        </row>
        <row r="151">
          <cell r="D151">
            <v>58919</v>
          </cell>
          <cell r="F151">
            <v>5651</v>
          </cell>
          <cell r="H151"/>
        </row>
        <row r="152">
          <cell r="D152">
            <v>4985</v>
          </cell>
          <cell r="F152"/>
          <cell r="H152"/>
        </row>
        <row r="153">
          <cell r="D153">
            <v>287</v>
          </cell>
          <cell r="F153"/>
          <cell r="H153"/>
        </row>
        <row r="154">
          <cell r="D154">
            <v>33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5065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211100</v>
          </cell>
          <cell r="F177"/>
          <cell r="H177"/>
        </row>
        <row r="178">
          <cell r="D178">
            <v>27292</v>
          </cell>
          <cell r="F178">
            <v>9813</v>
          </cell>
          <cell r="H178"/>
        </row>
        <row r="179">
          <cell r="D179">
            <v>20426</v>
          </cell>
          <cell r="F179"/>
          <cell r="H179"/>
        </row>
        <row r="180">
          <cell r="D180">
            <v>4482</v>
          </cell>
          <cell r="F180">
            <v>949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106740</v>
          </cell>
          <cell r="F183"/>
          <cell r="H183"/>
        </row>
        <row r="184">
          <cell r="D184">
            <v>13864</v>
          </cell>
          <cell r="F184">
            <v>4962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1099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5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913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16423</v>
          </cell>
          <cell r="F198"/>
          <cell r="H198">
            <v>-190</v>
          </cell>
        </row>
        <row r="199">
          <cell r="D199">
            <v>285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98538</v>
          </cell>
          <cell r="F205"/>
          <cell r="H205"/>
        </row>
        <row r="206">
          <cell r="D206">
            <v>2517</v>
          </cell>
          <cell r="F206"/>
          <cell r="H206"/>
        </row>
        <row r="207">
          <cell r="D207">
            <v>2054</v>
          </cell>
          <cell r="F207"/>
          <cell r="H207"/>
        </row>
        <row r="211">
          <cell r="D211">
            <v>76926</v>
          </cell>
          <cell r="F211"/>
          <cell r="H211"/>
        </row>
        <row r="212">
          <cell r="D212">
            <v>20442</v>
          </cell>
          <cell r="F212">
            <v>3576</v>
          </cell>
          <cell r="H212"/>
        </row>
        <row r="213">
          <cell r="D213">
            <v>2368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11886</v>
          </cell>
          <cell r="F216"/>
          <cell r="H216">
            <v>-79</v>
          </cell>
        </row>
        <row r="221">
          <cell r="D221">
            <v>4775214</v>
          </cell>
        </row>
      </sheetData>
      <sheetData sheetId="8"/>
      <sheetData sheetId="9"/>
      <sheetData sheetId="10">
        <row r="9">
          <cell r="C9">
            <v>2649</v>
          </cell>
          <cell r="D9"/>
          <cell r="E9">
            <v>2694</v>
          </cell>
          <cell r="F9">
            <v>354</v>
          </cell>
          <cell r="G9"/>
          <cell r="H9">
            <v>679</v>
          </cell>
          <cell r="I9">
            <v>509</v>
          </cell>
          <cell r="J9">
            <v>171</v>
          </cell>
          <cell r="K9">
            <v>219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25245</v>
          </cell>
        </row>
        <row r="30">
          <cell r="N30">
            <v>0.28817587641117054</v>
          </cell>
        </row>
        <row r="32">
          <cell r="N32">
            <v>0.10493166963755199</v>
          </cell>
        </row>
        <row r="34">
          <cell r="N34">
            <v>0.36412371134020616</v>
          </cell>
        </row>
      </sheetData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6371806.7703232486</v>
          </cell>
          <cell r="G10">
            <v>0</v>
          </cell>
        </row>
        <row r="12">
          <cell r="E12">
            <v>1042335</v>
          </cell>
          <cell r="G12">
            <v>1235253.9276274336</v>
          </cell>
        </row>
        <row r="13">
          <cell r="E13">
            <v>90983</v>
          </cell>
          <cell r="G13"/>
        </row>
        <row r="14">
          <cell r="E14">
            <v>184480</v>
          </cell>
          <cell r="G14"/>
        </row>
        <row r="15">
          <cell r="E15">
            <v>7689604.7703232486</v>
          </cell>
          <cell r="G15">
            <v>1235253.9276274336</v>
          </cell>
        </row>
        <row r="20">
          <cell r="E20">
            <v>19857.229676751238</v>
          </cell>
          <cell r="G20">
            <v>0</v>
          </cell>
        </row>
        <row r="26">
          <cell r="E26">
            <v>1769886</v>
          </cell>
          <cell r="G26">
            <v>0</v>
          </cell>
        </row>
        <row r="32">
          <cell r="E32">
            <v>1091000.7575182021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419199</v>
          </cell>
          <cell r="G42">
            <v>0</v>
          </cell>
        </row>
        <row r="47">
          <cell r="E47">
            <v>290816.52631578944</v>
          </cell>
          <cell r="G47">
            <v>0</v>
          </cell>
        </row>
        <row r="52">
          <cell r="E52">
            <v>16156.473684210525</v>
          </cell>
          <cell r="G52">
            <v>0</v>
          </cell>
        </row>
        <row r="57">
          <cell r="E57">
            <v>509022.24248179793</v>
          </cell>
          <cell r="G57">
            <v>0</v>
          </cell>
        </row>
        <row r="72">
          <cell r="E72">
            <v>1866</v>
          </cell>
          <cell r="G72">
            <v>0</v>
          </cell>
        </row>
        <row r="90">
          <cell r="C90">
            <v>246.21028037383178</v>
          </cell>
          <cell r="E90">
            <v>257.70149253731341</v>
          </cell>
          <cell r="G90">
            <v>305.60599078341016</v>
          </cell>
          <cell r="I90">
            <v>296.27911646586347</v>
          </cell>
        </row>
      </sheetData>
      <sheetData sheetId="7"/>
      <sheetData sheetId="8">
        <row r="10">
          <cell r="D10">
            <v>204944</v>
          </cell>
          <cell r="F10">
            <v>-88506</v>
          </cell>
          <cell r="H10"/>
        </row>
        <row r="11">
          <cell r="D11">
            <v>0</v>
          </cell>
          <cell r="F11"/>
          <cell r="H11"/>
        </row>
        <row r="12">
          <cell r="D12">
            <v>238380</v>
          </cell>
          <cell r="F12"/>
          <cell r="H12"/>
        </row>
        <row r="13">
          <cell r="D13">
            <v>312138</v>
          </cell>
          <cell r="F13">
            <v>-227996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590482</v>
          </cell>
          <cell r="F16"/>
          <cell r="H16">
            <v>-102019</v>
          </cell>
        </row>
        <row r="17">
          <cell r="D17">
            <v>0</v>
          </cell>
          <cell r="F17"/>
          <cell r="H17"/>
        </row>
        <row r="18">
          <cell r="D18">
            <v>17913</v>
          </cell>
          <cell r="F18"/>
          <cell r="H18"/>
        </row>
        <row r="19">
          <cell r="D19">
            <v>29024</v>
          </cell>
          <cell r="F19">
            <v>-3296</v>
          </cell>
          <cell r="H19"/>
        </row>
        <row r="20">
          <cell r="D20">
            <v>14397</v>
          </cell>
          <cell r="F20">
            <v>1658</v>
          </cell>
          <cell r="H20"/>
        </row>
        <row r="21">
          <cell r="D21">
            <v>1145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12685</v>
          </cell>
          <cell r="F23"/>
          <cell r="H23"/>
        </row>
        <row r="24">
          <cell r="D24">
            <v>106732</v>
          </cell>
          <cell r="F24"/>
          <cell r="H24">
            <v>-27240</v>
          </cell>
        </row>
        <row r="25">
          <cell r="D25">
            <v>0</v>
          </cell>
          <cell r="F25"/>
          <cell r="H25"/>
        </row>
        <row r="26">
          <cell r="D26">
            <v>627575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81358</v>
          </cell>
          <cell r="F29">
            <v>-81358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168423</v>
          </cell>
          <cell r="F31"/>
          <cell r="H31">
            <v>-98679</v>
          </cell>
        </row>
        <row r="32">
          <cell r="D32">
            <v>211467</v>
          </cell>
          <cell r="F32"/>
          <cell r="H32">
            <v>-95160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-2560</v>
          </cell>
          <cell r="F35">
            <v>2560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15912</v>
          </cell>
          <cell r="F39"/>
          <cell r="H39"/>
        </row>
        <row r="40">
          <cell r="D40">
            <v>7052</v>
          </cell>
          <cell r="F40"/>
          <cell r="H40"/>
        </row>
        <row r="41">
          <cell r="D41">
            <v>43970</v>
          </cell>
          <cell r="F41"/>
          <cell r="H41"/>
        </row>
        <row r="42">
          <cell r="D42">
            <v>10782</v>
          </cell>
          <cell r="F42"/>
          <cell r="H42"/>
        </row>
        <row r="43">
          <cell r="D43">
            <v>9761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512</v>
          </cell>
          <cell r="F45">
            <v>-908</v>
          </cell>
          <cell r="H45"/>
        </row>
        <row r="57">
          <cell r="D57">
            <v>1188861</v>
          </cell>
          <cell r="F57">
            <v>-1188861</v>
          </cell>
          <cell r="H57"/>
        </row>
        <row r="58">
          <cell r="D58">
            <v>18330</v>
          </cell>
          <cell r="F58">
            <v>273425</v>
          </cell>
          <cell r="H58"/>
        </row>
        <row r="59">
          <cell r="D59">
            <v>0</v>
          </cell>
          <cell r="F59"/>
          <cell r="H59"/>
        </row>
        <row r="60">
          <cell r="D60">
            <v>62269</v>
          </cell>
          <cell r="F60"/>
          <cell r="H60"/>
        </row>
        <row r="61">
          <cell r="D61">
            <v>12111</v>
          </cell>
          <cell r="F61"/>
          <cell r="H61"/>
        </row>
        <row r="62">
          <cell r="D62">
            <v>18258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6831</v>
          </cell>
          <cell r="F65"/>
          <cell r="H65"/>
        </row>
        <row r="66">
          <cell r="D66">
            <v>12117</v>
          </cell>
          <cell r="F66"/>
          <cell r="H66"/>
        </row>
        <row r="67">
          <cell r="D67">
            <v>126120</v>
          </cell>
          <cell r="F67">
            <v>-11150</v>
          </cell>
          <cell r="H67"/>
        </row>
        <row r="68">
          <cell r="D68">
            <v>0</v>
          </cell>
          <cell r="F68"/>
          <cell r="H68"/>
        </row>
        <row r="69">
          <cell r="D69">
            <v>9454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88805</v>
          </cell>
          <cell r="F75"/>
          <cell r="H75"/>
        </row>
        <row r="76">
          <cell r="D76">
            <v>11763</v>
          </cell>
          <cell r="F76">
            <v>4936</v>
          </cell>
          <cell r="H76"/>
        </row>
        <row r="77">
          <cell r="D77">
            <v>20603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9880</v>
          </cell>
          <cell r="F79">
            <v>7904</v>
          </cell>
          <cell r="H79"/>
        </row>
        <row r="80">
          <cell r="D80">
            <v>49204</v>
          </cell>
          <cell r="F80"/>
          <cell r="H80"/>
        </row>
        <row r="81">
          <cell r="D81">
            <v>9468</v>
          </cell>
          <cell r="F81"/>
          <cell r="H81"/>
        </row>
        <row r="82">
          <cell r="D82">
            <v>3938</v>
          </cell>
          <cell r="F82"/>
          <cell r="H82"/>
        </row>
        <row r="83">
          <cell r="D83">
            <v>2013</v>
          </cell>
          <cell r="F83"/>
          <cell r="H83"/>
        </row>
        <row r="84">
          <cell r="D84">
            <v>177432</v>
          </cell>
          <cell r="F84"/>
          <cell r="H84"/>
        </row>
        <row r="85">
          <cell r="D85">
            <v>614</v>
          </cell>
          <cell r="F85"/>
          <cell r="H85"/>
        </row>
        <row r="89">
          <cell r="D89">
            <v>269853</v>
          </cell>
          <cell r="F89"/>
          <cell r="H89"/>
        </row>
        <row r="90">
          <cell r="D90">
            <v>35786</v>
          </cell>
          <cell r="F90">
            <v>14999</v>
          </cell>
          <cell r="H90"/>
        </row>
        <row r="91">
          <cell r="D91">
            <v>1698</v>
          </cell>
          <cell r="F91"/>
          <cell r="H91"/>
        </row>
        <row r="92">
          <cell r="D92">
            <v>210086</v>
          </cell>
          <cell r="F92"/>
          <cell r="H92"/>
        </row>
        <row r="93">
          <cell r="D93">
            <v>23624</v>
          </cell>
          <cell r="F93">
            <v>4497</v>
          </cell>
          <cell r="H93"/>
        </row>
        <row r="94">
          <cell r="D94">
            <v>329</v>
          </cell>
          <cell r="F94"/>
          <cell r="H94"/>
        </row>
        <row r="98">
          <cell r="D98">
            <v>38815</v>
          </cell>
          <cell r="F98"/>
          <cell r="H98"/>
        </row>
        <row r="99">
          <cell r="D99">
            <v>5083</v>
          </cell>
          <cell r="F99">
            <v>2157</v>
          </cell>
          <cell r="H99"/>
        </row>
        <row r="100">
          <cell r="D100">
            <v>11317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11049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140043</v>
          </cell>
          <cell r="F115"/>
          <cell r="H115"/>
        </row>
        <row r="116">
          <cell r="D116">
            <v>20142</v>
          </cell>
          <cell r="F116">
            <v>7784</v>
          </cell>
          <cell r="H116"/>
        </row>
        <row r="117">
          <cell r="D117">
            <v>35879</v>
          </cell>
          <cell r="F117"/>
          <cell r="H117"/>
        </row>
        <row r="118">
          <cell r="D118">
            <v>5980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194725</v>
          </cell>
          <cell r="F125"/>
          <cell r="H125">
            <v>92458</v>
          </cell>
        </row>
        <row r="126">
          <cell r="D126">
            <v>97807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43403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10823</v>
          </cell>
          <cell r="H131">
            <v>9561</v>
          </cell>
        </row>
        <row r="132">
          <cell r="D132"/>
          <cell r="F132">
            <v>5436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2412</v>
          </cell>
          <cell r="H134"/>
        </row>
        <row r="136">
          <cell r="D136">
            <v>635799</v>
          </cell>
          <cell r="F136"/>
          <cell r="H136"/>
        </row>
        <row r="137">
          <cell r="D137">
            <v>736689</v>
          </cell>
          <cell r="F137"/>
          <cell r="H137"/>
        </row>
        <row r="138">
          <cell r="D138">
            <v>948636</v>
          </cell>
          <cell r="F138"/>
          <cell r="H138"/>
        </row>
        <row r="139">
          <cell r="D139">
            <v>131073</v>
          </cell>
          <cell r="F139"/>
          <cell r="H139"/>
        </row>
        <row r="141">
          <cell r="D141"/>
          <cell r="F141">
            <v>35340</v>
          </cell>
          <cell r="H141"/>
        </row>
        <row r="142">
          <cell r="D142"/>
          <cell r="F142">
            <v>40947</v>
          </cell>
          <cell r="H142"/>
        </row>
        <row r="143">
          <cell r="D143"/>
          <cell r="F143">
            <v>52728</v>
          </cell>
          <cell r="H143"/>
        </row>
        <row r="144">
          <cell r="D144">
            <v>394815</v>
          </cell>
          <cell r="F144">
            <v>7285</v>
          </cell>
          <cell r="H144"/>
        </row>
        <row r="146">
          <cell r="D146">
            <v>52325</v>
          </cell>
          <cell r="F146"/>
          <cell r="H146"/>
        </row>
        <row r="147">
          <cell r="D147">
            <v>60522</v>
          </cell>
          <cell r="F147"/>
          <cell r="H147"/>
        </row>
        <row r="148">
          <cell r="D148">
            <v>31990</v>
          </cell>
          <cell r="F148"/>
          <cell r="H148"/>
        </row>
        <row r="149">
          <cell r="D149">
            <v>33210</v>
          </cell>
          <cell r="F149"/>
          <cell r="H149"/>
        </row>
        <row r="150">
          <cell r="D150">
            <v>24841</v>
          </cell>
          <cell r="F150"/>
          <cell r="H150"/>
        </row>
        <row r="151">
          <cell r="D151">
            <v>246817</v>
          </cell>
          <cell r="F151">
            <v>16420</v>
          </cell>
          <cell r="H151"/>
        </row>
        <row r="152">
          <cell r="D152">
            <v>7374</v>
          </cell>
          <cell r="F152"/>
          <cell r="H152"/>
        </row>
        <row r="153">
          <cell r="D153">
            <v>15647</v>
          </cell>
          <cell r="F153"/>
          <cell r="H153"/>
        </row>
        <row r="154">
          <cell r="D154">
            <v>38658</v>
          </cell>
          <cell r="F154">
            <v>2149</v>
          </cell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31498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400690</v>
          </cell>
          <cell r="F177"/>
          <cell r="H177"/>
        </row>
        <row r="178">
          <cell r="D178">
            <v>58412</v>
          </cell>
          <cell r="F178">
            <v>22272</v>
          </cell>
          <cell r="H178"/>
        </row>
        <row r="179">
          <cell r="D179">
            <v>33313</v>
          </cell>
          <cell r="F179"/>
          <cell r="H179"/>
        </row>
        <row r="180">
          <cell r="D180">
            <v>5328</v>
          </cell>
          <cell r="F180">
            <v>1852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217305</v>
          </cell>
          <cell r="F183"/>
          <cell r="H183"/>
        </row>
        <row r="184">
          <cell r="D184">
            <v>34208</v>
          </cell>
          <cell r="F184">
            <v>12078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2157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10240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56924</v>
          </cell>
          <cell r="F198"/>
          <cell r="H198">
            <v>-2851</v>
          </cell>
        </row>
        <row r="199">
          <cell r="D199">
            <v>287311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340419</v>
          </cell>
          <cell r="F205"/>
          <cell r="H205"/>
        </row>
        <row r="206">
          <cell r="D206">
            <v>38907</v>
          </cell>
          <cell r="F206"/>
          <cell r="H206"/>
        </row>
        <row r="207">
          <cell r="D207">
            <v>58101</v>
          </cell>
          <cell r="F207">
            <v>-14409</v>
          </cell>
          <cell r="H207"/>
        </row>
        <row r="211">
          <cell r="D211">
            <v>366554</v>
          </cell>
          <cell r="F211"/>
          <cell r="H211"/>
        </row>
        <row r="212">
          <cell r="D212">
            <v>48528</v>
          </cell>
          <cell r="F212">
            <v>20376</v>
          </cell>
          <cell r="H212"/>
        </row>
        <row r="213">
          <cell r="D213">
            <v>26643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32773</v>
          </cell>
          <cell r="F216"/>
          <cell r="H216">
            <v>-70</v>
          </cell>
        </row>
        <row r="221">
          <cell r="D221">
            <v>11083489</v>
          </cell>
        </row>
      </sheetData>
      <sheetData sheetId="9"/>
      <sheetData sheetId="10"/>
      <sheetData sheetId="11">
        <row r="9">
          <cell r="C9">
            <v>26954</v>
          </cell>
          <cell r="D9">
            <v>84</v>
          </cell>
          <cell r="E9">
            <v>3095</v>
          </cell>
          <cell r="F9">
            <v>2075</v>
          </cell>
          <cell r="G9"/>
          <cell r="H9">
            <v>1496</v>
          </cell>
          <cell r="I9">
            <v>1458</v>
          </cell>
          <cell r="J9">
            <v>81</v>
          </cell>
          <cell r="K9">
            <v>1084</v>
          </cell>
        </row>
        <row r="22">
          <cell r="N22">
            <v>220</v>
          </cell>
        </row>
        <row r="24">
          <cell r="N24">
            <v>220</v>
          </cell>
        </row>
        <row r="28">
          <cell r="N28">
            <v>80300</v>
          </cell>
        </row>
        <row r="30">
          <cell r="N30">
            <v>0.45239103362391031</v>
          </cell>
        </row>
        <row r="32">
          <cell r="N32">
            <v>0.33671232876712331</v>
          </cell>
        </row>
        <row r="34">
          <cell r="N34">
            <v>0.74429487708866693</v>
          </cell>
        </row>
      </sheetData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1850263.02</v>
          </cell>
          <cell r="G10">
            <v>0</v>
          </cell>
        </row>
        <row r="12">
          <cell r="E12">
            <v>859858.48</v>
          </cell>
          <cell r="G12">
            <v>674886.32</v>
          </cell>
        </row>
        <row r="13">
          <cell r="E13">
            <v>91578.15</v>
          </cell>
          <cell r="G13"/>
        </row>
        <row r="14">
          <cell r="E14">
            <v>50018.92</v>
          </cell>
          <cell r="G14"/>
        </row>
        <row r="15">
          <cell r="E15">
            <v>2851718.5700000003</v>
          </cell>
          <cell r="G15">
            <v>674886.32</v>
          </cell>
        </row>
        <row r="20">
          <cell r="E20">
            <v>0</v>
          </cell>
          <cell r="G20">
            <v>0</v>
          </cell>
        </row>
        <row r="26">
          <cell r="E26">
            <v>2363534.2199999997</v>
          </cell>
          <cell r="G26">
            <v>0</v>
          </cell>
        </row>
        <row r="32">
          <cell r="E32">
            <v>1179933.0499999998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594793.86</v>
          </cell>
          <cell r="G42">
            <v>0</v>
          </cell>
        </row>
        <row r="47">
          <cell r="E47">
            <v>141767.66999999998</v>
          </cell>
          <cell r="G47">
            <v>0</v>
          </cell>
        </row>
        <row r="52">
          <cell r="E52">
            <v>20785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0</v>
          </cell>
          <cell r="G72">
            <v>0</v>
          </cell>
        </row>
        <row r="90">
          <cell r="C90">
            <v>170.08194285714288</v>
          </cell>
          <cell r="E90">
            <v>167.44697936210133</v>
          </cell>
          <cell r="G90">
            <v>163.94751714677642</v>
          </cell>
          <cell r="I90">
            <v>168.32302616609783</v>
          </cell>
        </row>
      </sheetData>
      <sheetData sheetId="6"/>
      <sheetData sheetId="7">
        <row r="10">
          <cell r="D10">
            <v>121798.37</v>
          </cell>
          <cell r="F10">
            <v>7689</v>
          </cell>
          <cell r="H10"/>
        </row>
        <row r="11">
          <cell r="D11"/>
          <cell r="F11"/>
          <cell r="H11"/>
        </row>
        <row r="12">
          <cell r="D12">
            <v>179491.12</v>
          </cell>
          <cell r="F12">
            <v>-12070</v>
          </cell>
          <cell r="H12"/>
        </row>
        <row r="13">
          <cell r="D13">
            <v>78511.97</v>
          </cell>
          <cell r="F13"/>
          <cell r="H13"/>
        </row>
        <row r="14">
          <cell r="D14"/>
          <cell r="F14"/>
          <cell r="H14"/>
        </row>
        <row r="15">
          <cell r="D15">
            <v>558294.67000000004</v>
          </cell>
          <cell r="F15">
            <v>-558294.66999999993</v>
          </cell>
          <cell r="H15"/>
        </row>
        <row r="16">
          <cell r="D16"/>
          <cell r="F16">
            <v>257063</v>
          </cell>
          <cell r="H16"/>
        </row>
        <row r="17">
          <cell r="D17"/>
          <cell r="F17"/>
          <cell r="H17"/>
        </row>
        <row r="18">
          <cell r="D18">
            <v>35964.400000000001</v>
          </cell>
          <cell r="F18"/>
          <cell r="H18"/>
        </row>
        <row r="19">
          <cell r="D19">
            <v>30943.84</v>
          </cell>
          <cell r="F19">
            <v>2608</v>
          </cell>
          <cell r="H19"/>
        </row>
        <row r="20">
          <cell r="D20">
            <v>18469.25</v>
          </cell>
          <cell r="F20">
            <v>-5661</v>
          </cell>
          <cell r="H20"/>
        </row>
        <row r="21">
          <cell r="D21">
            <v>13739.12</v>
          </cell>
          <cell r="F21">
            <v>16860</v>
          </cell>
          <cell r="H21"/>
        </row>
        <row r="22">
          <cell r="D22"/>
          <cell r="F22"/>
          <cell r="H22"/>
        </row>
        <row r="23">
          <cell r="D23">
            <v>23852.560000000001</v>
          </cell>
          <cell r="F23">
            <v>29587</v>
          </cell>
          <cell r="H23"/>
        </row>
        <row r="24">
          <cell r="D24">
            <v>48529.7</v>
          </cell>
          <cell r="F24"/>
          <cell r="H24"/>
        </row>
        <row r="25">
          <cell r="D25"/>
          <cell r="F25"/>
          <cell r="H25"/>
        </row>
        <row r="26">
          <cell r="D26">
            <v>288370.09999999998</v>
          </cell>
          <cell r="F26"/>
          <cell r="H26"/>
        </row>
        <row r="27">
          <cell r="D27"/>
          <cell r="F27">
            <v>16019</v>
          </cell>
          <cell r="H27"/>
        </row>
        <row r="28">
          <cell r="D28"/>
          <cell r="F28">
            <v>0</v>
          </cell>
          <cell r="H28"/>
        </row>
        <row r="29">
          <cell r="D29">
            <v>48744.98</v>
          </cell>
          <cell r="F29">
            <v>-48744.98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125979.5</v>
          </cell>
          <cell r="F32">
            <v>5975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9168.25</v>
          </cell>
          <cell r="F35">
            <v>-9168.25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18345.95</v>
          </cell>
          <cell r="F39">
            <v>4059</v>
          </cell>
          <cell r="H39"/>
        </row>
        <row r="40">
          <cell r="D40">
            <v>9356.43</v>
          </cell>
          <cell r="F40">
            <v>-9356.43</v>
          </cell>
          <cell r="H40"/>
        </row>
        <row r="41">
          <cell r="D41">
            <v>31313.19</v>
          </cell>
          <cell r="F41">
            <v>52216</v>
          </cell>
          <cell r="H41"/>
        </row>
        <row r="42">
          <cell r="D42">
            <v>268.5</v>
          </cell>
          <cell r="F42">
            <v>2894</v>
          </cell>
          <cell r="H42"/>
        </row>
        <row r="43">
          <cell r="D43"/>
          <cell r="F43"/>
          <cell r="H43"/>
        </row>
        <row r="44">
          <cell r="D44">
            <v>-1100</v>
          </cell>
          <cell r="F44"/>
          <cell r="H44"/>
        </row>
        <row r="45">
          <cell r="D45">
            <v>3718.89</v>
          </cell>
          <cell r="F45">
            <v>446</v>
          </cell>
          <cell r="H45"/>
        </row>
        <row r="57">
          <cell r="D57">
            <v>995612.04</v>
          </cell>
          <cell r="F57"/>
          <cell r="H57">
            <v>-995612.04</v>
          </cell>
        </row>
        <row r="58">
          <cell r="D58">
            <v>133375.79999999999</v>
          </cell>
          <cell r="F58">
            <v>7604</v>
          </cell>
          <cell r="H58">
            <v>34698.480000000003</v>
          </cell>
        </row>
        <row r="59">
          <cell r="D59"/>
          <cell r="F59"/>
          <cell r="H59">
            <v>348763.67</v>
          </cell>
        </row>
        <row r="60">
          <cell r="D60">
            <v>30493.33</v>
          </cell>
          <cell r="F60">
            <v>3835.56</v>
          </cell>
          <cell r="H60"/>
        </row>
        <row r="61">
          <cell r="D61">
            <v>14834.77</v>
          </cell>
          <cell r="F61">
            <v>1707</v>
          </cell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56643.61</v>
          </cell>
          <cell r="F67">
            <v>24538</v>
          </cell>
          <cell r="H67"/>
        </row>
        <row r="68">
          <cell r="D68"/>
          <cell r="F68"/>
          <cell r="H68"/>
        </row>
        <row r="69">
          <cell r="D69">
            <v>6465.18</v>
          </cell>
          <cell r="F69">
            <v>-794.97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43831.3</v>
          </cell>
          <cell r="F75"/>
          <cell r="H75"/>
        </row>
        <row r="76">
          <cell r="D76">
            <v>18930.88</v>
          </cell>
          <cell r="F76"/>
          <cell r="H76"/>
        </row>
        <row r="77">
          <cell r="D77">
            <v>6769.23</v>
          </cell>
          <cell r="F77"/>
          <cell r="H77"/>
        </row>
        <row r="78">
          <cell r="D78">
            <v>31327.17</v>
          </cell>
          <cell r="F78">
            <v>1696</v>
          </cell>
          <cell r="H78"/>
        </row>
        <row r="79">
          <cell r="D79">
            <v>27812.57</v>
          </cell>
          <cell r="F79"/>
          <cell r="H79"/>
        </row>
        <row r="80">
          <cell r="D80">
            <v>32343.4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163146.78</v>
          </cell>
          <cell r="F84">
            <v>817</v>
          </cell>
          <cell r="H84"/>
        </row>
        <row r="85">
          <cell r="D85"/>
          <cell r="F85"/>
          <cell r="H85"/>
        </row>
        <row r="89">
          <cell r="D89">
            <v>239831.52</v>
          </cell>
          <cell r="F89"/>
          <cell r="H89"/>
        </row>
        <row r="90">
          <cell r="D90">
            <v>66510.740000000005</v>
          </cell>
          <cell r="F90"/>
          <cell r="H90"/>
        </row>
        <row r="91">
          <cell r="D91">
            <v>22256.880000000001</v>
          </cell>
          <cell r="F91"/>
          <cell r="H91"/>
        </row>
        <row r="92">
          <cell r="D92">
            <v>182809.29</v>
          </cell>
          <cell r="F92"/>
          <cell r="H92"/>
        </row>
        <row r="93">
          <cell r="D93">
            <v>12190.35</v>
          </cell>
          <cell r="F93"/>
          <cell r="H93"/>
        </row>
        <row r="94">
          <cell r="D94">
            <v>6906.01</v>
          </cell>
          <cell r="F94"/>
          <cell r="H94"/>
        </row>
        <row r="98">
          <cell r="D98">
            <v>27130.13</v>
          </cell>
          <cell r="F98"/>
          <cell r="H98"/>
        </row>
        <row r="99">
          <cell r="D99">
            <v>4870.8599999999997</v>
          </cell>
          <cell r="F99"/>
          <cell r="H99"/>
        </row>
        <row r="100">
          <cell r="D100">
            <v>4131.7299999999996</v>
          </cell>
          <cell r="F100"/>
          <cell r="H100"/>
        </row>
        <row r="101">
          <cell r="D101"/>
          <cell r="F101"/>
          <cell r="H101"/>
        </row>
        <row r="102">
          <cell r="D102">
            <v>5209</v>
          </cell>
          <cell r="F102"/>
          <cell r="H102"/>
        </row>
        <row r="103">
          <cell r="D103"/>
          <cell r="F103"/>
          <cell r="H103"/>
        </row>
        <row r="115">
          <cell r="D115">
            <v>70382.39</v>
          </cell>
          <cell r="F115"/>
          <cell r="H115"/>
        </row>
        <row r="116">
          <cell r="D116">
            <v>18270.66</v>
          </cell>
          <cell r="F116"/>
          <cell r="H116"/>
        </row>
        <row r="117">
          <cell r="D117">
            <v>12761.48</v>
          </cell>
          <cell r="F117"/>
          <cell r="H117"/>
        </row>
        <row r="118">
          <cell r="D118">
            <v>2152.1999999999998</v>
          </cell>
          <cell r="F118"/>
          <cell r="H118"/>
        </row>
        <row r="119">
          <cell r="D119">
            <v>830</v>
          </cell>
          <cell r="F119"/>
          <cell r="H119"/>
        </row>
        <row r="124">
          <cell r="D124">
            <v>148290.5</v>
          </cell>
          <cell r="F124"/>
          <cell r="H124"/>
        </row>
        <row r="125">
          <cell r="D125">
            <v>66078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41240.089999999997</v>
          </cell>
          <cell r="F128">
            <v>45469</v>
          </cell>
          <cell r="H128"/>
        </row>
        <row r="130">
          <cell r="D130">
            <v>31984.3</v>
          </cell>
          <cell r="F130"/>
          <cell r="H130"/>
        </row>
        <row r="131">
          <cell r="D131">
            <v>14252.15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13143.69</v>
          </cell>
          <cell r="F134"/>
          <cell r="H134"/>
        </row>
        <row r="136">
          <cell r="D136">
            <v>496101.48</v>
          </cell>
          <cell r="F136"/>
          <cell r="H136"/>
        </row>
        <row r="137">
          <cell r="D137">
            <v>276171.7</v>
          </cell>
          <cell r="F137"/>
          <cell r="H137"/>
        </row>
        <row r="138">
          <cell r="D138">
            <v>636958.55000000005</v>
          </cell>
          <cell r="F138"/>
          <cell r="H138"/>
        </row>
        <row r="139">
          <cell r="D139">
            <v>54591.27</v>
          </cell>
          <cell r="F139"/>
          <cell r="H139"/>
        </row>
        <row r="141">
          <cell r="D141">
            <v>107002.54</v>
          </cell>
          <cell r="F141"/>
          <cell r="H141"/>
        </row>
        <row r="142">
          <cell r="D142">
            <v>59566.59</v>
          </cell>
          <cell r="F142"/>
          <cell r="H142"/>
        </row>
        <row r="143">
          <cell r="D143">
            <v>137383.54999999999</v>
          </cell>
          <cell r="F143"/>
          <cell r="H143"/>
        </row>
        <row r="144">
          <cell r="D144">
            <v>11774.62</v>
          </cell>
          <cell r="F144"/>
          <cell r="H144"/>
        </row>
        <row r="146">
          <cell r="D146">
            <v>20982.880000000001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8398</v>
          </cell>
          <cell r="F150"/>
          <cell r="H150"/>
        </row>
        <row r="151">
          <cell r="D151">
            <v>79965.16</v>
          </cell>
          <cell r="F151"/>
          <cell r="H151"/>
        </row>
        <row r="152">
          <cell r="D152">
            <v>13417.76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13834.53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366159.83</v>
          </cell>
          <cell r="F177">
            <v>14076</v>
          </cell>
          <cell r="H177"/>
        </row>
        <row r="178">
          <cell r="D178">
            <v>87297.09</v>
          </cell>
          <cell r="F178"/>
          <cell r="H178"/>
        </row>
        <row r="179">
          <cell r="D179">
            <v>72309.87</v>
          </cell>
          <cell r="F179"/>
          <cell r="H179"/>
        </row>
        <row r="180">
          <cell r="D180">
            <v>22896.75</v>
          </cell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246592.9</v>
          </cell>
          <cell r="F183"/>
          <cell r="H183"/>
        </row>
        <row r="184">
          <cell r="D184">
            <v>77769.17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>
            <v>1394.67</v>
          </cell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78532.88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7684.31</v>
          </cell>
          <cell r="F203"/>
          <cell r="H203"/>
        </row>
        <row r="204">
          <cell r="D204"/>
          <cell r="F204"/>
          <cell r="H204"/>
        </row>
        <row r="205">
          <cell r="D205">
            <v>241026.94</v>
          </cell>
          <cell r="F205"/>
          <cell r="H205"/>
        </row>
        <row r="206">
          <cell r="D206">
            <v>6367.02</v>
          </cell>
          <cell r="F206"/>
          <cell r="H206"/>
        </row>
        <row r="207">
          <cell r="D207">
            <v>10641.25</v>
          </cell>
          <cell r="F207"/>
          <cell r="H207"/>
        </row>
        <row r="211">
          <cell r="D211">
            <v>98848.83</v>
          </cell>
          <cell r="F211"/>
          <cell r="H211"/>
        </row>
        <row r="212">
          <cell r="D212">
            <v>19154.03</v>
          </cell>
          <cell r="F212"/>
          <cell r="H212"/>
        </row>
        <row r="213">
          <cell r="D213">
            <v>9702.68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5434.63</v>
          </cell>
          <cell r="F216"/>
          <cell r="H216"/>
        </row>
        <row r="221">
          <cell r="D221">
            <v>7464540.29</v>
          </cell>
        </row>
      </sheetData>
      <sheetData sheetId="8"/>
      <sheetData sheetId="9"/>
      <sheetData sheetId="10">
        <row r="9">
          <cell r="C9">
            <v>9428</v>
          </cell>
          <cell r="D9">
            <v>0</v>
          </cell>
          <cell r="E9">
            <v>4301</v>
          </cell>
          <cell r="F9">
            <v>2875</v>
          </cell>
          <cell r="G9"/>
          <cell r="H9">
            <v>3549</v>
          </cell>
          <cell r="I9">
            <v>681</v>
          </cell>
          <cell r="J9">
            <v>87</v>
          </cell>
          <cell r="K9"/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45260</v>
          </cell>
        </row>
        <row r="30">
          <cell r="N30">
            <v>0.46224038886433938</v>
          </cell>
        </row>
        <row r="32">
          <cell r="N32">
            <v>0.20830755634114009</v>
          </cell>
        </row>
        <row r="34">
          <cell r="N34">
            <v>0.45064767458534488</v>
          </cell>
        </row>
      </sheetData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Detail"/>
      <sheetName val="Sch B-1"/>
      <sheetName val="Sch C"/>
      <sheetName val="Sch C Detail"/>
      <sheetName val="Sch C-1"/>
      <sheetName val="Sch C-1 (2)"/>
      <sheetName val="Sch C-1 (3)"/>
      <sheetName val="Sch C-2"/>
      <sheetName val="Sch D"/>
      <sheetName val="Summary"/>
      <sheetName val="UPL Summary"/>
      <sheetName val="WTB Coded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4012602.16</v>
          </cell>
          <cell r="G10">
            <v>0</v>
          </cell>
        </row>
        <row r="12">
          <cell r="E12">
            <v>326631.92</v>
          </cell>
          <cell r="G12"/>
        </row>
        <row r="13">
          <cell r="E13"/>
          <cell r="G13"/>
        </row>
        <row r="14">
          <cell r="E14">
            <v>118237.43</v>
          </cell>
          <cell r="G14"/>
        </row>
        <row r="15">
          <cell r="E15">
            <v>4457471.51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2377030.23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1554507.8599999999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20234.12</v>
          </cell>
          <cell r="G72">
            <v>-20234.12</v>
          </cell>
        </row>
        <row r="90">
          <cell r="C90">
            <v>215.92345854004253</v>
          </cell>
          <cell r="E90">
            <v>253.02336145360155</v>
          </cell>
          <cell r="G90">
            <v>249.57649938800489</v>
          </cell>
          <cell r="I90">
            <v>281.34598630989422</v>
          </cell>
        </row>
      </sheetData>
      <sheetData sheetId="6"/>
      <sheetData sheetId="7"/>
      <sheetData sheetId="8">
        <row r="10">
          <cell r="D10">
            <v>105450.53</v>
          </cell>
          <cell r="F10">
            <v>-171.85582975388218</v>
          </cell>
          <cell r="H10">
            <v>25272.269152673111</v>
          </cell>
        </row>
        <row r="11">
          <cell r="D11"/>
          <cell r="F11"/>
          <cell r="H11"/>
        </row>
        <row r="12">
          <cell r="D12">
            <v>97294.390000000014</v>
          </cell>
          <cell r="F12">
            <v>5656.2444384671817</v>
          </cell>
          <cell r="H12">
            <v>195104.31974413357</v>
          </cell>
        </row>
        <row r="13">
          <cell r="D13">
            <v>642667.93999999994</v>
          </cell>
          <cell r="F13">
            <v>-605284.8121290463</v>
          </cell>
          <cell r="H13">
            <v>41140.380625723163</v>
          </cell>
        </row>
        <row r="14">
          <cell r="D14"/>
          <cell r="F14"/>
          <cell r="H14"/>
        </row>
        <row r="15">
          <cell r="D15">
            <v>751641</v>
          </cell>
          <cell r="F15"/>
          <cell r="H15">
            <v>-751641</v>
          </cell>
        </row>
        <row r="16">
          <cell r="D16"/>
          <cell r="F16"/>
          <cell r="H16"/>
        </row>
        <row r="17">
          <cell r="D17">
            <v>21857.09</v>
          </cell>
          <cell r="F17">
            <v>-21857.09</v>
          </cell>
          <cell r="H17"/>
        </row>
        <row r="18">
          <cell r="D18">
            <v>41915.75</v>
          </cell>
          <cell r="F18"/>
          <cell r="H18"/>
        </row>
        <row r="19">
          <cell r="D19">
            <v>26228.829999999998</v>
          </cell>
          <cell r="F19"/>
          <cell r="H19">
            <v>979.1830659425865</v>
          </cell>
        </row>
        <row r="20">
          <cell r="D20">
            <v>105538.78</v>
          </cell>
          <cell r="F20"/>
          <cell r="H20">
            <v>1.1603848536364914</v>
          </cell>
        </row>
        <row r="21">
          <cell r="D21">
            <v>80553.739999999991</v>
          </cell>
          <cell r="F21"/>
          <cell r="H21"/>
        </row>
        <row r="22">
          <cell r="D22"/>
          <cell r="F22"/>
          <cell r="H22"/>
        </row>
        <row r="23">
          <cell r="D23">
            <v>25685.81</v>
          </cell>
          <cell r="F23"/>
          <cell r="H23">
            <v>1290.2818085026113</v>
          </cell>
        </row>
        <row r="24">
          <cell r="D24">
            <v>17550.419999999998</v>
          </cell>
          <cell r="F24"/>
          <cell r="H24"/>
        </row>
        <row r="25">
          <cell r="D25"/>
          <cell r="F25"/>
          <cell r="H25"/>
        </row>
        <row r="26">
          <cell r="D26">
            <v>476261.6</v>
          </cell>
          <cell r="F26"/>
          <cell r="H26"/>
        </row>
        <row r="27">
          <cell r="D27">
            <v>31136</v>
          </cell>
          <cell r="F27"/>
          <cell r="H27">
            <v>6324.678870721048</v>
          </cell>
        </row>
        <row r="28">
          <cell r="D28"/>
          <cell r="F28">
            <v>0</v>
          </cell>
          <cell r="H28"/>
        </row>
        <row r="29">
          <cell r="D29">
            <v>107857</v>
          </cell>
          <cell r="F29">
            <v>-107857</v>
          </cell>
          <cell r="H29"/>
        </row>
        <row r="30">
          <cell r="D30">
            <v>5450</v>
          </cell>
          <cell r="F30">
            <v>-5450</v>
          </cell>
          <cell r="H30"/>
        </row>
        <row r="31">
          <cell r="D31">
            <v>84430</v>
          </cell>
          <cell r="F31"/>
          <cell r="H31"/>
        </row>
        <row r="32">
          <cell r="D32">
            <v>84541.13</v>
          </cell>
          <cell r="F32"/>
          <cell r="H32">
            <v>1443.6103134362734</v>
          </cell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3350.01</v>
          </cell>
          <cell r="F35">
            <v>-3350.01</v>
          </cell>
          <cell r="H35"/>
        </row>
        <row r="36">
          <cell r="D36">
            <v>36159.619999999995</v>
          </cell>
          <cell r="F36">
            <v>-58.930396069939846</v>
          </cell>
          <cell r="H36"/>
        </row>
        <row r="37">
          <cell r="D37"/>
          <cell r="F37">
            <v>6481.1186799389352</v>
          </cell>
          <cell r="H37"/>
        </row>
        <row r="38">
          <cell r="D38"/>
          <cell r="F38"/>
          <cell r="H38"/>
        </row>
        <row r="39">
          <cell r="D39"/>
          <cell r="F39"/>
          <cell r="H39"/>
        </row>
        <row r="40">
          <cell r="D40"/>
          <cell r="F40"/>
          <cell r="H40"/>
        </row>
        <row r="41">
          <cell r="D41">
            <v>48462.439999999995</v>
          </cell>
          <cell r="F41"/>
          <cell r="H41">
            <v>22911.942747241523</v>
          </cell>
        </row>
        <row r="42">
          <cell r="D42">
            <v>14675.89</v>
          </cell>
          <cell r="F42"/>
          <cell r="H42"/>
        </row>
        <row r="43">
          <cell r="D43">
            <v>19753.5</v>
          </cell>
          <cell r="F43">
            <v>-19753.5</v>
          </cell>
          <cell r="H43"/>
        </row>
        <row r="44">
          <cell r="D44"/>
          <cell r="F44"/>
          <cell r="H44"/>
        </row>
        <row r="45">
          <cell r="D45">
            <v>63281.780000000006</v>
          </cell>
          <cell r="F45">
            <v>-54634.94</v>
          </cell>
          <cell r="H45"/>
        </row>
        <row r="57">
          <cell r="D57">
            <v>335356.03000000003</v>
          </cell>
          <cell r="F57"/>
          <cell r="H57">
            <v>-335356</v>
          </cell>
        </row>
        <row r="58">
          <cell r="D58">
            <v>76448</v>
          </cell>
          <cell r="F58"/>
          <cell r="H58">
            <v>261923</v>
          </cell>
        </row>
        <row r="59">
          <cell r="D59"/>
          <cell r="F59"/>
          <cell r="H59">
            <v>1012283</v>
          </cell>
        </row>
        <row r="60">
          <cell r="D60"/>
          <cell r="F60"/>
          <cell r="H60">
            <v>47166.87310885061</v>
          </cell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7116.3900000000012</v>
          </cell>
          <cell r="F66"/>
          <cell r="H66">
            <v>3663.2851786956853</v>
          </cell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>
            <v>4680</v>
          </cell>
          <cell r="F71"/>
          <cell r="H71">
            <v>104.37553843445309</v>
          </cell>
        </row>
        <row r="75">
          <cell r="D75">
            <v>47743.29</v>
          </cell>
          <cell r="F75">
            <v>-77.808643713125264</v>
          </cell>
          <cell r="H75"/>
        </row>
        <row r="76">
          <cell r="D76"/>
          <cell r="F76">
            <v>8557.3335300742019</v>
          </cell>
          <cell r="H76"/>
        </row>
        <row r="77">
          <cell r="D77">
            <v>12308.93</v>
          </cell>
          <cell r="F77"/>
          <cell r="H77"/>
        </row>
        <row r="78">
          <cell r="D78"/>
          <cell r="F78"/>
          <cell r="H78"/>
        </row>
        <row r="79">
          <cell r="D79"/>
          <cell r="F79"/>
          <cell r="H79"/>
        </row>
        <row r="80">
          <cell r="D80">
            <v>13457.45</v>
          </cell>
          <cell r="F80"/>
          <cell r="H80"/>
        </row>
        <row r="81">
          <cell r="D81">
            <v>68182.51999999999</v>
          </cell>
          <cell r="F81"/>
          <cell r="H81">
            <v>4980.6223865205156</v>
          </cell>
        </row>
        <row r="82">
          <cell r="D82">
            <v>8108.9500000000007</v>
          </cell>
          <cell r="F82"/>
          <cell r="H82"/>
        </row>
        <row r="83">
          <cell r="D83">
            <v>7491.02</v>
          </cell>
          <cell r="F83"/>
          <cell r="H83"/>
        </row>
        <row r="84">
          <cell r="D84">
            <v>125824.45</v>
          </cell>
          <cell r="F84"/>
          <cell r="H84">
            <v>1408.9529486291942</v>
          </cell>
        </row>
        <row r="85">
          <cell r="D85"/>
          <cell r="F85"/>
          <cell r="H85"/>
        </row>
        <row r="89">
          <cell r="D89">
            <v>330794.2</v>
          </cell>
          <cell r="F89">
            <v>-539.1050354964708</v>
          </cell>
          <cell r="H89"/>
        </row>
        <row r="90">
          <cell r="D90"/>
          <cell r="F90">
            <v>59290.348428314668</v>
          </cell>
          <cell r="H90"/>
        </row>
        <row r="91">
          <cell r="D91">
            <v>32834.910000000003</v>
          </cell>
          <cell r="F91"/>
          <cell r="H91"/>
        </row>
        <row r="92">
          <cell r="D92">
            <v>228037.09999999998</v>
          </cell>
          <cell r="F92"/>
          <cell r="H92">
            <v>54</v>
          </cell>
        </row>
        <row r="93">
          <cell r="D93">
            <v>20339.060000000001</v>
          </cell>
          <cell r="F93"/>
          <cell r="H93"/>
        </row>
        <row r="94">
          <cell r="D94"/>
          <cell r="F94"/>
          <cell r="H94"/>
        </row>
        <row r="98">
          <cell r="D98">
            <v>59634.420000000006</v>
          </cell>
          <cell r="F98">
            <v>-97.187967959871884</v>
          </cell>
          <cell r="H98"/>
        </row>
        <row r="99">
          <cell r="D99"/>
          <cell r="F99">
            <v>10688.656391558428</v>
          </cell>
          <cell r="H99"/>
        </row>
        <row r="100">
          <cell r="D100">
            <v>4031.8999999999996</v>
          </cell>
          <cell r="F100"/>
          <cell r="H100"/>
        </row>
        <row r="101">
          <cell r="D101"/>
          <cell r="F101"/>
          <cell r="H101"/>
        </row>
        <row r="102">
          <cell r="D102">
            <v>9149.68</v>
          </cell>
          <cell r="F102"/>
          <cell r="H102">
            <v>6.2912400130783617</v>
          </cell>
        </row>
        <row r="103">
          <cell r="D103"/>
          <cell r="F103"/>
          <cell r="H103"/>
        </row>
        <row r="115">
          <cell r="D115">
            <v>126194.54</v>
          </cell>
          <cell r="F115">
            <v>-205.66295287571788</v>
          </cell>
          <cell r="H115"/>
        </row>
        <row r="116">
          <cell r="D116"/>
          <cell r="F116">
            <v>22618.650043897058</v>
          </cell>
          <cell r="H116"/>
        </row>
        <row r="117">
          <cell r="D117">
            <v>35448.340000000004</v>
          </cell>
          <cell r="F117"/>
          <cell r="H117">
            <v>239.37667021570914</v>
          </cell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188702.27999999997</v>
          </cell>
          <cell r="F125">
            <v>-307.53365493610511</v>
          </cell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65558.100000000006</v>
          </cell>
          <cell r="F128">
            <v>-106.84196345516693</v>
          </cell>
          <cell r="H128"/>
        </row>
        <row r="130">
          <cell r="D130"/>
          <cell r="F130"/>
          <cell r="H130"/>
        </row>
        <row r="131">
          <cell r="D131"/>
          <cell r="F131">
            <v>33822.309854336607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11750.395234554586</v>
          </cell>
          <cell r="H134"/>
        </row>
        <row r="136">
          <cell r="D136">
            <v>878028.66999999993</v>
          </cell>
          <cell r="F136">
            <v>-1430.9491439307853</v>
          </cell>
          <cell r="H136"/>
        </row>
        <row r="137">
          <cell r="D137">
            <v>542606.83000000007</v>
          </cell>
          <cell r="F137">
            <v>-884.30230744002608</v>
          </cell>
          <cell r="H137"/>
        </row>
        <row r="138">
          <cell r="D138">
            <v>899465.78</v>
          </cell>
          <cell r="F138">
            <v>646.66566006939865</v>
          </cell>
          <cell r="H138"/>
        </row>
        <row r="139">
          <cell r="D139"/>
          <cell r="F139"/>
          <cell r="H139"/>
        </row>
        <row r="141">
          <cell r="D141"/>
          <cell r="F141">
            <v>157374.663081607</v>
          </cell>
          <cell r="H141"/>
        </row>
        <row r="142">
          <cell r="D142"/>
          <cell r="F142">
            <v>97254.873302746288</v>
          </cell>
          <cell r="H142"/>
        </row>
        <row r="143">
          <cell r="D143"/>
          <cell r="F143">
            <v>161596.23679260444</v>
          </cell>
          <cell r="H143"/>
        </row>
        <row r="144">
          <cell r="D144"/>
          <cell r="F144"/>
          <cell r="H144"/>
        </row>
        <row r="146">
          <cell r="D146">
            <v>76250</v>
          </cell>
          <cell r="F146"/>
          <cell r="H146">
            <v>734.40028168777928</v>
          </cell>
        </row>
        <row r="147">
          <cell r="D147"/>
          <cell r="F147"/>
          <cell r="H147"/>
        </row>
        <row r="148">
          <cell r="D148">
            <v>583.5</v>
          </cell>
          <cell r="F148"/>
          <cell r="H148"/>
        </row>
        <row r="149">
          <cell r="D149"/>
          <cell r="F149"/>
          <cell r="H149"/>
        </row>
        <row r="150">
          <cell r="D150"/>
          <cell r="F150"/>
          <cell r="H150"/>
        </row>
        <row r="151">
          <cell r="D151">
            <v>342145.74</v>
          </cell>
          <cell r="F151"/>
          <cell r="H151">
            <v>45.439548628867968</v>
          </cell>
        </row>
        <row r="152">
          <cell r="D152"/>
          <cell r="F152"/>
          <cell r="H152"/>
        </row>
        <row r="153">
          <cell r="D153">
            <v>24383.72</v>
          </cell>
          <cell r="F153"/>
          <cell r="H153"/>
        </row>
        <row r="154">
          <cell r="D154">
            <v>297234.99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959.39</v>
          </cell>
          <cell r="F161">
            <v>-959.39</v>
          </cell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166211.96999999997</v>
          </cell>
          <cell r="F177">
            <v>-20004.495968991519</v>
          </cell>
          <cell r="H177"/>
        </row>
        <row r="178">
          <cell r="D178">
            <v>25564.59</v>
          </cell>
          <cell r="F178">
            <v>-12373.219696095939</v>
          </cell>
          <cell r="H178"/>
        </row>
        <row r="179">
          <cell r="D179">
            <v>30505.19</v>
          </cell>
          <cell r="F179">
            <v>5209.7270888986377</v>
          </cell>
          <cell r="H179"/>
        </row>
        <row r="180">
          <cell r="D180"/>
          <cell r="F180">
            <v>3222.3477015733415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86629.680000000008</v>
          </cell>
          <cell r="F183">
            <v>14794.768880092881</v>
          </cell>
          <cell r="H183"/>
        </row>
        <row r="184">
          <cell r="D184"/>
          <cell r="F184">
            <v>9150.8719945225985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126527.78</v>
          </cell>
          <cell r="F188"/>
          <cell r="H188"/>
        </row>
        <row r="189">
          <cell r="D189">
            <v>27955.200000000001</v>
          </cell>
          <cell r="F189"/>
          <cell r="H189"/>
        </row>
        <row r="190">
          <cell r="D190"/>
          <cell r="F190"/>
          <cell r="H190"/>
        </row>
        <row r="191">
          <cell r="D191">
            <v>101509.42</v>
          </cell>
          <cell r="F191"/>
          <cell r="H191"/>
        </row>
        <row r="192">
          <cell r="D192">
            <v>37955.93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>
            <v>1868.5</v>
          </cell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250808.52</v>
          </cell>
          <cell r="F205"/>
          <cell r="H205"/>
        </row>
        <row r="206">
          <cell r="D206">
            <v>6668.5</v>
          </cell>
          <cell r="F206"/>
          <cell r="H206"/>
        </row>
        <row r="207">
          <cell r="D207"/>
          <cell r="F207"/>
          <cell r="H207"/>
        </row>
        <row r="211">
          <cell r="D211">
            <v>188210.50999999998</v>
          </cell>
          <cell r="F211">
            <v>-306.73220290548886</v>
          </cell>
          <cell r="H211"/>
        </row>
        <row r="212">
          <cell r="D212"/>
          <cell r="F212">
            <v>33734.166789414085</v>
          </cell>
          <cell r="H212"/>
        </row>
        <row r="213">
          <cell r="D213">
            <v>5455.34</v>
          </cell>
          <cell r="F213"/>
          <cell r="H213">
            <v>87.820320084506335</v>
          </cell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11845.35</v>
          </cell>
          <cell r="F216"/>
          <cell r="H216">
            <v>5559.5841852432486</v>
          </cell>
        </row>
        <row r="221">
          <cell r="D221">
            <v>8828559.9100000001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C9">
            <v>14701</v>
          </cell>
          <cell r="D9"/>
          <cell r="E9">
            <v>4815</v>
          </cell>
          <cell r="F9"/>
          <cell r="G9"/>
          <cell r="H9">
            <v>5373</v>
          </cell>
          <cell r="I9">
            <v>2750</v>
          </cell>
          <cell r="J9"/>
          <cell r="K9"/>
        </row>
        <row r="22">
          <cell r="N22">
            <v>180</v>
          </cell>
        </row>
        <row r="24">
          <cell r="N24">
            <v>156</v>
          </cell>
        </row>
        <row r="28">
          <cell r="N28">
            <v>65700</v>
          </cell>
        </row>
        <row r="30">
          <cell r="N30">
            <v>0.42068493150684932</v>
          </cell>
        </row>
        <row r="32">
          <cell r="N32">
            <v>0.22375951293759513</v>
          </cell>
        </row>
        <row r="34">
          <cell r="N34">
            <v>0.53189333912225478</v>
          </cell>
        </row>
      </sheetData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 1012"/>
      <sheetName val="Supp 10-490"/>
      <sheetName val="Supp 70-490"/>
      <sheetName val="Supp 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1735622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38858</v>
          </cell>
          <cell r="G13"/>
        </row>
        <row r="14">
          <cell r="E14">
            <v>0</v>
          </cell>
          <cell r="G14"/>
        </row>
        <row r="15">
          <cell r="E15">
            <v>1774480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865444</v>
          </cell>
          <cell r="G26">
            <v>0</v>
          </cell>
        </row>
        <row r="32">
          <cell r="E32">
            <v>89795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712532</v>
          </cell>
          <cell r="G42">
            <v>0</v>
          </cell>
        </row>
        <row r="47">
          <cell r="E47">
            <v>257417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7705</v>
          </cell>
          <cell r="G57">
            <v>0</v>
          </cell>
        </row>
        <row r="72">
          <cell r="E72">
            <v>71189</v>
          </cell>
          <cell r="G72">
            <v>-8805</v>
          </cell>
        </row>
        <row r="90">
          <cell r="C90">
            <v>149.44057971014493</v>
          </cell>
          <cell r="E90">
            <v>149.44004400440045</v>
          </cell>
          <cell r="G90">
            <v>149.44084136722174</v>
          </cell>
          <cell r="I90">
            <v>149.44008056394765</v>
          </cell>
        </row>
      </sheetData>
      <sheetData sheetId="6"/>
      <sheetData sheetId="7">
        <row r="10">
          <cell r="D10">
            <v>0</v>
          </cell>
          <cell r="F10">
            <v>105359</v>
          </cell>
          <cell r="H10"/>
        </row>
        <row r="11">
          <cell r="D11">
            <v>0</v>
          </cell>
          <cell r="F11"/>
          <cell r="H11"/>
        </row>
        <row r="12">
          <cell r="D12">
            <v>195433</v>
          </cell>
          <cell r="F12">
            <v>-105359</v>
          </cell>
          <cell r="H12"/>
        </row>
        <row r="13">
          <cell r="D13">
            <v>47013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188756</v>
          </cell>
          <cell r="F16"/>
          <cell r="H16">
            <v>6018</v>
          </cell>
        </row>
        <row r="17">
          <cell r="D17">
            <v>133</v>
          </cell>
          <cell r="F17">
            <v>-133</v>
          </cell>
          <cell r="H17"/>
        </row>
        <row r="18">
          <cell r="D18">
            <v>25216</v>
          </cell>
          <cell r="F18"/>
          <cell r="H18"/>
        </row>
        <row r="19">
          <cell r="D19">
            <v>10284</v>
          </cell>
          <cell r="F19"/>
          <cell r="H19"/>
        </row>
        <row r="20">
          <cell r="D20">
            <v>3377</v>
          </cell>
          <cell r="F20"/>
          <cell r="H20"/>
        </row>
        <row r="21">
          <cell r="D21">
            <v>17119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6054</v>
          </cell>
          <cell r="F23"/>
          <cell r="H23"/>
        </row>
        <row r="24">
          <cell r="D24">
            <v>0</v>
          </cell>
          <cell r="F24"/>
          <cell r="H24"/>
        </row>
        <row r="25">
          <cell r="D25">
            <v>10645</v>
          </cell>
          <cell r="F25"/>
          <cell r="H25"/>
        </row>
        <row r="26">
          <cell r="D26">
            <v>297874</v>
          </cell>
          <cell r="F26"/>
          <cell r="H26"/>
        </row>
        <row r="27">
          <cell r="D27">
            <v>17483</v>
          </cell>
          <cell r="F27">
            <v>-479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26809</v>
          </cell>
          <cell r="F29">
            <v>-26809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48443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222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19932</v>
          </cell>
          <cell r="F36"/>
          <cell r="H36"/>
        </row>
        <row r="37">
          <cell r="D37">
            <v>2678</v>
          </cell>
          <cell r="F37"/>
          <cell r="H37"/>
        </row>
        <row r="38">
          <cell r="D38">
            <v>50</v>
          </cell>
          <cell r="F38">
            <v>-50</v>
          </cell>
          <cell r="H38"/>
        </row>
        <row r="39">
          <cell r="D39">
            <v>3850</v>
          </cell>
          <cell r="F39"/>
          <cell r="H39"/>
        </row>
        <row r="40">
          <cell r="D40">
            <v>5675</v>
          </cell>
          <cell r="F40">
            <v>-5675</v>
          </cell>
          <cell r="H40"/>
        </row>
        <row r="41">
          <cell r="D41">
            <v>42544</v>
          </cell>
          <cell r="F41"/>
          <cell r="H41">
            <v>-55</v>
          </cell>
        </row>
        <row r="42">
          <cell r="D42">
            <v>0</v>
          </cell>
          <cell r="F42"/>
          <cell r="H42"/>
        </row>
        <row r="43">
          <cell r="D43">
            <v>7271</v>
          </cell>
          <cell r="F43">
            <v>-7271</v>
          </cell>
          <cell r="H43"/>
        </row>
        <row r="44">
          <cell r="D44">
            <v>0</v>
          </cell>
          <cell r="F44"/>
          <cell r="H44"/>
        </row>
        <row r="45">
          <cell r="D45">
            <v>4332</v>
          </cell>
          <cell r="F45">
            <v>-5355</v>
          </cell>
          <cell r="H45"/>
        </row>
        <row r="57">
          <cell r="D57">
            <v>0</v>
          </cell>
          <cell r="F57"/>
          <cell r="H57"/>
        </row>
        <row r="58">
          <cell r="D58">
            <v>143067</v>
          </cell>
          <cell r="F58"/>
          <cell r="H58"/>
        </row>
        <row r="59">
          <cell r="D59">
            <v>276057</v>
          </cell>
          <cell r="F59"/>
          <cell r="H59"/>
        </row>
        <row r="60">
          <cell r="D60">
            <v>11765</v>
          </cell>
          <cell r="F60"/>
          <cell r="H60"/>
        </row>
        <row r="61">
          <cell r="D61">
            <v>41463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4036</v>
          </cell>
          <cell r="F65"/>
          <cell r="H65"/>
        </row>
        <row r="66">
          <cell r="D66">
            <v>21695</v>
          </cell>
          <cell r="F66"/>
          <cell r="H66">
            <v>-515</v>
          </cell>
        </row>
        <row r="67">
          <cell r="D67">
            <v>72542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5117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33482</v>
          </cell>
          <cell r="F75"/>
          <cell r="H75"/>
        </row>
        <row r="76">
          <cell r="D76">
            <v>8582</v>
          </cell>
          <cell r="F76"/>
          <cell r="H76"/>
        </row>
        <row r="77">
          <cell r="D77">
            <v>5006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918</v>
          </cell>
          <cell r="F79"/>
          <cell r="H79"/>
        </row>
        <row r="80">
          <cell r="D80">
            <v>23333</v>
          </cell>
          <cell r="F80"/>
          <cell r="H80"/>
        </row>
        <row r="81">
          <cell r="D81">
            <v>4936</v>
          </cell>
          <cell r="F81"/>
          <cell r="H81"/>
        </row>
        <row r="82">
          <cell r="D82">
            <v>7437</v>
          </cell>
          <cell r="F82"/>
          <cell r="H82"/>
        </row>
        <row r="83">
          <cell r="D83">
            <v>2577</v>
          </cell>
          <cell r="F83"/>
          <cell r="H83"/>
        </row>
        <row r="84">
          <cell r="D84">
            <v>57494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288585</v>
          </cell>
          <cell r="F91">
            <v>-2971</v>
          </cell>
          <cell r="H91"/>
        </row>
        <row r="92">
          <cell r="D92">
            <v>911</v>
          </cell>
          <cell r="F92"/>
          <cell r="H92"/>
        </row>
        <row r="93">
          <cell r="D93">
            <v>678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18</v>
          </cell>
          <cell r="F100"/>
          <cell r="H100"/>
        </row>
        <row r="101">
          <cell r="D101">
            <v>48576</v>
          </cell>
          <cell r="F101"/>
          <cell r="H101"/>
        </row>
        <row r="102">
          <cell r="D102">
            <v>3101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6787</v>
          </cell>
          <cell r="F117"/>
          <cell r="H117"/>
        </row>
        <row r="118">
          <cell r="D118">
            <v>92558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126976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36631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33344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7595</v>
          </cell>
          <cell r="F134"/>
          <cell r="H134"/>
        </row>
        <row r="136">
          <cell r="D136">
            <v>266574</v>
          </cell>
          <cell r="F136"/>
          <cell r="H136"/>
        </row>
        <row r="137">
          <cell r="D137">
            <v>223668</v>
          </cell>
          <cell r="F137"/>
          <cell r="H137"/>
        </row>
        <row r="138">
          <cell r="D138">
            <v>389979</v>
          </cell>
          <cell r="F138">
            <v>9860</v>
          </cell>
          <cell r="H138"/>
        </row>
        <row r="139">
          <cell r="D139">
            <v>9860</v>
          </cell>
          <cell r="F139">
            <v>-9860</v>
          </cell>
          <cell r="H139"/>
        </row>
        <row r="141">
          <cell r="D141">
            <v>191240</v>
          </cell>
          <cell r="F141">
            <v>-133965</v>
          </cell>
          <cell r="H141"/>
        </row>
        <row r="142">
          <cell r="D142">
            <v>0</v>
          </cell>
          <cell r="F142">
            <v>48057</v>
          </cell>
          <cell r="H142"/>
        </row>
        <row r="143">
          <cell r="D143">
            <v>0</v>
          </cell>
          <cell r="F143">
            <v>85908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13775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1146</v>
          </cell>
          <cell r="F150"/>
          <cell r="H150"/>
        </row>
        <row r="151">
          <cell r="D151">
            <v>47696</v>
          </cell>
          <cell r="F151"/>
          <cell r="H151"/>
        </row>
        <row r="152">
          <cell r="D152">
            <v>5807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8783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106656</v>
          </cell>
          <cell r="F194"/>
          <cell r="H194">
            <v>1866</v>
          </cell>
        </row>
        <row r="195">
          <cell r="D195">
            <v>779</v>
          </cell>
          <cell r="F195"/>
          <cell r="H195">
            <v>14</v>
          </cell>
        </row>
        <row r="196">
          <cell r="D196">
            <v>0</v>
          </cell>
          <cell r="F196"/>
          <cell r="H196"/>
        </row>
        <row r="197">
          <cell r="D197">
            <v>82917</v>
          </cell>
          <cell r="F197"/>
          <cell r="H197">
            <v>1451</v>
          </cell>
        </row>
        <row r="198">
          <cell r="D198">
            <v>1262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68718</v>
          </cell>
          <cell r="F205"/>
          <cell r="H205"/>
        </row>
        <row r="206">
          <cell r="D206">
            <v>812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92466</v>
          </cell>
          <cell r="F211"/>
          <cell r="H211"/>
        </row>
        <row r="212">
          <cell r="D212">
            <v>20385</v>
          </cell>
          <cell r="F212"/>
          <cell r="H212"/>
        </row>
        <row r="213">
          <cell r="D213">
            <v>2025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2031</v>
          </cell>
          <cell r="F216"/>
          <cell r="H216"/>
        </row>
        <row r="221">
          <cell r="D221">
            <v>3883039</v>
          </cell>
        </row>
      </sheetData>
      <sheetData sheetId="8"/>
      <sheetData sheetId="9"/>
      <sheetData sheetId="10">
        <row r="9">
          <cell r="C9">
            <v>8116</v>
          </cell>
          <cell r="D9"/>
          <cell r="E9">
            <v>1734</v>
          </cell>
          <cell r="F9">
            <v>152</v>
          </cell>
          <cell r="G9"/>
          <cell r="H9">
            <v>4768</v>
          </cell>
          <cell r="I9">
            <v>1253</v>
          </cell>
          <cell r="J9"/>
          <cell r="K9">
            <v>54</v>
          </cell>
        </row>
        <row r="22">
          <cell r="N22">
            <v>98</v>
          </cell>
        </row>
        <row r="24">
          <cell r="N24">
            <v>98</v>
          </cell>
        </row>
        <row r="28">
          <cell r="N28">
            <v>35770</v>
          </cell>
        </row>
        <row r="30">
          <cell r="N30">
            <v>0.449454850433324</v>
          </cell>
        </row>
        <row r="32">
          <cell r="N32">
            <v>0.22689404528934862</v>
          </cell>
        </row>
        <row r="34">
          <cell r="N34">
            <v>0.50482055109784163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 refreshError="1"/>
      <sheetData sheetId="1" refreshError="1"/>
      <sheetData sheetId="2" refreshError="1">
        <row r="39">
          <cell r="B39">
            <v>42917</v>
          </cell>
          <cell r="G39">
            <v>43281</v>
          </cell>
        </row>
      </sheetData>
      <sheetData sheetId="3" refreshError="1"/>
      <sheetData sheetId="4" refreshError="1"/>
      <sheetData sheetId="5" refreshError="1">
        <row r="10">
          <cell r="E10">
            <v>6854282.3900000006</v>
          </cell>
        </row>
        <row r="90">
          <cell r="C90">
            <v>307.16588607594935</v>
          </cell>
          <cell r="E90">
            <v>319.16344736842103</v>
          </cell>
          <cell r="G90">
            <v>283.99331908831914</v>
          </cell>
          <cell r="I90">
            <v>291.92971124620067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6854282.3900000006</v>
          </cell>
          <cell r="G10">
            <v>-754234</v>
          </cell>
        </row>
        <row r="12">
          <cell r="G12">
            <v>2881267.19</v>
          </cell>
        </row>
        <row r="13">
          <cell r="E13">
            <v>-58266.340000000084</v>
          </cell>
        </row>
        <row r="14">
          <cell r="G14">
            <v>47730.46</v>
          </cell>
        </row>
        <row r="15">
          <cell r="E15">
            <v>6796016.0500000007</v>
          </cell>
          <cell r="G15">
            <v>2174763.65</v>
          </cell>
        </row>
        <row r="20">
          <cell r="E20">
            <v>0</v>
          </cell>
          <cell r="G20">
            <v>467746</v>
          </cell>
        </row>
        <row r="26">
          <cell r="E26">
            <v>3500768.1799999997</v>
          </cell>
          <cell r="G26">
            <v>286488</v>
          </cell>
        </row>
        <row r="32">
          <cell r="E32">
            <v>1516352.47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1068768.08</v>
          </cell>
          <cell r="G42">
            <v>0</v>
          </cell>
        </row>
        <row r="47">
          <cell r="E47">
            <v>0</v>
          </cell>
          <cell r="G47">
            <v>994418.75</v>
          </cell>
        </row>
        <row r="52">
          <cell r="E52">
            <v>1026373.7000000002</v>
          </cell>
          <cell r="G52">
            <v>-994418.75</v>
          </cell>
        </row>
        <row r="57">
          <cell r="E57">
            <v>0</v>
          </cell>
          <cell r="G57">
            <v>0</v>
          </cell>
        </row>
        <row r="72">
          <cell r="E72">
            <v>-30392.559999999998</v>
          </cell>
          <cell r="G72">
            <v>72668.540000000008</v>
          </cell>
        </row>
      </sheetData>
      <sheetData sheetId="6"/>
      <sheetData sheetId="7">
        <row r="10">
          <cell r="F10">
            <v>100980</v>
          </cell>
        </row>
        <row r="12">
          <cell r="D12">
            <v>194550.36</v>
          </cell>
          <cell r="F12">
            <v>-113324</v>
          </cell>
        </row>
        <row r="13">
          <cell r="D13">
            <v>44812.93</v>
          </cell>
          <cell r="F13">
            <v>-1210</v>
          </cell>
        </row>
        <row r="16">
          <cell r="D16">
            <v>699972.99</v>
          </cell>
          <cell r="F16">
            <v>120399</v>
          </cell>
          <cell r="H16">
            <v>45223</v>
          </cell>
        </row>
        <row r="17">
          <cell r="D17">
            <v>5917.43</v>
          </cell>
          <cell r="F17">
            <v>-5917</v>
          </cell>
        </row>
        <row r="18">
          <cell r="D18">
            <v>12772.06</v>
          </cell>
        </row>
        <row r="19">
          <cell r="D19">
            <v>25026.54</v>
          </cell>
        </row>
        <row r="20">
          <cell r="D20">
            <v>23224.61</v>
          </cell>
        </row>
        <row r="21">
          <cell r="D21">
            <v>163410.94</v>
          </cell>
        </row>
        <row r="23">
          <cell r="D23">
            <v>35693.599999999999</v>
          </cell>
        </row>
        <row r="24">
          <cell r="D24">
            <v>131470.9</v>
          </cell>
          <cell r="H24">
            <v>-7762</v>
          </cell>
        </row>
        <row r="26">
          <cell r="D26">
            <v>777009.06</v>
          </cell>
        </row>
        <row r="27">
          <cell r="D27">
            <v>10344.1</v>
          </cell>
        </row>
        <row r="28">
          <cell r="F28">
            <v>0</v>
          </cell>
        </row>
        <row r="29">
          <cell r="D29">
            <v>450745.16</v>
          </cell>
          <cell r="F29">
            <v>-450745.16</v>
          </cell>
        </row>
        <row r="30">
          <cell r="F30">
            <v>0</v>
          </cell>
        </row>
        <row r="31">
          <cell r="D31">
            <v>640.91999999999996</v>
          </cell>
        </row>
        <row r="32">
          <cell r="F32">
            <v>31224</v>
          </cell>
        </row>
        <row r="33">
          <cell r="F33">
            <v>0</v>
          </cell>
        </row>
        <row r="35">
          <cell r="D35">
            <v>16084.1</v>
          </cell>
          <cell r="F35">
            <v>-16084.1</v>
          </cell>
        </row>
        <row r="36">
          <cell r="F36">
            <v>113324</v>
          </cell>
        </row>
        <row r="37">
          <cell r="F37">
            <v>11106</v>
          </cell>
        </row>
        <row r="38">
          <cell r="D38">
            <v>234.1</v>
          </cell>
        </row>
        <row r="39">
          <cell r="D39">
            <v>7934.83</v>
          </cell>
        </row>
        <row r="40">
          <cell r="D40">
            <v>13966.89</v>
          </cell>
        </row>
        <row r="41">
          <cell r="D41">
            <v>174756.99</v>
          </cell>
          <cell r="H41">
            <v>-9623</v>
          </cell>
        </row>
        <row r="42">
          <cell r="D42">
            <v>4019.75</v>
          </cell>
        </row>
        <row r="45">
          <cell r="D45">
            <v>120160.98</v>
          </cell>
          <cell r="F45">
            <v>-110876</v>
          </cell>
        </row>
        <row r="57">
          <cell r="D57">
            <v>965506.36</v>
          </cell>
        </row>
        <row r="58">
          <cell r="D58">
            <v>56674.02</v>
          </cell>
        </row>
        <row r="60">
          <cell r="D60">
            <v>298.81</v>
          </cell>
        </row>
        <row r="61">
          <cell r="D61">
            <v>31223.74</v>
          </cell>
          <cell r="F61">
            <v>-31224</v>
          </cell>
        </row>
        <row r="62">
          <cell r="D62">
            <v>12248.51</v>
          </cell>
        </row>
        <row r="66">
          <cell r="D66">
            <v>15279.16</v>
          </cell>
        </row>
        <row r="67">
          <cell r="D67">
            <v>180024.66</v>
          </cell>
        </row>
        <row r="69">
          <cell r="D69">
            <v>45059.62</v>
          </cell>
        </row>
        <row r="75">
          <cell r="D75">
            <v>69795.960000000006</v>
          </cell>
        </row>
        <row r="76">
          <cell r="D76">
            <v>8568.5499999999993</v>
          </cell>
        </row>
        <row r="77">
          <cell r="D77">
            <v>15030.4</v>
          </cell>
        </row>
        <row r="79">
          <cell r="D79">
            <v>8922.76</v>
          </cell>
        </row>
        <row r="80">
          <cell r="D80">
            <v>32414.75</v>
          </cell>
        </row>
        <row r="81">
          <cell r="D81">
            <v>3323</v>
          </cell>
        </row>
        <row r="82">
          <cell r="D82">
            <v>39760.83</v>
          </cell>
        </row>
        <row r="84">
          <cell r="D84">
            <v>195759.46</v>
          </cell>
        </row>
        <row r="85">
          <cell r="D85">
            <v>106.51</v>
          </cell>
        </row>
        <row r="89">
          <cell r="D89">
            <v>479987.85</v>
          </cell>
        </row>
        <row r="90">
          <cell r="D90">
            <v>87935.19</v>
          </cell>
        </row>
        <row r="91">
          <cell r="D91">
            <v>5343.1</v>
          </cell>
        </row>
        <row r="92">
          <cell r="D92">
            <v>333544.33</v>
          </cell>
        </row>
        <row r="93">
          <cell r="D93">
            <v>38441.589999999997</v>
          </cell>
        </row>
        <row r="94">
          <cell r="D94">
            <v>287.55</v>
          </cell>
        </row>
        <row r="98">
          <cell r="D98">
            <v>44893.34</v>
          </cell>
        </row>
        <row r="99">
          <cell r="D99">
            <v>9610.98</v>
          </cell>
        </row>
        <row r="100">
          <cell r="D100">
            <v>19935.03</v>
          </cell>
        </row>
        <row r="102">
          <cell r="D102">
            <v>11460.5</v>
          </cell>
        </row>
        <row r="103">
          <cell r="D103">
            <v>197.85</v>
          </cell>
        </row>
        <row r="115">
          <cell r="D115">
            <v>166458.54</v>
          </cell>
        </row>
        <row r="116">
          <cell r="D116">
            <v>44712.31</v>
          </cell>
        </row>
        <row r="117">
          <cell r="D117">
            <v>22298.49</v>
          </cell>
        </row>
        <row r="119">
          <cell r="D119">
            <v>1220</v>
          </cell>
        </row>
        <row r="125">
          <cell r="D125">
            <v>909002.59</v>
          </cell>
        </row>
        <row r="127">
          <cell r="D127">
            <v>32138.880000000001</v>
          </cell>
        </row>
        <row r="128">
          <cell r="D128">
            <v>47744.85</v>
          </cell>
        </row>
        <row r="131">
          <cell r="D131">
            <v>129773.98</v>
          </cell>
        </row>
        <row r="133">
          <cell r="D133">
            <v>8984.16</v>
          </cell>
        </row>
        <row r="134">
          <cell r="D134">
            <v>9394.5499999999993</v>
          </cell>
        </row>
        <row r="136">
          <cell r="D136">
            <v>1308403.4099999999</v>
          </cell>
        </row>
        <row r="137">
          <cell r="D137">
            <v>512231.42</v>
          </cell>
        </row>
        <row r="138">
          <cell r="D138">
            <v>1601006.97</v>
          </cell>
        </row>
        <row r="139">
          <cell r="D139">
            <v>103697.37</v>
          </cell>
        </row>
        <row r="141">
          <cell r="D141">
            <v>218336.51</v>
          </cell>
        </row>
        <row r="142">
          <cell r="D142">
            <v>85477.28</v>
          </cell>
        </row>
        <row r="143">
          <cell r="D143">
            <v>267164.08</v>
          </cell>
        </row>
        <row r="144">
          <cell r="D144">
            <v>14832.27</v>
          </cell>
        </row>
        <row r="146">
          <cell r="D146">
            <v>89000</v>
          </cell>
        </row>
        <row r="147">
          <cell r="D147">
            <v>120434.44</v>
          </cell>
        </row>
        <row r="148">
          <cell r="D148">
            <v>245797.78999999998</v>
          </cell>
        </row>
        <row r="149">
          <cell r="D149">
            <v>159473.57999999999</v>
          </cell>
        </row>
        <row r="150">
          <cell r="D150">
            <v>15527.5</v>
          </cell>
        </row>
        <row r="151">
          <cell r="D151">
            <v>494214.02</v>
          </cell>
        </row>
        <row r="152">
          <cell r="D152">
            <v>4141.87</v>
          </cell>
        </row>
        <row r="153">
          <cell r="D153">
            <v>1045.28</v>
          </cell>
        </row>
        <row r="154">
          <cell r="D154">
            <v>173543.41</v>
          </cell>
        </row>
        <row r="157">
          <cell r="D157">
            <v>2419.75</v>
          </cell>
        </row>
        <row r="161">
          <cell r="D161">
            <v>60375.22</v>
          </cell>
        </row>
        <row r="194">
          <cell r="D194">
            <v>613228.86</v>
          </cell>
          <cell r="H194">
            <v>-19434.349999999999</v>
          </cell>
        </row>
        <row r="195">
          <cell r="D195">
            <v>108113.38</v>
          </cell>
          <cell r="H195">
            <v>-3426.3</v>
          </cell>
        </row>
        <row r="197">
          <cell r="D197">
            <v>541922.31999999995</v>
          </cell>
          <cell r="H197">
            <v>-17175</v>
          </cell>
        </row>
        <row r="198">
          <cell r="D198">
            <v>49502.53</v>
          </cell>
        </row>
        <row r="205">
          <cell r="D205">
            <v>947037.5</v>
          </cell>
          <cell r="H205">
            <v>-623686</v>
          </cell>
        </row>
        <row r="206">
          <cell r="D206">
            <v>59838.73</v>
          </cell>
        </row>
        <row r="207">
          <cell r="D207">
            <v>147830.57</v>
          </cell>
        </row>
        <row r="211">
          <cell r="D211">
            <v>246254.51</v>
          </cell>
        </row>
        <row r="212">
          <cell r="D212">
            <v>40161.11</v>
          </cell>
        </row>
        <row r="213">
          <cell r="D213">
            <v>26584.77</v>
          </cell>
        </row>
        <row r="216">
          <cell r="D216">
            <v>1178.71</v>
          </cell>
        </row>
        <row r="221">
          <cell r="D221">
            <v>15254887.15</v>
          </cell>
        </row>
      </sheetData>
      <sheetData sheetId="8"/>
      <sheetData sheetId="9"/>
      <sheetData sheetId="10">
        <row r="9">
          <cell r="C9">
            <v>27165</v>
          </cell>
          <cell r="D9">
            <v>812</v>
          </cell>
          <cell r="E9">
            <v>6649</v>
          </cell>
          <cell r="F9">
            <v>3291</v>
          </cell>
          <cell r="H9">
            <v>3568</v>
          </cell>
          <cell r="I9">
            <v>4876</v>
          </cell>
          <cell r="J9">
            <v>149</v>
          </cell>
          <cell r="K9">
            <v>47</v>
          </cell>
        </row>
        <row r="22">
          <cell r="N22">
            <v>168</v>
          </cell>
        </row>
        <row r="24">
          <cell r="N24">
            <v>168</v>
          </cell>
        </row>
        <row r="28">
          <cell r="N28">
            <v>61320</v>
          </cell>
        </row>
        <row r="30">
          <cell r="N30">
            <v>0.75924657534246576</v>
          </cell>
        </row>
        <row r="32">
          <cell r="N32">
            <v>0.45624592302674494</v>
          </cell>
        </row>
        <row r="34">
          <cell r="N34">
            <v>0.60091930321970921</v>
          </cell>
        </row>
      </sheetData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2233396.6</v>
          </cell>
          <cell r="G10">
            <v>-67688.460000000006</v>
          </cell>
        </row>
        <row r="12">
          <cell r="E12"/>
          <cell r="G12">
            <v>1476153.93</v>
          </cell>
        </row>
        <row r="13">
          <cell r="E13">
            <v>-6993.8599999999933</v>
          </cell>
          <cell r="G13"/>
        </row>
        <row r="14">
          <cell r="E14"/>
          <cell r="G14">
            <v>34572.46</v>
          </cell>
        </row>
        <row r="15">
          <cell r="E15">
            <v>2226402.7400000002</v>
          </cell>
          <cell r="G15">
            <v>1443037.93</v>
          </cell>
        </row>
        <row r="20">
          <cell r="E20">
            <v>0</v>
          </cell>
          <cell r="G20">
            <v>67688.460000000006</v>
          </cell>
        </row>
        <row r="26">
          <cell r="E26">
            <v>953755.87</v>
          </cell>
          <cell r="G26">
            <v>0</v>
          </cell>
        </row>
        <row r="32">
          <cell r="E32">
            <v>211313.58999999997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199876.46</v>
          </cell>
          <cell r="G42">
            <v>0</v>
          </cell>
        </row>
        <row r="47">
          <cell r="E47">
            <v>0</v>
          </cell>
          <cell r="G47">
            <v>308303.89</v>
          </cell>
        </row>
        <row r="52">
          <cell r="E52">
            <v>403251.28</v>
          </cell>
          <cell r="G52">
            <v>-308304</v>
          </cell>
        </row>
        <row r="57">
          <cell r="E57">
            <v>0</v>
          </cell>
          <cell r="G57">
            <v>0</v>
          </cell>
        </row>
        <row r="72">
          <cell r="E72">
            <v>-291443.36</v>
          </cell>
          <cell r="G72">
            <v>292726.2</v>
          </cell>
        </row>
        <row r="90">
          <cell r="C90">
            <v>360.5412612612613</v>
          </cell>
          <cell r="E90">
            <v>331.88600000000002</v>
          </cell>
          <cell r="G90">
            <v>335.40994680851065</v>
          </cell>
          <cell r="I90">
            <v>299.74374301675982</v>
          </cell>
        </row>
      </sheetData>
      <sheetData sheetId="6"/>
      <sheetData sheetId="7">
        <row r="10">
          <cell r="D10"/>
          <cell r="F10">
            <v>87463.66</v>
          </cell>
          <cell r="H10"/>
        </row>
        <row r="11">
          <cell r="D11"/>
          <cell r="F11"/>
          <cell r="H11"/>
        </row>
        <row r="12">
          <cell r="D12">
            <v>118579.29</v>
          </cell>
          <cell r="F12"/>
          <cell r="H12"/>
        </row>
        <row r="13">
          <cell r="D13">
            <v>37516.49</v>
          </cell>
          <cell r="F13">
            <v>8571.44</v>
          </cell>
          <cell r="H13"/>
        </row>
        <row r="14">
          <cell r="D14">
            <v>42.81</v>
          </cell>
          <cell r="F14"/>
          <cell r="H14"/>
        </row>
        <row r="15">
          <cell r="D15"/>
          <cell r="F15"/>
          <cell r="H15"/>
        </row>
        <row r="16">
          <cell r="D16">
            <v>198844</v>
          </cell>
          <cell r="F16">
            <v>69760</v>
          </cell>
          <cell r="H16">
            <v>-12894</v>
          </cell>
        </row>
        <row r="17">
          <cell r="D17">
            <v>13689.99</v>
          </cell>
          <cell r="F17">
            <v>-13690</v>
          </cell>
          <cell r="H17"/>
        </row>
        <row r="18">
          <cell r="D18">
            <v>3638.25</v>
          </cell>
          <cell r="F18"/>
          <cell r="H18"/>
        </row>
        <row r="19">
          <cell r="D19">
            <v>25629.56</v>
          </cell>
          <cell r="F19"/>
          <cell r="H19"/>
        </row>
        <row r="20">
          <cell r="D20">
            <v>12097.87</v>
          </cell>
          <cell r="F20"/>
          <cell r="H20"/>
        </row>
        <row r="21">
          <cell r="D21">
            <v>67398.59</v>
          </cell>
          <cell r="F21"/>
          <cell r="H21"/>
        </row>
        <row r="22">
          <cell r="D22"/>
          <cell r="F22"/>
          <cell r="H22"/>
        </row>
        <row r="23">
          <cell r="D23">
            <v>19916.68</v>
          </cell>
          <cell r="F23"/>
          <cell r="H23"/>
        </row>
        <row r="24">
          <cell r="D24">
            <v>53456.67</v>
          </cell>
          <cell r="F24"/>
          <cell r="H24">
            <v>-2708</v>
          </cell>
        </row>
        <row r="25">
          <cell r="D25"/>
          <cell r="F25"/>
          <cell r="H25"/>
        </row>
        <row r="26">
          <cell r="D26">
            <v>316592.95</v>
          </cell>
          <cell r="F26"/>
          <cell r="H26"/>
        </row>
        <row r="27">
          <cell r="D27">
            <v>3194.72</v>
          </cell>
          <cell r="F27">
            <v>66119.16</v>
          </cell>
          <cell r="H27"/>
        </row>
        <row r="28">
          <cell r="D28"/>
          <cell r="F28">
            <v>0</v>
          </cell>
          <cell r="H28"/>
        </row>
        <row r="29">
          <cell r="D29">
            <v>173918.54</v>
          </cell>
          <cell r="F29">
            <v>-173918.54</v>
          </cell>
          <cell r="H29"/>
        </row>
        <row r="30">
          <cell r="D30"/>
          <cell r="F30">
            <v>0</v>
          </cell>
          <cell r="H30">
            <v>191422.66</v>
          </cell>
        </row>
        <row r="31">
          <cell r="D31">
            <v>862.71</v>
          </cell>
          <cell r="F31"/>
          <cell r="H31"/>
        </row>
        <row r="32">
          <cell r="D32"/>
          <cell r="F32">
            <v>15749</v>
          </cell>
          <cell r="H32"/>
        </row>
        <row r="33">
          <cell r="D33">
            <v>3.47</v>
          </cell>
          <cell r="F33">
            <v>-3.47</v>
          </cell>
          <cell r="H33"/>
        </row>
        <row r="34">
          <cell r="D34"/>
          <cell r="F34"/>
          <cell r="H34"/>
        </row>
        <row r="35">
          <cell r="D35">
            <v>3822.65</v>
          </cell>
          <cell r="F35">
            <v>-3822.65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5499.43</v>
          </cell>
          <cell r="F39"/>
          <cell r="H39"/>
        </row>
        <row r="40">
          <cell r="D40">
            <v>13452.62</v>
          </cell>
          <cell r="F40"/>
          <cell r="H40"/>
        </row>
        <row r="41">
          <cell r="D41">
            <v>67540.67</v>
          </cell>
          <cell r="F41"/>
          <cell r="H41">
            <v>-2690</v>
          </cell>
        </row>
        <row r="42">
          <cell r="D42">
            <v>1028.26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94222.080000000002</v>
          </cell>
          <cell r="F45">
            <v>-96035</v>
          </cell>
          <cell r="H45"/>
        </row>
        <row r="57">
          <cell r="D57">
            <v>384773</v>
          </cell>
          <cell r="F57">
            <v>-41663.840000000026</v>
          </cell>
          <cell r="H57"/>
        </row>
        <row r="58">
          <cell r="D58">
            <v>29370.080000000002</v>
          </cell>
          <cell r="F58">
            <v>34927.919999999998</v>
          </cell>
          <cell r="H58"/>
        </row>
        <row r="59">
          <cell r="D59"/>
          <cell r="F59">
            <v>15453</v>
          </cell>
          <cell r="H59"/>
        </row>
        <row r="60">
          <cell r="D60">
            <v>3333.33</v>
          </cell>
          <cell r="F60"/>
          <cell r="H60"/>
        </row>
        <row r="61">
          <cell r="D61">
            <v>15748.82</v>
          </cell>
          <cell r="F61">
            <v>-15749</v>
          </cell>
          <cell r="H61"/>
        </row>
        <row r="62">
          <cell r="D62">
            <v>13113.01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224.11</v>
          </cell>
          <cell r="F65"/>
          <cell r="H65"/>
        </row>
        <row r="66">
          <cell r="D66">
            <v>5556.91</v>
          </cell>
          <cell r="F66"/>
          <cell r="H66"/>
        </row>
        <row r="67">
          <cell r="D67">
            <v>56065.68</v>
          </cell>
          <cell r="F67"/>
          <cell r="H67"/>
        </row>
        <row r="68">
          <cell r="D68"/>
          <cell r="F68"/>
          <cell r="H68"/>
        </row>
        <row r="69">
          <cell r="D69">
            <v>15527.22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39026.379999999997</v>
          </cell>
          <cell r="F75"/>
          <cell r="H75"/>
        </row>
        <row r="76">
          <cell r="D76">
            <v>5533.05</v>
          </cell>
          <cell r="F76"/>
          <cell r="H76"/>
        </row>
        <row r="77">
          <cell r="D77">
            <v>4545.59</v>
          </cell>
          <cell r="F77"/>
          <cell r="H77"/>
        </row>
        <row r="78">
          <cell r="D78"/>
          <cell r="F78"/>
          <cell r="H78"/>
        </row>
        <row r="79">
          <cell r="D79">
            <v>18335.849999999999</v>
          </cell>
          <cell r="F79"/>
          <cell r="H79"/>
        </row>
        <row r="80">
          <cell r="D80">
            <v>12429.76</v>
          </cell>
          <cell r="F80"/>
          <cell r="H80"/>
        </row>
        <row r="81">
          <cell r="D81">
            <v>2345.7800000000002</v>
          </cell>
          <cell r="F81"/>
          <cell r="H81"/>
        </row>
        <row r="82">
          <cell r="D82">
            <v>7853.79</v>
          </cell>
          <cell r="F82"/>
          <cell r="H82"/>
        </row>
        <row r="83">
          <cell r="D83"/>
          <cell r="F83"/>
          <cell r="H83"/>
        </row>
        <row r="84">
          <cell r="D84">
            <v>67098.080000000002</v>
          </cell>
          <cell r="F84"/>
          <cell r="H84"/>
        </row>
        <row r="85">
          <cell r="D85"/>
          <cell r="F85"/>
          <cell r="H85"/>
        </row>
        <row r="89">
          <cell r="D89">
            <v>184406.15</v>
          </cell>
          <cell r="F89"/>
          <cell r="H89"/>
        </row>
        <row r="90">
          <cell r="D90">
            <v>33883.11</v>
          </cell>
          <cell r="F90"/>
          <cell r="H90"/>
        </row>
        <row r="91">
          <cell r="D91">
            <v>7671.78</v>
          </cell>
          <cell r="F91"/>
          <cell r="H91"/>
        </row>
        <row r="92">
          <cell r="D92">
            <v>127597.55</v>
          </cell>
          <cell r="F92"/>
          <cell r="H92"/>
        </row>
        <row r="93">
          <cell r="D93">
            <v>19007.060000000001</v>
          </cell>
          <cell r="F93"/>
          <cell r="H93"/>
        </row>
        <row r="94">
          <cell r="D94">
            <v>330</v>
          </cell>
          <cell r="F94"/>
          <cell r="H94"/>
        </row>
        <row r="98">
          <cell r="D98">
            <v>1173.8800000000001</v>
          </cell>
          <cell r="F98"/>
          <cell r="H98"/>
        </row>
        <row r="99">
          <cell r="D99">
            <v>249.33</v>
          </cell>
          <cell r="F99"/>
          <cell r="H99"/>
        </row>
        <row r="100">
          <cell r="D100">
            <v>568.64</v>
          </cell>
          <cell r="F100"/>
          <cell r="H100"/>
        </row>
        <row r="101">
          <cell r="D101"/>
          <cell r="F101"/>
          <cell r="H101"/>
        </row>
        <row r="102">
          <cell r="D102">
            <v>3538.75</v>
          </cell>
          <cell r="F102"/>
          <cell r="H102"/>
        </row>
        <row r="103">
          <cell r="D103"/>
          <cell r="F103"/>
          <cell r="H103"/>
        </row>
        <row r="115">
          <cell r="D115">
            <v>88693.73</v>
          </cell>
          <cell r="F115"/>
          <cell r="H115"/>
        </row>
        <row r="116">
          <cell r="D116">
            <v>10385.66</v>
          </cell>
          <cell r="F116"/>
          <cell r="H116"/>
        </row>
        <row r="117">
          <cell r="D117">
            <v>3586.18</v>
          </cell>
          <cell r="F117"/>
          <cell r="H117"/>
        </row>
        <row r="118">
          <cell r="D118">
            <v>1636.25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264134.24</v>
          </cell>
          <cell r="F125"/>
          <cell r="H125"/>
        </row>
        <row r="126">
          <cell r="D126"/>
          <cell r="F126"/>
          <cell r="H126"/>
        </row>
        <row r="127">
          <cell r="D127">
            <v>1399.53</v>
          </cell>
          <cell r="F127"/>
          <cell r="H127"/>
        </row>
        <row r="128">
          <cell r="D128">
            <v>36414.300000000003</v>
          </cell>
          <cell r="F128"/>
          <cell r="H128"/>
        </row>
        <row r="130">
          <cell r="D130"/>
          <cell r="F130"/>
          <cell r="H130"/>
        </row>
        <row r="131">
          <cell r="D131">
            <v>47499.15</v>
          </cell>
          <cell r="F131"/>
          <cell r="H131"/>
        </row>
        <row r="132">
          <cell r="D132"/>
          <cell r="F132"/>
          <cell r="H132"/>
        </row>
        <row r="133">
          <cell r="D133">
            <v>232.81</v>
          </cell>
          <cell r="F133"/>
          <cell r="H133"/>
        </row>
        <row r="134">
          <cell r="D134">
            <v>12184.03</v>
          </cell>
          <cell r="F134"/>
          <cell r="H134"/>
        </row>
        <row r="136">
          <cell r="D136">
            <v>318814.87</v>
          </cell>
          <cell r="F136"/>
          <cell r="H136"/>
        </row>
        <row r="137">
          <cell r="D137">
            <v>187787.45</v>
          </cell>
          <cell r="F137"/>
          <cell r="H137"/>
        </row>
        <row r="138">
          <cell r="D138">
            <v>368501.63</v>
          </cell>
          <cell r="F138"/>
          <cell r="H138"/>
        </row>
        <row r="139">
          <cell r="D139">
            <v>40247.72</v>
          </cell>
          <cell r="F139"/>
          <cell r="H139"/>
        </row>
        <row r="141">
          <cell r="D141">
            <v>61882.23</v>
          </cell>
          <cell r="F141"/>
          <cell r="H141"/>
        </row>
        <row r="142">
          <cell r="D142">
            <v>36449.699999999997</v>
          </cell>
          <cell r="F142"/>
          <cell r="H142"/>
        </row>
        <row r="143">
          <cell r="D143">
            <v>71526.47</v>
          </cell>
          <cell r="F143"/>
          <cell r="H143"/>
        </row>
        <row r="144">
          <cell r="D144">
            <v>3692.92</v>
          </cell>
          <cell r="F144"/>
          <cell r="H144"/>
        </row>
        <row r="146">
          <cell r="D146">
            <v>28800</v>
          </cell>
          <cell r="F146"/>
          <cell r="H146"/>
        </row>
        <row r="147">
          <cell r="D147">
            <v>152138.79</v>
          </cell>
          <cell r="F147"/>
          <cell r="H147"/>
        </row>
        <row r="148">
          <cell r="D148">
            <v>37589.699999999997</v>
          </cell>
          <cell r="F148"/>
          <cell r="H148"/>
        </row>
        <row r="149">
          <cell r="D149">
            <v>412837.09</v>
          </cell>
          <cell r="F149"/>
          <cell r="H149"/>
        </row>
        <row r="150">
          <cell r="D150">
            <v>4817.5</v>
          </cell>
          <cell r="F150"/>
          <cell r="H150"/>
        </row>
        <row r="151">
          <cell r="D151">
            <v>72989.440000000002</v>
          </cell>
          <cell r="F151"/>
          <cell r="H151"/>
        </row>
        <row r="152">
          <cell r="D152">
            <v>2752.31</v>
          </cell>
          <cell r="F152"/>
          <cell r="H152"/>
        </row>
        <row r="153">
          <cell r="D153">
            <v>4330.17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620.58000000000004</v>
          </cell>
          <cell r="F160"/>
          <cell r="H160"/>
        </row>
        <row r="161">
          <cell r="D161">
            <v>30431.97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167362.76999999999</v>
          </cell>
          <cell r="F194"/>
          <cell r="H194">
            <v>-4204.8100000000004</v>
          </cell>
        </row>
        <row r="195">
          <cell r="D195">
            <v>24129.07</v>
          </cell>
          <cell r="F195"/>
          <cell r="H195">
            <v>-606.21</v>
          </cell>
        </row>
        <row r="196">
          <cell r="D196"/>
          <cell r="F196"/>
          <cell r="H196"/>
        </row>
        <row r="197">
          <cell r="D197">
            <v>154688.47</v>
          </cell>
          <cell r="F197"/>
          <cell r="H197">
            <v>-3886.36</v>
          </cell>
        </row>
        <row r="198">
          <cell r="D198">
            <v>19515.78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181619.91</v>
          </cell>
          <cell r="F205"/>
          <cell r="H205">
            <v>-109853</v>
          </cell>
        </row>
        <row r="206">
          <cell r="D206">
            <v>14983.6</v>
          </cell>
          <cell r="F206"/>
          <cell r="H206"/>
        </row>
        <row r="207">
          <cell r="D207">
            <v>35203.18</v>
          </cell>
          <cell r="F207"/>
          <cell r="H207"/>
        </row>
        <row r="211">
          <cell r="D211">
            <v>100980.44</v>
          </cell>
          <cell r="F211"/>
          <cell r="H211"/>
        </row>
        <row r="212">
          <cell r="D212">
            <v>22627.16</v>
          </cell>
          <cell r="F212"/>
          <cell r="H212"/>
        </row>
        <row r="213">
          <cell r="D213">
            <v>8053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1640.78</v>
          </cell>
          <cell r="F216"/>
          <cell r="H216"/>
        </row>
        <row r="221">
          <cell r="D221">
            <v>5323435.58</v>
          </cell>
        </row>
      </sheetData>
      <sheetData sheetId="8"/>
      <sheetData sheetId="9"/>
      <sheetData sheetId="10">
        <row r="9">
          <cell r="C9">
            <v>11898</v>
          </cell>
          <cell r="D9">
            <v>381</v>
          </cell>
          <cell r="E9">
            <v>1746</v>
          </cell>
          <cell r="F9">
            <v>491</v>
          </cell>
          <cell r="G9"/>
          <cell r="H9">
            <v>608</v>
          </cell>
          <cell r="I9">
            <v>1665</v>
          </cell>
          <cell r="J9">
            <v>518</v>
          </cell>
          <cell r="K9"/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22265</v>
          </cell>
        </row>
        <row r="30">
          <cell r="N30">
            <v>0.77731866157646534</v>
          </cell>
        </row>
        <row r="32">
          <cell r="N32">
            <v>0.55149337525263864</v>
          </cell>
        </row>
        <row r="34">
          <cell r="N34">
            <v>0.70948171260183734</v>
          </cell>
        </row>
      </sheetData>
      <sheetData sheetId="11"/>
      <sheetData sheetId="1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6883504.5899999999</v>
          </cell>
          <cell r="G10">
            <v>-391931.12</v>
          </cell>
        </row>
        <row r="12">
          <cell r="G12">
            <v>2599998.38</v>
          </cell>
        </row>
        <row r="13">
          <cell r="E13">
            <v>-520.3800000003539</v>
          </cell>
        </row>
        <row r="14">
          <cell r="G14">
            <v>57977.84</v>
          </cell>
        </row>
        <row r="15">
          <cell r="E15">
            <v>6882984.209999999</v>
          </cell>
          <cell r="G15">
            <v>2266045.0999999996</v>
          </cell>
        </row>
        <row r="20">
          <cell r="E20">
            <v>0</v>
          </cell>
          <cell r="G20">
            <v>136327.93</v>
          </cell>
        </row>
        <row r="26">
          <cell r="E26">
            <v>3953651.05</v>
          </cell>
          <cell r="G26">
            <v>85647.03</v>
          </cell>
        </row>
        <row r="32">
          <cell r="E32">
            <v>646268.92999999993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1067821.3199999998</v>
          </cell>
          <cell r="G42">
            <v>169956.16</v>
          </cell>
        </row>
        <row r="47">
          <cell r="E47">
            <v>0</v>
          </cell>
          <cell r="G47">
            <v>445844.72</v>
          </cell>
        </row>
        <row r="52">
          <cell r="E52">
            <v>550214.77</v>
          </cell>
          <cell r="G52">
            <v>-445844.72</v>
          </cell>
        </row>
        <row r="57">
          <cell r="E57">
            <v>0</v>
          </cell>
          <cell r="G57">
            <v>0</v>
          </cell>
        </row>
        <row r="72">
          <cell r="E72">
            <v>-20690.3</v>
          </cell>
          <cell r="G72">
            <v>41807.160000000003</v>
          </cell>
        </row>
        <row r="90">
          <cell r="C90">
            <v>314.86778884462154</v>
          </cell>
          <cell r="E90">
            <v>368.39897077509528</v>
          </cell>
          <cell r="G90">
            <v>341.52202623906703</v>
          </cell>
          <cell r="I90">
            <v>431.0585249457701</v>
          </cell>
        </row>
      </sheetData>
      <sheetData sheetId="6"/>
      <sheetData sheetId="7">
        <row r="10">
          <cell r="F10">
            <v>121731</v>
          </cell>
        </row>
        <row r="12">
          <cell r="D12">
            <v>209989.53</v>
          </cell>
          <cell r="F12">
            <v>-82476.820000000007</v>
          </cell>
        </row>
        <row r="13">
          <cell r="D13">
            <v>48124.28</v>
          </cell>
          <cell r="F13">
            <v>3847.2700000000004</v>
          </cell>
        </row>
        <row r="16">
          <cell r="D16">
            <v>656023</v>
          </cell>
          <cell r="F16">
            <v>99785</v>
          </cell>
          <cell r="H16">
            <v>51310</v>
          </cell>
        </row>
        <row r="17">
          <cell r="D17">
            <v>13082.05</v>
          </cell>
          <cell r="F17">
            <v>-13082</v>
          </cell>
        </row>
        <row r="18">
          <cell r="D18">
            <v>2993.37</v>
          </cell>
        </row>
        <row r="19">
          <cell r="D19">
            <v>27564</v>
          </cell>
        </row>
        <row r="20">
          <cell r="D20">
            <v>19687.89</v>
          </cell>
        </row>
        <row r="21">
          <cell r="D21">
            <v>126013.04</v>
          </cell>
        </row>
        <row r="23">
          <cell r="D23">
            <v>22869.39</v>
          </cell>
        </row>
        <row r="24">
          <cell r="D24">
            <v>105348.95</v>
          </cell>
          <cell r="H24">
            <v>-6369.65</v>
          </cell>
        </row>
        <row r="26">
          <cell r="D26">
            <v>615056.68000000005</v>
          </cell>
        </row>
        <row r="27">
          <cell r="D27">
            <v>1387.51</v>
          </cell>
        </row>
        <row r="28">
          <cell r="F28">
            <v>0</v>
          </cell>
        </row>
        <row r="29">
          <cell r="D29">
            <v>607736.05000000005</v>
          </cell>
          <cell r="F29">
            <v>-607736.05000000005</v>
          </cell>
        </row>
        <row r="30">
          <cell r="F30">
            <v>0</v>
          </cell>
        </row>
        <row r="31">
          <cell r="D31">
            <v>1273.58</v>
          </cell>
        </row>
        <row r="32">
          <cell r="F32">
            <v>21794</v>
          </cell>
        </row>
        <row r="33">
          <cell r="F33">
            <v>0</v>
          </cell>
        </row>
        <row r="35">
          <cell r="D35">
            <v>79726.8</v>
          </cell>
          <cell r="F35">
            <v>-79726.8</v>
          </cell>
        </row>
        <row r="36">
          <cell r="F36">
            <v>82476.820000000007</v>
          </cell>
        </row>
        <row r="37">
          <cell r="F37">
            <v>8082.73</v>
          </cell>
        </row>
        <row r="38">
          <cell r="D38">
            <v>491.2</v>
          </cell>
        </row>
        <row r="39">
          <cell r="D39">
            <v>3853.1</v>
          </cell>
        </row>
        <row r="40">
          <cell r="D40">
            <v>26658.57</v>
          </cell>
        </row>
        <row r="41">
          <cell r="D41">
            <v>120664.01</v>
          </cell>
          <cell r="H41">
            <v>-10628.41</v>
          </cell>
        </row>
        <row r="42">
          <cell r="D42">
            <v>5940.82</v>
          </cell>
        </row>
        <row r="45">
          <cell r="D45">
            <v>156879.43</v>
          </cell>
          <cell r="F45">
            <v>-133661</v>
          </cell>
        </row>
        <row r="57">
          <cell r="D57">
            <v>900250</v>
          </cell>
          <cell r="H57">
            <v>-900250</v>
          </cell>
        </row>
        <row r="58">
          <cell r="D58">
            <v>32244.27</v>
          </cell>
          <cell r="H58">
            <v>-32244</v>
          </cell>
        </row>
        <row r="61">
          <cell r="D61">
            <v>21794.080000000002</v>
          </cell>
          <cell r="F61">
            <v>-21794</v>
          </cell>
        </row>
        <row r="62">
          <cell r="D62">
            <v>20370</v>
          </cell>
        </row>
        <row r="65">
          <cell r="D65">
            <v>194.6</v>
          </cell>
        </row>
        <row r="66">
          <cell r="D66">
            <v>8638.86</v>
          </cell>
        </row>
        <row r="67">
          <cell r="D67">
            <v>128445.06</v>
          </cell>
        </row>
        <row r="69">
          <cell r="D69">
            <v>1259.48</v>
          </cell>
        </row>
        <row r="75">
          <cell r="D75">
            <v>34675.160000000003</v>
          </cell>
        </row>
        <row r="76">
          <cell r="D76">
            <v>8661.33</v>
          </cell>
        </row>
        <row r="77">
          <cell r="D77">
            <v>21127.54</v>
          </cell>
        </row>
        <row r="79">
          <cell r="D79">
            <v>33000.46</v>
          </cell>
        </row>
        <row r="80">
          <cell r="D80">
            <v>16969.48</v>
          </cell>
        </row>
        <row r="81">
          <cell r="D81">
            <v>6837.71</v>
          </cell>
        </row>
        <row r="82">
          <cell r="D82">
            <v>28800.07</v>
          </cell>
        </row>
        <row r="84">
          <cell r="D84">
            <v>114776.43</v>
          </cell>
        </row>
        <row r="85">
          <cell r="D85">
            <v>797.89</v>
          </cell>
        </row>
        <row r="89">
          <cell r="D89">
            <v>335341.27</v>
          </cell>
        </row>
        <row r="90">
          <cell r="D90">
            <v>71900.66</v>
          </cell>
        </row>
        <row r="91">
          <cell r="D91">
            <v>16293.43</v>
          </cell>
        </row>
        <row r="92">
          <cell r="D92">
            <v>366497.48</v>
          </cell>
        </row>
        <row r="93">
          <cell r="D93">
            <v>40394.44</v>
          </cell>
        </row>
        <row r="94">
          <cell r="D94">
            <v>2405.88</v>
          </cell>
        </row>
        <row r="98">
          <cell r="D98">
            <v>50218.36</v>
          </cell>
        </row>
        <row r="99">
          <cell r="D99">
            <v>4931.3900000000003</v>
          </cell>
        </row>
        <row r="100">
          <cell r="D100">
            <v>8596.84</v>
          </cell>
        </row>
        <row r="102">
          <cell r="D102">
            <v>4742.2700000000004</v>
          </cell>
        </row>
        <row r="103">
          <cell r="D103">
            <v>-81.680000000000007</v>
          </cell>
        </row>
        <row r="115">
          <cell r="D115">
            <v>148315.18</v>
          </cell>
        </row>
        <row r="116">
          <cell r="D116">
            <v>31271.07</v>
          </cell>
        </row>
        <row r="117">
          <cell r="D117">
            <v>31264.65</v>
          </cell>
        </row>
        <row r="118">
          <cell r="D118">
            <v>2884</v>
          </cell>
        </row>
        <row r="119">
          <cell r="D119">
            <v>1889.9</v>
          </cell>
        </row>
        <row r="125">
          <cell r="D125">
            <v>664792.80000000005</v>
          </cell>
        </row>
        <row r="127">
          <cell r="D127">
            <v>40766.74</v>
          </cell>
        </row>
        <row r="128">
          <cell r="D128">
            <v>42022.33</v>
          </cell>
        </row>
        <row r="131">
          <cell r="D131">
            <v>68146.149999999994</v>
          </cell>
        </row>
        <row r="133">
          <cell r="D133">
            <v>24660.23</v>
          </cell>
        </row>
        <row r="134">
          <cell r="D134">
            <v>9532.2999999999993</v>
          </cell>
        </row>
        <row r="136">
          <cell r="D136">
            <v>1312610.81</v>
          </cell>
        </row>
        <row r="137">
          <cell r="D137">
            <v>324377.51</v>
          </cell>
        </row>
        <row r="138">
          <cell r="D138">
            <v>1398063.55</v>
          </cell>
        </row>
        <row r="139">
          <cell r="D139">
            <v>126401.3</v>
          </cell>
        </row>
        <row r="141">
          <cell r="D141">
            <v>225356.11</v>
          </cell>
        </row>
        <row r="142">
          <cell r="D142">
            <v>55690.879999999997</v>
          </cell>
        </row>
        <row r="143">
          <cell r="D143">
            <v>240027.09</v>
          </cell>
        </row>
        <row r="144">
          <cell r="D144">
            <v>19895.25</v>
          </cell>
        </row>
        <row r="146">
          <cell r="D146">
            <v>66018.350000000006</v>
          </cell>
        </row>
        <row r="147">
          <cell r="D147">
            <v>64795.31</v>
          </cell>
        </row>
        <row r="148">
          <cell r="D148">
            <v>235196.52</v>
          </cell>
        </row>
        <row r="149">
          <cell r="D149">
            <v>133857.01</v>
          </cell>
        </row>
        <row r="150">
          <cell r="D150">
            <v>11405</v>
          </cell>
        </row>
        <row r="151">
          <cell r="D151">
            <v>356730.61</v>
          </cell>
        </row>
        <row r="152">
          <cell r="D152">
            <v>2232.7800000000002</v>
          </cell>
        </row>
        <row r="153">
          <cell r="D153">
            <v>29759.11</v>
          </cell>
        </row>
        <row r="154">
          <cell r="D154">
            <v>193146.95</v>
          </cell>
        </row>
        <row r="157">
          <cell r="D157">
            <v>3368.59</v>
          </cell>
        </row>
        <row r="161">
          <cell r="D161">
            <v>94318.49</v>
          </cell>
        </row>
        <row r="194">
          <cell r="D194">
            <v>667533.96</v>
          </cell>
          <cell r="H194">
            <v>-20948.650000000001</v>
          </cell>
        </row>
        <row r="195">
          <cell r="D195">
            <v>203136.27</v>
          </cell>
          <cell r="H195">
            <v>-6374.84</v>
          </cell>
        </row>
        <row r="197">
          <cell r="D197">
            <v>618204.71</v>
          </cell>
          <cell r="H197">
            <v>-19400.599999999999</v>
          </cell>
        </row>
        <row r="198">
          <cell r="D198">
            <v>86266.08</v>
          </cell>
        </row>
        <row r="205">
          <cell r="D205">
            <v>777604.42</v>
          </cell>
          <cell r="H205">
            <v>-494204</v>
          </cell>
        </row>
        <row r="206">
          <cell r="D206">
            <v>69125.19</v>
          </cell>
        </row>
        <row r="207">
          <cell r="D207">
            <v>37962.21</v>
          </cell>
        </row>
        <row r="211">
          <cell r="D211">
            <v>220518.47</v>
          </cell>
        </row>
        <row r="212">
          <cell r="D212">
            <v>55689.06</v>
          </cell>
        </row>
        <row r="213">
          <cell r="D213">
            <v>17500.38</v>
          </cell>
        </row>
        <row r="214">
          <cell r="D214">
            <v>925</v>
          </cell>
        </row>
        <row r="216">
          <cell r="D216">
            <v>13785.06</v>
          </cell>
        </row>
        <row r="221">
          <cell r="D221">
            <v>13858493.390000001</v>
          </cell>
        </row>
      </sheetData>
      <sheetData sheetId="8"/>
      <sheetData sheetId="9"/>
      <sheetData sheetId="10">
        <row r="9">
          <cell r="C9">
            <v>22990</v>
          </cell>
          <cell r="D9">
            <v>311</v>
          </cell>
          <cell r="E9">
            <v>7155</v>
          </cell>
          <cell r="F9">
            <v>1246</v>
          </cell>
          <cell r="H9">
            <v>3399</v>
          </cell>
          <cell r="I9">
            <v>2143</v>
          </cell>
          <cell r="J9">
            <v>505</v>
          </cell>
          <cell r="K9">
            <v>42</v>
          </cell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45260</v>
          </cell>
        </row>
        <row r="30">
          <cell r="N30">
            <v>0.83497569597878918</v>
          </cell>
        </row>
        <row r="32">
          <cell r="N32">
            <v>0.51482545293857707</v>
          </cell>
        </row>
        <row r="34">
          <cell r="N34">
            <v>0.61657537508930693</v>
          </cell>
        </row>
      </sheetData>
      <sheetData sheetId="11"/>
      <sheetData sheetId="1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2541291.35</v>
          </cell>
          <cell r="G10">
            <v>-22075.9</v>
          </cell>
        </row>
        <row r="12">
          <cell r="E12"/>
          <cell r="G12">
            <v>1502668.54</v>
          </cell>
        </row>
        <row r="13">
          <cell r="E13">
            <v>0</v>
          </cell>
          <cell r="G13"/>
        </row>
        <row r="14">
          <cell r="E14"/>
          <cell r="G14">
            <v>63674</v>
          </cell>
        </row>
        <row r="15">
          <cell r="E15">
            <v>2541291.35</v>
          </cell>
          <cell r="G15">
            <v>1544266.6400000001</v>
          </cell>
        </row>
        <row r="20">
          <cell r="E20">
            <v>0</v>
          </cell>
          <cell r="G20">
            <v>22075.9</v>
          </cell>
        </row>
        <row r="26">
          <cell r="E26">
            <v>1807994.2</v>
          </cell>
          <cell r="G26">
            <v>0</v>
          </cell>
        </row>
        <row r="32">
          <cell r="E32">
            <v>151550.03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362271.57999999996</v>
          </cell>
          <cell r="G42">
            <v>0</v>
          </cell>
        </row>
        <row r="47">
          <cell r="E47">
            <v>0</v>
          </cell>
          <cell r="G47">
            <v>566735.71</v>
          </cell>
        </row>
        <row r="52">
          <cell r="E52">
            <v>756590.94</v>
          </cell>
          <cell r="G52">
            <v>-566735.71</v>
          </cell>
        </row>
        <row r="57">
          <cell r="E57">
            <v>0</v>
          </cell>
          <cell r="G57">
            <v>0</v>
          </cell>
        </row>
        <row r="72">
          <cell r="E72">
            <v>-94289.84</v>
          </cell>
          <cell r="G72">
            <v>97549</v>
          </cell>
        </row>
        <row r="90">
          <cell r="C90">
            <v>223.69668478260871</v>
          </cell>
          <cell r="E90">
            <v>241.58774193548385</v>
          </cell>
          <cell r="G90">
            <v>320.03573170731704</v>
          </cell>
          <cell r="I90">
            <v>255.92795918367347</v>
          </cell>
        </row>
      </sheetData>
      <sheetData sheetId="6"/>
      <sheetData sheetId="7">
        <row r="10">
          <cell r="D10"/>
          <cell r="F10">
            <v>105900.01</v>
          </cell>
          <cell r="H10"/>
        </row>
        <row r="11">
          <cell r="D11"/>
          <cell r="F11"/>
          <cell r="H11"/>
        </row>
        <row r="12">
          <cell r="D12">
            <v>166800.66</v>
          </cell>
          <cell r="F12"/>
          <cell r="H12"/>
        </row>
        <row r="13">
          <cell r="D13">
            <v>57375.7</v>
          </cell>
          <cell r="F13">
            <v>10378.200000000001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291342</v>
          </cell>
          <cell r="F16">
            <v>59872</v>
          </cell>
          <cell r="H16">
            <v>22346</v>
          </cell>
        </row>
        <row r="17">
          <cell r="D17">
            <v>27056.22</v>
          </cell>
          <cell r="F17">
            <v>-27056</v>
          </cell>
          <cell r="H17"/>
        </row>
        <row r="18">
          <cell r="D18">
            <v>6254.28</v>
          </cell>
          <cell r="F18"/>
          <cell r="H18"/>
        </row>
        <row r="19">
          <cell r="D19">
            <v>23374.78</v>
          </cell>
          <cell r="F19"/>
          <cell r="H19"/>
        </row>
        <row r="20">
          <cell r="D20">
            <v>14478.17</v>
          </cell>
          <cell r="F20"/>
          <cell r="H20"/>
        </row>
        <row r="21">
          <cell r="D21">
            <v>59535.64</v>
          </cell>
          <cell r="F21"/>
          <cell r="H21"/>
        </row>
        <row r="22">
          <cell r="D22"/>
          <cell r="F22"/>
          <cell r="H22"/>
        </row>
        <row r="23">
          <cell r="D23">
            <v>22167.56</v>
          </cell>
          <cell r="F23"/>
          <cell r="H23"/>
        </row>
        <row r="24">
          <cell r="D24">
            <v>48071.95</v>
          </cell>
          <cell r="F24"/>
          <cell r="H24">
            <v>-3149</v>
          </cell>
        </row>
        <row r="25">
          <cell r="D25"/>
          <cell r="F25"/>
          <cell r="H25"/>
        </row>
        <row r="26">
          <cell r="D26">
            <v>433330.64</v>
          </cell>
          <cell r="F26"/>
          <cell r="H26"/>
        </row>
        <row r="27">
          <cell r="D27">
            <v>31972.94</v>
          </cell>
          <cell r="F27">
            <v>4351</v>
          </cell>
          <cell r="H27"/>
        </row>
        <row r="28">
          <cell r="D28"/>
          <cell r="F28">
            <v>0</v>
          </cell>
          <cell r="H28"/>
        </row>
        <row r="29">
          <cell r="D29">
            <v>2130.75</v>
          </cell>
          <cell r="F29">
            <v>-2130.75</v>
          </cell>
          <cell r="H29"/>
        </row>
        <row r="30">
          <cell r="D30"/>
          <cell r="F30">
            <v>0</v>
          </cell>
          <cell r="H30">
            <v>97000</v>
          </cell>
        </row>
        <row r="31">
          <cell r="D31">
            <v>1480.59</v>
          </cell>
          <cell r="F31"/>
          <cell r="H31"/>
        </row>
        <row r="32">
          <cell r="D32">
            <v>179</v>
          </cell>
          <cell r="F32">
            <v>16996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8168.86</v>
          </cell>
          <cell r="F35">
            <v>-8168.86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90.61</v>
          </cell>
          <cell r="F38"/>
          <cell r="H38"/>
        </row>
        <row r="39">
          <cell r="D39">
            <v>5297.67</v>
          </cell>
          <cell r="F39"/>
          <cell r="H39"/>
        </row>
        <row r="40">
          <cell r="D40">
            <v>3702.7</v>
          </cell>
          <cell r="F40"/>
          <cell r="H40"/>
        </row>
        <row r="41">
          <cell r="D41">
            <v>103094.32</v>
          </cell>
          <cell r="F41"/>
          <cell r="H41">
            <v>-4244</v>
          </cell>
        </row>
        <row r="42">
          <cell r="D42">
            <v>3737.09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122193.98</v>
          </cell>
          <cell r="F45">
            <v>-116278</v>
          </cell>
          <cell r="H45"/>
        </row>
        <row r="57">
          <cell r="D57">
            <v>622080</v>
          </cell>
          <cell r="F57"/>
          <cell r="H57"/>
        </row>
        <row r="58">
          <cell r="D58">
            <v>28070.54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16996.439999999999</v>
          </cell>
          <cell r="F61">
            <v>-16996</v>
          </cell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25479.61</v>
          </cell>
          <cell r="F66"/>
          <cell r="H66"/>
        </row>
        <row r="67">
          <cell r="D67">
            <v>48819.24</v>
          </cell>
          <cell r="F67"/>
          <cell r="H67"/>
        </row>
        <row r="68">
          <cell r="D68"/>
          <cell r="F68"/>
          <cell r="H68"/>
        </row>
        <row r="69">
          <cell r="D69">
            <v>69526.66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39484.42</v>
          </cell>
          <cell r="F75"/>
          <cell r="H75"/>
        </row>
        <row r="76">
          <cell r="D76">
            <v>3896.7</v>
          </cell>
          <cell r="F76"/>
          <cell r="H76"/>
        </row>
        <row r="77">
          <cell r="D77">
            <v>16191.7</v>
          </cell>
          <cell r="F77"/>
          <cell r="H77"/>
        </row>
        <row r="78">
          <cell r="D78"/>
          <cell r="F78"/>
          <cell r="H78"/>
        </row>
        <row r="79">
          <cell r="D79">
            <v>1907.64</v>
          </cell>
          <cell r="F79"/>
          <cell r="H79"/>
        </row>
        <row r="80">
          <cell r="D80">
            <v>31099.91</v>
          </cell>
          <cell r="F80"/>
          <cell r="H80"/>
        </row>
        <row r="81">
          <cell r="D81">
            <v>2606.1</v>
          </cell>
          <cell r="F81"/>
          <cell r="H81"/>
        </row>
        <row r="82">
          <cell r="D82">
            <v>9398.25</v>
          </cell>
          <cell r="F82"/>
          <cell r="H82"/>
        </row>
        <row r="83">
          <cell r="D83"/>
          <cell r="F83"/>
          <cell r="H83"/>
        </row>
        <row r="84">
          <cell r="D84">
            <v>111385.84</v>
          </cell>
          <cell r="F84"/>
          <cell r="H84"/>
        </row>
        <row r="85">
          <cell r="D85">
            <v>168.52</v>
          </cell>
          <cell r="F85"/>
          <cell r="H85"/>
        </row>
        <row r="89">
          <cell r="D89">
            <v>231503.51</v>
          </cell>
          <cell r="F89"/>
          <cell r="H89"/>
        </row>
        <row r="90">
          <cell r="D90">
            <v>38979.4</v>
          </cell>
          <cell r="F90"/>
          <cell r="H90"/>
        </row>
        <row r="91">
          <cell r="D91">
            <v>16290.39</v>
          </cell>
          <cell r="F91"/>
          <cell r="H91"/>
        </row>
        <row r="92">
          <cell r="D92">
            <v>202207.63</v>
          </cell>
          <cell r="F92"/>
          <cell r="H92"/>
        </row>
        <row r="93">
          <cell r="D93">
            <v>24773.31</v>
          </cell>
          <cell r="F93"/>
          <cell r="H93"/>
        </row>
        <row r="94">
          <cell r="D94">
            <v>18.920000000000002</v>
          </cell>
          <cell r="F94"/>
          <cell r="H94"/>
        </row>
        <row r="98">
          <cell r="D98">
            <v>45937.72</v>
          </cell>
          <cell r="F98"/>
          <cell r="H98"/>
        </row>
        <row r="99">
          <cell r="D99">
            <v>9512.6</v>
          </cell>
          <cell r="F99"/>
          <cell r="H99"/>
        </row>
        <row r="100">
          <cell r="D100">
            <v>6652.73</v>
          </cell>
          <cell r="F100"/>
          <cell r="H100"/>
        </row>
        <row r="101">
          <cell r="D101">
            <v>169.48</v>
          </cell>
          <cell r="F101"/>
          <cell r="H101"/>
        </row>
        <row r="102">
          <cell r="D102">
            <v>4819.04</v>
          </cell>
          <cell r="F102"/>
          <cell r="H102"/>
        </row>
        <row r="103">
          <cell r="D103"/>
          <cell r="F103"/>
          <cell r="H103"/>
        </row>
        <row r="115">
          <cell r="D115">
            <v>119589.72</v>
          </cell>
          <cell r="F115"/>
          <cell r="H115"/>
        </row>
        <row r="116">
          <cell r="D116">
            <v>19760.09</v>
          </cell>
          <cell r="F116"/>
          <cell r="H116"/>
        </row>
        <row r="117">
          <cell r="D117">
            <v>20004.54</v>
          </cell>
          <cell r="F117"/>
          <cell r="H117"/>
        </row>
        <row r="118">
          <cell r="D118">
            <v>3250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350334.9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38030.49</v>
          </cell>
          <cell r="F128"/>
          <cell r="H128"/>
        </row>
        <row r="130">
          <cell r="D130"/>
          <cell r="F130"/>
          <cell r="H130"/>
        </row>
        <row r="131">
          <cell r="D131">
            <v>63769.9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8504.02</v>
          </cell>
          <cell r="F134"/>
          <cell r="H134"/>
        </row>
        <row r="136">
          <cell r="D136">
            <v>418084.72</v>
          </cell>
          <cell r="F136"/>
          <cell r="H136"/>
        </row>
        <row r="137">
          <cell r="D137">
            <v>305145.77</v>
          </cell>
          <cell r="F137"/>
          <cell r="H137"/>
        </row>
        <row r="138">
          <cell r="D138">
            <v>697071.48</v>
          </cell>
          <cell r="F138"/>
          <cell r="H138"/>
        </row>
        <row r="139">
          <cell r="D139">
            <v>30418.81</v>
          </cell>
          <cell r="F139"/>
          <cell r="H139"/>
        </row>
        <row r="141">
          <cell r="D141">
            <v>75616.210000000006</v>
          </cell>
          <cell r="F141"/>
          <cell r="H141"/>
        </row>
        <row r="142">
          <cell r="D142">
            <v>55189.69</v>
          </cell>
          <cell r="F142"/>
          <cell r="H142"/>
        </row>
        <row r="143">
          <cell r="D143">
            <v>126074.7</v>
          </cell>
          <cell r="F143"/>
          <cell r="H143"/>
        </row>
        <row r="144">
          <cell r="D144">
            <v>2945.31</v>
          </cell>
          <cell r="F144"/>
          <cell r="H144"/>
        </row>
        <row r="146">
          <cell r="D146"/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1880</v>
          </cell>
          <cell r="F150"/>
          <cell r="H150"/>
        </row>
        <row r="151">
          <cell r="D151">
            <v>145382.20000000001</v>
          </cell>
          <cell r="F151"/>
          <cell r="H151"/>
        </row>
        <row r="152">
          <cell r="D152">
            <v>2726.97</v>
          </cell>
          <cell r="F152"/>
          <cell r="H152"/>
        </row>
        <row r="153">
          <cell r="D153">
            <v>1910.68</v>
          </cell>
          <cell r="F153"/>
          <cell r="H153"/>
        </row>
        <row r="154">
          <cell r="D154">
            <v>375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889.1</v>
          </cell>
          <cell r="F160"/>
          <cell r="H160"/>
        </row>
        <row r="161">
          <cell r="D161">
            <v>44245.42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278303.90999999997</v>
          </cell>
          <cell r="F194"/>
          <cell r="H194">
            <v>-1498</v>
          </cell>
        </row>
        <row r="195">
          <cell r="D195">
            <v>24586.799999999999</v>
          </cell>
          <cell r="F195"/>
          <cell r="H195">
            <v>-132</v>
          </cell>
        </row>
        <row r="196">
          <cell r="D196"/>
          <cell r="F196"/>
          <cell r="H196"/>
        </row>
        <row r="197">
          <cell r="D197">
            <v>282036.15000000002</v>
          </cell>
          <cell r="F197"/>
          <cell r="H197">
            <v>-1518</v>
          </cell>
        </row>
        <row r="198">
          <cell r="D198">
            <v>33921.300000000003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166961.89000000001</v>
          </cell>
          <cell r="F205"/>
          <cell r="H205"/>
        </row>
        <row r="206">
          <cell r="D206">
            <v>10287.99</v>
          </cell>
          <cell r="F206"/>
          <cell r="H206"/>
        </row>
        <row r="207">
          <cell r="D207">
            <v>19541.57</v>
          </cell>
          <cell r="F207"/>
          <cell r="H207"/>
        </row>
        <row r="211">
          <cell r="D211">
            <v>123852.89</v>
          </cell>
          <cell r="F211"/>
          <cell r="H211"/>
        </row>
        <row r="212">
          <cell r="D212">
            <v>14713.27</v>
          </cell>
          <cell r="F212"/>
          <cell r="H212"/>
        </row>
        <row r="213">
          <cell r="D213">
            <v>19807.14</v>
          </cell>
          <cell r="F213"/>
          <cell r="H213"/>
        </row>
        <row r="214">
          <cell r="D214">
            <v>312.5</v>
          </cell>
          <cell r="F214"/>
          <cell r="H214"/>
        </row>
        <row r="215">
          <cell r="D215"/>
          <cell r="F215"/>
          <cell r="H215"/>
        </row>
        <row r="216">
          <cell r="D216">
            <v>2650.35</v>
          </cell>
          <cell r="F216"/>
          <cell r="H216"/>
        </row>
        <row r="221">
          <cell r="D221">
            <v>6547988</v>
          </cell>
        </row>
      </sheetData>
      <sheetData sheetId="8"/>
      <sheetData sheetId="9"/>
      <sheetData sheetId="10">
        <row r="9">
          <cell r="C9">
            <v>14769</v>
          </cell>
          <cell r="D9">
            <v>122</v>
          </cell>
          <cell r="E9">
            <v>3356</v>
          </cell>
          <cell r="F9">
            <v>319</v>
          </cell>
          <cell r="G9"/>
          <cell r="H9">
            <v>1446</v>
          </cell>
          <cell r="I9">
            <v>3315</v>
          </cell>
          <cell r="J9">
            <v>990</v>
          </cell>
          <cell r="K9"/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0.55518264840182652</v>
          </cell>
        </row>
        <row r="32">
          <cell r="N32">
            <v>0.3399771689497717</v>
          </cell>
        </row>
        <row r="34">
          <cell r="N34">
            <v>0.61236994695069291</v>
          </cell>
        </row>
      </sheetData>
      <sheetData sheetId="11"/>
      <sheetData sheetId="1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1060471.0999999999</v>
          </cell>
          <cell r="G10">
            <v>0</v>
          </cell>
        </row>
        <row r="12">
          <cell r="E12"/>
          <cell r="G12">
            <v>563258</v>
          </cell>
        </row>
        <row r="13">
          <cell r="E13">
            <v>-16.39999999999327</v>
          </cell>
          <cell r="G13"/>
        </row>
        <row r="14">
          <cell r="E14"/>
          <cell r="G14">
            <v>31089</v>
          </cell>
        </row>
        <row r="15">
          <cell r="E15">
            <v>1060454.7</v>
          </cell>
          <cell r="G15">
            <v>594347</v>
          </cell>
        </row>
        <row r="20">
          <cell r="E20">
            <v>0</v>
          </cell>
          <cell r="G20">
            <v>0</v>
          </cell>
        </row>
        <row r="26">
          <cell r="E26">
            <v>977258.73999999976</v>
          </cell>
          <cell r="G26">
            <v>0</v>
          </cell>
        </row>
        <row r="32">
          <cell r="E32">
            <v>41673.540000000008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78308.69</v>
          </cell>
          <cell r="G42">
            <v>0</v>
          </cell>
        </row>
        <row r="47">
          <cell r="E47">
            <v>0</v>
          </cell>
          <cell r="G47">
            <v>50960</v>
          </cell>
        </row>
        <row r="52">
          <cell r="E52">
            <v>103565.95000000001</v>
          </cell>
          <cell r="G52">
            <v>-50960</v>
          </cell>
        </row>
        <row r="57">
          <cell r="E57">
            <v>0</v>
          </cell>
          <cell r="G57">
            <v>0</v>
          </cell>
        </row>
        <row r="72">
          <cell r="E72">
            <v>37995.189999999995</v>
          </cell>
          <cell r="G72">
            <v>-4997</v>
          </cell>
        </row>
        <row r="90">
          <cell r="C90">
            <v>177.16330143540671</v>
          </cell>
          <cell r="E90">
            <v>182.96261780104709</v>
          </cell>
          <cell r="G90">
            <v>259.24274336283185</v>
          </cell>
          <cell r="I90">
            <v>225.08558823529413</v>
          </cell>
        </row>
      </sheetData>
      <sheetData sheetId="6"/>
      <sheetData sheetId="7">
        <row r="10">
          <cell r="D10"/>
          <cell r="F10">
            <v>137921.17000000001</v>
          </cell>
          <cell r="H10"/>
        </row>
        <row r="11">
          <cell r="D11"/>
          <cell r="F11"/>
          <cell r="H11"/>
        </row>
        <row r="12">
          <cell r="D12">
            <v>63867.94</v>
          </cell>
          <cell r="F12"/>
          <cell r="H12"/>
        </row>
        <row r="13">
          <cell r="D13">
            <v>20797.810000000001</v>
          </cell>
          <cell r="F13">
            <v>13516.27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114581.94</v>
          </cell>
          <cell r="F16">
            <v>26092</v>
          </cell>
          <cell r="H16">
            <v>-31743</v>
          </cell>
        </row>
        <row r="17">
          <cell r="D17">
            <v>15483.19</v>
          </cell>
          <cell r="F17">
            <v>-15483</v>
          </cell>
          <cell r="H17"/>
        </row>
        <row r="18">
          <cell r="D18">
            <v>3757.12</v>
          </cell>
          <cell r="F18"/>
          <cell r="H18"/>
        </row>
        <row r="19">
          <cell r="D19">
            <v>10088.16</v>
          </cell>
          <cell r="F19"/>
          <cell r="H19"/>
        </row>
        <row r="20">
          <cell r="D20">
            <v>8237.4699999999993</v>
          </cell>
          <cell r="F20"/>
          <cell r="H20"/>
        </row>
        <row r="21">
          <cell r="D21">
            <v>22463.31</v>
          </cell>
          <cell r="F21"/>
          <cell r="H21"/>
        </row>
        <row r="22">
          <cell r="D22"/>
          <cell r="F22"/>
          <cell r="H22"/>
        </row>
        <row r="23">
          <cell r="D23">
            <v>16273.53</v>
          </cell>
          <cell r="F23"/>
          <cell r="H23"/>
        </row>
        <row r="24">
          <cell r="D24">
            <v>46400.51</v>
          </cell>
          <cell r="F24"/>
          <cell r="H24">
            <v>-2309</v>
          </cell>
        </row>
        <row r="25">
          <cell r="D25"/>
          <cell r="F25"/>
          <cell r="H25"/>
        </row>
        <row r="26">
          <cell r="D26">
            <v>148075.24</v>
          </cell>
          <cell r="F26"/>
          <cell r="H26"/>
        </row>
        <row r="27">
          <cell r="D27">
            <v>1007.18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86979.63</v>
          </cell>
          <cell r="F29">
            <v>-86979.63</v>
          </cell>
          <cell r="H29"/>
        </row>
        <row r="30">
          <cell r="D30"/>
          <cell r="F30">
            <v>0</v>
          </cell>
          <cell r="H30"/>
        </row>
        <row r="31">
          <cell r="D31">
            <v>133.94</v>
          </cell>
          <cell r="F31"/>
          <cell r="H31"/>
        </row>
        <row r="32">
          <cell r="D32">
            <v>750</v>
          </cell>
          <cell r="F32">
            <v>21752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20107.7</v>
          </cell>
          <cell r="F35">
            <v>-20107.7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310.39999999999998</v>
          </cell>
          <cell r="F38"/>
          <cell r="H38"/>
        </row>
        <row r="39">
          <cell r="D39">
            <v>5872.03</v>
          </cell>
          <cell r="F39"/>
          <cell r="H39"/>
        </row>
        <row r="40">
          <cell r="D40">
            <v>2082.44</v>
          </cell>
          <cell r="F40"/>
          <cell r="H40"/>
        </row>
        <row r="41">
          <cell r="D41">
            <v>48088.95</v>
          </cell>
          <cell r="F41"/>
          <cell r="H41">
            <v>-1164</v>
          </cell>
        </row>
        <row r="42">
          <cell r="D42">
            <v>2637.41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144464.92000000001</v>
          </cell>
          <cell r="F45">
            <v>-151437</v>
          </cell>
          <cell r="H45"/>
        </row>
        <row r="57">
          <cell r="D57">
            <v>64971.87</v>
          </cell>
          <cell r="F57"/>
          <cell r="H57">
            <v>-64972</v>
          </cell>
        </row>
        <row r="58">
          <cell r="D58">
            <v>12243.12</v>
          </cell>
          <cell r="F58"/>
          <cell r="H58">
            <v>13589.04</v>
          </cell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21752.2</v>
          </cell>
          <cell r="F61">
            <v>-21752</v>
          </cell>
          <cell r="H61"/>
        </row>
        <row r="62">
          <cell r="D62">
            <v>10468.08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2147.7600000000002</v>
          </cell>
          <cell r="F66"/>
          <cell r="H66"/>
        </row>
        <row r="67">
          <cell r="D67">
            <v>47666.14</v>
          </cell>
          <cell r="F67"/>
          <cell r="H67"/>
        </row>
        <row r="68">
          <cell r="D68"/>
          <cell r="F68"/>
          <cell r="H68"/>
        </row>
        <row r="69">
          <cell r="D69">
            <v>1537.01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33750.480000000003</v>
          </cell>
          <cell r="F75"/>
          <cell r="H75"/>
        </row>
        <row r="76">
          <cell r="D76">
            <v>2884.79</v>
          </cell>
          <cell r="F76"/>
          <cell r="H76"/>
        </row>
        <row r="77">
          <cell r="D77">
            <v>4462.32</v>
          </cell>
          <cell r="F77"/>
          <cell r="H77"/>
        </row>
        <row r="78">
          <cell r="D78">
            <v>70</v>
          </cell>
          <cell r="F78"/>
          <cell r="H78"/>
        </row>
        <row r="79">
          <cell r="D79">
            <v>14089.2</v>
          </cell>
          <cell r="F79"/>
          <cell r="H79"/>
        </row>
        <row r="80">
          <cell r="D80">
            <v>12205.72</v>
          </cell>
          <cell r="F80"/>
          <cell r="H80"/>
        </row>
        <row r="81">
          <cell r="D81">
            <v>1647.8</v>
          </cell>
          <cell r="F81"/>
          <cell r="H81"/>
        </row>
        <row r="82">
          <cell r="D82">
            <v>4294.38</v>
          </cell>
          <cell r="F82"/>
          <cell r="H82"/>
        </row>
        <row r="83">
          <cell r="D83"/>
          <cell r="F83"/>
          <cell r="H83"/>
        </row>
        <row r="84">
          <cell r="D84">
            <v>42031.45</v>
          </cell>
          <cell r="F84"/>
          <cell r="H84"/>
        </row>
        <row r="85">
          <cell r="D85">
            <v>462.75</v>
          </cell>
          <cell r="F85"/>
          <cell r="H85"/>
        </row>
        <row r="89">
          <cell r="D89">
            <v>159551.44</v>
          </cell>
          <cell r="F89"/>
          <cell r="H89"/>
        </row>
        <row r="90">
          <cell r="D90">
            <v>22221.88</v>
          </cell>
          <cell r="F90"/>
          <cell r="H90"/>
        </row>
        <row r="91">
          <cell r="D91">
            <v>12261.2</v>
          </cell>
          <cell r="F91"/>
          <cell r="H91"/>
        </row>
        <row r="92">
          <cell r="D92">
            <v>84147.59</v>
          </cell>
          <cell r="F92"/>
          <cell r="H92"/>
        </row>
        <row r="93">
          <cell r="D93">
            <v>8923.83</v>
          </cell>
          <cell r="F93"/>
          <cell r="H93"/>
        </row>
        <row r="94">
          <cell r="D94">
            <v>1950.38</v>
          </cell>
          <cell r="F94"/>
          <cell r="H94"/>
        </row>
        <row r="98">
          <cell r="D98">
            <v>21482.94</v>
          </cell>
          <cell r="F98"/>
          <cell r="H98"/>
        </row>
        <row r="99">
          <cell r="D99">
            <v>2196.87</v>
          </cell>
          <cell r="F99"/>
          <cell r="H99"/>
        </row>
        <row r="100">
          <cell r="D100">
            <v>2124.84</v>
          </cell>
          <cell r="F100"/>
          <cell r="H100"/>
        </row>
        <row r="101">
          <cell r="D101">
            <v>632.46</v>
          </cell>
          <cell r="F101"/>
          <cell r="H101"/>
        </row>
        <row r="102">
          <cell r="D102">
            <v>5732.05</v>
          </cell>
          <cell r="F102"/>
          <cell r="H102"/>
        </row>
        <row r="103">
          <cell r="D103"/>
          <cell r="F103"/>
          <cell r="H103"/>
        </row>
        <row r="115">
          <cell r="D115">
            <v>45305.58</v>
          </cell>
          <cell r="F115"/>
          <cell r="H115"/>
        </row>
        <row r="116">
          <cell r="D116">
            <v>4488.05</v>
          </cell>
          <cell r="F116"/>
          <cell r="H116"/>
        </row>
        <row r="117">
          <cell r="D117">
            <v>4918.8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164990.56</v>
          </cell>
          <cell r="F125"/>
          <cell r="H125"/>
        </row>
        <row r="126">
          <cell r="D126"/>
          <cell r="F126"/>
          <cell r="H126"/>
        </row>
        <row r="127">
          <cell r="D127">
            <v>27303.45</v>
          </cell>
          <cell r="F127"/>
          <cell r="H127"/>
        </row>
        <row r="128">
          <cell r="D128">
            <v>15759.27</v>
          </cell>
          <cell r="F128"/>
          <cell r="H128"/>
        </row>
        <row r="130">
          <cell r="D130">
            <v>28654.52</v>
          </cell>
          <cell r="F130"/>
          <cell r="H130"/>
        </row>
        <row r="131">
          <cell r="D131"/>
          <cell r="F131"/>
          <cell r="H131"/>
        </row>
        <row r="132">
          <cell r="D132"/>
          <cell r="F132"/>
          <cell r="H132"/>
        </row>
        <row r="133">
          <cell r="D133">
            <v>2654.98</v>
          </cell>
          <cell r="F133"/>
          <cell r="H133"/>
        </row>
        <row r="134">
          <cell r="D134">
            <v>1247.51</v>
          </cell>
          <cell r="F134"/>
          <cell r="H134"/>
        </row>
        <row r="136">
          <cell r="D136">
            <v>233108.51</v>
          </cell>
          <cell r="F136"/>
          <cell r="H136"/>
        </row>
        <row r="137">
          <cell r="D137">
            <v>58715.25</v>
          </cell>
          <cell r="F137"/>
          <cell r="H137"/>
        </row>
        <row r="138">
          <cell r="D138">
            <v>290223.48</v>
          </cell>
          <cell r="F138"/>
          <cell r="H138"/>
        </row>
        <row r="139">
          <cell r="D139">
            <v>767.49</v>
          </cell>
          <cell r="F139"/>
          <cell r="H139"/>
        </row>
        <row r="141">
          <cell r="D141">
            <v>36219.17</v>
          </cell>
          <cell r="F141"/>
          <cell r="H141"/>
        </row>
        <row r="142">
          <cell r="D142">
            <v>9122.8700000000008</v>
          </cell>
          <cell r="F142"/>
          <cell r="H142"/>
        </row>
        <row r="143">
          <cell r="D143">
            <v>45093.4</v>
          </cell>
          <cell r="F143"/>
          <cell r="H143"/>
        </row>
        <row r="144">
          <cell r="D144">
            <v>62.27</v>
          </cell>
          <cell r="F144"/>
          <cell r="H144"/>
        </row>
        <row r="146">
          <cell r="D146">
            <v>7960</v>
          </cell>
          <cell r="F146"/>
          <cell r="H146"/>
        </row>
        <row r="147">
          <cell r="D147">
            <v>8889.09</v>
          </cell>
          <cell r="F147"/>
          <cell r="H147"/>
        </row>
        <row r="148">
          <cell r="D148">
            <v>50607.53</v>
          </cell>
          <cell r="F148"/>
          <cell r="H148"/>
        </row>
        <row r="149">
          <cell r="D149">
            <v>26925.09</v>
          </cell>
          <cell r="F149"/>
          <cell r="H149"/>
        </row>
        <row r="150">
          <cell r="D150">
            <v>2425</v>
          </cell>
          <cell r="F150"/>
          <cell r="H150"/>
        </row>
        <row r="151">
          <cell r="D151">
            <v>45759.32</v>
          </cell>
          <cell r="F151"/>
          <cell r="H151"/>
        </row>
        <row r="152">
          <cell r="D152">
            <v>587.52</v>
          </cell>
          <cell r="F152"/>
          <cell r="H152"/>
        </row>
        <row r="153">
          <cell r="D153">
            <v>12261.38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3050.22</v>
          </cell>
          <cell r="F160"/>
          <cell r="H160"/>
        </row>
        <row r="161">
          <cell r="D161">
            <v>26391.66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224528.29</v>
          </cell>
          <cell r="F194"/>
          <cell r="H194">
            <v>-5641</v>
          </cell>
        </row>
        <row r="195">
          <cell r="D195">
            <v>14956.16</v>
          </cell>
          <cell r="F195"/>
          <cell r="H195">
            <v>-376</v>
          </cell>
        </row>
        <row r="196">
          <cell r="D196"/>
          <cell r="F196"/>
          <cell r="H196"/>
        </row>
        <row r="197">
          <cell r="D197">
            <v>160706</v>
          </cell>
          <cell r="F197"/>
          <cell r="H197">
            <v>-4038</v>
          </cell>
        </row>
        <row r="198">
          <cell r="D198">
            <v>10024.32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79787.81</v>
          </cell>
          <cell r="F205"/>
          <cell r="H205">
            <v>-51405</v>
          </cell>
        </row>
        <row r="206">
          <cell r="D206">
            <v>5238.51</v>
          </cell>
          <cell r="F206"/>
          <cell r="H206"/>
        </row>
        <row r="207">
          <cell r="D207">
            <v>1969.18</v>
          </cell>
          <cell r="F207"/>
          <cell r="H207"/>
        </row>
        <row r="211">
          <cell r="D211">
            <v>50018.8</v>
          </cell>
          <cell r="F211"/>
          <cell r="H211"/>
        </row>
        <row r="212">
          <cell r="D212">
            <v>10098.780000000001</v>
          </cell>
          <cell r="F212"/>
          <cell r="H212"/>
        </row>
        <row r="213">
          <cell r="D213">
            <v>5868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3919.77</v>
          </cell>
          <cell r="F216"/>
          <cell r="H216"/>
        </row>
        <row r="221">
          <cell r="D221">
            <v>3100978.85</v>
          </cell>
        </row>
      </sheetData>
      <sheetData sheetId="8"/>
      <sheetData sheetId="9"/>
      <sheetData sheetId="10">
        <row r="9">
          <cell r="C9">
            <v>6141</v>
          </cell>
          <cell r="D9"/>
          <cell r="E9">
            <v>1581</v>
          </cell>
          <cell r="F9">
            <v>90</v>
          </cell>
          <cell r="G9"/>
          <cell r="H9">
            <v>411</v>
          </cell>
          <cell r="I9">
            <v>269</v>
          </cell>
          <cell r="J9">
            <v>353</v>
          </cell>
          <cell r="K9"/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0.52680166765932102</v>
          </cell>
        </row>
        <row r="32">
          <cell r="N32">
            <v>0.36575342465753424</v>
          </cell>
        </row>
        <row r="34">
          <cell r="N34">
            <v>0.69429055963821373</v>
          </cell>
        </row>
      </sheetData>
      <sheetData sheetId="11"/>
      <sheetData sheetId="1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396673.64</v>
          </cell>
          <cell r="G10">
            <v>0</v>
          </cell>
        </row>
        <row r="12">
          <cell r="E12"/>
          <cell r="G12">
            <v>92910</v>
          </cell>
        </row>
        <row r="13">
          <cell r="E13">
            <v>0.5999999999994543</v>
          </cell>
          <cell r="G13"/>
        </row>
        <row r="14">
          <cell r="E14"/>
          <cell r="G14">
            <v>2821</v>
          </cell>
        </row>
        <row r="15">
          <cell r="E15">
            <v>396674.24</v>
          </cell>
          <cell r="G15">
            <v>95731</v>
          </cell>
        </row>
        <row r="20">
          <cell r="E20">
            <v>0</v>
          </cell>
          <cell r="G20">
            <v>0</v>
          </cell>
        </row>
        <row r="26">
          <cell r="E26">
            <v>2848105.01</v>
          </cell>
          <cell r="G26">
            <v>0</v>
          </cell>
        </row>
        <row r="32">
          <cell r="E32">
            <v>1420072.88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832529.14</v>
          </cell>
          <cell r="G42">
            <v>0</v>
          </cell>
        </row>
        <row r="47">
          <cell r="E47">
            <v>0</v>
          </cell>
          <cell r="G47">
            <v>80196</v>
          </cell>
        </row>
        <row r="52">
          <cell r="E52">
            <v>141117.81999999998</v>
          </cell>
          <cell r="G52">
            <v>-80196</v>
          </cell>
        </row>
        <row r="57">
          <cell r="E57">
            <v>0</v>
          </cell>
          <cell r="G57">
            <v>0</v>
          </cell>
        </row>
        <row r="72">
          <cell r="E72">
            <v>852306.98</v>
          </cell>
          <cell r="G72">
            <v>17850</v>
          </cell>
        </row>
        <row r="90">
          <cell r="C90">
            <v>433.09658695652172</v>
          </cell>
          <cell r="E90">
            <v>430.00944897959187</v>
          </cell>
          <cell r="G90">
            <v>504.94369942196528</v>
          </cell>
          <cell r="I90">
            <v>414.8173126614987</v>
          </cell>
        </row>
      </sheetData>
      <sheetData sheetId="6"/>
      <sheetData sheetId="7">
        <row r="10">
          <cell r="D10"/>
          <cell r="F10">
            <v>102126.66</v>
          </cell>
          <cell r="H10"/>
        </row>
        <row r="11">
          <cell r="D11"/>
          <cell r="F11"/>
          <cell r="H11"/>
        </row>
        <row r="12">
          <cell r="D12">
            <v>110273.96</v>
          </cell>
          <cell r="F12"/>
          <cell r="H12"/>
        </row>
        <row r="13">
          <cell r="D13">
            <v>28150.87</v>
          </cell>
          <cell r="F13">
            <v>10008.41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282474</v>
          </cell>
          <cell r="F16">
            <v>20671</v>
          </cell>
          <cell r="H16">
            <v>55743</v>
          </cell>
        </row>
        <row r="17">
          <cell r="D17">
            <v>8700.36</v>
          </cell>
          <cell r="F17">
            <v>-8700</v>
          </cell>
          <cell r="H17"/>
        </row>
        <row r="18">
          <cell r="D18">
            <v>8980.7000000000007</v>
          </cell>
          <cell r="F18"/>
          <cell r="H18"/>
        </row>
        <row r="19">
          <cell r="D19">
            <v>13036.78</v>
          </cell>
          <cell r="F19"/>
          <cell r="H19"/>
        </row>
        <row r="20">
          <cell r="D20">
            <v>6720.16</v>
          </cell>
          <cell r="F20"/>
          <cell r="H20"/>
        </row>
        <row r="21">
          <cell r="D21">
            <v>48489.65</v>
          </cell>
          <cell r="F21"/>
          <cell r="H21"/>
        </row>
        <row r="22">
          <cell r="D22"/>
          <cell r="F22"/>
          <cell r="H22"/>
        </row>
        <row r="23">
          <cell r="D23">
            <v>24165.48</v>
          </cell>
          <cell r="F23"/>
          <cell r="H23"/>
        </row>
        <row r="24">
          <cell r="D24">
            <v>71695.11</v>
          </cell>
          <cell r="F24"/>
          <cell r="H24">
            <v>-3853.85</v>
          </cell>
        </row>
        <row r="25">
          <cell r="D25"/>
          <cell r="F25"/>
          <cell r="H25"/>
        </row>
        <row r="26">
          <cell r="D26">
            <v>96235.76</v>
          </cell>
          <cell r="F26"/>
          <cell r="H26"/>
        </row>
        <row r="27">
          <cell r="D27">
            <v>5069.46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148751.6</v>
          </cell>
          <cell r="F31"/>
          <cell r="H31"/>
        </row>
        <row r="32">
          <cell r="D32">
            <v>663.91</v>
          </cell>
          <cell r="F32">
            <v>12436</v>
          </cell>
          <cell r="H32"/>
        </row>
        <row r="33">
          <cell r="D33"/>
          <cell r="F33">
            <v>0</v>
          </cell>
          <cell r="H33"/>
        </row>
        <row r="34">
          <cell r="D34">
            <v>3696.43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6382.68</v>
          </cell>
          <cell r="F39"/>
          <cell r="H39"/>
        </row>
        <row r="40">
          <cell r="D40">
            <v>6780.33</v>
          </cell>
          <cell r="F40"/>
          <cell r="H40"/>
        </row>
        <row r="41">
          <cell r="D41">
            <v>43064.09</v>
          </cell>
          <cell r="F41"/>
          <cell r="H41">
            <v>-4096</v>
          </cell>
        </row>
        <row r="42">
          <cell r="D42">
            <v>1406.17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114255.99</v>
          </cell>
          <cell r="F45">
            <v>-112135</v>
          </cell>
          <cell r="H45"/>
        </row>
        <row r="57">
          <cell r="D57">
            <v>487560</v>
          </cell>
          <cell r="F57"/>
          <cell r="H57">
            <v>-487560</v>
          </cell>
        </row>
        <row r="58">
          <cell r="D58">
            <v>26596.86</v>
          </cell>
          <cell r="F58"/>
          <cell r="H58">
            <v>199071.76</v>
          </cell>
        </row>
        <row r="59">
          <cell r="D59"/>
          <cell r="F59"/>
          <cell r="H59">
            <v>185371.27</v>
          </cell>
        </row>
        <row r="60">
          <cell r="D60"/>
          <cell r="F60"/>
          <cell r="H60"/>
        </row>
        <row r="61">
          <cell r="D61">
            <v>12435.88</v>
          </cell>
          <cell r="F61">
            <v>-12436</v>
          </cell>
          <cell r="H61"/>
        </row>
        <row r="62">
          <cell r="D62">
            <v>12185.52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5814.89</v>
          </cell>
          <cell r="F66"/>
          <cell r="H66"/>
        </row>
        <row r="67">
          <cell r="D67">
            <v>35005.480000000003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38038.86</v>
          </cell>
          <cell r="F75"/>
          <cell r="H75"/>
        </row>
        <row r="76">
          <cell r="D76">
            <v>8011.56</v>
          </cell>
          <cell r="F76"/>
          <cell r="H76"/>
        </row>
        <row r="77">
          <cell r="D77">
            <v>22072.92</v>
          </cell>
          <cell r="F77"/>
          <cell r="H77"/>
        </row>
        <row r="78">
          <cell r="D78"/>
          <cell r="F78"/>
          <cell r="H78"/>
        </row>
        <row r="79">
          <cell r="D79">
            <v>8250.2999999999993</v>
          </cell>
          <cell r="F79"/>
          <cell r="H79"/>
        </row>
        <row r="80">
          <cell r="D80">
            <v>9010.2000000000007</v>
          </cell>
          <cell r="F80"/>
          <cell r="H80"/>
        </row>
        <row r="81">
          <cell r="D81">
            <v>2072.79</v>
          </cell>
          <cell r="F81"/>
          <cell r="H81"/>
        </row>
        <row r="82">
          <cell r="D82">
            <v>38395.17</v>
          </cell>
          <cell r="F82"/>
          <cell r="H82"/>
        </row>
        <row r="83">
          <cell r="D83"/>
          <cell r="F83"/>
          <cell r="H83"/>
        </row>
        <row r="84">
          <cell r="D84">
            <v>115226.64</v>
          </cell>
          <cell r="F84"/>
          <cell r="H84"/>
        </row>
        <row r="85">
          <cell r="D85">
            <v>969.21</v>
          </cell>
          <cell r="F85"/>
          <cell r="H85"/>
        </row>
        <row r="89">
          <cell r="D89">
            <v>172229.03</v>
          </cell>
          <cell r="F89"/>
          <cell r="H89"/>
        </row>
        <row r="90">
          <cell r="D90">
            <v>38811.65</v>
          </cell>
          <cell r="F90"/>
          <cell r="H90"/>
        </row>
        <row r="91">
          <cell r="D91">
            <v>25332.87</v>
          </cell>
          <cell r="F91"/>
          <cell r="H91"/>
        </row>
        <row r="92">
          <cell r="D92">
            <v>132157.9</v>
          </cell>
          <cell r="F92"/>
          <cell r="H92"/>
        </row>
        <row r="93">
          <cell r="D93">
            <v>16885.68</v>
          </cell>
          <cell r="F93"/>
          <cell r="H93"/>
        </row>
        <row r="94">
          <cell r="D94">
            <v>1848</v>
          </cell>
          <cell r="F94"/>
          <cell r="H94"/>
        </row>
        <row r="98">
          <cell r="D98">
            <v>15732.94</v>
          </cell>
          <cell r="F98"/>
          <cell r="H98"/>
        </row>
        <row r="99">
          <cell r="D99">
            <v>1608.71</v>
          </cell>
          <cell r="F99"/>
          <cell r="H99"/>
        </row>
        <row r="100">
          <cell r="D100">
            <v>4425.09</v>
          </cell>
          <cell r="F100"/>
          <cell r="H100"/>
        </row>
        <row r="101">
          <cell r="D101"/>
          <cell r="F101"/>
          <cell r="H101"/>
        </row>
        <row r="102">
          <cell r="D102">
            <v>477.33</v>
          </cell>
          <cell r="F102"/>
          <cell r="H102"/>
        </row>
        <row r="103">
          <cell r="D103"/>
          <cell r="F103"/>
          <cell r="H103"/>
        </row>
        <row r="115">
          <cell r="D115">
            <v>36167.870000000003</v>
          </cell>
          <cell r="F115"/>
          <cell r="H115"/>
        </row>
        <row r="116">
          <cell r="D116">
            <v>7478.61</v>
          </cell>
          <cell r="F116"/>
          <cell r="H116"/>
        </row>
        <row r="117">
          <cell r="D117">
            <v>9304.24</v>
          </cell>
          <cell r="F117"/>
          <cell r="H117"/>
        </row>
        <row r="118">
          <cell r="D118">
            <v>7956</v>
          </cell>
          <cell r="F118"/>
          <cell r="H118"/>
        </row>
        <row r="119">
          <cell r="D119">
            <v>2190.48</v>
          </cell>
          <cell r="F119"/>
          <cell r="H119"/>
        </row>
        <row r="124">
          <cell r="D124"/>
          <cell r="F124"/>
          <cell r="H124"/>
        </row>
        <row r="125">
          <cell r="D125">
            <v>401096.09</v>
          </cell>
          <cell r="F125"/>
          <cell r="H125"/>
        </row>
        <row r="126">
          <cell r="D126"/>
          <cell r="F126"/>
          <cell r="H126"/>
        </row>
        <row r="127">
          <cell r="D127">
            <v>24263.72</v>
          </cell>
          <cell r="F127"/>
          <cell r="H127"/>
        </row>
        <row r="128">
          <cell r="D128">
            <v>27696.75</v>
          </cell>
          <cell r="F128"/>
          <cell r="H128"/>
        </row>
        <row r="130">
          <cell r="D130"/>
          <cell r="F130"/>
          <cell r="H130"/>
        </row>
        <row r="131">
          <cell r="D131">
            <v>72315.649999999994</v>
          </cell>
          <cell r="F131"/>
          <cell r="H131"/>
        </row>
        <row r="132">
          <cell r="D132"/>
          <cell r="F132"/>
          <cell r="H132"/>
        </row>
        <row r="133">
          <cell r="D133">
            <v>2293.34</v>
          </cell>
          <cell r="F133"/>
          <cell r="H133"/>
        </row>
        <row r="134">
          <cell r="D134">
            <v>10489.39</v>
          </cell>
          <cell r="F134"/>
          <cell r="H134"/>
        </row>
        <row r="136">
          <cell r="D136">
            <v>418438.17</v>
          </cell>
          <cell r="F136"/>
          <cell r="H136"/>
        </row>
        <row r="137">
          <cell r="D137">
            <v>181567.49</v>
          </cell>
          <cell r="F137"/>
          <cell r="H137"/>
        </row>
        <row r="138">
          <cell r="D138">
            <v>368496.59</v>
          </cell>
          <cell r="F138"/>
          <cell r="H138"/>
        </row>
        <row r="139">
          <cell r="D139">
            <v>5260.25</v>
          </cell>
          <cell r="F139"/>
          <cell r="H139"/>
        </row>
        <row r="141">
          <cell r="D141">
            <v>78160.75</v>
          </cell>
          <cell r="F141"/>
          <cell r="H141"/>
        </row>
        <row r="142">
          <cell r="D142">
            <v>97124.35</v>
          </cell>
          <cell r="F142"/>
          <cell r="H142"/>
        </row>
        <row r="143">
          <cell r="D143">
            <v>20696.349999999999</v>
          </cell>
          <cell r="F143"/>
          <cell r="H143"/>
        </row>
        <row r="144">
          <cell r="D144">
            <v>507.73</v>
          </cell>
          <cell r="F144"/>
          <cell r="H144"/>
        </row>
        <row r="146">
          <cell r="D146">
            <v>36450</v>
          </cell>
          <cell r="F146"/>
          <cell r="H146"/>
        </row>
        <row r="147">
          <cell r="D147">
            <v>85153.43</v>
          </cell>
          <cell r="F147"/>
          <cell r="H147"/>
        </row>
        <row r="148">
          <cell r="D148">
            <v>7911.31</v>
          </cell>
          <cell r="F148"/>
          <cell r="H148"/>
        </row>
        <row r="149">
          <cell r="D149">
            <v>67859.240000000005</v>
          </cell>
          <cell r="F149"/>
          <cell r="H149"/>
        </row>
        <row r="150">
          <cell r="D150">
            <v>3442.5</v>
          </cell>
          <cell r="F150"/>
          <cell r="H150"/>
        </row>
        <row r="151">
          <cell r="D151">
            <v>74235.98</v>
          </cell>
          <cell r="F151"/>
          <cell r="H151"/>
        </row>
        <row r="152">
          <cell r="D152">
            <v>3141.5</v>
          </cell>
          <cell r="F152"/>
          <cell r="H152"/>
        </row>
        <row r="153">
          <cell r="D153">
            <v>4057.22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262.47000000000003</v>
          </cell>
          <cell r="F160"/>
          <cell r="H160"/>
        </row>
        <row r="161">
          <cell r="D161">
            <v>47819.72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657281.54</v>
          </cell>
          <cell r="F194"/>
          <cell r="H194">
            <v>-16513.439999999999</v>
          </cell>
        </row>
        <row r="195">
          <cell r="D195">
            <v>60787.9</v>
          </cell>
          <cell r="F195"/>
          <cell r="H195">
            <v>-1527.23</v>
          </cell>
        </row>
        <row r="196">
          <cell r="D196"/>
          <cell r="F196"/>
          <cell r="H196"/>
        </row>
        <row r="197">
          <cell r="D197">
            <v>523399.17</v>
          </cell>
          <cell r="F197"/>
          <cell r="H197">
            <v>-13149.79</v>
          </cell>
        </row>
        <row r="198">
          <cell r="D198">
            <v>57329.61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538836.81000000006</v>
          </cell>
          <cell r="F205"/>
          <cell r="H205">
            <v>-352228.06</v>
          </cell>
        </row>
        <row r="206">
          <cell r="D206">
            <v>16577.64</v>
          </cell>
          <cell r="F206"/>
          <cell r="H206"/>
        </row>
        <row r="207">
          <cell r="D207">
            <v>26946.68</v>
          </cell>
          <cell r="F207"/>
          <cell r="H207"/>
        </row>
        <row r="211">
          <cell r="D211">
            <v>41293.46</v>
          </cell>
          <cell r="F211"/>
          <cell r="H211"/>
        </row>
        <row r="212">
          <cell r="D212">
            <v>14027.12</v>
          </cell>
          <cell r="F212"/>
          <cell r="H212"/>
        </row>
        <row r="213">
          <cell r="D213">
            <v>28609.26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2978.22</v>
          </cell>
          <cell r="F216"/>
          <cell r="H216"/>
        </row>
        <row r="221">
          <cell r="D221">
            <v>6330053.2599999998</v>
          </cell>
        </row>
      </sheetData>
      <sheetData sheetId="8"/>
      <sheetData sheetId="9"/>
      <sheetData sheetId="10">
        <row r="9">
          <cell r="C9">
            <v>2051</v>
          </cell>
          <cell r="D9"/>
          <cell r="E9">
            <v>4699</v>
          </cell>
          <cell r="F9">
            <v>2980</v>
          </cell>
          <cell r="G9"/>
          <cell r="H9">
            <v>1856</v>
          </cell>
          <cell r="I9">
            <v>420</v>
          </cell>
          <cell r="J9">
            <v>232</v>
          </cell>
          <cell r="K9">
            <v>29</v>
          </cell>
        </row>
        <row r="22">
          <cell r="N22">
            <v>40</v>
          </cell>
        </row>
        <row r="24">
          <cell r="N24">
            <v>10</v>
          </cell>
        </row>
        <row r="28">
          <cell r="N28">
            <v>14600</v>
          </cell>
        </row>
        <row r="30">
          <cell r="N30">
            <v>0.84020547945205482</v>
          </cell>
        </row>
        <row r="32">
          <cell r="N32">
            <v>0.14047945205479451</v>
          </cell>
        </row>
        <row r="34">
          <cell r="N34">
            <v>0.16719654357218552</v>
          </cell>
        </row>
      </sheetData>
      <sheetData sheetId="11"/>
      <sheetData sheetId="1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3414338.84</v>
          </cell>
          <cell r="G10">
            <v>-1357</v>
          </cell>
        </row>
        <row r="12">
          <cell r="E12"/>
          <cell r="G12">
            <v>2505081.1</v>
          </cell>
        </row>
        <row r="13">
          <cell r="E13">
            <v>0</v>
          </cell>
          <cell r="G13"/>
        </row>
        <row r="14">
          <cell r="E14"/>
          <cell r="G14">
            <v>18484.490000000002</v>
          </cell>
        </row>
        <row r="15">
          <cell r="E15">
            <v>3414338.84</v>
          </cell>
          <cell r="G15">
            <v>2522208.5900000003</v>
          </cell>
        </row>
        <row r="20">
          <cell r="E20">
            <v>0</v>
          </cell>
          <cell r="G20">
            <v>1357.03</v>
          </cell>
        </row>
        <row r="26">
          <cell r="E26">
            <v>4085877.3899999997</v>
          </cell>
          <cell r="G26">
            <v>0</v>
          </cell>
        </row>
        <row r="32">
          <cell r="E32">
            <v>811474.67999999993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972762.84999999986</v>
          </cell>
          <cell r="G42">
            <v>0</v>
          </cell>
        </row>
        <row r="47">
          <cell r="E47">
            <v>0</v>
          </cell>
          <cell r="G47">
            <v>329758.40999999997</v>
          </cell>
        </row>
        <row r="52">
          <cell r="E52">
            <v>372253.55</v>
          </cell>
          <cell r="G52">
            <v>-329758</v>
          </cell>
        </row>
        <row r="57">
          <cell r="E57">
            <v>0</v>
          </cell>
          <cell r="G57">
            <v>0</v>
          </cell>
        </row>
        <row r="72">
          <cell r="E72">
            <v>-117637.88999999998</v>
          </cell>
          <cell r="G72">
            <v>118528.51</v>
          </cell>
        </row>
        <row r="90">
          <cell r="C90">
            <v>254.93605263157892</v>
          </cell>
          <cell r="E90">
            <v>234.32345454545452</v>
          </cell>
          <cell r="G90">
            <v>215.1140175953079</v>
          </cell>
          <cell r="I90">
            <v>260.77560126582279</v>
          </cell>
        </row>
      </sheetData>
      <sheetData sheetId="6"/>
      <sheetData sheetId="7">
        <row r="10">
          <cell r="D10"/>
          <cell r="F10">
            <v>93998</v>
          </cell>
          <cell r="H10"/>
        </row>
        <row r="11">
          <cell r="D11"/>
          <cell r="F11"/>
          <cell r="H11"/>
        </row>
        <row r="12">
          <cell r="D12">
            <v>233080.72</v>
          </cell>
          <cell r="F12"/>
          <cell r="H12"/>
        </row>
        <row r="13">
          <cell r="D13">
            <v>34895.26</v>
          </cell>
          <cell r="F13">
            <v>9210.77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475897</v>
          </cell>
          <cell r="F16">
            <v>86922</v>
          </cell>
          <cell r="H16">
            <v>-89665</v>
          </cell>
        </row>
        <row r="17">
          <cell r="D17">
            <v>32664.51</v>
          </cell>
          <cell r="F17">
            <v>-32665</v>
          </cell>
          <cell r="H17"/>
        </row>
        <row r="18">
          <cell r="D18">
            <v>7310.65</v>
          </cell>
          <cell r="F18"/>
          <cell r="H18"/>
        </row>
        <row r="19">
          <cell r="D19">
            <v>15982.11</v>
          </cell>
          <cell r="F19"/>
          <cell r="H19"/>
        </row>
        <row r="20">
          <cell r="D20">
            <v>25675.13</v>
          </cell>
          <cell r="F20"/>
          <cell r="H20"/>
        </row>
        <row r="21">
          <cell r="D21">
            <v>87448.86</v>
          </cell>
          <cell r="F21"/>
          <cell r="H21"/>
        </row>
        <row r="22">
          <cell r="D22"/>
          <cell r="F22"/>
          <cell r="H22"/>
        </row>
        <row r="23">
          <cell r="D23">
            <v>20939.45</v>
          </cell>
          <cell r="F23"/>
          <cell r="H23"/>
        </row>
        <row r="24">
          <cell r="D24">
            <v>99849.48</v>
          </cell>
          <cell r="F24"/>
          <cell r="H24">
            <v>-5406.41</v>
          </cell>
        </row>
        <row r="25">
          <cell r="D25"/>
          <cell r="F25"/>
          <cell r="H25"/>
        </row>
        <row r="26">
          <cell r="D26">
            <v>497058.16</v>
          </cell>
          <cell r="F26"/>
          <cell r="H26"/>
        </row>
        <row r="27">
          <cell r="D27">
            <v>6411.02</v>
          </cell>
          <cell r="F27">
            <v>40.880000000000003</v>
          </cell>
          <cell r="H27"/>
        </row>
        <row r="28">
          <cell r="D28"/>
          <cell r="F28">
            <v>0</v>
          </cell>
          <cell r="H28"/>
        </row>
        <row r="29">
          <cell r="D29">
            <v>196378.74</v>
          </cell>
          <cell r="F29">
            <v>-196378.74</v>
          </cell>
          <cell r="H29"/>
        </row>
        <row r="30">
          <cell r="D30"/>
          <cell r="F30">
            <v>0</v>
          </cell>
          <cell r="H30">
            <v>50050</v>
          </cell>
        </row>
        <row r="31">
          <cell r="D31">
            <v>1631.04</v>
          </cell>
          <cell r="F31"/>
          <cell r="H31"/>
        </row>
        <row r="32">
          <cell r="D32">
            <v>500</v>
          </cell>
          <cell r="F32">
            <v>16875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18330.920000000002</v>
          </cell>
          <cell r="F35">
            <v>-18330.920000000002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7503.05</v>
          </cell>
          <cell r="F39"/>
          <cell r="H39"/>
        </row>
        <row r="40">
          <cell r="D40">
            <v>7704.8</v>
          </cell>
          <cell r="F40"/>
          <cell r="H40"/>
        </row>
        <row r="41">
          <cell r="D41">
            <v>133293.69</v>
          </cell>
          <cell r="F41"/>
          <cell r="H41">
            <v>-6964</v>
          </cell>
        </row>
        <row r="42">
          <cell r="D42">
            <v>1795.18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104265.64</v>
          </cell>
          <cell r="F45">
            <v>-103210</v>
          </cell>
          <cell r="H45"/>
        </row>
        <row r="57">
          <cell r="D57">
            <v>1084000</v>
          </cell>
          <cell r="F57"/>
          <cell r="H57">
            <v>-1084000</v>
          </cell>
        </row>
        <row r="58">
          <cell r="D58">
            <v>33717.03</v>
          </cell>
          <cell r="F58"/>
          <cell r="H58">
            <v>1313533.29</v>
          </cell>
        </row>
        <row r="59">
          <cell r="D59"/>
          <cell r="F59"/>
          <cell r="H59">
            <v>540765.29</v>
          </cell>
        </row>
        <row r="60">
          <cell r="D60">
            <v>33297.72</v>
          </cell>
          <cell r="F60"/>
          <cell r="H60"/>
        </row>
        <row r="61">
          <cell r="D61">
            <v>16874.759999999998</v>
          </cell>
          <cell r="F61">
            <v>-16875</v>
          </cell>
          <cell r="H61"/>
        </row>
        <row r="62">
          <cell r="D62">
            <v>14937.72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6361.99</v>
          </cell>
          <cell r="F66"/>
          <cell r="H66"/>
        </row>
        <row r="67">
          <cell r="D67">
            <v>49059.91</v>
          </cell>
          <cell r="F67"/>
          <cell r="H67"/>
        </row>
        <row r="68">
          <cell r="D68"/>
          <cell r="F68"/>
          <cell r="H68"/>
        </row>
        <row r="69">
          <cell r="D69">
            <v>23381.1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53837.66</v>
          </cell>
          <cell r="F75"/>
          <cell r="H75"/>
        </row>
        <row r="76">
          <cell r="D76">
            <v>16372.98</v>
          </cell>
          <cell r="F76"/>
          <cell r="H76"/>
        </row>
        <row r="77">
          <cell r="D77">
            <v>11026.12</v>
          </cell>
          <cell r="F77"/>
          <cell r="H77"/>
        </row>
        <row r="78">
          <cell r="D78"/>
          <cell r="F78"/>
          <cell r="H78"/>
        </row>
        <row r="79">
          <cell r="D79">
            <v>5319.42</v>
          </cell>
          <cell r="F79"/>
          <cell r="H79"/>
        </row>
        <row r="80">
          <cell r="D80">
            <v>26617.96</v>
          </cell>
          <cell r="F80"/>
          <cell r="H80"/>
        </row>
        <row r="81">
          <cell r="D81">
            <v>3037.2</v>
          </cell>
          <cell r="F81"/>
          <cell r="H81"/>
        </row>
        <row r="82">
          <cell r="D82">
            <v>11380.46</v>
          </cell>
          <cell r="F82"/>
          <cell r="H82"/>
        </row>
        <row r="83">
          <cell r="D83"/>
          <cell r="F83"/>
          <cell r="H83"/>
        </row>
        <row r="84">
          <cell r="D84">
            <v>136430.20000000001</v>
          </cell>
          <cell r="F84"/>
          <cell r="H84"/>
        </row>
        <row r="85">
          <cell r="D85">
            <v>192.11</v>
          </cell>
          <cell r="F85"/>
          <cell r="H85"/>
        </row>
        <row r="89">
          <cell r="D89">
            <v>295001.74</v>
          </cell>
          <cell r="F89"/>
          <cell r="H89"/>
        </row>
        <row r="90">
          <cell r="D90">
            <v>66880.31</v>
          </cell>
          <cell r="F90"/>
          <cell r="H90"/>
        </row>
        <row r="91">
          <cell r="D91">
            <v>17302.47</v>
          </cell>
          <cell r="F91"/>
          <cell r="H91"/>
        </row>
        <row r="92">
          <cell r="D92">
            <v>287333</v>
          </cell>
          <cell r="F92"/>
          <cell r="H92"/>
        </row>
        <row r="93">
          <cell r="D93">
            <v>24345.42</v>
          </cell>
          <cell r="F93"/>
          <cell r="H93"/>
        </row>
        <row r="94">
          <cell r="D94">
            <v>902.09</v>
          </cell>
          <cell r="F94"/>
          <cell r="H94"/>
        </row>
        <row r="98">
          <cell r="D98">
            <v>77314.63</v>
          </cell>
          <cell r="F98"/>
          <cell r="H98"/>
        </row>
        <row r="99">
          <cell r="D99">
            <v>22814.71</v>
          </cell>
          <cell r="F99"/>
          <cell r="H99"/>
        </row>
        <row r="100">
          <cell r="D100">
            <v>13844.2</v>
          </cell>
          <cell r="F100"/>
          <cell r="H100"/>
        </row>
        <row r="101">
          <cell r="D101">
            <v>4579.25</v>
          </cell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123105.05</v>
          </cell>
          <cell r="F115"/>
          <cell r="H115"/>
        </row>
        <row r="116">
          <cell r="D116">
            <v>19827.61</v>
          </cell>
          <cell r="F116"/>
          <cell r="H116"/>
        </row>
        <row r="117">
          <cell r="D117">
            <v>18962.27</v>
          </cell>
          <cell r="F117"/>
          <cell r="H117"/>
        </row>
        <row r="118">
          <cell r="D118"/>
          <cell r="F118"/>
          <cell r="H118"/>
        </row>
        <row r="119">
          <cell r="D119">
            <v>675.46</v>
          </cell>
          <cell r="F119"/>
          <cell r="H119"/>
        </row>
        <row r="124">
          <cell r="D124"/>
          <cell r="F124"/>
          <cell r="H124"/>
        </row>
        <row r="125">
          <cell r="D125">
            <v>550550.44999999995</v>
          </cell>
          <cell r="F125"/>
          <cell r="H125"/>
        </row>
        <row r="126">
          <cell r="D126"/>
          <cell r="F126"/>
          <cell r="H126"/>
        </row>
        <row r="127">
          <cell r="D127">
            <v>15187.67</v>
          </cell>
          <cell r="F127"/>
          <cell r="H127"/>
        </row>
        <row r="128">
          <cell r="D128">
            <v>27962.29</v>
          </cell>
          <cell r="F128"/>
          <cell r="H128"/>
        </row>
        <row r="130">
          <cell r="D130"/>
          <cell r="F130"/>
          <cell r="H130"/>
        </row>
        <row r="131">
          <cell r="D131">
            <v>67935.570000000007</v>
          </cell>
          <cell r="F131"/>
          <cell r="H131"/>
        </row>
        <row r="132">
          <cell r="D132"/>
          <cell r="F132"/>
          <cell r="H132"/>
        </row>
        <row r="133">
          <cell r="D133">
            <v>7315.86</v>
          </cell>
          <cell r="F133"/>
          <cell r="H133"/>
        </row>
        <row r="134">
          <cell r="D134">
            <v>2174.65</v>
          </cell>
          <cell r="F134"/>
          <cell r="H134"/>
        </row>
        <row r="136">
          <cell r="D136">
            <v>622967.21</v>
          </cell>
          <cell r="F136"/>
          <cell r="H136"/>
        </row>
        <row r="137">
          <cell r="D137">
            <v>471390.39</v>
          </cell>
          <cell r="F137"/>
          <cell r="H137"/>
        </row>
        <row r="138">
          <cell r="D138">
            <v>1082616.6499999999</v>
          </cell>
          <cell r="F138"/>
          <cell r="H138"/>
        </row>
        <row r="139">
          <cell r="D139">
            <v>76766.7</v>
          </cell>
          <cell r="F139"/>
          <cell r="H139"/>
        </row>
        <row r="141">
          <cell r="D141">
            <v>116380.12187836785</v>
          </cell>
          <cell r="F141"/>
          <cell r="H141"/>
        </row>
        <row r="142">
          <cell r="D142">
            <v>88063.17531206811</v>
          </cell>
          <cell r="F142"/>
          <cell r="H142"/>
        </row>
        <row r="143">
          <cell r="D143">
            <v>202249.902809564</v>
          </cell>
          <cell r="F143"/>
          <cell r="H143"/>
        </row>
        <row r="144">
          <cell r="D144">
            <v>8166.7</v>
          </cell>
          <cell r="F144"/>
          <cell r="H144"/>
        </row>
        <row r="146">
          <cell r="D146">
            <v>54000</v>
          </cell>
          <cell r="F146"/>
          <cell r="H146"/>
        </row>
        <row r="147">
          <cell r="D147">
            <v>23345.99</v>
          </cell>
          <cell r="F147"/>
          <cell r="H147"/>
        </row>
        <row r="148">
          <cell r="D148">
            <v>10942.56</v>
          </cell>
          <cell r="F148"/>
          <cell r="H148"/>
        </row>
        <row r="149">
          <cell r="D149">
            <v>1075.94</v>
          </cell>
          <cell r="F149"/>
          <cell r="H149"/>
        </row>
        <row r="150">
          <cell r="D150">
            <v>11657.5</v>
          </cell>
          <cell r="F150"/>
          <cell r="H150"/>
        </row>
        <row r="151">
          <cell r="D151">
            <v>241838.62</v>
          </cell>
          <cell r="F151"/>
          <cell r="H151"/>
        </row>
        <row r="152">
          <cell r="D152">
            <v>2281.15</v>
          </cell>
          <cell r="F152"/>
          <cell r="H152"/>
        </row>
        <row r="153">
          <cell r="D153">
            <v>25472.68</v>
          </cell>
          <cell r="F153"/>
          <cell r="H153"/>
        </row>
        <row r="154">
          <cell r="D154">
            <v>1547.6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597.85</v>
          </cell>
          <cell r="F160"/>
          <cell r="H160"/>
        </row>
        <row r="161">
          <cell r="D161">
            <v>65647.64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664489.06000000006</v>
          </cell>
          <cell r="F194"/>
          <cell r="H194">
            <v>-17329.060000000001</v>
          </cell>
        </row>
        <row r="195">
          <cell r="D195">
            <v>113673.79</v>
          </cell>
          <cell r="F195"/>
          <cell r="H195">
            <v>-2964.48</v>
          </cell>
        </row>
        <row r="196">
          <cell r="D196"/>
          <cell r="F196"/>
          <cell r="H196"/>
        </row>
        <row r="197">
          <cell r="D197">
            <v>579914.44999999995</v>
          </cell>
          <cell r="F197"/>
          <cell r="H197">
            <v>-15123.44</v>
          </cell>
        </row>
        <row r="198">
          <cell r="D198">
            <v>50662.93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668534.22</v>
          </cell>
          <cell r="F205"/>
          <cell r="H205">
            <v>-434250.72</v>
          </cell>
        </row>
        <row r="206">
          <cell r="D206">
            <v>63298.080000000002</v>
          </cell>
          <cell r="F206"/>
          <cell r="H206"/>
        </row>
        <row r="207">
          <cell r="D207">
            <v>-513.80999999999995</v>
          </cell>
          <cell r="F207"/>
          <cell r="H207"/>
        </row>
        <row r="211">
          <cell r="D211">
            <v>125243.46</v>
          </cell>
          <cell r="F211"/>
          <cell r="H211"/>
        </row>
        <row r="212">
          <cell r="D212">
            <v>32495.43</v>
          </cell>
          <cell r="F212"/>
          <cell r="H212"/>
        </row>
        <row r="213">
          <cell r="D213">
            <v>25416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3758.24</v>
          </cell>
          <cell r="F216"/>
          <cell r="H216"/>
        </row>
        <row r="221">
          <cell r="D221">
            <v>10612454.67</v>
          </cell>
        </row>
      </sheetData>
      <sheetData sheetId="8"/>
      <sheetData sheetId="9"/>
      <sheetData sheetId="10">
        <row r="9">
          <cell r="C9">
            <v>17672</v>
          </cell>
          <cell r="D9">
            <v>7</v>
          </cell>
          <cell r="E9">
            <v>6933</v>
          </cell>
          <cell r="F9">
            <v>1854</v>
          </cell>
          <cell r="G9"/>
          <cell r="H9">
            <v>4096</v>
          </cell>
          <cell r="I9">
            <v>1701</v>
          </cell>
          <cell r="J9">
            <v>256</v>
          </cell>
          <cell r="K9"/>
        </row>
        <row r="22">
          <cell r="N22">
            <v>104</v>
          </cell>
        </row>
        <row r="24">
          <cell r="N24">
            <v>104</v>
          </cell>
        </row>
        <row r="28">
          <cell r="N28">
            <v>37960</v>
          </cell>
        </row>
        <row r="30">
          <cell r="N30">
            <v>0.85666491043203374</v>
          </cell>
        </row>
        <row r="32">
          <cell r="N32">
            <v>0.46572708113804007</v>
          </cell>
        </row>
        <row r="34">
          <cell r="N34">
            <v>0.54365140379470467</v>
          </cell>
        </row>
      </sheetData>
      <sheetData sheetId="11"/>
      <sheetData sheetId="1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3745502.72</v>
          </cell>
          <cell r="G10">
            <v>0</v>
          </cell>
        </row>
        <row r="12">
          <cell r="E12">
            <v>1732112.09</v>
          </cell>
          <cell r="G12">
            <v>1083956.8700000001</v>
          </cell>
        </row>
        <row r="13">
          <cell r="E13">
            <v>-22556.37</v>
          </cell>
          <cell r="G13"/>
        </row>
        <row r="14">
          <cell r="E14">
            <v>58262.51</v>
          </cell>
          <cell r="G14"/>
        </row>
        <row r="15">
          <cell r="E15">
            <v>5513320.9500000002</v>
          </cell>
          <cell r="G15">
            <v>1083956.8700000001</v>
          </cell>
        </row>
        <row r="20">
          <cell r="E20">
            <v>0</v>
          </cell>
          <cell r="G20">
            <v>0</v>
          </cell>
        </row>
        <row r="26">
          <cell r="E26">
            <v>2189738.6100000027</v>
          </cell>
          <cell r="G26">
            <v>0</v>
          </cell>
        </row>
        <row r="32">
          <cell r="E32">
            <v>971709.57000000961</v>
          </cell>
          <cell r="G32">
            <v>0</v>
          </cell>
        </row>
        <row r="37">
          <cell r="E37">
            <v>1466026.1099999999</v>
          </cell>
          <cell r="G37">
            <v>0</v>
          </cell>
        </row>
        <row r="42">
          <cell r="E42">
            <v>1039255.9100000003</v>
          </cell>
          <cell r="G42">
            <v>0</v>
          </cell>
        </row>
        <row r="47">
          <cell r="E47">
            <v>538758.44999999995</v>
          </cell>
          <cell r="G47">
            <v>0</v>
          </cell>
        </row>
        <row r="52">
          <cell r="E52">
            <v>42264.560000000027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970.4</v>
          </cell>
          <cell r="G72">
            <v>-970.4</v>
          </cell>
        </row>
      </sheetData>
      <sheetData sheetId="6"/>
      <sheetData sheetId="7">
        <row r="10">
          <cell r="D10">
            <v>146975.44</v>
          </cell>
          <cell r="F10">
            <v>7997.5499999999993</v>
          </cell>
          <cell r="H10"/>
        </row>
        <row r="11">
          <cell r="D11"/>
          <cell r="F11"/>
          <cell r="H11"/>
        </row>
        <row r="12">
          <cell r="D12">
            <v>358916.14</v>
          </cell>
          <cell r="F12">
            <v>-33625.479999999996</v>
          </cell>
          <cell r="H12"/>
        </row>
        <row r="13">
          <cell r="D13">
            <v>131700.07999999999</v>
          </cell>
          <cell r="F13">
            <v>-7338.5237113063704</v>
          </cell>
          <cell r="H13"/>
        </row>
        <row r="14">
          <cell r="D14"/>
          <cell r="F14"/>
          <cell r="H14"/>
        </row>
        <row r="15">
          <cell r="D15">
            <v>836756.79</v>
          </cell>
          <cell r="F15">
            <v>-836756.79</v>
          </cell>
          <cell r="H15"/>
        </row>
        <row r="16">
          <cell r="D16"/>
          <cell r="F16">
            <v>419917</v>
          </cell>
          <cell r="H16"/>
        </row>
        <row r="17">
          <cell r="D17"/>
          <cell r="F17"/>
          <cell r="H17"/>
        </row>
        <row r="18">
          <cell r="D18">
            <v>25721.61</v>
          </cell>
          <cell r="F18"/>
          <cell r="H18"/>
        </row>
        <row r="19">
          <cell r="D19">
            <v>33855.519999999997</v>
          </cell>
          <cell r="F19"/>
          <cell r="H19"/>
        </row>
        <row r="20">
          <cell r="D20">
            <v>24293.78</v>
          </cell>
          <cell r="F20">
            <v>-9928</v>
          </cell>
          <cell r="H20"/>
        </row>
        <row r="21">
          <cell r="D21">
            <v>15958.95</v>
          </cell>
          <cell r="F21">
            <v>108863</v>
          </cell>
          <cell r="H21"/>
        </row>
        <row r="22">
          <cell r="D22"/>
          <cell r="F22"/>
          <cell r="H22"/>
        </row>
        <row r="23">
          <cell r="D23">
            <v>70232.34</v>
          </cell>
          <cell r="F23">
            <v>27288</v>
          </cell>
          <cell r="H23"/>
        </row>
        <row r="24">
          <cell r="D24">
            <v>64252.55</v>
          </cell>
          <cell r="F24"/>
          <cell r="H24"/>
        </row>
        <row r="25">
          <cell r="D25"/>
          <cell r="F25"/>
          <cell r="H25"/>
        </row>
        <row r="26">
          <cell r="D26">
            <v>679898.86</v>
          </cell>
          <cell r="F26"/>
          <cell r="H26"/>
        </row>
        <row r="27">
          <cell r="D27"/>
          <cell r="F27">
            <v>25196.6</v>
          </cell>
          <cell r="H27"/>
        </row>
        <row r="28">
          <cell r="D28"/>
          <cell r="F28">
            <v>0</v>
          </cell>
          <cell r="H28"/>
        </row>
        <row r="29">
          <cell r="D29">
            <v>193175.28</v>
          </cell>
          <cell r="F29">
            <v>-193175.28</v>
          </cell>
          <cell r="H29"/>
        </row>
        <row r="30">
          <cell r="D30"/>
          <cell r="F30">
            <v>0</v>
          </cell>
          <cell r="H30"/>
        </row>
        <row r="31">
          <cell r="D31">
            <v>9445.8000000000011</v>
          </cell>
          <cell r="F31"/>
          <cell r="H31"/>
        </row>
        <row r="32">
          <cell r="D32">
            <v>208854.33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>
            <v>4260</v>
          </cell>
          <cell r="H34"/>
        </row>
        <row r="35">
          <cell r="D35">
            <v>2904.1000000000004</v>
          </cell>
          <cell r="F35">
            <v>-2904.1000000000004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22668.85</v>
          </cell>
          <cell r="F39">
            <v>6402</v>
          </cell>
          <cell r="H39"/>
        </row>
        <row r="40">
          <cell r="D40">
            <v>18010.280000000002</v>
          </cell>
          <cell r="F40">
            <v>-18010.28</v>
          </cell>
          <cell r="H40"/>
        </row>
        <row r="41">
          <cell r="D41">
            <v>52848.33</v>
          </cell>
          <cell r="F41"/>
          <cell r="H41"/>
        </row>
        <row r="42">
          <cell r="D42">
            <v>34</v>
          </cell>
          <cell r="F42">
            <v>4727</v>
          </cell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5628.2</v>
          </cell>
          <cell r="F45">
            <v>9776</v>
          </cell>
          <cell r="H45"/>
        </row>
        <row r="57">
          <cell r="D57">
            <v>1405250.04</v>
          </cell>
          <cell r="F57"/>
          <cell r="H57">
            <v>-1405250.04</v>
          </cell>
        </row>
        <row r="58">
          <cell r="D58">
            <v>7706.8799999999992</v>
          </cell>
          <cell r="F58">
            <v>13838.48</v>
          </cell>
          <cell r="H58">
            <v>54399.92</v>
          </cell>
        </row>
        <row r="59">
          <cell r="D59"/>
          <cell r="F59"/>
          <cell r="H59">
            <v>398587.05000000005</v>
          </cell>
        </row>
        <row r="60">
          <cell r="D60">
            <v>88677.25</v>
          </cell>
          <cell r="F60">
            <v>2113.67</v>
          </cell>
          <cell r="H60"/>
        </row>
        <row r="61">
          <cell r="D61">
            <v>20312.239999999998</v>
          </cell>
          <cell r="F61">
            <v>2789</v>
          </cell>
          <cell r="H61"/>
        </row>
        <row r="62">
          <cell r="D62">
            <v>13250.04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29536.11</v>
          </cell>
          <cell r="F67">
            <v>28322.39</v>
          </cell>
          <cell r="H67">
            <v>25271.040000000001</v>
          </cell>
        </row>
        <row r="68">
          <cell r="D68"/>
          <cell r="F68"/>
          <cell r="H68"/>
        </row>
        <row r="69">
          <cell r="D69"/>
          <cell r="F69">
            <v>3653.64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87812.760000000009</v>
          </cell>
          <cell r="F75"/>
          <cell r="H75"/>
        </row>
        <row r="76">
          <cell r="D76">
            <v>22176.34</v>
          </cell>
          <cell r="F76"/>
          <cell r="H76"/>
        </row>
        <row r="77">
          <cell r="D77">
            <v>76567.06</v>
          </cell>
          <cell r="F77"/>
          <cell r="H77"/>
        </row>
        <row r="78">
          <cell r="D78">
            <v>35451.85</v>
          </cell>
          <cell r="F78">
            <v>2770</v>
          </cell>
          <cell r="H78"/>
        </row>
        <row r="79">
          <cell r="D79">
            <v>64370.93</v>
          </cell>
          <cell r="F79"/>
          <cell r="H79"/>
        </row>
        <row r="80">
          <cell r="D80">
            <v>98957.25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233837.52000000002</v>
          </cell>
          <cell r="F84">
            <v>1335</v>
          </cell>
          <cell r="H84"/>
        </row>
        <row r="85">
          <cell r="D85">
            <v>2492.08</v>
          </cell>
          <cell r="F85"/>
          <cell r="H85"/>
        </row>
        <row r="89">
          <cell r="D89">
            <v>406273.38</v>
          </cell>
          <cell r="F89"/>
          <cell r="H89"/>
        </row>
        <row r="90">
          <cell r="D90">
            <v>82556.73</v>
          </cell>
          <cell r="F90"/>
          <cell r="H90"/>
        </row>
        <row r="91">
          <cell r="D91"/>
          <cell r="F91"/>
          <cell r="H91"/>
        </row>
        <row r="92">
          <cell r="D92">
            <v>313129.72000000003</v>
          </cell>
          <cell r="F92"/>
          <cell r="H92"/>
        </row>
        <row r="93">
          <cell r="D93">
            <v>17873.199999999997</v>
          </cell>
          <cell r="F93"/>
          <cell r="H93"/>
        </row>
        <row r="94">
          <cell r="D94">
            <v>25498.45</v>
          </cell>
          <cell r="F94"/>
          <cell r="H94"/>
        </row>
        <row r="98">
          <cell r="D98">
            <v>116023.60999999999</v>
          </cell>
          <cell r="F98"/>
          <cell r="H98"/>
        </row>
        <row r="99">
          <cell r="D99">
            <v>26739.71</v>
          </cell>
          <cell r="F99"/>
          <cell r="H99"/>
        </row>
        <row r="100">
          <cell r="D100">
            <v>17761.48</v>
          </cell>
          <cell r="F100"/>
          <cell r="H100"/>
        </row>
        <row r="101">
          <cell r="D101"/>
          <cell r="F101"/>
          <cell r="H101"/>
        </row>
        <row r="102">
          <cell r="D102">
            <v>15357.900000000001</v>
          </cell>
          <cell r="F102"/>
          <cell r="H102"/>
        </row>
        <row r="103">
          <cell r="D103">
            <v>538.5</v>
          </cell>
          <cell r="F103"/>
          <cell r="H103"/>
        </row>
        <row r="115">
          <cell r="D115">
            <v>109162.29000000001</v>
          </cell>
          <cell r="F115"/>
          <cell r="H115"/>
        </row>
        <row r="116">
          <cell r="D116">
            <v>34100.910000000003</v>
          </cell>
          <cell r="F116"/>
          <cell r="H116"/>
        </row>
        <row r="117">
          <cell r="D117">
            <v>44495.63</v>
          </cell>
          <cell r="F117"/>
          <cell r="H117"/>
        </row>
        <row r="118">
          <cell r="D118"/>
          <cell r="F118"/>
          <cell r="H118"/>
        </row>
        <row r="119">
          <cell r="D119">
            <v>165</v>
          </cell>
          <cell r="F119"/>
          <cell r="H119"/>
        </row>
        <row r="124">
          <cell r="D124">
            <v>311172.07</v>
          </cell>
          <cell r="F124"/>
          <cell r="H124"/>
        </row>
        <row r="125">
          <cell r="D125">
            <v>140476.97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70019.5</v>
          </cell>
          <cell r="F128"/>
          <cell r="H128"/>
        </row>
        <row r="130">
          <cell r="D130">
            <v>77335.91577489725</v>
          </cell>
          <cell r="F130"/>
          <cell r="H130"/>
        </row>
        <row r="131">
          <cell r="D131">
            <v>34912.886366159946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26251.07</v>
          </cell>
          <cell r="F134"/>
          <cell r="H134"/>
        </row>
        <row r="136">
          <cell r="D136">
            <v>719677.4</v>
          </cell>
          <cell r="F136"/>
          <cell r="H136"/>
        </row>
        <row r="137">
          <cell r="D137">
            <v>579421.12</v>
          </cell>
          <cell r="F137"/>
          <cell r="H137"/>
        </row>
        <row r="138">
          <cell r="D138">
            <v>1127601.81</v>
          </cell>
          <cell r="F138"/>
          <cell r="H138"/>
        </row>
        <row r="139">
          <cell r="D139">
            <v>150274.03</v>
          </cell>
          <cell r="F139"/>
          <cell r="H139"/>
        </row>
        <row r="141">
          <cell r="D141">
            <v>178862.16713311398</v>
          </cell>
          <cell r="F141"/>
          <cell r="H141"/>
        </row>
        <row r="142">
          <cell r="D142">
            <v>144004.12908046873</v>
          </cell>
          <cell r="F142"/>
          <cell r="H142"/>
        </row>
        <row r="143">
          <cell r="D143">
            <v>280244.04184405663</v>
          </cell>
          <cell r="F143"/>
          <cell r="H143"/>
        </row>
        <row r="144">
          <cell r="D144">
            <v>37347.759801303451</v>
          </cell>
          <cell r="F144"/>
          <cell r="H144"/>
        </row>
        <row r="146">
          <cell r="D146">
            <v>61011.979999999996</v>
          </cell>
          <cell r="F146"/>
          <cell r="H146"/>
        </row>
        <row r="147">
          <cell r="D147">
            <v>3875.5699999999488</v>
          </cell>
          <cell r="F147"/>
          <cell r="H147"/>
        </row>
        <row r="148">
          <cell r="D148">
            <v>461.88000000000466</v>
          </cell>
          <cell r="F148"/>
          <cell r="H148"/>
        </row>
        <row r="149">
          <cell r="D149">
            <v>202590.28000000003</v>
          </cell>
          <cell r="F149"/>
          <cell r="H149"/>
        </row>
        <row r="150">
          <cell r="D150">
            <v>47506.1</v>
          </cell>
          <cell r="F150">
            <v>74275</v>
          </cell>
          <cell r="H150"/>
        </row>
        <row r="151">
          <cell r="D151">
            <v>153589.65</v>
          </cell>
          <cell r="F151"/>
          <cell r="H151"/>
        </row>
        <row r="152">
          <cell r="D152">
            <v>18377.11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3850.79</v>
          </cell>
          <cell r="F160"/>
          <cell r="H160"/>
        </row>
        <row r="161">
          <cell r="D161">
            <v>13280.970000000001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607179.72</v>
          </cell>
          <cell r="F177"/>
          <cell r="H177"/>
        </row>
        <row r="178">
          <cell r="D178">
            <v>136124.66000000003</v>
          </cell>
          <cell r="F178"/>
          <cell r="H178"/>
        </row>
        <row r="179">
          <cell r="D179">
            <v>114841.65000000001</v>
          </cell>
          <cell r="F179"/>
          <cell r="H179"/>
        </row>
        <row r="180">
          <cell r="D180">
            <v>18388.129999999997</v>
          </cell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185211.88999999998</v>
          </cell>
          <cell r="F183"/>
          <cell r="H183"/>
        </row>
        <row r="184">
          <cell r="D184">
            <v>60889.659999999996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508.83000000000004</v>
          </cell>
          <cell r="F188"/>
          <cell r="H188"/>
        </row>
        <row r="189">
          <cell r="D189">
            <v>11829.54</v>
          </cell>
          <cell r="F189"/>
          <cell r="H189"/>
        </row>
        <row r="190">
          <cell r="D190"/>
          <cell r="F190"/>
          <cell r="H190"/>
        </row>
        <row r="191">
          <cell r="D191">
            <v>4095.76</v>
          </cell>
          <cell r="F191"/>
          <cell r="H191"/>
        </row>
        <row r="192">
          <cell r="D192">
            <v>48785.38</v>
          </cell>
          <cell r="F192">
            <v>-292</v>
          </cell>
          <cell r="H192"/>
        </row>
        <row r="193">
          <cell r="D193"/>
          <cell r="F193"/>
          <cell r="H193"/>
        </row>
        <row r="194">
          <cell r="D194"/>
          <cell r="F194">
            <v>22994</v>
          </cell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31660.750000000004</v>
          </cell>
          <cell r="F203"/>
          <cell r="H203"/>
        </row>
        <row r="204">
          <cell r="D204"/>
          <cell r="F204"/>
          <cell r="H204"/>
        </row>
        <row r="205">
          <cell r="D205">
            <v>322432.29999999993</v>
          </cell>
          <cell r="F205"/>
          <cell r="H205"/>
        </row>
        <row r="206">
          <cell r="D206">
            <v>6820.1799999999994</v>
          </cell>
          <cell r="F206"/>
          <cell r="H206"/>
        </row>
        <row r="207">
          <cell r="D207">
            <v>18958.5</v>
          </cell>
          <cell r="F207"/>
          <cell r="H207"/>
        </row>
        <row r="211">
          <cell r="D211">
            <v>225647.22000000003</v>
          </cell>
          <cell r="F211"/>
          <cell r="H211"/>
        </row>
        <row r="212">
          <cell r="D212">
            <v>55508.639999999999</v>
          </cell>
          <cell r="F212"/>
          <cell r="H212"/>
        </row>
        <row r="213">
          <cell r="D213">
            <v>25371.010000000002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60212.480000000003</v>
          </cell>
          <cell r="F216"/>
          <cell r="H216"/>
        </row>
        <row r="221">
          <cell r="D221">
            <v>12614817.590000004</v>
          </cell>
        </row>
      </sheetData>
      <sheetData sheetId="8"/>
      <sheetData sheetId="9"/>
      <sheetData sheetId="10"/>
      <sheetData sheetId="11">
        <row r="9">
          <cell r="C9">
            <v>19460</v>
          </cell>
          <cell r="D9">
            <v>0</v>
          </cell>
          <cell r="E9">
            <v>3492</v>
          </cell>
          <cell r="F9">
            <v>2485</v>
          </cell>
          <cell r="G9">
            <v>5641</v>
          </cell>
          <cell r="H9">
            <v>4293</v>
          </cell>
          <cell r="I9">
            <v>2812</v>
          </cell>
          <cell r="J9">
            <v>201</v>
          </cell>
          <cell r="K9">
            <v>0</v>
          </cell>
        </row>
        <row r="22">
          <cell r="N22">
            <v>154</v>
          </cell>
        </row>
        <row r="24">
          <cell r="N24">
            <v>154</v>
          </cell>
        </row>
        <row r="28">
          <cell r="N28">
            <v>56210</v>
          </cell>
        </row>
        <row r="30">
          <cell r="N30">
            <v>0.68286781711439248</v>
          </cell>
        </row>
        <row r="32">
          <cell r="N32">
            <v>0.34620174346201743</v>
          </cell>
        </row>
        <row r="34">
          <cell r="N34">
            <v>0.5069820758649437</v>
          </cell>
        </row>
      </sheetData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-List"/>
      <sheetName val="Supp-1012"/>
      <sheetName val="Supp-10-490"/>
      <sheetName val="Supp-7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4982498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172321</v>
          </cell>
          <cell r="G13"/>
        </row>
        <row r="14">
          <cell r="E14">
            <v>0</v>
          </cell>
          <cell r="G14"/>
        </row>
        <row r="15">
          <cell r="E15">
            <v>5154819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1491581</v>
          </cell>
          <cell r="G26">
            <v>0</v>
          </cell>
        </row>
        <row r="32">
          <cell r="E32">
            <v>1390128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384818</v>
          </cell>
          <cell r="G42">
            <v>0</v>
          </cell>
        </row>
        <row r="47">
          <cell r="E47">
            <v>648732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303101</v>
          </cell>
          <cell r="G57">
            <v>0</v>
          </cell>
        </row>
        <row r="72">
          <cell r="E72">
            <v>110946</v>
          </cell>
          <cell r="G72">
            <v>-21773</v>
          </cell>
        </row>
        <row r="90">
          <cell r="C90">
            <v>250.36904761904762</v>
          </cell>
          <cell r="E90">
            <v>250.37026239067055</v>
          </cell>
          <cell r="G90">
            <v>250.36995515695068</v>
          </cell>
          <cell r="I90">
            <v>250.36885245901638</v>
          </cell>
        </row>
      </sheetData>
      <sheetData sheetId="6"/>
      <sheetData sheetId="7">
        <row r="10">
          <cell r="D10">
            <v>0</v>
          </cell>
          <cell r="F10">
            <v>131112</v>
          </cell>
          <cell r="H10"/>
        </row>
        <row r="11">
          <cell r="D11">
            <v>0</v>
          </cell>
          <cell r="F11"/>
          <cell r="H11"/>
        </row>
        <row r="12">
          <cell r="D12">
            <v>282308</v>
          </cell>
          <cell r="F12">
            <v>-131112</v>
          </cell>
          <cell r="H12"/>
        </row>
        <row r="13">
          <cell r="D13">
            <v>41861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474076</v>
          </cell>
          <cell r="F16"/>
          <cell r="H16">
            <v>-1820</v>
          </cell>
        </row>
        <row r="17">
          <cell r="D17">
            <v>300</v>
          </cell>
          <cell r="F17">
            <v>-300</v>
          </cell>
          <cell r="H17"/>
        </row>
        <row r="18">
          <cell r="D18">
            <v>11924</v>
          </cell>
          <cell r="F18"/>
          <cell r="H18"/>
        </row>
        <row r="19">
          <cell r="D19">
            <v>13953</v>
          </cell>
          <cell r="F19"/>
          <cell r="H19"/>
        </row>
        <row r="20">
          <cell r="D20">
            <v>23320</v>
          </cell>
          <cell r="F20"/>
          <cell r="H20"/>
        </row>
        <row r="21">
          <cell r="D21">
            <v>22548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7968</v>
          </cell>
          <cell r="F23"/>
          <cell r="H23"/>
        </row>
        <row r="24">
          <cell r="D24">
            <v>0</v>
          </cell>
          <cell r="F24"/>
          <cell r="H24"/>
        </row>
        <row r="25">
          <cell r="D25">
            <v>17283</v>
          </cell>
          <cell r="F25"/>
          <cell r="H25"/>
        </row>
        <row r="26">
          <cell r="D26">
            <v>658248</v>
          </cell>
          <cell r="F26"/>
          <cell r="H26"/>
        </row>
        <row r="27">
          <cell r="D27">
            <v>81826</v>
          </cell>
          <cell r="F27">
            <v>-1950</v>
          </cell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231587</v>
          </cell>
          <cell r="F29">
            <v>-231587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92138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306</v>
          </cell>
          <cell r="F34"/>
          <cell r="H34"/>
        </row>
        <row r="35">
          <cell r="D35">
            <v>17037</v>
          </cell>
          <cell r="F35">
            <v>-17037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40</v>
          </cell>
          <cell r="F38">
            <v>-40</v>
          </cell>
          <cell r="H38"/>
        </row>
        <row r="39">
          <cell r="D39">
            <v>2556</v>
          </cell>
          <cell r="F39"/>
          <cell r="H39"/>
        </row>
        <row r="40">
          <cell r="D40">
            <v>3541</v>
          </cell>
          <cell r="F40">
            <v>-3541</v>
          </cell>
          <cell r="H40"/>
        </row>
        <row r="41">
          <cell r="D41">
            <v>280227</v>
          </cell>
          <cell r="F41"/>
          <cell r="H41">
            <v>-7550</v>
          </cell>
        </row>
        <row r="42">
          <cell r="D42">
            <v>0</v>
          </cell>
          <cell r="F42"/>
          <cell r="H42"/>
        </row>
        <row r="43">
          <cell r="D43">
            <v>19704</v>
          </cell>
          <cell r="F43">
            <v>-19704</v>
          </cell>
          <cell r="H43"/>
        </row>
        <row r="44">
          <cell r="D44">
            <v>0</v>
          </cell>
          <cell r="F44"/>
          <cell r="H44"/>
        </row>
        <row r="45">
          <cell r="D45">
            <v>11168</v>
          </cell>
          <cell r="F45">
            <v>-16659</v>
          </cell>
          <cell r="H45"/>
        </row>
        <row r="57">
          <cell r="D57">
            <v>909302</v>
          </cell>
          <cell r="F57"/>
          <cell r="H57"/>
        </row>
        <row r="58">
          <cell r="D58">
            <v>28576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30000</v>
          </cell>
          <cell r="F60"/>
          <cell r="H60"/>
        </row>
        <row r="61">
          <cell r="D61">
            <v>4013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1702</v>
          </cell>
          <cell r="F65"/>
          <cell r="H65"/>
        </row>
        <row r="66">
          <cell r="D66">
            <v>95586</v>
          </cell>
          <cell r="F66"/>
          <cell r="H66">
            <v>-1195</v>
          </cell>
        </row>
        <row r="67">
          <cell r="D67">
            <v>41929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4289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38266</v>
          </cell>
          <cell r="F75"/>
          <cell r="H75"/>
        </row>
        <row r="76">
          <cell r="D76">
            <v>17905</v>
          </cell>
          <cell r="F76"/>
          <cell r="H76"/>
        </row>
        <row r="77">
          <cell r="D77">
            <v>24251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3014</v>
          </cell>
          <cell r="F79"/>
          <cell r="H79"/>
        </row>
        <row r="80">
          <cell r="D80">
            <v>42570</v>
          </cell>
          <cell r="F80"/>
          <cell r="H80"/>
        </row>
        <row r="81">
          <cell r="D81">
            <v>29532</v>
          </cell>
          <cell r="F81"/>
          <cell r="H81"/>
        </row>
        <row r="82">
          <cell r="D82">
            <v>26463</v>
          </cell>
          <cell r="F82"/>
          <cell r="H82"/>
        </row>
        <row r="83">
          <cell r="D83">
            <v>0</v>
          </cell>
          <cell r="F83"/>
          <cell r="H83"/>
        </row>
        <row r="84">
          <cell r="D84">
            <v>135433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553414</v>
          </cell>
          <cell r="F91">
            <v>-3164</v>
          </cell>
          <cell r="H91"/>
        </row>
        <row r="92">
          <cell r="D92">
            <v>732</v>
          </cell>
          <cell r="F92"/>
          <cell r="H92"/>
        </row>
        <row r="93">
          <cell r="D93">
            <v>4695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0</v>
          </cell>
          <cell r="F99"/>
          <cell r="H99"/>
        </row>
        <row r="100">
          <cell r="D100">
            <v>0</v>
          </cell>
          <cell r="F100"/>
          <cell r="H100"/>
        </row>
        <row r="101">
          <cell r="D101">
            <v>96122</v>
          </cell>
          <cell r="F101"/>
          <cell r="H101"/>
        </row>
        <row r="102">
          <cell r="D102">
            <v>6302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16668</v>
          </cell>
          <cell r="F117"/>
          <cell r="H117"/>
        </row>
        <row r="118">
          <cell r="D118">
            <v>145961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213323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65689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26294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19592</v>
          </cell>
          <cell r="F134"/>
          <cell r="H134"/>
        </row>
        <row r="136">
          <cell r="D136">
            <v>982342</v>
          </cell>
          <cell r="F136"/>
          <cell r="H136"/>
        </row>
        <row r="137">
          <cell r="D137">
            <v>317191</v>
          </cell>
          <cell r="F137"/>
          <cell r="H137"/>
        </row>
        <row r="138">
          <cell r="D138">
            <v>1049894</v>
          </cell>
          <cell r="F138">
            <v>19532</v>
          </cell>
          <cell r="H138"/>
        </row>
        <row r="139">
          <cell r="D139">
            <v>19532</v>
          </cell>
          <cell r="F139">
            <v>-19532</v>
          </cell>
          <cell r="H139"/>
        </row>
        <row r="141">
          <cell r="D141">
            <v>419540</v>
          </cell>
          <cell r="F141">
            <v>-245568</v>
          </cell>
          <cell r="H141"/>
        </row>
        <row r="142">
          <cell r="D142">
            <v>0</v>
          </cell>
          <cell r="F142">
            <v>56174</v>
          </cell>
          <cell r="H142"/>
        </row>
        <row r="143">
          <cell r="D143">
            <v>0</v>
          </cell>
          <cell r="F143">
            <v>189394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37850</v>
          </cell>
          <cell r="F146"/>
          <cell r="H146"/>
        </row>
        <row r="147">
          <cell r="D147">
            <v>385208</v>
          </cell>
          <cell r="F147"/>
          <cell r="H147"/>
        </row>
        <row r="148">
          <cell r="D148">
            <v>84526</v>
          </cell>
          <cell r="F148"/>
          <cell r="H148"/>
        </row>
        <row r="149">
          <cell r="D149">
            <v>114721</v>
          </cell>
          <cell r="F149"/>
          <cell r="H149"/>
        </row>
        <row r="150">
          <cell r="D150">
            <v>7443</v>
          </cell>
          <cell r="F150"/>
          <cell r="H150"/>
        </row>
        <row r="151">
          <cell r="D151">
            <v>222699</v>
          </cell>
          <cell r="F151"/>
          <cell r="H151"/>
        </row>
        <row r="152">
          <cell r="D152">
            <v>6247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1800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19552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43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2530</v>
          </cell>
          <cell r="F193"/>
          <cell r="H193"/>
        </row>
        <row r="194">
          <cell r="D194">
            <v>430403</v>
          </cell>
          <cell r="F194"/>
          <cell r="H194">
            <v>-7532</v>
          </cell>
        </row>
        <row r="195">
          <cell r="D195">
            <v>175280</v>
          </cell>
          <cell r="F195"/>
          <cell r="H195">
            <v>-3067</v>
          </cell>
        </row>
        <row r="196">
          <cell r="D196">
            <v>0</v>
          </cell>
          <cell r="F196"/>
          <cell r="H196"/>
        </row>
        <row r="197">
          <cell r="D197">
            <v>383697</v>
          </cell>
          <cell r="F197"/>
          <cell r="H197">
            <v>-6715</v>
          </cell>
        </row>
        <row r="198">
          <cell r="D198">
            <v>57562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253896</v>
          </cell>
          <cell r="F205"/>
          <cell r="H205"/>
        </row>
        <row r="206">
          <cell r="D206">
            <v>10628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146252</v>
          </cell>
          <cell r="F211"/>
          <cell r="H211"/>
        </row>
        <row r="212">
          <cell r="D212">
            <v>42760</v>
          </cell>
          <cell r="F212"/>
          <cell r="H212"/>
        </row>
        <row r="213">
          <cell r="D213">
            <v>11256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1957</v>
          </cell>
          <cell r="F216"/>
          <cell r="H216"/>
        </row>
        <row r="221">
          <cell r="D221">
            <v>10060351</v>
          </cell>
        </row>
      </sheetData>
      <sheetData sheetId="8"/>
      <sheetData sheetId="9"/>
      <sheetData sheetId="10">
        <row r="9">
          <cell r="C9">
            <v>25665</v>
          </cell>
          <cell r="D9"/>
          <cell r="E9">
            <v>2393</v>
          </cell>
          <cell r="F9">
            <v>3351</v>
          </cell>
          <cell r="G9"/>
          <cell r="H9">
            <v>1537</v>
          </cell>
          <cell r="I9">
            <v>3191</v>
          </cell>
          <cell r="J9">
            <v>0</v>
          </cell>
          <cell r="K9">
            <v>869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0.84488584474885842</v>
          </cell>
        </row>
        <row r="32">
          <cell r="N32">
            <v>0.58595890410958906</v>
          </cell>
        </row>
        <row r="34">
          <cell r="N34">
            <v>0.69353618332162359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Trial Balance"/>
      <sheetName val="Sch B"/>
      <sheetName val="Explanation of Misc Rev"/>
      <sheetName val="Sch B-1"/>
      <sheetName val="Sch C"/>
      <sheetName val="Sch C-1"/>
      <sheetName val="FCP Adjustments"/>
      <sheetName val="THC Home Office Summary"/>
      <sheetName val="Explanation of Misc Exp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1778334.34</v>
          </cell>
          <cell r="G10">
            <v>0</v>
          </cell>
        </row>
        <row r="12">
          <cell r="E12"/>
          <cell r="G12"/>
        </row>
        <row r="13">
          <cell r="E13">
            <v>2756.13</v>
          </cell>
          <cell r="G13"/>
        </row>
        <row r="14">
          <cell r="E14">
            <v>54185.38</v>
          </cell>
          <cell r="G14"/>
        </row>
        <row r="15">
          <cell r="E15">
            <v>1835275.85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1102025.05</v>
          </cell>
          <cell r="G26">
            <v>0</v>
          </cell>
        </row>
        <row r="32">
          <cell r="E32">
            <v>27261.1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649624.12</v>
          </cell>
          <cell r="G42">
            <v>0</v>
          </cell>
        </row>
        <row r="47">
          <cell r="E47">
            <v>417774.45</v>
          </cell>
          <cell r="G47">
            <v>0</v>
          </cell>
        </row>
        <row r="52">
          <cell r="E52">
            <v>25650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-7663.95</v>
          </cell>
          <cell r="G72">
            <v>0</v>
          </cell>
        </row>
        <row r="90">
          <cell r="C90">
            <v>190.08204767063924</v>
          </cell>
          <cell r="E90">
            <v>197.81716710182769</v>
          </cell>
          <cell r="G90">
            <v>238.80486111111111</v>
          </cell>
          <cell r="I90">
            <v>226.97430722891568</v>
          </cell>
        </row>
      </sheetData>
      <sheetData sheetId="7"/>
      <sheetData sheetId="8"/>
      <sheetData sheetId="9">
        <row r="10">
          <cell r="D10">
            <v>73345.38</v>
          </cell>
          <cell r="F10"/>
          <cell r="H10"/>
        </row>
        <row r="11">
          <cell r="D11"/>
          <cell r="F11"/>
          <cell r="H11"/>
        </row>
        <row r="12">
          <cell r="D12">
            <v>56672</v>
          </cell>
          <cell r="F12"/>
          <cell r="H12"/>
        </row>
        <row r="13">
          <cell r="D13">
            <v>339656.94</v>
          </cell>
          <cell r="F13"/>
          <cell r="H13"/>
        </row>
        <row r="14">
          <cell r="D14"/>
          <cell r="F14"/>
          <cell r="H14"/>
        </row>
        <row r="15">
          <cell r="D15">
            <v>97812.65</v>
          </cell>
          <cell r="F15"/>
          <cell r="H15">
            <v>-97812.65</v>
          </cell>
        </row>
        <row r="16">
          <cell r="D16"/>
          <cell r="F16"/>
          <cell r="H16">
            <v>215550</v>
          </cell>
        </row>
        <row r="17">
          <cell r="D17">
            <v>5916.55</v>
          </cell>
          <cell r="F17">
            <v>-5916.55</v>
          </cell>
          <cell r="H17"/>
        </row>
        <row r="18">
          <cell r="D18">
            <v>7332.67</v>
          </cell>
          <cell r="F18"/>
          <cell r="H18"/>
        </row>
        <row r="19">
          <cell r="D19">
            <v>9106.39</v>
          </cell>
          <cell r="F19"/>
          <cell r="H19"/>
        </row>
        <row r="20">
          <cell r="D20">
            <v>6721.33</v>
          </cell>
          <cell r="F20"/>
          <cell r="H20"/>
        </row>
        <row r="21">
          <cell r="D21">
            <v>22228.6</v>
          </cell>
          <cell r="F21"/>
          <cell r="H21"/>
        </row>
        <row r="22">
          <cell r="D22"/>
          <cell r="F22"/>
          <cell r="H22"/>
        </row>
        <row r="23">
          <cell r="D23">
            <v>5212.93</v>
          </cell>
          <cell r="F23"/>
          <cell r="H23"/>
        </row>
        <row r="24">
          <cell r="D24">
            <v>27664.31</v>
          </cell>
          <cell r="F24"/>
          <cell r="H24">
            <v>-27664.31</v>
          </cell>
        </row>
        <row r="25">
          <cell r="D25"/>
          <cell r="F25"/>
          <cell r="H25"/>
        </row>
        <row r="26">
          <cell r="D26">
            <v>318062.58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44852.74</v>
          </cell>
          <cell r="F29">
            <v>-44852.74</v>
          </cell>
          <cell r="H29"/>
        </row>
        <row r="30">
          <cell r="D30"/>
          <cell r="F30">
            <v>0</v>
          </cell>
          <cell r="H30"/>
        </row>
        <row r="31">
          <cell r="D31">
            <v>23606.19</v>
          </cell>
          <cell r="F31"/>
          <cell r="H31"/>
        </row>
        <row r="32">
          <cell r="D32">
            <v>18070.599999999999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50510.89</v>
          </cell>
          <cell r="F36"/>
          <cell r="H36"/>
        </row>
        <row r="37">
          <cell r="D37"/>
          <cell r="F37"/>
          <cell r="H37"/>
        </row>
        <row r="38">
          <cell r="D38">
            <v>612.20000000000005</v>
          </cell>
          <cell r="F38"/>
          <cell r="H38"/>
        </row>
        <row r="39">
          <cell r="D39">
            <v>10820.63</v>
          </cell>
          <cell r="F39"/>
          <cell r="H39"/>
        </row>
        <row r="40">
          <cell r="D40">
            <v>1144.8599999999999</v>
          </cell>
          <cell r="F40">
            <v>-1144.8599999999999</v>
          </cell>
          <cell r="H40"/>
        </row>
        <row r="41">
          <cell r="D41">
            <v>565.29999999999995</v>
          </cell>
          <cell r="F41"/>
          <cell r="H41"/>
        </row>
        <row r="42">
          <cell r="D42">
            <v>2093.7800000000002</v>
          </cell>
          <cell r="F42"/>
          <cell r="H42"/>
        </row>
        <row r="43">
          <cell r="D43">
            <v>13655.9</v>
          </cell>
          <cell r="F43"/>
          <cell r="H43"/>
        </row>
        <row r="44">
          <cell r="D44">
            <v>2004.81</v>
          </cell>
          <cell r="F44"/>
          <cell r="H44"/>
        </row>
        <row r="45">
          <cell r="D45">
            <v>2286.14</v>
          </cell>
          <cell r="F45"/>
          <cell r="H45"/>
        </row>
        <row r="57">
          <cell r="D57">
            <v>571142.88</v>
          </cell>
          <cell r="F57"/>
          <cell r="H57"/>
        </row>
        <row r="58">
          <cell r="D58">
            <v>1472.4</v>
          </cell>
          <cell r="F58"/>
          <cell r="H58"/>
        </row>
        <row r="59">
          <cell r="D59"/>
          <cell r="F59"/>
          <cell r="H59"/>
        </row>
        <row r="60">
          <cell r="D60">
            <v>28093.65</v>
          </cell>
          <cell r="F60"/>
          <cell r="H60"/>
        </row>
        <row r="61">
          <cell r="D61">
            <v>9136.84</v>
          </cell>
          <cell r="F61"/>
          <cell r="H61"/>
        </row>
        <row r="62">
          <cell r="D62">
            <v>7172.04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2410.9</v>
          </cell>
          <cell r="F65"/>
          <cell r="H65"/>
        </row>
        <row r="66">
          <cell r="D66">
            <v>349.91</v>
          </cell>
          <cell r="F66"/>
          <cell r="H66"/>
        </row>
        <row r="67">
          <cell r="D67">
            <v>7887.12</v>
          </cell>
          <cell r="F67"/>
          <cell r="H67"/>
        </row>
        <row r="68">
          <cell r="D68"/>
          <cell r="F68"/>
          <cell r="H68"/>
        </row>
        <row r="69">
          <cell r="D69">
            <v>4435.34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26599.14</v>
          </cell>
          <cell r="F75"/>
          <cell r="H75"/>
        </row>
        <row r="76">
          <cell r="D76"/>
          <cell r="F76"/>
          <cell r="H76"/>
        </row>
        <row r="77">
          <cell r="D77">
            <v>2642.76</v>
          </cell>
          <cell r="F77"/>
          <cell r="H77"/>
        </row>
        <row r="78">
          <cell r="D78">
            <v>8704.41</v>
          </cell>
          <cell r="F78"/>
          <cell r="H78"/>
        </row>
        <row r="79">
          <cell r="D79">
            <v>2205.59</v>
          </cell>
          <cell r="F79"/>
          <cell r="H79"/>
        </row>
        <row r="80">
          <cell r="D80">
            <v>4509.59</v>
          </cell>
          <cell r="F80"/>
          <cell r="H80"/>
        </row>
        <row r="81">
          <cell r="D81">
            <v>7935.49</v>
          </cell>
          <cell r="F81"/>
          <cell r="H81"/>
        </row>
        <row r="82">
          <cell r="D82">
            <v>8609.57</v>
          </cell>
          <cell r="F82"/>
          <cell r="H82"/>
        </row>
        <row r="83">
          <cell r="D83">
            <v>8298.3700000000008</v>
          </cell>
          <cell r="F83"/>
          <cell r="H83"/>
        </row>
        <row r="84">
          <cell r="D84">
            <v>65169.08</v>
          </cell>
          <cell r="F84"/>
          <cell r="H84"/>
        </row>
        <row r="85">
          <cell r="D85"/>
          <cell r="F85"/>
          <cell r="H85"/>
        </row>
        <row r="89">
          <cell r="D89">
            <v>143677.5</v>
          </cell>
          <cell r="F89"/>
          <cell r="H89"/>
        </row>
        <row r="90">
          <cell r="D90"/>
          <cell r="F90"/>
          <cell r="H90"/>
        </row>
        <row r="91">
          <cell r="D91">
            <v>7280</v>
          </cell>
          <cell r="F91"/>
          <cell r="H91"/>
        </row>
        <row r="92">
          <cell r="D92">
            <v>129367.09</v>
          </cell>
          <cell r="F92"/>
          <cell r="H92"/>
        </row>
        <row r="93">
          <cell r="D93">
            <v>12493.84</v>
          </cell>
          <cell r="F93"/>
          <cell r="H93"/>
        </row>
        <row r="94">
          <cell r="D94"/>
          <cell r="F94"/>
          <cell r="H94"/>
        </row>
        <row r="98">
          <cell r="D98">
            <v>30661.77</v>
          </cell>
          <cell r="F98"/>
          <cell r="H98"/>
        </row>
        <row r="99">
          <cell r="D99"/>
          <cell r="F99"/>
          <cell r="H99"/>
        </row>
        <row r="100">
          <cell r="D100">
            <v>5731.68</v>
          </cell>
          <cell r="F100"/>
          <cell r="H100"/>
        </row>
        <row r="101">
          <cell r="D101"/>
          <cell r="F101"/>
          <cell r="H101"/>
        </row>
        <row r="102">
          <cell r="D102">
            <v>887.22</v>
          </cell>
          <cell r="F102"/>
          <cell r="H102"/>
        </row>
        <row r="103">
          <cell r="D103"/>
          <cell r="F103"/>
          <cell r="H103"/>
        </row>
        <row r="115">
          <cell r="D115">
            <v>85155.03</v>
          </cell>
          <cell r="F115"/>
          <cell r="H115"/>
        </row>
        <row r="116">
          <cell r="D116"/>
          <cell r="F116"/>
          <cell r="H116"/>
        </row>
        <row r="117">
          <cell r="D117">
            <v>18155.330000000002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145994.31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40899.86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/>
          <cell r="H134"/>
        </row>
        <row r="136">
          <cell r="D136">
            <v>300194.23</v>
          </cell>
          <cell r="F136"/>
          <cell r="H136"/>
        </row>
        <row r="137">
          <cell r="D137">
            <v>138060.74</v>
          </cell>
          <cell r="F137"/>
          <cell r="H137"/>
        </row>
        <row r="138">
          <cell r="D138">
            <v>562475.47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/>
          <cell r="H141"/>
        </row>
        <row r="142">
          <cell r="D142"/>
          <cell r="F142"/>
          <cell r="H142"/>
        </row>
        <row r="143">
          <cell r="D143"/>
          <cell r="F143"/>
          <cell r="H143"/>
        </row>
        <row r="144">
          <cell r="D144"/>
          <cell r="F144"/>
          <cell r="H144"/>
        </row>
        <row r="146">
          <cell r="D146">
            <v>18000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6812.9</v>
          </cell>
          <cell r="F150"/>
          <cell r="H150"/>
        </row>
        <row r="151">
          <cell r="D151">
            <v>64643.87</v>
          </cell>
          <cell r="F151"/>
          <cell r="H151"/>
        </row>
        <row r="152">
          <cell r="D152">
            <v>346.78</v>
          </cell>
          <cell r="F152"/>
          <cell r="H152"/>
        </row>
        <row r="153">
          <cell r="D153">
            <v>2885.11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>
            <v>2200</v>
          </cell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156.94999999999999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133003.99</v>
          </cell>
          <cell r="F194"/>
          <cell r="H194">
            <v>-10427.51</v>
          </cell>
        </row>
        <row r="195">
          <cell r="D195">
            <v>2007.13</v>
          </cell>
          <cell r="F195"/>
          <cell r="H195">
            <v>-157.35</v>
          </cell>
        </row>
        <row r="196">
          <cell r="D196"/>
          <cell r="F196"/>
          <cell r="H196"/>
        </row>
        <row r="197">
          <cell r="D197">
            <v>100142.83</v>
          </cell>
          <cell r="F197"/>
          <cell r="H197">
            <v>-7851.19</v>
          </cell>
        </row>
        <row r="198">
          <cell r="D198">
            <v>5992.34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>
            <v>57.35</v>
          </cell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116719.67999999999</v>
          </cell>
          <cell r="F205"/>
          <cell r="H205"/>
        </row>
        <row r="206">
          <cell r="D206">
            <v>556.44000000000005</v>
          </cell>
          <cell r="F206"/>
          <cell r="H206"/>
        </row>
        <row r="207">
          <cell r="D207"/>
          <cell r="F207"/>
          <cell r="H207"/>
        </row>
        <row r="211">
          <cell r="D211">
            <v>92614.28</v>
          </cell>
          <cell r="F211"/>
          <cell r="H211"/>
        </row>
        <row r="212">
          <cell r="D212"/>
          <cell r="F212"/>
          <cell r="H212"/>
        </row>
        <row r="213">
          <cell r="D213">
            <v>10646.25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3356.39</v>
          </cell>
          <cell r="F216"/>
          <cell r="H216"/>
        </row>
        <row r="221">
          <cell r="D221">
            <v>4087907.81</v>
          </cell>
        </row>
      </sheetData>
      <sheetData sheetId="10"/>
      <sheetData sheetId="11"/>
      <sheetData sheetId="12"/>
      <sheetData sheetId="13"/>
      <sheetData sheetId="14"/>
      <sheetData sheetId="15">
        <row r="9">
          <cell r="C9">
            <v>9673</v>
          </cell>
          <cell r="D9"/>
          <cell r="E9">
            <v>2266</v>
          </cell>
          <cell r="F9">
            <v>67</v>
          </cell>
          <cell r="G9"/>
          <cell r="H9">
            <v>3073</v>
          </cell>
          <cell r="I9">
            <v>2314</v>
          </cell>
          <cell r="J9">
            <v>149</v>
          </cell>
          <cell r="K9"/>
        </row>
        <row r="22">
          <cell r="N22">
            <v>53</v>
          </cell>
        </row>
        <row r="24">
          <cell r="N24">
            <v>53</v>
          </cell>
        </row>
        <row r="28">
          <cell r="N28">
            <v>19345</v>
          </cell>
        </row>
        <row r="30">
          <cell r="N30">
            <v>0.90679762212458004</v>
          </cell>
        </row>
        <row r="32">
          <cell r="N32">
            <v>0.50002584647195658</v>
          </cell>
        </row>
        <row r="34">
          <cell r="N34">
            <v>0.55141945046174889</v>
          </cell>
        </row>
      </sheetData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3212578</v>
          </cell>
          <cell r="G10">
            <v>-1009607</v>
          </cell>
        </row>
        <row r="12">
          <cell r="E12">
            <v>379468</v>
          </cell>
          <cell r="G12"/>
        </row>
        <row r="13">
          <cell r="E13">
            <v>6077896</v>
          </cell>
          <cell r="G13"/>
        </row>
        <row r="14">
          <cell r="E14"/>
          <cell r="G14"/>
        </row>
        <row r="15">
          <cell r="E15">
            <v>9669942</v>
          </cell>
          <cell r="G15">
            <v>-1009607</v>
          </cell>
        </row>
        <row r="20">
          <cell r="E20">
            <v>0</v>
          </cell>
          <cell r="G20">
            <v>1009607</v>
          </cell>
        </row>
        <row r="26">
          <cell r="E26">
            <v>1248977</v>
          </cell>
          <cell r="G26">
            <v>0</v>
          </cell>
        </row>
        <row r="32">
          <cell r="E32">
            <v>1173807</v>
          </cell>
          <cell r="G32">
            <v>-874874</v>
          </cell>
        </row>
        <row r="37">
          <cell r="E37">
            <v>0</v>
          </cell>
          <cell r="G37">
            <v>0</v>
          </cell>
        </row>
        <row r="42">
          <cell r="E42">
            <v>367403</v>
          </cell>
          <cell r="G42">
            <v>874874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112283</v>
          </cell>
          <cell r="G72">
            <v>0</v>
          </cell>
        </row>
        <row r="90">
          <cell r="C90">
            <v>323.25709081446786</v>
          </cell>
          <cell r="E90">
            <v>323.25709081446786</v>
          </cell>
          <cell r="G90">
            <v>323.25709081446786</v>
          </cell>
          <cell r="I90">
            <v>323.25709081446786</v>
          </cell>
        </row>
      </sheetData>
      <sheetData sheetId="6"/>
      <sheetData sheetId="7">
        <row r="10">
          <cell r="D10"/>
          <cell r="F10">
            <v>182410</v>
          </cell>
          <cell r="H10"/>
        </row>
        <row r="11">
          <cell r="D11"/>
          <cell r="F11"/>
          <cell r="H11"/>
        </row>
        <row r="12">
          <cell r="D12">
            <v>491922</v>
          </cell>
          <cell r="F12">
            <v>-182410</v>
          </cell>
          <cell r="H12"/>
        </row>
        <row r="13">
          <cell r="D13">
            <v>1023438</v>
          </cell>
          <cell r="F13">
            <v>-940815</v>
          </cell>
          <cell r="H13"/>
        </row>
        <row r="14">
          <cell r="D14">
            <v>505</v>
          </cell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2410</v>
          </cell>
          <cell r="F17">
            <v>-2410</v>
          </cell>
          <cell r="H17"/>
        </row>
        <row r="18">
          <cell r="D18">
            <v>45398</v>
          </cell>
          <cell r="F18"/>
          <cell r="H18"/>
        </row>
        <row r="19">
          <cell r="D19">
            <v>18424</v>
          </cell>
          <cell r="F19"/>
          <cell r="H19"/>
        </row>
        <row r="20">
          <cell r="D20">
            <v>36631</v>
          </cell>
          <cell r="F20"/>
          <cell r="H20"/>
        </row>
        <row r="21">
          <cell r="D21">
            <v>90543</v>
          </cell>
          <cell r="F21">
            <v>-56198</v>
          </cell>
          <cell r="H21"/>
        </row>
        <row r="22">
          <cell r="D22"/>
          <cell r="F22"/>
          <cell r="H22"/>
        </row>
        <row r="23">
          <cell r="D23">
            <v>39530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458765</v>
          </cell>
          <cell r="F26"/>
          <cell r="H26"/>
        </row>
        <row r="27">
          <cell r="D27">
            <v>2843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>
            <v>347161</v>
          </cell>
          <cell r="F30">
            <v>-347161</v>
          </cell>
          <cell r="H30"/>
        </row>
        <row r="31">
          <cell r="D31">
            <v>69445</v>
          </cell>
          <cell r="F31"/>
          <cell r="H31"/>
        </row>
        <row r="32">
          <cell r="D32">
            <v>33768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82640</v>
          </cell>
          <cell r="F36"/>
          <cell r="H36"/>
        </row>
        <row r="37">
          <cell r="D37"/>
          <cell r="F37">
            <v>13880</v>
          </cell>
          <cell r="H37"/>
        </row>
        <row r="38">
          <cell r="D38"/>
          <cell r="F38"/>
          <cell r="H38"/>
        </row>
        <row r="39">
          <cell r="D39">
            <v>3491</v>
          </cell>
          <cell r="F39"/>
          <cell r="H39"/>
        </row>
        <row r="40">
          <cell r="D40">
            <v>22814</v>
          </cell>
          <cell r="F40"/>
          <cell r="H40"/>
        </row>
        <row r="41">
          <cell r="D41">
            <v>71741</v>
          </cell>
          <cell r="F41"/>
          <cell r="H41"/>
        </row>
        <row r="42">
          <cell r="D42">
            <v>26162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41670</v>
          </cell>
          <cell r="F45"/>
          <cell r="H45"/>
        </row>
        <row r="57">
          <cell r="D57">
            <v>8147</v>
          </cell>
          <cell r="F57"/>
          <cell r="H57"/>
        </row>
        <row r="58">
          <cell r="D58">
            <v>113472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12416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224045</v>
          </cell>
          <cell r="F66"/>
          <cell r="H66"/>
        </row>
        <row r="67">
          <cell r="D67">
            <v>185057</v>
          </cell>
          <cell r="F67"/>
          <cell r="H67"/>
        </row>
        <row r="68">
          <cell r="D68"/>
          <cell r="F68"/>
          <cell r="H68"/>
        </row>
        <row r="69">
          <cell r="D69">
            <v>2461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51545</v>
          </cell>
          <cell r="F75"/>
          <cell r="H75"/>
        </row>
        <row r="76">
          <cell r="D76"/>
          <cell r="F76">
            <v>8658</v>
          </cell>
          <cell r="H76"/>
        </row>
        <row r="77">
          <cell r="D77">
            <v>37181</v>
          </cell>
          <cell r="F77"/>
          <cell r="H77"/>
        </row>
        <row r="78">
          <cell r="D78"/>
          <cell r="F78"/>
          <cell r="H78"/>
        </row>
        <row r="79">
          <cell r="D79">
            <v>21710</v>
          </cell>
          <cell r="F79"/>
          <cell r="H79"/>
        </row>
        <row r="80">
          <cell r="D80">
            <v>36292</v>
          </cell>
          <cell r="F80"/>
          <cell r="H80"/>
        </row>
        <row r="81">
          <cell r="D81">
            <v>1290</v>
          </cell>
          <cell r="F81"/>
          <cell r="H81"/>
        </row>
        <row r="82">
          <cell r="D82">
            <v>30517</v>
          </cell>
          <cell r="F82"/>
          <cell r="H82"/>
        </row>
        <row r="83">
          <cell r="D83">
            <v>7379</v>
          </cell>
          <cell r="F83"/>
          <cell r="H83"/>
        </row>
        <row r="84">
          <cell r="D84">
            <v>96227</v>
          </cell>
          <cell r="F84"/>
          <cell r="H84"/>
        </row>
        <row r="85">
          <cell r="D85"/>
          <cell r="F85"/>
          <cell r="H85"/>
        </row>
        <row r="89">
          <cell r="D89">
            <v>188702</v>
          </cell>
          <cell r="F89"/>
          <cell r="H89"/>
        </row>
        <row r="90">
          <cell r="D90"/>
          <cell r="F90">
            <v>31694</v>
          </cell>
          <cell r="H90"/>
        </row>
        <row r="91">
          <cell r="D91">
            <v>518</v>
          </cell>
          <cell r="F91"/>
          <cell r="H91"/>
        </row>
        <row r="92">
          <cell r="D92">
            <v>198834</v>
          </cell>
          <cell r="F92"/>
          <cell r="H92"/>
        </row>
        <row r="93">
          <cell r="D93">
            <v>22458</v>
          </cell>
          <cell r="F93"/>
          <cell r="H93"/>
        </row>
        <row r="94">
          <cell r="D94"/>
          <cell r="F94"/>
          <cell r="H94"/>
        </row>
        <row r="98">
          <cell r="D98">
            <v>43802</v>
          </cell>
          <cell r="F98"/>
          <cell r="H98"/>
        </row>
        <row r="99">
          <cell r="D99"/>
          <cell r="F99">
            <v>7357</v>
          </cell>
          <cell r="H99"/>
        </row>
        <row r="100">
          <cell r="D100">
            <v>4158</v>
          </cell>
          <cell r="F100"/>
          <cell r="H100"/>
        </row>
        <row r="101">
          <cell r="D101"/>
          <cell r="F101"/>
          <cell r="H101"/>
        </row>
        <row r="102">
          <cell r="D102">
            <v>9708</v>
          </cell>
          <cell r="F102"/>
          <cell r="H102"/>
        </row>
        <row r="103">
          <cell r="D103"/>
          <cell r="F103"/>
          <cell r="H103"/>
        </row>
        <row r="115">
          <cell r="D115">
            <v>128523</v>
          </cell>
          <cell r="F115"/>
          <cell r="H115"/>
        </row>
        <row r="116">
          <cell r="D116"/>
          <cell r="F116">
            <v>21587</v>
          </cell>
          <cell r="H116"/>
        </row>
        <row r="117">
          <cell r="D117">
            <v>43528</v>
          </cell>
          <cell r="F117"/>
          <cell r="H117"/>
        </row>
        <row r="118">
          <cell r="D118">
            <v>2667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321528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301446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54004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50631</v>
          </cell>
          <cell r="H134"/>
        </row>
        <row r="136">
          <cell r="D136">
            <v>1839670</v>
          </cell>
          <cell r="F136"/>
          <cell r="H136"/>
        </row>
        <row r="137">
          <cell r="D137">
            <v>485631</v>
          </cell>
          <cell r="F137"/>
          <cell r="H137"/>
        </row>
        <row r="138">
          <cell r="D138">
            <v>1299024</v>
          </cell>
          <cell r="F138"/>
          <cell r="H138"/>
        </row>
        <row r="139">
          <cell r="D139">
            <v>716339</v>
          </cell>
          <cell r="F139"/>
          <cell r="H139"/>
        </row>
        <row r="141">
          <cell r="D141"/>
          <cell r="F141">
            <v>308991</v>
          </cell>
          <cell r="H141"/>
        </row>
        <row r="142">
          <cell r="D142"/>
          <cell r="F142">
            <v>81567</v>
          </cell>
          <cell r="H142"/>
        </row>
        <row r="143">
          <cell r="D143"/>
          <cell r="F143">
            <v>218184</v>
          </cell>
          <cell r="H143"/>
        </row>
        <row r="144">
          <cell r="D144"/>
          <cell r="F144">
            <v>120316</v>
          </cell>
          <cell r="H144"/>
        </row>
        <row r="146">
          <cell r="D146">
            <v>253976</v>
          </cell>
          <cell r="F146"/>
          <cell r="H146"/>
        </row>
        <row r="147">
          <cell r="D147">
            <v>19245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27307</v>
          </cell>
          <cell r="F150"/>
          <cell r="H150"/>
        </row>
        <row r="151">
          <cell r="D151">
            <v>373757</v>
          </cell>
          <cell r="F151"/>
          <cell r="H151"/>
        </row>
        <row r="152">
          <cell r="D152">
            <v>60534</v>
          </cell>
          <cell r="F152"/>
          <cell r="H152"/>
        </row>
        <row r="153">
          <cell r="D153"/>
          <cell r="F153"/>
          <cell r="H153"/>
        </row>
        <row r="154">
          <cell r="D154">
            <v>25808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-78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103049</v>
          </cell>
          <cell r="F194"/>
          <cell r="H194"/>
        </row>
        <row r="195">
          <cell r="D195">
            <v>35282</v>
          </cell>
          <cell r="F195"/>
          <cell r="H195"/>
        </row>
        <row r="196">
          <cell r="D196"/>
          <cell r="F196"/>
          <cell r="H196"/>
        </row>
        <row r="197">
          <cell r="D197">
            <v>67463</v>
          </cell>
          <cell r="F197"/>
          <cell r="H197"/>
        </row>
        <row r="198">
          <cell r="D198">
            <v>29882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383081</v>
          </cell>
          <cell r="F205"/>
          <cell r="H205"/>
        </row>
        <row r="206">
          <cell r="D206">
            <v>23844</v>
          </cell>
          <cell r="F206"/>
          <cell r="H206"/>
        </row>
        <row r="207">
          <cell r="D207"/>
          <cell r="F207"/>
          <cell r="H207"/>
        </row>
        <row r="211">
          <cell r="D211">
            <v>142570</v>
          </cell>
          <cell r="F211"/>
          <cell r="H211"/>
        </row>
        <row r="212">
          <cell r="D212"/>
          <cell r="F212">
            <v>23946</v>
          </cell>
          <cell r="H212"/>
        </row>
        <row r="213">
          <cell r="D213">
            <v>6752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4098</v>
          </cell>
          <cell r="F216"/>
          <cell r="H216"/>
        </row>
        <row r="221">
          <cell r="D221">
            <v>10900146</v>
          </cell>
        </row>
      </sheetData>
      <sheetData sheetId="8"/>
      <sheetData sheetId="9"/>
      <sheetData sheetId="10">
        <row r="9">
          <cell r="C9">
            <v>20438</v>
          </cell>
          <cell r="D9">
            <v>1806</v>
          </cell>
          <cell r="E9">
            <v>2742</v>
          </cell>
          <cell r="F9">
            <v>681</v>
          </cell>
          <cell r="G9"/>
          <cell r="H9">
            <v>3843</v>
          </cell>
          <cell r="I9"/>
          <cell r="J9"/>
          <cell r="K9"/>
        </row>
        <row r="22">
          <cell r="N22">
            <v>65</v>
          </cell>
        </row>
        <row r="24">
          <cell r="N24">
            <v>65</v>
          </cell>
        </row>
        <row r="28">
          <cell r="N28">
            <v>23725</v>
          </cell>
        </row>
        <row r="30">
          <cell r="N30">
            <v>1.2438356164383562</v>
          </cell>
        </row>
        <row r="32">
          <cell r="N32">
            <v>0.93757639620653321</v>
          </cell>
        </row>
        <row r="34">
          <cell r="N34">
            <v>0.75377838021009824</v>
          </cell>
        </row>
      </sheetData>
      <sheetData sheetId="11"/>
      <sheetData sheetId="1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1367841</v>
          </cell>
          <cell r="G10">
            <v>-328077</v>
          </cell>
        </row>
        <row r="12">
          <cell r="E12"/>
          <cell r="G12"/>
        </row>
        <row r="13">
          <cell r="E13">
            <v>383347</v>
          </cell>
          <cell r="G13"/>
        </row>
        <row r="14">
          <cell r="E14"/>
          <cell r="G14"/>
        </row>
        <row r="15">
          <cell r="E15">
            <v>1751188</v>
          </cell>
          <cell r="G15">
            <v>-328077</v>
          </cell>
        </row>
        <row r="20">
          <cell r="E20">
            <v>0</v>
          </cell>
          <cell r="G20">
            <v>328077</v>
          </cell>
        </row>
        <row r="26">
          <cell r="E26">
            <v>2969800</v>
          </cell>
          <cell r="G26">
            <v>0</v>
          </cell>
        </row>
        <row r="32">
          <cell r="E32">
            <v>756054</v>
          </cell>
          <cell r="G32">
            <v>-374745</v>
          </cell>
        </row>
        <row r="37">
          <cell r="E37">
            <v>0</v>
          </cell>
          <cell r="G37">
            <v>0</v>
          </cell>
        </row>
        <row r="42">
          <cell r="E42">
            <v>52772</v>
          </cell>
          <cell r="G42">
            <v>374745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65333</v>
          </cell>
          <cell r="G72">
            <v>0</v>
          </cell>
        </row>
        <row r="90">
          <cell r="C90">
            <v>419.95776031434184</v>
          </cell>
          <cell r="E90">
            <v>419.95776031434178</v>
          </cell>
          <cell r="G90">
            <v>419.9577603143419</v>
          </cell>
          <cell r="I90">
            <v>419.95776031434184</v>
          </cell>
        </row>
      </sheetData>
      <sheetData sheetId="6"/>
      <sheetData sheetId="7">
        <row r="10">
          <cell r="D10"/>
          <cell r="F10">
            <v>19694</v>
          </cell>
          <cell r="H10"/>
        </row>
        <row r="11">
          <cell r="D11"/>
          <cell r="F11"/>
          <cell r="H11"/>
        </row>
        <row r="12">
          <cell r="D12">
            <v>311442</v>
          </cell>
          <cell r="F12">
            <v>-19694</v>
          </cell>
          <cell r="H12"/>
        </row>
        <row r="13">
          <cell r="D13">
            <v>582550</v>
          </cell>
          <cell r="F13">
            <v>-522661</v>
          </cell>
          <cell r="H13"/>
        </row>
        <row r="14">
          <cell r="D14">
            <v>600</v>
          </cell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>
            <v>5891</v>
          </cell>
          <cell r="F17">
            <v>-5891</v>
          </cell>
          <cell r="H17"/>
        </row>
        <row r="18">
          <cell r="D18">
            <v>15672</v>
          </cell>
          <cell r="F18"/>
          <cell r="H18"/>
        </row>
        <row r="19">
          <cell r="D19">
            <v>5321</v>
          </cell>
          <cell r="F19"/>
          <cell r="H19"/>
        </row>
        <row r="20">
          <cell r="D20">
            <v>22510</v>
          </cell>
          <cell r="F20"/>
          <cell r="H20"/>
        </row>
        <row r="21">
          <cell r="D21">
            <v>43775</v>
          </cell>
          <cell r="F21">
            <v>-11590</v>
          </cell>
          <cell r="H21"/>
        </row>
        <row r="22">
          <cell r="D22"/>
          <cell r="F22"/>
          <cell r="H22"/>
        </row>
        <row r="23">
          <cell r="D23">
            <v>20919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12588</v>
          </cell>
          <cell r="F26"/>
          <cell r="H26"/>
        </row>
        <row r="27">
          <cell r="D27">
            <v>1833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>
            <v>71597</v>
          </cell>
          <cell r="F30">
            <v>-71597</v>
          </cell>
          <cell r="H30"/>
        </row>
        <row r="31">
          <cell r="D31">
            <v>38238</v>
          </cell>
          <cell r="F31"/>
          <cell r="H31"/>
        </row>
        <row r="32">
          <cell r="D32">
            <v>49902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42054</v>
          </cell>
          <cell r="F36"/>
          <cell r="H36"/>
        </row>
        <row r="37">
          <cell r="D37"/>
          <cell r="F37">
            <v>8087</v>
          </cell>
          <cell r="H37"/>
        </row>
        <row r="38">
          <cell r="D38"/>
          <cell r="F38"/>
          <cell r="H38"/>
        </row>
        <row r="39">
          <cell r="D39">
            <v>2111</v>
          </cell>
          <cell r="F39"/>
          <cell r="H39"/>
        </row>
        <row r="40">
          <cell r="D40">
            <v>14592</v>
          </cell>
          <cell r="F40"/>
          <cell r="H40"/>
        </row>
        <row r="41">
          <cell r="D41">
            <v>42821</v>
          </cell>
          <cell r="F41"/>
          <cell r="H41"/>
        </row>
        <row r="42">
          <cell r="D42">
            <v>12466</v>
          </cell>
          <cell r="F42"/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20761</v>
          </cell>
          <cell r="F45"/>
          <cell r="H45"/>
        </row>
        <row r="57">
          <cell r="D57">
            <v>181895</v>
          </cell>
          <cell r="F57"/>
          <cell r="H57"/>
        </row>
        <row r="58">
          <cell r="D58">
            <v>61420</v>
          </cell>
          <cell r="F58"/>
          <cell r="H58"/>
        </row>
        <row r="59">
          <cell r="D59">
            <v>101077</v>
          </cell>
          <cell r="F59"/>
          <cell r="H59"/>
        </row>
        <row r="60">
          <cell r="D60"/>
          <cell r="F60"/>
          <cell r="H60"/>
        </row>
        <row r="61">
          <cell r="D61">
            <v>6089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1248</v>
          </cell>
          <cell r="F65"/>
          <cell r="H65"/>
        </row>
        <row r="66">
          <cell r="D66">
            <v>92324</v>
          </cell>
          <cell r="F66"/>
          <cell r="H66"/>
        </row>
        <row r="67">
          <cell r="D67">
            <v>49962</v>
          </cell>
          <cell r="F67"/>
          <cell r="H67"/>
        </row>
        <row r="68">
          <cell r="D68"/>
          <cell r="F68"/>
          <cell r="H68"/>
        </row>
        <row r="69">
          <cell r="D69">
            <v>560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48311</v>
          </cell>
          <cell r="F75"/>
          <cell r="H75"/>
        </row>
        <row r="76">
          <cell r="D76"/>
          <cell r="F76">
            <v>9290</v>
          </cell>
          <cell r="H76"/>
        </row>
        <row r="77">
          <cell r="D77">
            <v>16192</v>
          </cell>
          <cell r="F77"/>
          <cell r="H77"/>
        </row>
        <row r="78">
          <cell r="D78"/>
          <cell r="F78"/>
          <cell r="H78"/>
        </row>
        <row r="79">
          <cell r="D79">
            <v>7416</v>
          </cell>
          <cell r="F79"/>
          <cell r="H79"/>
        </row>
        <row r="80">
          <cell r="D80">
            <v>24428</v>
          </cell>
          <cell r="F80"/>
          <cell r="H80"/>
        </row>
        <row r="81">
          <cell r="D81">
            <v>8362</v>
          </cell>
          <cell r="F81"/>
          <cell r="H81"/>
        </row>
        <row r="82">
          <cell r="D82">
            <v>17677</v>
          </cell>
          <cell r="F82"/>
          <cell r="H82"/>
        </row>
        <row r="83">
          <cell r="D83">
            <v>3949</v>
          </cell>
          <cell r="F83"/>
          <cell r="H83"/>
        </row>
        <row r="84">
          <cell r="D84">
            <v>69714</v>
          </cell>
          <cell r="F84"/>
          <cell r="H84"/>
        </row>
        <row r="85">
          <cell r="D85"/>
          <cell r="F85"/>
          <cell r="H85"/>
        </row>
        <row r="89">
          <cell r="D89">
            <v>198520</v>
          </cell>
          <cell r="F89"/>
          <cell r="H89"/>
        </row>
        <row r="90">
          <cell r="D90"/>
          <cell r="F90">
            <v>38175</v>
          </cell>
          <cell r="H90"/>
        </row>
        <row r="91">
          <cell r="D91">
            <v>450</v>
          </cell>
          <cell r="F91"/>
          <cell r="H91"/>
        </row>
        <row r="92">
          <cell r="D92">
            <v>126815</v>
          </cell>
          <cell r="F92"/>
          <cell r="H92"/>
        </row>
        <row r="93">
          <cell r="D93">
            <v>12957</v>
          </cell>
          <cell r="F93"/>
          <cell r="H93"/>
        </row>
        <row r="94">
          <cell r="D94"/>
          <cell r="F94"/>
          <cell r="H94"/>
        </row>
        <row r="98">
          <cell r="D98">
            <v>25064</v>
          </cell>
          <cell r="F98"/>
          <cell r="H98"/>
        </row>
        <row r="99">
          <cell r="D99"/>
          <cell r="F99">
            <v>4820</v>
          </cell>
          <cell r="H99"/>
        </row>
        <row r="100">
          <cell r="D100">
            <v>2851</v>
          </cell>
          <cell r="F100"/>
          <cell r="H100"/>
        </row>
        <row r="101">
          <cell r="D101"/>
          <cell r="F101"/>
          <cell r="H101"/>
        </row>
        <row r="102">
          <cell r="D102">
            <v>5750</v>
          </cell>
          <cell r="F102"/>
          <cell r="H102"/>
        </row>
        <row r="103">
          <cell r="D103"/>
          <cell r="F103"/>
          <cell r="H103"/>
        </row>
        <row r="115">
          <cell r="D115">
            <v>56559</v>
          </cell>
          <cell r="F115"/>
          <cell r="H115"/>
        </row>
        <row r="116">
          <cell r="D116"/>
          <cell r="F116">
            <v>10876</v>
          </cell>
          <cell r="H116"/>
        </row>
        <row r="117">
          <cell r="D117">
            <v>21168</v>
          </cell>
          <cell r="F117"/>
          <cell r="H117"/>
        </row>
        <row r="118">
          <cell r="D118">
            <v>7839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155629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135081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29927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25976</v>
          </cell>
          <cell r="H134"/>
        </row>
        <row r="136">
          <cell r="D136">
            <v>880548</v>
          </cell>
          <cell r="F136"/>
          <cell r="H136"/>
        </row>
        <row r="137">
          <cell r="D137">
            <v>221006</v>
          </cell>
          <cell r="F137"/>
          <cell r="H137"/>
        </row>
        <row r="138">
          <cell r="D138">
            <v>525602</v>
          </cell>
          <cell r="F138"/>
          <cell r="H138"/>
        </row>
        <row r="139">
          <cell r="D139">
            <v>353560</v>
          </cell>
          <cell r="F139"/>
          <cell r="H139"/>
        </row>
        <row r="141">
          <cell r="D141"/>
          <cell r="F141">
            <v>169326</v>
          </cell>
          <cell r="H141"/>
        </row>
        <row r="142">
          <cell r="D142"/>
          <cell r="F142">
            <v>42498</v>
          </cell>
          <cell r="H142"/>
        </row>
        <row r="143">
          <cell r="D143"/>
          <cell r="F143">
            <v>101071</v>
          </cell>
          <cell r="H143"/>
        </row>
        <row r="144">
          <cell r="D144"/>
          <cell r="F144">
            <v>67988</v>
          </cell>
          <cell r="H144"/>
        </row>
        <row r="146">
          <cell r="D146">
            <v>122351</v>
          </cell>
          <cell r="F146"/>
          <cell r="H146"/>
        </row>
        <row r="147">
          <cell r="D147">
            <v>7065</v>
          </cell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10583</v>
          </cell>
          <cell r="F150"/>
          <cell r="H150"/>
        </row>
        <row r="151">
          <cell r="D151">
            <v>181425</v>
          </cell>
          <cell r="F151"/>
          <cell r="H151"/>
        </row>
        <row r="152">
          <cell r="D152">
            <v>27610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348546</v>
          </cell>
          <cell r="F194"/>
          <cell r="H194"/>
        </row>
        <row r="195">
          <cell r="D195">
            <v>32212</v>
          </cell>
          <cell r="F195"/>
          <cell r="H195"/>
        </row>
        <row r="196">
          <cell r="D196"/>
          <cell r="F196"/>
          <cell r="H196"/>
        </row>
        <row r="197">
          <cell r="D197">
            <v>301136</v>
          </cell>
          <cell r="F197"/>
          <cell r="H197"/>
        </row>
        <row r="198">
          <cell r="D198">
            <v>43516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491001</v>
          </cell>
          <cell r="F205"/>
          <cell r="H205"/>
        </row>
        <row r="206">
          <cell r="D206">
            <v>7487</v>
          </cell>
          <cell r="F206"/>
          <cell r="H206"/>
        </row>
        <row r="207">
          <cell r="D207"/>
          <cell r="F207"/>
          <cell r="H207"/>
        </row>
        <row r="211">
          <cell r="D211">
            <v>76070</v>
          </cell>
          <cell r="F211"/>
          <cell r="H211"/>
        </row>
        <row r="212">
          <cell r="D212"/>
          <cell r="F212">
            <v>14628</v>
          </cell>
          <cell r="H212"/>
        </row>
        <row r="213">
          <cell r="D213">
            <v>2193</v>
          </cell>
          <cell r="F213"/>
          <cell r="H213"/>
        </row>
        <row r="214">
          <cell r="D214">
            <v>5814</v>
          </cell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6394675</v>
          </cell>
        </row>
      </sheetData>
      <sheetData sheetId="8"/>
      <sheetData sheetId="9"/>
      <sheetData sheetId="10">
        <row r="9">
          <cell r="C9">
            <v>2803</v>
          </cell>
          <cell r="D9">
            <v>512</v>
          </cell>
          <cell r="E9">
            <v>5972</v>
          </cell>
          <cell r="F9">
            <v>919</v>
          </cell>
          <cell r="G9"/>
          <cell r="H9">
            <v>1018</v>
          </cell>
          <cell r="I9"/>
          <cell r="J9"/>
          <cell r="K9"/>
        </row>
        <row r="22">
          <cell r="N22">
            <v>95</v>
          </cell>
        </row>
        <row r="24">
          <cell r="N24">
            <v>95</v>
          </cell>
        </row>
        <row r="28">
          <cell r="N28">
            <v>34675</v>
          </cell>
        </row>
        <row r="30">
          <cell r="N30">
            <v>0.32369142033165105</v>
          </cell>
        </row>
        <row r="32">
          <cell r="N32">
            <v>9.5602018745493872E-2</v>
          </cell>
        </row>
        <row r="34">
          <cell r="N34">
            <v>0.29534925160370634</v>
          </cell>
        </row>
      </sheetData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2887478.1</v>
          </cell>
          <cell r="G10">
            <v>0</v>
          </cell>
        </row>
        <row r="12">
          <cell r="E12">
            <v>1398904.92</v>
          </cell>
          <cell r="G12">
            <v>917161.40999999992</v>
          </cell>
        </row>
        <row r="13">
          <cell r="E13">
            <v>65245.51</v>
          </cell>
          <cell r="G13"/>
        </row>
        <row r="14">
          <cell r="E14">
            <v>76701.45</v>
          </cell>
          <cell r="G14"/>
        </row>
        <row r="15">
          <cell r="E15">
            <v>4428329.9800000004</v>
          </cell>
          <cell r="G15">
            <v>917161.40999999992</v>
          </cell>
        </row>
        <row r="20">
          <cell r="E20">
            <v>0</v>
          </cell>
          <cell r="G20">
            <v>0</v>
          </cell>
        </row>
        <row r="26">
          <cell r="E26">
            <v>1093994.25</v>
          </cell>
          <cell r="G26">
            <v>0</v>
          </cell>
        </row>
        <row r="32">
          <cell r="E32">
            <v>587875.12999999989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1200580.82</v>
          </cell>
          <cell r="G42">
            <v>0</v>
          </cell>
        </row>
        <row r="47">
          <cell r="E47">
            <v>352407.32</v>
          </cell>
          <cell r="G47">
            <v>0</v>
          </cell>
        </row>
        <row r="52">
          <cell r="E52">
            <v>59829.939999999995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890.78</v>
          </cell>
          <cell r="G72">
            <v>-890.78</v>
          </cell>
        </row>
        <row r="90">
          <cell r="C90">
            <v>276.40845079787232</v>
          </cell>
          <cell r="E90">
            <v>282.4566581306018</v>
          </cell>
          <cell r="G90">
            <v>269.16294591484461</v>
          </cell>
          <cell r="I90">
            <v>256.89055987558322</v>
          </cell>
        </row>
      </sheetData>
      <sheetData sheetId="6"/>
      <sheetData sheetId="7">
        <row r="10">
          <cell r="D10">
            <v>111626.51</v>
          </cell>
          <cell r="F10">
            <v>5838</v>
          </cell>
          <cell r="H10"/>
        </row>
        <row r="11">
          <cell r="D11"/>
          <cell r="F11"/>
          <cell r="H11"/>
        </row>
        <row r="12">
          <cell r="D12">
            <v>205821.7</v>
          </cell>
          <cell r="F12">
            <v>-63703.01</v>
          </cell>
          <cell r="H12"/>
        </row>
        <row r="13">
          <cell r="D13">
            <v>72767.92</v>
          </cell>
          <cell r="F13">
            <v>-13275.4</v>
          </cell>
          <cell r="H13"/>
        </row>
        <row r="14">
          <cell r="D14"/>
          <cell r="F14"/>
          <cell r="H14"/>
        </row>
        <row r="15">
          <cell r="D15">
            <v>472128.51</v>
          </cell>
          <cell r="F15">
            <v>-472128.51</v>
          </cell>
          <cell r="H15"/>
        </row>
        <row r="16">
          <cell r="D16"/>
          <cell r="F16">
            <v>304471</v>
          </cell>
          <cell r="H16"/>
        </row>
        <row r="17">
          <cell r="D17"/>
          <cell r="F17"/>
          <cell r="H17"/>
        </row>
        <row r="18">
          <cell r="D18">
            <v>10820.89</v>
          </cell>
          <cell r="F18"/>
          <cell r="H18"/>
        </row>
        <row r="19">
          <cell r="D19">
            <v>41314.54</v>
          </cell>
          <cell r="F19">
            <v>3089</v>
          </cell>
          <cell r="H19"/>
        </row>
        <row r="20">
          <cell r="D20">
            <v>20668.04</v>
          </cell>
          <cell r="F20">
            <v>-2902</v>
          </cell>
          <cell r="H20"/>
        </row>
        <row r="21">
          <cell r="D21">
            <v>15781.85</v>
          </cell>
          <cell r="F21">
            <v>21065</v>
          </cell>
          <cell r="H21"/>
        </row>
        <row r="22">
          <cell r="D22"/>
          <cell r="F22"/>
          <cell r="H22"/>
        </row>
        <row r="23">
          <cell r="D23">
            <v>33231.65</v>
          </cell>
          <cell r="F23">
            <v>20328</v>
          </cell>
          <cell r="H23"/>
        </row>
        <row r="24">
          <cell r="D24">
            <v>58899.17</v>
          </cell>
          <cell r="F24"/>
          <cell r="H24"/>
        </row>
        <row r="25">
          <cell r="D25"/>
          <cell r="F25"/>
          <cell r="H25"/>
        </row>
        <row r="26">
          <cell r="D26">
            <v>459797.68</v>
          </cell>
          <cell r="F26"/>
          <cell r="H26"/>
        </row>
        <row r="27">
          <cell r="D27">
            <v>229.16</v>
          </cell>
          <cell r="F27">
            <v>18082.22</v>
          </cell>
          <cell r="H27"/>
        </row>
        <row r="28">
          <cell r="D28"/>
          <cell r="F28">
            <v>0</v>
          </cell>
          <cell r="H28"/>
        </row>
        <row r="29">
          <cell r="D29">
            <v>749956.47</v>
          </cell>
          <cell r="F29">
            <v>-749956.47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161273.5</v>
          </cell>
          <cell r="F32">
            <v>7077</v>
          </cell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10656.66</v>
          </cell>
          <cell r="F39">
            <v>4741</v>
          </cell>
          <cell r="H39"/>
        </row>
        <row r="40">
          <cell r="D40">
            <v>11050.87</v>
          </cell>
          <cell r="F40">
            <v>-11050.87</v>
          </cell>
          <cell r="H40"/>
        </row>
        <row r="41">
          <cell r="D41">
            <v>26918.41</v>
          </cell>
          <cell r="F41">
            <v>56134</v>
          </cell>
          <cell r="H41"/>
        </row>
        <row r="42">
          <cell r="D42">
            <v>42.5</v>
          </cell>
          <cell r="F42">
            <v>3427</v>
          </cell>
          <cell r="H42"/>
        </row>
        <row r="43">
          <cell r="D43"/>
          <cell r="F43"/>
          <cell r="H43"/>
        </row>
        <row r="44">
          <cell r="D44"/>
          <cell r="F44"/>
          <cell r="H44"/>
        </row>
        <row r="45">
          <cell r="D45">
            <v>10976.66</v>
          </cell>
          <cell r="F45">
            <v>11</v>
          </cell>
          <cell r="H45"/>
        </row>
        <row r="57">
          <cell r="D57">
            <v>1026000</v>
          </cell>
          <cell r="F57"/>
          <cell r="H57">
            <v>-1026000</v>
          </cell>
        </row>
        <row r="58">
          <cell r="D58">
            <v>9515.36</v>
          </cell>
          <cell r="F58">
            <v>9007</v>
          </cell>
          <cell r="H58">
            <v>168333.36</v>
          </cell>
        </row>
        <row r="59">
          <cell r="D59"/>
          <cell r="F59"/>
          <cell r="H59">
            <v>620991.41</v>
          </cell>
        </row>
        <row r="60">
          <cell r="D60">
            <v>72515.34</v>
          </cell>
          <cell r="F60">
            <v>-7200.4</v>
          </cell>
          <cell r="H60"/>
        </row>
        <row r="61">
          <cell r="D61">
            <v>21297.55</v>
          </cell>
          <cell r="F61">
            <v>2022</v>
          </cell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23752.76</v>
          </cell>
          <cell r="F67">
            <v>29064</v>
          </cell>
          <cell r="H67"/>
        </row>
        <row r="68">
          <cell r="D68"/>
          <cell r="F68"/>
          <cell r="H68"/>
        </row>
        <row r="69">
          <cell r="D69">
            <v>7824.36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71252.45</v>
          </cell>
          <cell r="F75"/>
          <cell r="H75"/>
        </row>
        <row r="76">
          <cell r="D76">
            <v>13134.93</v>
          </cell>
          <cell r="F76"/>
          <cell r="H76"/>
        </row>
        <row r="77">
          <cell r="D77">
            <v>13190.57</v>
          </cell>
          <cell r="F77"/>
          <cell r="H77"/>
        </row>
        <row r="78">
          <cell r="D78">
            <v>12011.52</v>
          </cell>
          <cell r="F78">
            <v>2008</v>
          </cell>
          <cell r="H78"/>
        </row>
        <row r="79">
          <cell r="D79">
            <v>16440.59</v>
          </cell>
          <cell r="F79"/>
          <cell r="H79"/>
        </row>
        <row r="80">
          <cell r="D80">
            <v>59557.46</v>
          </cell>
          <cell r="F80"/>
          <cell r="H80"/>
        </row>
        <row r="81">
          <cell r="D81">
            <v>1695.65</v>
          </cell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205156.94</v>
          </cell>
          <cell r="F84">
            <v>968</v>
          </cell>
          <cell r="H84"/>
        </row>
        <row r="85">
          <cell r="D85">
            <v>12872.27</v>
          </cell>
          <cell r="F85"/>
          <cell r="H85"/>
        </row>
        <row r="89">
          <cell r="D89">
            <v>311141.92</v>
          </cell>
          <cell r="F89"/>
          <cell r="H89"/>
        </row>
        <row r="90">
          <cell r="D90">
            <v>69217.87</v>
          </cell>
          <cell r="F90"/>
          <cell r="H90"/>
        </row>
        <row r="91">
          <cell r="D91">
            <v>14667.36</v>
          </cell>
          <cell r="F91"/>
          <cell r="H91"/>
        </row>
        <row r="92">
          <cell r="D92">
            <v>243685.1</v>
          </cell>
          <cell r="F92"/>
          <cell r="H92"/>
        </row>
        <row r="93">
          <cell r="D93">
            <v>13318.44</v>
          </cell>
          <cell r="F93"/>
          <cell r="H93"/>
        </row>
        <row r="94">
          <cell r="D94">
            <v>11074.59</v>
          </cell>
          <cell r="F94"/>
          <cell r="H94"/>
        </row>
        <row r="98">
          <cell r="D98">
            <v>30814.97</v>
          </cell>
          <cell r="F98"/>
          <cell r="H98"/>
        </row>
        <row r="99">
          <cell r="D99">
            <v>8762.93</v>
          </cell>
          <cell r="F99"/>
          <cell r="H99"/>
        </row>
        <row r="100">
          <cell r="D100">
            <v>12778.14</v>
          </cell>
          <cell r="F100"/>
          <cell r="H100"/>
        </row>
        <row r="101">
          <cell r="D101">
            <v>1343.99</v>
          </cell>
          <cell r="F101"/>
          <cell r="H101"/>
        </row>
        <row r="102">
          <cell r="D102">
            <v>4710.28</v>
          </cell>
          <cell r="F102"/>
          <cell r="H102"/>
        </row>
        <row r="103">
          <cell r="D103">
            <v>288</v>
          </cell>
          <cell r="F103"/>
          <cell r="H103"/>
        </row>
        <row r="115">
          <cell r="D115">
            <v>90938.34</v>
          </cell>
          <cell r="F115"/>
          <cell r="H115"/>
        </row>
        <row r="116">
          <cell r="D116">
            <v>21159.09</v>
          </cell>
          <cell r="F116"/>
          <cell r="H116"/>
        </row>
        <row r="117">
          <cell r="D117">
            <v>24874.37</v>
          </cell>
          <cell r="F117"/>
          <cell r="H117"/>
        </row>
        <row r="118">
          <cell r="D118">
            <v>4282.74</v>
          </cell>
          <cell r="F118"/>
          <cell r="H118"/>
        </row>
        <row r="119">
          <cell r="D119">
            <v>944</v>
          </cell>
          <cell r="F119"/>
          <cell r="H119"/>
        </row>
        <row r="124">
          <cell r="D124">
            <v>212143.1</v>
          </cell>
          <cell r="F124"/>
          <cell r="H124"/>
        </row>
        <row r="125">
          <cell r="D125">
            <v>97538.61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40832.68</v>
          </cell>
          <cell r="F128">
            <v>53855</v>
          </cell>
          <cell r="H128"/>
        </row>
        <row r="130">
          <cell r="D130">
            <v>35813.520000000004</v>
          </cell>
          <cell r="F130"/>
          <cell r="H130"/>
        </row>
        <row r="131">
          <cell r="D131">
            <v>16038.609999999999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10403.32</v>
          </cell>
          <cell r="F134"/>
          <cell r="H134"/>
        </row>
        <row r="136">
          <cell r="D136">
            <v>551368.43000000005</v>
          </cell>
          <cell r="F136"/>
          <cell r="H136"/>
        </row>
        <row r="137">
          <cell r="D137">
            <v>418246.03</v>
          </cell>
          <cell r="F137"/>
          <cell r="H137"/>
        </row>
        <row r="138">
          <cell r="D138">
            <v>642843.18999999994</v>
          </cell>
          <cell r="F138"/>
          <cell r="H138"/>
        </row>
        <row r="139">
          <cell r="D139">
            <v>79956.44</v>
          </cell>
          <cell r="F139"/>
          <cell r="H139"/>
        </row>
        <row r="141">
          <cell r="D141">
            <v>93080.78</v>
          </cell>
          <cell r="F141"/>
          <cell r="H141"/>
        </row>
        <row r="142">
          <cell r="D142">
            <v>70607.350000000006</v>
          </cell>
          <cell r="F142"/>
          <cell r="H142"/>
        </row>
        <row r="143">
          <cell r="D143">
            <v>108523.34</v>
          </cell>
          <cell r="F143"/>
          <cell r="H143"/>
        </row>
        <row r="144">
          <cell r="D144">
            <v>13498.07</v>
          </cell>
          <cell r="F144"/>
          <cell r="H144"/>
        </row>
        <row r="146">
          <cell r="D146">
            <v>38982.879999999997</v>
          </cell>
          <cell r="F146"/>
          <cell r="H146"/>
        </row>
        <row r="147">
          <cell r="D147">
            <v>17827.5</v>
          </cell>
          <cell r="F147"/>
          <cell r="H147"/>
        </row>
        <row r="148">
          <cell r="D148">
            <v>691</v>
          </cell>
          <cell r="F148"/>
          <cell r="H148"/>
        </row>
        <row r="149">
          <cell r="D149">
            <v>45833.17</v>
          </cell>
          <cell r="F149"/>
          <cell r="H149"/>
        </row>
        <row r="150">
          <cell r="D150">
            <v>11587.85</v>
          </cell>
          <cell r="F150"/>
          <cell r="H150"/>
        </row>
        <row r="151">
          <cell r="D151">
            <v>111183.34</v>
          </cell>
          <cell r="F151"/>
          <cell r="H151"/>
        </row>
        <row r="152">
          <cell r="D152">
            <v>46304.800000000003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14076.53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267591.67</v>
          </cell>
          <cell r="F177">
            <v>16672</v>
          </cell>
          <cell r="H177"/>
        </row>
        <row r="178">
          <cell r="D178">
            <v>48634.81</v>
          </cell>
          <cell r="F178"/>
          <cell r="H178"/>
        </row>
        <row r="179">
          <cell r="D179">
            <v>48494.99</v>
          </cell>
          <cell r="F179"/>
          <cell r="H179"/>
        </row>
        <row r="180">
          <cell r="D180">
            <v>9115.24</v>
          </cell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146962.91</v>
          </cell>
          <cell r="F183"/>
          <cell r="H183"/>
        </row>
        <row r="184">
          <cell r="D184">
            <v>32817.64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10135</v>
          </cell>
          <cell r="F188"/>
          <cell r="H188"/>
        </row>
        <row r="189">
          <cell r="D189">
            <v>43</v>
          </cell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43898.38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>
            <v>2248.29</v>
          </cell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>
            <v>-334</v>
          </cell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>
            <v>259</v>
          </cell>
          <cell r="F201"/>
          <cell r="H201"/>
        </row>
        <row r="202">
          <cell r="D202"/>
          <cell r="F202"/>
          <cell r="H202"/>
        </row>
        <row r="203">
          <cell r="D203">
            <v>13322.01</v>
          </cell>
          <cell r="F203"/>
          <cell r="H203"/>
        </row>
        <row r="204">
          <cell r="D204"/>
          <cell r="F204"/>
          <cell r="H204"/>
        </row>
        <row r="205">
          <cell r="D205">
            <v>186586.99</v>
          </cell>
          <cell r="F205"/>
          <cell r="H205"/>
        </row>
        <row r="206">
          <cell r="D206">
            <v>28940.52</v>
          </cell>
          <cell r="F206"/>
          <cell r="H206"/>
        </row>
        <row r="207">
          <cell r="D207">
            <v>18890.439999999999</v>
          </cell>
          <cell r="F207"/>
          <cell r="H207"/>
        </row>
        <row r="211">
          <cell r="D211">
            <v>165196</v>
          </cell>
          <cell r="F211"/>
          <cell r="H211"/>
        </row>
        <row r="212">
          <cell r="D212">
            <v>44212.79</v>
          </cell>
          <cell r="F212"/>
          <cell r="H212"/>
        </row>
        <row r="213">
          <cell r="D213">
            <v>17976.84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8317.7900000000009</v>
          </cell>
          <cell r="F216"/>
          <cell r="H216"/>
        </row>
        <row r="221">
          <cell r="D221">
            <v>8675207.4499999993</v>
          </cell>
        </row>
      </sheetData>
      <sheetData sheetId="8"/>
      <sheetData sheetId="9"/>
      <sheetData sheetId="10">
        <row r="9">
          <cell r="C9">
            <v>15339</v>
          </cell>
          <cell r="D9"/>
          <cell r="E9">
            <v>2027</v>
          </cell>
          <cell r="F9">
            <v>2434</v>
          </cell>
          <cell r="G9"/>
          <cell r="H9">
            <v>4440</v>
          </cell>
          <cell r="I9">
            <v>1837</v>
          </cell>
          <cell r="J9">
            <v>300</v>
          </cell>
          <cell r="K9"/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0.51618395303326814</v>
          </cell>
        </row>
        <row r="32">
          <cell r="N32">
            <v>0.3001761252446184</v>
          </cell>
        </row>
        <row r="34">
          <cell r="N34">
            <v>0.58152936270235434</v>
          </cell>
        </row>
      </sheetData>
      <sheetData sheetId="11"/>
      <sheetData sheetId="1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-10-250"/>
      <sheetName val="Supp-1012"/>
      <sheetName val="Supp-10-490"/>
      <sheetName val="Supp-30-490 "/>
      <sheetName val="Supp-40-490"/>
      <sheetName val="Supp-60-490"/>
      <sheetName val="Supp-70-490"/>
      <sheetName val="Supp-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512527</v>
          </cell>
          <cell r="G10">
            <v>0</v>
          </cell>
        </row>
        <row r="12">
          <cell r="E12">
            <v>0</v>
          </cell>
          <cell r="G12"/>
        </row>
        <row r="13">
          <cell r="E13">
            <v>0</v>
          </cell>
          <cell r="G13"/>
        </row>
        <row r="14">
          <cell r="E14">
            <v>0</v>
          </cell>
          <cell r="G14"/>
        </row>
        <row r="15">
          <cell r="E15">
            <v>512527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2211560</v>
          </cell>
          <cell r="G26">
            <v>0</v>
          </cell>
        </row>
        <row r="32">
          <cell r="E32">
            <v>93380</v>
          </cell>
          <cell r="G32">
            <v>0</v>
          </cell>
        </row>
        <row r="37">
          <cell r="E37">
            <v>7851485</v>
          </cell>
          <cell r="G37">
            <v>-2441291</v>
          </cell>
        </row>
        <row r="42">
          <cell r="E42">
            <v>1713777</v>
          </cell>
          <cell r="G42">
            <v>2441291</v>
          </cell>
        </row>
        <row r="47">
          <cell r="E47">
            <v>3370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43276</v>
          </cell>
          <cell r="G57">
            <v>0</v>
          </cell>
        </row>
        <row r="72">
          <cell r="E72">
            <v>40674</v>
          </cell>
          <cell r="G72">
            <v>-45573</v>
          </cell>
        </row>
        <row r="90">
          <cell r="C90">
            <v>224.79265791632486</v>
          </cell>
          <cell r="E90">
            <v>224.79263359591229</v>
          </cell>
          <cell r="G90">
            <v>224.79268566300203</v>
          </cell>
          <cell r="I90">
            <v>224.79277054333184</v>
          </cell>
        </row>
      </sheetData>
      <sheetData sheetId="6"/>
      <sheetData sheetId="7">
        <row r="10">
          <cell r="D10">
            <v>0</v>
          </cell>
          <cell r="F10">
            <v>119526</v>
          </cell>
          <cell r="H10"/>
        </row>
        <row r="11">
          <cell r="D11">
            <v>0</v>
          </cell>
          <cell r="F11"/>
          <cell r="H11"/>
        </row>
        <row r="12">
          <cell r="D12">
            <v>429350</v>
          </cell>
          <cell r="F12">
            <v>-119964</v>
          </cell>
          <cell r="H12"/>
        </row>
        <row r="13">
          <cell r="D13">
            <v>151201</v>
          </cell>
          <cell r="F13">
            <v>-14116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>
            <v>748085</v>
          </cell>
          <cell r="H15"/>
        </row>
        <row r="16">
          <cell r="D16">
            <v>748085</v>
          </cell>
          <cell r="F16">
            <v>-748085</v>
          </cell>
          <cell r="H16"/>
        </row>
        <row r="17">
          <cell r="D17">
            <v>6916</v>
          </cell>
          <cell r="F17">
            <v>-6916</v>
          </cell>
          <cell r="H17"/>
        </row>
        <row r="18">
          <cell r="D18">
            <v>82249</v>
          </cell>
          <cell r="F18"/>
          <cell r="H18"/>
        </row>
        <row r="19">
          <cell r="D19">
            <v>5037</v>
          </cell>
          <cell r="F19"/>
          <cell r="H19"/>
        </row>
        <row r="20">
          <cell r="D20">
            <v>34882</v>
          </cell>
          <cell r="F20"/>
          <cell r="H20"/>
        </row>
        <row r="21">
          <cell r="D21">
            <v>5459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23915</v>
          </cell>
          <cell r="F23"/>
          <cell r="H23"/>
        </row>
        <row r="24">
          <cell r="D24">
            <v>39398</v>
          </cell>
          <cell r="F24"/>
          <cell r="H24"/>
        </row>
        <row r="25">
          <cell r="D25">
            <v>0</v>
          </cell>
          <cell r="F25"/>
          <cell r="H25"/>
        </row>
        <row r="26">
          <cell r="D26">
            <v>0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45139</v>
          </cell>
          <cell r="F29">
            <v>-45139</v>
          </cell>
          <cell r="H29"/>
        </row>
        <row r="30">
          <cell r="D30">
            <v>700</v>
          </cell>
          <cell r="F30">
            <v>-700</v>
          </cell>
          <cell r="H30"/>
        </row>
        <row r="31">
          <cell r="D31">
            <v>0</v>
          </cell>
          <cell r="F31"/>
          <cell r="H31"/>
        </row>
        <row r="32">
          <cell r="D32">
            <v>83280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265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111928</v>
          </cell>
          <cell r="F36"/>
          <cell r="H36"/>
        </row>
        <row r="37">
          <cell r="D37">
            <v>19714</v>
          </cell>
          <cell r="F37"/>
          <cell r="H37"/>
        </row>
        <row r="38">
          <cell r="D38">
            <v>8851</v>
          </cell>
          <cell r="F38">
            <v>-8851</v>
          </cell>
          <cell r="H38"/>
        </row>
        <row r="39">
          <cell r="D39">
            <v>45958</v>
          </cell>
          <cell r="F39"/>
          <cell r="H39"/>
        </row>
        <row r="40">
          <cell r="D40">
            <v>33141</v>
          </cell>
          <cell r="F40">
            <v>-33141</v>
          </cell>
          <cell r="H40"/>
        </row>
        <row r="41">
          <cell r="D41">
            <v>51714</v>
          </cell>
          <cell r="F41">
            <v>-15770</v>
          </cell>
          <cell r="H41"/>
        </row>
        <row r="42">
          <cell r="D42">
            <v>3807</v>
          </cell>
          <cell r="F42"/>
          <cell r="H42"/>
        </row>
        <row r="43">
          <cell r="D43">
            <v>23462</v>
          </cell>
          <cell r="F43">
            <v>-23462</v>
          </cell>
          <cell r="H43"/>
        </row>
        <row r="44">
          <cell r="D44">
            <v>0</v>
          </cell>
          <cell r="F44"/>
          <cell r="H44"/>
        </row>
        <row r="45">
          <cell r="D45">
            <v>422443</v>
          </cell>
          <cell r="F45">
            <v>-396729</v>
          </cell>
          <cell r="H45"/>
        </row>
        <row r="57">
          <cell r="D57">
            <v>0</v>
          </cell>
          <cell r="F57"/>
          <cell r="H57"/>
        </row>
        <row r="58">
          <cell r="D58">
            <v>1945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0</v>
          </cell>
          <cell r="F60"/>
          <cell r="H60"/>
        </row>
        <row r="61">
          <cell r="D61">
            <v>16209</v>
          </cell>
          <cell r="F61"/>
          <cell r="H61"/>
        </row>
        <row r="62">
          <cell r="D62">
            <v>805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4746</v>
          </cell>
          <cell r="F65"/>
          <cell r="H65"/>
        </row>
        <row r="66">
          <cell r="D66">
            <v>52656</v>
          </cell>
          <cell r="F66"/>
          <cell r="H66"/>
        </row>
        <row r="67">
          <cell r="D67">
            <v>38475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0</v>
          </cell>
          <cell r="F69"/>
          <cell r="H69"/>
        </row>
        <row r="70">
          <cell r="D70">
            <v>1776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87733</v>
          </cell>
          <cell r="F75"/>
          <cell r="H75"/>
        </row>
        <row r="76">
          <cell r="D76">
            <v>20937</v>
          </cell>
          <cell r="F76"/>
          <cell r="H76"/>
        </row>
        <row r="77">
          <cell r="D77">
            <v>36220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6753</v>
          </cell>
          <cell r="F79"/>
          <cell r="H79"/>
        </row>
        <row r="80">
          <cell r="D80">
            <v>19039</v>
          </cell>
          <cell r="F80"/>
          <cell r="H80"/>
        </row>
        <row r="81">
          <cell r="D81">
            <v>43716</v>
          </cell>
          <cell r="F81"/>
          <cell r="H81"/>
        </row>
        <row r="82">
          <cell r="D82">
            <v>29942</v>
          </cell>
          <cell r="F82"/>
          <cell r="H82"/>
        </row>
        <row r="83">
          <cell r="D83">
            <v>11626</v>
          </cell>
          <cell r="F83"/>
          <cell r="H83"/>
        </row>
        <row r="84">
          <cell r="D84">
            <v>222861</v>
          </cell>
          <cell r="F84"/>
          <cell r="H84"/>
        </row>
        <row r="85">
          <cell r="D85">
            <v>300</v>
          </cell>
          <cell r="F85"/>
          <cell r="H85"/>
        </row>
        <row r="89">
          <cell r="D89">
            <v>410004</v>
          </cell>
          <cell r="F89"/>
          <cell r="H89"/>
        </row>
        <row r="90">
          <cell r="D90">
            <v>85795</v>
          </cell>
          <cell r="F90"/>
          <cell r="H90"/>
        </row>
        <row r="91">
          <cell r="D91">
            <v>25761</v>
          </cell>
          <cell r="F91"/>
          <cell r="H91"/>
        </row>
        <row r="92">
          <cell r="D92">
            <v>490422</v>
          </cell>
          <cell r="F92">
            <v>-3480</v>
          </cell>
          <cell r="H92"/>
        </row>
        <row r="93">
          <cell r="D93">
            <v>24613</v>
          </cell>
          <cell r="F93"/>
          <cell r="H93"/>
        </row>
        <row r="94">
          <cell r="D94">
            <v>75</v>
          </cell>
          <cell r="F94"/>
          <cell r="H94"/>
        </row>
        <row r="98">
          <cell r="D98">
            <v>53516</v>
          </cell>
          <cell r="F98"/>
          <cell r="H98"/>
        </row>
        <row r="99">
          <cell r="D99">
            <v>7898</v>
          </cell>
          <cell r="F99"/>
          <cell r="H99"/>
        </row>
        <row r="100">
          <cell r="D100">
            <v>4860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8451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176854</v>
          </cell>
          <cell r="F115"/>
          <cell r="H115"/>
        </row>
        <row r="116">
          <cell r="D116">
            <v>29284</v>
          </cell>
          <cell r="F116"/>
          <cell r="H116"/>
        </row>
        <row r="117">
          <cell r="D117">
            <v>86814</v>
          </cell>
          <cell r="F117"/>
          <cell r="H117"/>
        </row>
        <row r="118">
          <cell r="D118">
            <v>0</v>
          </cell>
          <cell r="F118"/>
          <cell r="H118"/>
        </row>
        <row r="119">
          <cell r="D119">
            <v>824</v>
          </cell>
          <cell r="F119"/>
          <cell r="H119"/>
        </row>
        <row r="124">
          <cell r="D124">
            <v>49941</v>
          </cell>
          <cell r="F124"/>
          <cell r="H124"/>
        </row>
        <row r="125">
          <cell r="D125">
            <v>425166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99754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123302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19071</v>
          </cell>
          <cell r="F134"/>
          <cell r="H134"/>
        </row>
        <row r="136">
          <cell r="D136">
            <v>1661125</v>
          </cell>
          <cell r="F136"/>
          <cell r="H136"/>
        </row>
        <row r="137">
          <cell r="D137">
            <v>375335</v>
          </cell>
          <cell r="F137"/>
          <cell r="H137"/>
        </row>
        <row r="138">
          <cell r="D138">
            <v>1747745</v>
          </cell>
          <cell r="F138">
            <v>117501</v>
          </cell>
          <cell r="H138"/>
        </row>
        <row r="139">
          <cell r="D139">
            <v>117501</v>
          </cell>
          <cell r="F139">
            <v>-117501</v>
          </cell>
          <cell r="H139"/>
        </row>
        <row r="141">
          <cell r="D141">
            <v>837315</v>
          </cell>
          <cell r="F141">
            <v>-480834</v>
          </cell>
          <cell r="H141"/>
        </row>
        <row r="142">
          <cell r="D142">
            <v>0</v>
          </cell>
          <cell r="F142">
            <v>80548</v>
          </cell>
          <cell r="H142"/>
        </row>
        <row r="143">
          <cell r="D143">
            <v>0</v>
          </cell>
          <cell r="F143">
            <v>400286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51780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1380</v>
          </cell>
          <cell r="F150"/>
          <cell r="H150"/>
        </row>
        <row r="151">
          <cell r="D151">
            <v>136015</v>
          </cell>
          <cell r="F151"/>
          <cell r="H151"/>
        </row>
        <row r="152">
          <cell r="D152">
            <v>13459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1650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149823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9860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43811</v>
          </cell>
          <cell r="F193"/>
          <cell r="H193"/>
        </row>
        <row r="194">
          <cell r="D194">
            <v>407107</v>
          </cell>
          <cell r="F194"/>
          <cell r="H194"/>
        </row>
        <row r="195">
          <cell r="D195">
            <v>209210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194606</v>
          </cell>
          <cell r="F197"/>
          <cell r="H197"/>
        </row>
        <row r="198">
          <cell r="D198">
            <v>71531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396380</v>
          </cell>
          <cell r="F205"/>
          <cell r="H205"/>
        </row>
        <row r="206">
          <cell r="D206">
            <v>10956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315198</v>
          </cell>
          <cell r="F211"/>
          <cell r="H211"/>
        </row>
        <row r="212">
          <cell r="D212">
            <v>136850</v>
          </cell>
          <cell r="F212"/>
          <cell r="H212"/>
        </row>
        <row r="213">
          <cell r="D213">
            <v>11713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8418</v>
          </cell>
          <cell r="F216"/>
          <cell r="H216"/>
        </row>
        <row r="221">
          <cell r="D221">
            <v>12003806</v>
          </cell>
        </row>
      </sheetData>
      <sheetData sheetId="8"/>
      <sheetData sheetId="9"/>
      <sheetData sheetId="10">
        <row r="9">
          <cell r="C9">
            <v>2666</v>
          </cell>
          <cell r="D9">
            <v>0</v>
          </cell>
          <cell r="E9">
            <v>3805</v>
          </cell>
          <cell r="F9">
            <v>100</v>
          </cell>
          <cell r="G9">
            <v>13038</v>
          </cell>
          <cell r="H9">
            <v>18484</v>
          </cell>
          <cell r="I9">
            <v>18</v>
          </cell>
          <cell r="J9">
            <v>0</v>
          </cell>
          <cell r="K9">
            <v>149</v>
          </cell>
        </row>
        <row r="22">
          <cell r="N22">
            <v>108</v>
          </cell>
        </row>
        <row r="24">
          <cell r="N24">
            <v>10</v>
          </cell>
        </row>
        <row r="28">
          <cell r="N28">
            <v>39420</v>
          </cell>
        </row>
        <row r="30">
          <cell r="N30">
            <v>0.97057331303906647</v>
          </cell>
        </row>
        <row r="32">
          <cell r="N32">
            <v>6.7630644342973112E-2</v>
          </cell>
        </row>
        <row r="34">
          <cell r="N34">
            <v>6.9681129116570831E-2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1493560</v>
          </cell>
          <cell r="G10">
            <v>0</v>
          </cell>
        </row>
        <row r="12">
          <cell r="E12">
            <v>655004</v>
          </cell>
          <cell r="G12">
            <v>323970</v>
          </cell>
        </row>
        <row r="13">
          <cell r="E13">
            <v>0</v>
          </cell>
          <cell r="G13"/>
        </row>
        <row r="14">
          <cell r="E14">
            <v>24212</v>
          </cell>
          <cell r="G14"/>
        </row>
        <row r="15">
          <cell r="E15">
            <v>2172776</v>
          </cell>
          <cell r="G15">
            <v>323970</v>
          </cell>
        </row>
        <row r="20">
          <cell r="E20">
            <v>0</v>
          </cell>
          <cell r="G20">
            <v>0</v>
          </cell>
        </row>
        <row r="26">
          <cell r="E26">
            <v>907780</v>
          </cell>
          <cell r="G26">
            <v>0</v>
          </cell>
        </row>
        <row r="32">
          <cell r="E32">
            <v>-548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121704</v>
          </cell>
          <cell r="G42">
            <v>0</v>
          </cell>
        </row>
        <row r="47">
          <cell r="E47">
            <v>191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3173</v>
          </cell>
          <cell r="G72">
            <v>0</v>
          </cell>
        </row>
        <row r="90">
          <cell r="C90">
            <v>40.630602409638556</v>
          </cell>
          <cell r="E90">
            <v>311.17411764705884</v>
          </cell>
          <cell r="G90">
            <v>6.8420481927710837</v>
          </cell>
          <cell r="I90">
            <v>500</v>
          </cell>
        </row>
      </sheetData>
      <sheetData sheetId="6"/>
      <sheetData sheetId="7">
        <row r="10">
          <cell r="D10">
            <v>129939</v>
          </cell>
          <cell r="F10">
            <v>0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42763</v>
          </cell>
          <cell r="F12">
            <v>0</v>
          </cell>
          <cell r="H12">
            <v>0</v>
          </cell>
        </row>
        <row r="13">
          <cell r="D13">
            <v>70616</v>
          </cell>
          <cell r="F13">
            <v>-49839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388386</v>
          </cell>
          <cell r="F15">
            <v>0</v>
          </cell>
          <cell r="H15">
            <v>-388386</v>
          </cell>
        </row>
        <row r="16">
          <cell r="D16">
            <v>52200</v>
          </cell>
          <cell r="F16">
            <v>0</v>
          </cell>
          <cell r="H16">
            <v>18958</v>
          </cell>
        </row>
        <row r="17">
          <cell r="D17">
            <v>3467</v>
          </cell>
          <cell r="F17">
            <v>-3467</v>
          </cell>
          <cell r="H17">
            <v>0</v>
          </cell>
        </row>
        <row r="18">
          <cell r="D18">
            <v>5898</v>
          </cell>
          <cell r="F18">
            <v>0</v>
          </cell>
          <cell r="H18">
            <v>0</v>
          </cell>
        </row>
        <row r="19">
          <cell r="D19">
            <v>17904</v>
          </cell>
          <cell r="F19">
            <v>0</v>
          </cell>
          <cell r="H19">
            <v>0</v>
          </cell>
        </row>
        <row r="20">
          <cell r="D20">
            <v>11474</v>
          </cell>
          <cell r="F20">
            <v>0</v>
          </cell>
          <cell r="H20">
            <v>0</v>
          </cell>
        </row>
        <row r="21">
          <cell r="D21">
            <v>16224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9544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169057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50183</v>
          </cell>
          <cell r="F29">
            <v>-50183</v>
          </cell>
          <cell r="H29">
            <v>0</v>
          </cell>
        </row>
        <row r="30">
          <cell r="D30">
            <v>2340</v>
          </cell>
          <cell r="F30">
            <v>-2340</v>
          </cell>
          <cell r="H30">
            <v>0</v>
          </cell>
        </row>
        <row r="31">
          <cell r="D31">
            <v>12275</v>
          </cell>
          <cell r="F31">
            <v>306</v>
          </cell>
          <cell r="H31">
            <v>0</v>
          </cell>
        </row>
        <row r="32">
          <cell r="D32">
            <v>28065</v>
          </cell>
          <cell r="F32">
            <v>2787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</row>
        <row r="35">
          <cell r="D35">
            <v>18190</v>
          </cell>
          <cell r="F35">
            <v>-18190</v>
          </cell>
          <cell r="H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1747</v>
          </cell>
          <cell r="F39">
            <v>0</v>
          </cell>
          <cell r="H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</row>
        <row r="41">
          <cell r="D41">
            <v>16136</v>
          </cell>
          <cell r="F41">
            <v>0</v>
          </cell>
          <cell r="H41">
            <v>0</v>
          </cell>
        </row>
        <row r="42">
          <cell r="D42">
            <v>821</v>
          </cell>
          <cell r="F42">
            <v>0</v>
          </cell>
          <cell r="H42">
            <v>0</v>
          </cell>
        </row>
        <row r="43">
          <cell r="D43">
            <v>3892</v>
          </cell>
          <cell r="F43">
            <v>-3892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19953</v>
          </cell>
          <cell r="F45">
            <v>-11841</v>
          </cell>
          <cell r="H45">
            <v>0</v>
          </cell>
        </row>
        <row r="57">
          <cell r="D57">
            <v>285792</v>
          </cell>
          <cell r="F57">
            <v>0</v>
          </cell>
          <cell r="H57">
            <v>-285792</v>
          </cell>
        </row>
        <row r="58">
          <cell r="D58">
            <v>0</v>
          </cell>
          <cell r="F58">
            <v>0</v>
          </cell>
          <cell r="H58">
            <v>51475</v>
          </cell>
        </row>
        <row r="59">
          <cell r="D59">
            <v>0</v>
          </cell>
          <cell r="F59">
            <v>0</v>
          </cell>
          <cell r="H59">
            <v>77821</v>
          </cell>
        </row>
        <row r="60">
          <cell r="D60">
            <v>7409</v>
          </cell>
          <cell r="F60">
            <v>-702</v>
          </cell>
          <cell r="H60">
            <v>0</v>
          </cell>
        </row>
        <row r="61">
          <cell r="D61">
            <v>0</v>
          </cell>
          <cell r="F61">
            <v>2706</v>
          </cell>
          <cell r="H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7955</v>
          </cell>
          <cell r="F65">
            <v>-4891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0</v>
          </cell>
          <cell r="F67">
            <v>5439</v>
          </cell>
          <cell r="H67">
            <v>2247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0</v>
          </cell>
          <cell r="F69">
            <v>702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12494</v>
          </cell>
          <cell r="F75">
            <v>0</v>
          </cell>
          <cell r="H75">
            <v>0</v>
          </cell>
        </row>
        <row r="76">
          <cell r="D76">
            <v>1211</v>
          </cell>
          <cell r="F76">
            <v>750</v>
          </cell>
          <cell r="H76">
            <v>0</v>
          </cell>
        </row>
        <row r="77">
          <cell r="D77">
            <v>6730</v>
          </cell>
          <cell r="F77">
            <v>0</v>
          </cell>
          <cell r="H77">
            <v>0</v>
          </cell>
        </row>
        <row r="78">
          <cell r="D78">
            <v>2224</v>
          </cell>
          <cell r="F78">
            <v>0</v>
          </cell>
          <cell r="H78">
            <v>0</v>
          </cell>
        </row>
        <row r="79">
          <cell r="D79">
            <v>33253</v>
          </cell>
          <cell r="F79">
            <v>0</v>
          </cell>
          <cell r="H79">
            <v>0</v>
          </cell>
        </row>
        <row r="80">
          <cell r="D80">
            <v>11468</v>
          </cell>
          <cell r="F80">
            <v>0</v>
          </cell>
          <cell r="H80">
            <v>0</v>
          </cell>
        </row>
        <row r="81">
          <cell r="D81">
            <v>51157</v>
          </cell>
          <cell r="F81">
            <v>-44726</v>
          </cell>
          <cell r="H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</row>
        <row r="84">
          <cell r="D84">
            <v>21303</v>
          </cell>
          <cell r="F84">
            <v>0</v>
          </cell>
          <cell r="H84">
            <v>0</v>
          </cell>
        </row>
        <row r="85">
          <cell r="D85">
            <v>2585</v>
          </cell>
          <cell r="F85">
            <v>0</v>
          </cell>
          <cell r="H85">
            <v>0</v>
          </cell>
        </row>
        <row r="89">
          <cell r="D89">
            <v>80828</v>
          </cell>
          <cell r="F89">
            <v>0</v>
          </cell>
          <cell r="H89">
            <v>0</v>
          </cell>
        </row>
        <row r="90">
          <cell r="D90">
            <v>6984</v>
          </cell>
          <cell r="F90">
            <v>4854</v>
          </cell>
          <cell r="H90">
            <v>0</v>
          </cell>
        </row>
        <row r="91">
          <cell r="D91">
            <v>9667</v>
          </cell>
          <cell r="F91">
            <v>0</v>
          </cell>
          <cell r="H91">
            <v>0</v>
          </cell>
        </row>
        <row r="92">
          <cell r="D92">
            <v>61745</v>
          </cell>
          <cell r="F92">
            <v>0</v>
          </cell>
          <cell r="H92">
            <v>0</v>
          </cell>
        </row>
        <row r="93">
          <cell r="D93">
            <v>11673</v>
          </cell>
          <cell r="F93">
            <v>0</v>
          </cell>
          <cell r="H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</row>
        <row r="98">
          <cell r="D98">
            <v>0</v>
          </cell>
          <cell r="F98">
            <v>0</v>
          </cell>
          <cell r="H98">
            <v>0</v>
          </cell>
        </row>
        <row r="99">
          <cell r="D99">
            <v>0</v>
          </cell>
          <cell r="F99">
            <v>0</v>
          </cell>
          <cell r="H99">
            <v>0</v>
          </cell>
        </row>
        <row r="100">
          <cell r="D100">
            <v>2810</v>
          </cell>
          <cell r="F100">
            <v>0</v>
          </cell>
          <cell r="H100">
            <v>0</v>
          </cell>
        </row>
        <row r="101">
          <cell r="D101">
            <v>0</v>
          </cell>
          <cell r="F101">
            <v>0</v>
          </cell>
          <cell r="H101">
            <v>0</v>
          </cell>
        </row>
        <row r="102">
          <cell r="D102">
            <v>565</v>
          </cell>
          <cell r="F102">
            <v>0</v>
          </cell>
          <cell r="H102">
            <v>0</v>
          </cell>
        </row>
        <row r="103">
          <cell r="D103">
            <v>4238</v>
          </cell>
          <cell r="F103">
            <v>0</v>
          </cell>
          <cell r="H103">
            <v>0</v>
          </cell>
        </row>
        <row r="115">
          <cell r="D115">
            <v>41664</v>
          </cell>
          <cell r="F115">
            <v>0</v>
          </cell>
          <cell r="H115">
            <v>0</v>
          </cell>
        </row>
        <row r="116">
          <cell r="D116">
            <v>3333</v>
          </cell>
          <cell r="F116">
            <v>2502</v>
          </cell>
          <cell r="H116">
            <v>0</v>
          </cell>
        </row>
        <row r="117">
          <cell r="D117">
            <v>9356</v>
          </cell>
          <cell r="F117">
            <v>0</v>
          </cell>
          <cell r="H117">
            <v>0</v>
          </cell>
        </row>
        <row r="118">
          <cell r="D118">
            <v>1476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0</v>
          </cell>
          <cell r="H124">
            <v>0</v>
          </cell>
        </row>
        <row r="125">
          <cell r="D125">
            <v>89328</v>
          </cell>
          <cell r="F125">
            <v>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0</v>
          </cell>
          <cell r="F128">
            <v>0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2605</v>
          </cell>
          <cell r="F131">
            <v>12824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0</v>
          </cell>
          <cell r="F134">
            <v>0</v>
          </cell>
          <cell r="H134">
            <v>0</v>
          </cell>
        </row>
        <row r="136">
          <cell r="D136">
            <v>150584</v>
          </cell>
          <cell r="F136">
            <v>-6825</v>
          </cell>
          <cell r="H136">
            <v>0</v>
          </cell>
        </row>
        <row r="137">
          <cell r="D137">
            <v>119849</v>
          </cell>
          <cell r="F137">
            <v>6825</v>
          </cell>
          <cell r="H137">
            <v>0</v>
          </cell>
        </row>
        <row r="138">
          <cell r="D138">
            <v>275013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30044</v>
          </cell>
          <cell r="F141">
            <v>-9406</v>
          </cell>
          <cell r="H141">
            <v>0</v>
          </cell>
        </row>
        <row r="142">
          <cell r="D142">
            <v>0</v>
          </cell>
          <cell r="F142">
            <v>18186</v>
          </cell>
          <cell r="H142">
            <v>0</v>
          </cell>
        </row>
        <row r="143">
          <cell r="D143">
            <v>23281</v>
          </cell>
          <cell r="F143">
            <v>16515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12000</v>
          </cell>
          <cell r="F146">
            <v>0</v>
          </cell>
          <cell r="H146">
            <v>0</v>
          </cell>
        </row>
        <row r="147">
          <cell r="D147">
            <v>3625</v>
          </cell>
          <cell r="F147">
            <v>0</v>
          </cell>
          <cell r="H147">
            <v>0</v>
          </cell>
        </row>
        <row r="148">
          <cell r="D148">
            <v>1813</v>
          </cell>
          <cell r="F148">
            <v>0</v>
          </cell>
          <cell r="H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6231</v>
          </cell>
          <cell r="F150">
            <v>0</v>
          </cell>
          <cell r="H150">
            <v>0</v>
          </cell>
        </row>
        <row r="151">
          <cell r="D151">
            <v>34732</v>
          </cell>
          <cell r="F151">
            <v>0</v>
          </cell>
          <cell r="H151">
            <v>0</v>
          </cell>
        </row>
        <row r="152">
          <cell r="D152">
            <v>38166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0</v>
          </cell>
          <cell r="F160">
            <v>0</v>
          </cell>
          <cell r="H160">
            <v>0</v>
          </cell>
        </row>
        <row r="161">
          <cell r="D161">
            <v>0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0</v>
          </cell>
          <cell r="F188">
            <v>0</v>
          </cell>
          <cell r="H188">
            <v>0</v>
          </cell>
        </row>
        <row r="189">
          <cell r="D189">
            <v>0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140075</v>
          </cell>
          <cell r="F194">
            <v>0</v>
          </cell>
          <cell r="H194">
            <v>0</v>
          </cell>
        </row>
        <row r="195">
          <cell r="D195">
            <v>10964</v>
          </cell>
          <cell r="F195">
            <v>0</v>
          </cell>
          <cell r="H195">
            <v>0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128511</v>
          </cell>
          <cell r="F197">
            <v>0</v>
          </cell>
          <cell r="H197">
            <v>0</v>
          </cell>
        </row>
        <row r="198">
          <cell r="D198">
            <v>11158</v>
          </cell>
          <cell r="F198">
            <v>0</v>
          </cell>
          <cell r="H198">
            <v>0</v>
          </cell>
        </row>
        <row r="199">
          <cell r="D199">
            <v>0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0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95765</v>
          </cell>
          <cell r="F205">
            <v>0</v>
          </cell>
          <cell r="H205">
            <v>0</v>
          </cell>
        </row>
        <row r="206">
          <cell r="D206">
            <v>0</v>
          </cell>
          <cell r="F206">
            <v>0</v>
          </cell>
          <cell r="H206">
            <v>0</v>
          </cell>
        </row>
        <row r="207">
          <cell r="D207">
            <v>0</v>
          </cell>
          <cell r="F207">
            <v>0</v>
          </cell>
          <cell r="H207">
            <v>0</v>
          </cell>
        </row>
        <row r="211">
          <cell r="D211">
            <v>60166</v>
          </cell>
          <cell r="F211">
            <v>0</v>
          </cell>
          <cell r="H211">
            <v>0</v>
          </cell>
        </row>
        <row r="212">
          <cell r="D212">
            <v>5092</v>
          </cell>
          <cell r="F212">
            <v>3613</v>
          </cell>
          <cell r="H212">
            <v>0</v>
          </cell>
        </row>
        <row r="213">
          <cell r="D213">
            <v>13605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6973</v>
          </cell>
          <cell r="F216">
            <v>0</v>
          </cell>
          <cell r="H216">
            <v>0</v>
          </cell>
        </row>
        <row r="221">
          <cell r="D221">
            <v>3008574</v>
          </cell>
        </row>
      </sheetData>
      <sheetData sheetId="8"/>
      <sheetData sheetId="9"/>
      <sheetData sheetId="10">
        <row r="9">
          <cell r="C9">
            <v>7602</v>
          </cell>
          <cell r="D9"/>
          <cell r="E9">
            <v>1822</v>
          </cell>
          <cell r="F9"/>
          <cell r="G9"/>
          <cell r="H9">
            <v>506</v>
          </cell>
          <cell r="I9"/>
          <cell r="J9"/>
          <cell r="K9"/>
        </row>
        <row r="22">
          <cell r="N22">
            <v>29</v>
          </cell>
        </row>
        <row r="24">
          <cell r="N24">
            <v>29</v>
          </cell>
        </row>
        <row r="28">
          <cell r="N28">
            <v>10585</v>
          </cell>
        </row>
        <row r="30">
          <cell r="N30">
            <v>0.93811998110533779</v>
          </cell>
        </row>
        <row r="32">
          <cell r="N32">
            <v>0.71818611242324049</v>
          </cell>
        </row>
        <row r="34">
          <cell r="N34">
            <v>0.76555891238670692</v>
          </cell>
        </row>
      </sheetData>
      <sheetData sheetId="11"/>
      <sheetData sheetId="1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2666633.02</v>
          </cell>
          <cell r="G10">
            <v>0</v>
          </cell>
        </row>
        <row r="12">
          <cell r="E12">
            <v>1248728.6499999999</v>
          </cell>
          <cell r="G12">
            <v>727642.46000000008</v>
          </cell>
        </row>
        <row r="13">
          <cell r="E13">
            <v>-1924.4100000000301</v>
          </cell>
          <cell r="G13"/>
        </row>
        <row r="14">
          <cell r="E14">
            <v>24527.69</v>
          </cell>
          <cell r="G14"/>
        </row>
        <row r="15">
          <cell r="E15">
            <v>3937964.95</v>
          </cell>
          <cell r="G15">
            <v>727642.46000000008</v>
          </cell>
        </row>
        <row r="20">
          <cell r="E20">
            <v>0</v>
          </cell>
          <cell r="G20">
            <v>0</v>
          </cell>
        </row>
        <row r="26">
          <cell r="E26">
            <v>570419.55000000005</v>
          </cell>
          <cell r="G26">
            <v>0</v>
          </cell>
        </row>
        <row r="32">
          <cell r="E32">
            <v>660969.22000000009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240264.13</v>
          </cell>
          <cell r="G42">
            <v>0</v>
          </cell>
        </row>
        <row r="47">
          <cell r="E47">
            <v>394690.86</v>
          </cell>
          <cell r="G47">
            <v>0</v>
          </cell>
        </row>
        <row r="52">
          <cell r="E52">
            <v>11961.220000000001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386.56</v>
          </cell>
          <cell r="G72">
            <v>-41.43</v>
          </cell>
        </row>
        <row r="90">
          <cell r="C90">
            <v>251.98501305483026</v>
          </cell>
          <cell r="E90">
            <v>248.63857142857142</v>
          </cell>
          <cell r="G90">
            <v>301.43768518518522</v>
          </cell>
          <cell r="I90">
            <v>242.84603773584902</v>
          </cell>
        </row>
      </sheetData>
      <sheetData sheetId="6"/>
      <sheetData sheetId="7">
        <row r="10">
          <cell r="D10">
            <v>98022.040000000008</v>
          </cell>
          <cell r="F10"/>
          <cell r="H10"/>
        </row>
        <row r="11">
          <cell r="D11"/>
          <cell r="F11"/>
          <cell r="H11"/>
        </row>
        <row r="12">
          <cell r="D12">
            <v>236202.73000000004</v>
          </cell>
          <cell r="F12">
            <v>-86323.92</v>
          </cell>
          <cell r="H12"/>
        </row>
        <row r="13">
          <cell r="D13">
            <v>66845.98</v>
          </cell>
          <cell r="F13">
            <v>-17516.54</v>
          </cell>
          <cell r="H13"/>
        </row>
        <row r="14">
          <cell r="D14"/>
          <cell r="F14"/>
          <cell r="H14"/>
        </row>
        <row r="15">
          <cell r="D15">
            <v>364063.1</v>
          </cell>
          <cell r="F15">
            <v>-513312.9</v>
          </cell>
          <cell r="H15"/>
        </row>
        <row r="16">
          <cell r="D16"/>
          <cell r="F16">
            <v>221631</v>
          </cell>
          <cell r="H16"/>
        </row>
        <row r="17">
          <cell r="D17"/>
          <cell r="F17"/>
          <cell r="H17"/>
        </row>
        <row r="18">
          <cell r="D18">
            <v>10890.560000000001</v>
          </cell>
          <cell r="F18"/>
          <cell r="H18"/>
        </row>
        <row r="19">
          <cell r="D19">
            <v>18212.98</v>
          </cell>
          <cell r="F19"/>
          <cell r="H19"/>
        </row>
        <row r="20">
          <cell r="D20">
            <v>12405.849999999999</v>
          </cell>
          <cell r="F20">
            <v>-1237</v>
          </cell>
          <cell r="H20"/>
        </row>
        <row r="21">
          <cell r="D21">
            <v>20735.690000000002</v>
          </cell>
          <cell r="F21">
            <v>56338</v>
          </cell>
          <cell r="H21"/>
        </row>
        <row r="22">
          <cell r="D22"/>
          <cell r="F22"/>
          <cell r="H22"/>
        </row>
        <row r="23">
          <cell r="D23">
            <v>29173.87</v>
          </cell>
          <cell r="F23">
            <v>19949</v>
          </cell>
          <cell r="H23"/>
        </row>
        <row r="24">
          <cell r="D24">
            <v>35349.97</v>
          </cell>
          <cell r="F24"/>
          <cell r="H24"/>
        </row>
        <row r="25">
          <cell r="D25"/>
          <cell r="F25"/>
          <cell r="H25"/>
        </row>
        <row r="26">
          <cell r="D26">
            <v>366751.38</v>
          </cell>
          <cell r="F26"/>
          <cell r="H26"/>
        </row>
        <row r="27">
          <cell r="D27"/>
          <cell r="F27">
            <v>13769.57</v>
          </cell>
          <cell r="H27"/>
        </row>
        <row r="28">
          <cell r="D28"/>
          <cell r="F28">
            <v>0</v>
          </cell>
          <cell r="H28"/>
        </row>
        <row r="29">
          <cell r="D29">
            <v>113753.18</v>
          </cell>
          <cell r="F29">
            <v>-113753.18</v>
          </cell>
          <cell r="H29"/>
        </row>
        <row r="30">
          <cell r="D30"/>
          <cell r="F30">
            <v>0</v>
          </cell>
          <cell r="H30"/>
        </row>
        <row r="31">
          <cell r="D31">
            <v>6380.3899999999994</v>
          </cell>
          <cell r="F31"/>
          <cell r="H31"/>
        </row>
        <row r="32">
          <cell r="D32">
            <v>116311.06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>
            <v>2249</v>
          </cell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15238.689999999999</v>
          </cell>
          <cell r="F39">
            <v>3549</v>
          </cell>
          <cell r="H39"/>
        </row>
        <row r="40">
          <cell r="D40">
            <v>8760.2000000000007</v>
          </cell>
          <cell r="F40">
            <v>-8760.2000000000007</v>
          </cell>
          <cell r="H40"/>
        </row>
        <row r="41">
          <cell r="D41">
            <v>17746.759999999998</v>
          </cell>
          <cell r="F41"/>
          <cell r="H41"/>
        </row>
        <row r="42">
          <cell r="D42">
            <v>25.5</v>
          </cell>
          <cell r="F42">
            <v>2495</v>
          </cell>
          <cell r="H42"/>
        </row>
        <row r="43">
          <cell r="D43"/>
          <cell r="F43"/>
          <cell r="H43"/>
        </row>
        <row r="44">
          <cell r="D44">
            <v>2490</v>
          </cell>
          <cell r="F44"/>
          <cell r="H44"/>
        </row>
        <row r="45">
          <cell r="D45">
            <v>4381.3599999999997</v>
          </cell>
          <cell r="F45">
            <v>5160</v>
          </cell>
          <cell r="H45"/>
        </row>
        <row r="57">
          <cell r="D57">
            <v>483624.96000000002</v>
          </cell>
          <cell r="F57"/>
          <cell r="H57"/>
        </row>
        <row r="58">
          <cell r="D58">
            <v>657.52</v>
          </cell>
          <cell r="F58">
            <v>6330.98</v>
          </cell>
          <cell r="H58"/>
        </row>
        <row r="59">
          <cell r="D59"/>
          <cell r="F59"/>
          <cell r="H59"/>
        </row>
        <row r="60">
          <cell r="D60">
            <v>28250.520000000004</v>
          </cell>
          <cell r="F60">
            <v>-1295.73</v>
          </cell>
          <cell r="H60"/>
        </row>
        <row r="61">
          <cell r="D61">
            <v>10943.82</v>
          </cell>
          <cell r="F61">
            <v>1472</v>
          </cell>
          <cell r="H61"/>
        </row>
        <row r="62">
          <cell r="D62">
            <v>1515.36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/>
          <cell r="F66"/>
          <cell r="H66"/>
        </row>
        <row r="67">
          <cell r="D67">
            <v>18364.690000000002</v>
          </cell>
          <cell r="F67">
            <v>13175.49</v>
          </cell>
          <cell r="H67"/>
        </row>
        <row r="68">
          <cell r="D68"/>
          <cell r="F68"/>
          <cell r="H68"/>
        </row>
        <row r="69">
          <cell r="D69"/>
          <cell r="F69">
            <v>3600.73</v>
          </cell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46042.11</v>
          </cell>
          <cell r="F75"/>
          <cell r="H75"/>
        </row>
        <row r="76">
          <cell r="D76">
            <v>9112.5199999999986</v>
          </cell>
          <cell r="F76"/>
          <cell r="H76"/>
        </row>
        <row r="77">
          <cell r="D77">
            <v>21264.100000000002</v>
          </cell>
          <cell r="F77"/>
          <cell r="H77"/>
        </row>
        <row r="78">
          <cell r="D78">
            <v>57998.11</v>
          </cell>
          <cell r="F78">
            <v>1462</v>
          </cell>
          <cell r="H78"/>
        </row>
        <row r="79">
          <cell r="D79">
            <v>15856.2</v>
          </cell>
          <cell r="F79"/>
          <cell r="H79"/>
        </row>
        <row r="80">
          <cell r="D80">
            <v>36982.120000000003</v>
          </cell>
          <cell r="F80"/>
          <cell r="H80"/>
        </row>
        <row r="81">
          <cell r="D81">
            <v>3514.46</v>
          </cell>
          <cell r="F81"/>
          <cell r="H81"/>
        </row>
        <row r="82">
          <cell r="D82"/>
          <cell r="F82"/>
          <cell r="H82"/>
        </row>
        <row r="83">
          <cell r="D83"/>
          <cell r="F83"/>
          <cell r="H83"/>
        </row>
        <row r="84">
          <cell r="D84">
            <v>109914.26999999999</v>
          </cell>
          <cell r="F84">
            <v>705</v>
          </cell>
          <cell r="H84"/>
        </row>
        <row r="85">
          <cell r="D85">
            <v>60</v>
          </cell>
          <cell r="F85"/>
          <cell r="H85"/>
        </row>
        <row r="89">
          <cell r="D89">
            <v>257216.03</v>
          </cell>
          <cell r="F89"/>
          <cell r="H89"/>
        </row>
        <row r="90">
          <cell r="D90">
            <v>86328.030000000013</v>
          </cell>
          <cell r="F90"/>
          <cell r="H90"/>
        </row>
        <row r="91">
          <cell r="D91">
            <v>2529.5</v>
          </cell>
          <cell r="F91"/>
          <cell r="H91"/>
        </row>
        <row r="92">
          <cell r="D92">
            <v>147317.16</v>
          </cell>
          <cell r="F92"/>
          <cell r="H92"/>
        </row>
        <row r="93">
          <cell r="D93">
            <v>4179.59</v>
          </cell>
          <cell r="F93"/>
          <cell r="H93"/>
        </row>
        <row r="94">
          <cell r="D94">
            <v>8974.67</v>
          </cell>
          <cell r="F94"/>
          <cell r="H94"/>
        </row>
        <row r="98">
          <cell r="D98">
            <v>2292.9499999999989</v>
          </cell>
          <cell r="F98"/>
          <cell r="H98"/>
        </row>
        <row r="99">
          <cell r="D99">
            <v>332.02</v>
          </cell>
          <cell r="F99"/>
          <cell r="H99"/>
        </row>
        <row r="100">
          <cell r="D100">
            <v>6841.6200000000008</v>
          </cell>
          <cell r="F100"/>
          <cell r="H100"/>
        </row>
        <row r="101">
          <cell r="D101">
            <v>51403.75</v>
          </cell>
          <cell r="F101"/>
          <cell r="H101"/>
        </row>
        <row r="102">
          <cell r="D102">
            <v>839.66</v>
          </cell>
          <cell r="F102"/>
          <cell r="H102"/>
        </row>
        <row r="103">
          <cell r="D103"/>
          <cell r="F103"/>
          <cell r="H103"/>
        </row>
        <row r="115">
          <cell r="D115">
            <v>8420.86</v>
          </cell>
          <cell r="F115"/>
          <cell r="H115"/>
        </row>
        <row r="116">
          <cell r="D116">
            <v>1246.6899999999996</v>
          </cell>
          <cell r="F116"/>
          <cell r="H116"/>
        </row>
        <row r="117">
          <cell r="D117">
            <v>2935.9400000000005</v>
          </cell>
          <cell r="F117"/>
          <cell r="H117"/>
        </row>
        <row r="118">
          <cell r="D118">
            <v>109031</v>
          </cell>
          <cell r="F118"/>
          <cell r="H118"/>
        </row>
        <row r="119">
          <cell r="D119"/>
          <cell r="F119"/>
          <cell r="H119"/>
        </row>
        <row r="124">
          <cell r="D124">
            <v>146029.91</v>
          </cell>
          <cell r="F124"/>
          <cell r="H124"/>
        </row>
        <row r="125">
          <cell r="D125">
            <v>77645.16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35098.980000000003</v>
          </cell>
          <cell r="F128"/>
          <cell r="H128"/>
        </row>
        <row r="130">
          <cell r="D130">
            <v>31314.339541767116</v>
          </cell>
          <cell r="F130"/>
          <cell r="H130"/>
        </row>
        <row r="131">
          <cell r="D131">
            <v>16650.060963639811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11617.27</v>
          </cell>
          <cell r="F134"/>
          <cell r="H134"/>
        </row>
        <row r="136">
          <cell r="D136">
            <v>342718.32</v>
          </cell>
          <cell r="F136"/>
          <cell r="H136"/>
        </row>
        <row r="137">
          <cell r="D137">
            <v>448165.30000000005</v>
          </cell>
          <cell r="F137"/>
          <cell r="H137"/>
        </row>
        <row r="138">
          <cell r="D138">
            <v>519969.76999999996</v>
          </cell>
          <cell r="F138"/>
          <cell r="H138"/>
        </row>
        <row r="139">
          <cell r="D139">
            <v>127640.11</v>
          </cell>
          <cell r="F139"/>
          <cell r="H139"/>
        </row>
        <row r="141">
          <cell r="D141">
            <v>73491.778770965451</v>
          </cell>
          <cell r="F141"/>
          <cell r="H141"/>
        </row>
        <row r="142">
          <cell r="D142">
            <v>96103.602166418685</v>
          </cell>
          <cell r="F142"/>
          <cell r="H142"/>
        </row>
        <row r="143">
          <cell r="D143">
            <v>111501.19813971366</v>
          </cell>
          <cell r="F143"/>
          <cell r="H143"/>
        </row>
        <row r="144">
          <cell r="D144">
            <v>27370.87041749532</v>
          </cell>
          <cell r="F144"/>
          <cell r="H144"/>
        </row>
        <row r="146">
          <cell r="D146">
            <v>40982.83</v>
          </cell>
          <cell r="F146"/>
          <cell r="H146"/>
        </row>
        <row r="147">
          <cell r="D147">
            <v>39213.469999999972</v>
          </cell>
          <cell r="F147"/>
          <cell r="H147"/>
        </row>
        <row r="148">
          <cell r="D148">
            <v>11285.619999999995</v>
          </cell>
          <cell r="F148"/>
          <cell r="H148"/>
        </row>
        <row r="149">
          <cell r="D149">
            <v>43162.439999999944</v>
          </cell>
          <cell r="F149"/>
          <cell r="H149"/>
        </row>
        <row r="150">
          <cell r="D150">
            <v>20008.21</v>
          </cell>
          <cell r="F150">
            <v>39202</v>
          </cell>
          <cell r="H150"/>
        </row>
        <row r="151">
          <cell r="D151">
            <v>132831.29</v>
          </cell>
          <cell r="F151"/>
          <cell r="H151"/>
        </row>
        <row r="152">
          <cell r="D152">
            <v>82.85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2071.36</v>
          </cell>
          <cell r="F160"/>
          <cell r="H160"/>
        </row>
        <row r="161">
          <cell r="D161">
            <v>8300.9600000000009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224562.68</v>
          </cell>
          <cell r="F177"/>
          <cell r="H177"/>
        </row>
        <row r="178">
          <cell r="D178">
            <v>63013.450000000004</v>
          </cell>
          <cell r="F178"/>
          <cell r="H178"/>
        </row>
        <row r="179">
          <cell r="D179">
            <v>61255.37</v>
          </cell>
          <cell r="F179"/>
          <cell r="H179"/>
        </row>
        <row r="180">
          <cell r="D180">
            <v>14169</v>
          </cell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138320.57</v>
          </cell>
          <cell r="F183"/>
          <cell r="H183"/>
        </row>
        <row r="184">
          <cell r="D184">
            <v>43204.61</v>
          </cell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2476.29</v>
          </cell>
          <cell r="F188"/>
          <cell r="H188"/>
        </row>
        <row r="189">
          <cell r="D189">
            <v>3443.42</v>
          </cell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39986.959999999999</v>
          </cell>
          <cell r="F192"/>
          <cell r="H192"/>
        </row>
        <row r="193">
          <cell r="D193"/>
          <cell r="F193"/>
          <cell r="H193"/>
        </row>
        <row r="194">
          <cell r="D194"/>
          <cell r="F194">
            <v>12136</v>
          </cell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/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26187.1</v>
          </cell>
          <cell r="F203"/>
          <cell r="H203"/>
        </row>
        <row r="204">
          <cell r="D204"/>
          <cell r="F204"/>
          <cell r="H204"/>
        </row>
        <row r="205">
          <cell r="D205">
            <v>163910.44</v>
          </cell>
          <cell r="F205"/>
          <cell r="H205"/>
        </row>
        <row r="206">
          <cell r="D206"/>
          <cell r="F206"/>
          <cell r="H206"/>
        </row>
        <row r="207">
          <cell r="D207">
            <v>890.55</v>
          </cell>
          <cell r="F207"/>
          <cell r="H207"/>
        </row>
        <row r="211">
          <cell r="D211">
            <v>98972.87</v>
          </cell>
          <cell r="F211"/>
          <cell r="H211"/>
        </row>
        <row r="212">
          <cell r="D212">
            <v>33624.44</v>
          </cell>
          <cell r="F212"/>
          <cell r="H212"/>
        </row>
        <row r="213">
          <cell r="D213">
            <v>14308.18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43506.14</v>
          </cell>
          <cell r="F216"/>
          <cell r="H216"/>
        </row>
        <row r="221">
          <cell r="D221">
            <v>6412819.290000001</v>
          </cell>
        </row>
      </sheetData>
      <sheetData sheetId="8"/>
      <sheetData sheetId="9"/>
      <sheetData sheetId="10">
        <row r="9">
          <cell r="C9">
            <v>14361</v>
          </cell>
          <cell r="D9">
            <v>0</v>
          </cell>
          <cell r="E9">
            <v>1045</v>
          </cell>
          <cell r="F9">
            <v>1934</v>
          </cell>
          <cell r="G9">
            <v>0</v>
          </cell>
          <cell r="H9">
            <v>919</v>
          </cell>
          <cell r="I9">
            <v>2133</v>
          </cell>
          <cell r="J9">
            <v>68</v>
          </cell>
          <cell r="K9">
            <v>0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0.56054794520547946</v>
          </cell>
        </row>
        <row r="32">
          <cell r="N32">
            <v>0.39345205479452056</v>
          </cell>
        </row>
        <row r="34">
          <cell r="N34">
            <v>0.70190615835777126</v>
          </cell>
        </row>
      </sheetData>
      <sheetData sheetId="11"/>
      <sheetData sheetId="1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2906473</v>
          </cell>
          <cell r="G10">
            <v>0</v>
          </cell>
        </row>
        <row r="12">
          <cell r="E12">
            <v>737868</v>
          </cell>
          <cell r="G12">
            <v>1165090.6399894548</v>
          </cell>
        </row>
        <row r="13">
          <cell r="E13">
            <v>13992</v>
          </cell>
          <cell r="G13"/>
        </row>
        <row r="14">
          <cell r="E14">
            <v>71775</v>
          </cell>
          <cell r="G14"/>
        </row>
        <row r="15">
          <cell r="E15">
            <v>3730108</v>
          </cell>
          <cell r="G15">
            <v>1165090.6399894548</v>
          </cell>
        </row>
        <row r="20">
          <cell r="E20">
            <v>0</v>
          </cell>
          <cell r="G20">
            <v>0</v>
          </cell>
        </row>
        <row r="26">
          <cell r="E26">
            <v>1714825</v>
          </cell>
          <cell r="G26">
            <v>0</v>
          </cell>
        </row>
        <row r="32">
          <cell r="E32">
            <v>631608.6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390200</v>
          </cell>
          <cell r="G42">
            <v>0</v>
          </cell>
        </row>
        <row r="47">
          <cell r="E47">
            <v>302311</v>
          </cell>
          <cell r="G47">
            <v>0</v>
          </cell>
        </row>
        <row r="52">
          <cell r="E52">
            <v>225983</v>
          </cell>
          <cell r="G52">
            <v>0</v>
          </cell>
        </row>
        <row r="57">
          <cell r="E57">
            <v>96272.4</v>
          </cell>
          <cell r="G57">
            <v>0</v>
          </cell>
        </row>
        <row r="72">
          <cell r="E72">
            <v>653</v>
          </cell>
          <cell r="G72">
            <v>0</v>
          </cell>
        </row>
        <row r="90">
          <cell r="C90">
            <v>288.96981891348088</v>
          </cell>
          <cell r="E90">
            <v>182.61559888579387</v>
          </cell>
          <cell r="G90">
            <v>185.78181818181818</v>
          </cell>
          <cell r="I90">
            <v>192.02901353965183</v>
          </cell>
        </row>
      </sheetData>
      <sheetData sheetId="7"/>
      <sheetData sheetId="8">
        <row r="10">
          <cell r="D10">
            <v>250067</v>
          </cell>
          <cell r="F10">
            <v>-147527</v>
          </cell>
          <cell r="H10"/>
        </row>
        <row r="11">
          <cell r="D11">
            <v>0</v>
          </cell>
          <cell r="F11"/>
          <cell r="H11"/>
        </row>
        <row r="12">
          <cell r="D12">
            <v>107091</v>
          </cell>
          <cell r="F12"/>
          <cell r="H12"/>
        </row>
        <row r="13">
          <cell r="D13">
            <v>238234</v>
          </cell>
          <cell r="F13">
            <v>-175797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352889</v>
          </cell>
          <cell r="F16"/>
          <cell r="H16">
            <v>-56706</v>
          </cell>
        </row>
        <row r="17">
          <cell r="D17">
            <v>0</v>
          </cell>
          <cell r="F17"/>
          <cell r="H17"/>
        </row>
        <row r="18">
          <cell r="D18">
            <v>22686</v>
          </cell>
          <cell r="F18"/>
          <cell r="H18"/>
        </row>
        <row r="19">
          <cell r="D19">
            <v>18086</v>
          </cell>
          <cell r="F19">
            <v>-2140</v>
          </cell>
          <cell r="H19"/>
        </row>
        <row r="20">
          <cell r="D20">
            <v>11386</v>
          </cell>
          <cell r="F20">
            <v>3072</v>
          </cell>
          <cell r="H20"/>
        </row>
        <row r="21">
          <cell r="D21">
            <v>40342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3707</v>
          </cell>
          <cell r="F23"/>
          <cell r="H23"/>
        </row>
        <row r="24">
          <cell r="D24">
            <v>79123</v>
          </cell>
          <cell r="F24"/>
          <cell r="H24">
            <v>-16652</v>
          </cell>
        </row>
        <row r="25">
          <cell r="D25">
            <v>0</v>
          </cell>
          <cell r="F25"/>
          <cell r="H25"/>
        </row>
        <row r="26">
          <cell r="D26">
            <v>428730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107800</v>
          </cell>
          <cell r="F29">
            <v>-107800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80838</v>
          </cell>
          <cell r="F31"/>
          <cell r="H31">
            <v>-47363</v>
          </cell>
        </row>
        <row r="32">
          <cell r="D32">
            <v>112077</v>
          </cell>
          <cell r="F32"/>
          <cell r="H32">
            <v>-50435</v>
          </cell>
        </row>
        <row r="33">
          <cell r="D33">
            <v>17037</v>
          </cell>
          <cell r="F33">
            <v>-17037</v>
          </cell>
          <cell r="H33"/>
        </row>
        <row r="34">
          <cell r="D34">
            <v>0</v>
          </cell>
          <cell r="F34"/>
          <cell r="H34"/>
        </row>
        <row r="35">
          <cell r="D35">
            <v>13</v>
          </cell>
          <cell r="F35">
            <v>-13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11845</v>
          </cell>
          <cell r="F39"/>
          <cell r="H39"/>
        </row>
        <row r="40">
          <cell r="D40">
            <v>2485</v>
          </cell>
          <cell r="F40"/>
          <cell r="H40"/>
        </row>
        <row r="41">
          <cell r="D41">
            <v>5182</v>
          </cell>
          <cell r="F41"/>
          <cell r="H41"/>
        </row>
        <row r="42">
          <cell r="D42">
            <v>5909</v>
          </cell>
          <cell r="F42"/>
          <cell r="H42"/>
        </row>
        <row r="43">
          <cell r="D43">
            <v>14221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246</v>
          </cell>
          <cell r="F45">
            <v>-211</v>
          </cell>
          <cell r="H45"/>
        </row>
        <row r="57">
          <cell r="D57">
            <v>761184</v>
          </cell>
          <cell r="F57"/>
          <cell r="H57">
            <v>-761184</v>
          </cell>
        </row>
        <row r="58">
          <cell r="D58">
            <v>0</v>
          </cell>
          <cell r="F58"/>
          <cell r="H58">
            <v>195748</v>
          </cell>
        </row>
        <row r="59">
          <cell r="D59">
            <v>0</v>
          </cell>
          <cell r="F59"/>
          <cell r="H59"/>
        </row>
        <row r="60">
          <cell r="D60">
            <v>19525</v>
          </cell>
          <cell r="F60"/>
          <cell r="H60"/>
        </row>
        <row r="61">
          <cell r="D61">
            <v>9824</v>
          </cell>
          <cell r="F61"/>
          <cell r="H61"/>
        </row>
        <row r="62">
          <cell r="D62">
            <v>0</v>
          </cell>
          <cell r="F62"/>
          <cell r="H62">
            <v>8949</v>
          </cell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4910</v>
          </cell>
          <cell r="F65"/>
          <cell r="H65"/>
        </row>
        <row r="66">
          <cell r="D66">
            <v>6927</v>
          </cell>
          <cell r="F66"/>
          <cell r="H66"/>
        </row>
        <row r="67">
          <cell r="D67">
            <v>0</v>
          </cell>
          <cell r="F67">
            <v>-2056</v>
          </cell>
          <cell r="H67">
            <v>153188</v>
          </cell>
        </row>
        <row r="68">
          <cell r="D68">
            <v>0</v>
          </cell>
          <cell r="F68"/>
          <cell r="H68"/>
        </row>
        <row r="69">
          <cell r="D69">
            <v>6094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66736</v>
          </cell>
          <cell r="F75"/>
          <cell r="H75"/>
        </row>
        <row r="76">
          <cell r="D76">
            <v>9189</v>
          </cell>
          <cell r="F76">
            <v>4972</v>
          </cell>
          <cell r="H76"/>
        </row>
        <row r="77">
          <cell r="D77">
            <v>9161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8348</v>
          </cell>
          <cell r="F79">
            <v>15958</v>
          </cell>
          <cell r="H79"/>
        </row>
        <row r="80">
          <cell r="D80">
            <v>18826</v>
          </cell>
          <cell r="F80"/>
          <cell r="H80"/>
        </row>
        <row r="81">
          <cell r="D81">
            <v>6849</v>
          </cell>
          <cell r="F81"/>
          <cell r="H81"/>
        </row>
        <row r="82">
          <cell r="D82">
            <v>0</v>
          </cell>
          <cell r="F82"/>
          <cell r="H82"/>
        </row>
        <row r="83">
          <cell r="D83">
            <v>368</v>
          </cell>
          <cell r="F83"/>
          <cell r="H83"/>
        </row>
        <row r="84">
          <cell r="D84">
            <v>107326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188031</v>
          </cell>
          <cell r="F89"/>
          <cell r="H89"/>
        </row>
        <row r="90">
          <cell r="D90">
            <v>22958</v>
          </cell>
          <cell r="F90">
            <v>14009</v>
          </cell>
          <cell r="H90"/>
        </row>
        <row r="91">
          <cell r="D91">
            <v>1851</v>
          </cell>
          <cell r="F91"/>
          <cell r="H91"/>
        </row>
        <row r="92">
          <cell r="D92">
            <v>142174</v>
          </cell>
          <cell r="F92"/>
          <cell r="H92"/>
        </row>
        <row r="93">
          <cell r="D93">
            <v>8593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38762</v>
          </cell>
          <cell r="F98"/>
          <cell r="H98"/>
        </row>
        <row r="99">
          <cell r="D99">
            <v>5888</v>
          </cell>
          <cell r="F99">
            <v>2888</v>
          </cell>
          <cell r="H99"/>
        </row>
        <row r="100">
          <cell r="D100">
            <v>10619</v>
          </cell>
          <cell r="F100"/>
          <cell r="H100"/>
        </row>
        <row r="101">
          <cell r="D101">
            <v>1368</v>
          </cell>
          <cell r="F101"/>
          <cell r="H101"/>
        </row>
        <row r="102">
          <cell r="D102">
            <v>4917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91870</v>
          </cell>
          <cell r="F115"/>
          <cell r="H115"/>
        </row>
        <row r="116">
          <cell r="D116">
            <v>12667</v>
          </cell>
          <cell r="F116">
            <v>6845</v>
          </cell>
          <cell r="H116"/>
        </row>
        <row r="117">
          <cell r="D117">
            <v>15635</v>
          </cell>
          <cell r="F117"/>
          <cell r="H117"/>
        </row>
        <row r="118">
          <cell r="D118">
            <v>2173</v>
          </cell>
          <cell r="F118"/>
          <cell r="H118"/>
        </row>
        <row r="119">
          <cell r="D119">
            <v>1312</v>
          </cell>
          <cell r="F119"/>
          <cell r="H119"/>
        </row>
        <row r="124">
          <cell r="D124"/>
          <cell r="F124"/>
          <cell r="H124"/>
        </row>
        <row r="125">
          <cell r="D125">
            <v>178555</v>
          </cell>
          <cell r="F125"/>
          <cell r="H125">
            <v>51401</v>
          </cell>
        </row>
        <row r="126">
          <cell r="D126">
            <v>65909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30424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13303</v>
          </cell>
          <cell r="H131">
            <v>5304</v>
          </cell>
        </row>
        <row r="132">
          <cell r="D132"/>
          <cell r="F132">
            <v>4910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2267</v>
          </cell>
          <cell r="H134"/>
        </row>
        <row r="136">
          <cell r="D136">
            <v>365044</v>
          </cell>
          <cell r="F136"/>
          <cell r="H136"/>
        </row>
        <row r="137">
          <cell r="D137">
            <v>267746</v>
          </cell>
          <cell r="F137"/>
          <cell r="H137"/>
        </row>
        <row r="138">
          <cell r="D138">
            <v>586249</v>
          </cell>
          <cell r="F138"/>
          <cell r="H138"/>
        </row>
        <row r="139">
          <cell r="D139">
            <v>98924</v>
          </cell>
          <cell r="F139"/>
          <cell r="H139"/>
        </row>
        <row r="141">
          <cell r="D141"/>
          <cell r="F141">
            <v>27197</v>
          </cell>
          <cell r="H141"/>
        </row>
        <row r="142">
          <cell r="D142"/>
          <cell r="F142">
            <v>19948</v>
          </cell>
          <cell r="H142"/>
        </row>
        <row r="143">
          <cell r="D143"/>
          <cell r="F143">
            <v>43677</v>
          </cell>
          <cell r="H143"/>
        </row>
        <row r="144">
          <cell r="D144">
            <v>233035</v>
          </cell>
          <cell r="F144">
            <v>7370</v>
          </cell>
          <cell r="H144"/>
        </row>
        <row r="146">
          <cell r="D146">
            <v>36000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9233</v>
          </cell>
          <cell r="F150"/>
          <cell r="H150"/>
        </row>
        <row r="151">
          <cell r="D151">
            <v>74130</v>
          </cell>
          <cell r="F151">
            <v>5760</v>
          </cell>
          <cell r="H151"/>
        </row>
        <row r="152">
          <cell r="D152">
            <v>4910</v>
          </cell>
          <cell r="F152"/>
          <cell r="H152"/>
        </row>
        <row r="153">
          <cell r="D153">
            <v>231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7139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242905</v>
          </cell>
          <cell r="F177"/>
          <cell r="H177"/>
        </row>
        <row r="178">
          <cell r="D178">
            <v>29332</v>
          </cell>
          <cell r="F178">
            <v>18097</v>
          </cell>
          <cell r="H178"/>
        </row>
        <row r="179">
          <cell r="D179">
            <v>8866</v>
          </cell>
          <cell r="F179"/>
          <cell r="H179"/>
        </row>
        <row r="180">
          <cell r="D180">
            <v>1002</v>
          </cell>
          <cell r="F180">
            <v>661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176871</v>
          </cell>
          <cell r="F183"/>
          <cell r="H183"/>
        </row>
        <row r="184">
          <cell r="D184">
            <v>26316</v>
          </cell>
          <cell r="F184">
            <v>13177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1302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123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11677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6985</v>
          </cell>
          <cell r="F197"/>
          <cell r="H197"/>
        </row>
        <row r="198">
          <cell r="D198">
            <v>2365</v>
          </cell>
          <cell r="F198"/>
          <cell r="H198">
            <v>-170</v>
          </cell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160579</v>
          </cell>
          <cell r="F205"/>
          <cell r="H205"/>
        </row>
        <row r="206">
          <cell r="D206">
            <v>4305</v>
          </cell>
          <cell r="F206"/>
          <cell r="H206"/>
        </row>
        <row r="207">
          <cell r="D207">
            <v>2981</v>
          </cell>
          <cell r="F207">
            <v>-824</v>
          </cell>
          <cell r="H207"/>
        </row>
        <row r="211">
          <cell r="D211">
            <v>120267</v>
          </cell>
          <cell r="F211"/>
          <cell r="H211"/>
        </row>
        <row r="212">
          <cell r="D212">
            <v>16471</v>
          </cell>
          <cell r="F212">
            <v>8960</v>
          </cell>
          <cell r="H212"/>
        </row>
        <row r="213">
          <cell r="D213">
            <v>6395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8308</v>
          </cell>
          <cell r="F216"/>
          <cell r="H216"/>
        </row>
        <row r="221">
          <cell r="D221">
            <v>6278658</v>
          </cell>
        </row>
      </sheetData>
      <sheetData sheetId="9"/>
      <sheetData sheetId="10"/>
      <sheetData sheetId="11">
        <row r="9">
          <cell r="C9">
            <v>15767</v>
          </cell>
          <cell r="D9"/>
          <cell r="E9">
            <v>2897</v>
          </cell>
          <cell r="F9">
            <v>1431</v>
          </cell>
          <cell r="G9"/>
          <cell r="H9">
            <v>1813</v>
          </cell>
          <cell r="I9">
            <v>1612</v>
          </cell>
          <cell r="J9">
            <v>1205</v>
          </cell>
          <cell r="K9">
            <v>219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36135</v>
          </cell>
        </row>
        <row r="30">
          <cell r="N30">
            <v>0.69030026290300261</v>
          </cell>
        </row>
        <row r="32">
          <cell r="N32">
            <v>0.43633596236335964</v>
          </cell>
        </row>
        <row r="34">
          <cell r="N34">
            <v>0.63209589480436179</v>
          </cell>
        </row>
      </sheetData>
      <sheetData sheetId="12"/>
      <sheetData sheetId="1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9256818</v>
          </cell>
          <cell r="G10">
            <v>0</v>
          </cell>
        </row>
        <row r="12">
          <cell r="E12">
            <v>2033860</v>
          </cell>
          <cell r="G12">
            <v>2340940.6993891243</v>
          </cell>
        </row>
        <row r="13">
          <cell r="E13">
            <v>65906</v>
          </cell>
          <cell r="G13"/>
        </row>
        <row r="14">
          <cell r="E14">
            <v>167733</v>
          </cell>
          <cell r="G14"/>
        </row>
        <row r="15">
          <cell r="E15">
            <v>11524317</v>
          </cell>
          <cell r="G15">
            <v>2340940.6993891243</v>
          </cell>
        </row>
        <row r="20">
          <cell r="E20">
            <v>0</v>
          </cell>
          <cell r="G20">
            <v>0</v>
          </cell>
        </row>
        <row r="26">
          <cell r="E26">
            <v>2825463</v>
          </cell>
          <cell r="G26">
            <v>0</v>
          </cell>
        </row>
        <row r="32">
          <cell r="E32">
            <v>2098663.5265082265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1608209</v>
          </cell>
          <cell r="G42">
            <v>0</v>
          </cell>
        </row>
        <row r="47">
          <cell r="E47">
            <v>191883.65953109076</v>
          </cell>
          <cell r="G47">
            <v>0</v>
          </cell>
        </row>
        <row r="52">
          <cell r="E52">
            <v>589186.34046890924</v>
          </cell>
          <cell r="G52">
            <v>0</v>
          </cell>
        </row>
        <row r="57">
          <cell r="E57">
            <v>534699.47349177324</v>
          </cell>
          <cell r="G57">
            <v>0</v>
          </cell>
        </row>
        <row r="72">
          <cell r="E72">
            <v>49699</v>
          </cell>
          <cell r="G72">
            <v>0</v>
          </cell>
        </row>
        <row r="90">
          <cell r="C90">
            <v>194.35903919089759</v>
          </cell>
          <cell r="E90">
            <v>214.43256578947367</v>
          </cell>
          <cell r="G90">
            <v>223.10326086956522</v>
          </cell>
          <cell r="I90">
            <v>225.08452088452088</v>
          </cell>
        </row>
      </sheetData>
      <sheetData sheetId="7"/>
      <sheetData sheetId="8">
        <row r="10">
          <cell r="D10">
            <v>534701</v>
          </cell>
          <cell r="F10">
            <v>-423028</v>
          </cell>
          <cell r="H10"/>
        </row>
        <row r="11">
          <cell r="D11">
            <v>0</v>
          </cell>
          <cell r="F11"/>
          <cell r="H11"/>
        </row>
        <row r="12">
          <cell r="D12">
            <v>374772</v>
          </cell>
          <cell r="F12"/>
          <cell r="H12"/>
        </row>
        <row r="13">
          <cell r="D13">
            <v>654368</v>
          </cell>
          <cell r="F13">
            <v>-477408</v>
          </cell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851008</v>
          </cell>
          <cell r="F16"/>
          <cell r="H16">
            <v>-113646</v>
          </cell>
        </row>
        <row r="17">
          <cell r="D17">
            <v>0</v>
          </cell>
          <cell r="F17"/>
          <cell r="H17"/>
        </row>
        <row r="18">
          <cell r="D18">
            <v>23646</v>
          </cell>
          <cell r="F18"/>
          <cell r="H18"/>
        </row>
        <row r="19">
          <cell r="D19">
            <v>35168</v>
          </cell>
          <cell r="F19">
            <v>-450</v>
          </cell>
          <cell r="H19"/>
        </row>
        <row r="20">
          <cell r="D20">
            <v>31577</v>
          </cell>
          <cell r="F20">
            <v>1105</v>
          </cell>
          <cell r="H20"/>
        </row>
        <row r="21">
          <cell r="D21">
            <v>1550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9527</v>
          </cell>
          <cell r="F23"/>
          <cell r="H23"/>
        </row>
        <row r="24">
          <cell r="D24">
            <v>158035</v>
          </cell>
          <cell r="F24"/>
          <cell r="H24">
            <v>-34334</v>
          </cell>
        </row>
        <row r="25">
          <cell r="D25">
            <v>0</v>
          </cell>
          <cell r="F25"/>
          <cell r="H25"/>
        </row>
        <row r="26">
          <cell r="D26">
            <v>1017561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123705</v>
          </cell>
          <cell r="F29">
            <v>-123705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140405</v>
          </cell>
          <cell r="F31"/>
          <cell r="H31">
            <v>-82263</v>
          </cell>
        </row>
        <row r="32">
          <cell r="D32">
            <v>203025</v>
          </cell>
          <cell r="F32"/>
          <cell r="H32">
            <v>-91361</v>
          </cell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221</v>
          </cell>
          <cell r="F35">
            <v>-221</v>
          </cell>
          <cell r="H35"/>
        </row>
        <row r="36">
          <cell r="D36">
            <v>180</v>
          </cell>
          <cell r="F36">
            <v>13</v>
          </cell>
          <cell r="H36"/>
        </row>
        <row r="37">
          <cell r="D37">
            <v>0</v>
          </cell>
          <cell r="F37"/>
          <cell r="H37"/>
        </row>
        <row r="38">
          <cell r="D38">
            <v>2400</v>
          </cell>
          <cell r="F38">
            <v>-2400</v>
          </cell>
          <cell r="H38"/>
        </row>
        <row r="39">
          <cell r="D39">
            <v>18537</v>
          </cell>
          <cell r="F39"/>
          <cell r="H39"/>
        </row>
        <row r="40">
          <cell r="D40">
            <v>9783</v>
          </cell>
          <cell r="F40"/>
          <cell r="H40"/>
        </row>
        <row r="41">
          <cell r="D41">
            <v>102885</v>
          </cell>
          <cell r="F41"/>
          <cell r="H41"/>
        </row>
        <row r="42">
          <cell r="D42">
            <v>35346</v>
          </cell>
          <cell r="F42"/>
          <cell r="H42"/>
        </row>
        <row r="43">
          <cell r="D43">
            <v>16268</v>
          </cell>
          <cell r="F43"/>
          <cell r="H43"/>
        </row>
        <row r="44">
          <cell r="D44">
            <v>0</v>
          </cell>
          <cell r="F44"/>
          <cell r="H44"/>
        </row>
        <row r="45">
          <cell r="D45">
            <v>13921</v>
          </cell>
          <cell r="F45">
            <v>-11375</v>
          </cell>
          <cell r="H45"/>
        </row>
        <row r="57">
          <cell r="D57">
            <v>897845</v>
          </cell>
          <cell r="F57">
            <v>-897845</v>
          </cell>
          <cell r="H57"/>
        </row>
        <row r="58">
          <cell r="D58">
            <v>192490</v>
          </cell>
          <cell r="F58">
            <v>99902</v>
          </cell>
          <cell r="H58"/>
        </row>
        <row r="59">
          <cell r="D59">
            <v>0</v>
          </cell>
          <cell r="F59"/>
          <cell r="H59"/>
        </row>
        <row r="60">
          <cell r="D60">
            <v>129247</v>
          </cell>
          <cell r="F60"/>
          <cell r="H60"/>
        </row>
        <row r="61">
          <cell r="D61">
            <v>25756</v>
          </cell>
          <cell r="F61"/>
          <cell r="H61"/>
        </row>
        <row r="62">
          <cell r="D62">
            <v>11988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7199</v>
          </cell>
          <cell r="F65"/>
          <cell r="H65"/>
        </row>
        <row r="66">
          <cell r="D66">
            <v>3619</v>
          </cell>
          <cell r="F66"/>
          <cell r="H66"/>
        </row>
        <row r="67">
          <cell r="D67">
            <v>192446</v>
          </cell>
          <cell r="F67">
            <v>-8523</v>
          </cell>
          <cell r="H67"/>
        </row>
        <row r="68">
          <cell r="D68">
            <v>0</v>
          </cell>
          <cell r="F68"/>
          <cell r="H68"/>
        </row>
        <row r="69">
          <cell r="D69">
            <v>13961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143988</v>
          </cell>
          <cell r="F75"/>
          <cell r="H75"/>
        </row>
        <row r="76">
          <cell r="D76">
            <v>21814</v>
          </cell>
          <cell r="F76">
            <v>10587</v>
          </cell>
          <cell r="H76"/>
        </row>
        <row r="77">
          <cell r="D77">
            <v>45089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28787</v>
          </cell>
          <cell r="F79">
            <v>12064</v>
          </cell>
          <cell r="H79"/>
        </row>
        <row r="80">
          <cell r="D80">
            <v>32376</v>
          </cell>
          <cell r="F80"/>
          <cell r="H80"/>
        </row>
        <row r="81">
          <cell r="D81">
            <v>66587</v>
          </cell>
          <cell r="F81"/>
          <cell r="H81"/>
        </row>
        <row r="82">
          <cell r="D82">
            <v>3314</v>
          </cell>
          <cell r="F82"/>
          <cell r="H82"/>
        </row>
        <row r="83">
          <cell r="D83">
            <v>1723</v>
          </cell>
          <cell r="F83"/>
          <cell r="H83"/>
        </row>
        <row r="84">
          <cell r="D84">
            <v>294220</v>
          </cell>
          <cell r="F84"/>
          <cell r="H84"/>
        </row>
        <row r="85">
          <cell r="D85">
            <v>348</v>
          </cell>
          <cell r="F85"/>
          <cell r="H85"/>
        </row>
        <row r="89">
          <cell r="D89">
            <v>468710</v>
          </cell>
          <cell r="F89"/>
          <cell r="H89"/>
        </row>
        <row r="90">
          <cell r="D90">
            <v>81769</v>
          </cell>
          <cell r="F90">
            <v>34463</v>
          </cell>
          <cell r="H90"/>
        </row>
        <row r="91">
          <cell r="D91">
            <v>25873</v>
          </cell>
          <cell r="F91"/>
          <cell r="H91"/>
        </row>
        <row r="92">
          <cell r="D92">
            <v>345591</v>
          </cell>
          <cell r="F92"/>
          <cell r="H92"/>
        </row>
        <row r="93">
          <cell r="D93">
            <v>36144</v>
          </cell>
          <cell r="F93">
            <v>5003</v>
          </cell>
          <cell r="H93"/>
        </row>
        <row r="94">
          <cell r="D94">
            <v>0</v>
          </cell>
          <cell r="F94"/>
          <cell r="H94"/>
        </row>
        <row r="98">
          <cell r="D98">
            <v>60227</v>
          </cell>
          <cell r="F98"/>
          <cell r="H98"/>
        </row>
        <row r="99">
          <cell r="D99">
            <v>9706</v>
          </cell>
          <cell r="F99">
            <v>4428</v>
          </cell>
          <cell r="H99"/>
        </row>
        <row r="100">
          <cell r="D100">
            <v>11869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8444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276869</v>
          </cell>
          <cell r="F115"/>
          <cell r="H115"/>
        </row>
        <row r="116">
          <cell r="D116">
            <v>47347</v>
          </cell>
          <cell r="F116">
            <v>20357</v>
          </cell>
          <cell r="H116"/>
        </row>
        <row r="117">
          <cell r="D117">
            <v>62420</v>
          </cell>
          <cell r="F117"/>
          <cell r="H117"/>
        </row>
        <row r="118">
          <cell r="D118">
            <v>1105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496181</v>
          </cell>
          <cell r="F125"/>
          <cell r="H125">
            <v>102427</v>
          </cell>
        </row>
        <row r="126">
          <cell r="D126">
            <v>167808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84932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36483</v>
          </cell>
          <cell r="H131">
            <v>11218</v>
          </cell>
        </row>
        <row r="132">
          <cell r="D132"/>
          <cell r="F132">
            <v>12338</v>
          </cell>
          <cell r="H132"/>
        </row>
        <row r="133">
          <cell r="D133"/>
          <cell r="F133">
            <v>0</v>
          </cell>
          <cell r="H133"/>
        </row>
        <row r="134">
          <cell r="D134"/>
          <cell r="F134">
            <v>6245</v>
          </cell>
          <cell r="H134"/>
        </row>
        <row r="136">
          <cell r="D136">
            <v>1559872</v>
          </cell>
          <cell r="F136"/>
          <cell r="H136"/>
        </row>
        <row r="137">
          <cell r="D137">
            <v>461758</v>
          </cell>
          <cell r="F137"/>
          <cell r="H137"/>
        </row>
        <row r="138">
          <cell r="D138">
            <v>1862723</v>
          </cell>
          <cell r="F138"/>
          <cell r="H138"/>
        </row>
        <row r="139">
          <cell r="D139">
            <v>218530</v>
          </cell>
          <cell r="F139"/>
          <cell r="H139"/>
        </row>
        <row r="141">
          <cell r="D141"/>
          <cell r="F141">
            <v>114693</v>
          </cell>
          <cell r="H141"/>
        </row>
        <row r="142">
          <cell r="D142"/>
          <cell r="F142">
            <v>33952</v>
          </cell>
          <cell r="H142"/>
        </row>
        <row r="143">
          <cell r="D143"/>
          <cell r="F143">
            <v>136961</v>
          </cell>
          <cell r="H143"/>
        </row>
        <row r="144">
          <cell r="D144">
            <v>782812</v>
          </cell>
          <cell r="F144">
            <v>16068</v>
          </cell>
          <cell r="H144"/>
        </row>
        <row r="146">
          <cell r="D146">
            <v>105825</v>
          </cell>
          <cell r="F146"/>
          <cell r="H146"/>
        </row>
        <row r="147">
          <cell r="D147">
            <v>0</v>
          </cell>
          <cell r="F147"/>
          <cell r="H147"/>
        </row>
        <row r="148">
          <cell r="D148">
            <v>0</v>
          </cell>
          <cell r="F148"/>
          <cell r="H148"/>
        </row>
        <row r="149">
          <cell r="D149">
            <v>0</v>
          </cell>
          <cell r="F149"/>
          <cell r="H149"/>
        </row>
        <row r="150">
          <cell r="D150">
            <v>75142</v>
          </cell>
          <cell r="F150"/>
          <cell r="H150"/>
        </row>
        <row r="151">
          <cell r="D151">
            <v>404985</v>
          </cell>
          <cell r="F151">
            <v>2379</v>
          </cell>
          <cell r="H151"/>
        </row>
        <row r="152">
          <cell r="D152">
            <v>1004</v>
          </cell>
          <cell r="F152"/>
          <cell r="H152"/>
        </row>
        <row r="153">
          <cell r="D153">
            <v>16803</v>
          </cell>
          <cell r="F153"/>
          <cell r="H153"/>
        </row>
        <row r="154">
          <cell r="D154">
            <v>60125</v>
          </cell>
          <cell r="F154">
            <v>4421</v>
          </cell>
          <cell r="H154"/>
        </row>
        <row r="156">
          <cell r="D156">
            <v>0</v>
          </cell>
          <cell r="F156"/>
          <cell r="H156"/>
        </row>
        <row r="157">
          <cell r="D157">
            <v>0</v>
          </cell>
          <cell r="F157"/>
          <cell r="H157"/>
        </row>
        <row r="158">
          <cell r="D158">
            <v>0</v>
          </cell>
          <cell r="F158"/>
          <cell r="H158"/>
        </row>
        <row r="159">
          <cell r="D159">
            <v>0</v>
          </cell>
          <cell r="F159"/>
          <cell r="H159"/>
        </row>
        <row r="160">
          <cell r="D160">
            <v>0</v>
          </cell>
          <cell r="F160"/>
          <cell r="H160"/>
        </row>
        <row r="161">
          <cell r="D161">
            <v>18229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432097</v>
          </cell>
          <cell r="F177"/>
          <cell r="H177"/>
        </row>
        <row r="178">
          <cell r="D178">
            <v>68837</v>
          </cell>
          <cell r="F178">
            <v>31771</v>
          </cell>
          <cell r="H178"/>
        </row>
        <row r="179">
          <cell r="D179">
            <v>114767</v>
          </cell>
          <cell r="F179"/>
          <cell r="H179"/>
        </row>
        <row r="180">
          <cell r="D180">
            <v>20204</v>
          </cell>
          <cell r="F180">
            <v>8439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288995</v>
          </cell>
          <cell r="F183"/>
          <cell r="H183"/>
        </row>
        <row r="184">
          <cell r="D184">
            <v>45671</v>
          </cell>
          <cell r="F184">
            <v>21249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1709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164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13945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84056</v>
          </cell>
          <cell r="F198"/>
          <cell r="H198">
            <v>-5664</v>
          </cell>
        </row>
        <row r="199">
          <cell r="D199">
            <v>404969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371064</v>
          </cell>
          <cell r="F205"/>
          <cell r="H205"/>
        </row>
        <row r="206">
          <cell r="D206">
            <v>61545</v>
          </cell>
          <cell r="F206"/>
          <cell r="H206"/>
        </row>
        <row r="207">
          <cell r="D207">
            <v>58149</v>
          </cell>
          <cell r="F207">
            <v>-724</v>
          </cell>
          <cell r="H207"/>
        </row>
        <row r="211">
          <cell r="D211">
            <v>251621</v>
          </cell>
          <cell r="F211">
            <v>0</v>
          </cell>
          <cell r="H211"/>
        </row>
        <row r="212">
          <cell r="D212">
            <v>49841</v>
          </cell>
          <cell r="F212">
            <v>18501</v>
          </cell>
          <cell r="H212"/>
        </row>
        <row r="213">
          <cell r="D213">
            <v>24051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71526</v>
          </cell>
          <cell r="F216"/>
          <cell r="H216">
            <v>-495</v>
          </cell>
        </row>
        <row r="221">
          <cell r="D221">
            <v>16587400</v>
          </cell>
        </row>
      </sheetData>
      <sheetData sheetId="9"/>
      <sheetData sheetId="10"/>
      <sheetData sheetId="11">
        <row r="9">
          <cell r="C9">
            <v>37059</v>
          </cell>
          <cell r="D9"/>
          <cell r="E9">
            <v>4367</v>
          </cell>
          <cell r="F9">
            <v>4340</v>
          </cell>
          <cell r="G9"/>
          <cell r="H9">
            <v>7465</v>
          </cell>
          <cell r="I9">
            <v>964</v>
          </cell>
          <cell r="J9">
            <v>2960</v>
          </cell>
          <cell r="K9">
            <v>1130</v>
          </cell>
        </row>
        <row r="22">
          <cell r="N22">
            <v>221</v>
          </cell>
        </row>
        <row r="24">
          <cell r="N24">
            <v>221</v>
          </cell>
        </row>
        <row r="28">
          <cell r="N28">
            <v>80665</v>
          </cell>
        </row>
        <row r="30">
          <cell r="N30">
            <v>0.72255625116221411</v>
          </cell>
        </row>
        <row r="32">
          <cell r="N32">
            <v>0.45941858302857497</v>
          </cell>
        </row>
        <row r="34">
          <cell r="N34">
            <v>0.63582396843098565</v>
          </cell>
        </row>
      </sheetData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43079</v>
          </cell>
        </row>
      </sheetData>
      <sheetData sheetId="3"/>
      <sheetData sheetId="4"/>
      <sheetData sheetId="5">
        <row r="10">
          <cell r="E10">
            <v>680646</v>
          </cell>
          <cell r="G10">
            <v>0</v>
          </cell>
        </row>
        <row r="12">
          <cell r="E12">
            <v>30393</v>
          </cell>
          <cell r="G12"/>
        </row>
        <row r="13">
          <cell r="E13">
            <v>10436</v>
          </cell>
          <cell r="G13"/>
        </row>
        <row r="14">
          <cell r="E14"/>
          <cell r="G14"/>
        </row>
        <row r="15">
          <cell r="E15">
            <v>721475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3124988</v>
          </cell>
          <cell r="G26">
            <v>0</v>
          </cell>
        </row>
        <row r="32">
          <cell r="E32">
            <v>778385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168887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39720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1746</v>
          </cell>
          <cell r="G72">
            <v>0</v>
          </cell>
        </row>
        <row r="90">
          <cell r="C90">
            <v>279.61423841059604</v>
          </cell>
          <cell r="E90">
            <v>279.61423841059604</v>
          </cell>
        </row>
      </sheetData>
      <sheetData sheetId="6"/>
      <sheetData sheetId="7">
        <row r="10">
          <cell r="D10">
            <v>60525</v>
          </cell>
          <cell r="F10"/>
          <cell r="H10"/>
        </row>
        <row r="11">
          <cell r="D11"/>
          <cell r="F11"/>
          <cell r="H11"/>
        </row>
        <row r="12">
          <cell r="D12">
            <v>108063</v>
          </cell>
          <cell r="F12"/>
          <cell r="H12"/>
        </row>
        <row r="13">
          <cell r="D13">
            <v>350019</v>
          </cell>
          <cell r="F13">
            <v>-324473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244000</v>
          </cell>
          <cell r="F16"/>
          <cell r="H16">
            <v>-137820</v>
          </cell>
        </row>
        <row r="17">
          <cell r="D17"/>
          <cell r="F17"/>
          <cell r="H17"/>
        </row>
        <row r="18">
          <cell r="D18">
            <v>6021</v>
          </cell>
          <cell r="F18"/>
          <cell r="H18"/>
        </row>
        <row r="19">
          <cell r="D19">
            <v>23258</v>
          </cell>
          <cell r="F19"/>
          <cell r="H19"/>
        </row>
        <row r="20">
          <cell r="D20">
            <v>19037</v>
          </cell>
          <cell r="F20"/>
          <cell r="H20"/>
        </row>
        <row r="21">
          <cell r="D21">
            <v>10527</v>
          </cell>
          <cell r="F21"/>
          <cell r="H21"/>
        </row>
        <row r="22">
          <cell r="D22"/>
          <cell r="F22"/>
          <cell r="H22"/>
        </row>
        <row r="23">
          <cell r="D23">
            <v>1569</v>
          </cell>
          <cell r="F23"/>
          <cell r="H23"/>
        </row>
        <row r="24">
          <cell r="D24">
            <v>30791</v>
          </cell>
          <cell r="F24"/>
          <cell r="H24"/>
        </row>
        <row r="25">
          <cell r="D25"/>
          <cell r="F25"/>
          <cell r="H25"/>
        </row>
        <row r="26">
          <cell r="D26">
            <v>88185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15156</v>
          </cell>
          <cell r="F31"/>
          <cell r="H31"/>
        </row>
        <row r="32">
          <cell r="D32">
            <v>12132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33135</v>
          </cell>
          <cell r="F36"/>
          <cell r="H36"/>
        </row>
        <row r="37">
          <cell r="D37"/>
          <cell r="F37">
            <v>5021</v>
          </cell>
          <cell r="H37"/>
        </row>
        <row r="38">
          <cell r="D38"/>
          <cell r="F38"/>
          <cell r="H38"/>
        </row>
        <row r="39">
          <cell r="D39">
            <v>3617</v>
          </cell>
          <cell r="F39"/>
          <cell r="H39"/>
        </row>
        <row r="40">
          <cell r="D40">
            <v>4216</v>
          </cell>
          <cell r="F40">
            <v>-2813</v>
          </cell>
          <cell r="H40"/>
        </row>
        <row r="41">
          <cell r="D41"/>
          <cell r="F41"/>
          <cell r="H41"/>
        </row>
        <row r="42">
          <cell r="D42">
            <v>5642</v>
          </cell>
          <cell r="F42"/>
          <cell r="H42"/>
        </row>
        <row r="43">
          <cell r="D43">
            <v>4837</v>
          </cell>
          <cell r="F43">
            <v>-4837</v>
          </cell>
          <cell r="H43"/>
        </row>
        <row r="44">
          <cell r="D44"/>
          <cell r="F44"/>
          <cell r="H44"/>
        </row>
        <row r="45">
          <cell r="D45">
            <v>1231</v>
          </cell>
          <cell r="F45"/>
          <cell r="H45"/>
        </row>
        <row r="57">
          <cell r="D57"/>
          <cell r="F57"/>
          <cell r="H57"/>
        </row>
        <row r="58">
          <cell r="D58">
            <v>227039</v>
          </cell>
          <cell r="F58"/>
          <cell r="H58"/>
        </row>
        <row r="59">
          <cell r="D59">
            <v>195945</v>
          </cell>
          <cell r="F59"/>
          <cell r="H59"/>
        </row>
        <row r="60">
          <cell r="D60">
            <v>32498</v>
          </cell>
          <cell r="F60"/>
          <cell r="H60"/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1469</v>
          </cell>
          <cell r="F65"/>
          <cell r="H65"/>
        </row>
        <row r="66">
          <cell r="D66">
            <v>26650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19020</v>
          </cell>
          <cell r="F75"/>
          <cell r="H75"/>
        </row>
        <row r="76">
          <cell r="D76"/>
          <cell r="F76">
            <v>2882</v>
          </cell>
          <cell r="H76"/>
        </row>
        <row r="77">
          <cell r="D77">
            <v>13917</v>
          </cell>
          <cell r="F77"/>
          <cell r="H77"/>
        </row>
        <row r="78">
          <cell r="D78"/>
          <cell r="F78"/>
          <cell r="H78"/>
        </row>
        <row r="79">
          <cell r="D79">
            <v>67281</v>
          </cell>
          <cell r="F79"/>
          <cell r="H79"/>
        </row>
        <row r="80">
          <cell r="D80">
            <v>18005</v>
          </cell>
          <cell r="F80"/>
          <cell r="H80"/>
        </row>
        <row r="81">
          <cell r="D81"/>
          <cell r="F81"/>
          <cell r="H81"/>
        </row>
        <row r="82">
          <cell r="D82">
            <v>81</v>
          </cell>
          <cell r="F82"/>
          <cell r="H82"/>
        </row>
        <row r="83">
          <cell r="D83">
            <v>4046</v>
          </cell>
          <cell r="F83"/>
          <cell r="H83"/>
        </row>
        <row r="84">
          <cell r="D84">
            <v>58377</v>
          </cell>
          <cell r="F84"/>
          <cell r="H84"/>
        </row>
        <row r="85">
          <cell r="D85"/>
          <cell r="F85"/>
          <cell r="H85"/>
        </row>
        <row r="89">
          <cell r="D89">
            <v>172719</v>
          </cell>
          <cell r="F89"/>
          <cell r="H89"/>
        </row>
        <row r="90">
          <cell r="D90"/>
          <cell r="F90">
            <v>26173</v>
          </cell>
          <cell r="H90"/>
        </row>
        <row r="91">
          <cell r="D91">
            <v>4330</v>
          </cell>
          <cell r="F91"/>
          <cell r="H91"/>
        </row>
        <row r="92">
          <cell r="D92">
            <v>109388</v>
          </cell>
          <cell r="F92">
            <v>-1746</v>
          </cell>
          <cell r="H92"/>
        </row>
        <row r="93">
          <cell r="D93">
            <v>14400</v>
          </cell>
          <cell r="F93"/>
          <cell r="H93"/>
        </row>
        <row r="94">
          <cell r="D94">
            <v>849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9220</v>
          </cell>
          <cell r="F100"/>
          <cell r="H100"/>
        </row>
        <row r="101">
          <cell r="D101"/>
          <cell r="F101"/>
          <cell r="H101"/>
        </row>
        <row r="102">
          <cell r="D102">
            <v>2626</v>
          </cell>
          <cell r="F102"/>
          <cell r="H102"/>
        </row>
        <row r="103">
          <cell r="D103"/>
          <cell r="F103"/>
          <cell r="H103"/>
        </row>
        <row r="115">
          <cell r="D115">
            <v>68898</v>
          </cell>
          <cell r="F115"/>
          <cell r="H115"/>
        </row>
        <row r="116">
          <cell r="D116"/>
          <cell r="F116">
            <v>10441</v>
          </cell>
          <cell r="H116"/>
        </row>
        <row r="117">
          <cell r="D117">
            <v>13022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155259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87083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23528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13196</v>
          </cell>
          <cell r="H134"/>
        </row>
        <row r="136">
          <cell r="D136">
            <v>248061</v>
          </cell>
          <cell r="F136"/>
          <cell r="H136"/>
        </row>
        <row r="137">
          <cell r="D137">
            <v>273118</v>
          </cell>
          <cell r="F137"/>
          <cell r="H137"/>
        </row>
        <row r="138">
          <cell r="D138">
            <v>480330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37591</v>
          </cell>
          <cell r="H141"/>
        </row>
        <row r="142">
          <cell r="D142"/>
          <cell r="F142">
            <v>41388</v>
          </cell>
          <cell r="H142"/>
        </row>
        <row r="143">
          <cell r="D143"/>
          <cell r="F143">
            <v>72788</v>
          </cell>
          <cell r="H143"/>
        </row>
        <row r="144">
          <cell r="D144"/>
          <cell r="F144"/>
          <cell r="H144"/>
        </row>
        <row r="146">
          <cell r="D146">
            <v>17500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21112</v>
          </cell>
          <cell r="F150"/>
          <cell r="H150"/>
        </row>
        <row r="151">
          <cell r="D151">
            <v>123382</v>
          </cell>
          <cell r="F151"/>
          <cell r="H151"/>
        </row>
        <row r="152">
          <cell r="D152">
            <v>1369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261823</v>
          </cell>
          <cell r="F177"/>
          <cell r="H177"/>
        </row>
        <row r="178">
          <cell r="D178"/>
          <cell r="F178">
            <v>39676</v>
          </cell>
          <cell r="H178"/>
        </row>
        <row r="179">
          <cell r="D179">
            <v>40169</v>
          </cell>
          <cell r="F179"/>
          <cell r="H179"/>
        </row>
        <row r="180">
          <cell r="D180"/>
          <cell r="F180">
            <v>6087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253453</v>
          </cell>
          <cell r="F183"/>
          <cell r="H183"/>
        </row>
        <row r="184">
          <cell r="D184"/>
          <cell r="F184">
            <v>38408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17077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2722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94694</v>
          </cell>
          <cell r="F198"/>
          <cell r="H198"/>
        </row>
        <row r="199">
          <cell r="D199"/>
          <cell r="F199"/>
          <cell r="H199"/>
        </row>
        <row r="200">
          <cell r="D200">
            <v>600</v>
          </cell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283727</v>
          </cell>
          <cell r="F205"/>
          <cell r="H205"/>
        </row>
        <row r="206">
          <cell r="D206">
            <v>5853</v>
          </cell>
          <cell r="F206"/>
          <cell r="H206"/>
        </row>
        <row r="207">
          <cell r="D207"/>
          <cell r="F207"/>
          <cell r="H207"/>
        </row>
        <row r="211">
          <cell r="D211">
            <v>48134</v>
          </cell>
          <cell r="F211"/>
          <cell r="H211"/>
        </row>
        <row r="212">
          <cell r="D212"/>
          <cell r="F212">
            <v>7294</v>
          </cell>
          <cell r="H212"/>
        </row>
        <row r="213">
          <cell r="D213">
            <v>3975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5149</v>
          </cell>
          <cell r="F216"/>
          <cell r="H216"/>
        </row>
        <row r="221">
          <cell r="D221">
            <v>4506331</v>
          </cell>
        </row>
      </sheetData>
      <sheetData sheetId="8"/>
      <sheetData sheetId="9"/>
      <sheetData sheetId="10">
        <row r="9">
          <cell r="C9">
            <v>3295</v>
          </cell>
          <cell r="D9"/>
          <cell r="E9">
            <v>3748</v>
          </cell>
          <cell r="F9">
            <v>2955</v>
          </cell>
          <cell r="G9"/>
          <cell r="H9">
            <v>604</v>
          </cell>
          <cell r="I9"/>
          <cell r="J9">
            <v>186</v>
          </cell>
          <cell r="K9"/>
        </row>
        <row r="22">
          <cell r="N22">
            <v>119</v>
          </cell>
        </row>
        <row r="24">
          <cell r="N24">
            <v>81</v>
          </cell>
        </row>
        <row r="28">
          <cell r="N28">
            <v>19397</v>
          </cell>
        </row>
        <row r="30">
          <cell r="N30">
            <v>0.55616847966180338</v>
          </cell>
        </row>
        <row r="32">
          <cell r="N32">
            <v>0.16987162963344848</v>
          </cell>
        </row>
        <row r="34">
          <cell r="N34">
            <v>0.30543196143863555</v>
          </cell>
        </row>
      </sheetData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119892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119892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2377106</v>
          </cell>
          <cell r="G26">
            <v>0</v>
          </cell>
        </row>
        <row r="32">
          <cell r="E32">
            <v>388389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1509288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26860</v>
          </cell>
          <cell r="G72">
            <v>-19768</v>
          </cell>
        </row>
        <row r="90">
          <cell r="C90">
            <v>258.33434099153567</v>
          </cell>
          <cell r="E90">
            <v>258.64577464788732</v>
          </cell>
          <cell r="G90">
            <v>269.21180555555554</v>
          </cell>
          <cell r="I90">
            <v>271.87115544472152</v>
          </cell>
        </row>
      </sheetData>
      <sheetData sheetId="6"/>
      <sheetData sheetId="7">
        <row r="10">
          <cell r="D10">
            <v>32933</v>
          </cell>
          <cell r="F10"/>
          <cell r="H10"/>
        </row>
        <row r="11">
          <cell r="D11"/>
          <cell r="F11"/>
          <cell r="H11"/>
        </row>
        <row r="12">
          <cell r="D12">
            <v>58102</v>
          </cell>
          <cell r="F12"/>
          <cell r="H12"/>
        </row>
        <row r="13">
          <cell r="D13">
            <v>14313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133970</v>
          </cell>
          <cell r="F16"/>
          <cell r="H16">
            <v>11429</v>
          </cell>
        </row>
        <row r="17">
          <cell r="D17"/>
          <cell r="F17"/>
          <cell r="H17"/>
        </row>
        <row r="18">
          <cell r="D18">
            <v>7410</v>
          </cell>
          <cell r="F18"/>
          <cell r="H18"/>
        </row>
        <row r="19">
          <cell r="D19">
            <v>2117</v>
          </cell>
          <cell r="F19"/>
          <cell r="H19"/>
        </row>
        <row r="20">
          <cell r="D20">
            <v>4061</v>
          </cell>
          <cell r="F20"/>
          <cell r="H20"/>
        </row>
        <row r="21">
          <cell r="D21">
            <v>5113</v>
          </cell>
          <cell r="F21"/>
          <cell r="H21"/>
        </row>
        <row r="22">
          <cell r="D22"/>
          <cell r="F22"/>
          <cell r="H22"/>
        </row>
        <row r="23">
          <cell r="D23">
            <v>29432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123269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50033</v>
          </cell>
          <cell r="F29">
            <v>-50033</v>
          </cell>
          <cell r="H29"/>
        </row>
        <row r="30">
          <cell r="D30"/>
          <cell r="F30">
            <v>0</v>
          </cell>
          <cell r="H30"/>
        </row>
        <row r="31">
          <cell r="D31">
            <v>25590</v>
          </cell>
          <cell r="F31"/>
          <cell r="H31"/>
        </row>
        <row r="32">
          <cell r="D32">
            <v>22293</v>
          </cell>
          <cell r="F32"/>
          <cell r="H32"/>
        </row>
        <row r="33">
          <cell r="D33">
            <v>7388</v>
          </cell>
          <cell r="F33">
            <v>-7388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33</v>
          </cell>
          <cell r="F39"/>
          <cell r="H39"/>
        </row>
        <row r="40">
          <cell r="D40"/>
          <cell r="F40"/>
          <cell r="H40"/>
        </row>
        <row r="41">
          <cell r="D41">
            <v>40151</v>
          </cell>
          <cell r="F41"/>
          <cell r="H41"/>
        </row>
        <row r="42">
          <cell r="D42"/>
          <cell r="F42"/>
          <cell r="H42"/>
        </row>
        <row r="43">
          <cell r="D43">
            <v>11921</v>
          </cell>
          <cell r="F43"/>
          <cell r="H43"/>
        </row>
        <row r="44">
          <cell r="D44"/>
          <cell r="F44"/>
          <cell r="H44"/>
        </row>
        <row r="45">
          <cell r="D45"/>
          <cell r="F45"/>
          <cell r="H45"/>
        </row>
        <row r="57">
          <cell r="D57">
            <v>263258</v>
          </cell>
          <cell r="F57"/>
          <cell r="H57">
            <v>-263258</v>
          </cell>
        </row>
        <row r="58">
          <cell r="D58">
            <v>19634</v>
          </cell>
          <cell r="F58"/>
          <cell r="H58">
            <v>137364</v>
          </cell>
        </row>
        <row r="59">
          <cell r="D59"/>
          <cell r="F59"/>
          <cell r="H59">
            <v>101833</v>
          </cell>
        </row>
        <row r="60">
          <cell r="D60">
            <v>13204</v>
          </cell>
          <cell r="F60"/>
          <cell r="H60"/>
        </row>
        <row r="61">
          <cell r="D61">
            <v>692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418</v>
          </cell>
          <cell r="F65"/>
          <cell r="H65"/>
        </row>
        <row r="66">
          <cell r="D66"/>
          <cell r="F66"/>
          <cell r="H66"/>
        </row>
        <row r="67">
          <cell r="D67">
            <v>13945</v>
          </cell>
          <cell r="F67"/>
          <cell r="H67"/>
        </row>
        <row r="68">
          <cell r="D68"/>
          <cell r="F68"/>
          <cell r="H68"/>
        </row>
        <row r="69">
          <cell r="D69">
            <v>938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18001</v>
          </cell>
          <cell r="F75"/>
          <cell r="H75"/>
        </row>
        <row r="76">
          <cell r="D76">
            <v>2830</v>
          </cell>
          <cell r="F76"/>
          <cell r="H76"/>
        </row>
        <row r="77">
          <cell r="D77">
            <v>1015</v>
          </cell>
          <cell r="F77"/>
          <cell r="H77"/>
        </row>
        <row r="78">
          <cell r="D78">
            <v>10727</v>
          </cell>
          <cell r="F78"/>
          <cell r="H78"/>
        </row>
        <row r="79">
          <cell r="D79"/>
          <cell r="F79"/>
          <cell r="H79"/>
        </row>
        <row r="80">
          <cell r="D80">
            <v>22834</v>
          </cell>
          <cell r="F80"/>
          <cell r="H80"/>
        </row>
        <row r="81">
          <cell r="D81"/>
          <cell r="F81"/>
          <cell r="H81"/>
        </row>
        <row r="82">
          <cell r="D82">
            <v>838</v>
          </cell>
          <cell r="F82"/>
          <cell r="H82"/>
        </row>
        <row r="83">
          <cell r="D83"/>
          <cell r="F83"/>
          <cell r="H83"/>
        </row>
        <row r="84">
          <cell r="D84">
            <v>29520</v>
          </cell>
          <cell r="F84"/>
          <cell r="H84"/>
        </row>
        <row r="85">
          <cell r="D85"/>
          <cell r="F85"/>
          <cell r="H85"/>
        </row>
        <row r="89">
          <cell r="D89">
            <v>143874</v>
          </cell>
          <cell r="F89"/>
          <cell r="H89"/>
        </row>
        <row r="90">
          <cell r="D90">
            <v>22620</v>
          </cell>
          <cell r="F90"/>
          <cell r="H90"/>
        </row>
        <row r="91">
          <cell r="D91">
            <v>6261</v>
          </cell>
          <cell r="F91"/>
          <cell r="H91"/>
        </row>
        <row r="92">
          <cell r="D92">
            <v>85663</v>
          </cell>
          <cell r="F92"/>
          <cell r="H92"/>
        </row>
        <row r="93">
          <cell r="D93">
            <v>10067</v>
          </cell>
          <cell r="F93"/>
          <cell r="H93"/>
        </row>
        <row r="94">
          <cell r="D94"/>
          <cell r="F94"/>
          <cell r="H94"/>
        </row>
        <row r="98">
          <cell r="D98">
            <v>9826</v>
          </cell>
          <cell r="F98"/>
          <cell r="H98"/>
        </row>
        <row r="99">
          <cell r="D99">
            <v>1545</v>
          </cell>
          <cell r="F99"/>
          <cell r="H99"/>
        </row>
        <row r="100">
          <cell r="D100">
            <v>5894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21983</v>
          </cell>
          <cell r="F115"/>
          <cell r="H115"/>
        </row>
        <row r="116">
          <cell r="D116">
            <v>3456</v>
          </cell>
          <cell r="F116"/>
          <cell r="H116"/>
        </row>
        <row r="117">
          <cell r="D117">
            <v>2253</v>
          </cell>
          <cell r="F117"/>
          <cell r="H117"/>
        </row>
        <row r="118">
          <cell r="D118">
            <v>263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237687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55665</v>
          </cell>
          <cell r="F128"/>
          <cell r="H128"/>
        </row>
        <row r="130">
          <cell r="D130"/>
          <cell r="F130"/>
          <cell r="H130"/>
        </row>
        <row r="131">
          <cell r="D131">
            <v>37369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8752</v>
          </cell>
          <cell r="F134"/>
          <cell r="H134"/>
        </row>
        <row r="136">
          <cell r="D136">
            <v>495379</v>
          </cell>
          <cell r="F136"/>
          <cell r="H136"/>
        </row>
        <row r="137">
          <cell r="D137">
            <v>230410</v>
          </cell>
          <cell r="F137"/>
          <cell r="H137"/>
        </row>
        <row r="138">
          <cell r="D138">
            <v>472430</v>
          </cell>
          <cell r="F138"/>
          <cell r="H138"/>
        </row>
        <row r="139">
          <cell r="D139"/>
          <cell r="F139"/>
          <cell r="H139"/>
        </row>
        <row r="141">
          <cell r="D141">
            <v>77883</v>
          </cell>
          <cell r="F141"/>
          <cell r="H141"/>
        </row>
        <row r="142">
          <cell r="D142">
            <v>36225</v>
          </cell>
          <cell r="F142"/>
          <cell r="H142"/>
        </row>
        <row r="143">
          <cell r="D143">
            <v>74275</v>
          </cell>
          <cell r="F143"/>
          <cell r="H143"/>
        </row>
        <row r="144">
          <cell r="D144"/>
          <cell r="F144"/>
          <cell r="H144"/>
        </row>
        <row r="146">
          <cell r="D146">
            <v>67947</v>
          </cell>
          <cell r="F146"/>
          <cell r="H146"/>
        </row>
        <row r="147">
          <cell r="D147">
            <v>75301</v>
          </cell>
          <cell r="F147"/>
          <cell r="H147"/>
        </row>
        <row r="148">
          <cell r="D148">
            <v>50060</v>
          </cell>
          <cell r="F148"/>
          <cell r="H148"/>
        </row>
        <row r="149">
          <cell r="D149">
            <v>286123</v>
          </cell>
          <cell r="F149"/>
          <cell r="H149"/>
        </row>
        <row r="150">
          <cell r="D150"/>
          <cell r="F150"/>
          <cell r="H150"/>
        </row>
        <row r="151">
          <cell r="D151">
            <v>144843</v>
          </cell>
          <cell r="F151"/>
          <cell r="H151"/>
        </row>
        <row r="152">
          <cell r="D152">
            <v>9140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>
            <v>14947</v>
          </cell>
          <cell r="F192"/>
          <cell r="H192"/>
        </row>
        <row r="193">
          <cell r="D193"/>
          <cell r="F193"/>
          <cell r="H193"/>
        </row>
        <row r="194">
          <cell r="D194">
            <v>280419</v>
          </cell>
          <cell r="F194"/>
          <cell r="H194"/>
        </row>
        <row r="195">
          <cell r="D195">
            <v>43538</v>
          </cell>
          <cell r="F195"/>
          <cell r="H195"/>
        </row>
        <row r="196">
          <cell r="D196"/>
          <cell r="F196"/>
          <cell r="H196"/>
        </row>
        <row r="197">
          <cell r="D197">
            <v>280241</v>
          </cell>
          <cell r="F197"/>
          <cell r="H197"/>
        </row>
        <row r="198">
          <cell r="D198">
            <v>13530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>
            <v>4395</v>
          </cell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>
            <v>49949</v>
          </cell>
          <cell r="F204"/>
          <cell r="H204"/>
        </row>
        <row r="205">
          <cell r="D205">
            <v>259995</v>
          </cell>
          <cell r="F205"/>
          <cell r="H205"/>
        </row>
        <row r="206">
          <cell r="D206">
            <v>44016</v>
          </cell>
          <cell r="F206"/>
          <cell r="H206"/>
        </row>
        <row r="207">
          <cell r="D207"/>
          <cell r="F207"/>
          <cell r="H207"/>
        </row>
        <row r="211">
          <cell r="D211">
            <v>90246</v>
          </cell>
          <cell r="F211"/>
          <cell r="H211"/>
        </row>
        <row r="212">
          <cell r="D212">
            <v>14188</v>
          </cell>
          <cell r="F212"/>
          <cell r="H212"/>
        </row>
        <row r="213">
          <cell r="D213">
            <v>26963</v>
          </cell>
          <cell r="F213"/>
          <cell r="H213"/>
        </row>
        <row r="214">
          <cell r="D214">
            <v>7047</v>
          </cell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4768651</v>
          </cell>
        </row>
      </sheetData>
      <sheetData sheetId="8"/>
      <sheetData sheetId="9"/>
      <sheetData sheetId="10">
        <row r="9">
          <cell r="C9">
            <v>618</v>
          </cell>
          <cell r="D9"/>
          <cell r="E9">
            <v>5095</v>
          </cell>
          <cell r="F9">
            <v>909</v>
          </cell>
          <cell r="G9"/>
          <cell r="H9">
            <v>5717</v>
          </cell>
          <cell r="I9"/>
          <cell r="J9"/>
          <cell r="K9"/>
        </row>
        <row r="22">
          <cell r="N22">
            <v>45</v>
          </cell>
        </row>
        <row r="24">
          <cell r="N24">
            <v>5</v>
          </cell>
        </row>
        <row r="28">
          <cell r="N28">
            <v>16425</v>
          </cell>
        </row>
        <row r="30">
          <cell r="N30">
            <v>0.75123287671232875</v>
          </cell>
        </row>
        <row r="32">
          <cell r="N32">
            <v>3.762557077625571E-2</v>
          </cell>
        </row>
        <row r="34">
          <cell r="N34">
            <v>5.0085096036955996E-2</v>
          </cell>
        </row>
      </sheetData>
      <sheetData sheetId="11"/>
      <sheetData sheetId="1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43080</v>
          </cell>
          <cell r="G39">
            <v>43281</v>
          </cell>
        </row>
      </sheetData>
      <sheetData sheetId="3"/>
      <sheetData sheetId="4"/>
      <sheetData sheetId="5">
        <row r="10">
          <cell r="E10">
            <v>615663</v>
          </cell>
          <cell r="G10">
            <v>0</v>
          </cell>
        </row>
        <row r="12">
          <cell r="E12">
            <v>281222</v>
          </cell>
          <cell r="G12"/>
        </row>
        <row r="13">
          <cell r="E13">
            <v>28880</v>
          </cell>
          <cell r="G13"/>
        </row>
        <row r="14">
          <cell r="E14">
            <v>57309</v>
          </cell>
          <cell r="G14"/>
        </row>
        <row r="15">
          <cell r="E15">
            <v>983074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2535072</v>
          </cell>
          <cell r="G26">
            <v>0</v>
          </cell>
        </row>
        <row r="32">
          <cell r="E32">
            <v>1264370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244400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36868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1973</v>
          </cell>
          <cell r="G72">
            <v>0</v>
          </cell>
        </row>
        <row r="90">
          <cell r="E90">
            <v>213.63636363636363</v>
          </cell>
          <cell r="G90">
            <v>213.63636363636363</v>
          </cell>
          <cell r="I90">
            <v>213.63636363636365</v>
          </cell>
        </row>
      </sheetData>
      <sheetData sheetId="6"/>
      <sheetData sheetId="7">
        <row r="10">
          <cell r="D10">
            <v>61113</v>
          </cell>
          <cell r="F10"/>
          <cell r="H10"/>
        </row>
        <row r="11">
          <cell r="D11"/>
          <cell r="F11"/>
          <cell r="H11"/>
        </row>
        <row r="12">
          <cell r="D12">
            <v>108254</v>
          </cell>
          <cell r="F12"/>
          <cell r="H12"/>
        </row>
        <row r="13">
          <cell r="D13">
            <v>351256</v>
          </cell>
          <cell r="F13">
            <v>-325690</v>
          </cell>
          <cell r="H13"/>
        </row>
        <row r="14">
          <cell r="D14"/>
          <cell r="F14"/>
          <cell r="H14"/>
        </row>
        <row r="15">
          <cell r="D15">
            <v>228000</v>
          </cell>
          <cell r="F15"/>
          <cell r="H15"/>
        </row>
        <row r="16">
          <cell r="D16"/>
          <cell r="F16"/>
          <cell r="H16">
            <v>-121820</v>
          </cell>
        </row>
        <row r="17">
          <cell r="D17"/>
          <cell r="F17"/>
          <cell r="H17"/>
        </row>
        <row r="18">
          <cell r="D18">
            <v>16122</v>
          </cell>
          <cell r="F18"/>
          <cell r="H18"/>
        </row>
        <row r="19">
          <cell r="D19">
            <v>17820</v>
          </cell>
          <cell r="F19"/>
          <cell r="H19"/>
        </row>
        <row r="20">
          <cell r="D20">
            <v>14840</v>
          </cell>
          <cell r="F20"/>
          <cell r="H20"/>
        </row>
        <row r="21">
          <cell r="D21">
            <v>14508</v>
          </cell>
          <cell r="F21"/>
          <cell r="H21"/>
        </row>
        <row r="22">
          <cell r="D22"/>
          <cell r="F22"/>
          <cell r="H22"/>
        </row>
        <row r="23">
          <cell r="D23">
            <v>1111</v>
          </cell>
          <cell r="F23"/>
          <cell r="H23"/>
        </row>
        <row r="24">
          <cell r="D24">
            <v>32313</v>
          </cell>
          <cell r="F24"/>
          <cell r="H24"/>
        </row>
        <row r="25">
          <cell r="D25"/>
          <cell r="F25"/>
          <cell r="H25"/>
        </row>
        <row r="26">
          <cell r="D26">
            <v>102655</v>
          </cell>
          <cell r="F26"/>
          <cell r="H26"/>
        </row>
        <row r="27">
          <cell r="D27"/>
          <cell r="F27">
            <v>-5</v>
          </cell>
          <cell r="H27"/>
        </row>
        <row r="28">
          <cell r="D28">
            <v>-2</v>
          </cell>
          <cell r="F28">
            <v>2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42305</v>
          </cell>
          <cell r="F31"/>
          <cell r="H31"/>
        </row>
        <row r="32">
          <cell r="D32">
            <v>44981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37980</v>
          </cell>
          <cell r="F36"/>
          <cell r="H36"/>
        </row>
        <row r="37">
          <cell r="D37"/>
          <cell r="F37">
            <v>5733</v>
          </cell>
          <cell r="H37"/>
        </row>
        <row r="38">
          <cell r="D38"/>
          <cell r="F38"/>
          <cell r="H38"/>
        </row>
        <row r="39">
          <cell r="D39">
            <v>7205</v>
          </cell>
          <cell r="F39"/>
          <cell r="H39"/>
        </row>
        <row r="40">
          <cell r="D40">
            <v>1925</v>
          </cell>
          <cell r="F40">
            <v>-522</v>
          </cell>
          <cell r="H40"/>
        </row>
        <row r="41">
          <cell r="D41"/>
          <cell r="F41"/>
          <cell r="H41"/>
        </row>
        <row r="42">
          <cell r="D42">
            <v>7395</v>
          </cell>
          <cell r="F42"/>
          <cell r="H42"/>
        </row>
        <row r="43">
          <cell r="D43">
            <v>8574</v>
          </cell>
          <cell r="F43">
            <v>-8574</v>
          </cell>
          <cell r="H43"/>
        </row>
        <row r="44">
          <cell r="D44"/>
          <cell r="F44"/>
          <cell r="H44"/>
        </row>
        <row r="45">
          <cell r="D45">
            <v>965</v>
          </cell>
          <cell r="F45"/>
          <cell r="H45"/>
        </row>
        <row r="57">
          <cell r="D57"/>
          <cell r="F57"/>
          <cell r="H57"/>
        </row>
        <row r="58">
          <cell r="D58">
            <v>227039</v>
          </cell>
          <cell r="F58"/>
          <cell r="H58"/>
        </row>
        <row r="59">
          <cell r="D59">
            <v>191871</v>
          </cell>
          <cell r="F59"/>
          <cell r="H59"/>
        </row>
        <row r="60">
          <cell r="D60">
            <v>36232</v>
          </cell>
          <cell r="F60"/>
          <cell r="H60"/>
        </row>
        <row r="61">
          <cell r="D61">
            <v>2111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1469</v>
          </cell>
          <cell r="F65"/>
          <cell r="H65"/>
        </row>
        <row r="66">
          <cell r="D66">
            <v>26969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22011</v>
          </cell>
          <cell r="F75"/>
          <cell r="H75"/>
        </row>
        <row r="76">
          <cell r="D76"/>
          <cell r="F76">
            <v>3323</v>
          </cell>
          <cell r="H76"/>
        </row>
        <row r="77">
          <cell r="D77">
            <v>14653</v>
          </cell>
          <cell r="F77"/>
          <cell r="H77"/>
        </row>
        <row r="78">
          <cell r="D78"/>
          <cell r="F78"/>
          <cell r="H78"/>
        </row>
        <row r="79">
          <cell r="D79">
            <v>61450</v>
          </cell>
          <cell r="F79"/>
          <cell r="H79"/>
        </row>
        <row r="80">
          <cell r="D80">
            <v>13491</v>
          </cell>
          <cell r="F80"/>
          <cell r="H80"/>
        </row>
        <row r="81">
          <cell r="D81">
            <v>7471</v>
          </cell>
          <cell r="F81"/>
          <cell r="H81"/>
        </row>
        <row r="82">
          <cell r="D82"/>
          <cell r="F82"/>
          <cell r="H82"/>
        </row>
        <row r="83">
          <cell r="D83">
            <v>4637</v>
          </cell>
          <cell r="F83"/>
          <cell r="H83"/>
        </row>
        <row r="84">
          <cell r="D84">
            <v>86064</v>
          </cell>
          <cell r="F84"/>
          <cell r="H84"/>
        </row>
        <row r="85">
          <cell r="D85"/>
          <cell r="F85"/>
          <cell r="H85"/>
        </row>
        <row r="89">
          <cell r="D89">
            <v>157185</v>
          </cell>
          <cell r="F89"/>
          <cell r="H89"/>
        </row>
        <row r="90">
          <cell r="D90"/>
          <cell r="F90">
            <v>23728</v>
          </cell>
          <cell r="H90"/>
        </row>
        <row r="91">
          <cell r="D91">
            <v>4202</v>
          </cell>
          <cell r="F91"/>
          <cell r="H91"/>
        </row>
        <row r="92">
          <cell r="D92">
            <v>109062</v>
          </cell>
          <cell r="F92">
            <v>-1968</v>
          </cell>
          <cell r="H92"/>
        </row>
        <row r="93">
          <cell r="D93">
            <v>11255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10306</v>
          </cell>
          <cell r="F100"/>
          <cell r="H100"/>
        </row>
        <row r="101">
          <cell r="D101"/>
          <cell r="F101"/>
          <cell r="H101"/>
        </row>
        <row r="102">
          <cell r="D102">
            <v>665</v>
          </cell>
          <cell r="F102"/>
          <cell r="H102"/>
        </row>
        <row r="103">
          <cell r="D103"/>
          <cell r="F103"/>
          <cell r="H103"/>
        </row>
        <row r="115">
          <cell r="D115">
            <v>62960</v>
          </cell>
          <cell r="F115"/>
          <cell r="H115"/>
        </row>
        <row r="116">
          <cell r="D116"/>
          <cell r="F116">
            <v>9504</v>
          </cell>
          <cell r="H116"/>
        </row>
        <row r="117">
          <cell r="D117">
            <v>9470</v>
          </cell>
          <cell r="F117"/>
          <cell r="H117"/>
        </row>
        <row r="118">
          <cell r="D118"/>
          <cell r="F118"/>
          <cell r="H118"/>
        </row>
        <row r="119">
          <cell r="D119">
            <v>62</v>
          </cell>
          <cell r="F119"/>
          <cell r="H119"/>
        </row>
        <row r="124">
          <cell r="D124"/>
          <cell r="F124"/>
          <cell r="H124"/>
        </row>
        <row r="125">
          <cell r="D125">
            <v>171904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93949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25950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14182</v>
          </cell>
          <cell r="H134"/>
        </row>
        <row r="136">
          <cell r="D136">
            <v>296067</v>
          </cell>
          <cell r="F136"/>
          <cell r="H136"/>
        </row>
        <row r="137">
          <cell r="D137">
            <v>250488</v>
          </cell>
          <cell r="F137"/>
          <cell r="H137"/>
        </row>
        <row r="138">
          <cell r="D138">
            <v>466690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44693</v>
          </cell>
          <cell r="H141"/>
        </row>
        <row r="142">
          <cell r="D142"/>
          <cell r="F142">
            <v>37812</v>
          </cell>
          <cell r="H142"/>
        </row>
        <row r="143">
          <cell r="D143"/>
          <cell r="F143">
            <v>70449</v>
          </cell>
          <cell r="H143"/>
        </row>
        <row r="144">
          <cell r="D144"/>
          <cell r="F144"/>
          <cell r="H144"/>
        </row>
        <row r="146">
          <cell r="D146">
            <v>18000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22413</v>
          </cell>
          <cell r="F150"/>
          <cell r="H150"/>
        </row>
        <row r="151">
          <cell r="D151">
            <v>106565</v>
          </cell>
          <cell r="F151"/>
          <cell r="H151"/>
        </row>
        <row r="152">
          <cell r="D152">
            <v>535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246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259350</v>
          </cell>
          <cell r="F177"/>
          <cell r="H177"/>
        </row>
        <row r="178">
          <cell r="D178"/>
          <cell r="F178">
            <v>39150</v>
          </cell>
          <cell r="H178"/>
        </row>
        <row r="179">
          <cell r="D179">
            <v>37227</v>
          </cell>
          <cell r="F179"/>
          <cell r="H179"/>
        </row>
        <row r="180">
          <cell r="D180"/>
          <cell r="F180">
            <v>5620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251323</v>
          </cell>
          <cell r="F183"/>
          <cell r="H183"/>
        </row>
        <row r="184">
          <cell r="D184"/>
          <cell r="F184">
            <v>37938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8543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360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1813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59881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292937</v>
          </cell>
          <cell r="F205"/>
          <cell r="H205"/>
        </row>
        <row r="206">
          <cell r="D206">
            <v>23281</v>
          </cell>
          <cell r="F206"/>
          <cell r="H206"/>
        </row>
        <row r="207">
          <cell r="D207"/>
          <cell r="F207"/>
          <cell r="H207"/>
        </row>
        <row r="211">
          <cell r="D211">
            <v>50401</v>
          </cell>
          <cell r="F211"/>
          <cell r="H211"/>
        </row>
        <row r="212">
          <cell r="D212"/>
          <cell r="F212">
            <v>7608</v>
          </cell>
          <cell r="H212"/>
        </row>
        <row r="213">
          <cell r="D213">
            <v>5920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3013</v>
          </cell>
          <cell r="F216"/>
          <cell r="H216"/>
        </row>
        <row r="221">
          <cell r="D221">
            <v>4580861</v>
          </cell>
        </row>
      </sheetData>
      <sheetData sheetId="8"/>
      <sheetData sheetId="9"/>
      <sheetData sheetId="10">
        <row r="9">
          <cell r="C9">
            <v>4190</v>
          </cell>
          <cell r="D9"/>
          <cell r="E9">
            <v>4389</v>
          </cell>
          <cell r="F9">
            <v>3732</v>
          </cell>
          <cell r="G9"/>
          <cell r="H9">
            <v>1144</v>
          </cell>
          <cell r="I9"/>
          <cell r="J9">
            <v>230</v>
          </cell>
          <cell r="K9"/>
        </row>
        <row r="22">
          <cell r="N22">
            <v>119</v>
          </cell>
        </row>
        <row r="24">
          <cell r="N24">
            <v>81</v>
          </cell>
        </row>
        <row r="28">
          <cell r="N28">
            <v>24038</v>
          </cell>
        </row>
        <row r="30">
          <cell r="N30">
            <v>0.56930693069306926</v>
          </cell>
        </row>
        <row r="32">
          <cell r="N32">
            <v>0.17430734670105666</v>
          </cell>
        </row>
        <row r="34">
          <cell r="N34">
            <v>0.3061746437705517</v>
          </cell>
        </row>
      </sheetData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43079</v>
          </cell>
        </row>
      </sheetData>
      <sheetData sheetId="3"/>
      <sheetData sheetId="4"/>
      <sheetData sheetId="5">
        <row r="10">
          <cell r="E10">
            <v>375491</v>
          </cell>
          <cell r="G10">
            <v>0</v>
          </cell>
        </row>
        <row r="12">
          <cell r="E12">
            <v>17694</v>
          </cell>
          <cell r="G12"/>
        </row>
        <row r="13">
          <cell r="E13">
            <v>930</v>
          </cell>
          <cell r="G13"/>
        </row>
        <row r="14">
          <cell r="E14"/>
          <cell r="G14"/>
        </row>
        <row r="15">
          <cell r="E15">
            <v>394115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669124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76925</v>
          </cell>
          <cell r="G42">
            <v>-18600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18600</v>
          </cell>
        </row>
        <row r="57">
          <cell r="E57">
            <v>0</v>
          </cell>
          <cell r="G57">
            <v>0</v>
          </cell>
        </row>
        <row r="72">
          <cell r="E72">
            <v>-3166</v>
          </cell>
          <cell r="G72">
            <v>0</v>
          </cell>
        </row>
        <row r="90">
          <cell r="C90">
            <v>281.76328502415458</v>
          </cell>
          <cell r="E90">
            <v>281.76328502415458</v>
          </cell>
        </row>
      </sheetData>
      <sheetData sheetId="6"/>
      <sheetData sheetId="7">
        <row r="10">
          <cell r="D10">
            <v>39381</v>
          </cell>
          <cell r="F10"/>
          <cell r="H10"/>
        </row>
        <row r="11">
          <cell r="D11"/>
          <cell r="F11"/>
          <cell r="H11"/>
        </row>
        <row r="12">
          <cell r="D12">
            <v>34075</v>
          </cell>
          <cell r="F12"/>
          <cell r="H12"/>
        </row>
        <row r="13">
          <cell r="D13">
            <v>81643</v>
          </cell>
          <cell r="F13">
            <v>-73483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>
            <v>26982</v>
          </cell>
        </row>
        <row r="17">
          <cell r="D17"/>
          <cell r="F17"/>
          <cell r="H17"/>
        </row>
        <row r="18">
          <cell r="D18">
            <v>2371</v>
          </cell>
          <cell r="F18"/>
          <cell r="H18"/>
        </row>
        <row r="19">
          <cell r="D19">
            <v>12920</v>
          </cell>
          <cell r="F19"/>
          <cell r="H19"/>
        </row>
        <row r="20">
          <cell r="D20">
            <v>4736</v>
          </cell>
          <cell r="F20"/>
          <cell r="H20"/>
        </row>
        <row r="21">
          <cell r="D21">
            <v>3652</v>
          </cell>
          <cell r="F21"/>
          <cell r="H21"/>
        </row>
        <row r="22">
          <cell r="D22"/>
          <cell r="F22"/>
          <cell r="H22"/>
        </row>
        <row r="23">
          <cell r="D23">
            <v>1284</v>
          </cell>
          <cell r="F23"/>
          <cell r="H23"/>
        </row>
        <row r="24">
          <cell r="D24">
            <v>20063</v>
          </cell>
          <cell r="F24"/>
          <cell r="H24"/>
        </row>
        <row r="25">
          <cell r="D25"/>
          <cell r="F25"/>
          <cell r="H25"/>
        </row>
        <row r="26">
          <cell r="D26">
            <v>43918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25101</v>
          </cell>
          <cell r="F31"/>
          <cell r="H31"/>
        </row>
        <row r="32">
          <cell r="D32">
            <v>16244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90</v>
          </cell>
          <cell r="F39"/>
          <cell r="H39"/>
        </row>
        <row r="40">
          <cell r="D40">
            <v>2027</v>
          </cell>
          <cell r="F40">
            <v>-1398</v>
          </cell>
          <cell r="H40"/>
        </row>
        <row r="41">
          <cell r="D41"/>
          <cell r="F41"/>
          <cell r="H41"/>
        </row>
        <row r="42">
          <cell r="D42">
            <v>938</v>
          </cell>
          <cell r="F42"/>
          <cell r="H42"/>
        </row>
        <row r="43">
          <cell r="D43">
            <v>2956</v>
          </cell>
          <cell r="F43"/>
          <cell r="H43"/>
        </row>
        <row r="44">
          <cell r="D44">
            <v>212</v>
          </cell>
          <cell r="F44"/>
          <cell r="H44"/>
        </row>
        <row r="45">
          <cell r="D45">
            <v>1408</v>
          </cell>
          <cell r="F45">
            <v>-4460</v>
          </cell>
          <cell r="H45"/>
        </row>
        <row r="57">
          <cell r="D57"/>
          <cell r="F57"/>
          <cell r="H57"/>
        </row>
        <row r="58">
          <cell r="D58"/>
          <cell r="F58"/>
          <cell r="H58"/>
        </row>
        <row r="59">
          <cell r="D59"/>
          <cell r="F59"/>
          <cell r="H59"/>
        </row>
        <row r="60">
          <cell r="D60">
            <v>23013</v>
          </cell>
          <cell r="F60"/>
          <cell r="H60"/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612</v>
          </cell>
          <cell r="F65"/>
          <cell r="H65"/>
        </row>
        <row r="66">
          <cell r="D66">
            <v>11825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19936</v>
          </cell>
          <cell r="F75"/>
          <cell r="H75"/>
        </row>
        <row r="76">
          <cell r="D76"/>
          <cell r="F76">
            <v>2215</v>
          </cell>
          <cell r="H76"/>
        </row>
        <row r="77">
          <cell r="D77">
            <v>1285</v>
          </cell>
          <cell r="F77"/>
          <cell r="H77"/>
        </row>
        <row r="78">
          <cell r="D78"/>
          <cell r="F78"/>
          <cell r="H78"/>
        </row>
        <row r="79">
          <cell r="D79">
            <v>6793</v>
          </cell>
          <cell r="F79"/>
          <cell r="H79"/>
        </row>
        <row r="80">
          <cell r="D80">
            <v>6220</v>
          </cell>
          <cell r="F80"/>
          <cell r="H80"/>
        </row>
        <row r="81">
          <cell r="D81">
            <v>3870</v>
          </cell>
          <cell r="F81"/>
          <cell r="H81"/>
        </row>
        <row r="82">
          <cell r="D82">
            <v>-308</v>
          </cell>
          <cell r="F82"/>
          <cell r="H82"/>
        </row>
        <row r="83">
          <cell r="D83">
            <v>2903</v>
          </cell>
          <cell r="F83"/>
          <cell r="H83"/>
        </row>
        <row r="84">
          <cell r="D84">
            <v>21822</v>
          </cell>
          <cell r="F84"/>
          <cell r="H84"/>
        </row>
        <row r="85">
          <cell r="D85"/>
          <cell r="F85"/>
          <cell r="H85"/>
        </row>
        <row r="89">
          <cell r="D89">
            <v>82125</v>
          </cell>
          <cell r="F89"/>
          <cell r="H89"/>
        </row>
        <row r="90">
          <cell r="D90"/>
          <cell r="F90">
            <v>8997</v>
          </cell>
          <cell r="H90"/>
        </row>
        <row r="91">
          <cell r="D91">
            <v>4880</v>
          </cell>
          <cell r="F91"/>
          <cell r="H91"/>
        </row>
        <row r="92">
          <cell r="D92">
            <v>30687</v>
          </cell>
          <cell r="F92">
            <v>-874</v>
          </cell>
          <cell r="H92"/>
        </row>
        <row r="93">
          <cell r="D93">
            <v>9640</v>
          </cell>
          <cell r="F93"/>
          <cell r="H93"/>
        </row>
        <row r="94">
          <cell r="D94">
            <v>840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1951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17057</v>
          </cell>
          <cell r="F115"/>
          <cell r="H115"/>
        </row>
        <row r="116">
          <cell r="D116"/>
          <cell r="F116">
            <v>1895</v>
          </cell>
          <cell r="H116"/>
        </row>
        <row r="117">
          <cell r="D117">
            <v>4538</v>
          </cell>
          <cell r="F117"/>
          <cell r="H117"/>
        </row>
        <row r="118">
          <cell r="D118"/>
          <cell r="F118"/>
          <cell r="H118"/>
        </row>
        <row r="119">
          <cell r="D119">
            <v>532</v>
          </cell>
          <cell r="F119"/>
          <cell r="H119"/>
        </row>
        <row r="124">
          <cell r="D124"/>
          <cell r="F124"/>
          <cell r="H124"/>
        </row>
        <row r="125">
          <cell r="D125">
            <v>45500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75604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5055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8399</v>
          </cell>
          <cell r="H134"/>
        </row>
        <row r="136">
          <cell r="D136">
            <v>57114</v>
          </cell>
          <cell r="F136"/>
          <cell r="H136"/>
        </row>
        <row r="137">
          <cell r="D137">
            <v>88015</v>
          </cell>
          <cell r="F137"/>
          <cell r="H137"/>
        </row>
        <row r="138">
          <cell r="D138">
            <v>146270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6345</v>
          </cell>
          <cell r="H141"/>
        </row>
        <row r="142">
          <cell r="D142"/>
          <cell r="F142">
            <v>9778</v>
          </cell>
          <cell r="H142"/>
        </row>
        <row r="143">
          <cell r="D143"/>
          <cell r="F143">
            <v>16250</v>
          </cell>
          <cell r="H143"/>
        </row>
        <row r="144">
          <cell r="D144"/>
          <cell r="F144"/>
          <cell r="H144"/>
        </row>
        <row r="146">
          <cell r="D146">
            <v>14000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2500</v>
          </cell>
          <cell r="F150"/>
          <cell r="H150"/>
        </row>
        <row r="151">
          <cell r="D151">
            <v>29639</v>
          </cell>
          <cell r="F151"/>
          <cell r="H151"/>
        </row>
        <row r="152">
          <cell r="D152">
            <v>577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80444</v>
          </cell>
          <cell r="F177"/>
          <cell r="H177"/>
        </row>
        <row r="178">
          <cell r="D178"/>
          <cell r="F178">
            <v>8937</v>
          </cell>
          <cell r="H178"/>
        </row>
        <row r="179">
          <cell r="D179">
            <v>7867</v>
          </cell>
          <cell r="F179"/>
          <cell r="H179"/>
        </row>
        <row r="180">
          <cell r="D180"/>
          <cell r="F180">
            <v>874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4051</v>
          </cell>
          <cell r="F183"/>
          <cell r="H183"/>
        </row>
        <row r="184">
          <cell r="D184"/>
          <cell r="F184">
            <v>450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1067</v>
          </cell>
          <cell r="F188"/>
          <cell r="H188"/>
        </row>
        <row r="189">
          <cell r="D189">
            <v>102</v>
          </cell>
          <cell r="F189"/>
          <cell r="H189"/>
        </row>
        <row r="190">
          <cell r="D190"/>
          <cell r="F190"/>
          <cell r="H190"/>
        </row>
        <row r="191">
          <cell r="D191">
            <v>758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133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>
            <v>31558</v>
          </cell>
          <cell r="F197"/>
          <cell r="H197"/>
        </row>
        <row r="198">
          <cell r="D198">
            <v>8107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62072</v>
          </cell>
          <cell r="F205"/>
          <cell r="H205"/>
        </row>
        <row r="206">
          <cell r="D206">
            <v>2812</v>
          </cell>
          <cell r="F206"/>
          <cell r="H206"/>
        </row>
        <row r="207">
          <cell r="D207">
            <v>1100</v>
          </cell>
          <cell r="F207"/>
          <cell r="H207"/>
        </row>
        <row r="211">
          <cell r="D211">
            <v>38602</v>
          </cell>
          <cell r="F211"/>
          <cell r="H211"/>
        </row>
        <row r="212">
          <cell r="D212"/>
          <cell r="F212">
            <v>4288</v>
          </cell>
          <cell r="H212"/>
        </row>
        <row r="213">
          <cell r="D213">
            <v>4226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335</v>
          </cell>
          <cell r="F216"/>
          <cell r="H216"/>
        </row>
        <row r="221">
          <cell r="D221">
            <v>1245693</v>
          </cell>
        </row>
      </sheetData>
      <sheetData sheetId="8"/>
      <sheetData sheetId="9"/>
      <sheetData sheetId="10">
        <row r="9">
          <cell r="C9">
            <v>1957</v>
          </cell>
          <cell r="D9"/>
          <cell r="E9">
            <v>1088</v>
          </cell>
          <cell r="F9"/>
          <cell r="G9"/>
          <cell r="H9">
            <v>207</v>
          </cell>
          <cell r="I9"/>
          <cell r="J9">
            <v>93</v>
          </cell>
          <cell r="K9"/>
        </row>
        <row r="22">
          <cell r="N22">
            <v>50</v>
          </cell>
        </row>
        <row r="24">
          <cell r="N24">
            <v>44</v>
          </cell>
        </row>
        <row r="28">
          <cell r="N28">
            <v>8150</v>
          </cell>
        </row>
        <row r="30">
          <cell r="N30">
            <v>0.41042944785276075</v>
          </cell>
        </row>
        <row r="32">
          <cell r="N32">
            <v>0.24012269938650307</v>
          </cell>
        </row>
        <row r="34">
          <cell r="N34">
            <v>0.58505231689088188</v>
          </cell>
        </row>
      </sheetData>
      <sheetData sheetId="11"/>
      <sheetData sheetId="1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43080</v>
          </cell>
          <cell r="G39">
            <v>43281</v>
          </cell>
        </row>
      </sheetData>
      <sheetData sheetId="3"/>
      <sheetData sheetId="4"/>
      <sheetData sheetId="5">
        <row r="10">
          <cell r="E10">
            <v>506405</v>
          </cell>
          <cell r="G10">
            <v>0</v>
          </cell>
        </row>
        <row r="12">
          <cell r="E12">
            <v>159477</v>
          </cell>
          <cell r="G12"/>
        </row>
        <row r="13">
          <cell r="E13">
            <v>-890</v>
          </cell>
          <cell r="G13"/>
        </row>
        <row r="14">
          <cell r="E14">
            <v>30106</v>
          </cell>
          <cell r="G14"/>
        </row>
        <row r="15">
          <cell r="E15">
            <v>695098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969233</v>
          </cell>
          <cell r="G26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83363</v>
          </cell>
          <cell r="G42">
            <v>-22200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22200</v>
          </cell>
        </row>
        <row r="57">
          <cell r="E57">
            <v>0</v>
          </cell>
          <cell r="G57">
            <v>0</v>
          </cell>
        </row>
        <row r="72">
          <cell r="E72">
            <v>-6503</v>
          </cell>
          <cell r="G72">
            <v>0</v>
          </cell>
        </row>
        <row r="90">
          <cell r="E90">
            <v>153.29072681704261</v>
          </cell>
          <cell r="G90">
            <v>153.29072681704261</v>
          </cell>
          <cell r="I90">
            <v>153.29072681704261</v>
          </cell>
        </row>
      </sheetData>
      <sheetData sheetId="6"/>
      <sheetData sheetId="7">
        <row r="10">
          <cell r="D10">
            <v>35827</v>
          </cell>
          <cell r="F10"/>
          <cell r="H10"/>
        </row>
        <row r="11">
          <cell r="D11"/>
          <cell r="F11"/>
          <cell r="H11"/>
        </row>
        <row r="12">
          <cell r="D12">
            <v>44033</v>
          </cell>
          <cell r="F12"/>
          <cell r="H12"/>
        </row>
        <row r="13">
          <cell r="D13">
            <v>123000</v>
          </cell>
          <cell r="F13">
            <v>-111073</v>
          </cell>
          <cell r="H13"/>
        </row>
        <row r="14">
          <cell r="D14"/>
          <cell r="F14"/>
          <cell r="H14"/>
        </row>
        <row r="15">
          <cell r="D15">
            <v>27308</v>
          </cell>
          <cell r="F15"/>
          <cell r="H15">
            <v>-326</v>
          </cell>
        </row>
        <row r="16">
          <cell r="D16"/>
          <cell r="F16"/>
          <cell r="H16"/>
        </row>
        <row r="17">
          <cell r="D17"/>
          <cell r="F17"/>
          <cell r="H17"/>
        </row>
        <row r="18">
          <cell r="D18">
            <v>3157</v>
          </cell>
          <cell r="F18"/>
          <cell r="H18"/>
        </row>
        <row r="19">
          <cell r="D19">
            <v>10207</v>
          </cell>
          <cell r="F19"/>
          <cell r="H19"/>
        </row>
        <row r="20">
          <cell r="D20">
            <v>3639</v>
          </cell>
          <cell r="F20"/>
          <cell r="H20"/>
        </row>
        <row r="21">
          <cell r="D21">
            <v>5454</v>
          </cell>
          <cell r="F21"/>
          <cell r="H21"/>
        </row>
        <row r="22">
          <cell r="D22"/>
          <cell r="F22"/>
          <cell r="H22"/>
        </row>
        <row r="23">
          <cell r="D23">
            <v>2554</v>
          </cell>
          <cell r="F23"/>
          <cell r="H23"/>
        </row>
        <row r="24">
          <cell r="D24">
            <v>23744</v>
          </cell>
          <cell r="F24"/>
          <cell r="H24"/>
        </row>
        <row r="25">
          <cell r="D25"/>
          <cell r="F25"/>
          <cell r="H25"/>
        </row>
        <row r="26">
          <cell r="D26">
            <v>84654</v>
          </cell>
          <cell r="F26"/>
          <cell r="H26"/>
        </row>
        <row r="27">
          <cell r="D27">
            <v>42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-5152</v>
          </cell>
          <cell r="F29">
            <v>5152</v>
          </cell>
          <cell r="H29"/>
        </row>
        <row r="30">
          <cell r="D30"/>
          <cell r="F30">
            <v>0</v>
          </cell>
          <cell r="H30"/>
        </row>
        <row r="31">
          <cell r="D31">
            <v>9104</v>
          </cell>
          <cell r="F31"/>
          <cell r="H31"/>
        </row>
        <row r="32">
          <cell r="D32">
            <v>17194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295</v>
          </cell>
          <cell r="F39"/>
          <cell r="H39"/>
        </row>
        <row r="40">
          <cell r="D40">
            <v>4182</v>
          </cell>
          <cell r="F40">
            <v>-2875</v>
          </cell>
          <cell r="H40"/>
        </row>
        <row r="41">
          <cell r="D41"/>
          <cell r="F41"/>
          <cell r="H41"/>
        </row>
        <row r="42">
          <cell r="D42">
            <v>1265</v>
          </cell>
          <cell r="F42"/>
          <cell r="H42"/>
        </row>
        <row r="43">
          <cell r="D43">
            <v>3338</v>
          </cell>
          <cell r="F43"/>
          <cell r="H43"/>
        </row>
        <row r="44">
          <cell r="D44">
            <v>271</v>
          </cell>
          <cell r="F44"/>
          <cell r="H44"/>
        </row>
        <row r="45">
          <cell r="D45">
            <v>5867</v>
          </cell>
          <cell r="F45">
            <v>-2973</v>
          </cell>
          <cell r="H45"/>
        </row>
        <row r="57">
          <cell r="D57"/>
          <cell r="F57"/>
          <cell r="H57"/>
        </row>
        <row r="58">
          <cell r="D58">
            <v>125678</v>
          </cell>
          <cell r="F58"/>
          <cell r="H58"/>
        </row>
        <row r="59">
          <cell r="D59">
            <v>29852</v>
          </cell>
          <cell r="F59"/>
          <cell r="H59"/>
        </row>
        <row r="60">
          <cell r="D60">
            <v>12553</v>
          </cell>
          <cell r="F60"/>
          <cell r="H60"/>
        </row>
        <row r="61">
          <cell r="D61">
            <v>1262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2024</v>
          </cell>
          <cell r="F65"/>
          <cell r="H65"/>
        </row>
        <row r="66">
          <cell r="D66">
            <v>15892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2890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19005</v>
          </cell>
          <cell r="F75"/>
          <cell r="H75"/>
        </row>
        <row r="76">
          <cell r="D76"/>
          <cell r="F76">
            <v>2838</v>
          </cell>
          <cell r="H76"/>
        </row>
        <row r="77">
          <cell r="D77">
            <v>3061</v>
          </cell>
          <cell r="F77"/>
          <cell r="H77"/>
        </row>
        <row r="78">
          <cell r="D78">
            <v>80</v>
          </cell>
          <cell r="F78"/>
          <cell r="H78"/>
        </row>
        <row r="79">
          <cell r="D79">
            <v>32809</v>
          </cell>
          <cell r="F79"/>
          <cell r="H79"/>
        </row>
        <row r="80">
          <cell r="D80">
            <v>8950</v>
          </cell>
          <cell r="F80"/>
          <cell r="H80"/>
        </row>
        <row r="81">
          <cell r="D81">
            <v>3540</v>
          </cell>
          <cell r="F81"/>
          <cell r="H81"/>
        </row>
        <row r="82">
          <cell r="D82">
            <v>90</v>
          </cell>
          <cell r="F82"/>
          <cell r="H82"/>
        </row>
        <row r="83">
          <cell r="D83">
            <v>3437</v>
          </cell>
          <cell r="F83"/>
          <cell r="H83"/>
        </row>
        <row r="84">
          <cell r="D84">
            <v>28773</v>
          </cell>
          <cell r="F84"/>
          <cell r="H84"/>
        </row>
        <row r="85">
          <cell r="D85"/>
          <cell r="F85"/>
          <cell r="H85"/>
        </row>
        <row r="89">
          <cell r="D89">
            <v>80986</v>
          </cell>
          <cell r="F89"/>
          <cell r="H89"/>
        </row>
        <row r="90">
          <cell r="D90"/>
          <cell r="F90">
            <v>12095</v>
          </cell>
          <cell r="H90"/>
        </row>
        <row r="91">
          <cell r="D91">
            <v>2938</v>
          </cell>
          <cell r="F91"/>
          <cell r="H91"/>
        </row>
        <row r="92">
          <cell r="D92">
            <v>43589</v>
          </cell>
          <cell r="F92">
            <v>-2207</v>
          </cell>
          <cell r="H92"/>
        </row>
        <row r="93">
          <cell r="D93">
            <v>9714</v>
          </cell>
          <cell r="F93"/>
          <cell r="H93"/>
        </row>
        <row r="94">
          <cell r="D94">
            <v>1020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12983</v>
          </cell>
          <cell r="F100"/>
          <cell r="H100"/>
        </row>
        <row r="101">
          <cell r="D101"/>
          <cell r="F101"/>
          <cell r="H101"/>
        </row>
        <row r="102">
          <cell r="D102">
            <v>1733</v>
          </cell>
          <cell r="F102"/>
          <cell r="H102"/>
        </row>
        <row r="103">
          <cell r="D103"/>
          <cell r="F103"/>
          <cell r="H103"/>
        </row>
        <row r="115">
          <cell r="D115">
            <v>22515</v>
          </cell>
          <cell r="F115"/>
          <cell r="H115"/>
        </row>
        <row r="116">
          <cell r="D116"/>
          <cell r="F116">
            <v>3362</v>
          </cell>
          <cell r="H116"/>
        </row>
        <row r="117">
          <cell r="D117">
            <v>5328</v>
          </cell>
          <cell r="F117"/>
          <cell r="H117"/>
        </row>
        <row r="118">
          <cell r="D118"/>
          <cell r="F118"/>
          <cell r="H118"/>
        </row>
        <row r="119">
          <cell r="D119">
            <v>7227</v>
          </cell>
          <cell r="F119"/>
          <cell r="H119"/>
        </row>
        <row r="124">
          <cell r="D124"/>
          <cell r="F124"/>
          <cell r="H124"/>
        </row>
        <row r="125">
          <cell r="D125">
            <v>41962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68732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6267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10265</v>
          </cell>
          <cell r="H134"/>
        </row>
        <row r="136">
          <cell r="D136">
            <v>73831</v>
          </cell>
          <cell r="F136"/>
          <cell r="H136"/>
        </row>
        <row r="137">
          <cell r="D137">
            <v>112903</v>
          </cell>
          <cell r="F137"/>
          <cell r="H137"/>
        </row>
        <row r="138">
          <cell r="D138">
            <v>167603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11026</v>
          </cell>
          <cell r="H141"/>
        </row>
        <row r="142">
          <cell r="D142"/>
          <cell r="F142">
            <v>16862</v>
          </cell>
          <cell r="H142"/>
        </row>
        <row r="143">
          <cell r="D143"/>
          <cell r="F143">
            <v>25031</v>
          </cell>
          <cell r="H143"/>
        </row>
        <row r="144">
          <cell r="D144"/>
          <cell r="F144"/>
          <cell r="H144"/>
        </row>
        <row r="146">
          <cell r="D146">
            <v>10000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2500</v>
          </cell>
          <cell r="F150"/>
          <cell r="H150"/>
        </row>
        <row r="151">
          <cell r="D151">
            <v>40686</v>
          </cell>
          <cell r="F151"/>
          <cell r="H151"/>
        </row>
        <row r="152">
          <cell r="D152">
            <v>327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107087</v>
          </cell>
          <cell r="F177"/>
          <cell r="H177"/>
        </row>
        <row r="178">
          <cell r="D178"/>
          <cell r="F178">
            <v>15993</v>
          </cell>
          <cell r="H178"/>
        </row>
        <row r="179">
          <cell r="D179">
            <v>4868</v>
          </cell>
          <cell r="F179"/>
          <cell r="H179"/>
        </row>
        <row r="180">
          <cell r="D180"/>
          <cell r="F180">
            <v>727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9355</v>
          </cell>
          <cell r="F183"/>
          <cell r="H183"/>
        </row>
        <row r="184">
          <cell r="D184"/>
          <cell r="F184">
            <v>1397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3424</v>
          </cell>
          <cell r="F188"/>
          <cell r="H188"/>
        </row>
        <row r="189">
          <cell r="D189">
            <v>102</v>
          </cell>
          <cell r="F189"/>
          <cell r="H189"/>
        </row>
        <row r="190">
          <cell r="D190"/>
          <cell r="F190"/>
          <cell r="H190"/>
        </row>
        <row r="191">
          <cell r="D191">
            <v>155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>
            <v>31489</v>
          </cell>
          <cell r="F197"/>
          <cell r="H197"/>
        </row>
        <row r="198">
          <cell r="D198">
            <v>24975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92911</v>
          </cell>
          <cell r="F205"/>
          <cell r="H205"/>
        </row>
        <row r="206">
          <cell r="D206">
            <v>9407</v>
          </cell>
          <cell r="F206"/>
          <cell r="H206"/>
        </row>
        <row r="207">
          <cell r="D207"/>
          <cell r="F207"/>
          <cell r="H207"/>
        </row>
        <row r="211">
          <cell r="D211">
            <v>34889</v>
          </cell>
          <cell r="F211"/>
          <cell r="H211"/>
        </row>
        <row r="212">
          <cell r="D212"/>
          <cell r="F212">
            <v>5210</v>
          </cell>
          <cell r="H212"/>
        </row>
        <row r="213">
          <cell r="D213">
            <v>8177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918</v>
          </cell>
          <cell r="F216"/>
          <cell r="H216"/>
        </row>
        <row r="221">
          <cell r="D221">
            <v>1724213</v>
          </cell>
        </row>
      </sheetData>
      <sheetData sheetId="8"/>
      <sheetData sheetId="9"/>
      <sheetData sheetId="10">
        <row r="9">
          <cell r="C9">
            <v>3370</v>
          </cell>
          <cell r="D9"/>
          <cell r="E9">
            <v>2112</v>
          </cell>
          <cell r="F9"/>
          <cell r="G9"/>
          <cell r="H9">
            <v>399</v>
          </cell>
          <cell r="I9"/>
          <cell r="J9">
            <v>111</v>
          </cell>
          <cell r="K9"/>
        </row>
        <row r="22">
          <cell r="N22">
            <v>50</v>
          </cell>
        </row>
        <row r="24">
          <cell r="N24">
            <v>44</v>
          </cell>
        </row>
        <row r="28">
          <cell r="N28">
            <v>10100</v>
          </cell>
        </row>
        <row r="30">
          <cell r="N30">
            <v>0.59326732673267324</v>
          </cell>
        </row>
        <row r="32">
          <cell r="N32">
            <v>0.33366336633663368</v>
          </cell>
        </row>
        <row r="34">
          <cell r="N34">
            <v>0.5624165554072097</v>
          </cell>
        </row>
      </sheetData>
      <sheetData sheetId="11"/>
      <sheetData sheetId="1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43079</v>
          </cell>
        </row>
      </sheetData>
      <sheetData sheetId="3"/>
      <sheetData sheetId="4"/>
      <sheetData sheetId="5">
        <row r="10">
          <cell r="E10">
            <v>94094</v>
          </cell>
          <cell r="G10">
            <v>0</v>
          </cell>
        </row>
        <row r="12">
          <cell r="E12">
            <v>3840</v>
          </cell>
          <cell r="G12"/>
        </row>
        <row r="13">
          <cell r="E13">
            <v>12688</v>
          </cell>
          <cell r="G13"/>
        </row>
        <row r="14">
          <cell r="E14"/>
          <cell r="G14"/>
        </row>
        <row r="15">
          <cell r="E15">
            <v>110622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2113400</v>
          </cell>
          <cell r="G26">
            <v>0</v>
          </cell>
        </row>
        <row r="32">
          <cell r="E32">
            <v>649080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224561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42002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1354</v>
          </cell>
          <cell r="G72">
            <v>0</v>
          </cell>
        </row>
        <row r="90">
          <cell r="C90">
            <v>354.75671406003158</v>
          </cell>
          <cell r="E90">
            <v>354.75671406003158</v>
          </cell>
        </row>
      </sheetData>
      <sheetData sheetId="6"/>
      <sheetData sheetId="7">
        <row r="10">
          <cell r="D10">
            <v>38906</v>
          </cell>
          <cell r="F10"/>
          <cell r="H10"/>
        </row>
        <row r="11">
          <cell r="D11"/>
          <cell r="F11"/>
          <cell r="H11"/>
        </row>
        <row r="12">
          <cell r="D12">
            <v>102791</v>
          </cell>
          <cell r="F12"/>
          <cell r="H12"/>
        </row>
        <row r="13">
          <cell r="D13">
            <v>239426</v>
          </cell>
          <cell r="F13">
            <v>-219705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112005</v>
          </cell>
          <cell r="F16"/>
          <cell r="H16">
            <v>-36728</v>
          </cell>
        </row>
        <row r="17">
          <cell r="D17"/>
          <cell r="F17"/>
          <cell r="H17"/>
        </row>
        <row r="18">
          <cell r="D18">
            <v>5899</v>
          </cell>
          <cell r="F18"/>
          <cell r="H18"/>
        </row>
        <row r="19">
          <cell r="D19">
            <v>23319</v>
          </cell>
          <cell r="F19"/>
          <cell r="H19"/>
        </row>
        <row r="20">
          <cell r="D20">
            <v>7613</v>
          </cell>
          <cell r="F20"/>
          <cell r="H20"/>
        </row>
        <row r="21">
          <cell r="D21">
            <v>6192</v>
          </cell>
          <cell r="F21"/>
          <cell r="H21"/>
        </row>
        <row r="22">
          <cell r="D22"/>
          <cell r="F22"/>
          <cell r="H22"/>
        </row>
        <row r="23">
          <cell r="D23">
            <v>674</v>
          </cell>
          <cell r="F23"/>
          <cell r="H23"/>
        </row>
        <row r="24">
          <cell r="D24">
            <v>19052</v>
          </cell>
          <cell r="F24"/>
          <cell r="H24"/>
        </row>
        <row r="25">
          <cell r="D25"/>
          <cell r="F25"/>
          <cell r="H25"/>
        </row>
        <row r="26">
          <cell r="D26">
            <v>32204</v>
          </cell>
          <cell r="F26"/>
          <cell r="H26"/>
        </row>
        <row r="27">
          <cell r="D27">
            <v>104</v>
          </cell>
          <cell r="F27">
            <v>-18</v>
          </cell>
          <cell r="H27"/>
        </row>
        <row r="28">
          <cell r="D28"/>
          <cell r="F28">
            <v>0</v>
          </cell>
          <cell r="H28"/>
        </row>
        <row r="29">
          <cell r="D29">
            <v>-34694</v>
          </cell>
          <cell r="F29">
            <v>34694</v>
          </cell>
          <cell r="H29"/>
        </row>
        <row r="30">
          <cell r="D30"/>
          <cell r="F30">
            <v>0</v>
          </cell>
          <cell r="H30"/>
        </row>
        <row r="31">
          <cell r="D31">
            <v>21828</v>
          </cell>
          <cell r="F31"/>
          <cell r="H31"/>
        </row>
        <row r="32">
          <cell r="D32"/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32056</v>
          </cell>
          <cell r="F36"/>
          <cell r="H36"/>
        </row>
        <row r="37">
          <cell r="D37"/>
          <cell r="F37">
            <v>4461</v>
          </cell>
          <cell r="H37"/>
        </row>
        <row r="38">
          <cell r="D38"/>
          <cell r="F38"/>
          <cell r="H38"/>
        </row>
        <row r="39">
          <cell r="D39">
            <v>3495</v>
          </cell>
          <cell r="F39"/>
          <cell r="H39"/>
        </row>
        <row r="40">
          <cell r="D40">
            <v>5554</v>
          </cell>
          <cell r="F40">
            <v>-4537</v>
          </cell>
          <cell r="H40"/>
        </row>
        <row r="41">
          <cell r="D41"/>
          <cell r="F41"/>
          <cell r="H41"/>
        </row>
        <row r="42">
          <cell r="D42">
            <v>1094</v>
          </cell>
          <cell r="F42"/>
          <cell r="H42"/>
        </row>
        <row r="43">
          <cell r="D43">
            <v>5656</v>
          </cell>
          <cell r="F43">
            <v>-5656</v>
          </cell>
          <cell r="H43"/>
        </row>
        <row r="44">
          <cell r="D44"/>
          <cell r="F44"/>
          <cell r="H44"/>
        </row>
        <row r="45">
          <cell r="D45">
            <v>11040</v>
          </cell>
          <cell r="F45"/>
          <cell r="H45"/>
        </row>
        <row r="57">
          <cell r="D57"/>
          <cell r="F57"/>
          <cell r="H57"/>
        </row>
        <row r="58">
          <cell r="D58">
            <v>186322</v>
          </cell>
          <cell r="F58"/>
          <cell r="H58"/>
        </row>
        <row r="59">
          <cell r="D59">
            <v>166721</v>
          </cell>
          <cell r="F59"/>
          <cell r="H59"/>
        </row>
        <row r="60">
          <cell r="D60">
            <v>33954</v>
          </cell>
          <cell r="F60"/>
          <cell r="H60"/>
        </row>
        <row r="61">
          <cell r="D61">
            <v>7759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734</v>
          </cell>
          <cell r="F65"/>
          <cell r="H65"/>
        </row>
        <row r="66">
          <cell r="D66">
            <v>17819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18787</v>
          </cell>
          <cell r="F75"/>
          <cell r="H75"/>
        </row>
        <row r="76">
          <cell r="D76"/>
          <cell r="F76">
            <v>2615</v>
          </cell>
          <cell r="H76"/>
        </row>
        <row r="77">
          <cell r="D77">
            <v>3109</v>
          </cell>
          <cell r="F77"/>
          <cell r="H77"/>
        </row>
        <row r="78">
          <cell r="D78"/>
          <cell r="F78"/>
          <cell r="H78"/>
        </row>
        <row r="79">
          <cell r="D79">
            <v>40544</v>
          </cell>
          <cell r="F79"/>
          <cell r="H79"/>
        </row>
        <row r="80">
          <cell r="D80">
            <v>12510</v>
          </cell>
          <cell r="F80"/>
          <cell r="H80"/>
        </row>
        <row r="81">
          <cell r="D81">
            <v>3985</v>
          </cell>
          <cell r="F81"/>
          <cell r="H81"/>
        </row>
        <row r="82">
          <cell r="D82">
            <v>621</v>
          </cell>
          <cell r="F82"/>
          <cell r="H82"/>
        </row>
        <row r="83">
          <cell r="D83">
            <v>3421</v>
          </cell>
          <cell r="F83"/>
          <cell r="H83"/>
        </row>
        <row r="84">
          <cell r="D84">
            <v>42029</v>
          </cell>
          <cell r="F84"/>
          <cell r="H84"/>
        </row>
        <row r="85">
          <cell r="D85"/>
          <cell r="F85"/>
          <cell r="H85"/>
        </row>
        <row r="89">
          <cell r="D89">
            <v>127503</v>
          </cell>
          <cell r="F89"/>
          <cell r="H89"/>
        </row>
        <row r="90">
          <cell r="D90"/>
          <cell r="F90">
            <v>17745</v>
          </cell>
          <cell r="H90"/>
        </row>
        <row r="91">
          <cell r="D91">
            <v>11449</v>
          </cell>
          <cell r="F91"/>
          <cell r="H91"/>
        </row>
        <row r="92">
          <cell r="D92">
            <v>57684</v>
          </cell>
          <cell r="F92">
            <v>-1336</v>
          </cell>
          <cell r="H92"/>
        </row>
        <row r="93">
          <cell r="D93">
            <v>5693</v>
          </cell>
          <cell r="F93"/>
          <cell r="H93"/>
        </row>
        <row r="94">
          <cell r="D94">
            <v>962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2085</v>
          </cell>
          <cell r="F100"/>
          <cell r="H100"/>
        </row>
        <row r="101">
          <cell r="D101"/>
          <cell r="F101"/>
          <cell r="H101"/>
        </row>
        <row r="102">
          <cell r="D102">
            <v>1413</v>
          </cell>
          <cell r="F102"/>
          <cell r="H102"/>
        </row>
        <row r="103">
          <cell r="D103"/>
          <cell r="F103"/>
          <cell r="H103"/>
        </row>
        <row r="115">
          <cell r="D115">
            <v>57044</v>
          </cell>
          <cell r="F115"/>
          <cell r="H115"/>
        </row>
        <row r="116">
          <cell r="D116"/>
          <cell r="F116">
            <v>7939</v>
          </cell>
          <cell r="H116"/>
        </row>
        <row r="117">
          <cell r="D117">
            <v>10724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54275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144590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7554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20123</v>
          </cell>
          <cell r="H134"/>
        </row>
        <row r="136">
          <cell r="D136">
            <v>162097</v>
          </cell>
          <cell r="F136"/>
          <cell r="H136"/>
        </row>
        <row r="137">
          <cell r="D137">
            <v>173449</v>
          </cell>
          <cell r="F137"/>
          <cell r="H137"/>
        </row>
        <row r="138">
          <cell r="D138">
            <v>286568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22559</v>
          </cell>
          <cell r="H141"/>
        </row>
        <row r="142">
          <cell r="D142"/>
          <cell r="F142">
            <v>24139</v>
          </cell>
          <cell r="H142"/>
        </row>
        <row r="143">
          <cell r="D143"/>
          <cell r="F143">
            <v>39883</v>
          </cell>
          <cell r="H143"/>
        </row>
        <row r="144">
          <cell r="D144"/>
          <cell r="F144"/>
          <cell r="H144"/>
        </row>
        <row r="146">
          <cell r="D146">
            <v>18000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4857</v>
          </cell>
          <cell r="F150"/>
          <cell r="H150"/>
        </row>
        <row r="151">
          <cell r="D151">
            <v>82247</v>
          </cell>
          <cell r="F151"/>
          <cell r="H151"/>
        </row>
        <row r="152">
          <cell r="D152">
            <v>1023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208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226528</v>
          </cell>
          <cell r="F177"/>
          <cell r="H177"/>
        </row>
        <row r="178">
          <cell r="D178"/>
          <cell r="F178">
            <v>31527</v>
          </cell>
          <cell r="H178"/>
        </row>
        <row r="179">
          <cell r="D179">
            <v>47388</v>
          </cell>
          <cell r="F179"/>
          <cell r="H179"/>
        </row>
        <row r="180">
          <cell r="D180"/>
          <cell r="F180">
            <v>6595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202015</v>
          </cell>
          <cell r="F183"/>
          <cell r="H183"/>
        </row>
        <row r="184">
          <cell r="D184"/>
          <cell r="F184">
            <v>28115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12596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102496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191010</v>
          </cell>
          <cell r="F205"/>
          <cell r="H205"/>
        </row>
        <row r="206">
          <cell r="D206">
            <v>10108</v>
          </cell>
          <cell r="F206"/>
          <cell r="H206"/>
        </row>
        <row r="207">
          <cell r="D207"/>
          <cell r="F207"/>
          <cell r="H207"/>
        </row>
        <row r="211">
          <cell r="D211">
            <v>46347</v>
          </cell>
          <cell r="F211"/>
          <cell r="H211"/>
        </row>
        <row r="212">
          <cell r="D212"/>
          <cell r="F212">
            <v>6450</v>
          </cell>
          <cell r="H212"/>
        </row>
        <row r="213">
          <cell r="D213">
            <v>4813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1465</v>
          </cell>
          <cell r="F216"/>
          <cell r="H216"/>
        </row>
        <row r="221">
          <cell r="D221">
            <v>3219166</v>
          </cell>
        </row>
      </sheetData>
      <sheetData sheetId="8"/>
      <sheetData sheetId="9"/>
      <sheetData sheetId="10">
        <row r="9">
          <cell r="C9">
            <v>451</v>
          </cell>
          <cell r="D9"/>
          <cell r="E9">
            <v>3756</v>
          </cell>
          <cell r="F9">
            <v>1641</v>
          </cell>
          <cell r="G9"/>
          <cell r="H9">
            <v>633</v>
          </cell>
          <cell r="I9"/>
          <cell r="J9">
            <v>180</v>
          </cell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8476</v>
          </cell>
        </row>
        <row r="30">
          <cell r="N30">
            <v>0.78586597451628126</v>
          </cell>
        </row>
        <row r="32">
          <cell r="N32">
            <v>5.3209060877772538E-2</v>
          </cell>
        </row>
        <row r="34">
          <cell r="N34">
            <v>6.7707551418705908E-2</v>
          </cell>
        </row>
      </sheetData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43080</v>
          </cell>
          <cell r="G39">
            <v>43281</v>
          </cell>
        </row>
      </sheetData>
      <sheetData sheetId="3"/>
      <sheetData sheetId="4"/>
      <sheetData sheetId="5">
        <row r="10">
          <cell r="E10">
            <v>136640</v>
          </cell>
          <cell r="G10">
            <v>0</v>
          </cell>
        </row>
        <row r="12">
          <cell r="E12">
            <v>25304</v>
          </cell>
          <cell r="G12"/>
        </row>
        <row r="13">
          <cell r="E13">
            <v>8303</v>
          </cell>
          <cell r="G13"/>
        </row>
        <row r="14">
          <cell r="E14">
            <v>32454</v>
          </cell>
          <cell r="G14"/>
        </row>
        <row r="15">
          <cell r="E15">
            <v>202701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2142066</v>
          </cell>
          <cell r="G26">
            <v>0</v>
          </cell>
        </row>
        <row r="32">
          <cell r="E32">
            <v>700846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187209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53857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-7676</v>
          </cell>
          <cell r="G72">
            <v>0</v>
          </cell>
        </row>
        <row r="90">
          <cell r="C90" t="str">
            <v/>
          </cell>
          <cell r="E90">
            <v>394.12421052631572</v>
          </cell>
          <cell r="G90">
            <v>394.12421052631584</v>
          </cell>
          <cell r="I90">
            <v>394.12421052631578</v>
          </cell>
        </row>
      </sheetData>
      <sheetData sheetId="6"/>
      <sheetData sheetId="7">
        <row r="10">
          <cell r="D10">
            <v>57500</v>
          </cell>
          <cell r="F10"/>
          <cell r="H10"/>
        </row>
        <row r="11">
          <cell r="D11"/>
          <cell r="F11"/>
          <cell r="H11"/>
        </row>
        <row r="12">
          <cell r="D12">
            <v>102814</v>
          </cell>
          <cell r="F12"/>
          <cell r="H12"/>
        </row>
        <row r="13">
          <cell r="D13">
            <v>264967</v>
          </cell>
          <cell r="F13">
            <v>-240496</v>
          </cell>
          <cell r="H13"/>
        </row>
        <row r="14">
          <cell r="D14"/>
          <cell r="F14"/>
          <cell r="H14"/>
        </row>
        <row r="15">
          <cell r="D15">
            <v>192000</v>
          </cell>
          <cell r="F15"/>
          <cell r="H15"/>
        </row>
        <row r="16">
          <cell r="D16"/>
          <cell r="F16"/>
          <cell r="H16">
            <v>-116723</v>
          </cell>
        </row>
        <row r="17">
          <cell r="D17"/>
          <cell r="F17"/>
          <cell r="H17"/>
        </row>
        <row r="18">
          <cell r="D18">
            <v>7154</v>
          </cell>
          <cell r="F18"/>
          <cell r="H18"/>
        </row>
        <row r="19">
          <cell r="D19">
            <v>12254</v>
          </cell>
          <cell r="F19"/>
          <cell r="H19"/>
        </row>
        <row r="20">
          <cell r="D20">
            <v>9673</v>
          </cell>
          <cell r="F20"/>
          <cell r="H20"/>
        </row>
        <row r="21">
          <cell r="D21">
            <v>8217</v>
          </cell>
          <cell r="F21"/>
          <cell r="H21"/>
        </row>
        <row r="22">
          <cell r="D22"/>
          <cell r="F22"/>
          <cell r="H22"/>
        </row>
        <row r="23">
          <cell r="D23">
            <v>1261</v>
          </cell>
          <cell r="F23"/>
          <cell r="H23"/>
        </row>
        <row r="24">
          <cell r="D24">
            <v>33304</v>
          </cell>
          <cell r="F24"/>
          <cell r="H24"/>
        </row>
        <row r="25">
          <cell r="D25"/>
          <cell r="F25"/>
          <cell r="H25"/>
        </row>
        <row r="26">
          <cell r="D26">
            <v>33274</v>
          </cell>
          <cell r="F26"/>
          <cell r="H26"/>
        </row>
        <row r="27">
          <cell r="D27">
            <v>98</v>
          </cell>
          <cell r="F27">
            <v>-3</v>
          </cell>
          <cell r="H27"/>
        </row>
        <row r="28">
          <cell r="D28"/>
          <cell r="F28">
            <v>0</v>
          </cell>
          <cell r="H28"/>
        </row>
        <row r="29">
          <cell r="D29">
            <v>-45187</v>
          </cell>
          <cell r="F29">
            <v>45187</v>
          </cell>
          <cell r="H29"/>
        </row>
        <row r="30">
          <cell r="D30"/>
          <cell r="F30">
            <v>0</v>
          </cell>
          <cell r="H30"/>
        </row>
        <row r="31">
          <cell r="D31">
            <v>22117</v>
          </cell>
          <cell r="F31"/>
          <cell r="H31"/>
        </row>
        <row r="32">
          <cell r="D32">
            <v>250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40791</v>
          </cell>
          <cell r="F36"/>
          <cell r="H36"/>
        </row>
        <row r="37">
          <cell r="D37"/>
          <cell r="F37">
            <v>6227</v>
          </cell>
          <cell r="H37"/>
        </row>
        <row r="38">
          <cell r="D38"/>
          <cell r="F38"/>
          <cell r="H38"/>
        </row>
        <row r="39">
          <cell r="D39">
            <v>2990</v>
          </cell>
          <cell r="F39"/>
          <cell r="H39"/>
        </row>
        <row r="40">
          <cell r="D40">
            <v>5778</v>
          </cell>
          <cell r="F40">
            <v>-5546</v>
          </cell>
          <cell r="H40"/>
        </row>
        <row r="41">
          <cell r="D41"/>
          <cell r="F41"/>
          <cell r="H41"/>
        </row>
        <row r="42">
          <cell r="D42">
            <v>896</v>
          </cell>
          <cell r="F42"/>
          <cell r="H42"/>
        </row>
        <row r="43">
          <cell r="D43">
            <v>6923</v>
          </cell>
          <cell r="F43">
            <v>-6923</v>
          </cell>
          <cell r="H43"/>
        </row>
        <row r="44">
          <cell r="D44"/>
          <cell r="F44"/>
          <cell r="H44"/>
        </row>
        <row r="45">
          <cell r="D45">
            <v>13276</v>
          </cell>
          <cell r="F45">
            <v>-100</v>
          </cell>
          <cell r="H45"/>
        </row>
        <row r="57">
          <cell r="D57"/>
          <cell r="F57"/>
          <cell r="H57"/>
        </row>
        <row r="58">
          <cell r="D58">
            <v>186322</v>
          </cell>
          <cell r="F58"/>
          <cell r="H58"/>
        </row>
        <row r="59">
          <cell r="D59">
            <v>164708</v>
          </cell>
          <cell r="F59"/>
          <cell r="H59"/>
        </row>
        <row r="60">
          <cell r="D60">
            <v>40282</v>
          </cell>
          <cell r="F60"/>
          <cell r="H60"/>
        </row>
        <row r="61">
          <cell r="D61">
            <v>23796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734</v>
          </cell>
          <cell r="F65"/>
          <cell r="H65"/>
        </row>
        <row r="66">
          <cell r="D66">
            <v>18315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1326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17060</v>
          </cell>
          <cell r="F75"/>
          <cell r="H75"/>
        </row>
        <row r="76">
          <cell r="D76"/>
          <cell r="F76">
            <v>2604</v>
          </cell>
          <cell r="H76"/>
        </row>
        <row r="77">
          <cell r="D77">
            <v>3306</v>
          </cell>
          <cell r="F77"/>
          <cell r="H77"/>
        </row>
        <row r="78">
          <cell r="D78"/>
          <cell r="F78"/>
          <cell r="H78"/>
        </row>
        <row r="79">
          <cell r="D79">
            <v>50042</v>
          </cell>
          <cell r="F79"/>
          <cell r="H79"/>
        </row>
        <row r="80">
          <cell r="D80">
            <v>13710</v>
          </cell>
          <cell r="F80"/>
          <cell r="H80"/>
        </row>
        <row r="81">
          <cell r="D81">
            <v>5245</v>
          </cell>
          <cell r="F81"/>
          <cell r="H81"/>
        </row>
        <row r="82">
          <cell r="D82">
            <v>1854</v>
          </cell>
          <cell r="F82"/>
          <cell r="H82"/>
        </row>
        <row r="83">
          <cell r="D83">
            <v>3827</v>
          </cell>
          <cell r="F83"/>
          <cell r="H83"/>
        </row>
        <row r="84">
          <cell r="D84">
            <v>43149</v>
          </cell>
          <cell r="F84"/>
          <cell r="H84"/>
        </row>
        <row r="85">
          <cell r="D85"/>
          <cell r="F85"/>
          <cell r="H85"/>
        </row>
        <row r="89">
          <cell r="D89">
            <v>127216</v>
          </cell>
          <cell r="F89"/>
          <cell r="H89"/>
        </row>
        <row r="90">
          <cell r="D90"/>
          <cell r="F90">
            <v>19420</v>
          </cell>
          <cell r="H90"/>
        </row>
        <row r="91">
          <cell r="D91">
            <v>15187</v>
          </cell>
          <cell r="F91"/>
          <cell r="H91"/>
        </row>
        <row r="92">
          <cell r="D92">
            <v>58146</v>
          </cell>
          <cell r="F92">
            <v>-2007</v>
          </cell>
          <cell r="H92"/>
        </row>
        <row r="93">
          <cell r="D93">
            <v>4072</v>
          </cell>
          <cell r="F93"/>
          <cell r="H93"/>
        </row>
        <row r="94">
          <cell r="D94">
            <v>750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2223</v>
          </cell>
          <cell r="F100"/>
          <cell r="H100"/>
        </row>
        <row r="101">
          <cell r="D101"/>
          <cell r="F101"/>
          <cell r="H101"/>
        </row>
        <row r="102">
          <cell r="D102">
            <v>1418</v>
          </cell>
          <cell r="F102"/>
          <cell r="H102"/>
        </row>
        <row r="103">
          <cell r="D103"/>
          <cell r="F103"/>
          <cell r="H103"/>
        </row>
        <row r="115">
          <cell r="D115">
            <v>59361</v>
          </cell>
          <cell r="F115"/>
          <cell r="H115"/>
        </row>
        <row r="116">
          <cell r="D116"/>
          <cell r="F116">
            <v>9062</v>
          </cell>
          <cell r="H116"/>
        </row>
        <row r="117">
          <cell r="D117">
            <v>9612</v>
          </cell>
          <cell r="F117"/>
          <cell r="H117"/>
        </row>
        <row r="118">
          <cell r="D118"/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67129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84189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10248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12852</v>
          </cell>
          <cell r="H134"/>
        </row>
        <row r="136">
          <cell r="D136">
            <v>159125</v>
          </cell>
          <cell r="F136"/>
          <cell r="H136"/>
        </row>
        <row r="137">
          <cell r="D137">
            <v>209241</v>
          </cell>
          <cell r="F137"/>
          <cell r="H137"/>
        </row>
        <row r="138">
          <cell r="D138">
            <v>273183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24291</v>
          </cell>
          <cell r="H141"/>
        </row>
        <row r="142">
          <cell r="D142"/>
          <cell r="F142">
            <v>31942</v>
          </cell>
          <cell r="H142"/>
        </row>
        <row r="143">
          <cell r="D143"/>
          <cell r="F143">
            <v>41702</v>
          </cell>
          <cell r="H143"/>
        </row>
        <row r="144">
          <cell r="D144"/>
          <cell r="F144"/>
          <cell r="H144"/>
        </row>
        <row r="146">
          <cell r="D146">
            <v>17000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5500</v>
          </cell>
          <cell r="F150"/>
          <cell r="H150"/>
        </row>
        <row r="151">
          <cell r="D151">
            <v>67367</v>
          </cell>
          <cell r="F151"/>
          <cell r="H151"/>
        </row>
        <row r="152">
          <cell r="D152">
            <v>1074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117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233607</v>
          </cell>
          <cell r="F177"/>
          <cell r="H177"/>
        </row>
        <row r="178">
          <cell r="D178"/>
          <cell r="F178">
            <v>35661</v>
          </cell>
          <cell r="H178"/>
        </row>
        <row r="179">
          <cell r="D179">
            <v>48736</v>
          </cell>
          <cell r="F179"/>
          <cell r="H179"/>
        </row>
        <row r="180">
          <cell r="D180"/>
          <cell r="F180">
            <v>7440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205831</v>
          </cell>
          <cell r="F183"/>
          <cell r="H183"/>
        </row>
        <row r="184">
          <cell r="D184"/>
          <cell r="F184">
            <v>31421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12575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63320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225379</v>
          </cell>
          <cell r="F205"/>
          <cell r="H205"/>
        </row>
        <row r="206">
          <cell r="D206">
            <v>12952</v>
          </cell>
          <cell r="F206"/>
          <cell r="H206"/>
        </row>
        <row r="207">
          <cell r="D207"/>
          <cell r="F207"/>
          <cell r="H207"/>
        </row>
        <row r="211">
          <cell r="D211">
            <v>49957</v>
          </cell>
          <cell r="F211"/>
          <cell r="H211"/>
        </row>
        <row r="212">
          <cell r="D212"/>
          <cell r="F212">
            <v>7626</v>
          </cell>
          <cell r="H212"/>
        </row>
        <row r="213">
          <cell r="D213">
            <v>7717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1437</v>
          </cell>
          <cell r="F216"/>
          <cell r="H216"/>
        </row>
        <row r="221">
          <cell r="D221">
            <v>3367447</v>
          </cell>
        </row>
      </sheetData>
      <sheetData sheetId="8"/>
      <sheetData sheetId="9"/>
      <sheetData sheetId="10">
        <row r="9">
          <cell r="C9">
            <v>785</v>
          </cell>
          <cell r="D9"/>
          <cell r="E9">
            <v>4652</v>
          </cell>
          <cell r="F9">
            <v>2131</v>
          </cell>
          <cell r="G9"/>
          <cell r="H9">
            <v>475</v>
          </cell>
          <cell r="I9"/>
          <cell r="J9">
            <v>283</v>
          </cell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10504</v>
          </cell>
        </row>
        <row r="30">
          <cell r="N30">
            <v>0.79265041888804266</v>
          </cell>
        </row>
        <row r="32">
          <cell r="N32">
            <v>7.4733434881949737E-2</v>
          </cell>
        </row>
        <row r="34">
          <cell r="N34">
            <v>9.4282969012731213E-2</v>
          </cell>
        </row>
      </sheetData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43079</v>
          </cell>
        </row>
      </sheetData>
      <sheetData sheetId="3"/>
      <sheetData sheetId="4"/>
      <sheetData sheetId="5">
        <row r="10">
          <cell r="E10">
            <v>179592</v>
          </cell>
          <cell r="G10">
            <v>0</v>
          </cell>
        </row>
        <row r="12">
          <cell r="E12">
            <v>6887</v>
          </cell>
          <cell r="G12"/>
        </row>
        <row r="13">
          <cell r="E13">
            <v>4722</v>
          </cell>
          <cell r="G13"/>
        </row>
        <row r="14">
          <cell r="E14"/>
          <cell r="G14"/>
        </row>
        <row r="15">
          <cell r="E15">
            <v>191201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1322684</v>
          </cell>
          <cell r="G26">
            <v>0</v>
          </cell>
        </row>
        <row r="32">
          <cell r="E32">
            <v>85589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123872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3520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3786</v>
          </cell>
          <cell r="G72">
            <v>0</v>
          </cell>
        </row>
        <row r="90">
          <cell r="C90">
            <v>326.83905013192617</v>
          </cell>
          <cell r="E90">
            <v>326.83905013192617</v>
          </cell>
        </row>
      </sheetData>
      <sheetData sheetId="6"/>
      <sheetData sheetId="7">
        <row r="10">
          <cell r="D10">
            <v>46268</v>
          </cell>
          <cell r="F10"/>
          <cell r="H10"/>
        </row>
        <row r="11">
          <cell r="D11"/>
          <cell r="F11"/>
          <cell r="H11"/>
        </row>
        <row r="12">
          <cell r="D12">
            <v>19154</v>
          </cell>
          <cell r="F12"/>
          <cell r="H12"/>
        </row>
        <row r="13">
          <cell r="D13">
            <v>115809</v>
          </cell>
          <cell r="F13">
            <v>-107510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45000</v>
          </cell>
          <cell r="F16"/>
          <cell r="H16">
            <v>-6320</v>
          </cell>
        </row>
        <row r="17">
          <cell r="D17"/>
          <cell r="F17"/>
          <cell r="H17"/>
        </row>
        <row r="18">
          <cell r="D18">
            <v>7974</v>
          </cell>
          <cell r="F18"/>
          <cell r="H18"/>
        </row>
        <row r="19">
          <cell r="D19">
            <v>10634</v>
          </cell>
          <cell r="F19"/>
          <cell r="H19"/>
        </row>
        <row r="20">
          <cell r="D20">
            <v>2706</v>
          </cell>
          <cell r="F20"/>
          <cell r="H20"/>
        </row>
        <row r="21">
          <cell r="D21">
            <v>3903</v>
          </cell>
          <cell r="F21"/>
          <cell r="H21"/>
        </row>
        <row r="22">
          <cell r="D22"/>
          <cell r="F22"/>
          <cell r="H22"/>
        </row>
        <row r="23">
          <cell r="D23">
            <v>1903</v>
          </cell>
          <cell r="F23"/>
          <cell r="H23"/>
        </row>
        <row r="24">
          <cell r="D24">
            <v>8625</v>
          </cell>
          <cell r="F24"/>
          <cell r="H24"/>
        </row>
        <row r="25">
          <cell r="D25"/>
          <cell r="F25"/>
          <cell r="H25"/>
        </row>
        <row r="26">
          <cell r="D26">
            <v>33232</v>
          </cell>
          <cell r="F26"/>
          <cell r="H26"/>
        </row>
        <row r="27">
          <cell r="D27">
            <v>176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-2706</v>
          </cell>
          <cell r="F29">
            <v>2706</v>
          </cell>
          <cell r="H29"/>
        </row>
        <row r="30">
          <cell r="D30"/>
          <cell r="F30">
            <v>0</v>
          </cell>
          <cell r="H30"/>
        </row>
        <row r="31">
          <cell r="D31">
            <v>7010</v>
          </cell>
          <cell r="F31"/>
          <cell r="H31"/>
        </row>
        <row r="32">
          <cell r="D32">
            <v>4942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3687</v>
          </cell>
          <cell r="F36"/>
          <cell r="H36"/>
        </row>
        <row r="37">
          <cell r="D37"/>
          <cell r="F37">
            <v>468</v>
          </cell>
          <cell r="H37"/>
        </row>
        <row r="38">
          <cell r="D38"/>
          <cell r="F38"/>
          <cell r="H38"/>
        </row>
        <row r="39">
          <cell r="D39">
            <v>820</v>
          </cell>
          <cell r="F39"/>
          <cell r="H39"/>
        </row>
        <row r="40">
          <cell r="D40">
            <v>2516</v>
          </cell>
          <cell r="F40">
            <v>-1311</v>
          </cell>
          <cell r="H40"/>
        </row>
        <row r="41">
          <cell r="D41"/>
          <cell r="F41"/>
          <cell r="H41"/>
        </row>
        <row r="42">
          <cell r="D42">
            <v>1073</v>
          </cell>
          <cell r="F42"/>
          <cell r="H42"/>
        </row>
        <row r="43">
          <cell r="D43">
            <v>2959</v>
          </cell>
          <cell r="F43">
            <v>-2959</v>
          </cell>
          <cell r="H43"/>
        </row>
        <row r="44">
          <cell r="D44"/>
          <cell r="F44"/>
          <cell r="H44"/>
        </row>
        <row r="45">
          <cell r="D45">
            <v>674</v>
          </cell>
          <cell r="F45"/>
          <cell r="H45"/>
        </row>
        <row r="57">
          <cell r="D57"/>
          <cell r="F57"/>
          <cell r="H57"/>
        </row>
        <row r="58">
          <cell r="D58">
            <v>87251</v>
          </cell>
          <cell r="F58"/>
          <cell r="H58"/>
        </row>
        <row r="59">
          <cell r="D59">
            <v>63109</v>
          </cell>
          <cell r="F59"/>
          <cell r="H59"/>
        </row>
        <row r="60">
          <cell r="D60">
            <v>18867</v>
          </cell>
          <cell r="F60"/>
          <cell r="H60"/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918</v>
          </cell>
          <cell r="F65"/>
          <cell r="H65"/>
        </row>
        <row r="66">
          <cell r="D66">
            <v>13754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2069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16935</v>
          </cell>
          <cell r="F75"/>
          <cell r="H75"/>
        </row>
        <row r="76">
          <cell r="D76"/>
          <cell r="F76">
            <v>2148</v>
          </cell>
          <cell r="H76"/>
        </row>
        <row r="77">
          <cell r="D77">
            <v>1408</v>
          </cell>
          <cell r="F77"/>
          <cell r="H77"/>
        </row>
        <row r="78">
          <cell r="D78"/>
          <cell r="F78"/>
          <cell r="H78"/>
        </row>
        <row r="79">
          <cell r="D79">
            <v>8193</v>
          </cell>
          <cell r="F79"/>
          <cell r="H79"/>
        </row>
        <row r="80">
          <cell r="D80">
            <v>4361</v>
          </cell>
          <cell r="F80"/>
          <cell r="H80"/>
        </row>
        <row r="81">
          <cell r="D81"/>
          <cell r="F81"/>
          <cell r="H81"/>
        </row>
        <row r="82">
          <cell r="D82"/>
          <cell r="F82"/>
          <cell r="H82"/>
        </row>
        <row r="83">
          <cell r="D83">
            <v>4273</v>
          </cell>
          <cell r="F83"/>
          <cell r="H83"/>
        </row>
        <row r="84">
          <cell r="D84">
            <v>23418</v>
          </cell>
          <cell r="F84"/>
          <cell r="H84"/>
        </row>
        <row r="85">
          <cell r="D85">
            <v>37</v>
          </cell>
          <cell r="F85"/>
          <cell r="H85"/>
        </row>
        <row r="89">
          <cell r="D89">
            <v>63690</v>
          </cell>
          <cell r="F89"/>
          <cell r="H89"/>
        </row>
        <row r="90">
          <cell r="D90"/>
          <cell r="F90">
            <v>8079</v>
          </cell>
          <cell r="H90"/>
        </row>
        <row r="91">
          <cell r="D91">
            <v>2972</v>
          </cell>
          <cell r="F91"/>
          <cell r="H91"/>
        </row>
        <row r="92">
          <cell r="D92">
            <v>37780</v>
          </cell>
          <cell r="F92">
            <v>-3786</v>
          </cell>
          <cell r="H92"/>
        </row>
        <row r="93">
          <cell r="D93">
            <v>10995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747</v>
          </cell>
          <cell r="F100"/>
          <cell r="H100"/>
        </row>
        <row r="101">
          <cell r="D101"/>
          <cell r="F101"/>
          <cell r="H101"/>
        </row>
        <row r="102">
          <cell r="D102">
            <v>292</v>
          </cell>
          <cell r="F102"/>
          <cell r="H102"/>
        </row>
        <row r="103">
          <cell r="D103"/>
          <cell r="F103"/>
          <cell r="H103"/>
        </row>
        <row r="115">
          <cell r="D115">
            <v>31810</v>
          </cell>
          <cell r="F115"/>
          <cell r="H115"/>
        </row>
        <row r="116">
          <cell r="D116"/>
          <cell r="F116">
            <v>4035</v>
          </cell>
          <cell r="H116"/>
        </row>
        <row r="117">
          <cell r="D117">
            <v>5339</v>
          </cell>
          <cell r="F117"/>
          <cell r="H117"/>
        </row>
        <row r="118">
          <cell r="D118"/>
          <cell r="F118"/>
          <cell r="H118"/>
        </row>
        <row r="119">
          <cell r="D119">
            <v>224</v>
          </cell>
          <cell r="F119"/>
          <cell r="H119"/>
        </row>
        <row r="124">
          <cell r="D124"/>
          <cell r="F124"/>
          <cell r="H124"/>
        </row>
        <row r="125">
          <cell r="D125">
            <v>40450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31326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5131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3974</v>
          </cell>
          <cell r="H134"/>
        </row>
        <row r="136">
          <cell r="D136">
            <v>167483</v>
          </cell>
          <cell r="F136"/>
          <cell r="H136"/>
        </row>
        <row r="137">
          <cell r="D137">
            <v>46636</v>
          </cell>
          <cell r="F137"/>
          <cell r="H137"/>
        </row>
        <row r="138">
          <cell r="D138">
            <v>129007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21245</v>
          </cell>
          <cell r="H141"/>
        </row>
        <row r="142">
          <cell r="D142"/>
          <cell r="F142">
            <v>5916</v>
          </cell>
          <cell r="H142"/>
        </row>
        <row r="143">
          <cell r="D143"/>
          <cell r="F143">
            <v>16364</v>
          </cell>
          <cell r="H143"/>
        </row>
        <row r="144">
          <cell r="D144"/>
          <cell r="F144"/>
          <cell r="H144"/>
        </row>
        <row r="146">
          <cell r="D146">
            <v>10800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3318</v>
          </cell>
          <cell r="F150"/>
          <cell r="H150"/>
        </row>
        <row r="151">
          <cell r="D151">
            <v>31535</v>
          </cell>
          <cell r="F151"/>
          <cell r="H151"/>
        </row>
        <row r="152">
          <cell r="D152">
            <v>224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286323</v>
          </cell>
          <cell r="F177"/>
          <cell r="H177"/>
        </row>
        <row r="178">
          <cell r="D178"/>
          <cell r="F178">
            <v>36320</v>
          </cell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593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21638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99155</v>
          </cell>
          <cell r="F205"/>
          <cell r="H205"/>
        </row>
        <row r="206">
          <cell r="D206">
            <v>4343</v>
          </cell>
          <cell r="F206"/>
          <cell r="H206"/>
        </row>
        <row r="207">
          <cell r="D207">
            <v>5407</v>
          </cell>
          <cell r="F207"/>
          <cell r="H207"/>
        </row>
        <row r="211">
          <cell r="D211">
            <v>30195</v>
          </cell>
          <cell r="F211"/>
          <cell r="H211"/>
        </row>
        <row r="212">
          <cell r="D212"/>
          <cell r="F212">
            <v>3830</v>
          </cell>
          <cell r="H212"/>
        </row>
        <row r="213">
          <cell r="D213">
            <v>4411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1250</v>
          </cell>
          <cell r="F216"/>
          <cell r="H216"/>
        </row>
        <row r="221">
          <cell r="D221">
            <v>1628895</v>
          </cell>
        </row>
      </sheetData>
      <sheetData sheetId="8"/>
      <sheetData sheetId="9"/>
      <sheetData sheetId="10">
        <row r="9">
          <cell r="C9">
            <v>957</v>
          </cell>
          <cell r="D9"/>
          <cell r="E9">
            <v>2242</v>
          </cell>
          <cell r="F9">
            <v>191</v>
          </cell>
          <cell r="G9"/>
          <cell r="H9">
            <v>379</v>
          </cell>
          <cell r="I9"/>
          <cell r="J9">
            <v>16</v>
          </cell>
          <cell r="K9"/>
        </row>
        <row r="22">
          <cell r="N22">
            <v>30</v>
          </cell>
        </row>
        <row r="24">
          <cell r="N24">
            <v>8</v>
          </cell>
        </row>
        <row r="28">
          <cell r="N28">
            <v>4890</v>
          </cell>
        </row>
        <row r="30">
          <cell r="N30">
            <v>0.77402862985685073</v>
          </cell>
        </row>
        <row r="32">
          <cell r="N32">
            <v>0.19570552147239265</v>
          </cell>
        </row>
        <row r="34">
          <cell r="N34">
            <v>0.25284015852047559</v>
          </cell>
        </row>
      </sheetData>
      <sheetData sheetId="11"/>
      <sheetData sheetId="1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43080</v>
          </cell>
          <cell r="G39">
            <v>43281</v>
          </cell>
        </row>
      </sheetData>
      <sheetData sheetId="3"/>
      <sheetData sheetId="4"/>
      <sheetData sheetId="5">
        <row r="10">
          <cell r="E10">
            <v>184957</v>
          </cell>
          <cell r="G10">
            <v>0</v>
          </cell>
        </row>
        <row r="12">
          <cell r="E12">
            <v>52604</v>
          </cell>
          <cell r="G12"/>
        </row>
        <row r="13">
          <cell r="E13">
            <v>3673</v>
          </cell>
          <cell r="G13"/>
        </row>
        <row r="14">
          <cell r="E14"/>
          <cell r="G14"/>
        </row>
        <row r="15">
          <cell r="E15">
            <v>241234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1168742</v>
          </cell>
          <cell r="G26">
            <v>0</v>
          </cell>
        </row>
        <row r="32">
          <cell r="E32">
            <v>93003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94433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1980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3214</v>
          </cell>
          <cell r="G72">
            <v>0</v>
          </cell>
        </row>
        <row r="90">
          <cell r="E90">
            <v>169.83599843417633</v>
          </cell>
          <cell r="G90">
            <v>169.83599843417628</v>
          </cell>
          <cell r="I90">
            <v>169.8359984341763</v>
          </cell>
        </row>
      </sheetData>
      <sheetData sheetId="6"/>
      <sheetData sheetId="7">
        <row r="10">
          <cell r="D10">
            <v>46365</v>
          </cell>
          <cell r="F10"/>
          <cell r="H10"/>
        </row>
        <row r="11">
          <cell r="D11"/>
          <cell r="F11"/>
          <cell r="H11"/>
        </row>
        <row r="12">
          <cell r="D12">
            <v>15022</v>
          </cell>
          <cell r="F12"/>
          <cell r="H12"/>
        </row>
        <row r="13">
          <cell r="D13">
            <v>96465</v>
          </cell>
          <cell r="F13">
            <v>-89385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45000</v>
          </cell>
          <cell r="F16"/>
          <cell r="H16">
            <v>-6320</v>
          </cell>
        </row>
        <row r="17">
          <cell r="D17"/>
          <cell r="F17"/>
          <cell r="H17"/>
        </row>
        <row r="18">
          <cell r="D18">
            <v>8080</v>
          </cell>
          <cell r="F18"/>
          <cell r="H18"/>
        </row>
        <row r="19">
          <cell r="D19">
            <v>8733</v>
          </cell>
          <cell r="F19"/>
          <cell r="H19"/>
        </row>
        <row r="20">
          <cell r="D20">
            <v>3244</v>
          </cell>
          <cell r="F20"/>
          <cell r="H20"/>
        </row>
        <row r="21">
          <cell r="D21">
            <v>4369</v>
          </cell>
          <cell r="F21"/>
          <cell r="H21"/>
        </row>
        <row r="22">
          <cell r="D22"/>
          <cell r="F22"/>
          <cell r="H22"/>
        </row>
        <row r="23">
          <cell r="D23">
            <v>1291</v>
          </cell>
          <cell r="F23"/>
          <cell r="H23"/>
        </row>
        <row r="24">
          <cell r="D24">
            <v>16055</v>
          </cell>
          <cell r="F24"/>
          <cell r="H24"/>
        </row>
        <row r="25">
          <cell r="D25"/>
          <cell r="F25"/>
          <cell r="H25"/>
        </row>
        <row r="26">
          <cell r="D26">
            <v>34297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14030</v>
          </cell>
          <cell r="F29">
            <v>-14030</v>
          </cell>
          <cell r="H29"/>
        </row>
        <row r="30">
          <cell r="D30"/>
          <cell r="F30">
            <v>0</v>
          </cell>
          <cell r="H30"/>
        </row>
        <row r="31">
          <cell r="D31">
            <v>10046</v>
          </cell>
          <cell r="F31"/>
          <cell r="H31"/>
        </row>
        <row r="32">
          <cell r="D32">
            <v>16047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1655</v>
          </cell>
          <cell r="F36"/>
          <cell r="H36"/>
        </row>
        <row r="37">
          <cell r="D37"/>
          <cell r="F37">
            <v>191</v>
          </cell>
          <cell r="H37"/>
        </row>
        <row r="38">
          <cell r="D38"/>
          <cell r="F38"/>
          <cell r="H38"/>
        </row>
        <row r="39">
          <cell r="D39">
            <v>797</v>
          </cell>
          <cell r="F39"/>
          <cell r="H39"/>
        </row>
        <row r="40">
          <cell r="D40">
            <v>1972</v>
          </cell>
          <cell r="F40">
            <v>-767</v>
          </cell>
          <cell r="H40"/>
        </row>
        <row r="41">
          <cell r="D41"/>
          <cell r="F41"/>
          <cell r="H41"/>
        </row>
        <row r="42">
          <cell r="D42">
            <v>335</v>
          </cell>
          <cell r="F42"/>
          <cell r="H42"/>
        </row>
        <row r="43">
          <cell r="D43">
            <v>3203</v>
          </cell>
          <cell r="F43">
            <v>-3203</v>
          </cell>
          <cell r="H43"/>
        </row>
        <row r="44">
          <cell r="D44"/>
          <cell r="F44"/>
          <cell r="H44"/>
        </row>
        <row r="45">
          <cell r="D45">
            <v>1175</v>
          </cell>
          <cell r="F45">
            <v>-150</v>
          </cell>
          <cell r="H45"/>
        </row>
        <row r="57">
          <cell r="D57"/>
          <cell r="F57"/>
          <cell r="H57"/>
        </row>
        <row r="58">
          <cell r="D58">
            <v>87251</v>
          </cell>
          <cell r="F58"/>
          <cell r="H58"/>
        </row>
        <row r="59">
          <cell r="D59">
            <v>63109</v>
          </cell>
          <cell r="F59"/>
          <cell r="H59"/>
        </row>
        <row r="60">
          <cell r="D60">
            <v>21814</v>
          </cell>
          <cell r="F60"/>
          <cell r="H60"/>
        </row>
        <row r="61">
          <cell r="D61">
            <v>5455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1102</v>
          </cell>
          <cell r="F65"/>
          <cell r="H65"/>
        </row>
        <row r="66">
          <cell r="D66">
            <v>13086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>
            <v>1583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17634</v>
          </cell>
          <cell r="F75"/>
          <cell r="H75"/>
        </row>
        <row r="76">
          <cell r="D76"/>
          <cell r="F76">
            <v>2034</v>
          </cell>
          <cell r="H76"/>
        </row>
        <row r="77">
          <cell r="D77">
            <v>1517</v>
          </cell>
          <cell r="F77"/>
          <cell r="H77"/>
        </row>
        <row r="78">
          <cell r="D78">
            <v>200</v>
          </cell>
          <cell r="F78"/>
          <cell r="H78"/>
        </row>
        <row r="79">
          <cell r="D79">
            <v>15852</v>
          </cell>
          <cell r="F79"/>
          <cell r="H79"/>
        </row>
        <row r="80">
          <cell r="D80">
            <v>8934</v>
          </cell>
          <cell r="F80"/>
          <cell r="H80"/>
        </row>
        <row r="81">
          <cell r="D81">
            <v>613</v>
          </cell>
          <cell r="F81"/>
          <cell r="H81"/>
        </row>
        <row r="82">
          <cell r="D82"/>
          <cell r="F82"/>
          <cell r="H82"/>
        </row>
        <row r="83">
          <cell r="D83">
            <v>3222</v>
          </cell>
          <cell r="F83"/>
          <cell r="H83"/>
        </row>
        <row r="84">
          <cell r="D84">
            <v>20876</v>
          </cell>
          <cell r="F84"/>
          <cell r="H84"/>
        </row>
        <row r="85">
          <cell r="D85"/>
          <cell r="F85"/>
          <cell r="H85"/>
        </row>
        <row r="89">
          <cell r="D89">
            <v>62593</v>
          </cell>
          <cell r="F89"/>
          <cell r="H89"/>
        </row>
        <row r="90">
          <cell r="D90"/>
          <cell r="F90">
            <v>7220</v>
          </cell>
          <cell r="H90"/>
        </row>
        <row r="91">
          <cell r="D91">
            <v>4761</v>
          </cell>
          <cell r="F91"/>
          <cell r="H91"/>
        </row>
        <row r="92">
          <cell r="D92">
            <v>35621</v>
          </cell>
          <cell r="F92">
            <v>-3064</v>
          </cell>
          <cell r="H92"/>
        </row>
        <row r="93">
          <cell r="D93">
            <v>6819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875</v>
          </cell>
          <cell r="F100"/>
          <cell r="H100"/>
        </row>
        <row r="101">
          <cell r="D101"/>
          <cell r="F101"/>
          <cell r="H101"/>
        </row>
        <row r="102">
          <cell r="D102">
            <v>92</v>
          </cell>
          <cell r="F102"/>
          <cell r="H102"/>
        </row>
        <row r="103">
          <cell r="D103"/>
          <cell r="F103"/>
          <cell r="H103"/>
        </row>
        <row r="115">
          <cell r="D115">
            <v>31168</v>
          </cell>
          <cell r="F115"/>
          <cell r="H115"/>
        </row>
        <row r="116">
          <cell r="D116"/>
          <cell r="F116">
            <v>3595</v>
          </cell>
          <cell r="H116"/>
        </row>
        <row r="117">
          <cell r="D117">
            <v>5246</v>
          </cell>
          <cell r="F117"/>
          <cell r="H117"/>
        </row>
        <row r="118">
          <cell r="D118"/>
          <cell r="F118"/>
          <cell r="H118"/>
        </row>
        <row r="119">
          <cell r="D119">
            <v>239</v>
          </cell>
          <cell r="F119"/>
          <cell r="H119"/>
        </row>
        <row r="124">
          <cell r="D124"/>
          <cell r="F124"/>
          <cell r="H124"/>
        </row>
        <row r="125">
          <cell r="D125">
            <v>40423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31320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4663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3613</v>
          </cell>
          <cell r="H134"/>
        </row>
        <row r="136">
          <cell r="D136">
            <v>135805</v>
          </cell>
          <cell r="F136"/>
          <cell r="H136"/>
        </row>
        <row r="137">
          <cell r="D137">
            <v>51143</v>
          </cell>
          <cell r="F137"/>
          <cell r="H137"/>
        </row>
        <row r="138">
          <cell r="D138">
            <v>120861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15665</v>
          </cell>
          <cell r="H141"/>
        </row>
        <row r="142">
          <cell r="D142"/>
          <cell r="F142">
            <v>5899</v>
          </cell>
          <cell r="H142"/>
        </row>
        <row r="143">
          <cell r="D143"/>
          <cell r="F143">
            <v>13941</v>
          </cell>
          <cell r="H143"/>
        </row>
        <row r="144">
          <cell r="D144"/>
          <cell r="F144"/>
          <cell r="H144"/>
        </row>
        <row r="146">
          <cell r="D146">
            <v>10800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3365</v>
          </cell>
          <cell r="F150"/>
          <cell r="H150"/>
        </row>
        <row r="151">
          <cell r="D151">
            <v>18438</v>
          </cell>
          <cell r="F151"/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219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251983</v>
          </cell>
          <cell r="F177"/>
          <cell r="H177"/>
        </row>
        <row r="178">
          <cell r="D178"/>
          <cell r="F178">
            <v>29066</v>
          </cell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167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/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11465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75526</v>
          </cell>
          <cell r="F205"/>
          <cell r="H205"/>
        </row>
        <row r="206">
          <cell r="D206">
            <v>5895</v>
          </cell>
          <cell r="F206"/>
          <cell r="H206"/>
        </row>
        <row r="207">
          <cell r="D207">
            <v>2780</v>
          </cell>
          <cell r="F207"/>
          <cell r="H207"/>
        </row>
        <row r="211">
          <cell r="D211">
            <v>30325</v>
          </cell>
          <cell r="F211"/>
          <cell r="H211"/>
        </row>
        <row r="212">
          <cell r="D212"/>
          <cell r="F212">
            <v>3498</v>
          </cell>
          <cell r="H212"/>
        </row>
        <row r="213">
          <cell r="D213">
            <v>5022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849</v>
          </cell>
          <cell r="F216"/>
          <cell r="H216"/>
        </row>
        <row r="221">
          <cell r="D221">
            <v>1534229</v>
          </cell>
        </row>
      </sheetData>
      <sheetData sheetId="8"/>
      <sheetData sheetId="9"/>
      <sheetData sheetId="10">
        <row r="9">
          <cell r="C9">
            <v>1157</v>
          </cell>
          <cell r="D9"/>
          <cell r="E9">
            <v>2448</v>
          </cell>
          <cell r="F9">
            <v>242</v>
          </cell>
          <cell r="G9"/>
          <cell r="H9">
            <v>556</v>
          </cell>
          <cell r="I9"/>
          <cell r="J9">
            <v>9</v>
          </cell>
          <cell r="K9"/>
        </row>
        <row r="22">
          <cell r="N22">
            <v>30</v>
          </cell>
        </row>
        <row r="24">
          <cell r="N24">
            <v>8</v>
          </cell>
        </row>
        <row r="28">
          <cell r="N28">
            <v>6060</v>
          </cell>
        </row>
        <row r="30">
          <cell r="N30">
            <v>0.72805280528052807</v>
          </cell>
        </row>
        <row r="32">
          <cell r="N32">
            <v>0.19092409240924094</v>
          </cell>
        </row>
        <row r="34">
          <cell r="N34">
            <v>0.26223934723481418</v>
          </cell>
        </row>
      </sheetData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43079</v>
          </cell>
        </row>
      </sheetData>
      <sheetData sheetId="3"/>
      <sheetData sheetId="4"/>
      <sheetData sheetId="5">
        <row r="10">
          <cell r="E10">
            <v>354831</v>
          </cell>
          <cell r="G10">
            <v>0</v>
          </cell>
        </row>
        <row r="12">
          <cell r="E12">
            <v>7731</v>
          </cell>
          <cell r="G12"/>
        </row>
        <row r="13">
          <cell r="E13">
            <v>3807</v>
          </cell>
          <cell r="G13"/>
        </row>
        <row r="14">
          <cell r="E14"/>
          <cell r="G14"/>
        </row>
        <row r="15">
          <cell r="E15">
            <v>366369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1839046</v>
          </cell>
          <cell r="G26">
            <v>0</v>
          </cell>
        </row>
        <row r="32">
          <cell r="E32">
            <v>288203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174042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17272</v>
          </cell>
          <cell r="G72">
            <v>0</v>
          </cell>
        </row>
        <row r="90">
          <cell r="C90">
            <v>318.75824175824175</v>
          </cell>
          <cell r="E90">
            <v>318.7582417582417</v>
          </cell>
        </row>
      </sheetData>
      <sheetData sheetId="6"/>
      <sheetData sheetId="7">
        <row r="10">
          <cell r="D10">
            <v>42500</v>
          </cell>
          <cell r="F10"/>
          <cell r="H10"/>
        </row>
        <row r="11">
          <cell r="D11"/>
          <cell r="F11"/>
          <cell r="H11"/>
        </row>
        <row r="12">
          <cell r="D12">
            <v>75279</v>
          </cell>
          <cell r="F12"/>
          <cell r="H12"/>
        </row>
        <row r="13">
          <cell r="D13">
            <v>222540</v>
          </cell>
          <cell r="F13">
            <v>-202984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45000</v>
          </cell>
          <cell r="F16"/>
          <cell r="H16">
            <v>20338</v>
          </cell>
        </row>
        <row r="17">
          <cell r="D17"/>
          <cell r="F17"/>
          <cell r="H17"/>
        </row>
        <row r="18">
          <cell r="D18">
            <v>3341</v>
          </cell>
          <cell r="F18"/>
          <cell r="H18"/>
        </row>
        <row r="19">
          <cell r="D19">
            <v>10466</v>
          </cell>
          <cell r="F19"/>
          <cell r="H19"/>
        </row>
        <row r="20">
          <cell r="D20">
            <v>15465</v>
          </cell>
          <cell r="F20"/>
          <cell r="H20"/>
        </row>
        <row r="21">
          <cell r="D21">
            <v>14145</v>
          </cell>
          <cell r="F21"/>
          <cell r="H21"/>
        </row>
        <row r="22">
          <cell r="D22"/>
          <cell r="F22"/>
          <cell r="H22"/>
        </row>
        <row r="23">
          <cell r="D23">
            <v>2163</v>
          </cell>
          <cell r="F23"/>
          <cell r="H23"/>
        </row>
        <row r="24">
          <cell r="D24">
            <v>18963</v>
          </cell>
          <cell r="F24"/>
          <cell r="H24"/>
        </row>
        <row r="25">
          <cell r="D25"/>
          <cell r="F25"/>
          <cell r="H25"/>
        </row>
        <row r="26">
          <cell r="D26">
            <v>56688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16356</v>
          </cell>
          <cell r="F31"/>
          <cell r="H31"/>
        </row>
        <row r="32">
          <cell r="D32"/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21435</v>
          </cell>
          <cell r="F36"/>
          <cell r="H36"/>
        </row>
        <row r="37">
          <cell r="D37"/>
          <cell r="F37">
            <v>3559</v>
          </cell>
          <cell r="H37"/>
        </row>
        <row r="38">
          <cell r="D38"/>
          <cell r="F38"/>
          <cell r="H38"/>
        </row>
        <row r="39">
          <cell r="D39">
            <v>3367</v>
          </cell>
          <cell r="F39"/>
          <cell r="H39"/>
        </row>
        <row r="40">
          <cell r="D40">
            <v>2844</v>
          </cell>
          <cell r="F40">
            <v>-1086</v>
          </cell>
          <cell r="H40"/>
        </row>
        <row r="41">
          <cell r="D41">
            <v>804</v>
          </cell>
          <cell r="F41"/>
          <cell r="H41"/>
        </row>
        <row r="42">
          <cell r="D42">
            <v>935</v>
          </cell>
          <cell r="F42"/>
          <cell r="H42"/>
        </row>
        <row r="43">
          <cell r="D43">
            <v>4395</v>
          </cell>
          <cell r="F43">
            <v>-4395</v>
          </cell>
          <cell r="H43"/>
        </row>
        <row r="44">
          <cell r="D44"/>
          <cell r="F44"/>
          <cell r="H44"/>
        </row>
        <row r="45">
          <cell r="D45">
            <v>1813</v>
          </cell>
          <cell r="F45">
            <v>-13875</v>
          </cell>
          <cell r="H45"/>
        </row>
        <row r="57">
          <cell r="D57"/>
          <cell r="F57"/>
          <cell r="H57"/>
        </row>
        <row r="58">
          <cell r="D58">
            <v>191916</v>
          </cell>
          <cell r="F58"/>
          <cell r="H58"/>
        </row>
        <row r="59">
          <cell r="D59">
            <v>149018</v>
          </cell>
          <cell r="F59"/>
          <cell r="H59"/>
        </row>
        <row r="60">
          <cell r="D60">
            <v>40600</v>
          </cell>
          <cell r="F60"/>
          <cell r="H60"/>
        </row>
        <row r="61">
          <cell r="D61"/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734</v>
          </cell>
          <cell r="F65"/>
          <cell r="H65"/>
        </row>
        <row r="66">
          <cell r="D66">
            <v>12640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17160</v>
          </cell>
          <cell r="F75"/>
          <cell r="H75"/>
        </row>
        <row r="76">
          <cell r="D76"/>
          <cell r="F76">
            <v>2849</v>
          </cell>
          <cell r="H76"/>
        </row>
        <row r="77">
          <cell r="D77">
            <v>2993</v>
          </cell>
          <cell r="F77"/>
          <cell r="H77"/>
        </row>
        <row r="78">
          <cell r="D78">
            <v>21906</v>
          </cell>
          <cell r="F78"/>
          <cell r="H78"/>
        </row>
        <row r="79">
          <cell r="D79">
            <v>-3239</v>
          </cell>
          <cell r="F79"/>
          <cell r="H79"/>
        </row>
        <row r="80">
          <cell r="D80">
            <v>4994</v>
          </cell>
          <cell r="F80"/>
          <cell r="H80"/>
        </row>
        <row r="81">
          <cell r="D81">
            <v>16</v>
          </cell>
          <cell r="F81"/>
          <cell r="H81"/>
        </row>
        <row r="82">
          <cell r="D82"/>
          <cell r="F82"/>
          <cell r="H82"/>
        </row>
        <row r="83">
          <cell r="D83">
            <v>4108</v>
          </cell>
          <cell r="F83"/>
          <cell r="H83"/>
        </row>
        <row r="84">
          <cell r="D84">
            <v>38624</v>
          </cell>
          <cell r="F84"/>
          <cell r="H84"/>
        </row>
        <row r="85">
          <cell r="D85"/>
          <cell r="F85"/>
          <cell r="H85"/>
        </row>
        <row r="89">
          <cell r="D89">
            <v>109265</v>
          </cell>
          <cell r="F89"/>
          <cell r="H89"/>
        </row>
        <row r="90">
          <cell r="D90"/>
          <cell r="F90">
            <v>18141</v>
          </cell>
          <cell r="H90"/>
        </row>
        <row r="91">
          <cell r="D91">
            <v>7782</v>
          </cell>
          <cell r="F91"/>
          <cell r="H91"/>
        </row>
        <row r="92">
          <cell r="D92">
            <v>68882</v>
          </cell>
          <cell r="F92">
            <v>-3397</v>
          </cell>
          <cell r="H92"/>
        </row>
        <row r="93">
          <cell r="D93">
            <v>4569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459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/>
          <cell r="F103"/>
          <cell r="H103"/>
        </row>
        <row r="115">
          <cell r="D115">
            <v>41604</v>
          </cell>
          <cell r="F115"/>
          <cell r="H115"/>
        </row>
        <row r="116">
          <cell r="D116"/>
          <cell r="F116">
            <v>6908</v>
          </cell>
          <cell r="H116"/>
        </row>
        <row r="117">
          <cell r="D117">
            <v>5562</v>
          </cell>
          <cell r="F117"/>
          <cell r="H117"/>
        </row>
        <row r="118">
          <cell r="D118"/>
          <cell r="F118"/>
          <cell r="H118"/>
        </row>
        <row r="119">
          <cell r="D119">
            <v>80</v>
          </cell>
          <cell r="F119"/>
          <cell r="H119"/>
        </row>
        <row r="124">
          <cell r="D124"/>
          <cell r="F124"/>
          <cell r="H124"/>
        </row>
        <row r="125">
          <cell r="D125">
            <v>79890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73609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13264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12221</v>
          </cell>
          <cell r="H134"/>
        </row>
        <row r="136">
          <cell r="D136">
            <v>155332</v>
          </cell>
          <cell r="F136"/>
          <cell r="H136"/>
        </row>
        <row r="137">
          <cell r="D137">
            <v>177922</v>
          </cell>
          <cell r="F137"/>
          <cell r="H137"/>
        </row>
        <row r="138">
          <cell r="D138">
            <v>270050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25790</v>
          </cell>
          <cell r="H141"/>
        </row>
        <row r="142">
          <cell r="D142"/>
          <cell r="F142">
            <v>29541</v>
          </cell>
          <cell r="H142"/>
        </row>
        <row r="143">
          <cell r="D143"/>
          <cell r="F143">
            <v>44836</v>
          </cell>
          <cell r="H143"/>
        </row>
        <row r="144">
          <cell r="D144"/>
          <cell r="F144"/>
          <cell r="H144"/>
        </row>
        <row r="146">
          <cell r="D146">
            <v>29586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4646</v>
          </cell>
          <cell r="F150"/>
          <cell r="H150"/>
        </row>
        <row r="151">
          <cell r="D151">
            <v>68990</v>
          </cell>
          <cell r="F151"/>
          <cell r="H151"/>
        </row>
        <row r="152">
          <cell r="D152"/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5176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174855</v>
          </cell>
          <cell r="F177"/>
          <cell r="H177"/>
        </row>
        <row r="178">
          <cell r="D178"/>
          <cell r="F178">
            <v>29031</v>
          </cell>
          <cell r="H178"/>
        </row>
        <row r="179">
          <cell r="D179">
            <v>7766</v>
          </cell>
          <cell r="F179"/>
          <cell r="H179"/>
        </row>
        <row r="180">
          <cell r="D180"/>
          <cell r="F180">
            <v>1289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61604</v>
          </cell>
          <cell r="F183"/>
          <cell r="H183"/>
        </row>
        <row r="184">
          <cell r="D184"/>
          <cell r="F184">
            <v>10228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7327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42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1318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>
            <v>81769</v>
          </cell>
          <cell r="F197"/>
          <cell r="H197"/>
        </row>
        <row r="198">
          <cell r="D198">
            <v>54158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182477</v>
          </cell>
          <cell r="F205"/>
          <cell r="H205"/>
        </row>
        <row r="206">
          <cell r="D206">
            <v>2462</v>
          </cell>
          <cell r="F206"/>
          <cell r="H206"/>
        </row>
        <row r="207">
          <cell r="D207"/>
          <cell r="F207"/>
          <cell r="H207"/>
        </row>
        <row r="211">
          <cell r="D211">
            <v>32082</v>
          </cell>
          <cell r="F211"/>
          <cell r="H211"/>
        </row>
        <row r="212">
          <cell r="D212"/>
          <cell r="F212">
            <v>5327</v>
          </cell>
          <cell r="H212"/>
        </row>
        <row r="213">
          <cell r="D213">
            <v>6977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1222</v>
          </cell>
          <cell r="F216"/>
          <cell r="H216"/>
        </row>
        <row r="221">
          <cell r="D221">
            <v>2757432</v>
          </cell>
        </row>
      </sheetData>
      <sheetData sheetId="8"/>
      <sheetData sheetId="9"/>
      <sheetData sheetId="10">
        <row r="9">
          <cell r="C9">
            <v>1819</v>
          </cell>
          <cell r="D9"/>
          <cell r="E9">
            <v>3137</v>
          </cell>
          <cell r="F9">
            <v>649</v>
          </cell>
          <cell r="G9"/>
          <cell r="H9">
            <v>546</v>
          </cell>
          <cell r="I9"/>
          <cell r="J9"/>
          <cell r="K9"/>
        </row>
        <row r="22">
          <cell r="N22">
            <v>50</v>
          </cell>
        </row>
        <row r="24">
          <cell r="N24">
            <v>50</v>
          </cell>
        </row>
        <row r="28">
          <cell r="N28">
            <v>8150</v>
          </cell>
        </row>
        <row r="30">
          <cell r="N30">
            <v>0.75472392638036812</v>
          </cell>
        </row>
        <row r="32">
          <cell r="N32">
            <v>0.22319018404907975</v>
          </cell>
        </row>
        <row r="34">
          <cell r="N34">
            <v>0.29572427247602018</v>
          </cell>
        </row>
      </sheetData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43080</v>
          </cell>
          <cell r="G39">
            <v>43281</v>
          </cell>
        </row>
      </sheetData>
      <sheetData sheetId="3"/>
      <sheetData sheetId="4"/>
      <sheetData sheetId="5">
        <row r="10">
          <cell r="E10">
            <v>383941</v>
          </cell>
          <cell r="G10">
            <v>0</v>
          </cell>
        </row>
        <row r="12">
          <cell r="E12">
            <v>154421</v>
          </cell>
          <cell r="G12"/>
        </row>
        <row r="13">
          <cell r="E13">
            <v>8343</v>
          </cell>
          <cell r="G13"/>
        </row>
        <row r="14">
          <cell r="E14">
            <v>34554</v>
          </cell>
          <cell r="G14"/>
        </row>
        <row r="15">
          <cell r="E15">
            <v>581259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1302820</v>
          </cell>
          <cell r="G26">
            <v>0</v>
          </cell>
        </row>
        <row r="32">
          <cell r="E32">
            <v>516560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132529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4163</v>
          </cell>
          <cell r="G72">
            <v>0</v>
          </cell>
        </row>
        <row r="90">
          <cell r="E90">
            <v>276.67849686847597</v>
          </cell>
          <cell r="G90">
            <v>276.67849686847603</v>
          </cell>
          <cell r="I90">
            <v>276.67849686847603</v>
          </cell>
        </row>
      </sheetData>
      <sheetData sheetId="6"/>
      <sheetData sheetId="7">
        <row r="10">
          <cell r="D10">
            <v>48570</v>
          </cell>
          <cell r="F10"/>
          <cell r="H10"/>
        </row>
        <row r="11">
          <cell r="D11"/>
          <cell r="F11"/>
          <cell r="H11"/>
        </row>
        <row r="12">
          <cell r="D12">
            <v>73323</v>
          </cell>
          <cell r="F12"/>
          <cell r="H12"/>
        </row>
        <row r="13">
          <cell r="D13">
            <v>220623</v>
          </cell>
          <cell r="F13">
            <v>-200603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45000</v>
          </cell>
          <cell r="F16"/>
          <cell r="H16">
            <v>20338</v>
          </cell>
        </row>
        <row r="17">
          <cell r="D17"/>
          <cell r="F17"/>
          <cell r="H17"/>
        </row>
        <row r="18">
          <cell r="D18">
            <v>5909</v>
          </cell>
          <cell r="F18"/>
          <cell r="H18"/>
        </row>
        <row r="19">
          <cell r="D19">
            <v>13673</v>
          </cell>
          <cell r="F19"/>
          <cell r="H19"/>
        </row>
        <row r="20">
          <cell r="D20">
            <v>14650</v>
          </cell>
          <cell r="F20"/>
          <cell r="H20"/>
        </row>
        <row r="21">
          <cell r="D21">
            <v>13342</v>
          </cell>
          <cell r="F21"/>
          <cell r="H21"/>
        </row>
        <row r="22">
          <cell r="D22"/>
          <cell r="F22"/>
          <cell r="H22"/>
        </row>
        <row r="23">
          <cell r="D23">
            <v>1488</v>
          </cell>
          <cell r="F23"/>
          <cell r="H23"/>
        </row>
        <row r="24">
          <cell r="D24">
            <v>30825</v>
          </cell>
          <cell r="F24"/>
          <cell r="H24"/>
        </row>
        <row r="25">
          <cell r="D25"/>
          <cell r="F25"/>
          <cell r="H25"/>
        </row>
        <row r="26">
          <cell r="D26">
            <v>58870</v>
          </cell>
          <cell r="F26"/>
          <cell r="H26"/>
        </row>
        <row r="27">
          <cell r="D27">
            <v>161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/>
          <cell r="F29">
            <v>0</v>
          </cell>
          <cell r="H29"/>
        </row>
        <row r="30">
          <cell r="D30"/>
          <cell r="F30">
            <v>0</v>
          </cell>
          <cell r="H30"/>
        </row>
        <row r="31">
          <cell r="D31">
            <v>22240</v>
          </cell>
          <cell r="F31"/>
          <cell r="H31"/>
        </row>
        <row r="32">
          <cell r="D32">
            <v>27610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26752</v>
          </cell>
          <cell r="F36"/>
          <cell r="H36"/>
        </row>
        <row r="37">
          <cell r="D37"/>
          <cell r="F37">
            <v>4394</v>
          </cell>
          <cell r="H37"/>
        </row>
        <row r="38">
          <cell r="D38"/>
          <cell r="F38"/>
          <cell r="H38"/>
        </row>
        <row r="39">
          <cell r="D39">
            <v>2563</v>
          </cell>
          <cell r="F39"/>
          <cell r="H39"/>
        </row>
        <row r="40">
          <cell r="D40">
            <v>1735</v>
          </cell>
          <cell r="F40">
            <v>-46</v>
          </cell>
          <cell r="H40"/>
        </row>
        <row r="41">
          <cell r="D41">
            <v>2040</v>
          </cell>
          <cell r="F41"/>
          <cell r="H41"/>
        </row>
        <row r="42">
          <cell r="D42">
            <v>1220</v>
          </cell>
          <cell r="F42"/>
          <cell r="H42"/>
        </row>
        <row r="43">
          <cell r="D43">
            <v>2343</v>
          </cell>
          <cell r="F43">
            <v>-2343</v>
          </cell>
          <cell r="H43"/>
        </row>
        <row r="44">
          <cell r="D44"/>
          <cell r="F44"/>
          <cell r="H44"/>
        </row>
        <row r="45">
          <cell r="D45">
            <v>25839</v>
          </cell>
          <cell r="F45">
            <v>-1596</v>
          </cell>
          <cell r="H45"/>
        </row>
        <row r="57">
          <cell r="D57"/>
          <cell r="F57"/>
          <cell r="H57"/>
        </row>
        <row r="58">
          <cell r="D58">
            <v>191916</v>
          </cell>
          <cell r="F58"/>
          <cell r="H58"/>
        </row>
        <row r="59">
          <cell r="D59">
            <v>139213</v>
          </cell>
          <cell r="F59"/>
          <cell r="H59"/>
        </row>
        <row r="60">
          <cell r="D60">
            <v>34548</v>
          </cell>
          <cell r="F60"/>
          <cell r="H60"/>
        </row>
        <row r="61">
          <cell r="D61">
            <v>2739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2096</v>
          </cell>
          <cell r="F65"/>
          <cell r="H65"/>
        </row>
        <row r="66">
          <cell r="D66">
            <v>11843</v>
          </cell>
          <cell r="F66"/>
          <cell r="H66"/>
        </row>
        <row r="67">
          <cell r="D67"/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17674</v>
          </cell>
          <cell r="F75"/>
          <cell r="H75"/>
        </row>
        <row r="76">
          <cell r="D76"/>
          <cell r="F76">
            <v>2903</v>
          </cell>
          <cell r="H76"/>
        </row>
        <row r="77">
          <cell r="D77">
            <v>1513</v>
          </cell>
          <cell r="F77"/>
          <cell r="H77"/>
        </row>
        <row r="78">
          <cell r="D78">
            <v>9123</v>
          </cell>
          <cell r="F78"/>
          <cell r="H78"/>
        </row>
        <row r="79">
          <cell r="D79">
            <v>22523</v>
          </cell>
          <cell r="F79"/>
          <cell r="H79"/>
        </row>
        <row r="80">
          <cell r="D80">
            <v>11149</v>
          </cell>
          <cell r="F80"/>
          <cell r="H80"/>
        </row>
        <row r="81">
          <cell r="D81"/>
          <cell r="F81"/>
          <cell r="H81"/>
        </row>
        <row r="82">
          <cell r="D82">
            <v>267</v>
          </cell>
          <cell r="F82"/>
          <cell r="H82"/>
        </row>
        <row r="83">
          <cell r="D83">
            <v>3227</v>
          </cell>
          <cell r="F83"/>
          <cell r="H83"/>
        </row>
        <row r="84">
          <cell r="D84">
            <v>37032</v>
          </cell>
          <cell r="F84"/>
          <cell r="H84"/>
        </row>
        <row r="85">
          <cell r="D85"/>
          <cell r="F85"/>
          <cell r="H85"/>
        </row>
        <row r="89">
          <cell r="D89">
            <v>107835</v>
          </cell>
          <cell r="F89"/>
          <cell r="H89"/>
        </row>
        <row r="90">
          <cell r="D90"/>
          <cell r="F90">
            <v>17711</v>
          </cell>
          <cell r="H90"/>
        </row>
        <row r="91">
          <cell r="D91">
            <v>7969</v>
          </cell>
          <cell r="F91"/>
          <cell r="H91"/>
        </row>
        <row r="92">
          <cell r="D92">
            <v>69454</v>
          </cell>
          <cell r="F92">
            <v>-2567</v>
          </cell>
          <cell r="H92"/>
        </row>
        <row r="93">
          <cell r="D93">
            <v>7709</v>
          </cell>
          <cell r="F93"/>
          <cell r="H93"/>
        </row>
        <row r="94">
          <cell r="D94">
            <v>510</v>
          </cell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678</v>
          </cell>
          <cell r="F100"/>
          <cell r="H100"/>
        </row>
        <row r="101">
          <cell r="D101"/>
          <cell r="F101"/>
          <cell r="H101"/>
        </row>
        <row r="102">
          <cell r="D102">
            <v>500</v>
          </cell>
          <cell r="F102"/>
          <cell r="H102"/>
        </row>
        <row r="103">
          <cell r="D103"/>
          <cell r="F103"/>
          <cell r="H103"/>
        </row>
        <row r="115">
          <cell r="D115">
            <v>41690</v>
          </cell>
          <cell r="F115"/>
          <cell r="H115"/>
        </row>
        <row r="116">
          <cell r="D116"/>
          <cell r="F116">
            <v>6847</v>
          </cell>
          <cell r="H116"/>
        </row>
        <row r="117">
          <cell r="D117">
            <v>7384</v>
          </cell>
          <cell r="F117"/>
          <cell r="H117"/>
        </row>
        <row r="118">
          <cell r="D118">
            <v>177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84182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103620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13826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17019</v>
          </cell>
          <cell r="H134"/>
        </row>
        <row r="136">
          <cell r="D136">
            <v>163756</v>
          </cell>
          <cell r="F136"/>
          <cell r="H136"/>
        </row>
        <row r="137">
          <cell r="D137">
            <v>163817</v>
          </cell>
          <cell r="F137"/>
          <cell r="H137"/>
        </row>
        <row r="138">
          <cell r="D138">
            <v>246746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26896</v>
          </cell>
          <cell r="H141"/>
        </row>
        <row r="142">
          <cell r="D142"/>
          <cell r="F142">
            <v>26906</v>
          </cell>
          <cell r="H142"/>
        </row>
        <row r="143">
          <cell r="D143"/>
          <cell r="F143">
            <v>40527</v>
          </cell>
          <cell r="H143"/>
        </row>
        <row r="144">
          <cell r="D144"/>
          <cell r="F144"/>
          <cell r="H144"/>
        </row>
        <row r="146">
          <cell r="D146">
            <v>28200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3877</v>
          </cell>
          <cell r="F150"/>
          <cell r="H150"/>
        </row>
        <row r="151">
          <cell r="D151">
            <v>68021</v>
          </cell>
          <cell r="F151"/>
          <cell r="H151"/>
        </row>
        <row r="152">
          <cell r="D152">
            <v>454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3612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165057</v>
          </cell>
          <cell r="F177"/>
          <cell r="H177"/>
        </row>
        <row r="178">
          <cell r="D178"/>
          <cell r="F178">
            <v>27110</v>
          </cell>
          <cell r="H178"/>
        </row>
        <row r="179">
          <cell r="D179">
            <v>6757</v>
          </cell>
          <cell r="F179"/>
          <cell r="H179"/>
        </row>
        <row r="180">
          <cell r="D180"/>
          <cell r="F180">
            <v>1110</v>
          </cell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59893</v>
          </cell>
          <cell r="F183"/>
          <cell r="H183"/>
        </row>
        <row r="184">
          <cell r="D184"/>
          <cell r="F184">
            <v>9837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4934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>
            <v>5</v>
          </cell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327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>
            <v>72601</v>
          </cell>
          <cell r="F197"/>
          <cell r="H197"/>
        </row>
        <row r="198">
          <cell r="D198">
            <v>49007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140414</v>
          </cell>
          <cell r="F205"/>
          <cell r="H205"/>
        </row>
        <row r="206">
          <cell r="D206">
            <v>12618</v>
          </cell>
          <cell r="F206"/>
          <cell r="H206"/>
        </row>
        <row r="207">
          <cell r="D207"/>
          <cell r="F207"/>
          <cell r="H207"/>
        </row>
        <row r="211">
          <cell r="D211">
            <v>33591</v>
          </cell>
          <cell r="F211"/>
          <cell r="H211"/>
        </row>
        <row r="212">
          <cell r="D212"/>
          <cell r="F212">
            <v>5517</v>
          </cell>
          <cell r="H212"/>
        </row>
        <row r="213">
          <cell r="D213">
            <v>9380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649</v>
          </cell>
          <cell r="F216"/>
          <cell r="H216"/>
        </row>
        <row r="221">
          <cell r="D221">
            <v>2789063</v>
          </cell>
        </row>
      </sheetData>
      <sheetData sheetId="8"/>
      <sheetData sheetId="9"/>
      <sheetData sheetId="10">
        <row r="9">
          <cell r="C9">
            <v>2646</v>
          </cell>
          <cell r="D9"/>
          <cell r="E9">
            <v>2610</v>
          </cell>
          <cell r="F9">
            <v>1425</v>
          </cell>
          <cell r="G9"/>
          <cell r="H9">
            <v>479</v>
          </cell>
          <cell r="I9"/>
          <cell r="J9"/>
          <cell r="K9"/>
        </row>
        <row r="22">
          <cell r="N22">
            <v>50</v>
          </cell>
        </row>
        <row r="24">
          <cell r="N24">
            <v>50</v>
          </cell>
        </row>
        <row r="28">
          <cell r="N28">
            <v>10100</v>
          </cell>
        </row>
        <row r="30">
          <cell r="N30">
            <v>0.70891089108910887</v>
          </cell>
        </row>
        <row r="32">
          <cell r="N32">
            <v>0.26198019801980199</v>
          </cell>
        </row>
        <row r="34">
          <cell r="N34">
            <v>0.36955307262569836</v>
          </cell>
        </row>
      </sheetData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3645403.1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3645403.1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797028.79999999993</v>
          </cell>
          <cell r="G26">
            <v>0</v>
          </cell>
        </row>
        <row r="32">
          <cell r="E32">
            <v>882859.3899999999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801728</v>
          </cell>
          <cell r="G42">
            <v>0</v>
          </cell>
        </row>
        <row r="47">
          <cell r="E47">
            <v>366301.56000000006</v>
          </cell>
          <cell r="G47">
            <v>0</v>
          </cell>
        </row>
        <row r="52">
          <cell r="E52">
            <v>222068.73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150894.13</v>
          </cell>
          <cell r="G72">
            <v>0</v>
          </cell>
        </row>
        <row r="90">
          <cell r="C90">
            <v>180.80508474576271</v>
          </cell>
          <cell r="E90">
            <v>168.73200757575756</v>
          </cell>
          <cell r="G90">
            <v>166.00868878357031</v>
          </cell>
          <cell r="I90">
            <v>200.1781652767248</v>
          </cell>
        </row>
      </sheetData>
      <sheetData sheetId="6"/>
      <sheetData sheetId="7">
        <row r="10">
          <cell r="D10">
            <v>78796.570000000007</v>
          </cell>
          <cell r="F10"/>
          <cell r="H10"/>
        </row>
        <row r="11">
          <cell r="D11"/>
          <cell r="F11"/>
          <cell r="H11"/>
        </row>
        <row r="12">
          <cell r="D12">
            <v>104093.16</v>
          </cell>
          <cell r="F12"/>
          <cell r="H12"/>
        </row>
        <row r="13">
          <cell r="D13">
            <v>256557.42</v>
          </cell>
          <cell r="F13"/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620181.68999999994</v>
          </cell>
          <cell r="F16"/>
          <cell r="H16"/>
        </row>
        <row r="17">
          <cell r="D17">
            <v>1822.51</v>
          </cell>
          <cell r="F17"/>
          <cell r="H17"/>
        </row>
        <row r="18">
          <cell r="D18">
            <v>3467.64</v>
          </cell>
          <cell r="F18"/>
          <cell r="H18"/>
        </row>
        <row r="19">
          <cell r="D19">
            <v>16943.64</v>
          </cell>
          <cell r="F19"/>
          <cell r="H19"/>
        </row>
        <row r="20">
          <cell r="D20">
            <v>7206.01</v>
          </cell>
          <cell r="F20"/>
          <cell r="H20"/>
        </row>
        <row r="21">
          <cell r="D21"/>
          <cell r="F21"/>
          <cell r="H21"/>
        </row>
        <row r="22">
          <cell r="D22"/>
          <cell r="F22"/>
          <cell r="H22"/>
        </row>
        <row r="23">
          <cell r="D23">
            <v>15806.66</v>
          </cell>
          <cell r="F23"/>
          <cell r="H23"/>
        </row>
        <row r="24">
          <cell r="D24"/>
          <cell r="F24"/>
          <cell r="H24"/>
        </row>
        <row r="25">
          <cell r="D25"/>
          <cell r="F25"/>
          <cell r="H25"/>
        </row>
        <row r="26">
          <cell r="D26">
            <v>572478.07999999996</v>
          </cell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186801.7</v>
          </cell>
          <cell r="F29">
            <v>-186801.7</v>
          </cell>
          <cell r="H29"/>
        </row>
        <row r="30">
          <cell r="D30">
            <v>5160.9399999999996</v>
          </cell>
          <cell r="F30">
            <v>-5160.9399999999996</v>
          </cell>
          <cell r="H30"/>
        </row>
        <row r="31">
          <cell r="D31">
            <v>16180.55</v>
          </cell>
          <cell r="F31"/>
          <cell r="H31"/>
        </row>
        <row r="32">
          <cell r="D32">
            <v>111747.78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47048.800000000003</v>
          </cell>
          <cell r="F36"/>
          <cell r="H36"/>
        </row>
        <row r="37">
          <cell r="D37">
            <v>10306.82</v>
          </cell>
          <cell r="F37"/>
          <cell r="H37"/>
        </row>
        <row r="38">
          <cell r="D38"/>
          <cell r="F38"/>
          <cell r="H38"/>
        </row>
        <row r="39">
          <cell r="D39"/>
          <cell r="F39"/>
          <cell r="H39"/>
        </row>
        <row r="40">
          <cell r="D40">
            <v>3241.34</v>
          </cell>
          <cell r="F40"/>
          <cell r="H40"/>
        </row>
        <row r="41">
          <cell r="D41">
            <v>47293.82</v>
          </cell>
          <cell r="F41"/>
          <cell r="H41"/>
        </row>
        <row r="42">
          <cell r="D42"/>
          <cell r="F42"/>
          <cell r="H42"/>
        </row>
        <row r="43">
          <cell r="D43">
            <v>29767.99</v>
          </cell>
          <cell r="F43"/>
          <cell r="H43"/>
        </row>
        <row r="44">
          <cell r="D44"/>
          <cell r="F44"/>
          <cell r="H44"/>
        </row>
        <row r="45">
          <cell r="D45">
            <v>2395.15</v>
          </cell>
          <cell r="F45"/>
          <cell r="H45"/>
        </row>
        <row r="57">
          <cell r="D57"/>
          <cell r="F57"/>
          <cell r="H57"/>
        </row>
        <row r="58">
          <cell r="D58">
            <v>484694.92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/>
          <cell r="F61"/>
          <cell r="H61"/>
        </row>
        <row r="62">
          <cell r="D62">
            <v>8058.96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2140.0500000000002</v>
          </cell>
          <cell r="F66"/>
          <cell r="H66"/>
        </row>
        <row r="67">
          <cell r="D67">
            <v>56123.22</v>
          </cell>
          <cell r="F67"/>
          <cell r="H67"/>
        </row>
        <row r="68">
          <cell r="D68">
            <v>72480.55</v>
          </cell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81881.7</v>
          </cell>
          <cell r="F75"/>
          <cell r="H75"/>
        </row>
        <row r="76">
          <cell r="D76">
            <v>8688.99</v>
          </cell>
          <cell r="F76"/>
          <cell r="H76"/>
        </row>
        <row r="77">
          <cell r="D77">
            <v>6775.23</v>
          </cell>
          <cell r="F77"/>
          <cell r="H77"/>
        </row>
        <row r="78">
          <cell r="D78"/>
          <cell r="F78"/>
          <cell r="H78"/>
        </row>
        <row r="79">
          <cell r="D79">
            <v>479.95</v>
          </cell>
          <cell r="F79"/>
          <cell r="H79"/>
        </row>
        <row r="80">
          <cell r="D80">
            <v>16743.349999999999</v>
          </cell>
          <cell r="F80"/>
          <cell r="H80"/>
        </row>
        <row r="81">
          <cell r="D81">
            <v>75193.899999999994</v>
          </cell>
          <cell r="F81"/>
          <cell r="H81"/>
        </row>
        <row r="82">
          <cell r="D82">
            <v>194.63</v>
          </cell>
          <cell r="F82"/>
          <cell r="H82"/>
        </row>
        <row r="83">
          <cell r="D83">
            <v>15650.37</v>
          </cell>
          <cell r="F83"/>
          <cell r="H83"/>
        </row>
        <row r="84">
          <cell r="D84">
            <v>145669.99</v>
          </cell>
          <cell r="F84"/>
          <cell r="H84"/>
        </row>
        <row r="85">
          <cell r="D85">
            <v>180</v>
          </cell>
          <cell r="F85"/>
          <cell r="H85"/>
        </row>
        <row r="89">
          <cell r="D89">
            <v>250010.09</v>
          </cell>
          <cell r="F89"/>
          <cell r="H89"/>
        </row>
        <row r="90">
          <cell r="D90">
            <v>21867.4</v>
          </cell>
          <cell r="F90"/>
          <cell r="H90"/>
        </row>
        <row r="91">
          <cell r="D91">
            <v>34020</v>
          </cell>
          <cell r="F91"/>
          <cell r="H91"/>
        </row>
        <row r="92">
          <cell r="D92">
            <v>250475.49</v>
          </cell>
          <cell r="F92"/>
          <cell r="H92"/>
        </row>
        <row r="93">
          <cell r="D93">
            <v>29015.66</v>
          </cell>
          <cell r="F93"/>
          <cell r="H93"/>
        </row>
        <row r="94">
          <cell r="D94">
            <v>1885.33</v>
          </cell>
          <cell r="F94"/>
          <cell r="H94"/>
        </row>
        <row r="98">
          <cell r="D98">
            <v>31080.799999999999</v>
          </cell>
          <cell r="F98"/>
          <cell r="H98"/>
        </row>
        <row r="99">
          <cell r="D99">
            <v>-740.02</v>
          </cell>
          <cell r="F99"/>
          <cell r="H99"/>
        </row>
        <row r="100">
          <cell r="D100">
            <v>10112.5</v>
          </cell>
          <cell r="F100"/>
          <cell r="H100"/>
        </row>
        <row r="101">
          <cell r="D101"/>
          <cell r="F101"/>
          <cell r="H101"/>
        </row>
        <row r="102">
          <cell r="D102"/>
          <cell r="F102"/>
          <cell r="H102"/>
        </row>
        <row r="103">
          <cell r="D103">
            <v>56.2</v>
          </cell>
          <cell r="F103"/>
          <cell r="H103"/>
        </row>
        <row r="115">
          <cell r="D115">
            <v>165519.93</v>
          </cell>
          <cell r="F115"/>
          <cell r="H115"/>
        </row>
        <row r="116">
          <cell r="D116">
            <v>12234.79</v>
          </cell>
          <cell r="F116"/>
          <cell r="H116"/>
        </row>
        <row r="117">
          <cell r="D117">
            <v>16890.22</v>
          </cell>
          <cell r="F117"/>
          <cell r="H117"/>
        </row>
        <row r="118">
          <cell r="D118"/>
          <cell r="F118"/>
          <cell r="H118"/>
        </row>
        <row r="119">
          <cell r="D119">
            <v>608.66999999999996</v>
          </cell>
          <cell r="F119"/>
          <cell r="H119"/>
        </row>
        <row r="124">
          <cell r="D124"/>
          <cell r="F124"/>
          <cell r="H124"/>
        </row>
        <row r="125">
          <cell r="D125">
            <v>215190.83</v>
          </cell>
          <cell r="F125"/>
          <cell r="H125"/>
        </row>
        <row r="126">
          <cell r="D126"/>
          <cell r="F126"/>
          <cell r="H126"/>
        </row>
        <row r="127">
          <cell r="D127">
            <v>1409.8</v>
          </cell>
          <cell r="F127"/>
          <cell r="H127"/>
        </row>
        <row r="128">
          <cell r="D128">
            <v>59104.1</v>
          </cell>
          <cell r="F128"/>
          <cell r="H128"/>
        </row>
        <row r="130">
          <cell r="D130"/>
          <cell r="F130"/>
          <cell r="H130"/>
        </row>
        <row r="131">
          <cell r="D131">
            <v>21664.28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/>
          <cell r="H134"/>
        </row>
        <row r="136">
          <cell r="D136">
            <v>603386.80000000005</v>
          </cell>
          <cell r="F136"/>
          <cell r="H136"/>
        </row>
        <row r="137">
          <cell r="D137">
            <v>392631.56</v>
          </cell>
          <cell r="F137"/>
          <cell r="H137"/>
        </row>
        <row r="138">
          <cell r="D138">
            <v>982351.31</v>
          </cell>
          <cell r="F138"/>
          <cell r="H138"/>
        </row>
        <row r="139">
          <cell r="D139"/>
          <cell r="F139"/>
          <cell r="H139"/>
        </row>
        <row r="141">
          <cell r="D141">
            <v>174377.67</v>
          </cell>
          <cell r="F141"/>
          <cell r="H141"/>
        </row>
        <row r="142">
          <cell r="D142"/>
          <cell r="F142"/>
          <cell r="H142"/>
        </row>
        <row r="143">
          <cell r="D143"/>
          <cell r="F143"/>
          <cell r="H143"/>
        </row>
        <row r="144">
          <cell r="D144"/>
          <cell r="F144"/>
          <cell r="H144"/>
        </row>
        <row r="146">
          <cell r="D146">
            <v>55500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/>
          <cell r="F150"/>
          <cell r="H150"/>
        </row>
        <row r="151">
          <cell r="D151">
            <v>67054.19</v>
          </cell>
          <cell r="F151"/>
          <cell r="H151"/>
        </row>
        <row r="152">
          <cell r="D152">
            <v>536.59</v>
          </cell>
          <cell r="F152"/>
          <cell r="H152"/>
        </row>
        <row r="153">
          <cell r="D153">
            <v>1661.1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169.5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73.92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501.2</v>
          </cell>
          <cell r="F193"/>
          <cell r="H193"/>
        </row>
        <row r="194">
          <cell r="D194">
            <v>480234.93</v>
          </cell>
          <cell r="F194"/>
          <cell r="H194"/>
        </row>
        <row r="195">
          <cell r="D195"/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38511.480000000003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>
            <v>21085.66</v>
          </cell>
          <cell r="F203"/>
          <cell r="H203"/>
        </row>
        <row r="204">
          <cell r="D204"/>
          <cell r="F204"/>
          <cell r="H204"/>
        </row>
        <row r="205">
          <cell r="D205">
            <v>286390.26</v>
          </cell>
          <cell r="F205"/>
          <cell r="H205"/>
        </row>
        <row r="206">
          <cell r="D206">
            <v>21409.3</v>
          </cell>
          <cell r="F206"/>
          <cell r="H206"/>
        </row>
        <row r="207">
          <cell r="D207">
            <v>29666.92</v>
          </cell>
          <cell r="F207"/>
          <cell r="H207"/>
        </row>
        <row r="211">
          <cell r="D211">
            <v>186904.3</v>
          </cell>
          <cell r="F211"/>
          <cell r="H211"/>
        </row>
        <row r="212">
          <cell r="D212">
            <v>19917.34</v>
          </cell>
          <cell r="F212"/>
          <cell r="H212"/>
        </row>
        <row r="213">
          <cell r="D213">
            <v>2171.2800000000002</v>
          </cell>
          <cell r="F213"/>
          <cell r="H213"/>
        </row>
        <row r="214">
          <cell r="D214">
            <v>3167</v>
          </cell>
          <cell r="F214"/>
          <cell r="H214"/>
        </row>
        <row r="215">
          <cell r="D215"/>
          <cell r="F215"/>
          <cell r="H215"/>
        </row>
        <row r="216">
          <cell r="D216">
            <v>1573.41</v>
          </cell>
          <cell r="F216"/>
          <cell r="H216"/>
        </row>
        <row r="221">
          <cell r="D221">
            <v>7601935.6299999999</v>
          </cell>
        </row>
      </sheetData>
      <sheetData sheetId="8"/>
      <sheetData sheetId="9"/>
      <sheetData sheetId="10">
        <row r="9">
          <cell r="C9">
            <v>19894</v>
          </cell>
          <cell r="D9">
            <v>0</v>
          </cell>
          <cell r="E9">
            <v>1614</v>
          </cell>
          <cell r="F9">
            <v>2983</v>
          </cell>
          <cell r="G9">
            <v>0</v>
          </cell>
          <cell r="H9">
            <v>4467</v>
          </cell>
          <cell r="I9">
            <v>1654</v>
          </cell>
          <cell r="J9">
            <v>1334</v>
          </cell>
          <cell r="K9">
            <v>0</v>
          </cell>
        </row>
        <row r="22">
          <cell r="N22">
            <v>172</v>
          </cell>
        </row>
        <row r="24">
          <cell r="N24">
            <v>172</v>
          </cell>
        </row>
        <row r="28">
          <cell r="N28">
            <v>62780</v>
          </cell>
        </row>
        <row r="30">
          <cell r="N30">
            <v>0.50885632366995859</v>
          </cell>
        </row>
        <row r="32">
          <cell r="N32">
            <v>0.31688435807582033</v>
          </cell>
        </row>
        <row r="34">
          <cell r="N34">
            <v>0.62273837100106433</v>
          </cell>
        </row>
      </sheetData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Supp Listing"/>
      <sheetName val="Supp 1012"/>
      <sheetName val="Supp 10-490"/>
      <sheetName val="Supp 70-490"/>
      <sheetName val="Supp 90-490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2725175</v>
          </cell>
          <cell r="G10">
            <v>-37990</v>
          </cell>
        </row>
        <row r="12">
          <cell r="E12">
            <v>0</v>
          </cell>
          <cell r="G12"/>
        </row>
        <row r="13">
          <cell r="E13">
            <v>288755</v>
          </cell>
          <cell r="G13"/>
        </row>
        <row r="14">
          <cell r="E14">
            <v>0</v>
          </cell>
          <cell r="G14"/>
        </row>
        <row r="15">
          <cell r="E15">
            <v>3013930</v>
          </cell>
          <cell r="G15">
            <v>-37990</v>
          </cell>
        </row>
        <row r="20">
          <cell r="E20">
            <v>0</v>
          </cell>
          <cell r="G20">
            <v>0</v>
          </cell>
        </row>
        <row r="26">
          <cell r="E26">
            <v>893565</v>
          </cell>
          <cell r="G26">
            <v>0</v>
          </cell>
        </row>
        <row r="32">
          <cell r="E32">
            <v>83369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8178</v>
          </cell>
          <cell r="G42">
            <v>37990</v>
          </cell>
        </row>
        <row r="47">
          <cell r="E47">
            <v>296837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99126</v>
          </cell>
          <cell r="G57">
            <v>0</v>
          </cell>
        </row>
        <row r="72">
          <cell r="E72">
            <v>68226</v>
          </cell>
          <cell r="G72">
            <v>-10887</v>
          </cell>
        </row>
        <row r="90">
          <cell r="C90">
            <v>161.42424242424244</v>
          </cell>
          <cell r="E90">
            <v>161.42741935483872</v>
          </cell>
          <cell r="G90">
            <v>161.44</v>
          </cell>
          <cell r="I90">
            <v>161.42253521126761</v>
          </cell>
        </row>
      </sheetData>
      <sheetData sheetId="6"/>
      <sheetData sheetId="7">
        <row r="10">
          <cell r="D10">
            <v>0</v>
          </cell>
          <cell r="F10">
            <v>82367</v>
          </cell>
          <cell r="H10"/>
        </row>
        <row r="11">
          <cell r="D11">
            <v>0</v>
          </cell>
          <cell r="F11"/>
          <cell r="H11"/>
        </row>
        <row r="12">
          <cell r="D12">
            <v>209404</v>
          </cell>
          <cell r="F12">
            <v>-82367</v>
          </cell>
          <cell r="H12"/>
        </row>
        <row r="13">
          <cell r="D13">
            <v>38370</v>
          </cell>
          <cell r="F13"/>
          <cell r="H13"/>
        </row>
        <row r="14">
          <cell r="D14">
            <v>0</v>
          </cell>
          <cell r="F14"/>
          <cell r="H14"/>
        </row>
        <row r="15">
          <cell r="D15">
            <v>0</v>
          </cell>
          <cell r="F15"/>
          <cell r="H15"/>
        </row>
        <row r="16">
          <cell r="D16">
            <v>223221</v>
          </cell>
          <cell r="F16"/>
          <cell r="H16">
            <v>92060</v>
          </cell>
        </row>
        <row r="17">
          <cell r="D17">
            <v>212</v>
          </cell>
          <cell r="F17">
            <v>-212</v>
          </cell>
          <cell r="H17"/>
        </row>
        <row r="18">
          <cell r="D18">
            <v>6013</v>
          </cell>
          <cell r="F18"/>
          <cell r="H18"/>
        </row>
        <row r="19">
          <cell r="D19">
            <v>12476</v>
          </cell>
          <cell r="F19"/>
          <cell r="H19"/>
        </row>
        <row r="20">
          <cell r="D20">
            <v>15654</v>
          </cell>
          <cell r="F20"/>
          <cell r="H20"/>
        </row>
        <row r="21">
          <cell r="D21">
            <v>35203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28638</v>
          </cell>
          <cell r="F23"/>
          <cell r="H23"/>
        </row>
        <row r="24">
          <cell r="D24">
            <v>26165</v>
          </cell>
          <cell r="F24"/>
          <cell r="H24"/>
        </row>
        <row r="25">
          <cell r="D25">
            <v>2659</v>
          </cell>
          <cell r="F25"/>
          <cell r="H25"/>
        </row>
        <row r="26">
          <cell r="D26">
            <v>419957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146179</v>
          </cell>
          <cell r="F29">
            <v>-146179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60218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318</v>
          </cell>
          <cell r="F34"/>
          <cell r="H34"/>
        </row>
        <row r="35">
          <cell r="D35">
            <v>-10056</v>
          </cell>
          <cell r="F35">
            <v>10056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647</v>
          </cell>
          <cell r="F38">
            <v>-647</v>
          </cell>
          <cell r="H38"/>
        </row>
        <row r="39">
          <cell r="D39">
            <v>13837</v>
          </cell>
          <cell r="F39"/>
          <cell r="H39"/>
        </row>
        <row r="40">
          <cell r="D40">
            <v>1846</v>
          </cell>
          <cell r="F40">
            <v>-1846</v>
          </cell>
          <cell r="H40"/>
        </row>
        <row r="41">
          <cell r="D41">
            <v>168313</v>
          </cell>
          <cell r="F41"/>
          <cell r="H41">
            <v>-4264</v>
          </cell>
        </row>
        <row r="42">
          <cell r="D42">
            <v>40</v>
          </cell>
          <cell r="F42"/>
          <cell r="H42"/>
        </row>
        <row r="43">
          <cell r="D43">
            <v>11497</v>
          </cell>
          <cell r="F43">
            <v>-11497</v>
          </cell>
          <cell r="H43"/>
        </row>
        <row r="44">
          <cell r="D44">
            <v>0</v>
          </cell>
          <cell r="F44"/>
          <cell r="H44"/>
        </row>
        <row r="45">
          <cell r="D45">
            <v>12169</v>
          </cell>
          <cell r="F45">
            <v>-9286</v>
          </cell>
          <cell r="H45"/>
        </row>
        <row r="57">
          <cell r="D57">
            <v>0</v>
          </cell>
          <cell r="F57"/>
          <cell r="H57"/>
        </row>
        <row r="58">
          <cell r="D58">
            <v>82622</v>
          </cell>
          <cell r="F58"/>
          <cell r="H58"/>
        </row>
        <row r="59">
          <cell r="D59">
            <v>77114</v>
          </cell>
          <cell r="F59">
            <v>-525</v>
          </cell>
          <cell r="H59"/>
        </row>
        <row r="60">
          <cell r="D60">
            <v>39696</v>
          </cell>
          <cell r="F60"/>
          <cell r="H60"/>
        </row>
        <row r="61">
          <cell r="D61">
            <v>17624</v>
          </cell>
          <cell r="F61"/>
          <cell r="H61"/>
        </row>
        <row r="62">
          <cell r="D62">
            <v>387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0</v>
          </cell>
          <cell r="F65"/>
          <cell r="H65"/>
        </row>
        <row r="66">
          <cell r="D66">
            <v>43841</v>
          </cell>
          <cell r="F66"/>
          <cell r="H66">
            <v>-508</v>
          </cell>
        </row>
        <row r="67">
          <cell r="D67">
            <v>40730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1857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50608</v>
          </cell>
          <cell r="F75"/>
          <cell r="H75"/>
        </row>
        <row r="76">
          <cell r="D76">
            <v>10846</v>
          </cell>
          <cell r="F76"/>
          <cell r="H76"/>
        </row>
        <row r="77">
          <cell r="D77">
            <v>5342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7640</v>
          </cell>
          <cell r="F79"/>
          <cell r="H79"/>
        </row>
        <row r="80">
          <cell r="D80">
            <v>31307</v>
          </cell>
          <cell r="F80"/>
          <cell r="H80"/>
        </row>
        <row r="81">
          <cell r="D81">
            <v>34704</v>
          </cell>
          <cell r="F81"/>
          <cell r="H81"/>
        </row>
        <row r="82">
          <cell r="D82">
            <v>36931</v>
          </cell>
          <cell r="F82"/>
          <cell r="H82"/>
        </row>
        <row r="83">
          <cell r="D83">
            <v>820</v>
          </cell>
          <cell r="F83"/>
          <cell r="H83"/>
        </row>
        <row r="84">
          <cell r="D84">
            <v>76530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0</v>
          </cell>
          <cell r="F89"/>
          <cell r="H89"/>
        </row>
        <row r="90">
          <cell r="D90">
            <v>0</v>
          </cell>
          <cell r="F90"/>
          <cell r="H90"/>
        </row>
        <row r="91">
          <cell r="D91">
            <v>435341</v>
          </cell>
          <cell r="F91"/>
          <cell r="H91"/>
        </row>
        <row r="92">
          <cell r="D92">
            <v>-621</v>
          </cell>
          <cell r="F92">
            <v>-1076</v>
          </cell>
          <cell r="H92"/>
        </row>
        <row r="93">
          <cell r="D93">
            <v>5330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0</v>
          </cell>
          <cell r="F98"/>
          <cell r="H98"/>
        </row>
        <row r="99">
          <cell r="D99">
            <v>-2</v>
          </cell>
          <cell r="F99"/>
          <cell r="H99"/>
        </row>
        <row r="100">
          <cell r="D100">
            <v>498</v>
          </cell>
          <cell r="F100"/>
          <cell r="H100"/>
        </row>
        <row r="101">
          <cell r="D101">
            <v>52917</v>
          </cell>
          <cell r="F101"/>
          <cell r="H101"/>
        </row>
        <row r="102">
          <cell r="D102">
            <v>4563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0</v>
          </cell>
          <cell r="F115"/>
          <cell r="H115"/>
        </row>
        <row r="116">
          <cell r="D116">
            <v>0</v>
          </cell>
          <cell r="F116"/>
          <cell r="H116"/>
        </row>
        <row r="117">
          <cell r="D117">
            <v>12072</v>
          </cell>
          <cell r="F117"/>
          <cell r="H117"/>
        </row>
        <row r="118">
          <cell r="D118">
            <v>104296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>
            <v>0</v>
          </cell>
          <cell r="F124"/>
          <cell r="H124"/>
        </row>
        <row r="125">
          <cell r="D125">
            <v>205415</v>
          </cell>
          <cell r="F125"/>
          <cell r="H125"/>
        </row>
        <row r="126">
          <cell r="D126">
            <v>0</v>
          </cell>
          <cell r="F126"/>
          <cell r="H126"/>
        </row>
        <row r="127">
          <cell r="D127">
            <v>0</v>
          </cell>
          <cell r="F127"/>
          <cell r="H127"/>
        </row>
        <row r="128">
          <cell r="D128">
            <v>29610</v>
          </cell>
          <cell r="F128"/>
          <cell r="H128"/>
        </row>
        <row r="130">
          <cell r="D130">
            <v>0</v>
          </cell>
          <cell r="F130"/>
          <cell r="H130"/>
        </row>
        <row r="131">
          <cell r="D131">
            <v>24679</v>
          </cell>
          <cell r="F131"/>
          <cell r="H131"/>
        </row>
        <row r="132">
          <cell r="D132">
            <v>0</v>
          </cell>
          <cell r="F132"/>
          <cell r="H132"/>
        </row>
        <row r="133">
          <cell r="D133">
            <v>0</v>
          </cell>
          <cell r="F133"/>
          <cell r="H133"/>
        </row>
        <row r="134">
          <cell r="D134">
            <v>9313</v>
          </cell>
          <cell r="F134"/>
          <cell r="H134"/>
        </row>
        <row r="136">
          <cell r="D136">
            <v>553605</v>
          </cell>
          <cell r="F136"/>
          <cell r="H136"/>
        </row>
        <row r="137">
          <cell r="D137">
            <v>245475</v>
          </cell>
          <cell r="F137"/>
          <cell r="H137"/>
        </row>
        <row r="138">
          <cell r="D138">
            <v>678334</v>
          </cell>
          <cell r="F138">
            <v>1035</v>
          </cell>
          <cell r="H138"/>
        </row>
        <row r="139">
          <cell r="D139">
            <v>1035</v>
          </cell>
          <cell r="F139">
            <v>-1035</v>
          </cell>
          <cell r="H139"/>
        </row>
        <row r="141">
          <cell r="D141">
            <v>332600</v>
          </cell>
          <cell r="F141">
            <v>-208058</v>
          </cell>
          <cell r="H141"/>
        </row>
        <row r="142">
          <cell r="D142">
            <v>0</v>
          </cell>
          <cell r="F142">
            <v>55223</v>
          </cell>
          <cell r="H142"/>
        </row>
        <row r="143">
          <cell r="D143">
            <v>0</v>
          </cell>
          <cell r="F143">
            <v>152835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37600</v>
          </cell>
          <cell r="F146"/>
          <cell r="H146"/>
        </row>
        <row r="147">
          <cell r="D147">
            <v>402046</v>
          </cell>
          <cell r="F147"/>
          <cell r="H147"/>
        </row>
        <row r="148">
          <cell r="D148">
            <v>16273</v>
          </cell>
          <cell r="F148"/>
          <cell r="H148"/>
        </row>
        <row r="149">
          <cell r="D149">
            <v>262247</v>
          </cell>
          <cell r="F149"/>
          <cell r="H149"/>
        </row>
        <row r="150">
          <cell r="D150">
            <v>7417</v>
          </cell>
          <cell r="F150"/>
          <cell r="H150"/>
        </row>
        <row r="151">
          <cell r="D151">
            <v>69957</v>
          </cell>
          <cell r="F151"/>
          <cell r="H151"/>
        </row>
        <row r="152">
          <cell r="D152">
            <v>7270</v>
          </cell>
          <cell r="F152"/>
          <cell r="H152"/>
        </row>
        <row r="153">
          <cell r="D153">
            <v>0</v>
          </cell>
          <cell r="F153"/>
          <cell r="H153"/>
        </row>
        <row r="154">
          <cell r="D154">
            <v>0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>
            <v>225</v>
          </cell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>
            <v>12576</v>
          </cell>
          <cell r="F161"/>
          <cell r="H161"/>
        </row>
        <row r="175">
          <cell r="D175">
            <v>0</v>
          </cell>
          <cell r="F175"/>
          <cell r="H175"/>
        </row>
        <row r="176">
          <cell r="D176">
            <v>0</v>
          </cell>
          <cell r="F176"/>
          <cell r="H176"/>
        </row>
        <row r="177">
          <cell r="D177">
            <v>0</v>
          </cell>
          <cell r="F177"/>
          <cell r="H177"/>
        </row>
        <row r="178">
          <cell r="D178">
            <v>0</v>
          </cell>
          <cell r="F178"/>
          <cell r="H178"/>
        </row>
        <row r="179">
          <cell r="D179">
            <v>0</v>
          </cell>
          <cell r="F179"/>
          <cell r="H179"/>
        </row>
        <row r="180">
          <cell r="D180">
            <v>0</v>
          </cell>
          <cell r="F180"/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/>
          <cell r="H183"/>
        </row>
        <row r="184">
          <cell r="D184">
            <v>0</v>
          </cell>
          <cell r="F184"/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675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291</v>
          </cell>
          <cell r="F193"/>
          <cell r="H193"/>
        </row>
        <row r="194">
          <cell r="D194">
            <v>144230</v>
          </cell>
          <cell r="F194"/>
          <cell r="H194">
            <v>2524</v>
          </cell>
        </row>
        <row r="195">
          <cell r="D195">
            <v>93038</v>
          </cell>
          <cell r="F195"/>
          <cell r="H195">
            <v>1628</v>
          </cell>
        </row>
        <row r="196">
          <cell r="D196">
            <v>0</v>
          </cell>
          <cell r="F196"/>
          <cell r="H196"/>
        </row>
        <row r="197">
          <cell r="D197">
            <v>155816</v>
          </cell>
          <cell r="F197"/>
          <cell r="H197">
            <v>2727</v>
          </cell>
        </row>
        <row r="198">
          <cell r="D198">
            <v>35816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85730</v>
          </cell>
          <cell r="F205"/>
          <cell r="H205"/>
        </row>
        <row r="206">
          <cell r="D206">
            <v>1328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197597</v>
          </cell>
          <cell r="F211"/>
          <cell r="H211"/>
        </row>
        <row r="212">
          <cell r="D212">
            <v>46346</v>
          </cell>
          <cell r="F212"/>
          <cell r="H212"/>
        </row>
        <row r="213">
          <cell r="D213">
            <v>3550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2286</v>
          </cell>
          <cell r="F216"/>
          <cell r="H216"/>
        </row>
        <row r="221">
          <cell r="D221">
            <v>6258353</v>
          </cell>
        </row>
      </sheetData>
      <sheetData sheetId="8"/>
      <sheetData sheetId="9"/>
      <sheetData sheetId="10">
        <row r="9">
          <cell r="C9">
            <v>17237</v>
          </cell>
          <cell r="D9"/>
          <cell r="E9">
            <v>1633</v>
          </cell>
          <cell r="F9">
            <v>96</v>
          </cell>
          <cell r="G9">
            <v>0</v>
          </cell>
          <cell r="H9">
            <v>286</v>
          </cell>
          <cell r="I9">
            <v>1683</v>
          </cell>
          <cell r="J9"/>
          <cell r="K9">
            <v>778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32850</v>
          </cell>
        </row>
        <row r="30">
          <cell r="N30">
            <v>0.66097412480974127</v>
          </cell>
        </row>
        <row r="32">
          <cell r="N32">
            <v>0.52471841704718414</v>
          </cell>
        </row>
        <row r="34">
          <cell r="N34">
            <v>0.79385621517063498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1740823</v>
          </cell>
          <cell r="G10">
            <v>0</v>
          </cell>
        </row>
        <row r="12">
          <cell r="E12">
            <v>2077429</v>
          </cell>
          <cell r="G12"/>
        </row>
        <row r="13">
          <cell r="E13">
            <v>84813</v>
          </cell>
          <cell r="G13"/>
        </row>
        <row r="14">
          <cell r="E14">
            <v>0</v>
          </cell>
          <cell r="G14"/>
        </row>
        <row r="15">
          <cell r="E15">
            <v>3903065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1039232</v>
          </cell>
          <cell r="G26">
            <v>0</v>
          </cell>
        </row>
        <row r="32">
          <cell r="E32">
            <v>440906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648601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75299</v>
          </cell>
          <cell r="G72">
            <v>0</v>
          </cell>
        </row>
        <row r="90">
          <cell r="C90">
            <v>208.15601965601965</v>
          </cell>
          <cell r="E90">
            <v>178.73786407766991</v>
          </cell>
          <cell r="G90">
            <v>203.29365079365078</v>
          </cell>
          <cell r="I90">
            <v>205.22129436325679</v>
          </cell>
        </row>
      </sheetData>
      <sheetData sheetId="6"/>
      <sheetData sheetId="7">
        <row r="10">
          <cell r="D10">
            <v>106029</v>
          </cell>
          <cell r="F10"/>
          <cell r="H10"/>
        </row>
        <row r="11">
          <cell r="D11">
            <v>0</v>
          </cell>
          <cell r="F11"/>
          <cell r="H11"/>
        </row>
        <row r="12">
          <cell r="D12">
            <v>107131</v>
          </cell>
          <cell r="F12"/>
          <cell r="H12"/>
        </row>
        <row r="13">
          <cell r="D13">
            <v>65237</v>
          </cell>
          <cell r="F13"/>
          <cell r="H13"/>
        </row>
        <row r="14">
          <cell r="D14"/>
          <cell r="F14"/>
          <cell r="H14"/>
        </row>
        <row r="15">
          <cell r="D15">
            <v>263561</v>
          </cell>
          <cell r="F15"/>
          <cell r="H15"/>
        </row>
        <row r="16">
          <cell r="D16">
            <v>0</v>
          </cell>
          <cell r="F16"/>
          <cell r="H16"/>
        </row>
        <row r="17">
          <cell r="D17">
            <v>1892</v>
          </cell>
          <cell r="F17">
            <v>-1892</v>
          </cell>
          <cell r="H17"/>
        </row>
        <row r="18">
          <cell r="D18">
            <v>14979</v>
          </cell>
          <cell r="F18"/>
          <cell r="H18"/>
        </row>
        <row r="19">
          <cell r="D19">
            <v>10326</v>
          </cell>
          <cell r="F19"/>
          <cell r="H19"/>
        </row>
        <row r="20">
          <cell r="D20">
            <v>28562</v>
          </cell>
          <cell r="F20"/>
          <cell r="H20"/>
        </row>
        <row r="21">
          <cell r="D21">
            <v>0</v>
          </cell>
          <cell r="F21"/>
          <cell r="H21"/>
        </row>
        <row r="22">
          <cell r="D22">
            <v>0</v>
          </cell>
          <cell r="F22"/>
          <cell r="H22"/>
        </row>
        <row r="23">
          <cell r="D23">
            <v>16626</v>
          </cell>
          <cell r="F23"/>
          <cell r="H23"/>
        </row>
        <row r="24">
          <cell r="D24">
            <v>0</v>
          </cell>
          <cell r="F24"/>
          <cell r="H24"/>
        </row>
        <row r="25">
          <cell r="D25">
            <v>0</v>
          </cell>
          <cell r="F25"/>
          <cell r="H25"/>
        </row>
        <row r="26">
          <cell r="D26">
            <v>0</v>
          </cell>
          <cell r="F26"/>
          <cell r="H26"/>
        </row>
        <row r="27">
          <cell r="D27">
            <v>0</v>
          </cell>
          <cell r="F27"/>
          <cell r="H27"/>
        </row>
        <row r="28">
          <cell r="D28">
            <v>0</v>
          </cell>
          <cell r="F28">
            <v>0</v>
          </cell>
          <cell r="H28"/>
        </row>
        <row r="29">
          <cell r="D29">
            <v>8943</v>
          </cell>
          <cell r="F29">
            <v>-8943</v>
          </cell>
          <cell r="H29"/>
        </row>
        <row r="30">
          <cell r="D30">
            <v>0</v>
          </cell>
          <cell r="F30">
            <v>0</v>
          </cell>
          <cell r="H30"/>
        </row>
        <row r="31">
          <cell r="D31">
            <v>0</v>
          </cell>
          <cell r="F31"/>
          <cell r="H31"/>
        </row>
        <row r="32">
          <cell r="D32">
            <v>39971</v>
          </cell>
          <cell r="F32"/>
          <cell r="H32"/>
        </row>
        <row r="33">
          <cell r="D33">
            <v>0</v>
          </cell>
          <cell r="F33">
            <v>0</v>
          </cell>
          <cell r="H33"/>
        </row>
        <row r="34">
          <cell r="D34">
            <v>0</v>
          </cell>
          <cell r="F34"/>
          <cell r="H34"/>
        </row>
        <row r="35">
          <cell r="D35">
            <v>0</v>
          </cell>
          <cell r="F35">
            <v>0</v>
          </cell>
          <cell r="H35"/>
        </row>
        <row r="36">
          <cell r="D36">
            <v>0</v>
          </cell>
          <cell r="F36"/>
          <cell r="H36"/>
        </row>
        <row r="37">
          <cell r="D37">
            <v>0</v>
          </cell>
          <cell r="F37"/>
          <cell r="H37"/>
        </row>
        <row r="38">
          <cell r="D38">
            <v>0</v>
          </cell>
          <cell r="F38"/>
          <cell r="H38"/>
        </row>
        <row r="39">
          <cell r="D39">
            <v>0</v>
          </cell>
          <cell r="F39"/>
          <cell r="H39"/>
        </row>
        <row r="40">
          <cell r="D40">
            <v>0</v>
          </cell>
          <cell r="F40"/>
          <cell r="H40"/>
        </row>
        <row r="41">
          <cell r="D41">
            <v>96119</v>
          </cell>
          <cell r="F41"/>
          <cell r="H41"/>
        </row>
        <row r="42">
          <cell r="D42">
            <v>299</v>
          </cell>
          <cell r="F42"/>
          <cell r="H42"/>
        </row>
        <row r="43">
          <cell r="D43">
            <v>9636</v>
          </cell>
          <cell r="F43">
            <v>-9636</v>
          </cell>
          <cell r="H43"/>
        </row>
        <row r="44">
          <cell r="D44">
            <v>0</v>
          </cell>
          <cell r="F44"/>
          <cell r="H44"/>
        </row>
        <row r="45">
          <cell r="D45">
            <v>536933</v>
          </cell>
          <cell r="F45"/>
          <cell r="H45"/>
        </row>
        <row r="57">
          <cell r="D57">
            <v>788400</v>
          </cell>
          <cell r="F57"/>
          <cell r="H57"/>
        </row>
        <row r="58">
          <cell r="D58">
            <v>0</v>
          </cell>
          <cell r="F58"/>
          <cell r="H58"/>
        </row>
        <row r="59">
          <cell r="D59">
            <v>0</v>
          </cell>
          <cell r="F59"/>
          <cell r="H59"/>
        </row>
        <row r="60">
          <cell r="D60">
            <v>0</v>
          </cell>
          <cell r="F60"/>
          <cell r="H60"/>
        </row>
        <row r="61">
          <cell r="D61">
            <v>0</v>
          </cell>
          <cell r="F61"/>
          <cell r="H61"/>
        </row>
        <row r="62">
          <cell r="D62">
            <v>0</v>
          </cell>
          <cell r="F62"/>
          <cell r="H62"/>
        </row>
        <row r="63">
          <cell r="D63">
            <v>0</v>
          </cell>
          <cell r="F63"/>
          <cell r="H63"/>
        </row>
        <row r="64">
          <cell r="D64">
            <v>0</v>
          </cell>
          <cell r="F64"/>
          <cell r="H64"/>
        </row>
        <row r="65">
          <cell r="D65">
            <v>0</v>
          </cell>
          <cell r="F65"/>
          <cell r="H65"/>
        </row>
        <row r="66">
          <cell r="D66">
            <v>0</v>
          </cell>
          <cell r="F66"/>
          <cell r="H66"/>
        </row>
        <row r="67">
          <cell r="D67">
            <v>0</v>
          </cell>
          <cell r="F67"/>
          <cell r="H67"/>
        </row>
        <row r="68">
          <cell r="D68">
            <v>0</v>
          </cell>
          <cell r="F68"/>
          <cell r="H68"/>
        </row>
        <row r="69">
          <cell r="D69">
            <v>0</v>
          </cell>
          <cell r="F69"/>
          <cell r="H69"/>
        </row>
        <row r="70">
          <cell r="D70">
            <v>0</v>
          </cell>
          <cell r="F70"/>
          <cell r="H70"/>
        </row>
        <row r="71">
          <cell r="D71">
            <v>0</v>
          </cell>
          <cell r="F71"/>
          <cell r="H71"/>
        </row>
        <row r="75">
          <cell r="D75">
            <v>29209</v>
          </cell>
          <cell r="F75"/>
          <cell r="H75"/>
        </row>
        <row r="76">
          <cell r="D76">
            <v>19498</v>
          </cell>
          <cell r="F76"/>
          <cell r="H76"/>
        </row>
        <row r="77">
          <cell r="D77">
            <v>5655</v>
          </cell>
          <cell r="F77"/>
          <cell r="H77"/>
        </row>
        <row r="78">
          <cell r="D78">
            <v>0</v>
          </cell>
          <cell r="F78"/>
          <cell r="H78"/>
        </row>
        <row r="79">
          <cell r="D79">
            <v>829</v>
          </cell>
          <cell r="F79"/>
          <cell r="H79"/>
        </row>
        <row r="80">
          <cell r="D80">
            <v>2358</v>
          </cell>
          <cell r="F80"/>
          <cell r="H80"/>
        </row>
        <row r="81">
          <cell r="D81">
            <v>53495</v>
          </cell>
          <cell r="F81"/>
          <cell r="H81"/>
        </row>
        <row r="82">
          <cell r="D82">
            <v>0</v>
          </cell>
          <cell r="F82"/>
          <cell r="H82"/>
        </row>
        <row r="83">
          <cell r="D83">
            <v>2436</v>
          </cell>
          <cell r="F83"/>
          <cell r="H83"/>
        </row>
        <row r="84">
          <cell r="D84">
            <v>110152</v>
          </cell>
          <cell r="F84"/>
          <cell r="H84"/>
        </row>
        <row r="85">
          <cell r="D85">
            <v>0</v>
          </cell>
          <cell r="F85"/>
          <cell r="H85"/>
        </row>
        <row r="89">
          <cell r="D89">
            <v>218580</v>
          </cell>
          <cell r="F89"/>
          <cell r="H89"/>
        </row>
        <row r="90">
          <cell r="D90">
            <v>49390</v>
          </cell>
          <cell r="F90"/>
          <cell r="H90"/>
        </row>
        <row r="91">
          <cell r="D91">
            <v>7050</v>
          </cell>
          <cell r="F91"/>
          <cell r="H91"/>
        </row>
        <row r="92">
          <cell r="D92">
            <v>152137</v>
          </cell>
          <cell r="F92"/>
          <cell r="H92"/>
        </row>
        <row r="93">
          <cell r="D93">
            <v>19701</v>
          </cell>
          <cell r="F93"/>
          <cell r="H93"/>
        </row>
        <row r="94">
          <cell r="D94">
            <v>0</v>
          </cell>
          <cell r="F94"/>
          <cell r="H94"/>
        </row>
        <row r="98">
          <cell r="D98">
            <v>55200</v>
          </cell>
          <cell r="F98"/>
          <cell r="H98"/>
        </row>
        <row r="99">
          <cell r="D99">
            <v>20882</v>
          </cell>
          <cell r="F99"/>
          <cell r="H99"/>
        </row>
        <row r="100">
          <cell r="D100">
            <v>7108</v>
          </cell>
          <cell r="F100"/>
          <cell r="H100"/>
        </row>
        <row r="101">
          <cell r="D101">
            <v>0</v>
          </cell>
          <cell r="F101"/>
          <cell r="H101"/>
        </row>
        <row r="102">
          <cell r="D102">
            <v>6762</v>
          </cell>
          <cell r="F102"/>
          <cell r="H102"/>
        </row>
        <row r="103">
          <cell r="D103">
            <v>0</v>
          </cell>
          <cell r="F103"/>
          <cell r="H103"/>
        </row>
        <row r="115">
          <cell r="D115">
            <v>142099</v>
          </cell>
          <cell r="F115"/>
          <cell r="H115"/>
        </row>
        <row r="116">
          <cell r="D116">
            <v>66880</v>
          </cell>
          <cell r="F116"/>
          <cell r="H116"/>
        </row>
        <row r="117">
          <cell r="D117">
            <v>17366</v>
          </cell>
          <cell r="F117"/>
          <cell r="H117"/>
        </row>
        <row r="118">
          <cell r="D118">
            <v>0</v>
          </cell>
          <cell r="F118"/>
          <cell r="H118"/>
        </row>
        <row r="119">
          <cell r="D119">
            <v>0</v>
          </cell>
          <cell r="F119"/>
          <cell r="H119"/>
        </row>
        <row r="124">
          <cell r="D124"/>
          <cell r="F124"/>
          <cell r="H124"/>
        </row>
        <row r="125">
          <cell r="D125">
            <v>168957</v>
          </cell>
          <cell r="F125">
            <v>-2796</v>
          </cell>
          <cell r="H125"/>
        </row>
        <row r="126">
          <cell r="D126"/>
          <cell r="F126"/>
          <cell r="H126"/>
        </row>
        <row r="127">
          <cell r="D127"/>
          <cell r="F127">
            <v>2796</v>
          </cell>
          <cell r="H127"/>
        </row>
        <row r="128">
          <cell r="D128">
            <v>52263</v>
          </cell>
          <cell r="F128"/>
          <cell r="H128"/>
        </row>
        <row r="130">
          <cell r="D130"/>
          <cell r="F130"/>
          <cell r="H130"/>
        </row>
        <row r="131">
          <cell r="D131">
            <v>359141</v>
          </cell>
          <cell r="F131">
            <v>-315542</v>
          </cell>
          <cell r="H131"/>
        </row>
        <row r="132">
          <cell r="D132"/>
          <cell r="F132"/>
          <cell r="H132"/>
        </row>
        <row r="133">
          <cell r="D133"/>
          <cell r="F133">
            <v>734</v>
          </cell>
          <cell r="H133"/>
        </row>
        <row r="134">
          <cell r="D134">
            <v>19993</v>
          </cell>
          <cell r="F134"/>
          <cell r="H134"/>
        </row>
        <row r="136">
          <cell r="D136">
            <v>271071</v>
          </cell>
          <cell r="F136"/>
          <cell r="H136"/>
        </row>
        <row r="137">
          <cell r="D137">
            <v>302993</v>
          </cell>
          <cell r="F137"/>
          <cell r="H137"/>
        </row>
        <row r="138">
          <cell r="D138">
            <v>625712</v>
          </cell>
          <cell r="F138"/>
          <cell r="H138"/>
        </row>
        <row r="139">
          <cell r="D139">
            <v>0</v>
          </cell>
          <cell r="F139"/>
          <cell r="H139"/>
        </row>
        <row r="141">
          <cell r="D141">
            <v>0</v>
          </cell>
          <cell r="F141">
            <v>71126</v>
          </cell>
          <cell r="H141"/>
        </row>
        <row r="142">
          <cell r="D142">
            <v>0</v>
          </cell>
          <cell r="F142">
            <v>79502</v>
          </cell>
          <cell r="H142"/>
        </row>
        <row r="143">
          <cell r="D143">
            <v>0</v>
          </cell>
          <cell r="F143">
            <v>164180</v>
          </cell>
          <cell r="H143"/>
        </row>
        <row r="144">
          <cell r="D144">
            <v>0</v>
          </cell>
          <cell r="F144"/>
          <cell r="H144"/>
        </row>
        <row r="146">
          <cell r="D146">
            <v>24439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433189.6</v>
          </cell>
          <cell r="F150"/>
          <cell r="H150"/>
        </row>
        <row r="151">
          <cell r="D151">
            <v>97855</v>
          </cell>
          <cell r="F151"/>
          <cell r="H151"/>
        </row>
        <row r="152">
          <cell r="D152">
            <v>6869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/>
          <cell r="F160"/>
          <cell r="H160"/>
        </row>
        <row r="161">
          <cell r="D161"/>
          <cell r="F161"/>
          <cell r="H161"/>
        </row>
        <row r="175">
          <cell r="D175">
            <v>57849</v>
          </cell>
          <cell r="F175">
            <v>-57849</v>
          </cell>
          <cell r="H175"/>
        </row>
        <row r="176">
          <cell r="D176">
            <v>0</v>
          </cell>
          <cell r="F176"/>
          <cell r="H176"/>
        </row>
        <row r="177">
          <cell r="D177">
            <v>154061</v>
          </cell>
          <cell r="F177">
            <v>-3915</v>
          </cell>
          <cell r="H177"/>
        </row>
        <row r="178">
          <cell r="D178">
            <v>71777</v>
          </cell>
          <cell r="F178">
            <v>-20921</v>
          </cell>
          <cell r="H178"/>
        </row>
        <row r="179">
          <cell r="D179">
            <v>0</v>
          </cell>
          <cell r="F179">
            <v>5431</v>
          </cell>
          <cell r="H179"/>
        </row>
        <row r="180">
          <cell r="D180">
            <v>0</v>
          </cell>
          <cell r="F180">
            <v>1840</v>
          </cell>
          <cell r="H180"/>
        </row>
        <row r="181">
          <cell r="D181">
            <v>0</v>
          </cell>
          <cell r="F181"/>
          <cell r="H181"/>
        </row>
        <row r="182">
          <cell r="D182">
            <v>0</v>
          </cell>
          <cell r="F182"/>
          <cell r="H182"/>
        </row>
        <row r="183">
          <cell r="D183">
            <v>0</v>
          </cell>
          <cell r="F183">
            <v>56333</v>
          </cell>
          <cell r="H183"/>
        </row>
        <row r="184">
          <cell r="D184">
            <v>0</v>
          </cell>
          <cell r="F184">
            <v>19081</v>
          </cell>
          <cell r="H184"/>
        </row>
        <row r="185">
          <cell r="D185">
            <v>0</v>
          </cell>
          <cell r="F185"/>
          <cell r="H185"/>
        </row>
        <row r="186">
          <cell r="D186">
            <v>0</v>
          </cell>
          <cell r="F186"/>
          <cell r="H186"/>
        </row>
        <row r="187">
          <cell r="D187">
            <v>0</v>
          </cell>
          <cell r="F187"/>
          <cell r="H187"/>
        </row>
        <row r="188">
          <cell r="D188">
            <v>0</v>
          </cell>
          <cell r="F188"/>
          <cell r="H188"/>
        </row>
        <row r="189">
          <cell r="D189">
            <v>0</v>
          </cell>
          <cell r="F189"/>
          <cell r="H189"/>
        </row>
        <row r="190">
          <cell r="D190">
            <v>0</v>
          </cell>
          <cell r="F190"/>
          <cell r="H190"/>
        </row>
        <row r="191">
          <cell r="D191">
            <v>0</v>
          </cell>
          <cell r="F191"/>
          <cell r="H191"/>
        </row>
        <row r="192">
          <cell r="D192">
            <v>0</v>
          </cell>
          <cell r="F192"/>
          <cell r="H192"/>
        </row>
        <row r="193">
          <cell r="D193">
            <v>0</v>
          </cell>
          <cell r="F193"/>
          <cell r="H193"/>
        </row>
        <row r="194">
          <cell r="D194">
            <v>0</v>
          </cell>
          <cell r="F194"/>
          <cell r="H194"/>
        </row>
        <row r="195">
          <cell r="D195">
            <v>0</v>
          </cell>
          <cell r="F195"/>
          <cell r="H195"/>
        </row>
        <row r="196">
          <cell r="D196">
            <v>0</v>
          </cell>
          <cell r="F196"/>
          <cell r="H196"/>
        </row>
        <row r="197">
          <cell r="D197">
            <v>0</v>
          </cell>
          <cell r="F197"/>
          <cell r="H197"/>
        </row>
        <row r="198">
          <cell r="D198">
            <v>17995</v>
          </cell>
          <cell r="F198"/>
          <cell r="H198"/>
        </row>
        <row r="199">
          <cell r="D199">
            <v>0</v>
          </cell>
          <cell r="F199"/>
          <cell r="H199"/>
        </row>
        <row r="200">
          <cell r="D200">
            <v>0</v>
          </cell>
          <cell r="F200"/>
          <cell r="H200"/>
        </row>
        <row r="201">
          <cell r="D201">
            <v>0</v>
          </cell>
          <cell r="F201"/>
          <cell r="H201"/>
        </row>
        <row r="202">
          <cell r="D202">
            <v>0</v>
          </cell>
          <cell r="F202"/>
          <cell r="H202"/>
        </row>
        <row r="203">
          <cell r="D203">
            <v>0</v>
          </cell>
          <cell r="F203"/>
          <cell r="H203"/>
        </row>
        <row r="204">
          <cell r="D204">
            <v>0</v>
          </cell>
          <cell r="F204"/>
          <cell r="H204"/>
        </row>
        <row r="205">
          <cell r="D205">
            <v>146450</v>
          </cell>
          <cell r="F205"/>
          <cell r="H205"/>
        </row>
        <row r="206">
          <cell r="D206">
            <v>19251</v>
          </cell>
          <cell r="F206"/>
          <cell r="H206"/>
        </row>
        <row r="207">
          <cell r="D207">
            <v>0</v>
          </cell>
          <cell r="F207"/>
          <cell r="H207"/>
        </row>
        <row r="211">
          <cell r="D211">
            <v>120386</v>
          </cell>
          <cell r="F211"/>
          <cell r="H211"/>
        </row>
        <row r="212">
          <cell r="D212">
            <v>60942</v>
          </cell>
          <cell r="F212"/>
          <cell r="H212"/>
        </row>
        <row r="213">
          <cell r="D213">
            <v>11476</v>
          </cell>
          <cell r="F213"/>
          <cell r="H213"/>
        </row>
        <row r="214">
          <cell r="D214">
            <v>0</v>
          </cell>
          <cell r="F214"/>
          <cell r="H214"/>
        </row>
        <row r="215">
          <cell r="D215">
            <v>0</v>
          </cell>
          <cell r="F215"/>
          <cell r="H215"/>
        </row>
        <row r="216">
          <cell r="D216">
            <v>5597</v>
          </cell>
          <cell r="F216"/>
          <cell r="H216"/>
        </row>
        <row r="221">
          <cell r="D221">
            <v>6109698</v>
          </cell>
        </row>
      </sheetData>
      <sheetData sheetId="8"/>
      <sheetData sheetId="9"/>
      <sheetData sheetId="10">
        <row r="9">
          <cell r="C9">
            <v>11628</v>
          </cell>
          <cell r="D9">
            <v>0</v>
          </cell>
          <cell r="E9">
            <v>2241</v>
          </cell>
          <cell r="F9">
            <v>804</v>
          </cell>
          <cell r="G9">
            <v>0</v>
          </cell>
          <cell r="H9">
            <v>3249</v>
          </cell>
          <cell r="I9">
            <v>0</v>
          </cell>
          <cell r="J9">
            <v>4</v>
          </cell>
          <cell r="K9">
            <v>5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32850</v>
          </cell>
        </row>
        <row r="30">
          <cell r="N30">
            <v>0.54584474885844747</v>
          </cell>
        </row>
        <row r="32">
          <cell r="N32">
            <v>0.35397260273972603</v>
          </cell>
        </row>
        <row r="34">
          <cell r="N34">
            <v>0.64848586247281248</v>
          </cell>
        </row>
      </sheetData>
      <sheetData sheetId="11"/>
      <sheetData sheetId="1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A Other Info"/>
      <sheetName val="Sch B"/>
      <sheetName val="Sch B-1"/>
      <sheetName val="Sch B Other Rev"/>
      <sheetName val="Sch C"/>
      <sheetName val="Sch C-1"/>
      <sheetName val="Sch C-2"/>
      <sheetName val="FCP PR Tax Adj"/>
      <sheetName val="Sch D"/>
      <sheetName val="TB - Inc&amp;Exp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/>
      <sheetData sheetId="6">
        <row r="10">
          <cell r="E10">
            <v>2784812.1500000004</v>
          </cell>
          <cell r="G10">
            <v>0</v>
          </cell>
        </row>
        <row r="12">
          <cell r="E12">
            <v>1268552.05</v>
          </cell>
          <cell r="G12">
            <v>-353382.73</v>
          </cell>
        </row>
        <row r="13">
          <cell r="E13"/>
          <cell r="G13"/>
        </row>
        <row r="14">
          <cell r="E14">
            <v>19986.21</v>
          </cell>
          <cell r="G14"/>
        </row>
        <row r="15">
          <cell r="E15">
            <v>4073350.41</v>
          </cell>
          <cell r="G15">
            <v>-353382.73</v>
          </cell>
        </row>
        <row r="20">
          <cell r="E20">
            <v>0</v>
          </cell>
          <cell r="G20">
            <v>0</v>
          </cell>
        </row>
        <row r="26">
          <cell r="E26">
            <v>992762.15999999992</v>
          </cell>
          <cell r="G26">
            <v>0</v>
          </cell>
        </row>
        <row r="32">
          <cell r="E32">
            <v>14226.630000000001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973931.42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0</v>
          </cell>
          <cell r="G57">
            <v>0</v>
          </cell>
        </row>
        <row r="72">
          <cell r="E72">
            <v>1022599.86</v>
          </cell>
          <cell r="G72">
            <v>0</v>
          </cell>
        </row>
        <row r="90">
          <cell r="C90">
            <v>197.30436997319035</v>
          </cell>
          <cell r="E90">
            <v>183.87865198237887</v>
          </cell>
          <cell r="G90">
            <v>192.02068559556787</v>
          </cell>
          <cell r="I90">
            <v>197.02632005899704</v>
          </cell>
        </row>
      </sheetData>
      <sheetData sheetId="7"/>
      <sheetData sheetId="8"/>
      <sheetData sheetId="9">
        <row r="10">
          <cell r="D10">
            <v>121879.65</v>
          </cell>
          <cell r="F10"/>
          <cell r="H10"/>
        </row>
        <row r="11">
          <cell r="D11"/>
          <cell r="F11"/>
          <cell r="H11"/>
        </row>
        <row r="12">
          <cell r="D12">
            <v>113476.26</v>
          </cell>
          <cell r="F12"/>
          <cell r="H12"/>
        </row>
        <row r="13">
          <cell r="D13">
            <v>1978358.41</v>
          </cell>
          <cell r="F13">
            <v>-1844661.9200000002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/>
          <cell r="F16"/>
          <cell r="H16"/>
        </row>
        <row r="17">
          <cell r="D17"/>
          <cell r="F17"/>
          <cell r="H17"/>
        </row>
        <row r="18">
          <cell r="D18">
            <v>21348.11</v>
          </cell>
          <cell r="F18"/>
          <cell r="H18"/>
        </row>
        <row r="19">
          <cell r="D19">
            <v>11707.51</v>
          </cell>
          <cell r="F19"/>
          <cell r="H19"/>
        </row>
        <row r="20">
          <cell r="D20">
            <v>9474.16</v>
          </cell>
          <cell r="F20"/>
          <cell r="H20"/>
        </row>
        <row r="21">
          <cell r="D21">
            <v>27751.89</v>
          </cell>
          <cell r="F21"/>
          <cell r="H21"/>
        </row>
        <row r="22">
          <cell r="D22"/>
          <cell r="F22"/>
          <cell r="H22"/>
        </row>
        <row r="23">
          <cell r="D23">
            <v>16418.79</v>
          </cell>
          <cell r="F23"/>
          <cell r="H23"/>
        </row>
        <row r="24">
          <cell r="D24">
            <v>24046.16</v>
          </cell>
          <cell r="F24"/>
          <cell r="H24"/>
        </row>
        <row r="25">
          <cell r="D25"/>
          <cell r="F25"/>
          <cell r="H25"/>
        </row>
        <row r="26">
          <cell r="D26">
            <v>392619.72</v>
          </cell>
          <cell r="F26"/>
          <cell r="H26"/>
        </row>
        <row r="27">
          <cell r="D27">
            <v>187.83</v>
          </cell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14297.56</v>
          </cell>
          <cell r="F29">
            <v>-14297.56</v>
          </cell>
          <cell r="H29"/>
        </row>
        <row r="30">
          <cell r="D30"/>
          <cell r="F30">
            <v>0</v>
          </cell>
          <cell r="H30"/>
        </row>
        <row r="31">
          <cell r="D31">
            <v>60186.01</v>
          </cell>
          <cell r="F31"/>
          <cell r="H31"/>
        </row>
        <row r="32">
          <cell r="D32">
            <v>23774.3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/>
          <cell r="F34"/>
          <cell r="H34"/>
        </row>
        <row r="35">
          <cell r="D35">
            <v>56940</v>
          </cell>
          <cell r="F35">
            <v>-56940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/>
          <cell r="F38"/>
          <cell r="H38"/>
        </row>
        <row r="39">
          <cell r="D39">
            <v>7842.64</v>
          </cell>
          <cell r="F39"/>
          <cell r="H39"/>
        </row>
        <row r="40">
          <cell r="D40">
            <v>10542.11</v>
          </cell>
          <cell r="F40">
            <v>-10542</v>
          </cell>
          <cell r="H40"/>
        </row>
        <row r="41">
          <cell r="D41"/>
          <cell r="F41"/>
          <cell r="H41"/>
        </row>
        <row r="42">
          <cell r="D42"/>
          <cell r="F42"/>
          <cell r="H42"/>
        </row>
        <row r="43">
          <cell r="D43">
            <v>9739.32</v>
          </cell>
          <cell r="F43"/>
          <cell r="H43"/>
        </row>
        <row r="44">
          <cell r="D44"/>
          <cell r="F44"/>
          <cell r="H44"/>
        </row>
        <row r="45">
          <cell r="D45">
            <v>353382.73</v>
          </cell>
          <cell r="F45">
            <v>-353382.73</v>
          </cell>
          <cell r="H45"/>
        </row>
        <row r="57">
          <cell r="D57"/>
          <cell r="F57"/>
          <cell r="H57"/>
        </row>
        <row r="58">
          <cell r="D58">
            <v>197104.34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11725.6</v>
          </cell>
          <cell r="F61"/>
          <cell r="H61"/>
        </row>
        <row r="62">
          <cell r="D62">
            <v>1000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2116.96</v>
          </cell>
          <cell r="F65"/>
          <cell r="H65"/>
        </row>
        <row r="66">
          <cell r="D66"/>
          <cell r="F66"/>
          <cell r="H66"/>
        </row>
        <row r="67">
          <cell r="D67">
            <v>16962.52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136876.94</v>
          </cell>
          <cell r="F75"/>
          <cell r="H75"/>
        </row>
        <row r="76">
          <cell r="D76"/>
          <cell r="F76">
            <v>77536.72</v>
          </cell>
          <cell r="H76"/>
        </row>
        <row r="77">
          <cell r="D77">
            <v>3659.67</v>
          </cell>
          <cell r="F77"/>
          <cell r="H77"/>
        </row>
        <row r="78">
          <cell r="D78">
            <v>773.81</v>
          </cell>
          <cell r="F78"/>
          <cell r="H78"/>
        </row>
        <row r="79">
          <cell r="D79">
            <v>-4632.24</v>
          </cell>
          <cell r="F79"/>
          <cell r="H79"/>
        </row>
        <row r="80">
          <cell r="D80">
            <v>21626.32</v>
          </cell>
          <cell r="F80"/>
          <cell r="H80"/>
        </row>
        <row r="81">
          <cell r="D81">
            <v>18756.669999999998</v>
          </cell>
          <cell r="F81"/>
          <cell r="H81"/>
        </row>
        <row r="82">
          <cell r="D82">
            <v>17460.7</v>
          </cell>
          <cell r="F82"/>
          <cell r="H82"/>
        </row>
        <row r="83">
          <cell r="D83">
            <v>3223.21</v>
          </cell>
          <cell r="F83"/>
          <cell r="H83"/>
        </row>
        <row r="84">
          <cell r="D84">
            <v>168342.64</v>
          </cell>
          <cell r="F84"/>
          <cell r="H84"/>
        </row>
        <row r="85">
          <cell r="D85">
            <v>714.74</v>
          </cell>
          <cell r="F85"/>
          <cell r="H85"/>
        </row>
        <row r="89">
          <cell r="D89">
            <v>236762.15</v>
          </cell>
          <cell r="F89"/>
          <cell r="H89"/>
        </row>
        <row r="90">
          <cell r="D90"/>
          <cell r="F90">
            <v>134106.88</v>
          </cell>
          <cell r="H90"/>
        </row>
        <row r="91">
          <cell r="D91">
            <v>6866.31</v>
          </cell>
          <cell r="F91"/>
          <cell r="H91"/>
        </row>
        <row r="92">
          <cell r="D92">
            <v>201081.65</v>
          </cell>
          <cell r="F92"/>
          <cell r="H92"/>
        </row>
        <row r="93">
          <cell r="D93">
            <v>42513.120000000003</v>
          </cell>
          <cell r="F93"/>
          <cell r="H93"/>
        </row>
        <row r="94">
          <cell r="D94">
            <v>56.63</v>
          </cell>
          <cell r="F94"/>
          <cell r="H94"/>
        </row>
        <row r="98">
          <cell r="D98">
            <v>23220.46</v>
          </cell>
          <cell r="F98"/>
          <cell r="H98"/>
        </row>
        <row r="99">
          <cell r="D99"/>
          <cell r="F99">
            <v>13252.45</v>
          </cell>
          <cell r="H99"/>
        </row>
        <row r="100">
          <cell r="D100">
            <v>535.58000000000004</v>
          </cell>
          <cell r="F100"/>
          <cell r="H100"/>
        </row>
        <row r="101">
          <cell r="D101"/>
          <cell r="F101"/>
          <cell r="H101"/>
        </row>
        <row r="102">
          <cell r="D102">
            <v>3094.8</v>
          </cell>
          <cell r="F102"/>
          <cell r="H102"/>
        </row>
        <row r="103">
          <cell r="D103"/>
          <cell r="F103"/>
          <cell r="H103"/>
        </row>
        <row r="115">
          <cell r="D115">
            <v>195819.14</v>
          </cell>
          <cell r="F115"/>
          <cell r="H115"/>
        </row>
        <row r="116">
          <cell r="D116"/>
          <cell r="F116">
            <v>110964.54</v>
          </cell>
          <cell r="H116"/>
        </row>
        <row r="117">
          <cell r="D117">
            <v>48977.65</v>
          </cell>
          <cell r="F117"/>
          <cell r="H117"/>
        </row>
        <row r="118">
          <cell r="D118">
            <v>20.41</v>
          </cell>
          <cell r="F118"/>
          <cell r="H118"/>
        </row>
        <row r="119">
          <cell r="D119">
            <v>41.39</v>
          </cell>
          <cell r="F119"/>
          <cell r="H119"/>
        </row>
        <row r="124">
          <cell r="D124"/>
          <cell r="F124"/>
          <cell r="H124"/>
        </row>
        <row r="125">
          <cell r="D125">
            <v>191670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72076.08</v>
          </cell>
          <cell r="F128"/>
          <cell r="H128"/>
        </row>
        <row r="130">
          <cell r="D130"/>
          <cell r="F130"/>
          <cell r="H130"/>
        </row>
        <row r="131">
          <cell r="D131"/>
          <cell r="F131">
            <v>108590.97</v>
          </cell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/>
          <cell r="F134">
            <v>40746.339999999997</v>
          </cell>
          <cell r="H134"/>
        </row>
        <row r="136">
          <cell r="D136">
            <v>540838.80000000005</v>
          </cell>
          <cell r="F136"/>
          <cell r="H136"/>
        </row>
        <row r="137">
          <cell r="D137">
            <v>381049.32</v>
          </cell>
          <cell r="F137"/>
          <cell r="H137"/>
        </row>
        <row r="138">
          <cell r="D138">
            <v>1053732.3</v>
          </cell>
          <cell r="F138"/>
          <cell r="H138"/>
        </row>
        <row r="139">
          <cell r="D139"/>
          <cell r="F139"/>
          <cell r="H139"/>
        </row>
        <row r="141">
          <cell r="D141"/>
          <cell r="F141">
            <v>306388.73</v>
          </cell>
          <cell r="H141"/>
        </row>
        <row r="142">
          <cell r="D142"/>
          <cell r="F142">
            <v>215995.16</v>
          </cell>
          <cell r="H142"/>
        </row>
        <row r="143">
          <cell r="D143"/>
          <cell r="F143">
            <v>597151.43999999994</v>
          </cell>
          <cell r="H143"/>
        </row>
        <row r="144">
          <cell r="D144"/>
          <cell r="F144"/>
          <cell r="H144"/>
        </row>
        <row r="146">
          <cell r="D146">
            <v>17400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/>
          <cell r="F149"/>
          <cell r="H149"/>
        </row>
        <row r="150">
          <cell r="D150">
            <v>4285.55</v>
          </cell>
          <cell r="F150"/>
          <cell r="H150"/>
        </row>
        <row r="151">
          <cell r="D151">
            <v>147569.14000000001</v>
          </cell>
          <cell r="F151"/>
          <cell r="H151"/>
        </row>
        <row r="152">
          <cell r="D152">
            <v>312.76</v>
          </cell>
          <cell r="F152"/>
          <cell r="H152"/>
        </row>
        <row r="153">
          <cell r="D153">
            <v>3824.18</v>
          </cell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>
            <v>90</v>
          </cell>
          <cell r="F159"/>
          <cell r="H159"/>
        </row>
        <row r="160">
          <cell r="D160"/>
          <cell r="F160"/>
          <cell r="H160"/>
        </row>
        <row r="161">
          <cell r="D161">
            <v>606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>
            <v>147767.73000000001</v>
          </cell>
          <cell r="F177"/>
          <cell r="H177"/>
        </row>
        <row r="178">
          <cell r="D178"/>
          <cell r="F178">
            <v>83668.45</v>
          </cell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>
            <v>107422.15</v>
          </cell>
          <cell r="F183"/>
          <cell r="H183"/>
        </row>
        <row r="184">
          <cell r="D184"/>
          <cell r="F184">
            <v>60921.71</v>
          </cell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389.42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106.68</v>
          </cell>
          <cell r="F193"/>
          <cell r="H193"/>
        </row>
        <row r="194">
          <cell r="D194"/>
          <cell r="F194"/>
          <cell r="H194"/>
        </row>
        <row r="195">
          <cell r="D195">
            <v>2125</v>
          </cell>
          <cell r="F195"/>
          <cell r="H195"/>
        </row>
        <row r="196">
          <cell r="D196"/>
          <cell r="F196"/>
          <cell r="H196"/>
        </row>
        <row r="197">
          <cell r="D197"/>
          <cell r="F197"/>
          <cell r="H197"/>
        </row>
        <row r="198">
          <cell r="D198">
            <v>5844.53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110906.93</v>
          </cell>
          <cell r="F205"/>
          <cell r="H205"/>
        </row>
        <row r="206">
          <cell r="D206">
            <v>3215.6</v>
          </cell>
          <cell r="F206"/>
          <cell r="H206"/>
        </row>
        <row r="207">
          <cell r="D207"/>
          <cell r="F207"/>
          <cell r="H207"/>
        </row>
        <row r="211">
          <cell r="D211">
            <v>168341.56</v>
          </cell>
          <cell r="F211"/>
          <cell r="H211"/>
        </row>
        <row r="212">
          <cell r="D212"/>
          <cell r="F212">
            <v>95338.52</v>
          </cell>
          <cell r="H212"/>
        </row>
        <row r="213">
          <cell r="D213">
            <v>13984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/>
          <cell r="F216"/>
          <cell r="H216"/>
        </row>
        <row r="221">
          <cell r="D221">
            <v>7582232.0099999998</v>
          </cell>
        </row>
      </sheetData>
      <sheetData sheetId="10"/>
      <sheetData sheetId="11"/>
      <sheetData sheetId="12"/>
      <sheetData sheetId="13">
        <row r="9">
          <cell r="C9">
            <v>15285</v>
          </cell>
          <cell r="D9"/>
          <cell r="E9">
            <v>2084</v>
          </cell>
          <cell r="F9">
            <v>45</v>
          </cell>
          <cell r="G9"/>
          <cell r="H9">
            <v>5054</v>
          </cell>
          <cell r="I9"/>
          <cell r="J9"/>
          <cell r="K9"/>
        </row>
        <row r="22">
          <cell r="N22">
            <v>110</v>
          </cell>
        </row>
        <row r="24">
          <cell r="N24">
            <v>110</v>
          </cell>
        </row>
        <row r="28">
          <cell r="N28">
            <v>40150</v>
          </cell>
        </row>
        <row r="30">
          <cell r="N30">
            <v>0.55960149439601492</v>
          </cell>
        </row>
        <row r="32">
          <cell r="N32">
            <v>0.38069738480697385</v>
          </cell>
        </row>
        <row r="34">
          <cell r="N34">
            <v>0.68030087235178927</v>
          </cell>
        </row>
      </sheetData>
      <sheetData sheetId="14"/>
      <sheetData sheetId="15"/>
      <sheetData sheetId="1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250"/>
      <sheetName val="10-490"/>
      <sheetName val="60-490 "/>
      <sheetName val="70-490"/>
      <sheetName val="90-49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169346</v>
          </cell>
          <cell r="G10">
            <v>0</v>
          </cell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>
            <v>169346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572867</v>
          </cell>
          <cell r="G26">
            <v>0</v>
          </cell>
        </row>
        <row r="32">
          <cell r="E32">
            <v>8077</v>
          </cell>
          <cell r="G32">
            <v>0</v>
          </cell>
        </row>
        <row r="37">
          <cell r="E37">
            <v>5558752</v>
          </cell>
          <cell r="G37">
            <v>-2211492</v>
          </cell>
        </row>
        <row r="42">
          <cell r="E42">
            <v>1246988</v>
          </cell>
          <cell r="G42">
            <v>2210206</v>
          </cell>
        </row>
        <row r="47">
          <cell r="E47">
            <v>42875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-1286</v>
          </cell>
          <cell r="G57">
            <v>1286</v>
          </cell>
        </row>
        <row r="72">
          <cell r="E72">
            <v>31233</v>
          </cell>
          <cell r="G72">
            <v>-22539</v>
          </cell>
        </row>
        <row r="90">
          <cell r="C90">
            <v>188.37208374875374</v>
          </cell>
          <cell r="E90">
            <v>188.37223560324063</v>
          </cell>
          <cell r="G90">
            <v>188.37222222222223</v>
          </cell>
          <cell r="I90">
            <v>188.37205122444394</v>
          </cell>
        </row>
      </sheetData>
      <sheetData sheetId="6"/>
      <sheetData sheetId="7">
        <row r="10">
          <cell r="D10"/>
          <cell r="F10">
            <v>115076</v>
          </cell>
          <cell r="H10"/>
        </row>
        <row r="11">
          <cell r="D11"/>
          <cell r="F11"/>
          <cell r="H11"/>
        </row>
        <row r="12">
          <cell r="D12">
            <v>287510</v>
          </cell>
          <cell r="F12">
            <v>-115210</v>
          </cell>
          <cell r="H12"/>
        </row>
        <row r="13">
          <cell r="D13">
            <v>81100</v>
          </cell>
          <cell r="F13">
            <v>-4533</v>
          </cell>
          <cell r="H13"/>
        </row>
        <row r="14">
          <cell r="D14"/>
          <cell r="F14"/>
          <cell r="H14"/>
        </row>
        <row r="15">
          <cell r="D15"/>
          <cell r="F15">
            <v>457450</v>
          </cell>
          <cell r="H15"/>
        </row>
        <row r="16">
          <cell r="D16">
            <v>457450</v>
          </cell>
          <cell r="F16">
            <v>-457450</v>
          </cell>
          <cell r="H16"/>
        </row>
        <row r="17">
          <cell r="D17">
            <v>2849</v>
          </cell>
          <cell r="F17">
            <v>-2849</v>
          </cell>
          <cell r="H17"/>
        </row>
        <row r="18">
          <cell r="D18">
            <v>44020</v>
          </cell>
          <cell r="F18"/>
          <cell r="H18"/>
        </row>
        <row r="19">
          <cell r="D19">
            <v>14367</v>
          </cell>
          <cell r="F19"/>
          <cell r="H19"/>
        </row>
        <row r="20">
          <cell r="D20">
            <v>13324</v>
          </cell>
          <cell r="F20"/>
          <cell r="H20"/>
        </row>
        <row r="21">
          <cell r="D21">
            <v>4984</v>
          </cell>
          <cell r="F21"/>
          <cell r="H21"/>
        </row>
        <row r="22">
          <cell r="D22"/>
          <cell r="F22"/>
          <cell r="H22"/>
        </row>
        <row r="23">
          <cell r="D23">
            <v>8812</v>
          </cell>
          <cell r="F23"/>
          <cell r="H23"/>
        </row>
        <row r="24">
          <cell r="D24">
            <v>33927</v>
          </cell>
          <cell r="F24"/>
          <cell r="H24"/>
        </row>
        <row r="25">
          <cell r="D25"/>
          <cell r="F25"/>
          <cell r="H25"/>
        </row>
        <row r="26">
          <cell r="D26"/>
          <cell r="F26"/>
          <cell r="H26"/>
        </row>
        <row r="27">
          <cell r="D27"/>
          <cell r="F27"/>
          <cell r="H27"/>
        </row>
        <row r="28">
          <cell r="D28"/>
          <cell r="F28">
            <v>0</v>
          </cell>
          <cell r="H28"/>
        </row>
        <row r="29">
          <cell r="D29">
            <v>-892</v>
          </cell>
          <cell r="F29">
            <v>892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61560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1571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>
            <v>23555</v>
          </cell>
          <cell r="F36"/>
          <cell r="H36"/>
        </row>
        <row r="37">
          <cell r="D37">
            <v>2853</v>
          </cell>
          <cell r="F37"/>
          <cell r="H37"/>
        </row>
        <row r="38">
          <cell r="D38">
            <v>4053</v>
          </cell>
          <cell r="F38">
            <v>-4053</v>
          </cell>
          <cell r="H38"/>
        </row>
        <row r="39">
          <cell r="D39">
            <v>10187</v>
          </cell>
          <cell r="F39"/>
          <cell r="H39"/>
        </row>
        <row r="40">
          <cell r="D40">
            <v>8902</v>
          </cell>
          <cell r="F40">
            <v>-8902</v>
          </cell>
          <cell r="H40"/>
        </row>
        <row r="41">
          <cell r="D41">
            <v>32534</v>
          </cell>
          <cell r="F41">
            <v>-9614</v>
          </cell>
          <cell r="H41"/>
        </row>
        <row r="42">
          <cell r="D42"/>
          <cell r="F42"/>
          <cell r="H42"/>
        </row>
        <row r="43">
          <cell r="D43">
            <v>14959</v>
          </cell>
          <cell r="F43">
            <v>-14959</v>
          </cell>
          <cell r="H43"/>
        </row>
        <row r="44">
          <cell r="D44"/>
          <cell r="F44"/>
          <cell r="H44"/>
        </row>
        <row r="45">
          <cell r="D45">
            <v>300027</v>
          </cell>
          <cell r="F45">
            <v>-292072</v>
          </cell>
          <cell r="H45"/>
        </row>
        <row r="57">
          <cell r="D57"/>
          <cell r="F57"/>
          <cell r="H57"/>
        </row>
        <row r="58">
          <cell r="D58">
            <v>727</v>
          </cell>
          <cell r="F58"/>
          <cell r="H58"/>
        </row>
        <row r="59">
          <cell r="D59"/>
          <cell r="F59"/>
          <cell r="H59"/>
        </row>
        <row r="60">
          <cell r="D60"/>
          <cell r="F60"/>
          <cell r="H60"/>
        </row>
        <row r="61">
          <cell r="D61">
            <v>16946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7340</v>
          </cell>
          <cell r="F65"/>
          <cell r="H65"/>
        </row>
        <row r="66">
          <cell r="D66">
            <v>43635</v>
          </cell>
          <cell r="F66"/>
          <cell r="H66"/>
        </row>
        <row r="67">
          <cell r="D67">
            <v>17607</v>
          </cell>
          <cell r="F67"/>
          <cell r="H67"/>
        </row>
        <row r="68">
          <cell r="D68"/>
          <cell r="F68"/>
          <cell r="H68"/>
        </row>
        <row r="69">
          <cell r="D69"/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87435</v>
          </cell>
          <cell r="F75"/>
          <cell r="H75"/>
        </row>
        <row r="76">
          <cell r="D76">
            <v>21667</v>
          </cell>
          <cell r="F76"/>
          <cell r="H76"/>
        </row>
        <row r="77">
          <cell r="D77">
            <v>6453</v>
          </cell>
          <cell r="F77"/>
          <cell r="H77"/>
        </row>
        <row r="78">
          <cell r="D78"/>
          <cell r="F78"/>
          <cell r="H78"/>
        </row>
        <row r="79">
          <cell r="D79">
            <v>1164</v>
          </cell>
          <cell r="F79"/>
          <cell r="H79"/>
        </row>
        <row r="80">
          <cell r="D80">
            <v>19414</v>
          </cell>
          <cell r="F80"/>
          <cell r="H80"/>
        </row>
        <row r="81">
          <cell r="D81">
            <v>21812</v>
          </cell>
          <cell r="F81"/>
          <cell r="H81"/>
        </row>
        <row r="82">
          <cell r="D82">
            <v>12697</v>
          </cell>
          <cell r="F82"/>
          <cell r="H82"/>
        </row>
        <row r="83">
          <cell r="D83">
            <v>60</v>
          </cell>
          <cell r="F83"/>
          <cell r="H83"/>
        </row>
        <row r="84">
          <cell r="D84">
            <v>132200</v>
          </cell>
          <cell r="F84"/>
          <cell r="H84"/>
        </row>
        <row r="85">
          <cell r="D85"/>
          <cell r="F85"/>
          <cell r="H85"/>
        </row>
        <row r="89">
          <cell r="D89">
            <v>352772</v>
          </cell>
          <cell r="F89"/>
          <cell r="H89"/>
        </row>
        <row r="90">
          <cell r="D90">
            <v>80757</v>
          </cell>
          <cell r="F90"/>
          <cell r="H90"/>
        </row>
        <row r="91">
          <cell r="D91">
            <v>11008</v>
          </cell>
          <cell r="F91"/>
          <cell r="H91"/>
        </row>
        <row r="92">
          <cell r="D92">
            <v>318865</v>
          </cell>
          <cell r="F92">
            <v>-4666</v>
          </cell>
          <cell r="H92"/>
        </row>
        <row r="93">
          <cell r="D93">
            <v>20119</v>
          </cell>
          <cell r="F93"/>
          <cell r="H93"/>
        </row>
        <row r="94">
          <cell r="D94"/>
          <cell r="F94"/>
          <cell r="H94"/>
        </row>
        <row r="98">
          <cell r="D98">
            <v>70969</v>
          </cell>
          <cell r="F98"/>
          <cell r="H98"/>
        </row>
        <row r="99">
          <cell r="D99">
            <v>19279</v>
          </cell>
          <cell r="F99"/>
          <cell r="H99"/>
        </row>
        <row r="100">
          <cell r="D100">
            <v>7792</v>
          </cell>
          <cell r="F100"/>
          <cell r="H100"/>
        </row>
        <row r="101">
          <cell r="D101"/>
          <cell r="F101"/>
          <cell r="H101"/>
        </row>
        <row r="102">
          <cell r="D102">
            <v>8044</v>
          </cell>
          <cell r="F102"/>
          <cell r="H102"/>
        </row>
        <row r="103">
          <cell r="D103"/>
          <cell r="F103"/>
          <cell r="H103"/>
        </row>
        <row r="115">
          <cell r="D115">
            <v>169722</v>
          </cell>
          <cell r="F115"/>
          <cell r="H115"/>
        </row>
        <row r="116">
          <cell r="D116">
            <v>29129</v>
          </cell>
          <cell r="F116"/>
          <cell r="H116"/>
        </row>
        <row r="117">
          <cell r="D117">
            <v>38109</v>
          </cell>
          <cell r="F117"/>
          <cell r="H117"/>
        </row>
        <row r="118">
          <cell r="D118"/>
          <cell r="F118"/>
          <cell r="H118"/>
        </row>
        <row r="119">
          <cell r="D119">
            <v>198</v>
          </cell>
          <cell r="F119"/>
          <cell r="H119"/>
        </row>
        <row r="124">
          <cell r="D124"/>
          <cell r="F124"/>
          <cell r="H124"/>
        </row>
        <row r="125">
          <cell r="D125">
            <v>346830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43161</v>
          </cell>
          <cell r="F128"/>
          <cell r="H128"/>
        </row>
        <row r="130">
          <cell r="D130"/>
          <cell r="F130"/>
          <cell r="H130"/>
        </row>
        <row r="131">
          <cell r="D131">
            <v>86805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5302</v>
          </cell>
          <cell r="F134"/>
          <cell r="H134"/>
        </row>
        <row r="136">
          <cell r="D136">
            <v>516582</v>
          </cell>
          <cell r="F136"/>
          <cell r="H136"/>
        </row>
        <row r="137">
          <cell r="D137">
            <v>474945</v>
          </cell>
          <cell r="F137"/>
          <cell r="H137"/>
        </row>
        <row r="138">
          <cell r="D138">
            <v>1020007</v>
          </cell>
          <cell r="F138">
            <v>249</v>
          </cell>
          <cell r="H138"/>
        </row>
        <row r="139">
          <cell r="D139">
            <v>249</v>
          </cell>
          <cell r="F139">
            <v>-249</v>
          </cell>
          <cell r="H139"/>
        </row>
        <row r="141">
          <cell r="D141">
            <v>366820</v>
          </cell>
          <cell r="F141">
            <v>-272629</v>
          </cell>
          <cell r="H141"/>
        </row>
        <row r="142">
          <cell r="D142"/>
          <cell r="F142">
            <v>86600</v>
          </cell>
          <cell r="H142"/>
        </row>
        <row r="143">
          <cell r="D143"/>
          <cell r="F143">
            <v>186029</v>
          </cell>
          <cell r="H143"/>
        </row>
        <row r="144">
          <cell r="D144"/>
          <cell r="F144"/>
          <cell r="H144"/>
        </row>
        <row r="146">
          <cell r="D146">
            <v>48000</v>
          </cell>
          <cell r="F146"/>
          <cell r="H146"/>
        </row>
        <row r="147">
          <cell r="D147"/>
          <cell r="F147"/>
          <cell r="H147"/>
        </row>
        <row r="148">
          <cell r="D148"/>
          <cell r="F148"/>
          <cell r="H148"/>
        </row>
        <row r="149">
          <cell r="D149">
            <v>778</v>
          </cell>
          <cell r="F149"/>
          <cell r="H149"/>
        </row>
        <row r="150">
          <cell r="D150">
            <v>1304</v>
          </cell>
          <cell r="F150"/>
          <cell r="H150"/>
        </row>
        <row r="151">
          <cell r="D151">
            <v>89844</v>
          </cell>
          <cell r="F151"/>
          <cell r="H151"/>
        </row>
        <row r="152">
          <cell r="D152">
            <v>12123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75</v>
          </cell>
          <cell r="F160"/>
          <cell r="H160"/>
        </row>
        <row r="161">
          <cell r="D161">
            <v>14637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21597</v>
          </cell>
          <cell r="F193"/>
          <cell r="H193"/>
        </row>
        <row r="194">
          <cell r="D194">
            <v>252228</v>
          </cell>
          <cell r="F194"/>
          <cell r="H194"/>
        </row>
        <row r="195">
          <cell r="D195">
            <v>156453</v>
          </cell>
          <cell r="F195"/>
          <cell r="H195"/>
        </row>
        <row r="196">
          <cell r="D196"/>
          <cell r="F196"/>
          <cell r="H196"/>
        </row>
        <row r="197">
          <cell r="D197">
            <v>123136</v>
          </cell>
          <cell r="F197"/>
          <cell r="H197"/>
        </row>
        <row r="198">
          <cell r="D198">
            <v>29855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193415</v>
          </cell>
          <cell r="F205"/>
          <cell r="H205"/>
        </row>
        <row r="206">
          <cell r="D206">
            <v>12025</v>
          </cell>
          <cell r="F206"/>
          <cell r="H206"/>
        </row>
        <row r="207">
          <cell r="D207"/>
          <cell r="F207"/>
          <cell r="H207"/>
        </row>
        <row r="211">
          <cell r="D211">
            <v>263183</v>
          </cell>
          <cell r="F211"/>
          <cell r="H211"/>
        </row>
        <row r="212">
          <cell r="D212">
            <v>46515</v>
          </cell>
          <cell r="F212"/>
          <cell r="H212"/>
        </row>
        <row r="213">
          <cell r="D213">
            <v>26300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9685</v>
          </cell>
          <cell r="F216"/>
          <cell r="H216"/>
        </row>
        <row r="221">
          <cell r="D221">
            <v>7085426</v>
          </cell>
        </row>
      </sheetData>
      <sheetData sheetId="8"/>
      <sheetData sheetId="9"/>
      <sheetData sheetId="10">
        <row r="9">
          <cell r="C9">
            <v>922</v>
          </cell>
          <cell r="D9"/>
          <cell r="E9">
            <v>902</v>
          </cell>
          <cell r="F9">
            <v>10</v>
          </cell>
          <cell r="G9">
            <v>8196</v>
          </cell>
          <cell r="H9">
            <v>18353</v>
          </cell>
          <cell r="I9">
            <v>229</v>
          </cell>
          <cell r="J9"/>
          <cell r="K9">
            <v>0</v>
          </cell>
        </row>
        <row r="22">
          <cell r="N22">
            <v>81</v>
          </cell>
        </row>
        <row r="24">
          <cell r="N24">
            <v>5</v>
          </cell>
        </row>
        <row r="28">
          <cell r="N28">
            <v>29565</v>
          </cell>
        </row>
        <row r="30">
          <cell r="N30">
            <v>0.96776593945543721</v>
          </cell>
        </row>
        <row r="32">
          <cell r="N32">
            <v>3.1185523422966346E-2</v>
          </cell>
        </row>
        <row r="34">
          <cell r="N34">
            <v>3.2224241576960716E-2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3031348.43</v>
          </cell>
          <cell r="G10">
            <v>-117998.95999999999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47757.16</v>
          </cell>
        </row>
        <row r="15">
          <cell r="E15">
            <v>3031348.43</v>
          </cell>
          <cell r="G15">
            <v>-70241.799999999988</v>
          </cell>
        </row>
        <row r="20">
          <cell r="E20">
            <v>0</v>
          </cell>
          <cell r="G20">
            <v>0</v>
          </cell>
        </row>
        <row r="26">
          <cell r="E26">
            <v>968249.92</v>
          </cell>
          <cell r="G26">
            <v>0</v>
          </cell>
        </row>
        <row r="32">
          <cell r="E32">
            <v>70052.2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49320.04</v>
          </cell>
          <cell r="G42">
            <v>-6085.45</v>
          </cell>
        </row>
        <row r="47">
          <cell r="E47">
            <v>0</v>
          </cell>
          <cell r="G47">
            <v>117998.95999999999</v>
          </cell>
        </row>
        <row r="52">
          <cell r="E52">
            <v>0</v>
          </cell>
          <cell r="G52">
            <v>17823.61</v>
          </cell>
        </row>
        <row r="57">
          <cell r="E57">
            <v>33399.090000000004</v>
          </cell>
          <cell r="G57">
            <v>-11738.16</v>
          </cell>
        </row>
        <row r="72">
          <cell r="E72">
            <v>48378.14</v>
          </cell>
          <cell r="G72">
            <v>-48378.14</v>
          </cell>
        </row>
      </sheetData>
      <sheetData sheetId="6"/>
      <sheetData sheetId="7">
        <row r="10">
          <cell r="D10">
            <v>0</v>
          </cell>
          <cell r="F10">
            <v>90910.78</v>
          </cell>
          <cell r="H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</row>
        <row r="12">
          <cell r="D12">
            <v>174676.41</v>
          </cell>
          <cell r="F12">
            <v>-90910.78</v>
          </cell>
          <cell r="H12">
            <v>0</v>
          </cell>
        </row>
        <row r="13">
          <cell r="D13">
            <v>44457.56</v>
          </cell>
          <cell r="F13">
            <v>0</v>
          </cell>
          <cell r="H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</row>
        <row r="15">
          <cell r="D15">
            <v>183465.71</v>
          </cell>
          <cell r="F15">
            <v>-183465.71</v>
          </cell>
          <cell r="H15">
            <v>0</v>
          </cell>
        </row>
        <row r="16">
          <cell r="D16">
            <v>0</v>
          </cell>
          <cell r="F16">
            <v>238351.53</v>
          </cell>
          <cell r="H16">
            <v>0</v>
          </cell>
        </row>
        <row r="17">
          <cell r="D17">
            <v>1099.98</v>
          </cell>
          <cell r="F17">
            <v>-1099.98</v>
          </cell>
          <cell r="H17">
            <v>0</v>
          </cell>
        </row>
        <row r="18">
          <cell r="D18">
            <v>20473.41</v>
          </cell>
          <cell r="F18">
            <v>0</v>
          </cell>
          <cell r="H18">
            <v>0</v>
          </cell>
        </row>
        <row r="19">
          <cell r="D19">
            <v>16197.81</v>
          </cell>
          <cell r="F19">
            <v>0</v>
          </cell>
          <cell r="H19">
            <v>0</v>
          </cell>
        </row>
        <row r="20">
          <cell r="D20">
            <v>6774.84</v>
          </cell>
          <cell r="F20">
            <v>0</v>
          </cell>
          <cell r="H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</row>
        <row r="23">
          <cell r="D23">
            <v>12128.15</v>
          </cell>
          <cell r="F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332763.78000000003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58618.16</v>
          </cell>
          <cell r="F29">
            <v>-58618.16</v>
          </cell>
          <cell r="H29">
            <v>0</v>
          </cell>
        </row>
        <row r="30">
          <cell r="D30">
            <v>1863.48</v>
          </cell>
          <cell r="F30">
            <v>-1863.48</v>
          </cell>
          <cell r="H30">
            <v>0</v>
          </cell>
        </row>
        <row r="31">
          <cell r="D31">
            <v>29070.13</v>
          </cell>
          <cell r="F31">
            <v>2125</v>
          </cell>
          <cell r="H31">
            <v>0</v>
          </cell>
        </row>
        <row r="32">
          <cell r="D32">
            <v>76100.100000000006</v>
          </cell>
          <cell r="F32">
            <v>19635.28</v>
          </cell>
          <cell r="H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</row>
        <row r="34">
          <cell r="D34">
            <v>1854.73</v>
          </cell>
          <cell r="F34">
            <v>0</v>
          </cell>
          <cell r="H34">
            <v>0</v>
          </cell>
        </row>
        <row r="35">
          <cell r="D35">
            <v>7803.25</v>
          </cell>
          <cell r="F35">
            <v>-7803.25</v>
          </cell>
          <cell r="H35">
            <v>0</v>
          </cell>
        </row>
        <row r="36">
          <cell r="D36">
            <v>0</v>
          </cell>
          <cell r="F36">
            <v>31905.93</v>
          </cell>
          <cell r="H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</row>
        <row r="39">
          <cell r="D39">
            <v>3004.58</v>
          </cell>
          <cell r="F39">
            <v>0</v>
          </cell>
          <cell r="H39">
            <v>0</v>
          </cell>
        </row>
        <row r="40">
          <cell r="D40">
            <v>8321.02</v>
          </cell>
          <cell r="F40">
            <v>-8321.02</v>
          </cell>
          <cell r="H40">
            <v>0</v>
          </cell>
        </row>
        <row r="41">
          <cell r="D41">
            <v>15311.06</v>
          </cell>
          <cell r="F41">
            <v>-6616.34</v>
          </cell>
          <cell r="H41">
            <v>0</v>
          </cell>
        </row>
        <row r="42">
          <cell r="D42">
            <v>1396.64</v>
          </cell>
          <cell r="F42">
            <v>0</v>
          </cell>
          <cell r="H42">
            <v>0</v>
          </cell>
        </row>
        <row r="43">
          <cell r="D43">
            <v>12321.45</v>
          </cell>
          <cell r="F43">
            <v>-12321.45</v>
          </cell>
          <cell r="H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</row>
        <row r="45">
          <cell r="D45">
            <v>33793.57</v>
          </cell>
          <cell r="F45">
            <v>-3475</v>
          </cell>
          <cell r="H45">
            <v>0</v>
          </cell>
        </row>
        <row r="57">
          <cell r="D57">
            <v>721055.28</v>
          </cell>
          <cell r="F57">
            <v>-943.2</v>
          </cell>
          <cell r="H57">
            <v>0</v>
          </cell>
        </row>
        <row r="58">
          <cell r="D58">
            <v>128.96</v>
          </cell>
          <cell r="F58">
            <v>44323.040000000001</v>
          </cell>
          <cell r="H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</row>
        <row r="60">
          <cell r="D60">
            <v>27680.92</v>
          </cell>
          <cell r="F60">
            <v>0</v>
          </cell>
          <cell r="H60">
            <v>0</v>
          </cell>
        </row>
        <row r="61">
          <cell r="D61">
            <v>3958.56</v>
          </cell>
          <cell r="F61">
            <v>993.19</v>
          </cell>
          <cell r="H61">
            <v>0</v>
          </cell>
        </row>
        <row r="62">
          <cell r="D62">
            <v>1386.41</v>
          </cell>
          <cell r="F62">
            <v>-0.41</v>
          </cell>
          <cell r="H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</row>
        <row r="65">
          <cell r="D65">
            <v>4638.76</v>
          </cell>
          <cell r="F65">
            <v>-3136.49</v>
          </cell>
          <cell r="H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</row>
        <row r="67">
          <cell r="D67">
            <v>62322.58</v>
          </cell>
          <cell r="F67">
            <v>-11313.57</v>
          </cell>
          <cell r="H67">
            <v>0</v>
          </cell>
        </row>
        <row r="68">
          <cell r="D68">
            <v>0</v>
          </cell>
          <cell r="F68">
            <v>0</v>
          </cell>
          <cell r="H68">
            <v>0</v>
          </cell>
        </row>
        <row r="69">
          <cell r="D69">
            <v>4923.2</v>
          </cell>
          <cell r="F69">
            <v>0</v>
          </cell>
          <cell r="H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</row>
        <row r="75">
          <cell r="D75">
            <v>46004.959999999999</v>
          </cell>
          <cell r="F75">
            <v>0</v>
          </cell>
          <cell r="H75">
            <v>0</v>
          </cell>
        </row>
        <row r="76">
          <cell r="D76">
            <v>7424.36</v>
          </cell>
          <cell r="F76">
            <v>0</v>
          </cell>
          <cell r="H76">
            <v>0</v>
          </cell>
        </row>
        <row r="77">
          <cell r="D77">
            <v>3432.79</v>
          </cell>
          <cell r="F77">
            <v>0</v>
          </cell>
          <cell r="H77">
            <v>0</v>
          </cell>
        </row>
        <row r="78">
          <cell r="D78">
            <v>5339.57</v>
          </cell>
          <cell r="F78">
            <v>0</v>
          </cell>
          <cell r="H78">
            <v>0</v>
          </cell>
        </row>
        <row r="79">
          <cell r="D79">
            <v>0</v>
          </cell>
          <cell r="F79">
            <v>0</v>
          </cell>
          <cell r="H79">
            <v>0</v>
          </cell>
        </row>
        <row r="80">
          <cell r="D80">
            <v>18224.13</v>
          </cell>
          <cell r="F80">
            <v>0</v>
          </cell>
          <cell r="H80">
            <v>0</v>
          </cell>
        </row>
        <row r="81">
          <cell r="D81">
            <v>6389.69</v>
          </cell>
          <cell r="F81">
            <v>0</v>
          </cell>
          <cell r="H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</row>
        <row r="83">
          <cell r="D83">
            <v>19760.169999999998</v>
          </cell>
          <cell r="F83">
            <v>0</v>
          </cell>
          <cell r="H83">
            <v>0</v>
          </cell>
        </row>
        <row r="84">
          <cell r="D84">
            <v>93219.21</v>
          </cell>
          <cell r="F84">
            <v>0</v>
          </cell>
          <cell r="H84">
            <v>0</v>
          </cell>
        </row>
        <row r="85">
          <cell r="D85">
            <v>21644.639999999999</v>
          </cell>
          <cell r="F85">
            <v>1573</v>
          </cell>
          <cell r="H85">
            <v>0</v>
          </cell>
        </row>
        <row r="89">
          <cell r="D89">
            <v>-2069.0500000000002</v>
          </cell>
          <cell r="F89">
            <v>2069.0500000000002</v>
          </cell>
          <cell r="H89">
            <v>0</v>
          </cell>
        </row>
        <row r="90">
          <cell r="D90">
            <v>-1.51</v>
          </cell>
          <cell r="F90">
            <v>1.51</v>
          </cell>
          <cell r="H90">
            <v>0</v>
          </cell>
        </row>
        <row r="91">
          <cell r="D91">
            <v>269755.55</v>
          </cell>
          <cell r="F91">
            <v>0</v>
          </cell>
          <cell r="H91">
            <v>0</v>
          </cell>
        </row>
        <row r="92">
          <cell r="D92">
            <v>117434.88</v>
          </cell>
          <cell r="F92">
            <v>0</v>
          </cell>
          <cell r="H92">
            <v>0</v>
          </cell>
        </row>
        <row r="93">
          <cell r="D93">
            <v>0</v>
          </cell>
          <cell r="F93">
            <v>0</v>
          </cell>
          <cell r="H93">
            <v>0</v>
          </cell>
        </row>
        <row r="94">
          <cell r="D94">
            <v>12517.61</v>
          </cell>
          <cell r="F94">
            <v>0</v>
          </cell>
          <cell r="H94">
            <v>0</v>
          </cell>
        </row>
        <row r="98">
          <cell r="D98">
            <v>0</v>
          </cell>
          <cell r="F98">
            <v>0</v>
          </cell>
          <cell r="H98">
            <v>0</v>
          </cell>
        </row>
        <row r="99">
          <cell r="D99">
            <v>0</v>
          </cell>
          <cell r="F99">
            <v>0</v>
          </cell>
          <cell r="H99">
            <v>0</v>
          </cell>
        </row>
        <row r="100">
          <cell r="D100">
            <v>2948.85</v>
          </cell>
          <cell r="F100">
            <v>0</v>
          </cell>
          <cell r="H100">
            <v>0</v>
          </cell>
        </row>
        <row r="101">
          <cell r="D101">
            <v>46592.74</v>
          </cell>
          <cell r="F101">
            <v>0</v>
          </cell>
          <cell r="H101">
            <v>0</v>
          </cell>
        </row>
        <row r="102">
          <cell r="D102">
            <v>4239.49</v>
          </cell>
          <cell r="F102">
            <v>0</v>
          </cell>
          <cell r="H102">
            <v>0</v>
          </cell>
        </row>
        <row r="103">
          <cell r="D103">
            <v>0</v>
          </cell>
          <cell r="F103">
            <v>0</v>
          </cell>
          <cell r="H103">
            <v>0</v>
          </cell>
        </row>
        <row r="115">
          <cell r="D115">
            <v>0</v>
          </cell>
          <cell r="F115">
            <v>0</v>
          </cell>
          <cell r="H115">
            <v>0</v>
          </cell>
        </row>
        <row r="116">
          <cell r="D116">
            <v>0</v>
          </cell>
          <cell r="F116">
            <v>0</v>
          </cell>
          <cell r="H116">
            <v>0</v>
          </cell>
        </row>
        <row r="117">
          <cell r="D117">
            <v>8298.59</v>
          </cell>
          <cell r="F117">
            <v>0</v>
          </cell>
          <cell r="H117">
            <v>0</v>
          </cell>
        </row>
        <row r="118">
          <cell r="D118">
            <v>70353.53</v>
          </cell>
          <cell r="F118">
            <v>0</v>
          </cell>
          <cell r="H118">
            <v>0</v>
          </cell>
        </row>
        <row r="119">
          <cell r="D119">
            <v>0</v>
          </cell>
          <cell r="F119">
            <v>0</v>
          </cell>
          <cell r="H119">
            <v>0</v>
          </cell>
        </row>
        <row r="124">
          <cell r="D124">
            <v>0</v>
          </cell>
          <cell r="F124">
            <v>206619.81</v>
          </cell>
          <cell r="H124">
            <v>0</v>
          </cell>
        </row>
        <row r="125">
          <cell r="D125">
            <v>0</v>
          </cell>
          <cell r="F125">
            <v>0</v>
          </cell>
          <cell r="H125">
            <v>0</v>
          </cell>
        </row>
        <row r="126">
          <cell r="D126">
            <v>0</v>
          </cell>
          <cell r="F126">
            <v>0</v>
          </cell>
          <cell r="H126">
            <v>0</v>
          </cell>
        </row>
        <row r="127">
          <cell r="D127">
            <v>0</v>
          </cell>
          <cell r="F127">
            <v>0</v>
          </cell>
          <cell r="H127">
            <v>0</v>
          </cell>
        </row>
        <row r="128">
          <cell r="D128">
            <v>244160.23</v>
          </cell>
          <cell r="F128">
            <v>-206619.81</v>
          </cell>
          <cell r="H128">
            <v>0</v>
          </cell>
        </row>
        <row r="130">
          <cell r="D130">
            <v>0</v>
          </cell>
          <cell r="F130">
            <v>0</v>
          </cell>
          <cell r="H130">
            <v>0</v>
          </cell>
        </row>
        <row r="131">
          <cell r="D131">
            <v>0</v>
          </cell>
          <cell r="F131">
            <v>0</v>
          </cell>
          <cell r="H131">
            <v>0</v>
          </cell>
        </row>
        <row r="132">
          <cell r="D132">
            <v>0</v>
          </cell>
          <cell r="F132">
            <v>0</v>
          </cell>
          <cell r="H132">
            <v>0</v>
          </cell>
        </row>
        <row r="133">
          <cell r="D133">
            <v>0</v>
          </cell>
          <cell r="F133">
            <v>0</v>
          </cell>
          <cell r="H133">
            <v>0</v>
          </cell>
        </row>
        <row r="134">
          <cell r="D134">
            <v>31962.11</v>
          </cell>
          <cell r="F134">
            <v>0</v>
          </cell>
          <cell r="H134">
            <v>0</v>
          </cell>
        </row>
        <row r="136">
          <cell r="D136">
            <v>378691.5</v>
          </cell>
          <cell r="F136">
            <v>0</v>
          </cell>
          <cell r="H136">
            <v>0</v>
          </cell>
        </row>
        <row r="137">
          <cell r="D137">
            <v>416656.74</v>
          </cell>
          <cell r="F137">
            <v>0</v>
          </cell>
          <cell r="H137">
            <v>0</v>
          </cell>
        </row>
        <row r="138">
          <cell r="D138">
            <v>511753.44</v>
          </cell>
          <cell r="F138">
            <v>0</v>
          </cell>
          <cell r="H138">
            <v>0</v>
          </cell>
        </row>
        <row r="139">
          <cell r="D139">
            <v>0</v>
          </cell>
          <cell r="F139">
            <v>0</v>
          </cell>
          <cell r="H139">
            <v>0</v>
          </cell>
        </row>
        <row r="141">
          <cell r="D141">
            <v>41282.69</v>
          </cell>
          <cell r="F141">
            <v>0</v>
          </cell>
          <cell r="H141">
            <v>0</v>
          </cell>
        </row>
        <row r="142">
          <cell r="D142">
            <v>44467.21</v>
          </cell>
          <cell r="F142">
            <v>0</v>
          </cell>
          <cell r="H142">
            <v>0</v>
          </cell>
        </row>
        <row r="143">
          <cell r="D143">
            <v>71881.62</v>
          </cell>
          <cell r="F143">
            <v>0</v>
          </cell>
          <cell r="H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</row>
        <row r="146">
          <cell r="D146">
            <v>29549.14</v>
          </cell>
          <cell r="F146">
            <v>0</v>
          </cell>
          <cell r="H146">
            <v>0</v>
          </cell>
        </row>
        <row r="147">
          <cell r="D147">
            <v>0</v>
          </cell>
          <cell r="F147">
            <v>0</v>
          </cell>
          <cell r="H147">
            <v>0</v>
          </cell>
        </row>
        <row r="148">
          <cell r="D148">
            <v>64903.73</v>
          </cell>
          <cell r="F148">
            <v>0</v>
          </cell>
          <cell r="H148">
            <v>-2776.53</v>
          </cell>
        </row>
        <row r="149">
          <cell r="D149">
            <v>0</v>
          </cell>
          <cell r="F149">
            <v>0</v>
          </cell>
          <cell r="H149">
            <v>0</v>
          </cell>
        </row>
        <row r="150">
          <cell r="D150">
            <v>4373.62</v>
          </cell>
          <cell r="F150">
            <v>0</v>
          </cell>
          <cell r="H150">
            <v>0</v>
          </cell>
        </row>
        <row r="151">
          <cell r="D151">
            <v>53206.21</v>
          </cell>
          <cell r="F151">
            <v>0</v>
          </cell>
          <cell r="H151">
            <v>0</v>
          </cell>
        </row>
        <row r="152">
          <cell r="D152">
            <v>43170.06</v>
          </cell>
          <cell r="F152">
            <v>0</v>
          </cell>
          <cell r="H152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</row>
        <row r="154">
          <cell r="D154">
            <v>5303.01</v>
          </cell>
          <cell r="F154">
            <v>0</v>
          </cell>
          <cell r="H154">
            <v>0</v>
          </cell>
        </row>
        <row r="156">
          <cell r="D156">
            <v>0</v>
          </cell>
          <cell r="F156">
            <v>0</v>
          </cell>
          <cell r="H156">
            <v>0</v>
          </cell>
        </row>
        <row r="157">
          <cell r="D157">
            <v>0</v>
          </cell>
          <cell r="F157">
            <v>0</v>
          </cell>
          <cell r="H157">
            <v>0</v>
          </cell>
        </row>
        <row r="158">
          <cell r="D158">
            <v>0</v>
          </cell>
          <cell r="F158">
            <v>0</v>
          </cell>
          <cell r="H158">
            <v>0</v>
          </cell>
        </row>
        <row r="159">
          <cell r="D159">
            <v>0</v>
          </cell>
          <cell r="F159">
            <v>0</v>
          </cell>
          <cell r="H159">
            <v>0</v>
          </cell>
        </row>
        <row r="160">
          <cell r="D160">
            <v>0</v>
          </cell>
          <cell r="F160">
            <v>0</v>
          </cell>
          <cell r="H160">
            <v>0</v>
          </cell>
        </row>
        <row r="161">
          <cell r="D161">
            <v>9865.11</v>
          </cell>
          <cell r="F161">
            <v>0</v>
          </cell>
          <cell r="H161">
            <v>0</v>
          </cell>
        </row>
        <row r="175">
          <cell r="D175">
            <v>0</v>
          </cell>
          <cell r="F175">
            <v>0</v>
          </cell>
          <cell r="H175">
            <v>0</v>
          </cell>
        </row>
        <row r="176">
          <cell r="D176">
            <v>0</v>
          </cell>
          <cell r="F176">
            <v>0</v>
          </cell>
          <cell r="H176">
            <v>0</v>
          </cell>
        </row>
        <row r="177">
          <cell r="D177">
            <v>0</v>
          </cell>
          <cell r="F177">
            <v>0</v>
          </cell>
          <cell r="H177">
            <v>0</v>
          </cell>
        </row>
        <row r="178">
          <cell r="D178">
            <v>0</v>
          </cell>
          <cell r="F178">
            <v>0</v>
          </cell>
          <cell r="H178">
            <v>0</v>
          </cell>
        </row>
        <row r="179">
          <cell r="D179">
            <v>0</v>
          </cell>
          <cell r="F179">
            <v>0</v>
          </cell>
          <cell r="H179">
            <v>0</v>
          </cell>
        </row>
        <row r="180">
          <cell r="D180">
            <v>0</v>
          </cell>
          <cell r="F180">
            <v>0</v>
          </cell>
          <cell r="H180">
            <v>0</v>
          </cell>
        </row>
        <row r="181">
          <cell r="D181">
            <v>0</v>
          </cell>
          <cell r="F181">
            <v>0</v>
          </cell>
          <cell r="H181">
            <v>0</v>
          </cell>
        </row>
        <row r="182">
          <cell r="D182">
            <v>0</v>
          </cell>
          <cell r="F182">
            <v>0</v>
          </cell>
          <cell r="H182">
            <v>0</v>
          </cell>
        </row>
        <row r="183">
          <cell r="D183">
            <v>0</v>
          </cell>
          <cell r="F183">
            <v>0</v>
          </cell>
          <cell r="H183">
            <v>0</v>
          </cell>
        </row>
        <row r="184">
          <cell r="D184">
            <v>0</v>
          </cell>
          <cell r="F184">
            <v>0</v>
          </cell>
          <cell r="H184">
            <v>0</v>
          </cell>
        </row>
        <row r="185">
          <cell r="D185">
            <v>0</v>
          </cell>
          <cell r="F185">
            <v>0</v>
          </cell>
          <cell r="H185">
            <v>0</v>
          </cell>
        </row>
        <row r="186">
          <cell r="D186">
            <v>0</v>
          </cell>
          <cell r="F186">
            <v>0</v>
          </cell>
          <cell r="H186">
            <v>0</v>
          </cell>
        </row>
        <row r="187">
          <cell r="D187">
            <v>0</v>
          </cell>
          <cell r="F187">
            <v>0</v>
          </cell>
          <cell r="H187">
            <v>0</v>
          </cell>
        </row>
        <row r="188">
          <cell r="D188">
            <v>680.45</v>
          </cell>
          <cell r="F188">
            <v>0</v>
          </cell>
          <cell r="H188">
            <v>0</v>
          </cell>
        </row>
        <row r="189">
          <cell r="D189">
            <v>203.07</v>
          </cell>
          <cell r="F189">
            <v>0</v>
          </cell>
          <cell r="H189">
            <v>0</v>
          </cell>
        </row>
        <row r="190">
          <cell r="D190">
            <v>0</v>
          </cell>
          <cell r="F190">
            <v>0</v>
          </cell>
          <cell r="H190">
            <v>0</v>
          </cell>
        </row>
        <row r="191">
          <cell r="D191">
            <v>0</v>
          </cell>
          <cell r="F191">
            <v>0</v>
          </cell>
          <cell r="H191">
            <v>0</v>
          </cell>
        </row>
        <row r="192">
          <cell r="D192">
            <v>0</v>
          </cell>
          <cell r="F192">
            <v>0</v>
          </cell>
          <cell r="H192">
            <v>0</v>
          </cell>
        </row>
        <row r="193">
          <cell r="D193">
            <v>0</v>
          </cell>
          <cell r="F193">
            <v>0</v>
          </cell>
          <cell r="H193">
            <v>0</v>
          </cell>
        </row>
        <row r="194">
          <cell r="D194">
            <v>256203.96</v>
          </cell>
          <cell r="F194">
            <v>0</v>
          </cell>
          <cell r="H194">
            <v>-5353.12</v>
          </cell>
        </row>
        <row r="195">
          <cell r="D195">
            <v>51423.65</v>
          </cell>
          <cell r="F195">
            <v>0</v>
          </cell>
          <cell r="H195">
            <v>-1074.44</v>
          </cell>
        </row>
        <row r="196">
          <cell r="D196">
            <v>0</v>
          </cell>
          <cell r="F196">
            <v>0</v>
          </cell>
          <cell r="H196">
            <v>0</v>
          </cell>
        </row>
        <row r="197">
          <cell r="D197">
            <v>97409.3</v>
          </cell>
          <cell r="F197">
            <v>0</v>
          </cell>
          <cell r="H197">
            <v>-2035.27</v>
          </cell>
        </row>
        <row r="198">
          <cell r="D198">
            <v>15188.27</v>
          </cell>
          <cell r="F198">
            <v>0</v>
          </cell>
          <cell r="H198">
            <v>0</v>
          </cell>
        </row>
        <row r="199">
          <cell r="D199">
            <v>3101.11</v>
          </cell>
          <cell r="F199">
            <v>0</v>
          </cell>
          <cell r="H199">
            <v>0</v>
          </cell>
        </row>
        <row r="200">
          <cell r="D200">
            <v>0</v>
          </cell>
          <cell r="F200">
            <v>0</v>
          </cell>
          <cell r="H200">
            <v>0</v>
          </cell>
        </row>
        <row r="201">
          <cell r="D201">
            <v>0</v>
          </cell>
          <cell r="F201">
            <v>0</v>
          </cell>
          <cell r="H201">
            <v>0</v>
          </cell>
        </row>
        <row r="202">
          <cell r="D202">
            <v>0</v>
          </cell>
          <cell r="F202">
            <v>0</v>
          </cell>
          <cell r="H202">
            <v>0</v>
          </cell>
        </row>
        <row r="203">
          <cell r="D203">
            <v>2662.19</v>
          </cell>
          <cell r="F203">
            <v>0</v>
          </cell>
          <cell r="H203">
            <v>0</v>
          </cell>
        </row>
        <row r="204">
          <cell r="D204">
            <v>0</v>
          </cell>
          <cell r="F204">
            <v>0</v>
          </cell>
          <cell r="H204">
            <v>0</v>
          </cell>
        </row>
        <row r="205">
          <cell r="D205">
            <v>89395.28</v>
          </cell>
          <cell r="F205">
            <v>0</v>
          </cell>
          <cell r="H205">
            <v>0</v>
          </cell>
        </row>
        <row r="206">
          <cell r="D206">
            <v>4586.24</v>
          </cell>
          <cell r="F206">
            <v>0</v>
          </cell>
          <cell r="H206">
            <v>0</v>
          </cell>
        </row>
        <row r="207">
          <cell r="D207">
            <v>8186.5</v>
          </cell>
          <cell r="F207">
            <v>0</v>
          </cell>
          <cell r="H207">
            <v>0</v>
          </cell>
        </row>
        <row r="211">
          <cell r="D211">
            <v>170146.74</v>
          </cell>
          <cell r="F211">
            <v>-39080.46</v>
          </cell>
          <cell r="H211">
            <v>0</v>
          </cell>
        </row>
        <row r="212">
          <cell r="D212">
            <v>31506.6</v>
          </cell>
          <cell r="F212">
            <v>0</v>
          </cell>
          <cell r="H212">
            <v>0</v>
          </cell>
        </row>
        <row r="213">
          <cell r="D213">
            <v>26732.46</v>
          </cell>
          <cell r="F213">
            <v>0</v>
          </cell>
          <cell r="H213">
            <v>0</v>
          </cell>
        </row>
        <row r="214">
          <cell r="D214">
            <v>0</v>
          </cell>
          <cell r="F214">
            <v>0</v>
          </cell>
          <cell r="H214">
            <v>0</v>
          </cell>
        </row>
        <row r="215">
          <cell r="D215">
            <v>0</v>
          </cell>
          <cell r="F215">
            <v>0</v>
          </cell>
          <cell r="H215">
            <v>0</v>
          </cell>
        </row>
        <row r="216">
          <cell r="D216">
            <v>6991.46</v>
          </cell>
          <cell r="F216">
            <v>-1417.1</v>
          </cell>
          <cell r="H216">
            <v>0</v>
          </cell>
        </row>
        <row r="221">
          <cell r="D221">
            <v>5334744.43</v>
          </cell>
        </row>
      </sheetData>
      <sheetData sheetId="8"/>
      <sheetData sheetId="9"/>
      <sheetData sheetId="10">
        <row r="9">
          <cell r="C9">
            <v>15595</v>
          </cell>
          <cell r="D9">
            <v>0</v>
          </cell>
          <cell r="E9">
            <v>1593</v>
          </cell>
          <cell r="F9">
            <v>140</v>
          </cell>
          <cell r="G9">
            <v>0</v>
          </cell>
          <cell r="H9">
            <v>140</v>
          </cell>
          <cell r="I9">
            <v>688</v>
          </cell>
          <cell r="J9">
            <v>95</v>
          </cell>
          <cell r="K9">
            <v>42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0.41764840182648399</v>
          </cell>
        </row>
        <row r="32">
          <cell r="N32">
            <v>0.35605022831050226</v>
          </cell>
        </row>
        <row r="34">
          <cell r="N34">
            <v>0.85251188979391024</v>
          </cell>
        </row>
      </sheetData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250"/>
      <sheetName val="10-490"/>
      <sheetName val="70-490"/>
      <sheetName val="90-49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1995135</v>
          </cell>
          <cell r="G10">
            <v>0</v>
          </cell>
        </row>
        <row r="12">
          <cell r="E12"/>
          <cell r="G12"/>
        </row>
        <row r="13">
          <cell r="E13">
            <v>8926</v>
          </cell>
          <cell r="G13"/>
        </row>
        <row r="14">
          <cell r="E14"/>
          <cell r="G14"/>
        </row>
        <row r="15">
          <cell r="E15">
            <v>2004061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1027938</v>
          </cell>
          <cell r="G26">
            <v>0</v>
          </cell>
        </row>
        <row r="32">
          <cell r="E32">
            <v>462034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386467</v>
          </cell>
          <cell r="G42">
            <v>0</v>
          </cell>
        </row>
        <row r="47">
          <cell r="E47">
            <v>460429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145933</v>
          </cell>
          <cell r="G57">
            <v>0</v>
          </cell>
        </row>
        <row r="72">
          <cell r="E72">
            <v>90412</v>
          </cell>
          <cell r="G72">
            <v>-7382</v>
          </cell>
        </row>
        <row r="90">
          <cell r="C90">
            <v>169.57796610169493</v>
          </cell>
          <cell r="E90">
            <v>169.57746478873239</v>
          </cell>
          <cell r="G90">
            <v>169.57677165354332</v>
          </cell>
          <cell r="I90">
            <v>169.57749077490774</v>
          </cell>
        </row>
      </sheetData>
      <sheetData sheetId="6"/>
      <sheetData sheetId="7">
        <row r="10">
          <cell r="D10"/>
          <cell r="F10">
            <v>102709</v>
          </cell>
          <cell r="H10"/>
        </row>
        <row r="11">
          <cell r="D11"/>
          <cell r="F11"/>
          <cell r="H11"/>
        </row>
        <row r="12">
          <cell r="D12">
            <v>196084</v>
          </cell>
          <cell r="F12">
            <v>-102734</v>
          </cell>
          <cell r="H12"/>
        </row>
        <row r="13">
          <cell r="D13">
            <v>64512</v>
          </cell>
          <cell r="F13">
            <v>-3408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228860</v>
          </cell>
          <cell r="F16"/>
          <cell r="H16">
            <v>-16278</v>
          </cell>
        </row>
        <row r="17">
          <cell r="D17">
            <v>366</v>
          </cell>
          <cell r="F17">
            <v>-366</v>
          </cell>
          <cell r="H17"/>
        </row>
        <row r="18">
          <cell r="D18">
            <v>20696</v>
          </cell>
          <cell r="F18"/>
          <cell r="H18"/>
        </row>
        <row r="19">
          <cell r="D19">
            <v>8332</v>
          </cell>
          <cell r="F19"/>
          <cell r="H19"/>
        </row>
        <row r="20">
          <cell r="D20">
            <v>10566</v>
          </cell>
          <cell r="F20">
            <v>-15</v>
          </cell>
          <cell r="H20"/>
        </row>
        <row r="21">
          <cell r="D21">
            <v>9963</v>
          </cell>
          <cell r="F21">
            <v>-33</v>
          </cell>
          <cell r="H21"/>
        </row>
        <row r="22">
          <cell r="D22"/>
          <cell r="F22"/>
          <cell r="H22"/>
        </row>
        <row r="23">
          <cell r="D23">
            <v>9688</v>
          </cell>
          <cell r="F23"/>
          <cell r="H23"/>
        </row>
        <row r="24">
          <cell r="D24">
            <v>21187</v>
          </cell>
          <cell r="F24"/>
          <cell r="H24"/>
        </row>
        <row r="25">
          <cell r="D25">
            <v>9917</v>
          </cell>
          <cell r="F25"/>
          <cell r="H25"/>
        </row>
        <row r="26">
          <cell r="D26">
            <v>314364</v>
          </cell>
          <cell r="F26"/>
          <cell r="H26"/>
        </row>
        <row r="27">
          <cell r="D27">
            <v>124751</v>
          </cell>
          <cell r="F27">
            <v>-110948</v>
          </cell>
          <cell r="H27"/>
        </row>
        <row r="28">
          <cell r="D28"/>
          <cell r="F28">
            <v>0</v>
          </cell>
          <cell r="H28"/>
        </row>
        <row r="29">
          <cell r="D29">
            <v>75682</v>
          </cell>
          <cell r="F29">
            <v>-75682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48640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57</v>
          </cell>
          <cell r="F34"/>
          <cell r="H34"/>
        </row>
        <row r="35">
          <cell r="D35">
            <v>10078</v>
          </cell>
          <cell r="F35">
            <v>-10078</v>
          </cell>
          <cell r="H35"/>
        </row>
        <row r="36">
          <cell r="D36">
            <v>28888</v>
          </cell>
          <cell r="F36"/>
          <cell r="H36"/>
        </row>
        <row r="37">
          <cell r="D37">
            <v>4555</v>
          </cell>
          <cell r="F37"/>
          <cell r="H37"/>
        </row>
        <row r="38">
          <cell r="D38"/>
          <cell r="F38"/>
          <cell r="H38"/>
        </row>
        <row r="39">
          <cell r="D39">
            <v>1807</v>
          </cell>
          <cell r="F39"/>
          <cell r="H39"/>
        </row>
        <row r="40">
          <cell r="D40">
            <v>978</v>
          </cell>
          <cell r="F40">
            <v>-978</v>
          </cell>
          <cell r="H40"/>
        </row>
        <row r="41">
          <cell r="D41">
            <v>28645</v>
          </cell>
          <cell r="F41">
            <v>-3422</v>
          </cell>
          <cell r="H41"/>
        </row>
        <row r="42">
          <cell r="D42"/>
          <cell r="F42"/>
          <cell r="H42"/>
        </row>
        <row r="43">
          <cell r="D43">
            <v>8304</v>
          </cell>
          <cell r="F43">
            <v>-8304</v>
          </cell>
          <cell r="H43"/>
        </row>
        <row r="44">
          <cell r="D44"/>
          <cell r="F44"/>
          <cell r="H44"/>
        </row>
        <row r="45">
          <cell r="D45">
            <v>6388</v>
          </cell>
          <cell r="F45">
            <v>-100</v>
          </cell>
          <cell r="H45"/>
        </row>
        <row r="57">
          <cell r="D57"/>
          <cell r="F57"/>
          <cell r="H57"/>
        </row>
        <row r="58">
          <cell r="D58">
            <v>15820</v>
          </cell>
          <cell r="F58"/>
          <cell r="H58"/>
        </row>
        <row r="59">
          <cell r="D59"/>
          <cell r="F59">
            <v>110946</v>
          </cell>
          <cell r="H59"/>
        </row>
        <row r="60">
          <cell r="D60">
            <v>10251</v>
          </cell>
          <cell r="F60"/>
          <cell r="H60"/>
        </row>
        <row r="61">
          <cell r="D61">
            <v>6534</v>
          </cell>
          <cell r="F61"/>
          <cell r="H61"/>
        </row>
        <row r="62">
          <cell r="D62">
            <v>361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>
            <v>6740</v>
          </cell>
          <cell r="F65"/>
          <cell r="H65"/>
        </row>
        <row r="66">
          <cell r="D66">
            <v>50915</v>
          </cell>
          <cell r="F66"/>
          <cell r="H66">
            <v>-946</v>
          </cell>
        </row>
        <row r="67">
          <cell r="D67">
            <v>282179</v>
          </cell>
          <cell r="F67"/>
          <cell r="H67"/>
        </row>
        <row r="68">
          <cell r="D68"/>
          <cell r="F68"/>
          <cell r="H68"/>
        </row>
        <row r="69">
          <cell r="D69">
            <v>1714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42783</v>
          </cell>
          <cell r="F75"/>
          <cell r="H75"/>
        </row>
        <row r="76">
          <cell r="D76">
            <v>7805</v>
          </cell>
          <cell r="F76"/>
          <cell r="H76"/>
        </row>
        <row r="77">
          <cell r="D77">
            <v>7784</v>
          </cell>
          <cell r="F77"/>
          <cell r="H77"/>
        </row>
        <row r="78">
          <cell r="D78"/>
          <cell r="F78"/>
          <cell r="H78"/>
        </row>
        <row r="79">
          <cell r="D79">
            <v>2705</v>
          </cell>
          <cell r="F79"/>
          <cell r="H79"/>
        </row>
        <row r="80">
          <cell r="D80">
            <v>5765</v>
          </cell>
          <cell r="F80"/>
          <cell r="H80"/>
        </row>
        <row r="81">
          <cell r="D81">
            <v>18551</v>
          </cell>
          <cell r="F81"/>
          <cell r="H81"/>
        </row>
        <row r="82">
          <cell r="D82">
            <v>12370</v>
          </cell>
          <cell r="F82"/>
          <cell r="H82"/>
        </row>
        <row r="83">
          <cell r="D83">
            <v>8947</v>
          </cell>
          <cell r="F83"/>
          <cell r="H83"/>
        </row>
        <row r="84">
          <cell r="D84">
            <v>73577</v>
          </cell>
          <cell r="F84"/>
          <cell r="H84"/>
        </row>
        <row r="85">
          <cell r="D85"/>
          <cell r="F85"/>
          <cell r="H85"/>
        </row>
        <row r="89">
          <cell r="D89"/>
          <cell r="F89"/>
          <cell r="H89"/>
        </row>
        <row r="90">
          <cell r="D90"/>
          <cell r="F90"/>
          <cell r="H90"/>
        </row>
        <row r="91">
          <cell r="D91">
            <v>345325</v>
          </cell>
          <cell r="F91"/>
          <cell r="H91"/>
        </row>
        <row r="92">
          <cell r="D92">
            <v>3174</v>
          </cell>
          <cell r="F92">
            <v>-377</v>
          </cell>
          <cell r="H92"/>
        </row>
        <row r="93">
          <cell r="D93">
            <v>1687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/>
          <cell r="F100"/>
          <cell r="H100"/>
        </row>
        <row r="101">
          <cell r="D101">
            <v>43132</v>
          </cell>
          <cell r="F101"/>
          <cell r="H101"/>
        </row>
        <row r="102">
          <cell r="D102">
            <v>2927</v>
          </cell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9370</v>
          </cell>
          <cell r="F117"/>
          <cell r="H117"/>
        </row>
        <row r="118">
          <cell r="D118">
            <v>65766</v>
          </cell>
          <cell r="F118"/>
          <cell r="H118"/>
        </row>
        <row r="119">
          <cell r="D119"/>
          <cell r="F119"/>
          <cell r="H119"/>
        </row>
        <row r="124">
          <cell r="D124"/>
          <cell r="F124"/>
          <cell r="H124"/>
        </row>
        <row r="125">
          <cell r="D125">
            <v>153620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42653</v>
          </cell>
          <cell r="F128"/>
          <cell r="H128"/>
        </row>
        <row r="130">
          <cell r="D130"/>
          <cell r="F130"/>
          <cell r="H130"/>
        </row>
        <row r="131">
          <cell r="D131">
            <v>16922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12268</v>
          </cell>
          <cell r="F134"/>
          <cell r="H134"/>
        </row>
        <row r="136">
          <cell r="D136">
            <v>207464</v>
          </cell>
          <cell r="F136"/>
          <cell r="H136"/>
        </row>
        <row r="137">
          <cell r="D137">
            <v>206819</v>
          </cell>
          <cell r="F137"/>
          <cell r="H137"/>
        </row>
        <row r="138">
          <cell r="D138">
            <v>405693</v>
          </cell>
          <cell r="F138">
            <v>8991</v>
          </cell>
          <cell r="H138"/>
        </row>
        <row r="139">
          <cell r="D139">
            <v>8991</v>
          </cell>
          <cell r="F139">
            <v>-8991</v>
          </cell>
          <cell r="H139"/>
        </row>
        <row r="141">
          <cell r="D141">
            <v>163989</v>
          </cell>
          <cell r="F141">
            <v>-122948</v>
          </cell>
          <cell r="H141"/>
        </row>
        <row r="142">
          <cell r="D142"/>
          <cell r="F142">
            <v>40914</v>
          </cell>
          <cell r="H142"/>
        </row>
        <row r="143">
          <cell r="D143"/>
          <cell r="F143">
            <v>82034</v>
          </cell>
          <cell r="H143"/>
        </row>
        <row r="144">
          <cell r="D144"/>
          <cell r="F144"/>
          <cell r="H144"/>
        </row>
        <row r="146">
          <cell r="D146">
            <v>32800</v>
          </cell>
          <cell r="F146"/>
          <cell r="H146"/>
        </row>
        <row r="147">
          <cell r="D147">
            <v>35964</v>
          </cell>
          <cell r="F147"/>
          <cell r="H147"/>
        </row>
        <row r="148">
          <cell r="D148">
            <v>24287</v>
          </cell>
          <cell r="F148"/>
          <cell r="H148"/>
        </row>
        <row r="149">
          <cell r="D149">
            <v>9710</v>
          </cell>
          <cell r="F149"/>
          <cell r="H149"/>
        </row>
        <row r="150">
          <cell r="D150">
            <v>5174</v>
          </cell>
          <cell r="F150"/>
          <cell r="H150"/>
        </row>
        <row r="151">
          <cell r="D151">
            <v>77355</v>
          </cell>
          <cell r="F151"/>
          <cell r="H151"/>
        </row>
        <row r="152">
          <cell r="D152">
            <v>5660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1432</v>
          </cell>
          <cell r="F160"/>
          <cell r="H160"/>
        </row>
        <row r="161">
          <cell r="D161">
            <v>9200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/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80</v>
          </cell>
          <cell r="F193"/>
          <cell r="H193"/>
        </row>
        <row r="194">
          <cell r="D194">
            <v>237385</v>
          </cell>
          <cell r="F194"/>
          <cell r="H194">
            <v>4154</v>
          </cell>
        </row>
        <row r="195">
          <cell r="D195">
            <v>51036</v>
          </cell>
          <cell r="F195"/>
          <cell r="H195">
            <v>893</v>
          </cell>
        </row>
        <row r="196">
          <cell r="D196"/>
          <cell r="F196"/>
          <cell r="H196"/>
        </row>
        <row r="197">
          <cell r="D197">
            <v>198359</v>
          </cell>
          <cell r="F197"/>
          <cell r="H197">
            <v>3471</v>
          </cell>
        </row>
        <row r="198">
          <cell r="D198">
            <v>18878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81975</v>
          </cell>
          <cell r="F205"/>
          <cell r="H205"/>
        </row>
        <row r="206">
          <cell r="D206">
            <v>3616</v>
          </cell>
          <cell r="F206"/>
          <cell r="H206"/>
        </row>
        <row r="207">
          <cell r="D207"/>
          <cell r="F207"/>
          <cell r="H207"/>
        </row>
        <row r="211">
          <cell r="D211">
            <v>73660</v>
          </cell>
          <cell r="F211"/>
          <cell r="H211"/>
        </row>
        <row r="212">
          <cell r="D212">
            <v>34105</v>
          </cell>
          <cell r="F212"/>
          <cell r="H212"/>
        </row>
        <row r="213">
          <cell r="D213">
            <v>3101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5067</v>
          </cell>
          <cell r="F216"/>
          <cell r="H216"/>
        </row>
        <row r="221">
          <cell r="D221">
            <v>4386753</v>
          </cell>
        </row>
      </sheetData>
      <sheetData sheetId="8"/>
      <sheetData sheetId="9"/>
      <sheetData sheetId="10">
        <row r="9">
          <cell r="C9">
            <v>10100</v>
          </cell>
          <cell r="D9"/>
          <cell r="E9">
            <v>1806</v>
          </cell>
          <cell r="F9">
            <v>1125</v>
          </cell>
          <cell r="G9"/>
          <cell r="H9">
            <v>2279</v>
          </cell>
          <cell r="I9">
            <v>2367</v>
          </cell>
          <cell r="J9"/>
          <cell r="K9">
            <v>329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30660</v>
          </cell>
        </row>
        <row r="30">
          <cell r="N30">
            <v>0.58727984344422701</v>
          </cell>
        </row>
        <row r="32">
          <cell r="N32">
            <v>0.32941943900848009</v>
          </cell>
        </row>
        <row r="34">
          <cell r="N34">
            <v>0.56092413639897809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490"/>
      <sheetName val="30-490"/>
      <sheetName val="60-490"/>
      <sheetName val="70-490"/>
      <sheetName val="90-490"/>
      <sheetName val="10-25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1844995</v>
          </cell>
          <cell r="G10">
            <v>0</v>
          </cell>
        </row>
        <row r="12">
          <cell r="E12"/>
          <cell r="G12"/>
        </row>
        <row r="13">
          <cell r="E13">
            <v>69812</v>
          </cell>
          <cell r="G13"/>
        </row>
        <row r="14">
          <cell r="E14"/>
          <cell r="G14"/>
        </row>
        <row r="15">
          <cell r="E15">
            <v>1914807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363051</v>
          </cell>
          <cell r="G26">
            <v>0</v>
          </cell>
        </row>
        <row r="32">
          <cell r="E32">
            <v>53067</v>
          </cell>
          <cell r="G32">
            <v>-15239</v>
          </cell>
        </row>
        <row r="37">
          <cell r="E37">
            <v>0</v>
          </cell>
          <cell r="G37">
            <v>0</v>
          </cell>
        </row>
        <row r="42">
          <cell r="E42">
            <v>50976</v>
          </cell>
          <cell r="G42">
            <v>0</v>
          </cell>
        </row>
        <row r="47">
          <cell r="E47">
            <v>331156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-15239</v>
          </cell>
          <cell r="G57">
            <v>15239</v>
          </cell>
        </row>
        <row r="72">
          <cell r="E72">
            <v>40372</v>
          </cell>
          <cell r="G72">
            <v>-5455</v>
          </cell>
        </row>
        <row r="90">
          <cell r="C90">
            <v>153.54615384615386</v>
          </cell>
          <cell r="E90">
            <v>153.54545454545453</v>
          </cell>
          <cell r="G90">
            <v>153.53846153846155</v>
          </cell>
          <cell r="I90">
            <v>153.52941176470588</v>
          </cell>
        </row>
      </sheetData>
      <sheetData sheetId="6"/>
      <sheetData sheetId="7">
        <row r="10">
          <cell r="D10"/>
          <cell r="F10">
            <v>107487</v>
          </cell>
          <cell r="H10"/>
        </row>
        <row r="11">
          <cell r="D11"/>
          <cell r="F11"/>
          <cell r="H11"/>
        </row>
        <row r="12">
          <cell r="D12">
            <v>216131</v>
          </cell>
          <cell r="F12">
            <v>-107562</v>
          </cell>
          <cell r="H12"/>
        </row>
        <row r="13">
          <cell r="D13">
            <v>49366</v>
          </cell>
          <cell r="F13">
            <v>-724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136911</v>
          </cell>
          <cell r="F16"/>
          <cell r="H16">
            <v>119040</v>
          </cell>
        </row>
        <row r="17">
          <cell r="D17"/>
          <cell r="F17"/>
          <cell r="H17"/>
        </row>
        <row r="18">
          <cell r="D18">
            <v>9750</v>
          </cell>
          <cell r="F18"/>
          <cell r="H18"/>
        </row>
        <row r="19">
          <cell r="D19">
            <v>9295</v>
          </cell>
          <cell r="F19"/>
          <cell r="H19"/>
        </row>
        <row r="20">
          <cell r="D20">
            <v>26197</v>
          </cell>
          <cell r="F20"/>
          <cell r="H20"/>
        </row>
        <row r="21">
          <cell r="D21">
            <v>18913</v>
          </cell>
          <cell r="F21"/>
          <cell r="H21"/>
        </row>
        <row r="22">
          <cell r="D22"/>
          <cell r="F22"/>
          <cell r="H22"/>
        </row>
        <row r="23">
          <cell r="D23">
            <v>8964</v>
          </cell>
          <cell r="F23"/>
          <cell r="H23"/>
        </row>
        <row r="24">
          <cell r="D24">
            <v>23627</v>
          </cell>
          <cell r="F24"/>
          <cell r="H24"/>
        </row>
        <row r="25">
          <cell r="D25">
            <v>11993</v>
          </cell>
          <cell r="F25"/>
          <cell r="H25"/>
        </row>
        <row r="26">
          <cell r="D26">
            <v>276558</v>
          </cell>
          <cell r="F26"/>
          <cell r="H26"/>
        </row>
        <row r="27">
          <cell r="D27">
            <v>21176</v>
          </cell>
          <cell r="F27">
            <v>-93</v>
          </cell>
          <cell r="H27"/>
        </row>
        <row r="28">
          <cell r="D28"/>
          <cell r="F28">
            <v>0</v>
          </cell>
          <cell r="H28"/>
        </row>
        <row r="29">
          <cell r="D29">
            <v>118883</v>
          </cell>
          <cell r="F29">
            <v>-118883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52473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16</v>
          </cell>
          <cell r="F34"/>
          <cell r="H34"/>
        </row>
        <row r="35">
          <cell r="D35">
            <v>85020</v>
          </cell>
          <cell r="F35">
            <v>-85020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292</v>
          </cell>
          <cell r="F38">
            <v>-292</v>
          </cell>
          <cell r="H38"/>
        </row>
        <row r="39">
          <cell r="D39">
            <v>2777</v>
          </cell>
          <cell r="F39"/>
          <cell r="H39"/>
        </row>
        <row r="40">
          <cell r="D40">
            <v>2073</v>
          </cell>
          <cell r="F40">
            <v>-2073</v>
          </cell>
          <cell r="H40"/>
        </row>
        <row r="41">
          <cell r="D41">
            <v>98263</v>
          </cell>
          <cell r="F41">
            <v>-4341</v>
          </cell>
          <cell r="H41">
            <v>-984</v>
          </cell>
        </row>
        <row r="42">
          <cell r="D42"/>
          <cell r="F42"/>
          <cell r="H42"/>
        </row>
        <row r="43">
          <cell r="D43">
            <v>7358</v>
          </cell>
          <cell r="F43">
            <v>-7358</v>
          </cell>
          <cell r="H43"/>
        </row>
        <row r="44">
          <cell r="D44"/>
          <cell r="F44"/>
          <cell r="H44"/>
        </row>
        <row r="45">
          <cell r="D45">
            <v>11294</v>
          </cell>
          <cell r="F45">
            <v>0</v>
          </cell>
          <cell r="H45"/>
        </row>
        <row r="57">
          <cell r="D57"/>
          <cell r="F57"/>
          <cell r="H57"/>
        </row>
        <row r="58">
          <cell r="D58">
            <v>96904</v>
          </cell>
          <cell r="F58"/>
          <cell r="H58"/>
        </row>
        <row r="59">
          <cell r="D59">
            <v>62677</v>
          </cell>
          <cell r="F59"/>
          <cell r="H59"/>
        </row>
        <row r="60">
          <cell r="D60">
            <v>25985</v>
          </cell>
          <cell r="F60"/>
          <cell r="H60"/>
        </row>
        <row r="61">
          <cell r="D61">
            <v>17202</v>
          </cell>
          <cell r="F61"/>
          <cell r="H61"/>
        </row>
        <row r="62">
          <cell r="D62"/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53381</v>
          </cell>
          <cell r="F66"/>
          <cell r="H66">
            <v>-459</v>
          </cell>
        </row>
        <row r="67">
          <cell r="D67">
            <v>29850</v>
          </cell>
          <cell r="F67"/>
          <cell r="H67"/>
        </row>
        <row r="68">
          <cell r="D68"/>
          <cell r="F68"/>
          <cell r="H68"/>
        </row>
        <row r="69">
          <cell r="D69">
            <v>2997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39506</v>
          </cell>
          <cell r="F75"/>
          <cell r="H75"/>
        </row>
        <row r="76">
          <cell r="D76">
            <v>8220</v>
          </cell>
          <cell r="F76"/>
          <cell r="H76"/>
        </row>
        <row r="77">
          <cell r="D77">
            <v>9446</v>
          </cell>
          <cell r="F77"/>
          <cell r="H77"/>
        </row>
        <row r="78">
          <cell r="D78"/>
          <cell r="F78"/>
          <cell r="H78"/>
        </row>
        <row r="79">
          <cell r="D79">
            <v>13964</v>
          </cell>
          <cell r="F79"/>
          <cell r="H79"/>
        </row>
        <row r="80">
          <cell r="D80">
            <v>49478</v>
          </cell>
          <cell r="F80"/>
          <cell r="H80"/>
        </row>
        <row r="81">
          <cell r="D81">
            <v>63255</v>
          </cell>
          <cell r="F81"/>
          <cell r="H81"/>
        </row>
        <row r="82">
          <cell r="D82">
            <v>11959</v>
          </cell>
          <cell r="F82"/>
          <cell r="H82"/>
        </row>
        <row r="83">
          <cell r="D83">
            <v>287</v>
          </cell>
          <cell r="F83"/>
          <cell r="H83"/>
        </row>
        <row r="84">
          <cell r="D84">
            <v>63561</v>
          </cell>
          <cell r="F84"/>
          <cell r="H84"/>
        </row>
        <row r="85">
          <cell r="D85">
            <v>299</v>
          </cell>
          <cell r="F85"/>
          <cell r="H85"/>
        </row>
        <row r="89">
          <cell r="D89"/>
          <cell r="F89"/>
          <cell r="H89"/>
        </row>
        <row r="90">
          <cell r="D90"/>
          <cell r="F90"/>
          <cell r="H90"/>
        </row>
        <row r="91">
          <cell r="D91">
            <v>351224</v>
          </cell>
          <cell r="F91"/>
          <cell r="H91"/>
        </row>
        <row r="92">
          <cell r="D92">
            <v>2106</v>
          </cell>
          <cell r="F92">
            <v>-222</v>
          </cell>
          <cell r="H92"/>
        </row>
        <row r="93">
          <cell r="D93">
            <v>4005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>
            <v>297</v>
          </cell>
          <cell r="F100"/>
          <cell r="H100"/>
        </row>
        <row r="101">
          <cell r="D101">
            <v>53689</v>
          </cell>
          <cell r="F101"/>
          <cell r="H101"/>
        </row>
        <row r="102">
          <cell r="D102">
            <v>11378</v>
          </cell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10333</v>
          </cell>
          <cell r="F117"/>
          <cell r="H117"/>
        </row>
        <row r="118">
          <cell r="D118">
            <v>102934</v>
          </cell>
          <cell r="F118"/>
          <cell r="H118"/>
        </row>
        <row r="119">
          <cell r="D119">
            <v>170</v>
          </cell>
          <cell r="F119"/>
          <cell r="H119"/>
        </row>
        <row r="124">
          <cell r="D124"/>
          <cell r="F124"/>
          <cell r="H124"/>
        </row>
        <row r="125">
          <cell r="D125">
            <v>93861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39774</v>
          </cell>
          <cell r="F128"/>
          <cell r="H128"/>
        </row>
        <row r="130">
          <cell r="D130"/>
          <cell r="F130"/>
          <cell r="H130"/>
        </row>
        <row r="131">
          <cell r="D131">
            <v>6311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19155</v>
          </cell>
          <cell r="F134"/>
          <cell r="H134"/>
        </row>
        <row r="136">
          <cell r="D136">
            <v>251165</v>
          </cell>
          <cell r="F136"/>
          <cell r="H136"/>
        </row>
        <row r="137">
          <cell r="D137">
            <v>153183</v>
          </cell>
          <cell r="F137"/>
          <cell r="H137"/>
        </row>
        <row r="138">
          <cell r="D138">
            <v>510438</v>
          </cell>
          <cell r="F138">
            <v>8252</v>
          </cell>
          <cell r="H138"/>
        </row>
        <row r="139">
          <cell r="D139">
            <v>8252</v>
          </cell>
          <cell r="F139">
            <v>-8252</v>
          </cell>
          <cell r="H139"/>
        </row>
        <row r="141">
          <cell r="D141">
            <v>216555</v>
          </cell>
          <cell r="F141">
            <v>-157629</v>
          </cell>
          <cell r="H141"/>
        </row>
        <row r="142">
          <cell r="D142"/>
          <cell r="F142">
            <v>35939</v>
          </cell>
          <cell r="H142"/>
        </row>
        <row r="143">
          <cell r="D143"/>
          <cell r="F143">
            <v>121690</v>
          </cell>
          <cell r="H143"/>
        </row>
        <row r="144">
          <cell r="D144"/>
          <cell r="F144"/>
          <cell r="H144"/>
        </row>
        <row r="146">
          <cell r="D146">
            <v>25100</v>
          </cell>
          <cell r="F146"/>
          <cell r="H146"/>
        </row>
        <row r="147">
          <cell r="D147">
            <v>300679</v>
          </cell>
          <cell r="F147"/>
          <cell r="H147"/>
        </row>
        <row r="148">
          <cell r="D148">
            <v>27512</v>
          </cell>
          <cell r="F148"/>
          <cell r="H148"/>
        </row>
        <row r="149">
          <cell r="D149">
            <v>94427</v>
          </cell>
          <cell r="F149"/>
          <cell r="H149"/>
        </row>
        <row r="150">
          <cell r="D150">
            <v>141546</v>
          </cell>
          <cell r="F150"/>
          <cell r="H150"/>
        </row>
        <row r="151">
          <cell r="D151">
            <v>51089</v>
          </cell>
          <cell r="F151"/>
          <cell r="H151"/>
        </row>
        <row r="152">
          <cell r="D152">
            <v>16424</v>
          </cell>
          <cell r="F152"/>
          <cell r="H152"/>
        </row>
        <row r="153">
          <cell r="D153"/>
          <cell r="F153"/>
          <cell r="H153"/>
        </row>
        <row r="154">
          <cell r="D154"/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310</v>
          </cell>
          <cell r="F160"/>
          <cell r="H160"/>
        </row>
        <row r="161">
          <cell r="D161">
            <v>11383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327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/>
          <cell r="F193"/>
          <cell r="H193"/>
        </row>
        <row r="194">
          <cell r="D194">
            <v>100409</v>
          </cell>
          <cell r="F194"/>
          <cell r="H194">
            <v>1757</v>
          </cell>
        </row>
        <row r="195">
          <cell r="D195">
            <v>60730</v>
          </cell>
          <cell r="F195"/>
          <cell r="H195">
            <v>1063</v>
          </cell>
        </row>
        <row r="196">
          <cell r="D196"/>
          <cell r="F196"/>
          <cell r="H196"/>
        </row>
        <row r="197">
          <cell r="D197">
            <v>97026</v>
          </cell>
          <cell r="F197"/>
          <cell r="H197">
            <v>1698</v>
          </cell>
        </row>
        <row r="198">
          <cell r="D198">
            <v>12801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23186</v>
          </cell>
          <cell r="F205"/>
          <cell r="H205"/>
        </row>
        <row r="206">
          <cell r="D206">
            <v>2836</v>
          </cell>
          <cell r="F206"/>
          <cell r="H206"/>
        </row>
        <row r="207">
          <cell r="D207"/>
          <cell r="F207"/>
          <cell r="H207"/>
        </row>
        <row r="211">
          <cell r="D211">
            <v>139480</v>
          </cell>
          <cell r="F211"/>
          <cell r="H211"/>
        </row>
        <row r="212">
          <cell r="D212">
            <v>27296</v>
          </cell>
          <cell r="F212"/>
          <cell r="H212"/>
        </row>
        <row r="213">
          <cell r="D213">
            <v>2038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2225</v>
          </cell>
          <cell r="F216"/>
          <cell r="H216"/>
        </row>
        <row r="221">
          <cell r="D221">
            <v>4707955</v>
          </cell>
        </row>
      </sheetData>
      <sheetData sheetId="8"/>
      <sheetData sheetId="9"/>
      <sheetData sheetId="10">
        <row r="9">
          <cell r="C9">
            <v>11014</v>
          </cell>
          <cell r="D9"/>
          <cell r="E9">
            <v>434</v>
          </cell>
          <cell r="F9">
            <v>61</v>
          </cell>
          <cell r="G9"/>
          <cell r="H9">
            <v>332</v>
          </cell>
          <cell r="I9">
            <v>1865</v>
          </cell>
          <cell r="J9"/>
          <cell r="K9"/>
        </row>
        <row r="22">
          <cell r="N22">
            <v>77</v>
          </cell>
        </row>
        <row r="24">
          <cell r="N24">
            <v>77</v>
          </cell>
        </row>
        <row r="28">
          <cell r="N28">
            <v>28105</v>
          </cell>
        </row>
        <row r="30">
          <cell r="N30">
            <v>0.48767123287671232</v>
          </cell>
        </row>
        <row r="32">
          <cell r="N32">
            <v>0.39188756449030421</v>
          </cell>
        </row>
        <row r="34">
          <cell r="N34">
            <v>0.80358966875820803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UPL Summary"/>
      <sheetName val="10-250"/>
      <sheetName val="10-490"/>
      <sheetName val="60-490"/>
      <sheetName val="70-490"/>
      <sheetName val="80-490"/>
      <sheetName val="90-490"/>
      <sheetName val="1012"/>
    </sheetNames>
    <sheetDataSet>
      <sheetData sheetId="0"/>
      <sheetData sheetId="1"/>
      <sheetData sheetId="2">
        <row r="39">
          <cell r="B39">
            <v>42917</v>
          </cell>
          <cell r="G39">
            <v>43281</v>
          </cell>
        </row>
      </sheetData>
      <sheetData sheetId="3"/>
      <sheetData sheetId="4"/>
      <sheetData sheetId="5">
        <row r="10">
          <cell r="E10">
            <v>5540242</v>
          </cell>
          <cell r="G10">
            <v>0</v>
          </cell>
        </row>
        <row r="12">
          <cell r="E12"/>
          <cell r="G12"/>
        </row>
        <row r="13">
          <cell r="E13">
            <v>593093</v>
          </cell>
          <cell r="G13"/>
        </row>
        <row r="14">
          <cell r="E14"/>
          <cell r="G14"/>
        </row>
        <row r="15">
          <cell r="E15">
            <v>6133335</v>
          </cell>
          <cell r="G15">
            <v>0</v>
          </cell>
        </row>
        <row r="20">
          <cell r="E20">
            <v>0</v>
          </cell>
          <cell r="G20">
            <v>0</v>
          </cell>
        </row>
        <row r="26">
          <cell r="E26">
            <v>2005628</v>
          </cell>
          <cell r="G26">
            <v>0</v>
          </cell>
        </row>
        <row r="32">
          <cell r="E32">
            <v>668030</v>
          </cell>
          <cell r="G32">
            <v>0</v>
          </cell>
        </row>
        <row r="37">
          <cell r="E37">
            <v>0</v>
          </cell>
          <cell r="G37">
            <v>0</v>
          </cell>
        </row>
        <row r="42">
          <cell r="E42">
            <v>397259</v>
          </cell>
          <cell r="G42">
            <v>0</v>
          </cell>
        </row>
        <row r="47">
          <cell r="E47">
            <v>727421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57">
          <cell r="E57">
            <v>475005</v>
          </cell>
          <cell r="G57">
            <v>0</v>
          </cell>
        </row>
        <row r="72">
          <cell r="E72">
            <v>164083</v>
          </cell>
          <cell r="G72">
            <v>-24167</v>
          </cell>
        </row>
        <row r="90">
          <cell r="C90">
            <v>333.83155080213902</v>
          </cell>
          <cell r="E90">
            <v>333.83088235294116</v>
          </cell>
          <cell r="G90">
            <v>333.83055555555558</v>
          </cell>
          <cell r="I90">
            <v>333.83333333333331</v>
          </cell>
        </row>
      </sheetData>
      <sheetData sheetId="6"/>
      <sheetData sheetId="7">
        <row r="10">
          <cell r="D10"/>
          <cell r="F10">
            <v>184515</v>
          </cell>
          <cell r="H10"/>
        </row>
        <row r="11">
          <cell r="D11"/>
          <cell r="F11"/>
          <cell r="H11"/>
        </row>
        <row r="12">
          <cell r="D12">
            <v>648054</v>
          </cell>
          <cell r="F12">
            <v>-184765</v>
          </cell>
          <cell r="H12"/>
        </row>
        <row r="13">
          <cell r="D13">
            <v>70122</v>
          </cell>
          <cell r="F13">
            <v>-7607</v>
          </cell>
          <cell r="H13"/>
        </row>
        <row r="14">
          <cell r="D14"/>
          <cell r="F14"/>
          <cell r="H14"/>
        </row>
        <row r="15">
          <cell r="D15"/>
          <cell r="F15"/>
          <cell r="H15"/>
        </row>
        <row r="16">
          <cell r="D16">
            <v>528451</v>
          </cell>
          <cell r="F16"/>
          <cell r="H16">
            <v>74109</v>
          </cell>
        </row>
        <row r="17">
          <cell r="D17"/>
          <cell r="F17"/>
          <cell r="H17"/>
        </row>
        <row r="18">
          <cell r="D18">
            <v>19864</v>
          </cell>
          <cell r="F18"/>
          <cell r="H18"/>
        </row>
        <row r="19">
          <cell r="D19">
            <v>11903</v>
          </cell>
          <cell r="F19"/>
          <cell r="H19"/>
        </row>
        <row r="20">
          <cell r="D20">
            <v>26106</v>
          </cell>
          <cell r="F20"/>
          <cell r="H20"/>
        </row>
        <row r="21">
          <cell r="D21">
            <v>31323</v>
          </cell>
          <cell r="F21"/>
          <cell r="H21"/>
        </row>
        <row r="22">
          <cell r="D22"/>
          <cell r="F22"/>
          <cell r="H22"/>
        </row>
        <row r="23">
          <cell r="D23">
            <v>2672</v>
          </cell>
          <cell r="F23"/>
          <cell r="H23"/>
        </row>
        <row r="24">
          <cell r="D24">
            <v>52279</v>
          </cell>
          <cell r="F24"/>
          <cell r="H24"/>
        </row>
        <row r="25">
          <cell r="D25">
            <v>21842</v>
          </cell>
          <cell r="F25"/>
          <cell r="H25"/>
        </row>
        <row r="26">
          <cell r="D26">
            <v>717852</v>
          </cell>
          <cell r="F26"/>
          <cell r="H26"/>
        </row>
        <row r="27">
          <cell r="D27">
            <v>101351</v>
          </cell>
          <cell r="F27">
            <v>-1382</v>
          </cell>
          <cell r="H27"/>
        </row>
        <row r="28">
          <cell r="D28"/>
          <cell r="F28">
            <v>0</v>
          </cell>
          <cell r="H28"/>
        </row>
        <row r="29">
          <cell r="D29">
            <v>362310</v>
          </cell>
          <cell r="F29">
            <v>-362310</v>
          </cell>
          <cell r="H29"/>
        </row>
        <row r="30">
          <cell r="D30"/>
          <cell r="F30">
            <v>0</v>
          </cell>
          <cell r="H30"/>
        </row>
        <row r="31">
          <cell r="D31"/>
          <cell r="F31"/>
          <cell r="H31"/>
        </row>
        <row r="32">
          <cell r="D32">
            <v>120080</v>
          </cell>
          <cell r="F32"/>
          <cell r="H32"/>
        </row>
        <row r="33">
          <cell r="D33"/>
          <cell r="F33">
            <v>0</v>
          </cell>
          <cell r="H33"/>
        </row>
        <row r="34">
          <cell r="D34">
            <v>161</v>
          </cell>
          <cell r="F34"/>
          <cell r="H34"/>
        </row>
        <row r="35">
          <cell r="D35"/>
          <cell r="F35">
            <v>0</v>
          </cell>
          <cell r="H35"/>
        </row>
        <row r="36">
          <cell r="D36"/>
          <cell r="F36"/>
          <cell r="H36"/>
        </row>
        <row r="37">
          <cell r="D37"/>
          <cell r="F37"/>
          <cell r="H37"/>
        </row>
        <row r="38">
          <cell r="D38">
            <v>61</v>
          </cell>
          <cell r="F38">
            <v>-61</v>
          </cell>
          <cell r="H38"/>
        </row>
        <row r="39">
          <cell r="D39">
            <v>2938</v>
          </cell>
          <cell r="F39"/>
          <cell r="H39"/>
        </row>
        <row r="40">
          <cell r="D40">
            <v>2405</v>
          </cell>
          <cell r="F40">
            <v>-2405</v>
          </cell>
          <cell r="H40"/>
        </row>
        <row r="41">
          <cell r="D41">
            <v>286351</v>
          </cell>
          <cell r="F41">
            <v>-10888</v>
          </cell>
          <cell r="H41">
            <v>-7924</v>
          </cell>
        </row>
        <row r="42">
          <cell r="D42"/>
          <cell r="F42"/>
          <cell r="H42"/>
        </row>
        <row r="43">
          <cell r="D43">
            <v>16700</v>
          </cell>
          <cell r="F43">
            <v>-16700</v>
          </cell>
          <cell r="H43"/>
        </row>
        <row r="44">
          <cell r="D44"/>
          <cell r="F44"/>
          <cell r="H44"/>
        </row>
        <row r="45">
          <cell r="D45">
            <v>8602</v>
          </cell>
          <cell r="F45">
            <v>-1396</v>
          </cell>
          <cell r="H45"/>
        </row>
        <row r="57">
          <cell r="D57">
            <v>885600</v>
          </cell>
          <cell r="F57"/>
          <cell r="H57"/>
        </row>
        <row r="58">
          <cell r="D58">
            <v>38744</v>
          </cell>
          <cell r="F58"/>
          <cell r="H58"/>
        </row>
        <row r="59">
          <cell r="D59"/>
          <cell r="F59"/>
          <cell r="H59"/>
        </row>
        <row r="60">
          <cell r="D60">
            <v>116696</v>
          </cell>
          <cell r="F60"/>
          <cell r="H60"/>
        </row>
        <row r="61">
          <cell r="D61">
            <v>10933</v>
          </cell>
          <cell r="F61"/>
          <cell r="H61"/>
        </row>
        <row r="62">
          <cell r="D62">
            <v>883</v>
          </cell>
          <cell r="F62"/>
          <cell r="H62"/>
        </row>
        <row r="63">
          <cell r="D63"/>
          <cell r="F63"/>
          <cell r="H63"/>
        </row>
        <row r="64">
          <cell r="D64"/>
          <cell r="F64"/>
          <cell r="H64"/>
        </row>
        <row r="65">
          <cell r="D65"/>
          <cell r="F65"/>
          <cell r="H65"/>
        </row>
        <row r="66">
          <cell r="D66">
            <v>186033</v>
          </cell>
          <cell r="F66"/>
          <cell r="H66">
            <v>-1534</v>
          </cell>
        </row>
        <row r="67">
          <cell r="D67">
            <v>75988</v>
          </cell>
          <cell r="F67"/>
          <cell r="H67"/>
        </row>
        <row r="68">
          <cell r="D68"/>
          <cell r="F68"/>
          <cell r="H68"/>
        </row>
        <row r="69">
          <cell r="D69">
            <v>6135</v>
          </cell>
          <cell r="F69"/>
          <cell r="H69"/>
        </row>
        <row r="70">
          <cell r="D70"/>
          <cell r="F70"/>
          <cell r="H70"/>
        </row>
        <row r="71">
          <cell r="D71"/>
          <cell r="F71"/>
          <cell r="H71"/>
        </row>
        <row r="75">
          <cell r="D75">
            <v>85048</v>
          </cell>
          <cell r="F75"/>
          <cell r="H75"/>
        </row>
        <row r="76">
          <cell r="D76">
            <v>13143</v>
          </cell>
          <cell r="F76"/>
          <cell r="H76"/>
        </row>
        <row r="77">
          <cell r="D77">
            <v>18553</v>
          </cell>
          <cell r="F77"/>
          <cell r="H77"/>
        </row>
        <row r="78">
          <cell r="D78"/>
          <cell r="F78"/>
          <cell r="H78"/>
        </row>
        <row r="79">
          <cell r="D79">
            <v>4707</v>
          </cell>
          <cell r="F79"/>
          <cell r="H79"/>
        </row>
        <row r="80">
          <cell r="D80">
            <v>34884</v>
          </cell>
          <cell r="F80"/>
          <cell r="H80"/>
        </row>
        <row r="81">
          <cell r="D81">
            <v>38639</v>
          </cell>
          <cell r="F81"/>
          <cell r="H81"/>
        </row>
        <row r="82">
          <cell r="D82">
            <v>13690</v>
          </cell>
          <cell r="F82"/>
          <cell r="H82"/>
        </row>
        <row r="83">
          <cell r="D83">
            <v>131</v>
          </cell>
          <cell r="F83"/>
          <cell r="H83"/>
        </row>
        <row r="84">
          <cell r="D84">
            <v>175918</v>
          </cell>
          <cell r="F84"/>
          <cell r="H84"/>
        </row>
        <row r="85">
          <cell r="D85"/>
          <cell r="F85"/>
          <cell r="H85"/>
        </row>
        <row r="89">
          <cell r="D89"/>
          <cell r="F89"/>
          <cell r="H89"/>
        </row>
        <row r="90">
          <cell r="D90"/>
          <cell r="F90"/>
          <cell r="H90"/>
        </row>
        <row r="91">
          <cell r="D91">
            <v>637956</v>
          </cell>
          <cell r="F91"/>
          <cell r="H91"/>
        </row>
        <row r="92">
          <cell r="D92">
            <v>-2874</v>
          </cell>
          <cell r="F92">
            <v>-2644</v>
          </cell>
          <cell r="H92"/>
        </row>
        <row r="93">
          <cell r="D93">
            <v>12701</v>
          </cell>
          <cell r="F93"/>
          <cell r="H93"/>
        </row>
        <row r="94">
          <cell r="D94"/>
          <cell r="F94"/>
          <cell r="H94"/>
        </row>
        <row r="98">
          <cell r="D98"/>
          <cell r="F98"/>
          <cell r="H98"/>
        </row>
        <row r="99">
          <cell r="D99"/>
          <cell r="F99"/>
          <cell r="H99"/>
        </row>
        <row r="100">
          <cell r="D100"/>
          <cell r="F100"/>
          <cell r="H100"/>
        </row>
        <row r="101">
          <cell r="D101">
            <v>96153</v>
          </cell>
          <cell r="F101"/>
          <cell r="H101"/>
        </row>
        <row r="102">
          <cell r="D102">
            <v>6583</v>
          </cell>
          <cell r="F102"/>
          <cell r="H102"/>
        </row>
        <row r="103">
          <cell r="D103"/>
          <cell r="F103"/>
          <cell r="H103"/>
        </row>
        <row r="115">
          <cell r="D115"/>
          <cell r="F115"/>
          <cell r="H115"/>
        </row>
        <row r="116">
          <cell r="D116"/>
          <cell r="F116"/>
          <cell r="H116"/>
        </row>
        <row r="117">
          <cell r="D117">
            <v>21804</v>
          </cell>
          <cell r="F117"/>
          <cell r="H117"/>
        </row>
        <row r="118">
          <cell r="D118">
            <v>263536</v>
          </cell>
          <cell r="F118"/>
          <cell r="H118"/>
        </row>
        <row r="119">
          <cell r="D119">
            <v>59</v>
          </cell>
          <cell r="F119"/>
          <cell r="H119"/>
        </row>
        <row r="124">
          <cell r="D124"/>
          <cell r="F124"/>
          <cell r="H124"/>
        </row>
        <row r="125">
          <cell r="D125">
            <v>316854</v>
          </cell>
          <cell r="F125"/>
          <cell r="H125"/>
        </row>
        <row r="126">
          <cell r="D126"/>
          <cell r="F126"/>
          <cell r="H126"/>
        </row>
        <row r="127">
          <cell r="D127"/>
          <cell r="F127"/>
          <cell r="H127"/>
        </row>
        <row r="128">
          <cell r="D128">
            <v>93978</v>
          </cell>
          <cell r="F128"/>
          <cell r="H128"/>
        </row>
        <row r="130">
          <cell r="D130"/>
          <cell r="F130"/>
          <cell r="H130"/>
        </row>
        <row r="131">
          <cell r="D131">
            <v>27249</v>
          </cell>
          <cell r="F131"/>
          <cell r="H131"/>
        </row>
        <row r="132">
          <cell r="D132"/>
          <cell r="F132"/>
          <cell r="H132"/>
        </row>
        <row r="133">
          <cell r="D133"/>
          <cell r="F133"/>
          <cell r="H133"/>
        </row>
        <row r="134">
          <cell r="D134">
            <v>16048</v>
          </cell>
          <cell r="F134"/>
          <cell r="H134"/>
        </row>
        <row r="136">
          <cell r="D136">
            <v>1273680</v>
          </cell>
          <cell r="F136"/>
          <cell r="H136"/>
        </row>
        <row r="137">
          <cell r="D137">
            <v>544008</v>
          </cell>
          <cell r="F137"/>
          <cell r="H137"/>
        </row>
        <row r="138">
          <cell r="D138">
            <v>1355861</v>
          </cell>
          <cell r="F138">
            <v>23358</v>
          </cell>
          <cell r="H138"/>
        </row>
        <row r="139">
          <cell r="D139">
            <v>23358</v>
          </cell>
          <cell r="F139">
            <v>-23358</v>
          </cell>
          <cell r="H139"/>
        </row>
        <row r="141">
          <cell r="D141">
            <v>724996</v>
          </cell>
          <cell r="F141">
            <v>-436150</v>
          </cell>
          <cell r="H141"/>
        </row>
        <row r="142">
          <cell r="D142"/>
          <cell r="F142">
            <v>123370</v>
          </cell>
          <cell r="H142"/>
        </row>
        <row r="143">
          <cell r="D143"/>
          <cell r="F143">
            <v>312780</v>
          </cell>
          <cell r="H143"/>
        </row>
        <row r="144">
          <cell r="D144"/>
          <cell r="F144"/>
          <cell r="H144"/>
        </row>
        <row r="146">
          <cell r="D146">
            <v>86010</v>
          </cell>
          <cell r="F146"/>
          <cell r="H146"/>
        </row>
        <row r="147">
          <cell r="D147">
            <v>206550</v>
          </cell>
          <cell r="F147"/>
          <cell r="H147"/>
        </row>
        <row r="148">
          <cell r="D148">
            <v>20966</v>
          </cell>
          <cell r="F148"/>
          <cell r="H148"/>
        </row>
        <row r="149">
          <cell r="D149">
            <v>57928</v>
          </cell>
          <cell r="F149"/>
          <cell r="H149"/>
        </row>
        <row r="150">
          <cell r="D150">
            <v>16674</v>
          </cell>
          <cell r="F150"/>
          <cell r="H150"/>
        </row>
        <row r="151">
          <cell r="D151">
            <v>207660</v>
          </cell>
          <cell r="F151"/>
          <cell r="H151"/>
        </row>
        <row r="152">
          <cell r="D152">
            <v>14089</v>
          </cell>
          <cell r="F152"/>
          <cell r="H152"/>
        </row>
        <row r="153">
          <cell r="D153"/>
          <cell r="F153"/>
          <cell r="H153"/>
        </row>
        <row r="154">
          <cell r="D154">
            <v>52176</v>
          </cell>
          <cell r="F154"/>
          <cell r="H154"/>
        </row>
        <row r="156">
          <cell r="D156"/>
          <cell r="F156"/>
          <cell r="H156"/>
        </row>
        <row r="157">
          <cell r="D157"/>
          <cell r="F157"/>
          <cell r="H157"/>
        </row>
        <row r="158">
          <cell r="D158"/>
          <cell r="F158"/>
          <cell r="H158"/>
        </row>
        <row r="159">
          <cell r="D159"/>
          <cell r="F159"/>
          <cell r="H159"/>
        </row>
        <row r="160">
          <cell r="D160">
            <v>-45</v>
          </cell>
          <cell r="F160"/>
          <cell r="H160"/>
        </row>
        <row r="161">
          <cell r="D161">
            <v>24049</v>
          </cell>
          <cell r="F161"/>
          <cell r="H161"/>
        </row>
        <row r="175">
          <cell r="D175"/>
          <cell r="F175"/>
          <cell r="H175"/>
        </row>
        <row r="176">
          <cell r="D176"/>
          <cell r="F176"/>
          <cell r="H176"/>
        </row>
        <row r="177">
          <cell r="D177"/>
          <cell r="F177"/>
          <cell r="H177"/>
        </row>
        <row r="178">
          <cell r="D178"/>
          <cell r="F178"/>
          <cell r="H178"/>
        </row>
        <row r="179">
          <cell r="D179"/>
          <cell r="F179"/>
          <cell r="H179"/>
        </row>
        <row r="180">
          <cell r="D180"/>
          <cell r="F180"/>
          <cell r="H180"/>
        </row>
        <row r="181">
          <cell r="D181"/>
          <cell r="F181"/>
          <cell r="H181"/>
        </row>
        <row r="182">
          <cell r="D182"/>
          <cell r="F182"/>
          <cell r="H182"/>
        </row>
        <row r="183">
          <cell r="D183"/>
          <cell r="F183"/>
          <cell r="H183"/>
        </row>
        <row r="184">
          <cell r="D184"/>
          <cell r="F184"/>
          <cell r="H184"/>
        </row>
        <row r="185">
          <cell r="D185"/>
          <cell r="F185"/>
          <cell r="H185"/>
        </row>
        <row r="186">
          <cell r="D186"/>
          <cell r="F186"/>
          <cell r="H186"/>
        </row>
        <row r="187">
          <cell r="D187"/>
          <cell r="F187"/>
          <cell r="H187"/>
        </row>
        <row r="188">
          <cell r="D188">
            <v>624</v>
          </cell>
          <cell r="F188"/>
          <cell r="H188"/>
        </row>
        <row r="189">
          <cell r="D189"/>
          <cell r="F189"/>
          <cell r="H189"/>
        </row>
        <row r="190">
          <cell r="D190"/>
          <cell r="F190"/>
          <cell r="H190"/>
        </row>
        <row r="191">
          <cell r="D191"/>
          <cell r="F191"/>
          <cell r="H191"/>
        </row>
        <row r="192">
          <cell r="D192"/>
          <cell r="F192"/>
          <cell r="H192"/>
        </row>
        <row r="193">
          <cell r="D193">
            <v>410</v>
          </cell>
          <cell r="F193"/>
          <cell r="H193"/>
        </row>
        <row r="194">
          <cell r="D194">
            <v>347700</v>
          </cell>
          <cell r="F194"/>
          <cell r="H194">
            <v>6085</v>
          </cell>
        </row>
        <row r="195">
          <cell r="D195">
            <v>156587</v>
          </cell>
          <cell r="F195"/>
          <cell r="H195">
            <v>2740</v>
          </cell>
        </row>
        <row r="196">
          <cell r="D196"/>
          <cell r="F196"/>
          <cell r="H196"/>
        </row>
        <row r="197">
          <cell r="D197">
            <v>401921</v>
          </cell>
          <cell r="F197"/>
          <cell r="H197">
            <v>7034</v>
          </cell>
        </row>
        <row r="198">
          <cell r="D198">
            <v>73259</v>
          </cell>
          <cell r="F198"/>
          <cell r="H198"/>
        </row>
        <row r="199">
          <cell r="D199"/>
          <cell r="F199"/>
          <cell r="H199"/>
        </row>
        <row r="200">
          <cell r="D200"/>
          <cell r="F200"/>
          <cell r="H200"/>
        </row>
        <row r="201">
          <cell r="D201"/>
          <cell r="F201"/>
          <cell r="H201"/>
        </row>
        <row r="202">
          <cell r="D202"/>
          <cell r="F202"/>
          <cell r="H202"/>
        </row>
        <row r="203">
          <cell r="D203"/>
          <cell r="F203"/>
          <cell r="H203"/>
        </row>
        <row r="204">
          <cell r="D204"/>
          <cell r="F204"/>
          <cell r="H204"/>
        </row>
        <row r="205">
          <cell r="D205">
            <v>320545</v>
          </cell>
          <cell r="F205"/>
          <cell r="H205"/>
        </row>
        <row r="206">
          <cell r="D206">
            <v>59110</v>
          </cell>
          <cell r="F206"/>
          <cell r="H206"/>
        </row>
        <row r="207">
          <cell r="D207">
            <v>6851</v>
          </cell>
          <cell r="F207"/>
          <cell r="H207"/>
        </row>
        <row r="211">
          <cell r="D211">
            <v>172672</v>
          </cell>
          <cell r="F211"/>
          <cell r="H211"/>
        </row>
        <row r="212">
          <cell r="D212">
            <v>33538</v>
          </cell>
          <cell r="F212"/>
          <cell r="H212"/>
        </row>
        <row r="213">
          <cell r="D213">
            <v>8803</v>
          </cell>
          <cell r="F213"/>
          <cell r="H213"/>
        </row>
        <row r="214">
          <cell r="D214"/>
          <cell r="F214"/>
          <cell r="H214"/>
        </row>
        <row r="215">
          <cell r="D215"/>
          <cell r="F215"/>
          <cell r="H215"/>
        </row>
        <row r="216">
          <cell r="D216">
            <v>9358</v>
          </cell>
          <cell r="F216"/>
          <cell r="H216"/>
        </row>
        <row r="221">
          <cell r="D221">
            <v>12426537</v>
          </cell>
        </row>
      </sheetData>
      <sheetData sheetId="8"/>
      <sheetData sheetId="9"/>
      <sheetData sheetId="10">
        <row r="9">
          <cell r="C9">
            <v>26885</v>
          </cell>
          <cell r="D9">
            <v>79</v>
          </cell>
          <cell r="E9">
            <v>3398</v>
          </cell>
          <cell r="F9">
            <v>1940</v>
          </cell>
          <cell r="G9"/>
          <cell r="H9">
            <v>1190</v>
          </cell>
          <cell r="I9">
            <v>3660</v>
          </cell>
          <cell r="J9"/>
          <cell r="K9">
            <v>1739</v>
          </cell>
        </row>
        <row r="22">
          <cell r="N22">
            <v>184</v>
          </cell>
        </row>
        <row r="24">
          <cell r="N24">
            <v>184</v>
          </cell>
        </row>
        <row r="28">
          <cell r="N28">
            <v>67160</v>
          </cell>
        </row>
        <row r="30">
          <cell r="N30">
            <v>0.5790798094103633</v>
          </cell>
        </row>
        <row r="32">
          <cell r="N32">
            <v>0.40148898153662893</v>
          </cell>
        </row>
        <row r="34">
          <cell r="N34">
            <v>0.69332236250032142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1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28CAB"/>
  </sheetPr>
  <dimension ref="A1:Q277"/>
  <sheetViews>
    <sheetView zoomScaleNormal="100" workbookViewId="0">
      <selection activeCell="C9" sqref="C9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390" t="s">
        <v>544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427</v>
      </c>
      <c r="D2" s="426"/>
      <c r="E2" s="142"/>
    </row>
    <row r="3" spans="1:16">
      <c r="A3" s="143"/>
      <c r="B3" s="138" t="s">
        <v>71</v>
      </c>
      <c r="C3" s="557">
        <f>'[1]Sch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'[1]Sch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3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'[2]Sch B'!E10</f>
        <v>1232639</v>
      </c>
      <c r="D12" s="480">
        <f>'[2]Sch B'!G10</f>
        <v>0</v>
      </c>
      <c r="E12" s="480"/>
      <c r="F12" s="166">
        <f>C12+D12+E12</f>
        <v>1232639</v>
      </c>
      <c r="G12" s="626">
        <f>-20488+362204</f>
        <v>341716</v>
      </c>
      <c r="H12" s="166"/>
      <c r="I12" s="166">
        <f>F12+G12+H12</f>
        <v>1574355</v>
      </c>
      <c r="J12" s="167">
        <f>IF($I$26=0,0,I12/$I$26)</f>
        <v>0.55176888970510152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'[2]Sch B'!E12</f>
        <v>1132678</v>
      </c>
      <c r="D13" s="480">
        <f>'[2]Sch B'!G12</f>
        <v>13659</v>
      </c>
      <c r="E13" s="480"/>
      <c r="F13" s="166">
        <f t="shared" ref="F13:F25" si="0">C13+D13+E13</f>
        <v>1146337</v>
      </c>
      <c r="G13" s="626"/>
      <c r="H13" s="166"/>
      <c r="I13" s="166">
        <f t="shared" ref="I13:I25" si="1">F13+G13+H13</f>
        <v>1146337</v>
      </c>
      <c r="J13" s="167">
        <f>IF($I$26=0,0,I13/$I$26)</f>
        <v>0.40176014540423027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'[2]Sch B'!E13</f>
        <v>0</v>
      </c>
      <c r="D14" s="480">
        <f>'[2]Sch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'[2]Sch B'!E14</f>
        <v>0</v>
      </c>
      <c r="D15" s="480">
        <f>'[2]Sch B'!G14</f>
        <v>0</v>
      </c>
      <c r="E15" s="480"/>
      <c r="F15" s="166">
        <f t="shared" si="0"/>
        <v>0</v>
      </c>
      <c r="G15" s="626">
        <v>20488</v>
      </c>
      <c r="H15" s="166"/>
      <c r="I15" s="166">
        <f t="shared" si="1"/>
        <v>20488</v>
      </c>
      <c r="J15" s="167">
        <f>IF($I$26=0,0,I15/$I$26)</f>
        <v>7.1804904308609687E-3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'[2]Sch B'!E15</f>
        <v>2365317</v>
      </c>
      <c r="D16" s="480">
        <f>'[2]Sch B'!G15</f>
        <v>13659</v>
      </c>
      <c r="E16" s="480"/>
      <c r="F16" s="166">
        <f t="shared" si="0"/>
        <v>2378976</v>
      </c>
      <c r="G16" s="626"/>
      <c r="H16" s="166"/>
      <c r="I16" s="166">
        <f>SUM(I12:I15)</f>
        <v>2741180</v>
      </c>
      <c r="J16" s="167">
        <f t="shared" ref="J16:J26" si="2">IF($I$26=0,0,I16/$I$26)</f>
        <v>0.96070952554019273</v>
      </c>
      <c r="K16" s="458" t="s">
        <v>498</v>
      </c>
      <c r="L16" s="333" t="s">
        <v>325</v>
      </c>
      <c r="M16" s="334">
        <f>I26</f>
        <v>2853287</v>
      </c>
      <c r="O16" s="324">
        <f>IFERROR(I16/I224,0)</f>
        <v>326.36980592927728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'[2]Sch B'!E20</f>
        <v>0</v>
      </c>
      <c r="D17" s="480">
        <f>'[2]Sch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1691683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'[2]Sch B'!E26</f>
        <v>0</v>
      </c>
      <c r="D18" s="480">
        <f>'[2]Sch B'!G26</f>
        <v>0</v>
      </c>
      <c r="E18" s="480"/>
      <c r="F18" s="166">
        <f t="shared" si="0"/>
        <v>0</v>
      </c>
      <c r="G18" s="626"/>
      <c r="H18" s="166"/>
      <c r="I18" s="166">
        <f t="shared" si="1"/>
        <v>0</v>
      </c>
      <c r="J18" s="167">
        <f t="shared" si="2"/>
        <v>0</v>
      </c>
      <c r="K18" s="458"/>
      <c r="L18" s="335" t="s">
        <v>327</v>
      </c>
      <c r="M18" s="336">
        <f>I233</f>
        <v>9023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'[2]Sch B'!E32</f>
        <v>0</v>
      </c>
      <c r="D19" s="480">
        <f>'[2]Sch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26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'[2]Sch B'!E37</f>
        <v>0</v>
      </c>
      <c r="D20" s="480">
        <f>'[2]Sch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9490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'[2]Sch B'!E42</f>
        <v>87162</v>
      </c>
      <c r="D21" s="480">
        <f>'[2]Sch B'!G42</f>
        <v>0</v>
      </c>
      <c r="E21" s="480"/>
      <c r="F21" s="166">
        <f t="shared" si="0"/>
        <v>87162</v>
      </c>
      <c r="G21" s="626"/>
      <c r="H21" s="166"/>
      <c r="I21" s="166">
        <f t="shared" si="1"/>
        <v>87162</v>
      </c>
      <c r="J21" s="167">
        <f t="shared" si="2"/>
        <v>3.0547925953470507E-2</v>
      </c>
      <c r="K21" s="458"/>
      <c r="L21" s="337"/>
      <c r="M21" s="336"/>
      <c r="O21" s="324">
        <f t="shared" si="3"/>
        <v>177.15853658536585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'[2]Sch B'!E47</f>
        <v>24558</v>
      </c>
      <c r="D22" s="480">
        <f>'[2]Sch B'!G47</f>
        <v>0</v>
      </c>
      <c r="E22" s="480"/>
      <c r="F22" s="166">
        <f t="shared" si="0"/>
        <v>24558</v>
      </c>
      <c r="G22" s="626"/>
      <c r="H22" s="166"/>
      <c r="I22" s="166">
        <f t="shared" si="1"/>
        <v>24558</v>
      </c>
      <c r="J22" s="167">
        <f t="shared" si="2"/>
        <v>8.6069154627627723E-3</v>
      </c>
      <c r="K22" s="458"/>
      <c r="L22" s="335" t="s">
        <v>148</v>
      </c>
      <c r="M22" s="336">
        <f>L213</f>
        <v>40027</v>
      </c>
      <c r="O22" s="324">
        <f t="shared" si="3"/>
        <v>186.04545454545453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'[2]Sch B'!E52</f>
        <v>0</v>
      </c>
      <c r="D23" s="480">
        <f>'[2]Sch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41132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'[2]Sch B'!E57</f>
        <v>0</v>
      </c>
      <c r="D24" s="480">
        <f>'[2]Sch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'[2]Sch B'!E72</f>
        <v>387</v>
      </c>
      <c r="D25" s="480">
        <f>'[2]Sch B'!G72</f>
        <v>0</v>
      </c>
      <c r="E25" s="480"/>
      <c r="F25" s="166">
        <f t="shared" si="0"/>
        <v>387</v>
      </c>
      <c r="G25" s="626"/>
      <c r="H25" s="166"/>
      <c r="I25" s="166">
        <f t="shared" si="1"/>
        <v>387</v>
      </c>
      <c r="J25" s="167">
        <f t="shared" si="2"/>
        <v>1.3563304357395523E-4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2477424</v>
      </c>
      <c r="D26" s="480">
        <f>SUM(D16:D25)</f>
        <v>13659</v>
      </c>
      <c r="E26" s="480"/>
      <c r="F26" s="166">
        <f t="shared" ref="F26" si="4">SUM(F16:F25)</f>
        <v>2491083</v>
      </c>
      <c r="G26" s="166">
        <f>SUM(G12:G25)</f>
        <v>362204</v>
      </c>
      <c r="H26" s="166">
        <f>SUM(H12:H25)</f>
        <v>0</v>
      </c>
      <c r="I26" s="166">
        <f>SUM(I16:I25)</f>
        <v>2853287</v>
      </c>
      <c r="J26" s="167">
        <f t="shared" si="2"/>
        <v>1</v>
      </c>
      <c r="K26" s="458"/>
      <c r="L26" s="163"/>
      <c r="M26" s="163"/>
      <c r="O26" s="324">
        <f>IFERROR(I26/I233,0)</f>
        <v>316.223761498393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'[2]Sch C'!D10</f>
        <v>52568</v>
      </c>
      <c r="D30" s="480">
        <f>'[2]Sch C'!F10</f>
        <v>0</v>
      </c>
      <c r="E30" s="480">
        <f>+'[2]Sch C'!H10</f>
        <v>0</v>
      </c>
      <c r="F30" s="166">
        <f t="shared" ref="F30:F65" si="5">C30+D30+E30</f>
        <v>52568</v>
      </c>
      <c r="G30" s="626"/>
      <c r="H30" s="166"/>
      <c r="I30" s="166">
        <f t="shared" ref="I30:I65" si="6">F30+G30+H30</f>
        <v>52568</v>
      </c>
      <c r="J30" s="167">
        <f>IF($I$213=0,0,I30/$I$213)</f>
        <v>3.1074379774461289E-2</v>
      </c>
      <c r="K30" s="458"/>
      <c r="L30" s="176">
        <v>2088</v>
      </c>
      <c r="M30" s="176">
        <v>2088</v>
      </c>
      <c r="O30" s="324">
        <f>I30/I$233</f>
        <v>5.8260002216557689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'[2]Sch C'!D11</f>
        <v>0</v>
      </c>
      <c r="D31" s="480">
        <f>'[2]Sch C'!F11</f>
        <v>0</v>
      </c>
      <c r="E31" s="480">
        <f>+'[2]Sch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'[2]Sch C'!D12</f>
        <v>39520</v>
      </c>
      <c r="D32" s="480">
        <f>'[2]Sch C'!F12</f>
        <v>0</v>
      </c>
      <c r="E32" s="480">
        <f>+'[2]Sch C'!H12</f>
        <v>0</v>
      </c>
      <c r="F32" s="166">
        <f t="shared" si="5"/>
        <v>39520</v>
      </c>
      <c r="G32" s="626"/>
      <c r="H32" s="166"/>
      <c r="I32" s="166">
        <f t="shared" si="6"/>
        <v>39520</v>
      </c>
      <c r="J32" s="167">
        <f t="shared" si="7"/>
        <v>2.3361350796810041E-2</v>
      </c>
      <c r="K32" s="458"/>
      <c r="L32" s="176">
        <v>1912</v>
      </c>
      <c r="M32" s="176">
        <v>2048</v>
      </c>
      <c r="O32" s="324">
        <f t="shared" si="8"/>
        <v>4.3799179873656211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'[2]Sch C'!D13</f>
        <v>21222</v>
      </c>
      <c r="D33" s="480">
        <f>'[2]Sch C'!F13</f>
        <v>-14510</v>
      </c>
      <c r="E33" s="480">
        <f>+'[2]Sch C'!H13</f>
        <v>0</v>
      </c>
      <c r="F33" s="166">
        <f t="shared" si="5"/>
        <v>6712</v>
      </c>
      <c r="G33" s="626"/>
      <c r="H33" s="166"/>
      <c r="I33" s="166">
        <f t="shared" si="6"/>
        <v>6712</v>
      </c>
      <c r="J33" s="167">
        <f t="shared" si="7"/>
        <v>3.9676464207537704E-3</v>
      </c>
      <c r="K33" s="458"/>
      <c r="L33" s="163"/>
      <c r="M33" s="163"/>
      <c r="O33" s="324">
        <f t="shared" si="8"/>
        <v>0.74387675939266318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'[2]Sch C'!D14</f>
        <v>0</v>
      </c>
      <c r="D34" s="480">
        <f>'[2]Sch C'!F14</f>
        <v>0</v>
      </c>
      <c r="E34" s="480">
        <f>+'[2]Sch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'[2]Sch C'!D15</f>
        <v>558050</v>
      </c>
      <c r="D35" s="480">
        <f>'[2]Sch C'!F15</f>
        <v>0</v>
      </c>
      <c r="E35" s="480">
        <f>+'[2]Sch C'!H15</f>
        <v>-558050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'[2]Sch C'!D16</f>
        <v>46800</v>
      </c>
      <c r="D36" s="480">
        <f>'[2]Sch C'!F16</f>
        <v>0</v>
      </c>
      <c r="E36" s="480">
        <f>+'[2]Sch C'!H16</f>
        <v>17858</v>
      </c>
      <c r="F36" s="166">
        <f t="shared" si="5"/>
        <v>64658</v>
      </c>
      <c r="G36" s="626"/>
      <c r="H36" s="166"/>
      <c r="I36" s="166">
        <f t="shared" si="6"/>
        <v>64658</v>
      </c>
      <c r="J36" s="167">
        <f t="shared" si="7"/>
        <v>3.8221108801116996E-2</v>
      </c>
      <c r="K36" s="458"/>
      <c r="L36" s="163"/>
      <c r="M36" s="163"/>
      <c r="O36" s="324">
        <f t="shared" si="8"/>
        <v>7.1659093427906457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'[2]Sch C'!D17</f>
        <v>192</v>
      </c>
      <c r="D37" s="480">
        <f>'[2]Sch C'!F17</f>
        <v>-192</v>
      </c>
      <c r="E37" s="480">
        <f>+'[2]Sch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'[2]Sch C'!D18</f>
        <v>8617</v>
      </c>
      <c r="D38" s="480">
        <f>'[2]Sch C'!F18</f>
        <v>0</v>
      </c>
      <c r="E38" s="480">
        <f>+'[2]Sch C'!H18</f>
        <v>0</v>
      </c>
      <c r="F38" s="166">
        <f t="shared" si="5"/>
        <v>8617</v>
      </c>
      <c r="G38" s="626"/>
      <c r="H38" s="166"/>
      <c r="I38" s="166">
        <f t="shared" si="6"/>
        <v>8617</v>
      </c>
      <c r="J38" s="167">
        <f t="shared" si="7"/>
        <v>5.0937439224724729E-3</v>
      </c>
      <c r="K38" s="458"/>
      <c r="L38" s="163"/>
      <c r="M38" s="163"/>
      <c r="O38" s="324">
        <f t="shared" si="8"/>
        <v>0.9550038789759504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'[2]Sch C'!D19</f>
        <v>18797</v>
      </c>
      <c r="D39" s="480">
        <f>'[2]Sch C'!F19</f>
        <v>0</v>
      </c>
      <c r="E39" s="480">
        <f>+'[2]Sch C'!H19</f>
        <v>0</v>
      </c>
      <c r="F39" s="166">
        <f t="shared" si="5"/>
        <v>18797</v>
      </c>
      <c r="G39" s="626"/>
      <c r="H39" s="166"/>
      <c r="I39" s="166">
        <f t="shared" si="6"/>
        <v>18797</v>
      </c>
      <c r="J39" s="167">
        <f t="shared" si="7"/>
        <v>1.1111419810922023E-2</v>
      </c>
      <c r="K39" s="458"/>
      <c r="L39" s="163"/>
      <c r="M39" s="163"/>
      <c r="O39" s="324">
        <f t="shared" si="8"/>
        <v>2.0832317411060624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'[2]Sch C'!D20</f>
        <v>10080</v>
      </c>
      <c r="D40" s="480">
        <f>'[2]Sch C'!F20</f>
        <v>0</v>
      </c>
      <c r="E40" s="480">
        <f>+'[2]Sch C'!H20</f>
        <v>0</v>
      </c>
      <c r="F40" s="166">
        <f t="shared" si="5"/>
        <v>10080</v>
      </c>
      <c r="G40" s="626"/>
      <c r="H40" s="166"/>
      <c r="I40" s="166">
        <f t="shared" si="6"/>
        <v>10080</v>
      </c>
      <c r="J40" s="167">
        <f t="shared" si="7"/>
        <v>5.9585631587005363E-3</v>
      </c>
      <c r="K40" s="458"/>
      <c r="L40" s="163"/>
      <c r="M40" s="163"/>
      <c r="O40" s="324">
        <f t="shared" si="8"/>
        <v>1.1171450737005431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'[2]Sch C'!D21</f>
        <v>51005</v>
      </c>
      <c r="D41" s="480">
        <f>'[2]Sch C'!F21</f>
        <v>0</v>
      </c>
      <c r="E41" s="480">
        <f>+'[2]Sch C'!H21</f>
        <v>0</v>
      </c>
      <c r="F41" s="166">
        <f t="shared" si="5"/>
        <v>51005</v>
      </c>
      <c r="G41" s="626"/>
      <c r="H41" s="166"/>
      <c r="I41" s="166">
        <f t="shared" si="6"/>
        <v>51005</v>
      </c>
      <c r="J41" s="167">
        <f t="shared" si="7"/>
        <v>3.0150447808484214E-2</v>
      </c>
      <c r="K41" s="458"/>
      <c r="L41" s="163"/>
      <c r="M41" s="163"/>
      <c r="O41" s="324">
        <f t="shared" si="8"/>
        <v>5.6527762385016072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'[2]Sch C'!D22</f>
        <v>0</v>
      </c>
      <c r="D42" s="480">
        <f>'[2]Sch C'!F22</f>
        <v>0</v>
      </c>
      <c r="E42" s="480">
        <f>+'[2]Sch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'[2]Sch C'!D23</f>
        <v>4704</v>
      </c>
      <c r="D43" s="480">
        <f>'[2]Sch C'!F23</f>
        <v>0</v>
      </c>
      <c r="E43" s="480">
        <f>+'[2]Sch C'!H23</f>
        <v>0</v>
      </c>
      <c r="F43" s="166">
        <f t="shared" si="5"/>
        <v>4704</v>
      </c>
      <c r="G43" s="626"/>
      <c r="H43" s="166"/>
      <c r="I43" s="166">
        <f t="shared" si="6"/>
        <v>4704</v>
      </c>
      <c r="J43" s="167">
        <f t="shared" si="7"/>
        <v>2.780662807393584E-3</v>
      </c>
      <c r="K43" s="458"/>
      <c r="L43" s="163"/>
      <c r="M43" s="163"/>
      <c r="O43" s="324">
        <f t="shared" si="8"/>
        <v>0.5213343677269201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'[2]Sch C'!D24</f>
        <v>0</v>
      </c>
      <c r="D44" s="480">
        <f>'[2]Sch C'!F24</f>
        <v>0</v>
      </c>
      <c r="E44" s="480">
        <f>+'[2]Sch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'[2]Sch C'!D25</f>
        <v>0</v>
      </c>
      <c r="D45" s="480">
        <f>'[2]Sch C'!F25</f>
        <v>0</v>
      </c>
      <c r="E45" s="480">
        <f>+'[2]Sch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'[2]Sch C'!D26</f>
        <v>189324</v>
      </c>
      <c r="D46" s="480">
        <f>'[2]Sch C'!F26</f>
        <v>0</v>
      </c>
      <c r="E46" s="480">
        <f>+'[2]Sch C'!H26</f>
        <v>0</v>
      </c>
      <c r="F46" s="166">
        <f t="shared" si="5"/>
        <v>189324</v>
      </c>
      <c r="G46" s="626"/>
      <c r="H46" s="166"/>
      <c r="I46" s="166">
        <f t="shared" si="6"/>
        <v>189324</v>
      </c>
      <c r="J46" s="167">
        <f t="shared" si="7"/>
        <v>0.11191458447002187</v>
      </c>
      <c r="K46" s="458"/>
      <c r="L46" s="163"/>
      <c r="M46" s="163"/>
      <c r="O46" s="324">
        <f t="shared" si="8"/>
        <v>20.982378366396986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'[2]Sch C'!D27</f>
        <v>0</v>
      </c>
      <c r="D47" s="480">
        <f>'[2]Sch C'!F27</f>
        <v>0</v>
      </c>
      <c r="E47" s="480">
        <f>+'[2]Sch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'[2]Sch C'!D28</f>
        <v>0</v>
      </c>
      <c r="D48" s="480">
        <f>'[2]Sch C'!F28</f>
        <v>0</v>
      </c>
      <c r="E48" s="480">
        <f>+'[2]Sch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'[2]Sch C'!D29</f>
        <v>14886</v>
      </c>
      <c r="D49" s="480">
        <f>'[2]Sch C'!F29</f>
        <v>-14886</v>
      </c>
      <c r="E49" s="480">
        <f>+'[2]Sch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'[2]Sch C'!D30</f>
        <v>2160</v>
      </c>
      <c r="D50" s="480">
        <f>'[2]Sch C'!F30</f>
        <v>-2160</v>
      </c>
      <c r="E50" s="480">
        <f>+'[2]Sch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'[2]Sch C'!D31</f>
        <v>21740</v>
      </c>
      <c r="D51" s="480">
        <f>'[2]Sch C'!F31</f>
        <v>44</v>
      </c>
      <c r="E51" s="480">
        <f>+'[2]Sch C'!H31</f>
        <v>0</v>
      </c>
      <c r="F51" s="166">
        <f t="shared" si="5"/>
        <v>21784</v>
      </c>
      <c r="G51" s="626"/>
      <c r="H51" s="166"/>
      <c r="I51" s="166">
        <f t="shared" si="6"/>
        <v>21784</v>
      </c>
      <c r="J51" s="167">
        <f t="shared" si="7"/>
        <v>1.2877117048525049E-2</v>
      </c>
      <c r="K51" s="458"/>
      <c r="L51" s="163"/>
      <c r="M51" s="163"/>
      <c r="O51" s="324">
        <f t="shared" si="8"/>
        <v>2.4142746314972845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'[2]Sch C'!D32</f>
        <v>22625</v>
      </c>
      <c r="D52" s="480">
        <f>'[2]Sch C'!F32</f>
        <v>-3203</v>
      </c>
      <c r="E52" s="480">
        <f>+'[2]Sch C'!H32</f>
        <v>0</v>
      </c>
      <c r="F52" s="166">
        <f t="shared" si="5"/>
        <v>19422</v>
      </c>
      <c r="G52" s="626"/>
      <c r="H52" s="166"/>
      <c r="I52" s="166">
        <f t="shared" si="6"/>
        <v>19422</v>
      </c>
      <c r="J52" s="167">
        <f t="shared" si="7"/>
        <v>1.1480874371853356E-2</v>
      </c>
      <c r="K52" s="458"/>
      <c r="L52" s="163"/>
      <c r="M52" s="163"/>
      <c r="O52" s="324">
        <f t="shared" si="8"/>
        <v>2.1524991687908677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'[2]Sch C'!D33</f>
        <v>0</v>
      </c>
      <c r="D53" s="480">
        <f>'[2]Sch C'!F33</f>
        <v>0</v>
      </c>
      <c r="E53" s="480">
        <f>+'[2]Sch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'[2]Sch C'!D34</f>
        <v>0</v>
      </c>
      <c r="D54" s="480">
        <f>'[2]Sch C'!F34</f>
        <v>0</v>
      </c>
      <c r="E54" s="480">
        <f>+'[2]Sch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'[2]Sch C'!D35</f>
        <v>0</v>
      </c>
      <c r="D55" s="480">
        <f>'[2]Sch C'!F35</f>
        <v>0</v>
      </c>
      <c r="E55" s="480">
        <f>+'[2]Sch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'[2]Sch C'!D36</f>
        <v>0</v>
      </c>
      <c r="D56" s="480">
        <f>'[2]Sch C'!F36</f>
        <v>0</v>
      </c>
      <c r="E56" s="480">
        <f>+'[2]Sch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'[2]Sch C'!D37</f>
        <v>0</v>
      </c>
      <c r="D57" s="480">
        <f>'[2]Sch C'!F37</f>
        <v>0</v>
      </c>
      <c r="E57" s="480">
        <f>+'[2]Sch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'[2]Sch C'!D38</f>
        <v>0</v>
      </c>
      <c r="D58" s="480">
        <f>'[2]Sch C'!F38</f>
        <v>0</v>
      </c>
      <c r="E58" s="480">
        <f>+'[2]Sch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'[2]Sch C'!D39</f>
        <v>8625</v>
      </c>
      <c r="D59" s="480">
        <f>'[2]Sch C'!F39</f>
        <v>-7330</v>
      </c>
      <c r="E59" s="480">
        <f>+'[2]Sch C'!H39</f>
        <v>0</v>
      </c>
      <c r="F59" s="166">
        <f t="shared" si="5"/>
        <v>1295</v>
      </c>
      <c r="G59" s="626"/>
      <c r="H59" s="166"/>
      <c r="I59" s="166">
        <f t="shared" si="6"/>
        <v>1295</v>
      </c>
      <c r="J59" s="167">
        <f t="shared" si="7"/>
        <v>7.655098502497217E-4</v>
      </c>
      <c r="K59" s="458"/>
      <c r="L59" s="163"/>
      <c r="M59" s="163"/>
      <c r="O59" s="324">
        <f t="shared" si="8"/>
        <v>0.14352211016291699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'[2]Sch C'!D40</f>
        <v>0</v>
      </c>
      <c r="D60" s="480">
        <f>'[2]Sch C'!F40</f>
        <v>0</v>
      </c>
      <c r="E60" s="480">
        <f>+'[2]Sch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'[2]Sch C'!D41</f>
        <v>6549</v>
      </c>
      <c r="D61" s="480">
        <f>'[2]Sch C'!F41</f>
        <v>2500</v>
      </c>
      <c r="E61" s="480">
        <f>+'[2]Sch C'!H41</f>
        <v>0</v>
      </c>
      <c r="F61" s="166">
        <f t="shared" si="5"/>
        <v>9049</v>
      </c>
      <c r="G61" s="626"/>
      <c r="H61" s="166"/>
      <c r="I61" s="166">
        <f t="shared" si="6"/>
        <v>9049</v>
      </c>
      <c r="J61" s="167">
        <f t="shared" si="7"/>
        <v>5.34911091498821E-3</v>
      </c>
      <c r="K61" s="458"/>
      <c r="L61" s="163"/>
      <c r="M61" s="163"/>
      <c r="O61" s="324">
        <f t="shared" si="8"/>
        <v>1.0028815249916878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'[2]Sch C'!D42</f>
        <v>387</v>
      </c>
      <c r="D62" s="480">
        <f>'[2]Sch C'!F42</f>
        <v>0</v>
      </c>
      <c r="E62" s="480">
        <f>+'[2]Sch C'!H42</f>
        <v>0</v>
      </c>
      <c r="F62" s="166">
        <f t="shared" si="5"/>
        <v>387</v>
      </c>
      <c r="G62" s="626"/>
      <c r="H62" s="166"/>
      <c r="I62" s="166">
        <f t="shared" si="6"/>
        <v>387</v>
      </c>
      <c r="J62" s="167">
        <f t="shared" si="7"/>
        <v>2.2876626412868131E-4</v>
      </c>
      <c r="K62" s="458"/>
      <c r="L62" s="163"/>
      <c r="M62" s="163"/>
      <c r="O62" s="324">
        <f t="shared" si="8"/>
        <v>4.2890391222431566E-2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'[2]Sch C'!D43</f>
        <v>6260</v>
      </c>
      <c r="D63" s="480">
        <f>'[2]Sch C'!F43</f>
        <v>-6260</v>
      </c>
      <c r="E63" s="480">
        <f>+'[2]Sch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'[2]Sch C'!D44</f>
        <v>0</v>
      </c>
      <c r="D64" s="480">
        <f>'[2]Sch C'!F44</f>
        <v>0</v>
      </c>
      <c r="E64" s="480">
        <f>+'[2]Sch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'[2]Sch C'!D45</f>
        <v>25978</v>
      </c>
      <c r="D65" s="480">
        <f>'[2]Sch C'!F45</f>
        <v>-7868</v>
      </c>
      <c r="E65" s="480">
        <f>+'[2]Sch C'!H45</f>
        <v>0</v>
      </c>
      <c r="F65" s="166">
        <f t="shared" si="5"/>
        <v>18110</v>
      </c>
      <c r="G65" s="626"/>
      <c r="H65" s="166"/>
      <c r="I65" s="166">
        <f t="shared" si="6"/>
        <v>18110</v>
      </c>
      <c r="J65" s="167">
        <f t="shared" si="7"/>
        <v>1.0705315357546302E-2</v>
      </c>
      <c r="K65" s="458"/>
      <c r="L65" s="163"/>
      <c r="M65" s="163"/>
      <c r="O65" s="324">
        <f t="shared" si="8"/>
        <v>2.0070929845949239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1110089</v>
      </c>
      <c r="D66" s="480">
        <f t="shared" si="9"/>
        <v>-53865</v>
      </c>
      <c r="E66" s="480">
        <f t="shared" si="9"/>
        <v>-540192</v>
      </c>
      <c r="F66" s="166">
        <f t="shared" ref="F66:I66" si="10">SUM(F30:F65)</f>
        <v>516032</v>
      </c>
      <c r="G66" s="166">
        <f t="shared" si="10"/>
        <v>0</v>
      </c>
      <c r="H66" s="166">
        <f t="shared" si="10"/>
        <v>0</v>
      </c>
      <c r="I66" s="166">
        <f t="shared" si="10"/>
        <v>516032</v>
      </c>
      <c r="J66" s="178">
        <f t="shared" si="7"/>
        <v>0.30504060157842811</v>
      </c>
      <c r="K66" s="465"/>
      <c r="L66" s="163"/>
      <c r="M66" s="163"/>
      <c r="O66" s="329">
        <f>I66/I$233</f>
        <v>57.190734788872881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'[2]Sch C'!D57</f>
        <v>151860</v>
      </c>
      <c r="D69" s="480">
        <f>'[2]Sch C'!F57</f>
        <v>0</v>
      </c>
      <c r="E69" s="480">
        <f>+'[2]Sch C'!H57</f>
        <v>-151860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'[2]Sch C'!D58</f>
        <v>0</v>
      </c>
      <c r="D70" s="480">
        <f>'[2]Sch C'!F58</f>
        <v>0</v>
      </c>
      <c r="E70" s="480">
        <f>+'[2]Sch C'!H58</f>
        <v>41148</v>
      </c>
      <c r="F70" s="166">
        <f t="shared" ref="F70:F83" si="13">C70+D70+E70</f>
        <v>41148</v>
      </c>
      <c r="G70" s="626"/>
      <c r="H70" s="166"/>
      <c r="I70" s="166">
        <f t="shared" ref="I70:I83" si="14">F70+G70+H70</f>
        <v>41148</v>
      </c>
      <c r="J70" s="167">
        <f t="shared" si="11"/>
        <v>2.4323706037123978E-2</v>
      </c>
      <c r="K70" s="458"/>
      <c r="L70" s="182"/>
      <c r="M70" s="163"/>
      <c r="O70" s="324">
        <f t="shared" si="12"/>
        <v>4.5603457829990024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'[2]Sch C'!D59</f>
        <v>0</v>
      </c>
      <c r="D71" s="480">
        <f>'[2]Sch C'!F59</f>
        <v>0</v>
      </c>
      <c r="E71" s="480">
        <f>+'[2]Sch C'!H59</f>
        <v>153190</v>
      </c>
      <c r="F71" s="166">
        <f t="shared" si="13"/>
        <v>153190</v>
      </c>
      <c r="G71" s="626"/>
      <c r="H71" s="166"/>
      <c r="I71" s="166">
        <f t="shared" si="14"/>
        <v>153190</v>
      </c>
      <c r="J71" s="167">
        <f t="shared" si="11"/>
        <v>9.0554790702513419E-2</v>
      </c>
      <c r="K71" s="458"/>
      <c r="L71" s="182"/>
      <c r="M71" s="163"/>
      <c r="O71" s="324">
        <f t="shared" si="12"/>
        <v>16.977723595256567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'[2]Sch C'!D60</f>
        <v>5620</v>
      </c>
      <c r="D72" s="480">
        <f>'[2]Sch C'!F60</f>
        <v>0</v>
      </c>
      <c r="E72" s="480">
        <f>+'[2]Sch C'!H60</f>
        <v>0</v>
      </c>
      <c r="F72" s="166">
        <f t="shared" si="13"/>
        <v>5620</v>
      </c>
      <c r="G72" s="626"/>
      <c r="H72" s="166"/>
      <c r="I72" s="166">
        <f t="shared" si="14"/>
        <v>5620</v>
      </c>
      <c r="J72" s="167">
        <f t="shared" si="11"/>
        <v>3.3221354118945453E-3</v>
      </c>
      <c r="K72" s="458"/>
      <c r="L72" s="185"/>
      <c r="M72" s="163"/>
      <c r="O72" s="324">
        <f t="shared" si="12"/>
        <v>0.62285270974177098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'[2]Sch C'!D61</f>
        <v>0</v>
      </c>
      <c r="D73" s="480">
        <f>'[2]Sch C'!F61</f>
        <v>4413</v>
      </c>
      <c r="E73" s="480">
        <f>+'[2]Sch C'!H61</f>
        <v>0</v>
      </c>
      <c r="F73" s="166">
        <f t="shared" si="13"/>
        <v>4413</v>
      </c>
      <c r="G73" s="626"/>
      <c r="H73" s="166"/>
      <c r="I73" s="166">
        <f t="shared" si="14"/>
        <v>4413</v>
      </c>
      <c r="J73" s="167">
        <f t="shared" si="11"/>
        <v>2.6086447638239553E-3</v>
      </c>
      <c r="K73" s="458"/>
      <c r="L73" s="185"/>
      <c r="M73" s="163"/>
      <c r="O73" s="324">
        <f t="shared" si="12"/>
        <v>0.48908345339687465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'[2]Sch C'!D62</f>
        <v>0</v>
      </c>
      <c r="D74" s="480">
        <f>'[2]Sch C'!F62</f>
        <v>0</v>
      </c>
      <c r="E74" s="480">
        <f>+'[2]Sch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'[2]Sch C'!D63</f>
        <v>0</v>
      </c>
      <c r="D75" s="480">
        <f>'[2]Sch C'!F63</f>
        <v>0</v>
      </c>
      <c r="E75" s="480">
        <f>+'[2]Sch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'[2]Sch C'!D64</f>
        <v>0</v>
      </c>
      <c r="D76" s="480">
        <f>'[2]Sch C'!F64</f>
        <v>0</v>
      </c>
      <c r="E76" s="480">
        <f>+'[2]Sch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'[2]Sch C'!D65</f>
        <v>6170</v>
      </c>
      <c r="D77" s="480">
        <f>'[2]Sch C'!F65</f>
        <v>-4416</v>
      </c>
      <c r="E77" s="480">
        <f>+'[2]Sch C'!H65</f>
        <v>0</v>
      </c>
      <c r="F77" s="166">
        <f t="shared" si="13"/>
        <v>1754</v>
      </c>
      <c r="G77" s="626"/>
      <c r="H77" s="166"/>
      <c r="I77" s="166">
        <f t="shared" si="14"/>
        <v>1754</v>
      </c>
      <c r="J77" s="167">
        <f t="shared" si="11"/>
        <v>1.0368372797976927E-3</v>
      </c>
      <c r="K77" s="458"/>
      <c r="L77" s="187"/>
      <c r="M77" s="163"/>
      <c r="O77" s="324">
        <f t="shared" si="12"/>
        <v>0.19439210905463813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'[2]Sch C'!D66</f>
        <v>0</v>
      </c>
      <c r="D78" s="480">
        <f>'[2]Sch C'!F66</f>
        <v>0</v>
      </c>
      <c r="E78" s="480">
        <f>+'[2]Sch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'[2]Sch C'!D67</f>
        <v>0</v>
      </c>
      <c r="D79" s="480">
        <f>'[2]Sch C'!F67</f>
        <v>8266</v>
      </c>
      <c r="E79" s="480">
        <f>+'[2]Sch C'!H67</f>
        <v>5000</v>
      </c>
      <c r="F79" s="166">
        <f t="shared" si="13"/>
        <v>13266</v>
      </c>
      <c r="G79" s="626"/>
      <c r="H79" s="166"/>
      <c r="I79" s="166">
        <f t="shared" si="14"/>
        <v>13266</v>
      </c>
      <c r="J79" s="167">
        <f t="shared" si="11"/>
        <v>7.8418947285040994E-3</v>
      </c>
      <c r="K79" s="458"/>
      <c r="L79" s="187"/>
      <c r="M79" s="163"/>
      <c r="O79" s="324">
        <f t="shared" si="12"/>
        <v>1.4702427130666076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'[2]Sch C'!D68</f>
        <v>0</v>
      </c>
      <c r="D80" s="480">
        <f>'[2]Sch C'!F68</f>
        <v>0</v>
      </c>
      <c r="E80" s="480">
        <f>+'[2]Sch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'[2]Sch C'!D69</f>
        <v>0</v>
      </c>
      <c r="D81" s="480">
        <f>'[2]Sch C'!F69</f>
        <v>0</v>
      </c>
      <c r="E81" s="480">
        <f>+'[2]Sch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'[2]Sch C'!D70</f>
        <v>0</v>
      </c>
      <c r="D82" s="480">
        <f>'[2]Sch C'!F70</f>
        <v>0</v>
      </c>
      <c r="E82" s="480">
        <f>+'[2]Sch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'[2]Sch C'!D71</f>
        <v>0</v>
      </c>
      <c r="D83" s="480">
        <f>'[2]Sch C'!F71</f>
        <v>0</v>
      </c>
      <c r="E83" s="480">
        <f>+'[2]Sch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163650</v>
      </c>
      <c r="D84" s="480">
        <f t="shared" si="15"/>
        <v>8263</v>
      </c>
      <c r="E84" s="480">
        <f t="shared" si="15"/>
        <v>47478</v>
      </c>
      <c r="F84" s="166">
        <f t="shared" ref="F84:I84" si="16">SUM(F69:F83)</f>
        <v>219391</v>
      </c>
      <c r="G84" s="166">
        <f t="shared" si="16"/>
        <v>0</v>
      </c>
      <c r="H84" s="166">
        <f t="shared" si="16"/>
        <v>0</v>
      </c>
      <c r="I84" s="166">
        <f t="shared" si="16"/>
        <v>219391</v>
      </c>
      <c r="J84" s="167">
        <f t="shared" si="11"/>
        <v>0.12968800892365767</v>
      </c>
      <c r="K84" s="458"/>
      <c r="L84" s="187"/>
      <c r="M84" s="163"/>
      <c r="O84" s="324">
        <f t="shared" si="12"/>
        <v>24.314640363515462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'[2]Sch C'!D75</f>
        <v>12492</v>
      </c>
      <c r="D87" s="480">
        <f>'[2]Sch C'!F75</f>
        <v>0</v>
      </c>
      <c r="E87" s="480">
        <f>+'[2]Sch C'!H75</f>
        <v>0</v>
      </c>
      <c r="F87" s="166">
        <f t="shared" ref="F87:F97" si="17">C87+D87+E87</f>
        <v>12492</v>
      </c>
      <c r="G87" s="626"/>
      <c r="H87" s="166"/>
      <c r="I87" s="166">
        <f t="shared" ref="I87:I97" si="18">F87+G87+H87</f>
        <v>12492</v>
      </c>
      <c r="J87" s="167">
        <f t="shared" ref="J87:J98" si="19">IF($I$213=0,0,I87/$I$213)</f>
        <v>7.3843622002467369E-3</v>
      </c>
      <c r="K87" s="458"/>
      <c r="L87" s="176">
        <v>297</v>
      </c>
      <c r="M87" s="176">
        <v>297</v>
      </c>
      <c r="O87" s="324">
        <f t="shared" ref="O87:O97" si="20">I87/I$233</f>
        <v>1.3844619306217445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'[2]Sch C'!D76</f>
        <v>1143</v>
      </c>
      <c r="D88" s="480">
        <f>'[2]Sch C'!F76</f>
        <v>264</v>
      </c>
      <c r="E88" s="480">
        <f>+'[2]Sch C'!H76</f>
        <v>0</v>
      </c>
      <c r="F88" s="166">
        <f t="shared" si="17"/>
        <v>1407</v>
      </c>
      <c r="G88" s="626"/>
      <c r="H88" s="166"/>
      <c r="I88" s="166">
        <f t="shared" si="18"/>
        <v>1407</v>
      </c>
      <c r="J88" s="167">
        <f t="shared" si="19"/>
        <v>8.3171610756861659E-4</v>
      </c>
      <c r="K88" s="458"/>
      <c r="L88" s="163"/>
      <c r="M88" s="163"/>
      <c r="O88" s="324">
        <f t="shared" si="20"/>
        <v>0.15593483320403415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'[2]Sch C'!D77</f>
        <v>5660</v>
      </c>
      <c r="D89" s="480">
        <f>'[2]Sch C'!F77</f>
        <v>0</v>
      </c>
      <c r="E89" s="480">
        <f>+'[2]Sch C'!H77</f>
        <v>0</v>
      </c>
      <c r="F89" s="166">
        <f t="shared" si="17"/>
        <v>5660</v>
      </c>
      <c r="G89" s="626"/>
      <c r="H89" s="166"/>
      <c r="I89" s="166">
        <f t="shared" si="18"/>
        <v>5660</v>
      </c>
      <c r="J89" s="167">
        <f t="shared" si="19"/>
        <v>3.3457805037941505E-3</v>
      </c>
      <c r="K89" s="458"/>
      <c r="L89" s="163"/>
      <c r="M89" s="163"/>
      <c r="O89" s="324">
        <f t="shared" si="20"/>
        <v>0.62728582511359854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'[2]Sch C'!D78</f>
        <v>0</v>
      </c>
      <c r="D90" s="480">
        <f>'[2]Sch C'!F78</f>
        <v>0</v>
      </c>
      <c r="E90" s="480">
        <f>+'[2]Sch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'[2]Sch C'!D79</f>
        <v>0</v>
      </c>
      <c r="D91" s="480">
        <f>'[2]Sch C'!F79</f>
        <v>0</v>
      </c>
      <c r="E91" s="480">
        <f>+'[2]Sch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'[2]Sch C'!D80</f>
        <v>6699</v>
      </c>
      <c r="D92" s="480">
        <f>'[2]Sch C'!F80</f>
        <v>-1870</v>
      </c>
      <c r="E92" s="480">
        <f>+'[2]Sch C'!H80</f>
        <v>0</v>
      </c>
      <c r="F92" s="166">
        <f t="shared" si="17"/>
        <v>4829</v>
      </c>
      <c r="G92" s="626"/>
      <c r="H92" s="166"/>
      <c r="I92" s="166">
        <f t="shared" si="18"/>
        <v>4829</v>
      </c>
      <c r="J92" s="167">
        <f t="shared" si="19"/>
        <v>2.8545537195798503E-3</v>
      </c>
      <c r="K92" s="458"/>
      <c r="L92" s="163"/>
      <c r="M92" s="163"/>
      <c r="O92" s="324">
        <f t="shared" si="20"/>
        <v>0.53518785326388119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'[2]Sch C'!D81</f>
        <v>31766</v>
      </c>
      <c r="D93" s="480">
        <f>'[2]Sch C'!F81</f>
        <v>-28922</v>
      </c>
      <c r="E93" s="480">
        <f>+'[2]Sch C'!H81</f>
        <v>0</v>
      </c>
      <c r="F93" s="166">
        <f t="shared" si="17"/>
        <v>2844</v>
      </c>
      <c r="G93" s="626"/>
      <c r="H93" s="166"/>
      <c r="I93" s="166">
        <f t="shared" si="18"/>
        <v>2844</v>
      </c>
      <c r="J93" s="167">
        <f t="shared" si="19"/>
        <v>1.6811660340619371E-3</v>
      </c>
      <c r="K93" s="458"/>
      <c r="L93" s="163"/>
      <c r="M93" s="163"/>
      <c r="O93" s="324">
        <f t="shared" si="20"/>
        <v>0.31519450293693896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'[2]Sch C'!D82</f>
        <v>0</v>
      </c>
      <c r="D94" s="480">
        <f>'[2]Sch C'!F82</f>
        <v>0</v>
      </c>
      <c r="E94" s="480">
        <f>+'[2]Sch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'[2]Sch C'!D83</f>
        <v>0</v>
      </c>
      <c r="D95" s="480">
        <f>'[2]Sch C'!F83</f>
        <v>0</v>
      </c>
      <c r="E95" s="480">
        <f>+'[2]Sch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'[2]Sch C'!D84</f>
        <v>21637</v>
      </c>
      <c r="D96" s="480">
        <f>'[2]Sch C'!F84</f>
        <v>0</v>
      </c>
      <c r="E96" s="480">
        <f>+'[2]Sch C'!H84</f>
        <v>0</v>
      </c>
      <c r="F96" s="166">
        <f t="shared" si="17"/>
        <v>21637</v>
      </c>
      <c r="G96" s="626"/>
      <c r="H96" s="166"/>
      <c r="I96" s="166">
        <f t="shared" si="18"/>
        <v>21637</v>
      </c>
      <c r="J96" s="167">
        <f t="shared" si="19"/>
        <v>1.2790221335793999E-2</v>
      </c>
      <c r="K96" s="458"/>
      <c r="L96" s="163"/>
      <c r="M96" s="163"/>
      <c r="O96" s="324">
        <f t="shared" si="20"/>
        <v>2.3979829325058186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'[2]Sch C'!D85</f>
        <v>5172</v>
      </c>
      <c r="D97" s="480">
        <f>'[2]Sch C'!F85</f>
        <v>0</v>
      </c>
      <c r="E97" s="480">
        <f>+'[2]Sch C'!H85</f>
        <v>0</v>
      </c>
      <c r="F97" s="166">
        <f t="shared" si="17"/>
        <v>5172</v>
      </c>
      <c r="G97" s="626"/>
      <c r="H97" s="166"/>
      <c r="I97" s="166">
        <f t="shared" si="18"/>
        <v>5172</v>
      </c>
      <c r="J97" s="167">
        <f t="shared" si="19"/>
        <v>3.0573103826189657E-3</v>
      </c>
      <c r="K97" s="458"/>
      <c r="L97" s="163"/>
      <c r="M97" s="163"/>
      <c r="O97" s="324">
        <f t="shared" si="20"/>
        <v>0.57320181757730249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84569</v>
      </c>
      <c r="D98" s="480">
        <f t="shared" si="21"/>
        <v>-30528</v>
      </c>
      <c r="E98" s="480">
        <f t="shared" si="21"/>
        <v>0</v>
      </c>
      <c r="F98" s="166">
        <f t="shared" ref="F98:I98" si="22">SUM(F87:F97)</f>
        <v>54041</v>
      </c>
      <c r="G98" s="166">
        <f t="shared" si="22"/>
        <v>0</v>
      </c>
      <c r="H98" s="166">
        <f t="shared" si="22"/>
        <v>0</v>
      </c>
      <c r="I98" s="166">
        <f t="shared" si="22"/>
        <v>54041</v>
      </c>
      <c r="J98" s="167">
        <f t="shared" si="19"/>
        <v>3.1945110283664258E-2</v>
      </c>
      <c r="K98" s="458"/>
      <c r="L98" s="163"/>
      <c r="M98" s="163"/>
      <c r="O98" s="329">
        <f>I98/I$233</f>
        <v>5.9892496952233181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'[2]Sch C'!D89</f>
        <v>65618</v>
      </c>
      <c r="D101" s="480">
        <f>'[2]Sch C'!F89</f>
        <v>0</v>
      </c>
      <c r="E101" s="480">
        <f>+'[2]Sch C'!H89</f>
        <v>0</v>
      </c>
      <c r="F101" s="166">
        <f t="shared" ref="F101:F106" si="23">C101+D101+E101</f>
        <v>65618</v>
      </c>
      <c r="G101" s="626"/>
      <c r="H101" s="166"/>
      <c r="I101" s="166">
        <f t="shared" ref="I101:I106" si="24">F101+G101+H101</f>
        <v>65618</v>
      </c>
      <c r="J101" s="167">
        <f t="shared" ref="J101:J107" si="25">IF($I$213=0,0,I101/$I$213)</f>
        <v>3.8788591006707521E-2</v>
      </c>
      <c r="K101" s="458"/>
      <c r="L101" s="176">
        <v>4674</v>
      </c>
      <c r="M101" s="176">
        <v>4727</v>
      </c>
      <c r="O101" s="329">
        <f t="shared" ref="O101:O106" si="26">I101/I$233</f>
        <v>7.2723041117145071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'[2]Sch C'!D90</f>
        <v>5694</v>
      </c>
      <c r="D102" s="480">
        <f>'[2]Sch C'!F90</f>
        <v>1389</v>
      </c>
      <c r="E102" s="480">
        <f>+'[2]Sch C'!H90</f>
        <v>0</v>
      </c>
      <c r="F102" s="166">
        <f t="shared" si="23"/>
        <v>7083</v>
      </c>
      <c r="G102" s="626"/>
      <c r="H102" s="166"/>
      <c r="I102" s="166">
        <f t="shared" si="24"/>
        <v>7083</v>
      </c>
      <c r="J102" s="167">
        <f t="shared" si="25"/>
        <v>4.1869546481226091E-3</v>
      </c>
      <c r="K102" s="458"/>
      <c r="L102" s="163"/>
      <c r="M102" s="163"/>
      <c r="O102" s="329">
        <f t="shared" si="26"/>
        <v>0.78499390446636375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'[2]Sch C'!D91</f>
        <v>4050</v>
      </c>
      <c r="D103" s="480">
        <f>'[2]Sch C'!F91</f>
        <v>0</v>
      </c>
      <c r="E103" s="480">
        <f>+'[2]Sch C'!H91</f>
        <v>0</v>
      </c>
      <c r="F103" s="166">
        <f t="shared" si="23"/>
        <v>4050</v>
      </c>
      <c r="G103" s="626"/>
      <c r="H103" s="166"/>
      <c r="I103" s="166">
        <f t="shared" si="24"/>
        <v>4050</v>
      </c>
      <c r="J103" s="167">
        <f t="shared" si="25"/>
        <v>2.3940655548350372E-3</v>
      </c>
      <c r="K103" s="458"/>
      <c r="L103" s="163"/>
      <c r="M103" s="163"/>
      <c r="O103" s="329">
        <f t="shared" si="26"/>
        <v>0.44885293139753962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'[2]Sch C'!D92</f>
        <v>57750</v>
      </c>
      <c r="D104" s="480">
        <f>'[2]Sch C'!F92</f>
        <v>0</v>
      </c>
      <c r="E104" s="480">
        <f>+'[2]Sch C'!H92</f>
        <v>0</v>
      </c>
      <c r="F104" s="166">
        <f t="shared" si="23"/>
        <v>57750</v>
      </c>
      <c r="G104" s="626"/>
      <c r="H104" s="166"/>
      <c r="I104" s="166">
        <f t="shared" si="24"/>
        <v>57750</v>
      </c>
      <c r="J104" s="167">
        <f t="shared" si="25"/>
        <v>3.4137601430055155E-2</v>
      </c>
      <c r="K104" s="458"/>
      <c r="L104" s="163"/>
      <c r="M104" s="163"/>
      <c r="O104" s="329">
        <f t="shared" si="26"/>
        <v>6.4003103180760279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'[2]Sch C'!D93</f>
        <v>9150</v>
      </c>
      <c r="D105" s="480">
        <f>'[2]Sch C'!F93</f>
        <v>0</v>
      </c>
      <c r="E105" s="480">
        <f>+'[2]Sch C'!H93</f>
        <v>0</v>
      </c>
      <c r="F105" s="166">
        <f t="shared" si="23"/>
        <v>9150</v>
      </c>
      <c r="G105" s="626"/>
      <c r="H105" s="166"/>
      <c r="I105" s="166">
        <f t="shared" si="24"/>
        <v>9150</v>
      </c>
      <c r="J105" s="167">
        <f t="shared" si="25"/>
        <v>5.4088147720347136E-3</v>
      </c>
      <c r="K105" s="458"/>
      <c r="L105" s="163"/>
      <c r="M105" s="163"/>
      <c r="O105" s="329">
        <f t="shared" si="26"/>
        <v>1.0140751413055524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'[2]Sch C'!D94</f>
        <v>0</v>
      </c>
      <c r="D106" s="480">
        <f>'[2]Sch C'!F94</f>
        <v>0</v>
      </c>
      <c r="E106" s="480">
        <f>+'[2]Sch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142262</v>
      </c>
      <c r="D107" s="480">
        <f t="shared" si="27"/>
        <v>1389</v>
      </c>
      <c r="E107" s="480">
        <f t="shared" si="27"/>
        <v>0</v>
      </c>
      <c r="F107" s="166">
        <f t="shared" ref="F107:I107" si="28">SUM(F101:F106)</f>
        <v>143651</v>
      </c>
      <c r="G107" s="166">
        <f t="shared" si="28"/>
        <v>0</v>
      </c>
      <c r="H107" s="166">
        <f t="shared" si="28"/>
        <v>0</v>
      </c>
      <c r="I107" s="166">
        <f t="shared" si="28"/>
        <v>143651</v>
      </c>
      <c r="J107" s="167">
        <f t="shared" si="25"/>
        <v>8.4916027411755038E-2</v>
      </c>
      <c r="K107" s="458"/>
      <c r="L107" s="163"/>
      <c r="M107" s="163"/>
      <c r="O107" s="329">
        <f>I107/I$233</f>
        <v>15.920536406959991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'[2]Sch C'!D98</f>
        <v>0</v>
      </c>
      <c r="D110" s="480">
        <f>'[2]Sch C'!F98</f>
        <v>0</v>
      </c>
      <c r="E110" s="480">
        <f>+'[2]Sch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'[2]Sch C'!D99</f>
        <v>0</v>
      </c>
      <c r="D111" s="480">
        <f>'[2]Sch C'!F99</f>
        <v>0</v>
      </c>
      <c r="E111" s="480">
        <f>+'[2]Sch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'[2]Sch C'!D100</f>
        <v>4481</v>
      </c>
      <c r="D112" s="480">
        <f>'[2]Sch C'!F100</f>
        <v>0</v>
      </c>
      <c r="E112" s="480">
        <f>+'[2]Sch C'!H100</f>
        <v>0</v>
      </c>
      <c r="F112" s="166">
        <f t="shared" si="29"/>
        <v>4481</v>
      </c>
      <c r="G112" s="626"/>
      <c r="H112" s="166"/>
      <c r="I112" s="166">
        <f t="shared" si="30"/>
        <v>4481</v>
      </c>
      <c r="J112" s="167">
        <f t="shared" si="31"/>
        <v>2.6488414200532841E-3</v>
      </c>
      <c r="K112" s="458"/>
      <c r="L112" s="163"/>
      <c r="M112" s="163"/>
      <c r="O112" s="329">
        <f t="shared" si="32"/>
        <v>0.49661974952898147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'[2]Sch C'!D101</f>
        <v>0</v>
      </c>
      <c r="D113" s="480">
        <f>'[2]Sch C'!F101</f>
        <v>0</v>
      </c>
      <c r="E113" s="480">
        <f>+'[2]Sch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'[2]Sch C'!D102</f>
        <v>2941</v>
      </c>
      <c r="D114" s="480">
        <f>'[2]Sch C'!F102</f>
        <v>0</v>
      </c>
      <c r="E114" s="480">
        <f>+'[2]Sch C'!H102</f>
        <v>0</v>
      </c>
      <c r="F114" s="166">
        <f t="shared" si="29"/>
        <v>2941</v>
      </c>
      <c r="G114" s="626"/>
      <c r="H114" s="166"/>
      <c r="I114" s="166">
        <f t="shared" si="30"/>
        <v>2941</v>
      </c>
      <c r="J114" s="167">
        <f t="shared" si="31"/>
        <v>1.7385053819184799E-3</v>
      </c>
      <c r="K114" s="458"/>
      <c r="L114" s="163"/>
      <c r="M114" s="163"/>
      <c r="O114" s="329">
        <f t="shared" si="32"/>
        <v>0.32594480771362072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'[2]Sch C'!D103</f>
        <v>508</v>
      </c>
      <c r="D115" s="480">
        <f>'[2]Sch C'!F103</f>
        <v>0</v>
      </c>
      <c r="E115" s="480">
        <f>+'[2]Sch C'!H103</f>
        <v>0</v>
      </c>
      <c r="F115" s="166">
        <f t="shared" si="29"/>
        <v>508</v>
      </c>
      <c r="G115" s="626"/>
      <c r="H115" s="166"/>
      <c r="I115" s="166">
        <f t="shared" si="30"/>
        <v>508</v>
      </c>
      <c r="J115" s="167">
        <f t="shared" si="31"/>
        <v>3.0029266712498738E-4</v>
      </c>
      <c r="K115" s="458"/>
      <c r="L115" s="163"/>
      <c r="M115" s="163"/>
      <c r="O115" s="329">
        <f t="shared" si="32"/>
        <v>5.6300565222209907E-2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7930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7930</v>
      </c>
      <c r="G116" s="166">
        <f t="shared" si="34"/>
        <v>0</v>
      </c>
      <c r="H116" s="166">
        <f t="shared" si="34"/>
        <v>0</v>
      </c>
      <c r="I116" s="166">
        <f t="shared" si="34"/>
        <v>7930</v>
      </c>
      <c r="J116" s="167">
        <f t="shared" si="31"/>
        <v>4.6876394690967514E-3</v>
      </c>
      <c r="K116" s="458"/>
      <c r="L116" s="163"/>
      <c r="M116" s="163"/>
      <c r="O116" s="329">
        <f>I116/I$233</f>
        <v>0.87886512246481219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'[2]Sch C'!D115</f>
        <v>43623</v>
      </c>
      <c r="D119" s="480">
        <f>'[2]Sch C'!F115</f>
        <v>0</v>
      </c>
      <c r="E119" s="480">
        <f>+'[2]Sch C'!H115</f>
        <v>0</v>
      </c>
      <c r="F119" s="166">
        <f t="shared" ref="F119:F123" si="35">C119+D119+E119</f>
        <v>43623</v>
      </c>
      <c r="G119" s="626"/>
      <c r="H119" s="166"/>
      <c r="I119" s="166">
        <f t="shared" ref="I119:I123" si="36">F119+G119+H119</f>
        <v>43623</v>
      </c>
      <c r="J119" s="167">
        <f t="shared" ref="J119:J124" si="37">IF($I$213=0,0,I119/$I$213)</f>
        <v>2.5786746098412056E-2</v>
      </c>
      <c r="K119" s="458"/>
      <c r="L119" s="176">
        <v>3890</v>
      </c>
      <c r="M119" s="176">
        <v>4140</v>
      </c>
      <c r="O119" s="329">
        <f t="shared" ref="O119:O124" si="38">I119/I$233</f>
        <v>4.8346447966308324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'[2]Sch C'!D116</f>
        <v>3853</v>
      </c>
      <c r="D120" s="480">
        <f>'[2]Sch C'!F116</f>
        <v>923</v>
      </c>
      <c r="E120" s="480">
        <f>+'[2]Sch C'!H116</f>
        <v>0</v>
      </c>
      <c r="F120" s="166">
        <f t="shared" si="35"/>
        <v>4776</v>
      </c>
      <c r="G120" s="626"/>
      <c r="H120" s="166"/>
      <c r="I120" s="166">
        <f t="shared" si="36"/>
        <v>4776</v>
      </c>
      <c r="J120" s="167">
        <f t="shared" si="37"/>
        <v>2.8232239728128734E-3</v>
      </c>
      <c r="K120" s="458"/>
      <c r="L120" s="163"/>
      <c r="M120" s="163"/>
      <c r="O120" s="329">
        <f t="shared" si="38"/>
        <v>0.52931397539620972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'[2]Sch C'!D117</f>
        <v>4616</v>
      </c>
      <c r="D121" s="480">
        <f>'[2]Sch C'!F117</f>
        <v>0</v>
      </c>
      <c r="E121" s="480">
        <f>+'[2]Sch C'!H117</f>
        <v>0</v>
      </c>
      <c r="F121" s="166">
        <f t="shared" si="35"/>
        <v>4616</v>
      </c>
      <c r="G121" s="626"/>
      <c r="H121" s="166"/>
      <c r="I121" s="166">
        <f t="shared" si="36"/>
        <v>4616</v>
      </c>
      <c r="J121" s="167">
        <f t="shared" si="37"/>
        <v>2.7286436052144521E-3</v>
      </c>
      <c r="K121" s="458"/>
      <c r="L121" s="163"/>
      <c r="M121" s="163"/>
      <c r="O121" s="329">
        <f t="shared" si="38"/>
        <v>0.5115815139088995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'[2]Sch C'!D118</f>
        <v>2870</v>
      </c>
      <c r="D122" s="480">
        <f>'[2]Sch C'!F118</f>
        <v>0</v>
      </c>
      <c r="E122" s="480">
        <f>+'[2]Sch C'!H118</f>
        <v>0</v>
      </c>
      <c r="F122" s="166">
        <f t="shared" si="35"/>
        <v>2870</v>
      </c>
      <c r="G122" s="626"/>
      <c r="H122" s="166"/>
      <c r="I122" s="166">
        <f t="shared" si="36"/>
        <v>2870</v>
      </c>
      <c r="J122" s="167">
        <f t="shared" si="37"/>
        <v>1.6965353437966807E-3</v>
      </c>
      <c r="K122" s="458"/>
      <c r="L122" s="163"/>
      <c r="M122" s="163"/>
      <c r="O122" s="329">
        <f t="shared" si="38"/>
        <v>0.31807602792862683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'[2]Sch C'!D119</f>
        <v>0</v>
      </c>
      <c r="D123" s="480">
        <f>'[2]Sch C'!F119</f>
        <v>0</v>
      </c>
      <c r="E123" s="480">
        <f>+'[2]Sch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54962</v>
      </c>
      <c r="D124" s="480">
        <f t="shared" si="39"/>
        <v>923</v>
      </c>
      <c r="E124" s="480">
        <f t="shared" si="39"/>
        <v>0</v>
      </c>
      <c r="F124" s="166">
        <f t="shared" ref="F124:I124" si="40">SUM(F119:F123)</f>
        <v>55885</v>
      </c>
      <c r="G124" s="166">
        <f t="shared" si="40"/>
        <v>0</v>
      </c>
      <c r="H124" s="166">
        <f t="shared" si="40"/>
        <v>0</v>
      </c>
      <c r="I124" s="166">
        <f t="shared" si="40"/>
        <v>55885</v>
      </c>
      <c r="J124" s="167">
        <f t="shared" si="37"/>
        <v>3.3035149020236063E-2</v>
      </c>
      <c r="K124" s="458"/>
      <c r="L124" s="163"/>
      <c r="M124" s="163"/>
      <c r="O124" s="329">
        <f t="shared" si="38"/>
        <v>6.1936163138645686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'[2]Sch C'!D124</f>
        <v>0</v>
      </c>
      <c r="D128" s="480">
        <f>'[2]Sch C'!F124</f>
        <v>0</v>
      </c>
      <c r="E128" s="480">
        <f>+'[2]Sch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'[2]Sch C'!D125</f>
        <v>114999</v>
      </c>
      <c r="D129" s="480">
        <f>'[2]Sch C'!F125</f>
        <v>0</v>
      </c>
      <c r="E129" s="480">
        <f>+'[2]Sch C'!H125</f>
        <v>0</v>
      </c>
      <c r="F129" s="166">
        <f t="shared" si="41"/>
        <v>114999</v>
      </c>
      <c r="G129" s="626"/>
      <c r="H129" s="166"/>
      <c r="I129" s="166">
        <f t="shared" si="42"/>
        <v>114999</v>
      </c>
      <c r="J129" s="167">
        <f>IF($I$213=0,0,I129/$I$213)</f>
        <v>6.7979048084067753E-2</v>
      </c>
      <c r="K129" s="458"/>
      <c r="L129" s="176">
        <v>2016</v>
      </c>
      <c r="M129" s="176">
        <v>2088</v>
      </c>
      <c r="O129" s="329">
        <f t="shared" si="43"/>
        <v>12.745095866119916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'[2]Sch C'!D126</f>
        <v>0</v>
      </c>
      <c r="D130" s="480">
        <f>'[2]Sch C'!F126</f>
        <v>0</v>
      </c>
      <c r="E130" s="480">
        <f>+'[2]Sch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'[2]Sch C'!D127</f>
        <v>0</v>
      </c>
      <c r="D131" s="480">
        <f>'[2]Sch C'!F127</f>
        <v>0</v>
      </c>
      <c r="E131" s="480">
        <f>+'[2]Sch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'[2]Sch C'!D128</f>
        <v>0</v>
      </c>
      <c r="D132" s="480">
        <f>'[2]Sch C'!F128</f>
        <v>0</v>
      </c>
      <c r="E132" s="480">
        <f>+'[2]Sch C'!H128</f>
        <v>0</v>
      </c>
      <c r="F132" s="166">
        <f t="shared" si="41"/>
        <v>0</v>
      </c>
      <c r="G132" s="626"/>
      <c r="H132" s="166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/>
      <c r="G133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'[2]Sch C'!D130</f>
        <v>0</v>
      </c>
      <c r="D134" s="480">
        <f>'[2]Sch C'!F130</f>
        <v>0</v>
      </c>
      <c r="E134" s="480">
        <f>+'[2]Sch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'[2]Sch C'!D131</f>
        <v>0</v>
      </c>
      <c r="D135" s="480">
        <f>'[2]Sch C'!F131</f>
        <v>12030</v>
      </c>
      <c r="E135" s="480">
        <f>+'[2]Sch C'!H131</f>
        <v>0</v>
      </c>
      <c r="F135" s="166">
        <f t="shared" si="44"/>
        <v>12030</v>
      </c>
      <c r="G135" s="626"/>
      <c r="H135" s="166"/>
      <c r="I135" s="166">
        <f t="shared" si="45"/>
        <v>12030</v>
      </c>
      <c r="J135" s="167">
        <f>IF($I$213=0,0,I135/$I$213)</f>
        <v>7.1112613888062951E-3</v>
      </c>
      <c r="K135" s="458"/>
      <c r="L135" s="196"/>
      <c r="M135" s="196"/>
      <c r="O135" s="329">
        <f t="shared" si="43"/>
        <v>1.3332594480771363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'[2]Sch C'!D132</f>
        <v>0</v>
      </c>
      <c r="D136" s="480">
        <f>'[2]Sch C'!F132</f>
        <v>0</v>
      </c>
      <c r="E136" s="480">
        <f>+'[2]Sch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'[2]Sch C'!D133</f>
        <v>0</v>
      </c>
      <c r="D137" s="480">
        <f>'[2]Sch C'!F133</f>
        <v>0</v>
      </c>
      <c r="E137" s="480">
        <f>+'[2]Sch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'[2]Sch C'!D134</f>
        <v>0</v>
      </c>
      <c r="D138" s="480">
        <f>'[2]Sch C'!F134</f>
        <v>0</v>
      </c>
      <c r="E138" s="480">
        <f>+'[2]Sch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 ht="15.5">
      <c r="A139" s="164" t="s">
        <v>78</v>
      </c>
      <c r="B139" s="165" t="s">
        <v>56</v>
      </c>
      <c r="C139" s="188"/>
      <c r="D139" s="188"/>
      <c r="E139" s="188"/>
      <c r="F139"/>
      <c r="G139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'[2]Sch C'!D136</f>
        <v>101938</v>
      </c>
      <c r="D140" s="480">
        <f>'[2]Sch C'!F136</f>
        <v>-6426</v>
      </c>
      <c r="E140" s="480">
        <f>+'[2]Sch C'!H136</f>
        <v>0</v>
      </c>
      <c r="F140" s="166">
        <f t="shared" ref="F140:F143" si="46">C140+D140+E140</f>
        <v>95512</v>
      </c>
      <c r="G140" s="626"/>
      <c r="H140" s="166"/>
      <c r="I140" s="166">
        <f t="shared" ref="I140:I143" si="47">F140+G140+H140</f>
        <v>95512</v>
      </c>
      <c r="J140" s="167">
        <f>IF($I$213=0,0,I140/$I$213)</f>
        <v>5.6459750437877543E-2</v>
      </c>
      <c r="K140" s="458"/>
      <c r="L140" s="176">
        <v>3637</v>
      </c>
      <c r="M140" s="176">
        <v>3649</v>
      </c>
      <c r="O140" s="329">
        <f t="shared" si="43"/>
        <v>10.585392884849828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'[2]Sch C'!D137</f>
        <v>124921</v>
      </c>
      <c r="D141" s="480">
        <f>'[2]Sch C'!F137</f>
        <v>6426</v>
      </c>
      <c r="E141" s="480">
        <f>+'[2]Sch C'!H137</f>
        <v>0</v>
      </c>
      <c r="F141" s="166">
        <f t="shared" si="46"/>
        <v>131347</v>
      </c>
      <c r="G141" s="626"/>
      <c r="H141" s="166"/>
      <c r="I141" s="166">
        <f t="shared" si="47"/>
        <v>131347</v>
      </c>
      <c r="J141" s="167">
        <f>IF($I$213=0,0,I141/$I$213)</f>
        <v>7.7642797143436443E-2</v>
      </c>
      <c r="K141" s="458"/>
      <c r="L141" s="176">
        <v>5100</v>
      </c>
      <c r="M141" s="176">
        <v>5241</v>
      </c>
      <c r="O141" s="329">
        <f t="shared" si="43"/>
        <v>14.556910118585836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'[2]Sch C'!D138</f>
        <v>179553</v>
      </c>
      <c r="D142" s="480">
        <f>'[2]Sch C'!F138</f>
        <v>0</v>
      </c>
      <c r="E142" s="480">
        <f>+'[2]Sch C'!H138</f>
        <v>0</v>
      </c>
      <c r="F142" s="166">
        <f t="shared" si="46"/>
        <v>179553</v>
      </c>
      <c r="G142" s="626"/>
      <c r="H142" s="166"/>
      <c r="I142" s="166">
        <f t="shared" si="47"/>
        <v>179553</v>
      </c>
      <c r="J142" s="167">
        <f>IF($I$213=0,0,I142/$I$213)</f>
        <v>0.10613867964624578</v>
      </c>
      <c r="K142" s="458"/>
      <c r="L142" s="176">
        <v>13752</v>
      </c>
      <c r="M142" s="176">
        <v>14123</v>
      </c>
      <c r="O142" s="329">
        <f t="shared" si="43"/>
        <v>19.899479108943812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'[2]Sch C'!D139</f>
        <v>0</v>
      </c>
      <c r="D143" s="480">
        <f>'[2]Sch C'!F139</f>
        <v>0</v>
      </c>
      <c r="E143" s="480">
        <f>+'[2]Sch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 ht="15.5">
      <c r="A144" s="164" t="s">
        <v>88</v>
      </c>
      <c r="B144" s="165" t="s">
        <v>145</v>
      </c>
      <c r="C144" s="188"/>
      <c r="D144" s="188"/>
      <c r="E144" s="188"/>
      <c r="F144"/>
      <c r="G144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'[2]Sch C'!D141</f>
        <v>28528</v>
      </c>
      <c r="D145" s="480">
        <f>'[2]Sch C'!F141</f>
        <v>-18536</v>
      </c>
      <c r="E145" s="480">
        <f>+'[2]Sch C'!H141</f>
        <v>0</v>
      </c>
      <c r="F145" s="166">
        <f t="shared" ref="F145:F148" si="48">C145+D145+E145</f>
        <v>9992</v>
      </c>
      <c r="G145" s="626"/>
      <c r="H145" s="166"/>
      <c r="I145" s="166">
        <f t="shared" ref="I145:I148" si="49">F145+G145+H145</f>
        <v>9992</v>
      </c>
      <c r="J145" s="167">
        <f>IF($I$213=0,0,I145/$I$213)</f>
        <v>5.9065439565214048E-3</v>
      </c>
      <c r="K145" s="458"/>
      <c r="L145" s="163"/>
      <c r="M145" s="163"/>
      <c r="O145" s="329">
        <f t="shared" si="43"/>
        <v>1.1073922198825223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'[2]Sch C'!D142</f>
        <v>0</v>
      </c>
      <c r="D146" s="480">
        <f>'[2]Sch C'!F142</f>
        <v>13741</v>
      </c>
      <c r="E146" s="480">
        <f>+'[2]Sch C'!H142</f>
        <v>0</v>
      </c>
      <c r="F146" s="166">
        <f t="shared" si="48"/>
        <v>13741</v>
      </c>
      <c r="G146" s="626"/>
      <c r="H146" s="166"/>
      <c r="I146" s="166">
        <f t="shared" si="49"/>
        <v>13741</v>
      </c>
      <c r="J146" s="167">
        <f>IF($I$213=0,0,I146/$I$213)</f>
        <v>8.1226801948119116E-3</v>
      </c>
      <c r="K146" s="458"/>
      <c r="L146" s="163"/>
      <c r="M146" s="163"/>
      <c r="O146" s="329">
        <f t="shared" si="43"/>
        <v>1.5228859581070597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'[2]Sch C'!D143</f>
        <v>15601</v>
      </c>
      <c r="D147" s="480">
        <f>'[2]Sch C'!F143</f>
        <v>3800</v>
      </c>
      <c r="E147" s="480">
        <f>+'[2]Sch C'!H143</f>
        <v>0</v>
      </c>
      <c r="F147" s="166">
        <f t="shared" si="48"/>
        <v>19401</v>
      </c>
      <c r="G147" s="626"/>
      <c r="H147" s="166"/>
      <c r="I147" s="166">
        <f t="shared" si="49"/>
        <v>19401</v>
      </c>
      <c r="J147" s="167">
        <f>IF($I$213=0,0,I147/$I$213)</f>
        <v>1.1468460698606063E-2</v>
      </c>
      <c r="K147" s="458"/>
      <c r="L147" s="163"/>
      <c r="M147" s="163"/>
      <c r="O147" s="329">
        <f t="shared" si="43"/>
        <v>2.1501717832206584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'[2]Sch C'!D144</f>
        <v>0</v>
      </c>
      <c r="D148" s="480">
        <f>'[2]Sch C'!F144</f>
        <v>0</v>
      </c>
      <c r="E148" s="480">
        <f>+'[2]Sch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 ht="15.5">
      <c r="A149" s="164" t="s">
        <v>79</v>
      </c>
      <c r="B149" s="165" t="s">
        <v>90</v>
      </c>
      <c r="C149" s="188"/>
      <c r="D149" s="188"/>
      <c r="E149" s="188"/>
      <c r="F149"/>
      <c r="G149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'[2]Sch C'!D146</f>
        <v>9600</v>
      </c>
      <c r="D150" s="480">
        <f>'[2]Sch C'!F146</f>
        <v>0</v>
      </c>
      <c r="E150" s="480">
        <f>+'[2]Sch C'!H146</f>
        <v>0</v>
      </c>
      <c r="F150" s="166">
        <f t="shared" ref="F150:F158" si="50">C150+D150+E150</f>
        <v>9600</v>
      </c>
      <c r="G150" s="626"/>
      <c r="H150" s="166"/>
      <c r="I150" s="166">
        <f t="shared" ref="I150:I158" si="51">F150+G150+H150</f>
        <v>9600</v>
      </c>
      <c r="J150" s="167">
        <f t="shared" ref="J150:J158" si="52">IF($I$213=0,0,I150/$I$213)</f>
        <v>5.674822055905273E-3</v>
      </c>
      <c r="K150" s="458"/>
      <c r="L150" s="176">
        <v>208</v>
      </c>
      <c r="M150" s="176">
        <v>208</v>
      </c>
      <c r="O150" s="329">
        <f t="shared" si="43"/>
        <v>1.0639476892386124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'[2]Sch C'!D147</f>
        <v>0</v>
      </c>
      <c r="D151" s="480">
        <f>'[2]Sch C'!F147</f>
        <v>0</v>
      </c>
      <c r="E151" s="480">
        <f>+'[2]Sch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'[2]Sch C'!D148</f>
        <v>0</v>
      </c>
      <c r="D152" s="480">
        <f>'[2]Sch C'!F148</f>
        <v>0</v>
      </c>
      <c r="E152" s="480">
        <f>+'[2]Sch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'[2]Sch C'!D149</f>
        <v>0</v>
      </c>
      <c r="D153" s="480">
        <f>'[2]Sch C'!F149</f>
        <v>0</v>
      </c>
      <c r="E153" s="480">
        <f>+'[2]Sch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'[2]Sch C'!D150</f>
        <v>2635</v>
      </c>
      <c r="D154" s="480">
        <f>'[2]Sch C'!F150</f>
        <v>0</v>
      </c>
      <c r="E154" s="480">
        <f>+'[2]Sch C'!H150</f>
        <v>0</v>
      </c>
      <c r="F154" s="166">
        <f t="shared" si="50"/>
        <v>2635</v>
      </c>
      <c r="G154" s="626"/>
      <c r="H154" s="166"/>
      <c r="I154" s="166">
        <f t="shared" si="51"/>
        <v>2635</v>
      </c>
      <c r="J154" s="167">
        <f t="shared" si="52"/>
        <v>1.5576204288864995E-3</v>
      </c>
      <c r="K154" s="458"/>
      <c r="L154" s="176">
        <v>36</v>
      </c>
      <c r="M154" s="176">
        <v>36</v>
      </c>
      <c r="O154" s="329">
        <f t="shared" si="43"/>
        <v>0.29203147511913996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'[2]Sch C'!D151</f>
        <v>23832</v>
      </c>
      <c r="D155" s="480">
        <f>'[2]Sch C'!F151</f>
        <v>0</v>
      </c>
      <c r="E155" s="480">
        <f>+'[2]Sch C'!H151</f>
        <v>0</v>
      </c>
      <c r="F155" s="166">
        <f t="shared" si="50"/>
        <v>23832</v>
      </c>
      <c r="G155" s="626"/>
      <c r="H155" s="166"/>
      <c r="I155" s="166">
        <f t="shared" si="51"/>
        <v>23832</v>
      </c>
      <c r="J155" s="167">
        <f t="shared" si="52"/>
        <v>1.4087745753784841E-2</v>
      </c>
      <c r="K155" s="458"/>
      <c r="L155" s="163"/>
      <c r="M155" s="163"/>
      <c r="O155" s="329">
        <f t="shared" si="43"/>
        <v>2.6412501385348555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'[2]Sch C'!D152</f>
        <v>8138</v>
      </c>
      <c r="D156" s="480">
        <f>'[2]Sch C'!F152</f>
        <v>0</v>
      </c>
      <c r="E156" s="480">
        <f>+'[2]Sch C'!H152</f>
        <v>0</v>
      </c>
      <c r="F156" s="166">
        <f t="shared" si="50"/>
        <v>8138</v>
      </c>
      <c r="G156" s="626"/>
      <c r="H156" s="166"/>
      <c r="I156" s="166">
        <f t="shared" si="51"/>
        <v>8138</v>
      </c>
      <c r="J156" s="167">
        <f t="shared" si="52"/>
        <v>4.8105939469746993E-3</v>
      </c>
      <c r="K156" s="458"/>
      <c r="L156" s="163"/>
      <c r="M156" s="163"/>
      <c r="O156" s="329">
        <f t="shared" si="43"/>
        <v>0.90191732239831546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'[2]Sch C'!D153</f>
        <v>0</v>
      </c>
      <c r="D157" s="480">
        <f>'[2]Sch C'!F153</f>
        <v>0</v>
      </c>
      <c r="E157" s="480">
        <f>+'[2]Sch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'[2]Sch C'!D154</f>
        <v>0</v>
      </c>
      <c r="D158" s="480">
        <f>'[2]Sch C'!F154</f>
        <v>0</v>
      </c>
      <c r="E158" s="480">
        <f>+'[2]Sch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 ht="15.5">
      <c r="A159" s="164"/>
      <c r="B159" s="201" t="s">
        <v>93</v>
      </c>
      <c r="C159" s="479"/>
      <c r="D159" s="479"/>
      <c r="E159" s="479"/>
      <c r="F159"/>
      <c r="G15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'[2]Sch C'!D156</f>
        <v>0</v>
      </c>
      <c r="D160" s="480">
        <f>'[2]Sch C'!F156</f>
        <v>0</v>
      </c>
      <c r="E160" s="480">
        <f>+'[2]Sch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'[2]Sch C'!D157</f>
        <v>0</v>
      </c>
      <c r="D161" s="480">
        <f>'[2]Sch C'!F157</f>
        <v>0</v>
      </c>
      <c r="E161" s="480">
        <f>+'[2]Sch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'[2]Sch C'!D158</f>
        <v>0</v>
      </c>
      <c r="D162" s="480">
        <f>'[2]Sch C'!F158</f>
        <v>0</v>
      </c>
      <c r="E162" s="480">
        <f>+'[2]Sch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'[2]Sch C'!D159</f>
        <v>0</v>
      </c>
      <c r="D163" s="480">
        <f>'[2]Sch C'!F159</f>
        <v>0</v>
      </c>
      <c r="E163" s="480">
        <f>+'[2]Sch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'[2]Sch C'!D160</f>
        <v>0</v>
      </c>
      <c r="D164" s="480">
        <f>'[2]Sch C'!F160</f>
        <v>0</v>
      </c>
      <c r="E164" s="480">
        <f>+'[2]Sch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'[2]Sch C'!D161</f>
        <v>0</v>
      </c>
      <c r="D165" s="480">
        <f>'[2]Sch C'!F161</f>
        <v>0</v>
      </c>
      <c r="E165" s="480">
        <f>+'[2]Sch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609745</v>
      </c>
      <c r="D166" s="480">
        <f t="shared" si="56"/>
        <v>11035</v>
      </c>
      <c r="E166" s="480">
        <f t="shared" si="56"/>
        <v>0</v>
      </c>
      <c r="F166" s="166">
        <f t="shared" ref="F166:I166" si="57">SUM(F128:F165)</f>
        <v>620780</v>
      </c>
      <c r="G166" s="166">
        <f t="shared" si="57"/>
        <v>0</v>
      </c>
      <c r="H166" s="166">
        <f t="shared" si="57"/>
        <v>0</v>
      </c>
      <c r="I166" s="166">
        <f t="shared" si="57"/>
        <v>620780</v>
      </c>
      <c r="J166" s="167">
        <f t="shared" si="55"/>
        <v>0.36696000373592452</v>
      </c>
      <c r="K166" s="458"/>
      <c r="L166" s="163"/>
      <c r="M166" s="163"/>
      <c r="O166" s="329">
        <f>I166/I$233</f>
        <v>68.799734013077696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'[2]Sch C'!D175</f>
        <v>0</v>
      </c>
      <c r="D169" s="480">
        <f>'[2]Sch C'!F175</f>
        <v>0</v>
      </c>
      <c r="E169" s="480">
        <f>+'[2]Sch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'[2]Sch C'!D176</f>
        <v>0</v>
      </c>
      <c r="D170" s="480">
        <f>'[2]Sch C'!F176</f>
        <v>0</v>
      </c>
      <c r="E170" s="480">
        <f>+'[2]Sch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'[2]Sch C'!D177</f>
        <v>0</v>
      </c>
      <c r="D171" s="480">
        <f>'[2]Sch C'!F177</f>
        <v>0</v>
      </c>
      <c r="E171" s="480">
        <f>+'[2]Sch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'[2]Sch C'!D178</f>
        <v>0</v>
      </c>
      <c r="D172" s="480">
        <f>'[2]Sch C'!F178</f>
        <v>0</v>
      </c>
      <c r="E172" s="480">
        <f>+'[2]Sch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'[2]Sch C'!D179</f>
        <v>0</v>
      </c>
      <c r="D173" s="480">
        <f>'[2]Sch C'!F179</f>
        <v>0</v>
      </c>
      <c r="E173" s="480">
        <f>+'[2]Sch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'[2]Sch C'!D180</f>
        <v>0</v>
      </c>
      <c r="D174" s="480">
        <f>'[2]Sch C'!F180</f>
        <v>0</v>
      </c>
      <c r="E174" s="480">
        <f>+'[2]Sch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'[2]Sch C'!D181</f>
        <v>0</v>
      </c>
      <c r="D175" s="480">
        <f>'[2]Sch C'!F181</f>
        <v>0</v>
      </c>
      <c r="E175" s="480">
        <f>+'[2]Sch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'[2]Sch C'!D182</f>
        <v>0</v>
      </c>
      <c r="D176" s="480">
        <f>'[2]Sch C'!F182</f>
        <v>0</v>
      </c>
      <c r="E176" s="480">
        <f>+'[2]Sch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'[2]Sch C'!D183</f>
        <v>0</v>
      </c>
      <c r="D177" s="480">
        <f>'[2]Sch C'!F183</f>
        <v>0</v>
      </c>
      <c r="E177" s="480">
        <f>+'[2]Sch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'[2]Sch C'!D184</f>
        <v>0</v>
      </c>
      <c r="D178" s="480">
        <f>'[2]Sch C'!F184</f>
        <v>0</v>
      </c>
      <c r="E178" s="480">
        <f>+'[2]Sch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'[2]Sch C'!D185</f>
        <v>0</v>
      </c>
      <c r="D179" s="480">
        <f>'[2]Sch C'!F185</f>
        <v>0</v>
      </c>
      <c r="E179" s="480">
        <f>+'[2]Sch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'[2]Sch C'!D186</f>
        <v>0</v>
      </c>
      <c r="D180" s="480">
        <f>'[2]Sch C'!F186</f>
        <v>0</v>
      </c>
      <c r="E180" s="480">
        <f>+'[2]Sch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'[2]Sch C'!D187</f>
        <v>0</v>
      </c>
      <c r="D181" s="480">
        <f>'[2]Sch C'!F187</f>
        <v>0</v>
      </c>
      <c r="E181" s="480">
        <f>+'[2]Sch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/>
      <c r="Q181" s="210"/>
    </row>
    <row r="182" spans="1:17" s="211" customFormat="1">
      <c r="A182" s="214" t="s">
        <v>275</v>
      </c>
      <c r="B182" s="145" t="s">
        <v>303</v>
      </c>
      <c r="C182" s="480">
        <f>'[2]Sch C'!D188</f>
        <v>0</v>
      </c>
      <c r="D182" s="480">
        <f>'[2]Sch C'!F188</f>
        <v>0</v>
      </c>
      <c r="E182" s="480">
        <f>+'[2]Sch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'[2]Sch C'!D189</f>
        <v>0</v>
      </c>
      <c r="D183" s="480">
        <f>'[2]Sch C'!F189</f>
        <v>0</v>
      </c>
      <c r="E183" s="480">
        <f>+'[2]Sch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'[2]Sch C'!D190</f>
        <v>0</v>
      </c>
      <c r="D184" s="480">
        <f>'[2]Sch C'!F190</f>
        <v>0</v>
      </c>
      <c r="E184" s="480">
        <f>+'[2]Sch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'[2]Sch C'!D191</f>
        <v>0</v>
      </c>
      <c r="D185" s="480">
        <f>'[2]Sch C'!F191</f>
        <v>0</v>
      </c>
      <c r="E185" s="480">
        <f>+'[2]Sch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'[2]Sch C'!D192</f>
        <v>0</v>
      </c>
      <c r="D186" s="480">
        <f>'[2]Sch C'!F192</f>
        <v>0</v>
      </c>
      <c r="E186" s="480">
        <f>+'[2]Sch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'[2]Sch C'!D193</f>
        <v>0</v>
      </c>
      <c r="D187" s="480">
        <f>'[2]Sch C'!F193</f>
        <v>0</v>
      </c>
      <c r="E187" s="480">
        <f>+'[2]Sch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'[2]Sch C'!D194</f>
        <v>2444</v>
      </c>
      <c r="D188" s="480">
        <f>'[2]Sch C'!F194</f>
        <v>0</v>
      </c>
      <c r="E188" s="480">
        <f>+'[2]Sch C'!H194</f>
        <v>0</v>
      </c>
      <c r="F188" s="166">
        <f t="shared" si="58"/>
        <v>2444</v>
      </c>
      <c r="G188" s="626"/>
      <c r="H188" s="166"/>
      <c r="I188" s="166">
        <f t="shared" si="59"/>
        <v>2444</v>
      </c>
      <c r="J188" s="167">
        <f t="shared" si="60"/>
        <v>1.4447151150658842E-3</v>
      </c>
      <c r="K188" s="458"/>
      <c r="L188" s="213"/>
      <c r="M188" s="208"/>
      <c r="O188" s="329">
        <f t="shared" si="61"/>
        <v>0.2708633492186634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'[2]Sch C'!D195</f>
        <v>828</v>
      </c>
      <c r="D189" s="480">
        <f>'[2]Sch C'!F195</f>
        <v>0</v>
      </c>
      <c r="E189" s="480">
        <f>+'[2]Sch C'!H195</f>
        <v>0</v>
      </c>
      <c r="F189" s="166">
        <f t="shared" si="58"/>
        <v>828</v>
      </c>
      <c r="G189" s="626"/>
      <c r="H189" s="166"/>
      <c r="I189" s="166">
        <f t="shared" si="59"/>
        <v>828</v>
      </c>
      <c r="J189" s="167">
        <f t="shared" si="60"/>
        <v>4.8945340232182976E-4</v>
      </c>
      <c r="K189" s="458"/>
      <c r="L189" s="213"/>
      <c r="M189" s="208"/>
      <c r="O189" s="329">
        <f t="shared" si="61"/>
        <v>9.1765488196830322E-2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'[2]Sch C'!D196</f>
        <v>0</v>
      </c>
      <c r="D190" s="480">
        <f>'[2]Sch C'!F196</f>
        <v>0</v>
      </c>
      <c r="E190" s="480">
        <f>+'[2]Sch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'[2]Sch C'!D197</f>
        <v>1231</v>
      </c>
      <c r="D191" s="480">
        <f>'[2]Sch C'!F197</f>
        <v>0</v>
      </c>
      <c r="E191" s="480">
        <f>+'[2]Sch C'!H197</f>
        <v>0</v>
      </c>
      <c r="F191" s="166">
        <f t="shared" si="58"/>
        <v>1231</v>
      </c>
      <c r="G191" s="626"/>
      <c r="H191" s="166"/>
      <c r="I191" s="166">
        <f t="shared" si="59"/>
        <v>1231</v>
      </c>
      <c r="J191" s="167">
        <f t="shared" si="60"/>
        <v>7.2767770321035326E-4</v>
      </c>
      <c r="K191" s="458"/>
      <c r="L191" s="213"/>
      <c r="M191" s="208"/>
      <c r="O191" s="329">
        <f t="shared" si="61"/>
        <v>0.13642912556799291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'[2]Sch C'!D198</f>
        <v>578</v>
      </c>
      <c r="D192" s="480">
        <f>'[2]Sch C'!F198</f>
        <v>0</v>
      </c>
      <c r="E192" s="480">
        <f>+'[2]Sch C'!H198</f>
        <v>0</v>
      </c>
      <c r="F192" s="166">
        <f t="shared" si="58"/>
        <v>578</v>
      </c>
      <c r="G192" s="626"/>
      <c r="H192" s="166"/>
      <c r="I192" s="166">
        <f t="shared" si="59"/>
        <v>578</v>
      </c>
      <c r="J192" s="167">
        <f t="shared" si="60"/>
        <v>3.4167157794929664E-4</v>
      </c>
      <c r="K192" s="458"/>
      <c r="L192" s="213"/>
      <c r="M192" s="208"/>
      <c r="O192" s="329">
        <f t="shared" si="61"/>
        <v>6.4058517122908123E-2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'[2]Sch C'!D199</f>
        <v>0</v>
      </c>
      <c r="D193" s="480">
        <f>'[2]Sch C'!F199</f>
        <v>0</v>
      </c>
      <c r="E193" s="480">
        <f>+'[2]Sch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'[2]Sch C'!D200</f>
        <v>0</v>
      </c>
      <c r="D194" s="480">
        <f>'[2]Sch C'!F200</f>
        <v>0</v>
      </c>
      <c r="E194" s="480">
        <f>+'[2]Sch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'[2]Sch C'!D201</f>
        <v>0</v>
      </c>
      <c r="D195" s="480">
        <f>'[2]Sch C'!F201</f>
        <v>0</v>
      </c>
      <c r="E195" s="480">
        <f>+'[2]Sch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'[2]Sch C'!D202</f>
        <v>0</v>
      </c>
      <c r="D196" s="480">
        <f>'[2]Sch C'!F202</f>
        <v>0</v>
      </c>
      <c r="E196" s="480">
        <f>+'[2]Sch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'[2]Sch C'!D203</f>
        <v>0</v>
      </c>
      <c r="D197" s="480">
        <f>'[2]Sch C'!F203</f>
        <v>0</v>
      </c>
      <c r="E197" s="480">
        <f>+'[2]Sch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'[2]Sch C'!D204</f>
        <v>0</v>
      </c>
      <c r="D198" s="480">
        <f>'[2]Sch C'!F204</f>
        <v>0</v>
      </c>
      <c r="E198" s="480">
        <f>+'[2]Sch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'[2]Sch C'!D205</f>
        <v>7900</v>
      </c>
      <c r="D199" s="480">
        <f>'[2]Sch C'!F205</f>
        <v>0</v>
      </c>
      <c r="E199" s="480">
        <f>+'[2]Sch C'!H205</f>
        <v>0</v>
      </c>
      <c r="F199" s="166">
        <f t="shared" si="58"/>
        <v>7900</v>
      </c>
      <c r="G199" s="626"/>
      <c r="H199" s="166"/>
      <c r="I199" s="166">
        <f t="shared" si="59"/>
        <v>7900</v>
      </c>
      <c r="J199" s="167">
        <f t="shared" si="60"/>
        <v>4.6699056501720475E-3</v>
      </c>
      <c r="K199" s="458"/>
      <c r="L199" s="213"/>
      <c r="M199" s="208"/>
      <c r="O199" s="329">
        <f t="shared" si="61"/>
        <v>0.87554028593594146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'[2]Sch C'!D206</f>
        <v>0</v>
      </c>
      <c r="D200" s="480">
        <f>'[2]Sch C'!F206</f>
        <v>0</v>
      </c>
      <c r="E200" s="480">
        <f>+'[2]Sch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'[2]Sch C'!D207</f>
        <v>0</v>
      </c>
      <c r="D201" s="480">
        <f>'[2]Sch C'!F207</f>
        <v>0</v>
      </c>
      <c r="E201" s="480">
        <f>+'[2]Sch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12981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12981</v>
      </c>
      <c r="G202" s="166">
        <f t="shared" si="63"/>
        <v>0</v>
      </c>
      <c r="H202" s="166">
        <f t="shared" si="63"/>
        <v>0</v>
      </c>
      <c r="I202" s="166">
        <f t="shared" si="63"/>
        <v>12981</v>
      </c>
      <c r="J202" s="167">
        <f>IF($I$213=0,0,I202/$I$213)</f>
        <v>7.673423448719411E-3</v>
      </c>
      <c r="K202" s="458"/>
      <c r="L202" s="163"/>
      <c r="M202" s="163"/>
      <c r="O202" s="329">
        <f>I202/I$233</f>
        <v>1.4386567660423362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'[2]Sch C'!D211</f>
        <v>42430</v>
      </c>
      <c r="D205" s="480">
        <f>'[2]Sch C'!F211</f>
        <v>0</v>
      </c>
      <c r="E205" s="480">
        <f>+'[2]Sch C'!H211</f>
        <v>0</v>
      </c>
      <c r="F205" s="166">
        <f t="shared" ref="F205:F210" si="64">C205+D205+E205</f>
        <v>42430</v>
      </c>
      <c r="G205" s="626"/>
      <c r="H205" s="166"/>
      <c r="I205" s="166">
        <f t="shared" ref="I205:I210" si="65">F205+G205+H205</f>
        <v>42430</v>
      </c>
      <c r="J205" s="167">
        <f t="shared" ref="J205:J210" si="66">IF($I$213=0,0,I205/$I$213)</f>
        <v>2.5081531232506327E-2</v>
      </c>
      <c r="K205" s="458"/>
      <c r="L205" s="176">
        <v>2417</v>
      </c>
      <c r="M205" s="176">
        <v>2487</v>
      </c>
      <c r="O205" s="329">
        <f t="shared" ref="O205:O210" si="67">I205/I$233</f>
        <v>4.7024271306660754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'[2]Sch C'!D212</f>
        <v>3665</v>
      </c>
      <c r="D206" s="480">
        <f>'[2]Sch C'!F212</f>
        <v>898</v>
      </c>
      <c r="E206" s="480">
        <f>+'[2]Sch C'!H212</f>
        <v>0</v>
      </c>
      <c r="F206" s="166">
        <f t="shared" si="64"/>
        <v>4563</v>
      </c>
      <c r="G206" s="626"/>
      <c r="H206" s="166"/>
      <c r="I206" s="166">
        <f t="shared" si="65"/>
        <v>4563</v>
      </c>
      <c r="J206" s="167">
        <f t="shared" si="66"/>
        <v>2.6973138584474752E-3</v>
      </c>
      <c r="K206" s="458"/>
      <c r="L206" s="163"/>
      <c r="M206" s="163"/>
      <c r="O206" s="329">
        <f t="shared" si="67"/>
        <v>0.50570763604122793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'[2]Sch C'!D213</f>
        <v>9761</v>
      </c>
      <c r="D207" s="480">
        <f>'[2]Sch C'!F213</f>
        <v>0</v>
      </c>
      <c r="E207" s="480">
        <f>+'[2]Sch C'!H213</f>
        <v>0</v>
      </c>
      <c r="F207" s="166">
        <f t="shared" si="64"/>
        <v>9761</v>
      </c>
      <c r="G207" s="626"/>
      <c r="H207" s="166"/>
      <c r="I207" s="166">
        <f t="shared" si="65"/>
        <v>9761</v>
      </c>
      <c r="J207" s="167">
        <f t="shared" si="66"/>
        <v>5.7699935508011843E-3</v>
      </c>
      <c r="K207" s="458"/>
      <c r="L207" s="163"/>
      <c r="M207" s="163"/>
      <c r="O207" s="329">
        <f t="shared" si="67"/>
        <v>1.0817909786102182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'[2]Sch C'!D214</f>
        <v>0</v>
      </c>
      <c r="D208" s="480">
        <f>'[2]Sch C'!F214</f>
        <v>0</v>
      </c>
      <c r="E208" s="480">
        <f>+'[2]Sch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'[2]Sch C'!D215</f>
        <v>0</v>
      </c>
      <c r="D209" s="480">
        <f>'[2]Sch C'!F215</f>
        <v>0</v>
      </c>
      <c r="E209" s="480">
        <f>+'[2]Sch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'[2]Sch C'!D216</f>
        <v>4238</v>
      </c>
      <c r="D210" s="480">
        <f>'[2]Sch C'!F216</f>
        <v>0</v>
      </c>
      <c r="E210" s="480">
        <f>+'[2]Sch C'!H216</f>
        <v>0</v>
      </c>
      <c r="F210" s="166">
        <f t="shared" si="64"/>
        <v>4238</v>
      </c>
      <c r="G210" s="626"/>
      <c r="H210" s="166"/>
      <c r="I210" s="166">
        <f t="shared" si="65"/>
        <v>4238</v>
      </c>
      <c r="J210" s="167">
        <f t="shared" si="66"/>
        <v>2.5051974867631821E-3</v>
      </c>
      <c r="K210" s="458"/>
      <c r="L210" s="163"/>
      <c r="M210" s="163"/>
      <c r="O210" s="329">
        <f t="shared" si="67"/>
        <v>0.46968857364512911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60094</v>
      </c>
      <c r="D211" s="480">
        <f t="shared" si="68"/>
        <v>898</v>
      </c>
      <c r="E211" s="480">
        <f t="shared" si="68"/>
        <v>0</v>
      </c>
      <c r="F211" s="166">
        <f t="shared" ref="F211:I211" si="69">SUM(F205:F210)</f>
        <v>60992</v>
      </c>
      <c r="G211" s="166">
        <f t="shared" si="69"/>
        <v>0</v>
      </c>
      <c r="H211" s="166">
        <f t="shared" si="69"/>
        <v>0</v>
      </c>
      <c r="I211" s="166">
        <f t="shared" si="69"/>
        <v>60992</v>
      </c>
      <c r="J211" s="167">
        <f>IF($I$213=0,0,I211/$I$213)</f>
        <v>3.6054036128518166E-2</v>
      </c>
      <c r="K211" s="458"/>
      <c r="L211" s="163"/>
      <c r="M211" s="163"/>
      <c r="O211" s="329">
        <f>I211/I$233</f>
        <v>6.759614318962651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2246282</v>
      </c>
      <c r="D213" s="480">
        <f t="shared" si="70"/>
        <v>-61885</v>
      </c>
      <c r="E213" s="480">
        <f t="shared" si="70"/>
        <v>-492714</v>
      </c>
      <c r="F213" s="166">
        <f t="shared" ref="F213:I213" si="71">SUM(F30:F211)/2</f>
        <v>1691683</v>
      </c>
      <c r="G213" s="166">
        <f t="shared" si="71"/>
        <v>0</v>
      </c>
      <c r="H213" s="166">
        <f t="shared" si="71"/>
        <v>0</v>
      </c>
      <c r="I213" s="166">
        <f t="shared" si="71"/>
        <v>1691683</v>
      </c>
      <c r="J213" s="167">
        <f>IF($I$213=0,0,I213/$I$213)</f>
        <v>1</v>
      </c>
      <c r="K213" s="458"/>
      <c r="L213" s="176">
        <f>SUM(L30:L205)</f>
        <v>40027</v>
      </c>
      <c r="M213" s="176">
        <f>SUM(M30:M205)</f>
        <v>41132</v>
      </c>
      <c r="O213" s="329">
        <f>I213/I$233</f>
        <v>187.4856477889837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'[2]Sch C'!D221</f>
        <v>2246282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231142</v>
      </c>
      <c r="D220" s="480">
        <f t="shared" si="72"/>
        <v>75544</v>
      </c>
      <c r="E220" s="480">
        <f t="shared" si="72"/>
        <v>492714</v>
      </c>
      <c r="F220" s="166">
        <f t="shared" ref="F220:I220" si="73">F26-F213</f>
        <v>799400</v>
      </c>
      <c r="G220" s="166">
        <f t="shared" si="73"/>
        <v>362204</v>
      </c>
      <c r="H220" s="166">
        <f t="shared" si="73"/>
        <v>0</v>
      </c>
      <c r="I220" s="166">
        <f t="shared" si="73"/>
        <v>1161604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'[2]Sch D'!C9</f>
        <v>8399</v>
      </c>
      <c r="D224" s="480"/>
      <c r="E224" s="480"/>
      <c r="F224" s="224">
        <f>C224+D224+E224</f>
        <v>8399</v>
      </c>
      <c r="G224" s="627"/>
      <c r="H224" s="223"/>
      <c r="I224" s="224">
        <f>F224+G224+H224</f>
        <v>8399</v>
      </c>
      <c r="J224" s="167">
        <f>IF($I$233=0,0,I224/$I$233)</f>
        <v>0.93084340019949019</v>
      </c>
      <c r="K224" s="458"/>
      <c r="L224" s="163"/>
      <c r="M224" s="163"/>
    </row>
    <row r="225" spans="1:13">
      <c r="A225" s="158"/>
      <c r="B225" s="165" t="s">
        <v>201</v>
      </c>
      <c r="C225" s="504">
        <f>'[2]Sch D'!D9</f>
        <v>0</v>
      </c>
      <c r="D225" s="480"/>
      <c r="E225" s="480"/>
      <c r="F225" s="224">
        <f t="shared" ref="F225:F232" si="74">C225+D225+E225</f>
        <v>0</v>
      </c>
      <c r="G225" s="627"/>
      <c r="H225" s="223"/>
      <c r="I225" s="224">
        <f t="shared" ref="I225:I232" si="75">F225+G225+H225</f>
        <v>0</v>
      </c>
      <c r="J225" s="167">
        <f t="shared" ref="J225:J232" si="76">IF($I$233=0,0,I225/$I$233)</f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'[2]Sch D'!E9</f>
        <v>0</v>
      </c>
      <c r="D226" s="480"/>
      <c r="E226" s="480"/>
      <c r="F226" s="224">
        <f t="shared" si="74"/>
        <v>0</v>
      </c>
      <c r="G226" s="627"/>
      <c r="H226" s="223"/>
      <c r="I226" s="224">
        <f t="shared" si="75"/>
        <v>0</v>
      </c>
      <c r="J226" s="167">
        <f t="shared" si="76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'[2]Sch D'!F9</f>
        <v>0</v>
      </c>
      <c r="D227" s="480"/>
      <c r="E227" s="480"/>
      <c r="F227" s="224">
        <f t="shared" si="74"/>
        <v>0</v>
      </c>
      <c r="G227" s="627"/>
      <c r="H227" s="223"/>
      <c r="I227" s="224">
        <f t="shared" si="75"/>
        <v>0</v>
      </c>
      <c r="J227" s="167">
        <f t="shared" si="76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'[2]Sch D'!G9</f>
        <v>0</v>
      </c>
      <c r="D228" s="480"/>
      <c r="E228" s="480"/>
      <c r="F228" s="224">
        <f t="shared" si="74"/>
        <v>0</v>
      </c>
      <c r="G228" s="627"/>
      <c r="H228" s="223"/>
      <c r="I228" s="224">
        <f t="shared" si="75"/>
        <v>0</v>
      </c>
      <c r="J228" s="167">
        <f t="shared" si="76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'[2]Sch D'!H9</f>
        <v>492</v>
      </c>
      <c r="D229" s="480"/>
      <c r="E229" s="480"/>
      <c r="F229" s="224">
        <f t="shared" si="74"/>
        <v>492</v>
      </c>
      <c r="G229" s="627"/>
      <c r="H229" s="223"/>
      <c r="I229" s="224">
        <f t="shared" si="75"/>
        <v>492</v>
      </c>
      <c r="J229" s="167">
        <f t="shared" si="76"/>
        <v>5.4527319073478887E-2</v>
      </c>
      <c r="K229" s="458"/>
      <c r="L229" s="163"/>
      <c r="M229" s="163"/>
    </row>
    <row r="230" spans="1:13">
      <c r="A230" s="158"/>
      <c r="B230" s="165" t="s">
        <v>219</v>
      </c>
      <c r="C230" s="504">
        <f>'[2]Sch D'!I9</f>
        <v>132</v>
      </c>
      <c r="D230" s="480"/>
      <c r="E230" s="480"/>
      <c r="F230" s="224">
        <f t="shared" si="74"/>
        <v>132</v>
      </c>
      <c r="G230" s="627"/>
      <c r="H230" s="223"/>
      <c r="I230" s="224">
        <f t="shared" si="75"/>
        <v>132</v>
      </c>
      <c r="J230" s="167">
        <f t="shared" si="76"/>
        <v>1.4629280727030921E-2</v>
      </c>
      <c r="K230" s="458"/>
      <c r="L230" s="163"/>
      <c r="M230" s="163"/>
    </row>
    <row r="231" spans="1:13">
      <c r="A231" s="158"/>
      <c r="B231" s="165" t="s">
        <v>218</v>
      </c>
      <c r="C231" s="504">
        <f>'[2]Sch D'!J9</f>
        <v>0</v>
      </c>
      <c r="D231" s="480"/>
      <c r="E231" s="480"/>
      <c r="F231" s="224">
        <f t="shared" si="74"/>
        <v>0</v>
      </c>
      <c r="G231" s="627"/>
      <c r="H231" s="223"/>
      <c r="I231" s="224">
        <f t="shared" si="75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'[2]Sch D'!K9</f>
        <v>0</v>
      </c>
      <c r="D232" s="480"/>
      <c r="E232" s="480"/>
      <c r="F232" s="224">
        <f t="shared" si="74"/>
        <v>0</v>
      </c>
      <c r="G232" s="627"/>
      <c r="H232" s="223"/>
      <c r="I232" s="224">
        <f t="shared" si="75"/>
        <v>0</v>
      </c>
      <c r="J232" s="167">
        <f t="shared" si="76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9023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9023</v>
      </c>
      <c r="G233" s="226">
        <f t="shared" si="78"/>
        <v>0</v>
      </c>
      <c r="H233" s="226">
        <f t="shared" si="78"/>
        <v>0</v>
      </c>
      <c r="I233" s="226">
        <f t="shared" si="78"/>
        <v>9023</v>
      </c>
      <c r="J233" s="167">
        <f>IF($I$233=0,0,I233/$I$233)</f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'[2]Sch D'!N22</f>
        <v>26</v>
      </c>
      <c r="D236" s="480"/>
      <c r="E236" s="480"/>
      <c r="F236" s="224">
        <f>C236+D236</f>
        <v>26</v>
      </c>
      <c r="G236" s="627"/>
      <c r="H236" s="224"/>
      <c r="I236" s="224">
        <f>F236+G236+H236</f>
        <v>26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'[2]Sch D'!N24</f>
        <v>26</v>
      </c>
      <c r="D237" s="480"/>
      <c r="E237" s="480"/>
      <c r="F237" s="224">
        <f>C237+D237</f>
        <v>26</v>
      </c>
      <c r="G237" s="627"/>
      <c r="H237" s="224"/>
      <c r="I237" s="224">
        <f>F237+G237+H237</f>
        <v>26</v>
      </c>
      <c r="J237" s="162"/>
      <c r="K237" s="460"/>
      <c r="L237" s="163"/>
      <c r="M237" s="163"/>
    </row>
    <row r="238" spans="1:13" ht="15.5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'[2]Sch D'!N28</f>
        <v>9490</v>
      </c>
      <c r="D240" s="427"/>
      <c r="E240" s="427"/>
      <c r="F240" s="223">
        <f>F236*F238</f>
        <v>9490</v>
      </c>
      <c r="G240"/>
      <c r="H240" s="228"/>
      <c r="I240" s="223">
        <f>I236*I238</f>
        <v>9490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'[2]Sch D'!N30</f>
        <v>0.95079030558482613</v>
      </c>
      <c r="D241" s="228"/>
      <c r="E241" s="228"/>
      <c r="F241" s="232">
        <f>IFERROR(F233/F240,"0")</f>
        <v>0.95079030558482613</v>
      </c>
      <c r="G241"/>
      <c r="H241" s="233"/>
      <c r="I241" s="232">
        <f>IFERROR(I233/I240,"0")</f>
        <v>0.95079030558482613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'[2]Sch D'!N32</f>
        <v>0.88503688092729194</v>
      </c>
      <c r="D242" s="228"/>
      <c r="E242" s="228"/>
      <c r="F242" s="232">
        <f>IFERROR((F224+F225)/F240,"0")</f>
        <v>0.88503688092729194</v>
      </c>
      <c r="G242"/>
      <c r="H242" s="233"/>
      <c r="I242" s="232">
        <f>IFERROR((I224+I225)/I240,"0")</f>
        <v>0.88503688092729194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'[2]Sch D'!N34</f>
        <v>0.93084340019949019</v>
      </c>
      <c r="D243" s="228"/>
      <c r="E243" s="228"/>
      <c r="F243" s="232">
        <f>IFERROR((F242/F241),"0")</f>
        <v>0.93084340019949019</v>
      </c>
      <c r="G243"/>
      <c r="H243" s="233"/>
      <c r="I243" s="232">
        <f>IFERROR((I242/I241),"0")</f>
        <v>0.93084340019949019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'[2]Sch B'!C90</f>
        <v>195</v>
      </c>
      <c r="K246" s="460"/>
    </row>
    <row r="247" spans="1:13">
      <c r="H247" s="140" t="s">
        <v>322</v>
      </c>
      <c r="I247" s="480">
        <f>'[2]Sch B'!E90</f>
        <v>195</v>
      </c>
      <c r="K247" s="460"/>
    </row>
    <row r="248" spans="1:13">
      <c r="H248" s="140" t="s">
        <v>323</v>
      </c>
      <c r="I248" s="480">
        <f>'[2]Sch B'!G90</f>
        <v>173.51694915254237</v>
      </c>
      <c r="K248" s="460"/>
    </row>
    <row r="249" spans="1:13">
      <c r="H249" s="140" t="s">
        <v>324</v>
      </c>
      <c r="I249" s="480">
        <f>'[2]Sch B'!I90</f>
        <v>126.39560439560439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0">
    <tabColor rgb="FFE28CAB"/>
  </sheetPr>
  <dimension ref="A1:Q277"/>
  <sheetViews>
    <sheetView showGridLines="0" topLeftCell="A4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464</v>
      </c>
      <c r="D2" s="234"/>
      <c r="E2" s="234"/>
      <c r="F2" s="142"/>
      <c r="G2" s="142"/>
    </row>
    <row r="3" spans="1:16" ht="15">
      <c r="A3" s="143"/>
      <c r="B3" s="138" t="s">
        <v>71</v>
      </c>
      <c r="C3" s="557">
        <f>'[11]Sch A Pg 1'!B39</f>
        <v>42917</v>
      </c>
      <c r="D3" s="620"/>
      <c r="E3" s="142"/>
      <c r="F3" s="144"/>
      <c r="G3" s="144"/>
      <c r="H3" s="409"/>
    </row>
    <row r="4" spans="1:16" ht="15">
      <c r="A4" s="143"/>
      <c r="B4" s="145" t="s">
        <v>72</v>
      </c>
      <c r="C4" s="557">
        <f>'[11]Sch A Pg 1'!G39</f>
        <v>43281</v>
      </c>
      <c r="D4" s="620"/>
      <c r="E4" s="142"/>
      <c r="F4" s="146"/>
      <c r="G4" s="146"/>
      <c r="H4" s="409"/>
      <c r="I4" s="147"/>
    </row>
    <row r="5" spans="1:16" ht="15">
      <c r="A5" s="143"/>
      <c r="B5" s="145"/>
      <c r="C5" s="148"/>
      <c r="D5" s="148"/>
      <c r="E5" s="142"/>
      <c r="H5" s="40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'[11]Sch B'!E10</f>
        <v>1520290</v>
      </c>
      <c r="D12" s="480">
        <f>'[11]Sch B'!G10</f>
        <v>0</v>
      </c>
      <c r="E12" s="480"/>
      <c r="F12" s="166">
        <f>C12+D12+E12</f>
        <v>1520290</v>
      </c>
      <c r="G12" s="626"/>
      <c r="H12" s="166"/>
      <c r="I12" s="166">
        <f>F12+G12+H12</f>
        <v>1520290</v>
      </c>
      <c r="J12" s="167">
        <f>IF($I$26=0,0,I12/$I$26)</f>
        <v>0.23080511785591368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'[11]Sch B'!E12</f>
        <v>1139065</v>
      </c>
      <c r="D13" s="480">
        <f>'[11]Sch B'!G12</f>
        <v>0</v>
      </c>
      <c r="E13" s="480"/>
      <c r="F13" s="166">
        <f t="shared" ref="F13:F25" si="0">C13+D13+E13</f>
        <v>1139065</v>
      </c>
      <c r="G13" s="626">
        <v>914366</v>
      </c>
      <c r="H13" s="166"/>
      <c r="I13" s="166">
        <f t="shared" ref="I13:I25" si="1">F13+G13+H13</f>
        <v>2053431</v>
      </c>
      <c r="J13" s="167">
        <f>IF($I$26=0,0,I13/$I$26)</f>
        <v>0.31174472236480322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'[11]Sch B'!E13</f>
        <v>1721</v>
      </c>
      <c r="D14" s="480">
        <f>'[11]Sch B'!G13</f>
        <v>0</v>
      </c>
      <c r="E14" s="480"/>
      <c r="F14" s="166">
        <f t="shared" si="0"/>
        <v>1721</v>
      </c>
      <c r="G14" s="626"/>
      <c r="H14" s="166"/>
      <c r="I14" s="166">
        <f t="shared" si="1"/>
        <v>1721</v>
      </c>
      <c r="J14" s="167">
        <f>IF($I$26=0,0,I14/$I$26)</f>
        <v>2.6127620903250529E-4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'[11]Sch B'!E14</f>
        <v>66230</v>
      </c>
      <c r="D15" s="480">
        <f>'[11]Sch B'!G14</f>
        <v>0</v>
      </c>
      <c r="E15" s="480"/>
      <c r="F15" s="166">
        <f t="shared" si="0"/>
        <v>66230</v>
      </c>
      <c r="G15" s="626"/>
      <c r="H15" s="166"/>
      <c r="I15" s="166">
        <f t="shared" si="1"/>
        <v>66230</v>
      </c>
      <c r="J15" s="167">
        <f>IF($I$26=0,0,I15/$I$26)</f>
        <v>1.0054807277293912E-2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'[11]Sch B'!E15</f>
        <v>2727306</v>
      </c>
      <c r="D16" s="480">
        <f>'[11]Sch B'!G15</f>
        <v>0</v>
      </c>
      <c r="E16" s="480"/>
      <c r="F16" s="166">
        <f t="shared" si="0"/>
        <v>2727306</v>
      </c>
      <c r="G16" s="626"/>
      <c r="H16" s="166"/>
      <c r="I16" s="166">
        <f>SUM(I12:I15)</f>
        <v>3641672</v>
      </c>
      <c r="J16" s="167">
        <f t="shared" ref="J16:J26" si="2">IF($I$26=0,0,I16/$I$26)</f>
        <v>0.55286592370704335</v>
      </c>
      <c r="K16" s="458"/>
      <c r="L16" s="333" t="s">
        <v>325</v>
      </c>
      <c r="M16" s="334">
        <f>I26</f>
        <v>6586899</v>
      </c>
      <c r="O16" s="324">
        <f>IFERROR(I16/I224,0)</f>
        <v>476.28459325137328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'[11]Sch B'!E20</f>
        <v>0</v>
      </c>
      <c r="D17" s="480">
        <f>'[11]Sch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4413987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'[11]Sch B'!E26</f>
        <v>1445891</v>
      </c>
      <c r="D18" s="480">
        <f>'[11]Sch B'!G26</f>
        <v>0</v>
      </c>
      <c r="E18" s="480"/>
      <c r="F18" s="166">
        <f t="shared" si="0"/>
        <v>1445891</v>
      </c>
      <c r="G18" s="626"/>
      <c r="H18" s="166"/>
      <c r="I18" s="166">
        <f t="shared" si="1"/>
        <v>1445891</v>
      </c>
      <c r="J18" s="167">
        <f t="shared" si="2"/>
        <v>0.21951012153063224</v>
      </c>
      <c r="K18" s="458"/>
      <c r="L18" s="335" t="s">
        <v>327</v>
      </c>
      <c r="M18" s="336">
        <f>I233</f>
        <v>15380</v>
      </c>
      <c r="O18" s="324">
        <f t="shared" si="3"/>
        <v>617.9021367521367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'[11]Sch B'!E32</f>
        <v>418549</v>
      </c>
      <c r="D19" s="480">
        <f>'[11]Sch B'!G32</f>
        <v>0</v>
      </c>
      <c r="E19" s="480"/>
      <c r="F19" s="166">
        <f t="shared" si="0"/>
        <v>418549</v>
      </c>
      <c r="G19" s="626"/>
      <c r="H19" s="166"/>
      <c r="I19" s="166">
        <f t="shared" si="1"/>
        <v>418549</v>
      </c>
      <c r="J19" s="170">
        <f t="shared" si="2"/>
        <v>6.3542647306418398E-2</v>
      </c>
      <c r="K19" s="464"/>
      <c r="L19" s="335" t="s">
        <v>328</v>
      </c>
      <c r="M19" s="336">
        <f>I236</f>
        <v>52</v>
      </c>
      <c r="O19" s="324">
        <f t="shared" si="3"/>
        <v>477.25085518814137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'[11]Sch B'!E37</f>
        <v>0</v>
      </c>
      <c r="D20" s="480">
        <f>'[11]Sch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18980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'[11]Sch B'!E42</f>
        <v>644671</v>
      </c>
      <c r="D21" s="480">
        <f>'[11]Sch B'!G42</f>
        <v>0</v>
      </c>
      <c r="E21" s="480"/>
      <c r="F21" s="166">
        <f t="shared" si="0"/>
        <v>644671</v>
      </c>
      <c r="G21" s="626"/>
      <c r="H21" s="166"/>
      <c r="I21" s="166">
        <f t="shared" si="1"/>
        <v>644671</v>
      </c>
      <c r="J21" s="167">
        <f t="shared" si="2"/>
        <v>9.7871699566062884E-2</v>
      </c>
      <c r="K21" s="458"/>
      <c r="L21" s="337"/>
      <c r="M21" s="336"/>
      <c r="O21" s="324">
        <f t="shared" si="3"/>
        <v>264.64326765188832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'[11]Sch B'!E47</f>
        <v>0</v>
      </c>
      <c r="D22" s="480">
        <f>'[11]Sch B'!G47</f>
        <v>407756</v>
      </c>
      <c r="E22" s="480"/>
      <c r="F22" s="166">
        <f t="shared" si="0"/>
        <v>407756</v>
      </c>
      <c r="G22" s="626"/>
      <c r="H22" s="166"/>
      <c r="I22" s="166">
        <f t="shared" si="1"/>
        <v>407756</v>
      </c>
      <c r="J22" s="167">
        <f t="shared" si="2"/>
        <v>6.1904091743322613E-2</v>
      </c>
      <c r="K22" s="458"/>
      <c r="L22" s="335" t="s">
        <v>148</v>
      </c>
      <c r="M22" s="336">
        <f>L213</f>
        <v>112912</v>
      </c>
      <c r="O22" s="324">
        <f t="shared" si="3"/>
        <v>206.77281947261665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'[11]Sch B'!E52</f>
        <v>430294</v>
      </c>
      <c r="D23" s="480">
        <f>'[11]Sch B'!G52</f>
        <v>-407756</v>
      </c>
      <c r="E23" s="480"/>
      <c r="F23" s="166">
        <f t="shared" si="0"/>
        <v>22538</v>
      </c>
      <c r="G23" s="626"/>
      <c r="H23" s="166"/>
      <c r="I23" s="166">
        <f t="shared" si="1"/>
        <v>22538</v>
      </c>
      <c r="J23" s="167">
        <f t="shared" si="2"/>
        <v>3.4216404411241161E-3</v>
      </c>
      <c r="K23" s="458"/>
      <c r="L23" s="338" t="s">
        <v>233</v>
      </c>
      <c r="M23" s="339">
        <f>M213</f>
        <v>118855</v>
      </c>
      <c r="O23" s="324">
        <f t="shared" si="3"/>
        <v>206.77064220183487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'[11]Sch B'!E57</f>
        <v>0</v>
      </c>
      <c r="D24" s="480">
        <f>'[11]Sch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'[11]Sch B'!E72</f>
        <v>5822</v>
      </c>
      <c r="D25" s="480">
        <f>'[11]Sch B'!G72</f>
        <v>0</v>
      </c>
      <c r="E25" s="480"/>
      <c r="F25" s="166">
        <f t="shared" si="0"/>
        <v>5822</v>
      </c>
      <c r="G25" s="626"/>
      <c r="H25" s="166"/>
      <c r="I25" s="166">
        <f t="shared" si="1"/>
        <v>5822</v>
      </c>
      <c r="J25" s="167">
        <f t="shared" si="2"/>
        <v>8.83875705396424E-4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5672533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5672533</v>
      </c>
      <c r="G26" s="166">
        <f>SUM(G12:G25)</f>
        <v>914366</v>
      </c>
      <c r="H26" s="166">
        <f>SUM(H12:H25)</f>
        <v>0</v>
      </c>
      <c r="I26" s="166">
        <f>SUM(I16:I25)</f>
        <v>6586899</v>
      </c>
      <c r="J26" s="167">
        <f t="shared" si="2"/>
        <v>1</v>
      </c>
      <c r="K26" s="458"/>
      <c r="L26" s="163"/>
      <c r="M26" s="163"/>
      <c r="O26" s="324">
        <f>IFERROR(I26/I233,0)</f>
        <v>428.2769180754226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'[11]Sch C'!D10</f>
        <v>90000</v>
      </c>
      <c r="D30" s="480">
        <f>'[11]Sch C'!F10</f>
        <v>0</v>
      </c>
      <c r="E30" s="480">
        <f>+'[11]Sch C'!H10</f>
        <v>0</v>
      </c>
      <c r="F30" s="166">
        <f t="shared" ref="F30:F65" si="5">C30+D30+E30</f>
        <v>90000</v>
      </c>
      <c r="G30" s="626">
        <v>19810</v>
      </c>
      <c r="H30" s="166"/>
      <c r="I30" s="166">
        <f t="shared" ref="I30:I65" si="6">F30+G30+H30</f>
        <v>109810</v>
      </c>
      <c r="J30" s="167">
        <f>IF($I$213=0,0,I30/$I$213)</f>
        <v>2.4877735253864591E-2</v>
      </c>
      <c r="K30" s="458"/>
      <c r="L30" s="176">
        <v>2517</v>
      </c>
      <c r="M30" s="176">
        <v>2581</v>
      </c>
      <c r="O30" s="324">
        <f>I30/I$233</f>
        <v>7.1397919375812746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'[11]Sch C'!D11</f>
        <v>0</v>
      </c>
      <c r="D31" s="480">
        <f>'[11]Sch C'!F11</f>
        <v>0</v>
      </c>
      <c r="E31" s="480">
        <f>+'[11]Sch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'[11]Sch C'!D12</f>
        <v>83846</v>
      </c>
      <c r="D32" s="480">
        <f>'[11]Sch C'!F12</f>
        <v>0</v>
      </c>
      <c r="E32" s="480">
        <f>+'[11]Sch C'!H12</f>
        <v>0</v>
      </c>
      <c r="F32" s="166">
        <f t="shared" si="5"/>
        <v>83846</v>
      </c>
      <c r="G32" s="626">
        <v>-21899</v>
      </c>
      <c r="H32" s="166"/>
      <c r="I32" s="166">
        <f t="shared" si="6"/>
        <v>61947</v>
      </c>
      <c r="J32" s="167">
        <f t="shared" si="7"/>
        <v>1.4034250667253891E-2</v>
      </c>
      <c r="K32" s="458"/>
      <c r="L32" s="176">
        <v>8507</v>
      </c>
      <c r="M32" s="176">
        <v>9264</v>
      </c>
      <c r="O32" s="324">
        <f t="shared" si="8"/>
        <v>4.0277633289986996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'[11]Sch C'!D13</f>
        <v>61721</v>
      </c>
      <c r="D33" s="480">
        <f>'[11]Sch C'!F13</f>
        <v>0</v>
      </c>
      <c r="E33" s="480">
        <f>+'[11]Sch C'!H13</f>
        <v>0</v>
      </c>
      <c r="F33" s="166">
        <f t="shared" si="5"/>
        <v>61721</v>
      </c>
      <c r="G33" s="626">
        <v>-19810</v>
      </c>
      <c r="H33" s="626"/>
      <c r="I33" s="166">
        <f t="shared" si="6"/>
        <v>41911</v>
      </c>
      <c r="J33" s="167">
        <f t="shared" si="7"/>
        <v>9.4950438231920491E-3</v>
      </c>
      <c r="K33" s="458"/>
      <c r="L33" s="163"/>
      <c r="M33" s="163"/>
      <c r="O33" s="324">
        <f t="shared" si="8"/>
        <v>2.7250325097529258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'[11]Sch C'!D14</f>
        <v>0</v>
      </c>
      <c r="D34" s="480">
        <f>'[11]Sch C'!F14</f>
        <v>0</v>
      </c>
      <c r="E34" s="480">
        <f>+'[11]Sch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'[11]Sch C'!D15</f>
        <v>463820</v>
      </c>
      <c r="D35" s="480">
        <f>'[11]Sch C'!F15</f>
        <v>0</v>
      </c>
      <c r="E35" s="480">
        <f>+'[11]Sch C'!H15</f>
        <v>-463820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'[11]Sch C'!D16</f>
        <v>190932</v>
      </c>
      <c r="D36" s="480">
        <f>'[11]Sch C'!F16</f>
        <v>0</v>
      </c>
      <c r="E36" s="480">
        <f>+'[11]Sch C'!H16</f>
        <v>-26935</v>
      </c>
      <c r="F36" s="166">
        <f t="shared" si="5"/>
        <v>163997</v>
      </c>
      <c r="G36" s="626"/>
      <c r="H36" s="626">
        <v>-19140</v>
      </c>
      <c r="I36" s="166">
        <f t="shared" si="6"/>
        <v>144857</v>
      </c>
      <c r="J36" s="167">
        <f t="shared" si="7"/>
        <v>3.2817722390210934E-2</v>
      </c>
      <c r="K36" s="458"/>
      <c r="L36" s="163"/>
      <c r="M36" s="163"/>
      <c r="O36" s="324">
        <f t="shared" si="8"/>
        <v>9.4185305591677508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'[11]Sch C'!D17</f>
        <v>33</v>
      </c>
      <c r="D37" s="480">
        <f>'[11]Sch C'!F17</f>
        <v>-33</v>
      </c>
      <c r="E37" s="480">
        <f>+'[11]Sch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'[11]Sch C'!D18</f>
        <v>16673</v>
      </c>
      <c r="D38" s="480">
        <f>'[11]Sch C'!F18</f>
        <v>0</v>
      </c>
      <c r="E38" s="480">
        <f>+'[11]Sch C'!H18</f>
        <v>0</v>
      </c>
      <c r="F38" s="166">
        <f t="shared" si="5"/>
        <v>16673</v>
      </c>
      <c r="G38" s="626"/>
      <c r="H38" s="166"/>
      <c r="I38" s="166">
        <f t="shared" si="6"/>
        <v>16673</v>
      </c>
      <c r="J38" s="167">
        <f t="shared" si="7"/>
        <v>3.7773106264245909E-3</v>
      </c>
      <c r="K38" s="458"/>
      <c r="L38" s="163"/>
      <c r="M38" s="163"/>
      <c r="O38" s="324">
        <f t="shared" si="8"/>
        <v>1.08407022106632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'[11]Sch C'!D19</f>
        <v>16775</v>
      </c>
      <c r="D39" s="480">
        <f>'[11]Sch C'!F19</f>
        <v>0</v>
      </c>
      <c r="E39" s="480">
        <f>+'[11]Sch C'!H19</f>
        <v>0</v>
      </c>
      <c r="F39" s="166">
        <f t="shared" si="5"/>
        <v>16775</v>
      </c>
      <c r="G39" s="626"/>
      <c r="H39" s="166"/>
      <c r="I39" s="166">
        <f t="shared" si="6"/>
        <v>16775</v>
      </c>
      <c r="J39" s="167">
        <f t="shared" si="7"/>
        <v>3.8004189862815636E-3</v>
      </c>
      <c r="K39" s="458"/>
      <c r="L39" s="163"/>
      <c r="M39" s="163"/>
      <c r="O39" s="324">
        <f t="shared" si="8"/>
        <v>1.0907022106631989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'[11]Sch C'!D20</f>
        <v>10402</v>
      </c>
      <c r="D40" s="480">
        <f>'[11]Sch C'!F20</f>
        <v>0</v>
      </c>
      <c r="E40" s="480">
        <f>+'[11]Sch C'!H20</f>
        <v>0</v>
      </c>
      <c r="F40" s="166">
        <f t="shared" si="5"/>
        <v>10402</v>
      </c>
      <c r="G40" s="626"/>
      <c r="H40" s="166"/>
      <c r="I40" s="166">
        <f t="shared" si="6"/>
        <v>10402</v>
      </c>
      <c r="J40" s="167">
        <f t="shared" si="7"/>
        <v>2.3565996003159953E-3</v>
      </c>
      <c r="K40" s="458"/>
      <c r="L40" s="163"/>
      <c r="M40" s="163"/>
      <c r="O40" s="324">
        <f t="shared" si="8"/>
        <v>0.67633289986996104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'[11]Sch C'!D21</f>
        <v>8301</v>
      </c>
      <c r="D41" s="480">
        <f>'[11]Sch C'!F21</f>
        <v>0</v>
      </c>
      <c r="E41" s="480">
        <f>+'[11]Sch C'!H21</f>
        <v>0</v>
      </c>
      <c r="F41" s="166">
        <f t="shared" si="5"/>
        <v>8301</v>
      </c>
      <c r="G41" s="626">
        <v>21899</v>
      </c>
      <c r="H41" s="166"/>
      <c r="I41" s="166">
        <f t="shared" si="6"/>
        <v>30200</v>
      </c>
      <c r="J41" s="167">
        <f t="shared" si="7"/>
        <v>6.8418869380449015E-3</v>
      </c>
      <c r="K41" s="458"/>
      <c r="L41" s="163"/>
      <c r="M41" s="163"/>
      <c r="O41" s="324">
        <f t="shared" si="8"/>
        <v>1.9635890767230169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'[11]Sch C'!D22</f>
        <v>0</v>
      </c>
      <c r="D42" s="480">
        <f>'[11]Sch C'!F22</f>
        <v>0</v>
      </c>
      <c r="E42" s="480">
        <f>+'[11]Sch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'[11]Sch C'!D23</f>
        <v>15468</v>
      </c>
      <c r="D43" s="480">
        <f>'[11]Sch C'!F23</f>
        <v>0</v>
      </c>
      <c r="E43" s="480">
        <f>+'[11]Sch C'!H23</f>
        <v>0</v>
      </c>
      <c r="F43" s="166">
        <f t="shared" si="5"/>
        <v>15468</v>
      </c>
      <c r="G43" s="626"/>
      <c r="H43" s="166"/>
      <c r="I43" s="166">
        <f t="shared" si="6"/>
        <v>15468</v>
      </c>
      <c r="J43" s="167">
        <f t="shared" si="7"/>
        <v>3.5043148065456468E-3</v>
      </c>
      <c r="K43" s="458"/>
      <c r="L43" s="163"/>
      <c r="M43" s="163"/>
      <c r="O43" s="324">
        <f t="shared" si="8"/>
        <v>1.0057217165149546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'[11]Sch C'!D24</f>
        <v>1723</v>
      </c>
      <c r="D44" s="480">
        <f>'[11]Sch C'!F24</f>
        <v>0</v>
      </c>
      <c r="E44" s="480">
        <f>+'[11]Sch C'!H24</f>
        <v>0</v>
      </c>
      <c r="F44" s="166">
        <f t="shared" si="5"/>
        <v>1723</v>
      </c>
      <c r="G44" s="626"/>
      <c r="H44" s="166"/>
      <c r="I44" s="166">
        <f t="shared" si="6"/>
        <v>1723</v>
      </c>
      <c r="J44" s="167">
        <f t="shared" si="7"/>
        <v>3.9035003954474717E-4</v>
      </c>
      <c r="K44" s="458"/>
      <c r="L44" s="163"/>
      <c r="M44" s="163"/>
      <c r="O44" s="324">
        <f t="shared" si="8"/>
        <v>0.11202860858257477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'[11]Sch C'!D25</f>
        <v>0</v>
      </c>
      <c r="D45" s="480">
        <f>'[11]Sch C'!F25</f>
        <v>0</v>
      </c>
      <c r="E45" s="480">
        <f>+'[11]Sch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'[11]Sch C'!D26</f>
        <v>254373</v>
      </c>
      <c r="D46" s="480">
        <f>'[11]Sch C'!F26</f>
        <v>0</v>
      </c>
      <c r="E46" s="480">
        <f>+'[11]Sch C'!H26</f>
        <v>0</v>
      </c>
      <c r="F46" s="166">
        <f t="shared" si="5"/>
        <v>254373</v>
      </c>
      <c r="G46" s="626"/>
      <c r="H46" s="166"/>
      <c r="I46" s="166">
        <f t="shared" si="6"/>
        <v>254373</v>
      </c>
      <c r="J46" s="167">
        <f t="shared" si="7"/>
        <v>5.762885119507602E-2</v>
      </c>
      <c r="K46" s="458"/>
      <c r="L46" s="163"/>
      <c r="M46" s="163"/>
      <c r="O46" s="324">
        <f t="shared" si="8"/>
        <v>16.539206762028609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'[11]Sch C'!D27</f>
        <v>0</v>
      </c>
      <c r="D47" s="480">
        <f>'[11]Sch C'!F27</f>
        <v>0</v>
      </c>
      <c r="E47" s="480">
        <f>+'[11]Sch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'[11]Sch C'!D28</f>
        <v>0</v>
      </c>
      <c r="D48" s="480">
        <f>'[11]Sch C'!F28</f>
        <v>0</v>
      </c>
      <c r="E48" s="480">
        <f>+'[11]Sch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'[11]Sch C'!D29</f>
        <v>435974</v>
      </c>
      <c r="D49" s="480">
        <f>'[11]Sch C'!F29</f>
        <v>-435974</v>
      </c>
      <c r="E49" s="480">
        <f>+'[11]Sch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'[11]Sch C'!D30</f>
        <v>0</v>
      </c>
      <c r="D50" s="480">
        <f>'[11]Sch C'!F30</f>
        <v>0</v>
      </c>
      <c r="E50" s="480">
        <f>+'[11]Sch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'[11]Sch C'!D31</f>
        <v>32856</v>
      </c>
      <c r="D51" s="480">
        <f>'[11]Sch C'!F31</f>
        <v>0</v>
      </c>
      <c r="E51" s="480">
        <f>+'[11]Sch C'!H31</f>
        <v>0</v>
      </c>
      <c r="F51" s="166">
        <f t="shared" si="5"/>
        <v>32856</v>
      </c>
      <c r="G51" s="626"/>
      <c r="H51" s="166"/>
      <c r="I51" s="166">
        <f t="shared" si="6"/>
        <v>32856</v>
      </c>
      <c r="J51" s="167">
        <f t="shared" si="7"/>
        <v>7.4436105045166652E-3</v>
      </c>
      <c r="K51" s="458"/>
      <c r="L51" s="163"/>
      <c r="M51" s="163"/>
      <c r="O51" s="324">
        <f t="shared" si="8"/>
        <v>2.1362808842652794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'[11]Sch C'!D32</f>
        <v>17173</v>
      </c>
      <c r="D52" s="480">
        <f>'[11]Sch C'!F32</f>
        <v>0</v>
      </c>
      <c r="E52" s="480">
        <f>+'[11]Sch C'!H32</f>
        <v>0</v>
      </c>
      <c r="F52" s="166">
        <f t="shared" si="5"/>
        <v>17173</v>
      </c>
      <c r="G52" s="626"/>
      <c r="H52" s="166"/>
      <c r="I52" s="166">
        <f t="shared" si="6"/>
        <v>17173</v>
      </c>
      <c r="J52" s="167">
        <f t="shared" si="7"/>
        <v>3.8905869002332813E-3</v>
      </c>
      <c r="K52" s="458"/>
      <c r="L52" s="163"/>
      <c r="M52" s="163"/>
      <c r="O52" s="324">
        <f t="shared" si="8"/>
        <v>1.1165799739921975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'[11]Sch C'!D33</f>
        <v>0</v>
      </c>
      <c r="D53" s="480">
        <f>'[11]Sch C'!F33</f>
        <v>0</v>
      </c>
      <c r="E53" s="480">
        <f>+'[11]Sch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'[11]Sch C'!D34</f>
        <v>0</v>
      </c>
      <c r="D54" s="480">
        <f>'[11]Sch C'!F34</f>
        <v>0</v>
      </c>
      <c r="E54" s="480">
        <f>+'[11]Sch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'[11]Sch C'!D35</f>
        <v>0</v>
      </c>
      <c r="D55" s="480">
        <f>'[11]Sch C'!F35</f>
        <v>0</v>
      </c>
      <c r="E55" s="480">
        <f>+'[11]Sch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'[11]Sch C'!D36</f>
        <v>18196</v>
      </c>
      <c r="D56" s="480">
        <f>'[11]Sch C'!F36</f>
        <v>0</v>
      </c>
      <c r="E56" s="480">
        <f>+'[11]Sch C'!H36</f>
        <v>0</v>
      </c>
      <c r="F56" s="166">
        <f t="shared" si="5"/>
        <v>18196</v>
      </c>
      <c r="G56" s="626"/>
      <c r="H56" s="166"/>
      <c r="I56" s="166">
        <f t="shared" si="6"/>
        <v>18196</v>
      </c>
      <c r="J56" s="167">
        <f t="shared" si="7"/>
        <v>4.1223501564458618E-3</v>
      </c>
      <c r="K56" s="458"/>
      <c r="L56" s="176">
        <v>0</v>
      </c>
      <c r="M56" s="176">
        <v>0</v>
      </c>
      <c r="O56" s="324">
        <f t="shared" si="8"/>
        <v>1.1830949284785435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'[11]Sch C'!D37</f>
        <v>0</v>
      </c>
      <c r="D57" s="480">
        <f>'[11]Sch C'!F37</f>
        <v>0</v>
      </c>
      <c r="E57" s="480">
        <f>+'[11]Sch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'[11]Sch C'!D38</f>
        <v>0</v>
      </c>
      <c r="D58" s="480">
        <f>'[11]Sch C'!F38</f>
        <v>0</v>
      </c>
      <c r="E58" s="480">
        <f>+'[11]Sch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'[11]Sch C'!D39</f>
        <v>3309</v>
      </c>
      <c r="D59" s="480">
        <f>'[11]Sch C'!F39</f>
        <v>0</v>
      </c>
      <c r="E59" s="480">
        <f>+'[11]Sch C'!H39</f>
        <v>190</v>
      </c>
      <c r="F59" s="166">
        <f t="shared" si="5"/>
        <v>3499</v>
      </c>
      <c r="G59" s="626"/>
      <c r="H59" s="166"/>
      <c r="I59" s="166">
        <f t="shared" si="6"/>
        <v>3499</v>
      </c>
      <c r="J59" s="167">
        <f t="shared" si="7"/>
        <v>7.9270736411321552E-4</v>
      </c>
      <c r="K59" s="458"/>
      <c r="L59" s="163"/>
      <c r="M59" s="163"/>
      <c r="O59" s="324">
        <f t="shared" si="8"/>
        <v>0.22750325097529259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'[11]Sch C'!D40</f>
        <v>0</v>
      </c>
      <c r="D60" s="480">
        <f>'[11]Sch C'!F40</f>
        <v>0</v>
      </c>
      <c r="E60" s="480">
        <f>+'[11]Sch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'[11]Sch C'!D41</f>
        <v>20074</v>
      </c>
      <c r="D61" s="480">
        <f>'[11]Sch C'!F41</f>
        <v>0</v>
      </c>
      <c r="E61" s="480">
        <f>+'[11]Sch C'!H41</f>
        <v>0</v>
      </c>
      <c r="F61" s="166">
        <f t="shared" si="5"/>
        <v>20074</v>
      </c>
      <c r="G61" s="626"/>
      <c r="H61" s="166"/>
      <c r="I61" s="166">
        <f t="shared" si="6"/>
        <v>20074</v>
      </c>
      <c r="J61" s="167">
        <f t="shared" si="7"/>
        <v>4.5478158408713033E-3</v>
      </c>
      <c r="K61" s="458"/>
      <c r="L61" s="163"/>
      <c r="M61" s="163"/>
      <c r="O61" s="324">
        <f t="shared" si="8"/>
        <v>1.3052015604681404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'[11]Sch C'!D42</f>
        <v>4159</v>
      </c>
      <c r="D62" s="480">
        <f>'[11]Sch C'!F42</f>
        <v>0</v>
      </c>
      <c r="E62" s="480">
        <f>+'[11]Sch C'!H42</f>
        <v>0</v>
      </c>
      <c r="F62" s="166">
        <f t="shared" si="5"/>
        <v>4159</v>
      </c>
      <c r="G62" s="626"/>
      <c r="H62" s="166"/>
      <c r="I62" s="166">
        <f t="shared" si="6"/>
        <v>4159</v>
      </c>
      <c r="J62" s="167">
        <f t="shared" si="7"/>
        <v>9.4223204554068688E-4</v>
      </c>
      <c r="K62" s="458"/>
      <c r="L62" s="163"/>
      <c r="M62" s="163"/>
      <c r="O62" s="324">
        <f t="shared" si="8"/>
        <v>0.27041612483745125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'[11]Sch C'!D43</f>
        <v>6868</v>
      </c>
      <c r="D63" s="480">
        <f>'[11]Sch C'!F43</f>
        <v>-6868</v>
      </c>
      <c r="E63" s="480">
        <f>+'[11]Sch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'[11]Sch C'!D44</f>
        <v>0</v>
      </c>
      <c r="D64" s="480">
        <f>'[11]Sch C'!F44</f>
        <v>0</v>
      </c>
      <c r="E64" s="480">
        <f>+'[11]Sch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'[11]Sch C'!D45</f>
        <v>11398</v>
      </c>
      <c r="D65" s="480">
        <f>'[11]Sch C'!F45</f>
        <v>-4912</v>
      </c>
      <c r="E65" s="480">
        <f>+'[11]Sch C'!H45</f>
        <v>0</v>
      </c>
      <c r="F65" s="166">
        <f t="shared" si="5"/>
        <v>6486</v>
      </c>
      <c r="G65" s="626">
        <v>-3866</v>
      </c>
      <c r="H65" s="166"/>
      <c r="I65" s="166">
        <f t="shared" si="6"/>
        <v>2620</v>
      </c>
      <c r="J65" s="167">
        <f t="shared" si="7"/>
        <v>5.9356767475753785E-4</v>
      </c>
      <c r="K65" s="458" t="s">
        <v>635</v>
      </c>
      <c r="L65" s="163"/>
      <c r="M65" s="163"/>
      <c r="O65" s="324">
        <f t="shared" si="8"/>
        <v>0.17035110533159947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1764074</v>
      </c>
      <c r="D66" s="480">
        <f t="shared" si="9"/>
        <v>-447787</v>
      </c>
      <c r="E66" s="480">
        <f t="shared" si="9"/>
        <v>-490565</v>
      </c>
      <c r="F66" s="166">
        <f t="shared" ref="F66:I66" si="10">SUM(F30:F65)</f>
        <v>825722</v>
      </c>
      <c r="G66" s="166">
        <f t="shared" si="10"/>
        <v>-3866</v>
      </c>
      <c r="H66" s="166">
        <f t="shared" si="10"/>
        <v>-19140</v>
      </c>
      <c r="I66" s="166">
        <f t="shared" si="10"/>
        <v>802716</v>
      </c>
      <c r="J66" s="178">
        <f t="shared" si="7"/>
        <v>0.18185735481323348</v>
      </c>
      <c r="K66" s="465"/>
      <c r="L66" s="163"/>
      <c r="M66" s="163"/>
      <c r="O66" s="329">
        <f>I66/I$233</f>
        <v>52.19219765929779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'[11]Sch C'!D57</f>
        <v>492756</v>
      </c>
      <c r="D69" s="480">
        <f>'[11]Sch C'!F57</f>
        <v>0</v>
      </c>
      <c r="E69" s="480">
        <f>+'[11]Sch C'!H57</f>
        <v>-492756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'[11]Sch C'!D58</f>
        <v>0</v>
      </c>
      <c r="D70" s="480">
        <f>'[11]Sch C'!F58</f>
        <v>0</v>
      </c>
      <c r="E70" s="480">
        <f>+'[11]Sch C'!H58</f>
        <v>198684</v>
      </c>
      <c r="F70" s="166">
        <f t="shared" ref="F70:F83" si="13">C70+D70+E70</f>
        <v>198684</v>
      </c>
      <c r="G70" s="626"/>
      <c r="H70" s="166"/>
      <c r="I70" s="166">
        <f t="shared" ref="I70:I83" si="14">F70+G70+H70</f>
        <v>198684</v>
      </c>
      <c r="J70" s="167">
        <f t="shared" si="11"/>
        <v>4.5012366370811692E-2</v>
      </c>
      <c r="K70" s="458"/>
      <c r="L70" s="182"/>
      <c r="M70" s="163"/>
      <c r="O70" s="324">
        <f t="shared" si="12"/>
        <v>12.918335500650196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'[11]Sch C'!D59</f>
        <v>0</v>
      </c>
      <c r="D71" s="480">
        <f>'[11]Sch C'!F59</f>
        <v>0</v>
      </c>
      <c r="E71" s="480">
        <f>+'[11]Sch C'!H59</f>
        <v>198270</v>
      </c>
      <c r="F71" s="166">
        <f t="shared" si="13"/>
        <v>198270</v>
      </c>
      <c r="G71" s="626"/>
      <c r="H71" s="626">
        <v>-5670</v>
      </c>
      <c r="I71" s="166">
        <f t="shared" si="14"/>
        <v>192600</v>
      </c>
      <c r="J71" s="167">
        <f t="shared" si="11"/>
        <v>4.3634020671107547E-2</v>
      </c>
      <c r="K71" s="458"/>
      <c r="L71" s="182"/>
      <c r="M71" s="163"/>
      <c r="O71" s="324">
        <f t="shared" si="12"/>
        <v>12.522756827048115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'[11]Sch C'!D60</f>
        <v>25200</v>
      </c>
      <c r="D72" s="480">
        <f>'[11]Sch C'!F60</f>
        <v>0</v>
      </c>
      <c r="E72" s="480">
        <f>+'[11]Sch C'!H60</f>
        <v>0</v>
      </c>
      <c r="F72" s="166">
        <f t="shared" si="13"/>
        <v>25200</v>
      </c>
      <c r="G72" s="626"/>
      <c r="H72" s="166"/>
      <c r="I72" s="166">
        <f t="shared" si="14"/>
        <v>25200</v>
      </c>
      <c r="J72" s="167">
        <f t="shared" si="11"/>
        <v>5.7091241999579975E-3</v>
      </c>
      <c r="K72" s="458"/>
      <c r="L72" s="185"/>
      <c r="M72" s="163"/>
      <c r="O72" s="324">
        <f t="shared" si="12"/>
        <v>1.6384915474642392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'[11]Sch C'!D61</f>
        <v>8692</v>
      </c>
      <c r="D73" s="480">
        <f>'[11]Sch C'!F61</f>
        <v>0</v>
      </c>
      <c r="E73" s="480">
        <f>+'[11]Sch C'!H61</f>
        <v>0</v>
      </c>
      <c r="F73" s="166">
        <f t="shared" si="13"/>
        <v>8692</v>
      </c>
      <c r="G73" s="626"/>
      <c r="H73" s="166"/>
      <c r="I73" s="166">
        <f t="shared" si="14"/>
        <v>8692</v>
      </c>
      <c r="J73" s="167">
        <f t="shared" si="11"/>
        <v>1.9691947438902741E-3</v>
      </c>
      <c r="K73" s="458"/>
      <c r="L73" s="185"/>
      <c r="M73" s="163"/>
      <c r="O73" s="324">
        <f t="shared" si="12"/>
        <v>0.56514954486345903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'[11]Sch C'!D62</f>
        <v>0</v>
      </c>
      <c r="D74" s="480">
        <f>'[11]Sch C'!F62</f>
        <v>0</v>
      </c>
      <c r="E74" s="480">
        <f>+'[11]Sch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'[11]Sch C'!D63</f>
        <v>0</v>
      </c>
      <c r="D75" s="480">
        <f>'[11]Sch C'!F63</f>
        <v>0</v>
      </c>
      <c r="E75" s="480">
        <f>+'[11]Sch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'[11]Sch C'!D64</f>
        <v>0</v>
      </c>
      <c r="D76" s="480">
        <f>'[11]Sch C'!F64</f>
        <v>0</v>
      </c>
      <c r="E76" s="480">
        <f>+'[11]Sch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'[11]Sch C'!D65</f>
        <v>0</v>
      </c>
      <c r="D77" s="480">
        <f>'[11]Sch C'!F65</f>
        <v>0</v>
      </c>
      <c r="E77" s="480">
        <f>+'[11]Sch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'[11]Sch C'!D66</f>
        <v>0</v>
      </c>
      <c r="D78" s="480">
        <f>'[11]Sch C'!F66</f>
        <v>0</v>
      </c>
      <c r="E78" s="480">
        <f>+'[11]Sch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'[11]Sch C'!D67</f>
        <v>0</v>
      </c>
      <c r="D79" s="480">
        <f>'[11]Sch C'!F67</f>
        <v>0</v>
      </c>
      <c r="E79" s="480">
        <f>+'[11]Sch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'[11]Sch C'!D68</f>
        <v>0</v>
      </c>
      <c r="D80" s="480">
        <f>'[11]Sch C'!F68</f>
        <v>0</v>
      </c>
      <c r="E80" s="480">
        <f>+'[11]Sch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'[11]Sch C'!D69</f>
        <v>2813</v>
      </c>
      <c r="D81" s="480">
        <f>'[11]Sch C'!F69</f>
        <v>0</v>
      </c>
      <c r="E81" s="480">
        <f>+'[11]Sch C'!H69</f>
        <v>0</v>
      </c>
      <c r="F81" s="166">
        <f t="shared" si="13"/>
        <v>2813</v>
      </c>
      <c r="G81" s="626"/>
      <c r="H81" s="166"/>
      <c r="I81" s="166">
        <f t="shared" si="14"/>
        <v>2813</v>
      </c>
      <c r="J81" s="167">
        <f t="shared" si="11"/>
        <v>6.3729231644769229E-4</v>
      </c>
      <c r="K81" s="458"/>
      <c r="L81" s="187"/>
      <c r="M81" s="163"/>
      <c r="O81" s="324">
        <f t="shared" si="12"/>
        <v>0.18289986996098831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'[11]Sch C'!D70</f>
        <v>0</v>
      </c>
      <c r="D82" s="480">
        <f>'[11]Sch C'!F70</f>
        <v>0</v>
      </c>
      <c r="E82" s="480">
        <f>+'[11]Sch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'[11]Sch C'!D71</f>
        <v>0</v>
      </c>
      <c r="D83" s="480">
        <f>'[11]Sch C'!F71</f>
        <v>0</v>
      </c>
      <c r="E83" s="480">
        <f>+'[11]Sch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529461</v>
      </c>
      <c r="D84" s="480">
        <f t="shared" si="15"/>
        <v>0</v>
      </c>
      <c r="E84" s="480">
        <f t="shared" si="15"/>
        <v>-95802</v>
      </c>
      <c r="F84" s="166">
        <f t="shared" ref="F84:I84" si="16">SUM(F69:F83)</f>
        <v>433659</v>
      </c>
      <c r="G84" s="166">
        <f t="shared" si="16"/>
        <v>0</v>
      </c>
      <c r="H84" s="166">
        <f t="shared" si="16"/>
        <v>-5670</v>
      </c>
      <c r="I84" s="166">
        <f t="shared" si="16"/>
        <v>427989</v>
      </c>
      <c r="J84" s="167">
        <f t="shared" si="11"/>
        <v>9.6961998302215205E-2</v>
      </c>
      <c r="K84" s="458"/>
      <c r="L84" s="187"/>
      <c r="M84" s="163"/>
      <c r="O84" s="324">
        <f t="shared" si="12"/>
        <v>27.827633289986995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'[11]Sch C'!D75</f>
        <v>45239</v>
      </c>
      <c r="D87" s="480">
        <f>'[11]Sch C'!F75</f>
        <v>0</v>
      </c>
      <c r="E87" s="480">
        <f>+'[11]Sch C'!H75</f>
        <v>0</v>
      </c>
      <c r="F87" s="166">
        <f t="shared" ref="F87:F97" si="17">C87+D87+E87</f>
        <v>45239</v>
      </c>
      <c r="G87" s="626"/>
      <c r="H87" s="166"/>
      <c r="I87" s="166">
        <f t="shared" ref="I87:I97" si="18">F87+G87+H87</f>
        <v>45239</v>
      </c>
      <c r="J87" s="167">
        <f t="shared" ref="J87:J98" si="19">IF($I$213=0,0,I87/$I$213)</f>
        <v>1.0249010701662693E-2</v>
      </c>
      <c r="K87" s="458"/>
      <c r="L87" s="176">
        <v>4628</v>
      </c>
      <c r="M87" s="176">
        <v>4877</v>
      </c>
      <c r="O87" s="324">
        <f t="shared" ref="O87:O97" si="20">I87/I$233</f>
        <v>2.9414174252275682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'[11]Sch C'!D76</f>
        <v>9150</v>
      </c>
      <c r="D88" s="480">
        <f>'[11]Sch C'!F76</f>
        <v>0</v>
      </c>
      <c r="E88" s="480">
        <f>+'[11]Sch C'!H76</f>
        <v>0</v>
      </c>
      <c r="F88" s="166">
        <f t="shared" si="17"/>
        <v>9150</v>
      </c>
      <c r="G88" s="626"/>
      <c r="H88" s="166"/>
      <c r="I88" s="166">
        <f t="shared" si="18"/>
        <v>9150</v>
      </c>
      <c r="J88" s="167">
        <f t="shared" si="19"/>
        <v>2.0729558106990348E-3</v>
      </c>
      <c r="K88" s="458"/>
      <c r="L88" s="163"/>
      <c r="M88" s="163"/>
      <c r="O88" s="324">
        <f t="shared" si="20"/>
        <v>0.59492847854356312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'[11]Sch C'!D77</f>
        <v>20948</v>
      </c>
      <c r="D89" s="480">
        <f>'[11]Sch C'!F77</f>
        <v>0</v>
      </c>
      <c r="E89" s="480">
        <f>+'[11]Sch C'!H77</f>
        <v>0</v>
      </c>
      <c r="F89" s="166">
        <f t="shared" si="17"/>
        <v>20948</v>
      </c>
      <c r="G89" s="626"/>
      <c r="H89" s="166"/>
      <c r="I89" s="166">
        <f t="shared" si="18"/>
        <v>20948</v>
      </c>
      <c r="J89" s="167">
        <f t="shared" si="19"/>
        <v>4.7458227674888939E-3</v>
      </c>
      <c r="K89" s="458"/>
      <c r="L89" s="163"/>
      <c r="M89" s="163"/>
      <c r="O89" s="324">
        <f t="shared" si="20"/>
        <v>1.3620286085825748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'[11]Sch C'!D78</f>
        <v>32632</v>
      </c>
      <c r="D90" s="480">
        <f>'[11]Sch C'!F78</f>
        <v>0</v>
      </c>
      <c r="E90" s="480">
        <f>+'[11]Sch C'!H78</f>
        <v>0</v>
      </c>
      <c r="F90" s="166">
        <f t="shared" si="17"/>
        <v>32632</v>
      </c>
      <c r="G90" s="626">
        <f>-23376+31232</f>
        <v>7856</v>
      </c>
      <c r="H90" s="166"/>
      <c r="I90" s="166">
        <f t="shared" si="18"/>
        <v>40488</v>
      </c>
      <c r="J90" s="167">
        <f t="shared" si="19"/>
        <v>9.172659547932515E-3</v>
      </c>
      <c r="K90" s="458"/>
      <c r="L90" s="163"/>
      <c r="M90" s="163"/>
      <c r="O90" s="324">
        <f t="shared" si="20"/>
        <v>2.6325097529258779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'[11]Sch C'!D79</f>
        <v>9256</v>
      </c>
      <c r="D91" s="480">
        <f>'[11]Sch C'!F79</f>
        <v>0</v>
      </c>
      <c r="E91" s="480">
        <f>+'[11]Sch C'!H79</f>
        <v>0</v>
      </c>
      <c r="F91" s="166">
        <f t="shared" si="17"/>
        <v>9256</v>
      </c>
      <c r="G91" s="626">
        <f>4934+908</f>
        <v>5842</v>
      </c>
      <c r="H91" s="166"/>
      <c r="I91" s="166">
        <f t="shared" si="18"/>
        <v>15098</v>
      </c>
      <c r="J91" s="167">
        <f t="shared" si="19"/>
        <v>3.420490363927216E-3</v>
      </c>
      <c r="K91" s="458"/>
      <c r="L91" s="163"/>
      <c r="M91" s="163"/>
      <c r="O91" s="324">
        <f t="shared" si="20"/>
        <v>0.98166449934980493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'[11]Sch C'!D80</f>
        <v>14190</v>
      </c>
      <c r="D92" s="480">
        <f>'[11]Sch C'!F80</f>
        <v>0</v>
      </c>
      <c r="E92" s="480">
        <f>+'[11]Sch C'!H80</f>
        <v>0</v>
      </c>
      <c r="F92" s="166">
        <f t="shared" si="17"/>
        <v>14190</v>
      </c>
      <c r="G92" s="626">
        <v>18442</v>
      </c>
      <c r="H92" s="166"/>
      <c r="I92" s="166">
        <f t="shared" si="18"/>
        <v>32632</v>
      </c>
      <c r="J92" s="167">
        <f t="shared" si="19"/>
        <v>7.3928627338503711E-3</v>
      </c>
      <c r="K92" s="458"/>
      <c r="L92" s="163"/>
      <c r="M92" s="163"/>
      <c r="O92" s="324">
        <f t="shared" si="20"/>
        <v>2.1217165149544863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'[11]Sch C'!D81</f>
        <v>9670</v>
      </c>
      <c r="D93" s="480">
        <f>'[11]Sch C'!F81</f>
        <v>0</v>
      </c>
      <c r="E93" s="480">
        <f>+'[11]Sch C'!H81</f>
        <v>0</v>
      </c>
      <c r="F93" s="166">
        <f t="shared" si="17"/>
        <v>9670</v>
      </c>
      <c r="G93" s="626"/>
      <c r="H93" s="166"/>
      <c r="I93" s="166">
        <f t="shared" si="18"/>
        <v>9670</v>
      </c>
      <c r="J93" s="167">
        <f t="shared" si="19"/>
        <v>2.1907631354600729E-3</v>
      </c>
      <c r="K93" s="458"/>
      <c r="L93" s="163"/>
      <c r="M93" s="163"/>
      <c r="O93" s="324">
        <f t="shared" si="20"/>
        <v>0.62873862158647598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'[11]Sch C'!D82</f>
        <v>8738</v>
      </c>
      <c r="D94" s="480">
        <f>'[11]Sch C'!F82</f>
        <v>0</v>
      </c>
      <c r="E94" s="480">
        <f>+'[11]Sch C'!H82</f>
        <v>0</v>
      </c>
      <c r="F94" s="166">
        <f t="shared" si="17"/>
        <v>8738</v>
      </c>
      <c r="G94" s="626"/>
      <c r="H94" s="166"/>
      <c r="I94" s="166">
        <f t="shared" si="18"/>
        <v>8738</v>
      </c>
      <c r="J94" s="167">
        <f t="shared" si="19"/>
        <v>1.979616161080674E-3</v>
      </c>
      <c r="K94" s="458"/>
      <c r="L94" s="163"/>
      <c r="M94" s="163"/>
      <c r="O94" s="324">
        <f t="shared" si="20"/>
        <v>0.56814044213263981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'[11]Sch C'!D83</f>
        <v>230</v>
      </c>
      <c r="D95" s="480">
        <f>'[11]Sch C'!F83</f>
        <v>0</v>
      </c>
      <c r="E95" s="480">
        <f>+'[11]Sch C'!H83</f>
        <v>0</v>
      </c>
      <c r="F95" s="166">
        <f t="shared" si="17"/>
        <v>230</v>
      </c>
      <c r="G95" s="626"/>
      <c r="H95" s="166"/>
      <c r="I95" s="166">
        <f t="shared" si="18"/>
        <v>230</v>
      </c>
      <c r="J95" s="167">
        <f t="shared" si="19"/>
        <v>5.2107085951997596E-5</v>
      </c>
      <c r="K95" s="458"/>
      <c r="L95" s="163"/>
      <c r="M95" s="163"/>
      <c r="O95" s="324">
        <f t="shared" si="20"/>
        <v>1.495448634590377E-2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'[11]Sch C'!D84</f>
        <v>53068</v>
      </c>
      <c r="D96" s="480">
        <f>'[11]Sch C'!F84</f>
        <v>0</v>
      </c>
      <c r="E96" s="480">
        <f>+'[11]Sch C'!H84</f>
        <v>0</v>
      </c>
      <c r="F96" s="166">
        <f t="shared" si="17"/>
        <v>53068</v>
      </c>
      <c r="G96" s="626"/>
      <c r="H96" s="166"/>
      <c r="I96" s="166">
        <f t="shared" si="18"/>
        <v>53068</v>
      </c>
      <c r="J96" s="167">
        <f t="shared" si="19"/>
        <v>1.2022690596959167E-2</v>
      </c>
      <c r="K96" s="458"/>
      <c r="L96" s="163"/>
      <c r="M96" s="163"/>
      <c r="O96" s="324">
        <f t="shared" si="20"/>
        <v>3.4504551365409624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'[11]Sch C'!D85</f>
        <v>0</v>
      </c>
      <c r="D97" s="480">
        <f>'[11]Sch C'!F85</f>
        <v>0</v>
      </c>
      <c r="E97" s="480">
        <f>+'[11]Sch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203121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203121</v>
      </c>
      <c r="G98" s="166">
        <f t="shared" si="22"/>
        <v>32140</v>
      </c>
      <c r="H98" s="166">
        <f t="shared" si="22"/>
        <v>0</v>
      </c>
      <c r="I98" s="166">
        <f t="shared" si="22"/>
        <v>235261</v>
      </c>
      <c r="J98" s="167">
        <f t="shared" si="19"/>
        <v>5.3298978905012631E-2</v>
      </c>
      <c r="K98" s="458"/>
      <c r="L98" s="163"/>
      <c r="M98" s="163"/>
      <c r="O98" s="329">
        <f>I98/I$233</f>
        <v>15.296553966189856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'[11]Sch C'!D89</f>
        <v>155553</v>
      </c>
      <c r="D101" s="480">
        <f>'[11]Sch C'!F89</f>
        <v>0</v>
      </c>
      <c r="E101" s="480">
        <f>+'[11]Sch C'!H89</f>
        <v>0</v>
      </c>
      <c r="F101" s="166">
        <f t="shared" ref="F101:F106" si="23">C101+D101+E101</f>
        <v>155553</v>
      </c>
      <c r="G101" s="626"/>
      <c r="H101" s="166"/>
      <c r="I101" s="166">
        <f t="shared" ref="I101:I106" si="24">F101+G101+H101</f>
        <v>155553</v>
      </c>
      <c r="J101" s="167">
        <f t="shared" ref="J101:J107" si="25">IF($I$213=0,0,I101/$I$213)</f>
        <v>3.5240928439526441E-2</v>
      </c>
      <c r="K101" s="458"/>
      <c r="L101" s="176">
        <v>12825</v>
      </c>
      <c r="M101" s="176">
        <v>13558</v>
      </c>
      <c r="O101" s="329">
        <f t="shared" ref="O101:O106" si="26">I101/I$233</f>
        <v>10.113979193758128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'[11]Sch C'!D90</f>
        <v>22049</v>
      </c>
      <c r="D102" s="480">
        <f>'[11]Sch C'!F90</f>
        <v>0</v>
      </c>
      <c r="E102" s="480">
        <f>+'[11]Sch C'!H90</f>
        <v>0</v>
      </c>
      <c r="F102" s="166">
        <f t="shared" si="23"/>
        <v>22049</v>
      </c>
      <c r="G102" s="626"/>
      <c r="H102" s="166"/>
      <c r="I102" s="166">
        <f t="shared" si="24"/>
        <v>22049</v>
      </c>
      <c r="J102" s="167">
        <f t="shared" si="25"/>
        <v>4.9952571224156301E-3</v>
      </c>
      <c r="K102" s="458"/>
      <c r="L102" s="163"/>
      <c r="M102" s="163"/>
      <c r="O102" s="329">
        <f t="shared" si="26"/>
        <v>1.4336150845253577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'[11]Sch C'!D91</f>
        <v>14166</v>
      </c>
      <c r="D103" s="480">
        <f>'[11]Sch C'!F91</f>
        <v>0</v>
      </c>
      <c r="E103" s="480">
        <f>+'[11]Sch C'!H91</f>
        <v>0</v>
      </c>
      <c r="F103" s="166">
        <f t="shared" si="23"/>
        <v>14166</v>
      </c>
      <c r="G103" s="626">
        <v>-908</v>
      </c>
      <c r="H103" s="166"/>
      <c r="I103" s="166">
        <f t="shared" si="24"/>
        <v>13258</v>
      </c>
      <c r="J103" s="167">
        <f t="shared" si="25"/>
        <v>3.0036336763112352E-3</v>
      </c>
      <c r="K103" s="458"/>
      <c r="L103" s="163"/>
      <c r="M103" s="163"/>
      <c r="O103" s="329">
        <f t="shared" si="26"/>
        <v>0.8620286085825748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'[11]Sch C'!D92</f>
        <v>109339</v>
      </c>
      <c r="D104" s="480">
        <f>'[11]Sch C'!F92</f>
        <v>0</v>
      </c>
      <c r="E104" s="480">
        <f>+'[11]Sch C'!H92</f>
        <v>0</v>
      </c>
      <c r="F104" s="166">
        <f t="shared" si="23"/>
        <v>109339</v>
      </c>
      <c r="G104" s="626"/>
      <c r="H104" s="166"/>
      <c r="I104" s="166">
        <f t="shared" si="24"/>
        <v>109339</v>
      </c>
      <c r="J104" s="167">
        <f t="shared" si="25"/>
        <v>2.4771029003936802E-2</v>
      </c>
      <c r="K104" s="458"/>
      <c r="L104" s="163"/>
      <c r="M104" s="163"/>
      <c r="O104" s="329">
        <f t="shared" si="26"/>
        <v>7.1091677503250974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'[11]Sch C'!D93</f>
        <v>12554</v>
      </c>
      <c r="D105" s="480">
        <f>'[11]Sch C'!F93</f>
        <v>0</v>
      </c>
      <c r="E105" s="480">
        <f>+'[11]Sch C'!H93</f>
        <v>0</v>
      </c>
      <c r="F105" s="166">
        <f t="shared" si="23"/>
        <v>12554</v>
      </c>
      <c r="G105" s="626"/>
      <c r="H105" s="166"/>
      <c r="I105" s="166">
        <f t="shared" si="24"/>
        <v>12554</v>
      </c>
      <c r="J105" s="167">
        <f t="shared" si="25"/>
        <v>2.8441406827885989E-3</v>
      </c>
      <c r="K105" s="458"/>
      <c r="L105" s="163"/>
      <c r="M105" s="163"/>
      <c r="O105" s="329">
        <f t="shared" si="26"/>
        <v>0.81625487646293893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'[11]Sch C'!D94</f>
        <v>0</v>
      </c>
      <c r="D106" s="480">
        <f>'[11]Sch C'!F94</f>
        <v>0</v>
      </c>
      <c r="E106" s="480">
        <f>+'[11]Sch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313661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313661</v>
      </c>
      <c r="G107" s="166">
        <f t="shared" si="28"/>
        <v>-908</v>
      </c>
      <c r="H107" s="166">
        <f t="shared" si="28"/>
        <v>0</v>
      </c>
      <c r="I107" s="166">
        <f t="shared" si="28"/>
        <v>312753</v>
      </c>
      <c r="J107" s="167">
        <f t="shared" si="25"/>
        <v>7.0854988924978712E-2</v>
      </c>
      <c r="K107" s="458"/>
      <c r="L107" s="163"/>
      <c r="M107" s="163"/>
      <c r="O107" s="329">
        <f>I107/I$233</f>
        <v>20.335045513654098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'[11]Sch C'!D98</f>
        <v>4387</v>
      </c>
      <c r="D110" s="480">
        <f>'[11]Sch C'!F98</f>
        <v>0</v>
      </c>
      <c r="E110" s="480">
        <f>+'[11]Sch C'!H98</f>
        <v>0</v>
      </c>
      <c r="F110" s="166">
        <f t="shared" ref="F110:F115" si="29">C110+D110+E110</f>
        <v>4387</v>
      </c>
      <c r="G110" s="626"/>
      <c r="H110" s="166"/>
      <c r="I110" s="166">
        <f t="shared" ref="I110:I115" si="30">F110+G110+H110</f>
        <v>4387</v>
      </c>
      <c r="J110" s="167">
        <f t="shared" ref="J110:J116" si="31">IF($I$213=0,0,I110/$I$213)</f>
        <v>9.938860263974498E-4</v>
      </c>
      <c r="K110" s="458"/>
      <c r="L110" s="176">
        <v>66</v>
      </c>
      <c r="M110" s="176">
        <v>66</v>
      </c>
      <c r="O110" s="329">
        <f t="shared" ref="O110:O115" si="32">I110/I$233</f>
        <v>0.2852405721716515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'[11]Sch C'!D99</f>
        <v>358</v>
      </c>
      <c r="D111" s="480">
        <f>'[11]Sch C'!F99</f>
        <v>0</v>
      </c>
      <c r="E111" s="480">
        <f>+'[11]Sch C'!H99</f>
        <v>0</v>
      </c>
      <c r="F111" s="166">
        <f t="shared" si="29"/>
        <v>358</v>
      </c>
      <c r="G111" s="626"/>
      <c r="H111" s="166"/>
      <c r="I111" s="166">
        <f t="shared" si="30"/>
        <v>358</v>
      </c>
      <c r="J111" s="167">
        <f t="shared" si="31"/>
        <v>8.1105812047022334E-5</v>
      </c>
      <c r="K111" s="458"/>
      <c r="L111" s="163"/>
      <c r="M111" s="163"/>
      <c r="O111" s="329">
        <f t="shared" si="32"/>
        <v>2.3276983094928479E-2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'[11]Sch C'!D100</f>
        <v>1507</v>
      </c>
      <c r="D112" s="480">
        <f>'[11]Sch C'!F100</f>
        <v>0</v>
      </c>
      <c r="E112" s="480">
        <f>+'[11]Sch C'!H100</f>
        <v>0</v>
      </c>
      <c r="F112" s="166">
        <f t="shared" si="29"/>
        <v>1507</v>
      </c>
      <c r="G112" s="626"/>
      <c r="H112" s="166"/>
      <c r="I112" s="166">
        <f t="shared" si="30"/>
        <v>1507</v>
      </c>
      <c r="J112" s="167">
        <f t="shared" si="31"/>
        <v>3.4141468925939295E-4</v>
      </c>
      <c r="K112" s="458"/>
      <c r="L112" s="163"/>
      <c r="M112" s="163"/>
      <c r="O112" s="329">
        <f t="shared" si="32"/>
        <v>9.7984395318595582E-2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'[11]Sch C'!D101</f>
        <v>0</v>
      </c>
      <c r="D113" s="480">
        <f>'[11]Sch C'!F101</f>
        <v>0</v>
      </c>
      <c r="E113" s="480">
        <f>+'[11]Sch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'[11]Sch C'!D102</f>
        <v>1407</v>
      </c>
      <c r="D114" s="480">
        <f>'[11]Sch C'!F102</f>
        <v>0</v>
      </c>
      <c r="E114" s="480">
        <f>+'[11]Sch C'!H102</f>
        <v>0</v>
      </c>
      <c r="F114" s="166">
        <f t="shared" si="29"/>
        <v>1407</v>
      </c>
      <c r="G114" s="626"/>
      <c r="H114" s="166"/>
      <c r="I114" s="166">
        <f t="shared" si="30"/>
        <v>1407</v>
      </c>
      <c r="J114" s="167">
        <f t="shared" si="31"/>
        <v>3.1875943449765482E-4</v>
      </c>
      <c r="K114" s="458"/>
      <c r="L114" s="163"/>
      <c r="M114" s="163"/>
      <c r="O114" s="329">
        <f t="shared" si="32"/>
        <v>9.1482444733420029E-2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'[11]Sch C'!D103</f>
        <v>0</v>
      </c>
      <c r="D115" s="480">
        <f>'[11]Sch C'!F103</f>
        <v>0</v>
      </c>
      <c r="E115" s="480">
        <f>+'[11]Sch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7659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7659</v>
      </c>
      <c r="G116" s="166">
        <f t="shared" si="34"/>
        <v>0</v>
      </c>
      <c r="H116" s="166">
        <f t="shared" si="34"/>
        <v>0</v>
      </c>
      <c r="I116" s="166">
        <f t="shared" si="34"/>
        <v>7659</v>
      </c>
      <c r="J116" s="167">
        <f t="shared" si="31"/>
        <v>1.73516596220152E-3</v>
      </c>
      <c r="K116" s="458"/>
      <c r="L116" s="163"/>
      <c r="M116" s="163"/>
      <c r="O116" s="329">
        <f>I116/I$233</f>
        <v>0.49798439531859556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'[11]Sch C'!D115</f>
        <v>62592</v>
      </c>
      <c r="D119" s="480">
        <f>'[11]Sch C'!F115</f>
        <v>0</v>
      </c>
      <c r="E119" s="480">
        <f>+'[11]Sch C'!H115</f>
        <v>0</v>
      </c>
      <c r="F119" s="166">
        <f t="shared" ref="F119:F123" si="35">C119+D119+E119</f>
        <v>62592</v>
      </c>
      <c r="G119" s="626"/>
      <c r="H119" s="166"/>
      <c r="I119" s="166">
        <f t="shared" ref="I119:I123" si="36">F119+G119+H119</f>
        <v>62592</v>
      </c>
      <c r="J119" s="167">
        <f t="shared" ref="J119:J124" si="37">IF($I$213=0,0,I119/$I$213)</f>
        <v>1.4180377060467101E-2</v>
      </c>
      <c r="K119" s="458"/>
      <c r="L119" s="176">
        <v>6844</v>
      </c>
      <c r="M119" s="176">
        <v>6961</v>
      </c>
      <c r="O119" s="329">
        <f t="shared" ref="O119:O124" si="38">I119/I$233</f>
        <v>4.0697009102730819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'[11]Sch C'!D116</f>
        <v>5255</v>
      </c>
      <c r="D120" s="480">
        <f>'[11]Sch C'!F116</f>
        <v>0</v>
      </c>
      <c r="E120" s="480">
        <f>+'[11]Sch C'!H116</f>
        <v>0</v>
      </c>
      <c r="F120" s="166">
        <f t="shared" si="35"/>
        <v>5255</v>
      </c>
      <c r="G120" s="626"/>
      <c r="H120" s="166"/>
      <c r="I120" s="166">
        <f t="shared" si="36"/>
        <v>5255</v>
      </c>
      <c r="J120" s="167">
        <f t="shared" si="37"/>
        <v>1.1905336377293363E-3</v>
      </c>
      <c r="K120" s="458"/>
      <c r="L120" s="163"/>
      <c r="M120" s="163"/>
      <c r="O120" s="329">
        <f t="shared" si="38"/>
        <v>0.34167750325097529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'[11]Sch C'!D117</f>
        <v>16274</v>
      </c>
      <c r="D121" s="480">
        <f>'[11]Sch C'!F117</f>
        <v>0</v>
      </c>
      <c r="E121" s="480">
        <f>+'[11]Sch C'!H117</f>
        <v>0</v>
      </c>
      <c r="F121" s="166">
        <f t="shared" si="35"/>
        <v>16274</v>
      </c>
      <c r="G121" s="626"/>
      <c r="H121" s="166"/>
      <c r="I121" s="166">
        <f t="shared" si="36"/>
        <v>16274</v>
      </c>
      <c r="J121" s="167">
        <f t="shared" si="37"/>
        <v>3.6869161599252559E-3</v>
      </c>
      <c r="K121" s="458"/>
      <c r="L121" s="163"/>
      <c r="M121" s="163"/>
      <c r="O121" s="329">
        <f t="shared" si="38"/>
        <v>1.0581274382314694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'[11]Sch C'!D118</f>
        <v>360</v>
      </c>
      <c r="D122" s="480">
        <f>'[11]Sch C'!F118</f>
        <v>0</v>
      </c>
      <c r="E122" s="480">
        <f>+'[11]Sch C'!H118</f>
        <v>0</v>
      </c>
      <c r="F122" s="166">
        <f t="shared" si="35"/>
        <v>360</v>
      </c>
      <c r="G122" s="626"/>
      <c r="H122" s="166"/>
      <c r="I122" s="166">
        <f t="shared" si="36"/>
        <v>360</v>
      </c>
      <c r="J122" s="167">
        <f t="shared" si="37"/>
        <v>8.1558917142257099E-5</v>
      </c>
      <c r="K122" s="458"/>
      <c r="L122" s="163"/>
      <c r="M122" s="163"/>
      <c r="O122" s="329">
        <f t="shared" si="38"/>
        <v>2.3407022106631991E-2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'[11]Sch C'!D119</f>
        <v>0</v>
      </c>
      <c r="D123" s="480">
        <f>'[11]Sch C'!F119</f>
        <v>0</v>
      </c>
      <c r="E123" s="480">
        <f>+'[11]Sch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84481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84481</v>
      </c>
      <c r="G124" s="166">
        <f t="shared" si="40"/>
        <v>0</v>
      </c>
      <c r="H124" s="166">
        <f t="shared" si="40"/>
        <v>0</v>
      </c>
      <c r="I124" s="166">
        <f t="shared" si="40"/>
        <v>84481</v>
      </c>
      <c r="J124" s="167">
        <f t="shared" si="37"/>
        <v>1.9139385775263952E-2</v>
      </c>
      <c r="K124" s="458"/>
      <c r="L124" s="163"/>
      <c r="M124" s="163"/>
      <c r="O124" s="329">
        <f t="shared" si="38"/>
        <v>5.4929128738621582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'[11]Sch C'!D124</f>
        <v>0</v>
      </c>
      <c r="D128" s="480">
        <f>'[11]Sch C'!F124</f>
        <v>0</v>
      </c>
      <c r="E128" s="480">
        <f>+'[11]Sch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'[11]Sch C'!D125</f>
        <v>98064</v>
      </c>
      <c r="D129" s="480">
        <f>'[11]Sch C'!F125</f>
        <v>0</v>
      </c>
      <c r="E129" s="480">
        <f>+'[11]Sch C'!H125</f>
        <v>0</v>
      </c>
      <c r="F129" s="166">
        <f t="shared" si="41"/>
        <v>98064</v>
      </c>
      <c r="G129" s="626"/>
      <c r="H129" s="166"/>
      <c r="I129" s="166">
        <f t="shared" si="42"/>
        <v>98064</v>
      </c>
      <c r="J129" s="167">
        <f>IF($I$213=0,0,I129/$I$213)</f>
        <v>2.2216649029550836E-2</v>
      </c>
      <c r="K129" s="458"/>
      <c r="L129" s="176">
        <v>2124</v>
      </c>
      <c r="M129" s="176">
        <v>2204</v>
      </c>
      <c r="O129" s="329">
        <f t="shared" si="43"/>
        <v>6.3760728218465541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'[11]Sch C'!D126</f>
        <v>0</v>
      </c>
      <c r="D130" s="480">
        <f>'[11]Sch C'!F126</f>
        <v>0</v>
      </c>
      <c r="E130" s="480">
        <f>+'[11]Sch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'[11]Sch C'!D127</f>
        <v>0</v>
      </c>
      <c r="D131" s="480">
        <f>'[11]Sch C'!F127</f>
        <v>0</v>
      </c>
      <c r="E131" s="480">
        <f>+'[11]Sch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'[11]Sch C'!D128</f>
        <v>229793</v>
      </c>
      <c r="D132" s="480">
        <f>'[11]Sch C'!F128</f>
        <v>0</v>
      </c>
      <c r="E132" s="480">
        <f>+'[11]Sch C'!H128</f>
        <v>0</v>
      </c>
      <c r="F132" s="166">
        <f t="shared" si="41"/>
        <v>229793</v>
      </c>
      <c r="G132" s="626"/>
      <c r="H132" s="166"/>
      <c r="I132" s="166">
        <f t="shared" si="42"/>
        <v>229793</v>
      </c>
      <c r="J132" s="167">
        <f>IF($I$213=0,0,I132/$I$213)</f>
        <v>5.2060189574640793E-2</v>
      </c>
      <c r="K132" s="458"/>
      <c r="L132" s="176">
        <v>4755</v>
      </c>
      <c r="M132" s="176">
        <v>5078</v>
      </c>
      <c r="O132" s="329">
        <f t="shared" si="43"/>
        <v>14.941027308192458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'[11]Sch C'!D130</f>
        <v>0</v>
      </c>
      <c r="D134" s="480">
        <f>'[11]Sch C'!F130</f>
        <v>0</v>
      </c>
      <c r="E134" s="480">
        <f>+'[11]Sch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'[11]Sch C'!D131</f>
        <v>142181</v>
      </c>
      <c r="D135" s="480">
        <f>'[11]Sch C'!F131</f>
        <v>-126423</v>
      </c>
      <c r="E135" s="480">
        <f>+'[11]Sch C'!H131</f>
        <v>0</v>
      </c>
      <c r="F135" s="166">
        <f t="shared" si="44"/>
        <v>15758</v>
      </c>
      <c r="G135" s="626"/>
      <c r="H135" s="166"/>
      <c r="I135" s="166">
        <f t="shared" si="45"/>
        <v>15758</v>
      </c>
      <c r="J135" s="167">
        <f>IF($I$213=0,0,I135/$I$213)</f>
        <v>3.5700150453546872E-3</v>
      </c>
      <c r="K135" s="458"/>
      <c r="L135" s="196"/>
      <c r="M135" s="196"/>
      <c r="O135" s="329">
        <f t="shared" si="43"/>
        <v>1.0245773732119636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'[11]Sch C'!D132</f>
        <v>0</v>
      </c>
      <c r="D136" s="480">
        <f>'[11]Sch C'!F132</f>
        <v>0</v>
      </c>
      <c r="E136" s="480">
        <f>+'[11]Sch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'[11]Sch C'!D133</f>
        <v>0</v>
      </c>
      <c r="D137" s="480">
        <f>'[11]Sch C'!F133</f>
        <v>0</v>
      </c>
      <c r="E137" s="480">
        <f>+'[11]Sch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'[11]Sch C'!D134</f>
        <v>0</v>
      </c>
      <c r="D138" s="480">
        <f>'[11]Sch C'!F134</f>
        <v>36924</v>
      </c>
      <c r="E138" s="480">
        <f>+'[11]Sch C'!H134</f>
        <v>0</v>
      </c>
      <c r="F138" s="166">
        <f t="shared" si="44"/>
        <v>36924</v>
      </c>
      <c r="G138" s="626"/>
      <c r="H138" s="166"/>
      <c r="I138" s="166">
        <f t="shared" si="45"/>
        <v>36924</v>
      </c>
      <c r="J138" s="167">
        <f>IF($I$213=0,0,I138/$I$213)</f>
        <v>8.3652262682241702E-3</v>
      </c>
      <c r="K138" s="458"/>
      <c r="L138" s="163"/>
      <c r="M138" s="163"/>
      <c r="O138" s="329">
        <f t="shared" si="43"/>
        <v>2.4007802340702211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'[11]Sch C'!D136</f>
        <v>371702</v>
      </c>
      <c r="D140" s="480">
        <f>'[11]Sch C'!F136</f>
        <v>0</v>
      </c>
      <c r="E140" s="480">
        <f>+'[11]Sch C'!H136</f>
        <v>0</v>
      </c>
      <c r="F140" s="166">
        <f t="shared" ref="F140:F143" si="46">C140+D140+E140</f>
        <v>371702</v>
      </c>
      <c r="G140" s="626"/>
      <c r="H140" s="166"/>
      <c r="I140" s="166">
        <f t="shared" ref="I140:I143" si="47">F140+G140+H140</f>
        <v>371702</v>
      </c>
      <c r="J140" s="167">
        <f>IF($I$213=0,0,I140/$I$213)</f>
        <v>8.421003505447569E-2</v>
      </c>
      <c r="K140" s="458"/>
      <c r="L140" s="176">
        <v>12613</v>
      </c>
      <c r="M140" s="176">
        <v>13096</v>
      </c>
      <c r="O140" s="329">
        <f t="shared" si="43"/>
        <v>24.167880364109234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'[11]Sch C'!D137</f>
        <v>185283</v>
      </c>
      <c r="D141" s="480">
        <f>'[11]Sch C'!F137</f>
        <v>0</v>
      </c>
      <c r="E141" s="480">
        <f>+'[11]Sch C'!H137</f>
        <v>0</v>
      </c>
      <c r="F141" s="166">
        <f t="shared" si="46"/>
        <v>185283</v>
      </c>
      <c r="G141" s="626"/>
      <c r="H141" s="166"/>
      <c r="I141" s="166">
        <f t="shared" si="47"/>
        <v>185283</v>
      </c>
      <c r="J141" s="167">
        <f>IF($I$213=0,0,I141/$I$213)</f>
        <v>4.1976335680191171E-2</v>
      </c>
      <c r="K141" s="458"/>
      <c r="L141" s="176">
        <v>9651</v>
      </c>
      <c r="M141" s="176">
        <v>9894</v>
      </c>
      <c r="O141" s="329">
        <f t="shared" si="43"/>
        <v>12.047009102730819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'[11]Sch C'!D138</f>
        <v>471382</v>
      </c>
      <c r="D142" s="480">
        <f>'[11]Sch C'!F138</f>
        <v>0</v>
      </c>
      <c r="E142" s="480">
        <f>+'[11]Sch C'!H138</f>
        <v>0</v>
      </c>
      <c r="F142" s="166">
        <f t="shared" si="46"/>
        <v>471382</v>
      </c>
      <c r="G142" s="626"/>
      <c r="H142" s="166"/>
      <c r="I142" s="166">
        <f t="shared" si="47"/>
        <v>471382</v>
      </c>
      <c r="J142" s="167">
        <f>IF($I$213=0,0,I142/$I$213)</f>
        <v>0.10679279300097622</v>
      </c>
      <c r="K142" s="458"/>
      <c r="L142" s="176">
        <v>42458</v>
      </c>
      <c r="M142" s="176">
        <v>45037</v>
      </c>
      <c r="O142" s="329">
        <f t="shared" si="43"/>
        <v>30.649024707412224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'[11]Sch C'!D139</f>
        <v>0</v>
      </c>
      <c r="D143" s="480">
        <f>'[11]Sch C'!F139</f>
        <v>0</v>
      </c>
      <c r="E143" s="480">
        <f>+'[11]Sch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'[11]Sch C'!D141</f>
        <v>0</v>
      </c>
      <c r="D145" s="480">
        <f>'[11]Sch C'!F141</f>
        <v>59727</v>
      </c>
      <c r="E145" s="480">
        <f>+'[11]Sch C'!H141</f>
        <v>0</v>
      </c>
      <c r="F145" s="166">
        <f t="shared" ref="F145:F148" si="48">C145+D145+E145</f>
        <v>59727</v>
      </c>
      <c r="G145" s="626"/>
      <c r="H145" s="166"/>
      <c r="I145" s="166">
        <f t="shared" ref="I145:I148" si="49">F145+G145+H145</f>
        <v>59727</v>
      </c>
      <c r="J145" s="167">
        <f>IF($I$213=0,0,I145/$I$213)</f>
        <v>1.3531304011543305E-2</v>
      </c>
      <c r="K145" s="458"/>
      <c r="L145" s="163"/>
      <c r="M145" s="163"/>
      <c r="O145" s="329">
        <f t="shared" si="43"/>
        <v>3.8834200260078022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'[11]Sch C'!D142</f>
        <v>0</v>
      </c>
      <c r="D146" s="480">
        <f>'[11]Sch C'!F142</f>
        <v>29772</v>
      </c>
      <c r="E146" s="480">
        <f>+'[11]Sch C'!H142</f>
        <v>0</v>
      </c>
      <c r="F146" s="166">
        <f t="shared" si="48"/>
        <v>29772</v>
      </c>
      <c r="G146" s="626"/>
      <c r="H146" s="166"/>
      <c r="I146" s="166">
        <f t="shared" si="49"/>
        <v>29772</v>
      </c>
      <c r="J146" s="167">
        <f>IF($I$213=0,0,I146/$I$213)</f>
        <v>6.7449224476646627E-3</v>
      </c>
      <c r="K146" s="458"/>
      <c r="L146" s="163"/>
      <c r="M146" s="163"/>
      <c r="O146" s="329">
        <f t="shared" si="43"/>
        <v>1.9357607282184655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'[11]Sch C'!D143</f>
        <v>37754</v>
      </c>
      <c r="D147" s="480">
        <f>'[11]Sch C'!F143</f>
        <v>0</v>
      </c>
      <c r="E147" s="480">
        <f>+'[11]Sch C'!H143</f>
        <v>0</v>
      </c>
      <c r="F147" s="166">
        <f t="shared" si="48"/>
        <v>37754</v>
      </c>
      <c r="G147" s="626"/>
      <c r="H147" s="166"/>
      <c r="I147" s="166">
        <f t="shared" si="49"/>
        <v>37754</v>
      </c>
      <c r="J147" s="167">
        <f>IF($I$213=0,0,I147/$I$213)</f>
        <v>8.553264882746596E-3</v>
      </c>
      <c r="K147" s="458"/>
      <c r="L147" s="163"/>
      <c r="M147" s="163"/>
      <c r="O147" s="329">
        <f t="shared" si="43"/>
        <v>2.4547464239271783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'[11]Sch C'!D144</f>
        <v>0</v>
      </c>
      <c r="D148" s="480">
        <f>'[11]Sch C'!F144</f>
        <v>0</v>
      </c>
      <c r="E148" s="480">
        <f>+'[11]Sch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'[11]Sch C'!D146</f>
        <v>18000</v>
      </c>
      <c r="D150" s="480">
        <f>'[11]Sch C'!F146</f>
        <v>0</v>
      </c>
      <c r="E150" s="480">
        <f>+'[11]Sch C'!H146</f>
        <v>0</v>
      </c>
      <c r="F150" s="166">
        <f t="shared" ref="F150:F158" si="50">C150+D150+E150</f>
        <v>18000</v>
      </c>
      <c r="G150" s="626"/>
      <c r="H150" s="166"/>
      <c r="I150" s="166">
        <f t="shared" ref="I150:I158" si="51">F150+G150+H150</f>
        <v>18000</v>
      </c>
      <c r="J150" s="167">
        <f t="shared" ref="J150:J158" si="52">IF($I$213=0,0,I150/$I$213)</f>
        <v>4.077945857112855E-3</v>
      </c>
      <c r="K150" s="458"/>
      <c r="L150" s="176">
        <v>0</v>
      </c>
      <c r="M150" s="176">
        <v>0</v>
      </c>
      <c r="O150" s="329">
        <f t="shared" si="43"/>
        <v>1.1703511053315996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'[11]Sch C'!D147</f>
        <v>9171</v>
      </c>
      <c r="D151" s="480">
        <f>'[11]Sch C'!F147</f>
        <v>0</v>
      </c>
      <c r="E151" s="480">
        <f>+'[11]Sch C'!H147</f>
        <v>0</v>
      </c>
      <c r="F151" s="166">
        <f t="shared" si="50"/>
        <v>9171</v>
      </c>
      <c r="G151" s="626"/>
      <c r="H151" s="166"/>
      <c r="I151" s="166">
        <f t="shared" si="51"/>
        <v>9171</v>
      </c>
      <c r="J151" s="167">
        <f t="shared" si="52"/>
        <v>2.0777134141989999E-3</v>
      </c>
      <c r="K151" s="458"/>
      <c r="L151" s="176">
        <v>0</v>
      </c>
      <c r="M151" s="176">
        <v>0</v>
      </c>
      <c r="O151" s="329">
        <f t="shared" si="43"/>
        <v>0.5962938881664499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'[11]Sch C'!D148</f>
        <v>764</v>
      </c>
      <c r="D152" s="480">
        <f>'[11]Sch C'!F148</f>
        <v>0</v>
      </c>
      <c r="E152" s="480">
        <f>+'[11]Sch C'!H148</f>
        <v>0</v>
      </c>
      <c r="F152" s="166">
        <f t="shared" si="50"/>
        <v>764</v>
      </c>
      <c r="G152" s="626"/>
      <c r="H152" s="166"/>
      <c r="I152" s="166">
        <f t="shared" si="51"/>
        <v>764</v>
      </c>
      <c r="J152" s="167">
        <f t="shared" si="52"/>
        <v>1.7308614637967897E-4</v>
      </c>
      <c r="K152" s="458"/>
      <c r="L152" s="176">
        <v>0</v>
      </c>
      <c r="M152" s="176">
        <v>0</v>
      </c>
      <c r="O152" s="329">
        <f t="shared" si="43"/>
        <v>4.9674902470741224E-2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'[11]Sch C'!D149</f>
        <v>169</v>
      </c>
      <c r="D153" s="480">
        <f>'[11]Sch C'!F149</f>
        <v>0</v>
      </c>
      <c r="E153" s="480">
        <f>+'[11]Sch C'!H149</f>
        <v>0</v>
      </c>
      <c r="F153" s="166">
        <f t="shared" si="50"/>
        <v>169</v>
      </c>
      <c r="G153" s="626"/>
      <c r="H153" s="166"/>
      <c r="I153" s="166">
        <f t="shared" si="51"/>
        <v>169</v>
      </c>
      <c r="J153" s="167">
        <f t="shared" si="52"/>
        <v>3.8287380547337363E-5</v>
      </c>
      <c r="K153" s="458"/>
      <c r="L153" s="176">
        <v>0</v>
      </c>
      <c r="M153" s="176">
        <v>0</v>
      </c>
      <c r="O153" s="329">
        <f t="shared" si="43"/>
        <v>1.0988296488946683E-2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'[11]Sch C'!D150</f>
        <v>4621</v>
      </c>
      <c r="D154" s="480">
        <f>'[11]Sch C'!F150</f>
        <v>0</v>
      </c>
      <c r="E154" s="480">
        <f>+'[11]Sch C'!H150</f>
        <v>0</v>
      </c>
      <c r="F154" s="166">
        <f t="shared" si="50"/>
        <v>4621</v>
      </c>
      <c r="G154" s="626"/>
      <c r="H154" s="166"/>
      <c r="I154" s="166">
        <f t="shared" si="51"/>
        <v>4621</v>
      </c>
      <c r="J154" s="167">
        <f t="shared" si="52"/>
        <v>1.0468993225399169E-3</v>
      </c>
      <c r="K154" s="458"/>
      <c r="L154" s="176">
        <v>0</v>
      </c>
      <c r="M154" s="176">
        <v>0</v>
      </c>
      <c r="O154" s="329">
        <f t="shared" si="43"/>
        <v>0.30045513654096229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'[11]Sch C'!D151</f>
        <v>73473</v>
      </c>
      <c r="D155" s="480">
        <f>'[11]Sch C'!F151</f>
        <v>0</v>
      </c>
      <c r="E155" s="480">
        <f>+'[11]Sch C'!H151</f>
        <v>0</v>
      </c>
      <c r="F155" s="166">
        <f t="shared" si="50"/>
        <v>73473</v>
      </c>
      <c r="G155" s="626"/>
      <c r="H155" s="166"/>
      <c r="I155" s="166">
        <f t="shared" si="51"/>
        <v>73473</v>
      </c>
      <c r="J155" s="167">
        <f t="shared" si="52"/>
        <v>1.6645495331091824E-2</v>
      </c>
      <c r="K155" s="458"/>
      <c r="L155" s="163"/>
      <c r="M155" s="163"/>
      <c r="O155" s="329">
        <f t="shared" si="43"/>
        <v>4.7771781534460338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'[11]Sch C'!D152</f>
        <v>1594</v>
      </c>
      <c r="D156" s="480">
        <f>'[11]Sch C'!F152</f>
        <v>0</v>
      </c>
      <c r="E156" s="480">
        <f>+'[11]Sch C'!H152</f>
        <v>0</v>
      </c>
      <c r="F156" s="166">
        <f t="shared" si="50"/>
        <v>1594</v>
      </c>
      <c r="G156" s="626"/>
      <c r="H156" s="166"/>
      <c r="I156" s="166">
        <f t="shared" si="51"/>
        <v>1594</v>
      </c>
      <c r="J156" s="167">
        <f t="shared" si="52"/>
        <v>3.6112476090210504E-4</v>
      </c>
      <c r="K156" s="458"/>
      <c r="L156" s="163"/>
      <c r="M156" s="163"/>
      <c r="O156" s="329">
        <f t="shared" si="43"/>
        <v>0.1036410923276983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'[11]Sch C'!D153</f>
        <v>6873</v>
      </c>
      <c r="D157" s="480">
        <f>'[11]Sch C'!F153</f>
        <v>0</v>
      </c>
      <c r="E157" s="480">
        <f>+'[11]Sch C'!H153</f>
        <v>0</v>
      </c>
      <c r="F157" s="166">
        <f t="shared" si="50"/>
        <v>6873</v>
      </c>
      <c r="G157" s="626"/>
      <c r="H157" s="166"/>
      <c r="I157" s="166">
        <f t="shared" si="51"/>
        <v>6873</v>
      </c>
      <c r="J157" s="167">
        <f t="shared" si="52"/>
        <v>1.5570956597742585E-3</v>
      </c>
      <c r="K157" s="458"/>
      <c r="L157" s="163"/>
      <c r="M157" s="163"/>
      <c r="O157" s="329">
        <f t="shared" si="43"/>
        <v>0.44687906371911573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'[11]Sch C'!D154</f>
        <v>0</v>
      </c>
      <c r="D158" s="480">
        <f>'[11]Sch C'!F154</f>
        <v>0</v>
      </c>
      <c r="E158" s="480">
        <f>+'[11]Sch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'[11]Sch C'!D156</f>
        <v>0</v>
      </c>
      <c r="D160" s="480">
        <f>'[11]Sch C'!F156</f>
        <v>0</v>
      </c>
      <c r="E160" s="480">
        <f>+'[11]Sch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'[11]Sch C'!D157</f>
        <v>0</v>
      </c>
      <c r="D161" s="480">
        <f>'[11]Sch C'!F157</f>
        <v>0</v>
      </c>
      <c r="E161" s="480">
        <f>+'[11]Sch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'[11]Sch C'!D158</f>
        <v>0</v>
      </c>
      <c r="D162" s="480">
        <f>'[11]Sch C'!F158</f>
        <v>0</v>
      </c>
      <c r="E162" s="480">
        <f>+'[11]Sch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'[11]Sch C'!D159</f>
        <v>0</v>
      </c>
      <c r="D163" s="480">
        <f>'[11]Sch C'!F159</f>
        <v>0</v>
      </c>
      <c r="E163" s="480">
        <f>+'[11]Sch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'[11]Sch C'!D160</f>
        <v>0</v>
      </c>
      <c r="D164" s="480">
        <f>'[11]Sch C'!F160</f>
        <v>0</v>
      </c>
      <c r="E164" s="480">
        <f>+'[11]Sch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'[11]Sch C'!D161</f>
        <v>73688</v>
      </c>
      <c r="D165" s="480">
        <f>'[11]Sch C'!F161</f>
        <v>-910</v>
      </c>
      <c r="E165" s="480">
        <f>+'[11]Sch C'!H161</f>
        <v>0</v>
      </c>
      <c r="F165" s="166">
        <f t="shared" si="53"/>
        <v>72778</v>
      </c>
      <c r="G165" s="626">
        <v>-31232</v>
      </c>
      <c r="H165" s="166"/>
      <c r="I165" s="166">
        <f t="shared" si="54"/>
        <v>41546</v>
      </c>
      <c r="J165" s="167">
        <f t="shared" si="55"/>
        <v>9.4123521433117051E-3</v>
      </c>
      <c r="K165" s="458"/>
      <c r="L165" s="163"/>
      <c r="M165" s="163"/>
      <c r="O165" s="329">
        <f t="shared" si="43"/>
        <v>2.7013003901170349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1724512</v>
      </c>
      <c r="D166" s="480">
        <f t="shared" si="56"/>
        <v>-910</v>
      </c>
      <c r="E166" s="480">
        <f t="shared" si="56"/>
        <v>0</v>
      </c>
      <c r="F166" s="166">
        <f t="shared" ref="F166:I166" si="57">SUM(F128:F165)</f>
        <v>1723602</v>
      </c>
      <c r="G166" s="166">
        <f t="shared" si="57"/>
        <v>-31232</v>
      </c>
      <c r="H166" s="166">
        <f t="shared" si="57"/>
        <v>0</v>
      </c>
      <c r="I166" s="166">
        <f t="shared" si="57"/>
        <v>1692370</v>
      </c>
      <c r="J166" s="167">
        <f t="shared" si="55"/>
        <v>0.3834107350112268</v>
      </c>
      <c r="K166" s="458"/>
      <c r="L166" s="163"/>
      <c r="M166" s="163"/>
      <c r="O166" s="329">
        <f>I166/I$233</f>
        <v>110.0370611183355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'[11]Sch C'!D175</f>
        <v>0</v>
      </c>
      <c r="D169" s="480">
        <f>'[11]Sch C'!F175</f>
        <v>0</v>
      </c>
      <c r="E169" s="480">
        <f>+'[11]Sch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'[11]Sch C'!D176</f>
        <v>0</v>
      </c>
      <c r="D170" s="480">
        <f>'[11]Sch C'!F176</f>
        <v>0</v>
      </c>
      <c r="E170" s="480">
        <f>+'[11]Sch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'[11]Sch C'!D177</f>
        <v>0</v>
      </c>
      <c r="D171" s="480">
        <f>'[11]Sch C'!F177</f>
        <v>0</v>
      </c>
      <c r="E171" s="480">
        <f>+'[11]Sch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'[11]Sch C'!D178</f>
        <v>0</v>
      </c>
      <c r="D172" s="480">
        <f>'[11]Sch C'!F178</f>
        <v>0</v>
      </c>
      <c r="E172" s="480">
        <f>+'[11]Sch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'[11]Sch C'!D179</f>
        <v>0</v>
      </c>
      <c r="D173" s="480">
        <f>'[11]Sch C'!F179</f>
        <v>0</v>
      </c>
      <c r="E173" s="480">
        <f>+'[11]Sch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'[11]Sch C'!D180</f>
        <v>0</v>
      </c>
      <c r="D174" s="480">
        <f>'[11]Sch C'!F180</f>
        <v>0</v>
      </c>
      <c r="E174" s="480">
        <f>+'[11]Sch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'[11]Sch C'!D181</f>
        <v>0</v>
      </c>
      <c r="D175" s="480">
        <f>'[11]Sch C'!F181</f>
        <v>0</v>
      </c>
      <c r="E175" s="480">
        <f>+'[11]Sch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'[11]Sch C'!D182</f>
        <v>0</v>
      </c>
      <c r="D176" s="480">
        <f>'[11]Sch C'!F182</f>
        <v>0</v>
      </c>
      <c r="E176" s="480">
        <f>+'[11]Sch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'[11]Sch C'!D183</f>
        <v>0</v>
      </c>
      <c r="D177" s="480">
        <f>'[11]Sch C'!F183</f>
        <v>0</v>
      </c>
      <c r="E177" s="480">
        <f>+'[11]Sch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'[11]Sch C'!D184</f>
        <v>0</v>
      </c>
      <c r="D178" s="480">
        <f>'[11]Sch C'!F184</f>
        <v>0</v>
      </c>
      <c r="E178" s="480">
        <f>+'[11]Sch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'[11]Sch C'!D185</f>
        <v>0</v>
      </c>
      <c r="D179" s="480">
        <f>'[11]Sch C'!F185</f>
        <v>0</v>
      </c>
      <c r="E179" s="480">
        <f>+'[11]Sch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'[11]Sch C'!D186</f>
        <v>0</v>
      </c>
      <c r="D180" s="480">
        <f>'[11]Sch C'!F186</f>
        <v>0</v>
      </c>
      <c r="E180" s="480">
        <f>+'[11]Sch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'[11]Sch C'!D187</f>
        <v>0</v>
      </c>
      <c r="D181" s="480">
        <f>'[11]Sch C'!F187</f>
        <v>0</v>
      </c>
      <c r="E181" s="480">
        <f>+'[11]Sch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'[11]Sch C'!D188</f>
        <v>0</v>
      </c>
      <c r="D182" s="480">
        <f>'[11]Sch C'!F188</f>
        <v>0</v>
      </c>
      <c r="E182" s="480">
        <f>+'[11]Sch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'[11]Sch C'!D189</f>
        <v>0</v>
      </c>
      <c r="D183" s="480">
        <f>'[11]Sch C'!F189</f>
        <v>0</v>
      </c>
      <c r="E183" s="480">
        <f>+'[11]Sch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'[11]Sch C'!D190</f>
        <v>0</v>
      </c>
      <c r="D184" s="480">
        <f>'[11]Sch C'!F190</f>
        <v>0</v>
      </c>
      <c r="E184" s="480">
        <f>+'[11]Sch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'[11]Sch C'!D191</f>
        <v>0</v>
      </c>
      <c r="D185" s="480">
        <f>'[11]Sch C'!F191</f>
        <v>0</v>
      </c>
      <c r="E185" s="480">
        <f>+'[11]Sch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'[11]Sch C'!D192</f>
        <v>0</v>
      </c>
      <c r="D186" s="480">
        <f>'[11]Sch C'!F192</f>
        <v>0</v>
      </c>
      <c r="E186" s="480">
        <f>+'[11]Sch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'[11]Sch C'!D193</f>
        <v>0</v>
      </c>
      <c r="D187" s="480">
        <f>'[11]Sch C'!F193</f>
        <v>0</v>
      </c>
      <c r="E187" s="480">
        <f>+'[11]Sch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'[11]Sch C'!D194</f>
        <v>260443</v>
      </c>
      <c r="D188" s="480">
        <f>'[11]Sch C'!F194</f>
        <v>0</v>
      </c>
      <c r="E188" s="480">
        <f>+'[11]Sch C'!H194</f>
        <v>0</v>
      </c>
      <c r="F188" s="166">
        <f t="shared" si="58"/>
        <v>260443</v>
      </c>
      <c r="G188" s="626"/>
      <c r="H188" s="166"/>
      <c r="I188" s="166">
        <f t="shared" si="59"/>
        <v>260443</v>
      </c>
      <c r="J188" s="167">
        <f t="shared" si="60"/>
        <v>5.9004025159113516E-2</v>
      </c>
      <c r="K188" s="458"/>
      <c r="L188" s="213"/>
      <c r="M188" s="208"/>
      <c r="O188" s="329">
        <f t="shared" si="61"/>
        <v>16.933875162548766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'[11]Sch C'!D195</f>
        <v>31805</v>
      </c>
      <c r="D189" s="480">
        <f>'[11]Sch C'!F195</f>
        <v>0</v>
      </c>
      <c r="E189" s="480">
        <f>+'[11]Sch C'!H195</f>
        <v>0</v>
      </c>
      <c r="F189" s="166">
        <f t="shared" si="58"/>
        <v>31805</v>
      </c>
      <c r="G189" s="626"/>
      <c r="H189" s="166"/>
      <c r="I189" s="166">
        <f t="shared" si="59"/>
        <v>31805</v>
      </c>
      <c r="J189" s="167">
        <f t="shared" si="60"/>
        <v>7.2055037769707979E-3</v>
      </c>
      <c r="K189" s="458"/>
      <c r="L189" s="213"/>
      <c r="M189" s="208"/>
      <c r="O189" s="329">
        <f t="shared" si="61"/>
        <v>2.0679453836150845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'[11]Sch C'!D196</f>
        <v>0</v>
      </c>
      <c r="D190" s="480">
        <f>'[11]Sch C'!F196</f>
        <v>0</v>
      </c>
      <c r="E190" s="480">
        <f>+'[11]Sch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'[11]Sch C'!D197</f>
        <v>264987</v>
      </c>
      <c r="D191" s="480">
        <f>'[11]Sch C'!F197</f>
        <v>0</v>
      </c>
      <c r="E191" s="480">
        <f>+'[11]Sch C'!H197</f>
        <v>0</v>
      </c>
      <c r="F191" s="166">
        <f t="shared" si="58"/>
        <v>264987</v>
      </c>
      <c r="G191" s="626"/>
      <c r="H191" s="166"/>
      <c r="I191" s="166">
        <f t="shared" si="59"/>
        <v>264987</v>
      </c>
      <c r="J191" s="167">
        <f t="shared" si="60"/>
        <v>6.0033479935486897E-2</v>
      </c>
      <c r="K191" s="458"/>
      <c r="L191" s="213"/>
      <c r="M191" s="208"/>
      <c r="O191" s="329">
        <f t="shared" si="61"/>
        <v>17.229323797139141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'[11]Sch C'!D198</f>
        <v>20344</v>
      </c>
      <c r="D192" s="480">
        <f>'[11]Sch C'!F198</f>
        <v>0</v>
      </c>
      <c r="E192" s="480">
        <f>+'[11]Sch C'!H198</f>
        <v>0</v>
      </c>
      <c r="F192" s="166">
        <f t="shared" si="58"/>
        <v>20344</v>
      </c>
      <c r="G192" s="626"/>
      <c r="H192" s="166"/>
      <c r="I192" s="166">
        <f t="shared" si="59"/>
        <v>20344</v>
      </c>
      <c r="J192" s="167">
        <f t="shared" si="60"/>
        <v>4.608985028727996E-3</v>
      </c>
      <c r="K192" s="458"/>
      <c r="L192" s="213"/>
      <c r="M192" s="208"/>
      <c r="O192" s="329">
        <f t="shared" si="61"/>
        <v>1.3227568270481145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'[11]Sch C'!D199</f>
        <v>0</v>
      </c>
      <c r="D193" s="480">
        <f>'[11]Sch C'!F199</f>
        <v>0</v>
      </c>
      <c r="E193" s="480">
        <f>+'[11]Sch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'[11]Sch C'!D200</f>
        <v>0</v>
      </c>
      <c r="D194" s="480">
        <f>'[11]Sch C'!F200</f>
        <v>0</v>
      </c>
      <c r="E194" s="480">
        <f>+'[11]Sch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'[11]Sch C'!D201</f>
        <v>0</v>
      </c>
      <c r="D195" s="480">
        <f>'[11]Sch C'!F201</f>
        <v>0</v>
      </c>
      <c r="E195" s="480">
        <f>+'[11]Sch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'[11]Sch C'!D202</f>
        <v>0</v>
      </c>
      <c r="D196" s="480">
        <f>'[11]Sch C'!F202</f>
        <v>0</v>
      </c>
      <c r="E196" s="480">
        <f>+'[11]Sch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'[11]Sch C'!D203</f>
        <v>0</v>
      </c>
      <c r="D197" s="480">
        <f>'[11]Sch C'!F203</f>
        <v>0</v>
      </c>
      <c r="E197" s="480">
        <f>+'[11]Sch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'[11]Sch C'!D204</f>
        <v>0</v>
      </c>
      <c r="D198" s="480">
        <f>'[11]Sch C'!F204</f>
        <v>0</v>
      </c>
      <c r="E198" s="480">
        <f>+'[11]Sch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'[11]Sch C'!D205</f>
        <v>182644</v>
      </c>
      <c r="D199" s="480">
        <f>'[11]Sch C'!F205</f>
        <v>0</v>
      </c>
      <c r="E199" s="480">
        <f>+'[11]Sch C'!H205</f>
        <v>0</v>
      </c>
      <c r="F199" s="166">
        <f t="shared" si="58"/>
        <v>182644</v>
      </c>
      <c r="G199" s="626"/>
      <c r="H199" s="166"/>
      <c r="I199" s="166">
        <f t="shared" si="59"/>
        <v>182644</v>
      </c>
      <c r="J199" s="167">
        <f t="shared" si="60"/>
        <v>4.1378463507028909E-2</v>
      </c>
      <c r="K199" s="458"/>
      <c r="L199" s="213"/>
      <c r="M199" s="208"/>
      <c r="O199" s="329">
        <f t="shared" si="61"/>
        <v>11.875422626788037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'[11]Sch C'!D206</f>
        <v>250</v>
      </c>
      <c r="D200" s="480">
        <f>'[11]Sch C'!F206</f>
        <v>0</v>
      </c>
      <c r="E200" s="480">
        <f>+'[11]Sch C'!H206</f>
        <v>0</v>
      </c>
      <c r="F200" s="166">
        <f t="shared" si="58"/>
        <v>250</v>
      </c>
      <c r="G200" s="626"/>
      <c r="H200" s="166"/>
      <c r="I200" s="166">
        <f t="shared" si="59"/>
        <v>250</v>
      </c>
      <c r="J200" s="167">
        <f t="shared" si="60"/>
        <v>5.663813690434521E-5</v>
      </c>
      <c r="K200" s="458"/>
      <c r="L200" s="213"/>
      <c r="M200" s="208"/>
      <c r="O200" s="329">
        <f t="shared" si="61"/>
        <v>1.6254876462938883E-2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'[11]Sch C'!D207</f>
        <v>0</v>
      </c>
      <c r="D201" s="480">
        <f>'[11]Sch C'!F207</f>
        <v>0</v>
      </c>
      <c r="E201" s="480">
        <f>+'[11]Sch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760473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760473</v>
      </c>
      <c r="G202" s="166">
        <f t="shared" si="63"/>
        <v>0</v>
      </c>
      <c r="H202" s="166">
        <f t="shared" si="63"/>
        <v>0</v>
      </c>
      <c r="I202" s="166">
        <f t="shared" si="63"/>
        <v>760473</v>
      </c>
      <c r="J202" s="167">
        <f>IF($I$213=0,0,I202/$I$213)</f>
        <v>0.17228709554423247</v>
      </c>
      <c r="K202" s="458"/>
      <c r="L202" s="163"/>
      <c r="M202" s="163"/>
      <c r="O202" s="329">
        <f>I202/I$233</f>
        <v>49.445578673602078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'[11]Sch C'!D211</f>
        <v>65453</v>
      </c>
      <c r="D205" s="480">
        <f>'[11]Sch C'!F211</f>
        <v>0</v>
      </c>
      <c r="E205" s="480">
        <f>+'[11]Sch C'!H211</f>
        <v>0</v>
      </c>
      <c r="F205" s="166">
        <f t="shared" ref="F205:F210" si="64">C205+D205+E205</f>
        <v>65453</v>
      </c>
      <c r="G205" s="626"/>
      <c r="H205" s="166"/>
      <c r="I205" s="166">
        <f t="shared" ref="I205:I210" si="65">F205+G205+H205</f>
        <v>65453</v>
      </c>
      <c r="J205" s="167">
        <f t="shared" ref="J205:J211" si="66">IF($I$213=0,0,I205/$I$213)</f>
        <v>1.4828543899200427E-2</v>
      </c>
      <c r="K205" s="458"/>
      <c r="L205" s="176">
        <v>5924</v>
      </c>
      <c r="M205" s="176">
        <v>6239</v>
      </c>
      <c r="O205" s="329">
        <f t="shared" ref="O205:O210" si="67">I205/I$233</f>
        <v>4.2557217165149543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'[11]Sch C'!D212</f>
        <v>5395</v>
      </c>
      <c r="D206" s="480">
        <f>'[11]Sch C'!F212</f>
        <v>0</v>
      </c>
      <c r="E206" s="480">
        <f>+'[11]Sch C'!H212</f>
        <v>0</v>
      </c>
      <c r="F206" s="166">
        <f t="shared" si="64"/>
        <v>5395</v>
      </c>
      <c r="G206" s="626"/>
      <c r="H206" s="166"/>
      <c r="I206" s="166">
        <f t="shared" si="65"/>
        <v>5395</v>
      </c>
      <c r="J206" s="167">
        <f t="shared" si="66"/>
        <v>1.2222509943957695E-3</v>
      </c>
      <c r="K206" s="458"/>
      <c r="L206" s="163"/>
      <c r="M206" s="163"/>
      <c r="O206" s="329">
        <f t="shared" si="67"/>
        <v>0.35078023407022108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'[11]Sch C'!D213</f>
        <v>12523</v>
      </c>
      <c r="D207" s="480">
        <f>'[11]Sch C'!F213</f>
        <v>0</v>
      </c>
      <c r="E207" s="480">
        <f>+'[11]Sch C'!H213</f>
        <v>0</v>
      </c>
      <c r="F207" s="166">
        <f t="shared" si="64"/>
        <v>12523</v>
      </c>
      <c r="G207" s="626"/>
      <c r="H207" s="166"/>
      <c r="I207" s="166">
        <f t="shared" si="65"/>
        <v>12523</v>
      </c>
      <c r="J207" s="167">
        <f t="shared" si="66"/>
        <v>2.8371175538124604E-3</v>
      </c>
      <c r="K207" s="458"/>
      <c r="L207" s="163"/>
      <c r="M207" s="163"/>
      <c r="O207" s="329">
        <f t="shared" si="67"/>
        <v>0.81423927178153443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'[11]Sch C'!D214</f>
        <v>0</v>
      </c>
      <c r="D208" s="480">
        <f>'[11]Sch C'!F214</f>
        <v>0</v>
      </c>
      <c r="E208" s="480">
        <f>+'[11]Sch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'[11]Sch C'!D215</f>
        <v>0</v>
      </c>
      <c r="D209" s="480">
        <f>'[11]Sch C'!F215</f>
        <v>0</v>
      </c>
      <c r="E209" s="480">
        <f>+'[11]Sch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'[11]Sch C'!D216</f>
        <v>6914</v>
      </c>
      <c r="D210" s="480">
        <f>'[11]Sch C'!F216</f>
        <v>0</v>
      </c>
      <c r="E210" s="480">
        <f>+'[11]Sch C'!H216</f>
        <v>0</v>
      </c>
      <c r="F210" s="166">
        <f t="shared" si="64"/>
        <v>6914</v>
      </c>
      <c r="G210" s="626"/>
      <c r="H210" s="166"/>
      <c r="I210" s="166">
        <f t="shared" si="65"/>
        <v>6914</v>
      </c>
      <c r="J210" s="167">
        <f t="shared" si="66"/>
        <v>1.5663843142265711E-3</v>
      </c>
      <c r="K210" s="458"/>
      <c r="L210" s="163"/>
      <c r="M210" s="163"/>
      <c r="O210" s="329">
        <f t="shared" si="67"/>
        <v>0.44954486345903771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90285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90285</v>
      </c>
      <c r="G211" s="166">
        <f t="shared" si="69"/>
        <v>0</v>
      </c>
      <c r="H211" s="166">
        <f t="shared" si="69"/>
        <v>0</v>
      </c>
      <c r="I211" s="166">
        <f t="shared" si="69"/>
        <v>90285</v>
      </c>
      <c r="J211" s="167">
        <f t="shared" si="66"/>
        <v>2.0454296761635227E-2</v>
      </c>
      <c r="K211" s="458"/>
      <c r="L211" s="163"/>
      <c r="M211" s="163"/>
      <c r="O211" s="329">
        <f>I211/I$233</f>
        <v>5.8702860858257475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5477727</v>
      </c>
      <c r="D213" s="480">
        <f t="shared" si="70"/>
        <v>-448697</v>
      </c>
      <c r="E213" s="480">
        <f t="shared" si="70"/>
        <v>-586367</v>
      </c>
      <c r="F213" s="166">
        <f t="shared" ref="F213:I213" si="71">SUM(F30:F211)/2</f>
        <v>4442663</v>
      </c>
      <c r="G213" s="166">
        <f t="shared" si="71"/>
        <v>-3866</v>
      </c>
      <c r="H213" s="166">
        <f t="shared" si="71"/>
        <v>-24810</v>
      </c>
      <c r="I213" s="166">
        <f t="shared" si="71"/>
        <v>4413987</v>
      </c>
      <c r="J213" s="167">
        <f>IF($I$213=0,0,I213/$I$213)</f>
        <v>1</v>
      </c>
      <c r="K213" s="458"/>
      <c r="L213" s="176">
        <f>SUM(L30:L205)</f>
        <v>112912</v>
      </c>
      <c r="M213" s="176">
        <f>SUM(M30:M205)</f>
        <v>118855</v>
      </c>
      <c r="O213" s="329">
        <f>I213/I$233</f>
        <v>286.9952535760728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'[11]Sch C'!D221</f>
        <v>5477727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194806</v>
      </c>
      <c r="D220" s="480">
        <f t="shared" si="72"/>
        <v>448697</v>
      </c>
      <c r="E220" s="480">
        <f t="shared" si="72"/>
        <v>586367</v>
      </c>
      <c r="F220" s="166">
        <f t="shared" ref="F220:I220" si="73">F26-F213</f>
        <v>1229870</v>
      </c>
      <c r="G220" s="166">
        <f t="shared" si="73"/>
        <v>918232</v>
      </c>
      <c r="H220" s="166">
        <f t="shared" si="73"/>
        <v>24810</v>
      </c>
      <c r="I220" s="166">
        <f t="shared" si="73"/>
        <v>2172912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'[11]Sch D'!C9</f>
        <v>7646</v>
      </c>
      <c r="D224" s="480"/>
      <c r="E224" s="480"/>
      <c r="F224" s="224">
        <f>C224+D224+E224</f>
        <v>7646</v>
      </c>
      <c r="G224" s="627"/>
      <c r="H224" s="224"/>
      <c r="I224" s="224">
        <f>F224+G224+H224</f>
        <v>7646</v>
      </c>
      <c r="J224" s="167">
        <f t="shared" ref="J224:J233" si="74">IF($I$233=0,0,I224/$I$233)</f>
        <v>0.49713914174252277</v>
      </c>
      <c r="K224" s="458"/>
      <c r="L224" s="163"/>
      <c r="M224" s="163"/>
    </row>
    <row r="225" spans="1:13">
      <c r="A225" s="158"/>
      <c r="B225" s="165" t="s">
        <v>201</v>
      </c>
      <c r="C225" s="504">
        <f>'[11]Sch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'[11]Sch D'!E9</f>
        <v>2340</v>
      </c>
      <c r="D226" s="480"/>
      <c r="E226" s="480"/>
      <c r="F226" s="224">
        <f t="shared" si="75"/>
        <v>2340</v>
      </c>
      <c r="G226" s="627"/>
      <c r="H226" s="224"/>
      <c r="I226" s="224">
        <f t="shared" si="76"/>
        <v>2340</v>
      </c>
      <c r="J226" s="167">
        <f t="shared" si="74"/>
        <v>0.15214564369310793</v>
      </c>
      <c r="K226" s="458"/>
      <c r="L226" s="163"/>
      <c r="M226" s="163"/>
    </row>
    <row r="227" spans="1:13">
      <c r="A227" s="158"/>
      <c r="B227" s="194" t="s">
        <v>315</v>
      </c>
      <c r="C227" s="504">
        <f>'[11]Sch D'!F9</f>
        <v>877</v>
      </c>
      <c r="D227" s="480"/>
      <c r="E227" s="480"/>
      <c r="F227" s="224">
        <f t="shared" si="75"/>
        <v>877</v>
      </c>
      <c r="G227" s="627"/>
      <c r="H227" s="224"/>
      <c r="I227" s="224">
        <f t="shared" si="76"/>
        <v>877</v>
      </c>
      <c r="J227" s="167">
        <f t="shared" si="74"/>
        <v>5.7022106631989596E-2</v>
      </c>
      <c r="K227" s="458"/>
      <c r="L227" s="163"/>
      <c r="M227" s="163"/>
    </row>
    <row r="228" spans="1:13">
      <c r="A228" s="158"/>
      <c r="B228" s="165" t="s">
        <v>65</v>
      </c>
      <c r="C228" s="504">
        <f>'[11]Sch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'[11]Sch D'!H9</f>
        <v>2436</v>
      </c>
      <c r="D229" s="480"/>
      <c r="E229" s="480"/>
      <c r="F229" s="224">
        <f t="shared" si="75"/>
        <v>2436</v>
      </c>
      <c r="G229" s="627"/>
      <c r="H229" s="224"/>
      <c r="I229" s="224">
        <f t="shared" si="76"/>
        <v>2436</v>
      </c>
      <c r="J229" s="167">
        <f t="shared" si="74"/>
        <v>0.15838751625487646</v>
      </c>
      <c r="K229" s="458"/>
      <c r="L229" s="163"/>
      <c r="M229" s="163"/>
    </row>
    <row r="230" spans="1:13">
      <c r="A230" s="158"/>
      <c r="B230" s="165" t="s">
        <v>219</v>
      </c>
      <c r="C230" s="504">
        <f>'[11]Sch D'!I9</f>
        <v>1972</v>
      </c>
      <c r="D230" s="480"/>
      <c r="E230" s="480"/>
      <c r="F230" s="224">
        <f t="shared" si="75"/>
        <v>1972</v>
      </c>
      <c r="G230" s="627"/>
      <c r="H230" s="224"/>
      <c r="I230" s="224">
        <f t="shared" si="76"/>
        <v>1972</v>
      </c>
      <c r="J230" s="167">
        <f t="shared" si="74"/>
        <v>0.1282184655396619</v>
      </c>
      <c r="K230" s="458"/>
      <c r="L230" s="163"/>
      <c r="M230" s="163"/>
    </row>
    <row r="231" spans="1:13">
      <c r="A231" s="158"/>
      <c r="B231" s="165" t="s">
        <v>218</v>
      </c>
      <c r="C231" s="504">
        <f>'[11]Sch D'!J9</f>
        <v>109</v>
      </c>
      <c r="D231" s="480"/>
      <c r="E231" s="480"/>
      <c r="F231" s="224">
        <f t="shared" si="75"/>
        <v>109</v>
      </c>
      <c r="G231" s="627"/>
      <c r="H231" s="224"/>
      <c r="I231" s="224">
        <f t="shared" si="76"/>
        <v>109</v>
      </c>
      <c r="J231" s="167">
        <f>IF($I$233=0,0,I231/$I$233)</f>
        <v>7.0871261378413521E-3</v>
      </c>
      <c r="K231" s="458"/>
      <c r="L231" s="163"/>
      <c r="M231" s="163"/>
    </row>
    <row r="232" spans="1:13">
      <c r="A232" s="158"/>
      <c r="B232" s="165" t="s">
        <v>170</v>
      </c>
      <c r="C232" s="504">
        <f>'[11]Sch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15380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15380</v>
      </c>
      <c r="G233" s="226">
        <f t="shared" si="78"/>
        <v>0</v>
      </c>
      <c r="H233" s="226">
        <f t="shared" si="78"/>
        <v>0</v>
      </c>
      <c r="I233" s="226">
        <f t="shared" si="78"/>
        <v>15380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'[11]Sch D'!N22</f>
        <v>52</v>
      </c>
      <c r="D236" s="480"/>
      <c r="E236" s="480"/>
      <c r="F236" s="224">
        <f>C236+E236</f>
        <v>52</v>
      </c>
      <c r="G236" s="627"/>
      <c r="H236" s="224"/>
      <c r="I236" s="224">
        <f>F236+G236+H236</f>
        <v>52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'[11]Sch D'!N24</f>
        <v>52</v>
      </c>
      <c r="D237" s="480"/>
      <c r="E237" s="480"/>
      <c r="F237" s="224">
        <f>C237+E237</f>
        <v>52</v>
      </c>
      <c r="G237" s="627"/>
      <c r="H237" s="224"/>
      <c r="I237" s="224">
        <f>F237+G237+H237</f>
        <v>52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'[11]Sch D'!N28</f>
        <v>18980</v>
      </c>
      <c r="D240" s="427"/>
      <c r="E240" s="427"/>
      <c r="F240" s="223">
        <f>F236*F238</f>
        <v>18980</v>
      </c>
      <c r="G240"/>
      <c r="H240" s="228"/>
      <c r="I240" s="223">
        <f>I236*I238</f>
        <v>18980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'[11]Sch D'!N30</f>
        <v>0.81032665964172812</v>
      </c>
      <c r="D241" s="228"/>
      <c r="E241" s="228"/>
      <c r="F241" s="232">
        <f>F233/F240</f>
        <v>0.81032665964172812</v>
      </c>
      <c r="G241"/>
      <c r="H241" s="233"/>
      <c r="I241" s="232">
        <f>I233/I240</f>
        <v>0.81032665964172812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'[11]Sch D'!N32</f>
        <v>0.40284510010537405</v>
      </c>
      <c r="D242" s="228"/>
      <c r="E242" s="228"/>
      <c r="F242" s="232">
        <f>(F224+F225)/F240</f>
        <v>0.40284510010537405</v>
      </c>
      <c r="G242"/>
      <c r="H242" s="233"/>
      <c r="I242" s="232">
        <f>(I224+I225)/I240</f>
        <v>0.40284510010537405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'[11]Sch D'!N34</f>
        <v>0.49713914174252272</v>
      </c>
      <c r="D243" s="228"/>
      <c r="E243" s="228"/>
      <c r="F243" s="232">
        <f>(F242/F241)</f>
        <v>0.49713914174252272</v>
      </c>
      <c r="G243"/>
      <c r="H243" s="233"/>
      <c r="I243" s="232">
        <f>(I242/I241)</f>
        <v>0.49713914174252272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'[11]Sch B'!C90</f>
        <v>264.64326765188832</v>
      </c>
      <c r="K246" s="460"/>
    </row>
    <row r="247" spans="1:13">
      <c r="H247" s="140" t="s">
        <v>322</v>
      </c>
      <c r="I247" s="480">
        <f>'[11]Sch B'!E90</f>
        <v>264.64326765188838</v>
      </c>
      <c r="K247" s="460"/>
    </row>
    <row r="248" spans="1:13">
      <c r="H248" s="140" t="s">
        <v>323</v>
      </c>
      <c r="I248" s="480">
        <f>'[11]Sch B'!G90</f>
        <v>264.64326765188832</v>
      </c>
      <c r="K248" s="460"/>
    </row>
    <row r="249" spans="1:13">
      <c r="H249" s="140" t="s">
        <v>324</v>
      </c>
      <c r="I249" s="480">
        <f>'[11]Sch B'!I90</f>
        <v>264.64326765188832</v>
      </c>
      <c r="K249" s="460"/>
    </row>
    <row r="250" spans="1:13">
      <c r="H250" s="140" t="s">
        <v>182</v>
      </c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 topLeftCell="B1">
      <selection activeCell="B1" sqref="B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5">
      <selection activeCell="A43" sqref="A43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5.832031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651" t="s">
        <v>542</v>
      </c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465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'[12]Sch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'[12]Sch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'[12]Sch B'!E10</f>
        <v>2612270</v>
      </c>
      <c r="D12" s="480">
        <f>'[12]Sch B'!G10</f>
        <v>0</v>
      </c>
      <c r="E12" s="480"/>
      <c r="F12" s="166">
        <f>C12+D12+E12</f>
        <v>2612270</v>
      </c>
      <c r="G12" s="626"/>
      <c r="H12" s="166"/>
      <c r="I12" s="166">
        <f>F12+G12+H12</f>
        <v>2612270</v>
      </c>
      <c r="J12" s="167">
        <f>IF($I$26=0,0,I12/$I$26)</f>
        <v>0.26921437513887014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'[12]Sch B'!E12</f>
        <v>0</v>
      </c>
      <c r="D13" s="480">
        <f>'[12]Sch B'!G12</f>
        <v>1904583</v>
      </c>
      <c r="E13" s="480"/>
      <c r="F13" s="166">
        <f t="shared" ref="F13:F25" si="0">C13+D13+E13</f>
        <v>1904583</v>
      </c>
      <c r="G13" s="626">
        <v>-1424007</v>
      </c>
      <c r="H13" s="166"/>
      <c r="I13" s="166">
        <f t="shared" ref="I13:I25" si="1">F13+G13+H13</f>
        <v>480576</v>
      </c>
      <c r="J13" s="167">
        <f>IF($I$26=0,0,I13/$I$26)</f>
        <v>4.9527027277707768E-2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'[12]Sch B'!E13</f>
        <v>12828</v>
      </c>
      <c r="D14" s="480">
        <f>'[12]Sch B'!G13</f>
        <v>0</v>
      </c>
      <c r="E14" s="480"/>
      <c r="F14" s="166">
        <f t="shared" si="0"/>
        <v>12828</v>
      </c>
      <c r="G14" s="626"/>
      <c r="H14" s="166"/>
      <c r="I14" s="166">
        <f t="shared" si="1"/>
        <v>12828</v>
      </c>
      <c r="J14" s="167">
        <f>IF($I$26=0,0,I14/$I$26)</f>
        <v>1.3220233759456055E-3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'[12]Sch B'!E14</f>
        <v>25065</v>
      </c>
      <c r="D15" s="480">
        <f>'[12]Sch B'!G14</f>
        <v>0</v>
      </c>
      <c r="E15" s="480"/>
      <c r="F15" s="166">
        <f t="shared" si="0"/>
        <v>25065</v>
      </c>
      <c r="G15" s="626"/>
      <c r="H15" s="166"/>
      <c r="I15" s="166">
        <f t="shared" si="1"/>
        <v>25065</v>
      </c>
      <c r="J15" s="167">
        <f>IF($I$26=0,0,I15/$I$26)</f>
        <v>2.5831396880321637E-3</v>
      </c>
      <c r="K15" s="463"/>
      <c r="L15" s="163"/>
      <c r="M15" s="163"/>
    </row>
    <row r="16" spans="1:16" s="162" customFormat="1">
      <c r="A16" s="164" t="s">
        <v>9</v>
      </c>
      <c r="B16" s="165" t="s">
        <v>382</v>
      </c>
      <c r="C16" s="480">
        <f>'[12]Sch B'!E15</f>
        <v>2650163</v>
      </c>
      <c r="D16" s="480">
        <f>'[12]Sch B'!G15</f>
        <v>1904583</v>
      </c>
      <c r="E16" s="480"/>
      <c r="F16" s="166">
        <f t="shared" si="0"/>
        <v>4554746</v>
      </c>
      <c r="G16" s="626"/>
      <c r="H16" s="166"/>
      <c r="I16" s="166">
        <f>SUM(I12:I15)</f>
        <v>3130739</v>
      </c>
      <c r="J16" s="167">
        <f t="shared" ref="J16:J26" si="2">IF($I$26=0,0,I16/$I$26)</f>
        <v>0.3226465654805557</v>
      </c>
      <c r="K16" s="594"/>
      <c r="L16" s="333" t="s">
        <v>325</v>
      </c>
      <c r="M16" s="334">
        <f>I26</f>
        <v>9703308</v>
      </c>
      <c r="O16" s="324">
        <f>IFERROR(I16/I224,0)</f>
        <v>235.46472623345366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'[12]Sch B'!E20</f>
        <v>0</v>
      </c>
      <c r="D17" s="480">
        <f>'[12]Sch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520"/>
      <c r="L17" s="335" t="s">
        <v>326</v>
      </c>
      <c r="M17" s="336">
        <f>I213</f>
        <v>9599566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'[12]Sch B'!E26</f>
        <v>3612614</v>
      </c>
      <c r="D18" s="480">
        <f>'[12]Sch B'!G26</f>
        <v>0</v>
      </c>
      <c r="E18" s="480"/>
      <c r="F18" s="166">
        <f t="shared" si="0"/>
        <v>3612614</v>
      </c>
      <c r="G18" s="626"/>
      <c r="H18" s="166"/>
      <c r="I18" s="166">
        <f t="shared" si="1"/>
        <v>3612614</v>
      </c>
      <c r="J18" s="167">
        <f t="shared" si="2"/>
        <v>0.37230746462958819</v>
      </c>
      <c r="K18" s="520"/>
      <c r="L18" s="335" t="s">
        <v>327</v>
      </c>
      <c r="M18" s="336">
        <f>I233</f>
        <v>29140</v>
      </c>
      <c r="O18" s="324">
        <f t="shared" si="3"/>
        <v>551.54412213740454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'[12]Sch B'!E32</f>
        <v>1877200</v>
      </c>
      <c r="D19" s="480">
        <f>'[12]Sch B'!G32</f>
        <v>0</v>
      </c>
      <c r="E19" s="480"/>
      <c r="F19" s="166">
        <f t="shared" si="0"/>
        <v>1877200</v>
      </c>
      <c r="G19" s="626"/>
      <c r="H19" s="166"/>
      <c r="I19" s="166">
        <f t="shared" si="1"/>
        <v>1877200</v>
      </c>
      <c r="J19" s="170">
        <f t="shared" si="2"/>
        <v>0.1934597974216628</v>
      </c>
      <c r="K19" s="520"/>
      <c r="L19" s="335" t="s">
        <v>328</v>
      </c>
      <c r="M19" s="336">
        <f>I236</f>
        <v>120</v>
      </c>
      <c r="O19" s="324">
        <f t="shared" si="3"/>
        <v>385.30377668308705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'[12]Sch B'!E37</f>
        <v>0</v>
      </c>
      <c r="D20" s="480">
        <f>'[12]Sch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520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'[12]Sch B'!E42</f>
        <v>663275</v>
      </c>
      <c r="D21" s="480">
        <f>'[12]Sch B'!G42</f>
        <v>0</v>
      </c>
      <c r="E21" s="480"/>
      <c r="F21" s="166">
        <f t="shared" si="0"/>
        <v>663275</v>
      </c>
      <c r="G21" s="626"/>
      <c r="H21" s="166"/>
      <c r="I21" s="166">
        <f t="shared" si="1"/>
        <v>663275</v>
      </c>
      <c r="J21" s="167">
        <f t="shared" si="2"/>
        <v>6.8355554621166312E-2</v>
      </c>
      <c r="K21" s="520"/>
      <c r="L21" s="337"/>
      <c r="M21" s="336"/>
      <c r="O21" s="324">
        <f t="shared" si="3"/>
        <v>289.13469921534437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412</v>
      </c>
      <c r="C22" s="480">
        <f>'[12]Sch B'!E47</f>
        <v>0</v>
      </c>
      <c r="D22" s="480">
        <f>'[12]Sch B'!G47</f>
        <v>353474</v>
      </c>
      <c r="E22" s="480"/>
      <c r="F22" s="166">
        <f t="shared" si="0"/>
        <v>353474</v>
      </c>
      <c r="G22" s="626"/>
      <c r="H22" s="166"/>
      <c r="I22" s="166">
        <f t="shared" si="1"/>
        <v>353474</v>
      </c>
      <c r="J22" s="167">
        <f t="shared" si="2"/>
        <v>3.6428195415419154E-2</v>
      </c>
      <c r="K22" s="594"/>
      <c r="L22" s="335" t="s">
        <v>148</v>
      </c>
      <c r="M22" s="336">
        <f>L213</f>
        <v>229170</v>
      </c>
      <c r="O22" s="324">
        <f t="shared" si="3"/>
        <v>194.75151515151515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413</v>
      </c>
      <c r="C23" s="480">
        <f>'[12]Sch B'!E52</f>
        <v>414431</v>
      </c>
      <c r="D23" s="480">
        <f>'[12]Sch B'!G52</f>
        <v>-353474</v>
      </c>
      <c r="E23" s="480"/>
      <c r="F23" s="166">
        <f t="shared" si="0"/>
        <v>60957</v>
      </c>
      <c r="G23" s="626"/>
      <c r="H23" s="166"/>
      <c r="I23" s="166">
        <f t="shared" si="1"/>
        <v>60957</v>
      </c>
      <c r="J23" s="167">
        <f t="shared" si="2"/>
        <v>6.2820844190455459E-3</v>
      </c>
      <c r="K23" s="594"/>
      <c r="L23" s="338" t="s">
        <v>233</v>
      </c>
      <c r="M23" s="339">
        <f>M213</f>
        <v>240273</v>
      </c>
      <c r="O23" s="324">
        <f t="shared" si="3"/>
        <v>194.75079872204472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'[12]Sch B'!E57</f>
        <v>0</v>
      </c>
      <c r="D24" s="480">
        <f>'[12]Sch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'[12]Sch B'!E72</f>
        <v>1940</v>
      </c>
      <c r="D25" s="480">
        <f>'[12]Sch B'!G72</f>
        <v>0</v>
      </c>
      <c r="E25" s="480"/>
      <c r="F25" s="166">
        <f t="shared" si="0"/>
        <v>1940</v>
      </c>
      <c r="G25" s="626">
        <v>3109</v>
      </c>
      <c r="H25" s="166"/>
      <c r="I25" s="166">
        <f t="shared" si="1"/>
        <v>5049</v>
      </c>
      <c r="J25" s="167">
        <f t="shared" si="2"/>
        <v>5.2033801256231378E-4</v>
      </c>
      <c r="K25" s="162" t="s">
        <v>657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9219623</v>
      </c>
      <c r="D26" s="480">
        <f t="shared" ref="D26:F26" si="4">SUM(D16:D25)</f>
        <v>1904583</v>
      </c>
      <c r="E26" s="480">
        <f t="shared" si="4"/>
        <v>0</v>
      </c>
      <c r="F26" s="166">
        <f t="shared" si="4"/>
        <v>11124206</v>
      </c>
      <c r="G26" s="166">
        <f>SUM(G12:G25)</f>
        <v>-1420898</v>
      </c>
      <c r="H26" s="166">
        <f>SUM(H12:H25)</f>
        <v>0</v>
      </c>
      <c r="I26" s="166">
        <f>SUM(I16:I25)</f>
        <v>9703308</v>
      </c>
      <c r="J26" s="167">
        <f t="shared" si="2"/>
        <v>1</v>
      </c>
      <c r="K26" s="458"/>
      <c r="L26" s="163"/>
      <c r="M26" s="163"/>
      <c r="O26" s="324">
        <f>IFERROR(I26/I233,0)</f>
        <v>332.98929306794781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'[12]Sch C'!D10</f>
        <v>90222</v>
      </c>
      <c r="D30" s="480">
        <f>'[12]Sch C'!F10</f>
        <v>0</v>
      </c>
      <c r="E30" s="480">
        <f>+'[12]Sch C'!H10</f>
        <v>0</v>
      </c>
      <c r="F30" s="166">
        <f t="shared" ref="F30:F65" si="5">C30+D30+E30</f>
        <v>90222</v>
      </c>
      <c r="G30" s="626">
        <v>6498</v>
      </c>
      <c r="H30" s="166"/>
      <c r="I30" s="166">
        <f t="shared" ref="I30:I65" si="6">F30+G30+H30</f>
        <v>96720</v>
      </c>
      <c r="J30" s="167">
        <f>IF($I$213=0,0,I30/$I$213)</f>
        <v>1.0075455494550483E-2</v>
      </c>
      <c r="K30" s="458"/>
      <c r="L30" s="176">
        <v>2200</v>
      </c>
      <c r="M30" s="176">
        <v>2256</v>
      </c>
      <c r="O30" s="324">
        <f>I30/I$233</f>
        <v>3.3191489361702127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'[12]Sch C'!D11</f>
        <v>0</v>
      </c>
      <c r="D31" s="480">
        <f>'[12]Sch C'!F11</f>
        <v>0</v>
      </c>
      <c r="E31" s="480">
        <f>+'[12]Sch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'[12]Sch C'!D12</f>
        <v>258465</v>
      </c>
      <c r="D32" s="480">
        <f>'[12]Sch C'!F12</f>
        <v>0</v>
      </c>
      <c r="E32" s="480">
        <f>+'[12]Sch C'!H12</f>
        <v>0</v>
      </c>
      <c r="F32" s="166">
        <f t="shared" si="5"/>
        <v>258465</v>
      </c>
      <c r="G32" s="626">
        <v>-36657</v>
      </c>
      <c r="H32" s="166"/>
      <c r="I32" s="166">
        <f t="shared" si="6"/>
        <v>221808</v>
      </c>
      <c r="J32" s="167">
        <f t="shared" si="7"/>
        <v>2.3106044585765647E-2</v>
      </c>
      <c r="K32" s="458"/>
      <c r="L32" s="176">
        <v>15561</v>
      </c>
      <c r="M32" s="176">
        <v>16332</v>
      </c>
      <c r="O32" s="324">
        <f t="shared" si="8"/>
        <v>7.611805078929307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414</v>
      </c>
      <c r="C33" s="480">
        <f>'[12]Sch C'!D13</f>
        <v>105482</v>
      </c>
      <c r="D33" s="480">
        <f>'[12]Sch C'!F13</f>
        <v>0</v>
      </c>
      <c r="E33" s="480">
        <f>+'[12]Sch C'!H13</f>
        <v>0</v>
      </c>
      <c r="F33" s="166">
        <f t="shared" si="5"/>
        <v>105482</v>
      </c>
      <c r="G33" s="626">
        <f>-6498-5377</f>
        <v>-11875</v>
      </c>
      <c r="H33" s="166"/>
      <c r="I33" s="166">
        <f t="shared" si="6"/>
        <v>93607</v>
      </c>
      <c r="J33" s="167">
        <f t="shared" si="7"/>
        <v>9.7511700008104541E-3</v>
      </c>
      <c r="K33" s="458"/>
      <c r="L33" s="163"/>
      <c r="M33" s="163"/>
      <c r="O33" s="324">
        <f t="shared" si="8"/>
        <v>3.2123198352779685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'[12]Sch C'!D14</f>
        <v>0</v>
      </c>
      <c r="D34" s="480">
        <f>'[12]Sch C'!F14</f>
        <v>0</v>
      </c>
      <c r="E34" s="480">
        <f>+'[12]Sch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'[12]Sch C'!D15</f>
        <v>0</v>
      </c>
      <c r="D35" s="480">
        <f>'[12]Sch C'!F15</f>
        <v>0</v>
      </c>
      <c r="E35" s="480">
        <f>+'[12]Sch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'[12]Sch C'!D16</f>
        <v>244542</v>
      </c>
      <c r="D36" s="480">
        <f>'[12]Sch C'!F16</f>
        <v>0</v>
      </c>
      <c r="E36" s="480">
        <f>+'[12]Sch C'!H16</f>
        <v>-34498</v>
      </c>
      <c r="F36" s="166">
        <f t="shared" si="5"/>
        <v>210044</v>
      </c>
      <c r="G36" s="626"/>
      <c r="H36" s="480">
        <v>103550</v>
      </c>
      <c r="I36" s="166">
        <f t="shared" si="6"/>
        <v>313594</v>
      </c>
      <c r="J36" s="167">
        <f t="shared" si="7"/>
        <v>3.2667518510732671E-2</v>
      </c>
      <c r="K36" s="458"/>
      <c r="L36" s="163"/>
      <c r="M36" s="163"/>
      <c r="O36" s="324">
        <f t="shared" si="8"/>
        <v>10.761633493479753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'[12]Sch C'!D17</f>
        <v>250</v>
      </c>
      <c r="D37" s="480">
        <f>'[12]Sch C'!F17</f>
        <v>-250</v>
      </c>
      <c r="E37" s="480">
        <f>+'[12]Sch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'[12]Sch C'!D18</f>
        <v>16194</v>
      </c>
      <c r="D38" s="480">
        <f>'[12]Sch C'!F18</f>
        <v>0</v>
      </c>
      <c r="E38" s="480">
        <f>+'[12]Sch C'!H18</f>
        <v>0</v>
      </c>
      <c r="F38" s="166">
        <f t="shared" si="5"/>
        <v>16194</v>
      </c>
      <c r="G38" s="626"/>
      <c r="H38" s="166"/>
      <c r="I38" s="166">
        <f t="shared" si="6"/>
        <v>16194</v>
      </c>
      <c r="J38" s="167">
        <f t="shared" si="7"/>
        <v>1.6869512642550715E-3</v>
      </c>
      <c r="K38" s="458"/>
      <c r="L38" s="163"/>
      <c r="M38" s="163"/>
      <c r="O38" s="324">
        <f t="shared" si="8"/>
        <v>0.55573095401509953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'[12]Sch C'!D19</f>
        <v>35387</v>
      </c>
      <c r="D39" s="480">
        <f>'[12]Sch C'!F19</f>
        <v>0</v>
      </c>
      <c r="E39" s="480">
        <f>+'[12]Sch C'!H19</f>
        <v>0</v>
      </c>
      <c r="F39" s="166">
        <f t="shared" si="5"/>
        <v>35387</v>
      </c>
      <c r="G39" s="626"/>
      <c r="H39" s="166"/>
      <c r="I39" s="166">
        <f t="shared" si="6"/>
        <v>35387</v>
      </c>
      <c r="J39" s="167">
        <f t="shared" si="7"/>
        <v>3.6863124853769432E-3</v>
      </c>
      <c r="K39" s="458"/>
      <c r="L39" s="163"/>
      <c r="M39" s="163"/>
      <c r="O39" s="324">
        <f t="shared" si="8"/>
        <v>1.2143788606726149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'[12]Sch C'!D20</f>
        <v>27457</v>
      </c>
      <c r="D40" s="480">
        <f>'[12]Sch C'!F20</f>
        <v>0</v>
      </c>
      <c r="E40" s="480">
        <f>+'[12]Sch C'!H20</f>
        <v>0</v>
      </c>
      <c r="F40" s="166">
        <f t="shared" si="5"/>
        <v>27457</v>
      </c>
      <c r="G40" s="626"/>
      <c r="H40" s="166"/>
      <c r="I40" s="166">
        <f t="shared" si="6"/>
        <v>27457</v>
      </c>
      <c r="J40" s="167">
        <f t="shared" si="7"/>
        <v>2.8602334730549275E-3</v>
      </c>
      <c r="K40" s="458"/>
      <c r="L40" s="163"/>
      <c r="M40" s="163"/>
      <c r="O40" s="324">
        <f t="shared" si="8"/>
        <v>0.94224433768016469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'[12]Sch C'!D21</f>
        <v>50243</v>
      </c>
      <c r="D41" s="480">
        <f>'[12]Sch C'!F21</f>
        <v>0</v>
      </c>
      <c r="E41" s="480">
        <f>+'[12]Sch C'!H21</f>
        <v>0</v>
      </c>
      <c r="F41" s="166">
        <f t="shared" si="5"/>
        <v>50243</v>
      </c>
      <c r="G41" s="626">
        <v>36657</v>
      </c>
      <c r="H41" s="166"/>
      <c r="I41" s="166">
        <f t="shared" si="6"/>
        <v>86900</v>
      </c>
      <c r="J41" s="167">
        <f t="shared" si="7"/>
        <v>9.0524925814354524E-3</v>
      </c>
      <c r="K41" s="458"/>
      <c r="L41" s="163"/>
      <c r="M41" s="163"/>
      <c r="O41" s="324">
        <f t="shared" si="8"/>
        <v>2.9821551132463968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'[12]Sch C'!D22</f>
        <v>0</v>
      </c>
      <c r="D42" s="480">
        <f>'[12]Sch C'!F22</f>
        <v>0</v>
      </c>
      <c r="E42" s="480">
        <f>+'[12]Sch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'[12]Sch C'!D23</f>
        <v>26609</v>
      </c>
      <c r="D43" s="480">
        <f>'[12]Sch C'!F23</f>
        <v>0</v>
      </c>
      <c r="E43" s="480">
        <f>+'[12]Sch C'!H23</f>
        <v>0</v>
      </c>
      <c r="F43" s="166">
        <f t="shared" si="5"/>
        <v>26609</v>
      </c>
      <c r="G43" s="626">
        <v>-21398</v>
      </c>
      <c r="H43" s="166"/>
      <c r="I43" s="166">
        <f t="shared" si="6"/>
        <v>5211</v>
      </c>
      <c r="J43" s="167">
        <f t="shared" si="7"/>
        <v>5.4283704075788427E-4</v>
      </c>
      <c r="K43" s="458"/>
      <c r="L43" s="163"/>
      <c r="M43" s="163"/>
      <c r="O43" s="324">
        <f t="shared" si="8"/>
        <v>0.17882635552505147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'[12]Sch C'!D24</f>
        <v>5581</v>
      </c>
      <c r="D44" s="480">
        <f>'[12]Sch C'!F24</f>
        <v>0</v>
      </c>
      <c r="E44" s="480">
        <f>+'[12]Sch C'!H24</f>
        <v>0</v>
      </c>
      <c r="F44" s="166">
        <f t="shared" si="5"/>
        <v>5581</v>
      </c>
      <c r="G44" s="626">
        <v>-5581</v>
      </c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'[12]Sch C'!D25</f>
        <v>0</v>
      </c>
      <c r="D45" s="480">
        <f>'[12]Sch C'!F25</f>
        <v>0</v>
      </c>
      <c r="E45" s="480">
        <f>+'[12]Sch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'[12]Sch C'!D26</f>
        <v>372093</v>
      </c>
      <c r="D46" s="480">
        <f>'[12]Sch C'!F26</f>
        <v>0</v>
      </c>
      <c r="E46" s="480">
        <f>+'[12]Sch C'!H26</f>
        <v>0</v>
      </c>
      <c r="F46" s="166">
        <f t="shared" si="5"/>
        <v>372093</v>
      </c>
      <c r="G46" s="626"/>
      <c r="H46" s="166"/>
      <c r="I46" s="166">
        <f t="shared" si="6"/>
        <v>372093</v>
      </c>
      <c r="J46" s="167">
        <f t="shared" si="7"/>
        <v>3.8761439840092768E-2</v>
      </c>
      <c r="K46" s="458"/>
      <c r="L46" s="163"/>
      <c r="M46" s="163"/>
      <c r="O46" s="324">
        <f t="shared" si="8"/>
        <v>12.769148936170213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'[12]Sch C'!D27</f>
        <v>0</v>
      </c>
      <c r="D47" s="480">
        <f>'[12]Sch C'!F27</f>
        <v>0</v>
      </c>
      <c r="E47" s="480">
        <f>+'[12]Sch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702</v>
      </c>
      <c r="C48" s="480">
        <v>0</v>
      </c>
      <c r="D48" s="480">
        <v>0</v>
      </c>
      <c r="E48" s="480">
        <f>+'[12]Sch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701</v>
      </c>
      <c r="C49" s="480">
        <v>916781</v>
      </c>
      <c r="D49" s="626">
        <v>-916781</v>
      </c>
      <c r="E49" s="480">
        <f>+'[12]Sch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'[12]Sch C'!D30</f>
        <v>0</v>
      </c>
      <c r="D50" s="480">
        <f>'[12]Sch C'!F30</f>
        <v>0</v>
      </c>
      <c r="E50" s="480">
        <f>+'[12]Sch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'[12]Sch C'!D31</f>
        <v>38504</v>
      </c>
      <c r="D51" s="480">
        <f>'[12]Sch C'!F31</f>
        <v>0</v>
      </c>
      <c r="E51" s="480">
        <f>+'[12]Sch C'!H31</f>
        <v>0</v>
      </c>
      <c r="F51" s="166">
        <f t="shared" si="5"/>
        <v>38504</v>
      </c>
      <c r="G51" s="626"/>
      <c r="H51" s="166"/>
      <c r="I51" s="166">
        <f t="shared" si="6"/>
        <v>38504</v>
      </c>
      <c r="J51" s="167">
        <f t="shared" si="7"/>
        <v>4.0110146646212966E-3</v>
      </c>
      <c r="K51" s="458"/>
      <c r="L51" s="163"/>
      <c r="M51" s="163"/>
      <c r="O51" s="324">
        <f t="shared" si="8"/>
        <v>1.3213452299245023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'[12]Sch C'!D32</f>
        <v>24296</v>
      </c>
      <c r="D52" s="480">
        <f>'[12]Sch C'!F32</f>
        <v>0</v>
      </c>
      <c r="E52" s="480">
        <f>+'[12]Sch C'!H32</f>
        <v>0</v>
      </c>
      <c r="F52" s="166">
        <f t="shared" si="5"/>
        <v>24296</v>
      </c>
      <c r="G52" s="626"/>
      <c r="H52" s="166"/>
      <c r="I52" s="166">
        <f t="shared" si="6"/>
        <v>24296</v>
      </c>
      <c r="J52" s="167">
        <f t="shared" si="7"/>
        <v>2.5309477532630123E-3</v>
      </c>
      <c r="K52" s="458"/>
      <c r="L52" s="163"/>
      <c r="M52" s="163"/>
      <c r="O52" s="324">
        <f t="shared" si="8"/>
        <v>0.83376801647220311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'[12]Sch C'!D33</f>
        <v>0</v>
      </c>
      <c r="D53" s="480">
        <f>'[12]Sch C'!F33</f>
        <v>0</v>
      </c>
      <c r="E53" s="480">
        <f>+'[12]Sch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'[12]Sch C'!D34</f>
        <v>0</v>
      </c>
      <c r="D54" s="480">
        <f>'[12]Sch C'!F34</f>
        <v>0</v>
      </c>
      <c r="E54" s="480">
        <f>+'[12]Sch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'[12]Sch C'!D35</f>
        <v>179</v>
      </c>
      <c r="D55" s="480">
        <f>'[12]Sch C'!F35</f>
        <v>-179</v>
      </c>
      <c r="E55" s="480">
        <f>+'[12]Sch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'[12]Sch C'!D36</f>
        <v>53442</v>
      </c>
      <c r="D56" s="480">
        <f>'[12]Sch C'!F36</f>
        <v>0</v>
      </c>
      <c r="E56" s="480">
        <f>+'[12]Sch C'!H36</f>
        <v>0</v>
      </c>
      <c r="F56" s="166">
        <f t="shared" si="5"/>
        <v>53442</v>
      </c>
      <c r="G56" s="626"/>
      <c r="H56" s="166"/>
      <c r="I56" s="166">
        <f t="shared" si="6"/>
        <v>53442</v>
      </c>
      <c r="J56" s="167">
        <f t="shared" si="7"/>
        <v>5.5671266805186817E-3</v>
      </c>
      <c r="K56" s="458"/>
      <c r="L56" s="176">
        <v>2852</v>
      </c>
      <c r="M56" s="176">
        <v>3002</v>
      </c>
      <c r="O56" s="324">
        <f t="shared" si="8"/>
        <v>1.8339739190116677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'[12]Sch C'!D37</f>
        <v>0</v>
      </c>
      <c r="D57" s="480">
        <f>'[12]Sch C'!F37</f>
        <v>0</v>
      </c>
      <c r="E57" s="480">
        <f>+'[12]Sch C'!H37</f>
        <v>0</v>
      </c>
      <c r="F57" s="166">
        <f t="shared" si="5"/>
        <v>0</v>
      </c>
      <c r="G57" s="626">
        <v>5377</v>
      </c>
      <c r="H57" s="166"/>
      <c r="I57" s="166">
        <f t="shared" si="6"/>
        <v>5377</v>
      </c>
      <c r="J57" s="167">
        <f t="shared" si="7"/>
        <v>5.6012948918732371E-4</v>
      </c>
      <c r="K57" s="458"/>
      <c r="L57" s="163"/>
      <c r="M57" s="163"/>
      <c r="O57" s="324">
        <f t="shared" si="8"/>
        <v>0.18452299245024023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'[12]Sch C'!D38</f>
        <v>0</v>
      </c>
      <c r="D58" s="480">
        <f>'[12]Sch C'!F38</f>
        <v>0</v>
      </c>
      <c r="E58" s="480">
        <f>+'[12]Sch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'[12]Sch C'!D39</f>
        <v>9671</v>
      </c>
      <c r="D59" s="480">
        <f>'[12]Sch C'!F39</f>
        <v>0</v>
      </c>
      <c r="E59" s="480">
        <f>+'[12]Sch C'!H39</f>
        <v>202</v>
      </c>
      <c r="F59" s="166">
        <f t="shared" si="5"/>
        <v>9873</v>
      </c>
      <c r="G59" s="626"/>
      <c r="H59" s="166"/>
      <c r="I59" s="166">
        <f t="shared" si="6"/>
        <v>9873</v>
      </c>
      <c r="J59" s="167">
        <f t="shared" si="7"/>
        <v>1.0284839960473214E-3</v>
      </c>
      <c r="K59" s="458"/>
      <c r="L59" s="163"/>
      <c r="M59" s="163"/>
      <c r="O59" s="324">
        <f t="shared" si="8"/>
        <v>0.33881262868908718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'[12]Sch C'!D40</f>
        <v>0</v>
      </c>
      <c r="D60" s="480">
        <f>'[12]Sch C'!F40</f>
        <v>0</v>
      </c>
      <c r="E60" s="480">
        <f>+'[12]Sch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'[12]Sch C'!D41</f>
        <v>69209</v>
      </c>
      <c r="D61" s="480">
        <f>'[12]Sch C'!F41</f>
        <v>0</v>
      </c>
      <c r="E61" s="480">
        <f>+'[12]Sch C'!H41</f>
        <v>0</v>
      </c>
      <c r="F61" s="166">
        <f t="shared" si="5"/>
        <v>69209</v>
      </c>
      <c r="G61" s="626">
        <v>5581</v>
      </c>
      <c r="H61" s="166"/>
      <c r="I61" s="166">
        <f t="shared" si="6"/>
        <v>74790</v>
      </c>
      <c r="J61" s="167">
        <f t="shared" si="7"/>
        <v>7.7909772170950227E-3</v>
      </c>
      <c r="K61" s="458"/>
      <c r="L61" s="163"/>
      <c r="M61" s="163"/>
      <c r="O61" s="324">
        <f t="shared" si="8"/>
        <v>2.5665751544269044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'[12]Sch C'!D42</f>
        <v>3684</v>
      </c>
      <c r="D62" s="480">
        <f>'[12]Sch C'!F42</f>
        <v>0</v>
      </c>
      <c r="E62" s="480">
        <f>+'[12]Sch C'!H42</f>
        <v>0</v>
      </c>
      <c r="F62" s="166">
        <f t="shared" si="5"/>
        <v>3684</v>
      </c>
      <c r="G62" s="626"/>
      <c r="H62" s="166"/>
      <c r="I62" s="166">
        <f t="shared" si="6"/>
        <v>3684</v>
      </c>
      <c r="J62" s="167">
        <f t="shared" si="7"/>
        <v>3.8376734948225783E-4</v>
      </c>
      <c r="K62" s="458"/>
      <c r="L62" s="163"/>
      <c r="M62" s="163"/>
      <c r="O62" s="324">
        <f t="shared" si="8"/>
        <v>0.12642415923129718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'[12]Sch C'!D43</f>
        <v>14753</v>
      </c>
      <c r="D63" s="480">
        <f>'[12]Sch C'!F43</f>
        <v>-14753</v>
      </c>
      <c r="E63" s="480">
        <f>+'[12]Sch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'[12]Sch C'!D44</f>
        <v>0</v>
      </c>
      <c r="D64" s="480">
        <f>'[12]Sch C'!F44</f>
        <v>0</v>
      </c>
      <c r="E64" s="480">
        <f>+'[12]Sch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'[12]Sch C'!D45</f>
        <v>13819</v>
      </c>
      <c r="D65" s="480">
        <f>'[12]Sch C'!F45</f>
        <v>-1940</v>
      </c>
      <c r="E65" s="480">
        <f>+'[12]Sch C'!H45</f>
        <v>0</v>
      </c>
      <c r="F65" s="166">
        <f t="shared" si="5"/>
        <v>11879</v>
      </c>
      <c r="G65" s="626">
        <v>-6011</v>
      </c>
      <c r="H65" s="166"/>
      <c r="I65" s="166">
        <f t="shared" si="6"/>
        <v>5868</v>
      </c>
      <c r="J65" s="167">
        <f t="shared" si="7"/>
        <v>6.1127763484307516E-4</v>
      </c>
      <c r="K65" s="162" t="s">
        <v>636</v>
      </c>
      <c r="L65" s="163"/>
      <c r="M65" s="163"/>
      <c r="O65" s="324">
        <f t="shared" si="8"/>
        <v>0.20137268359643101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2376863</v>
      </c>
      <c r="D66" s="480">
        <f t="shared" si="9"/>
        <v>-933903</v>
      </c>
      <c r="E66" s="480">
        <f t="shared" si="9"/>
        <v>-34296</v>
      </c>
      <c r="F66" s="166">
        <f t="shared" ref="F66:I66" si="10">SUM(F30:F65)</f>
        <v>1408664</v>
      </c>
      <c r="G66" s="166">
        <f t="shared" si="10"/>
        <v>-27409</v>
      </c>
      <c r="H66" s="166">
        <f t="shared" si="10"/>
        <v>103550</v>
      </c>
      <c r="I66" s="166">
        <f t="shared" si="10"/>
        <v>1484805</v>
      </c>
      <c r="J66" s="178">
        <f t="shared" si="7"/>
        <v>0.15467418006189029</v>
      </c>
      <c r="K66" s="465"/>
      <c r="L66" s="163"/>
      <c r="M66" s="163"/>
      <c r="O66" s="329">
        <f>I66/I$233</f>
        <v>50.954186684969116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'[12]Sch C'!D57</f>
        <v>808122</v>
      </c>
      <c r="D69" s="480">
        <f>'[12]Sch C'!F57</f>
        <v>0</v>
      </c>
      <c r="E69" s="480">
        <f>+'[12]Sch C'!H57</f>
        <v>-808122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'[12]Sch C'!D58</f>
        <v>0</v>
      </c>
      <c r="D70" s="480">
        <f>'[12]Sch C'!F58</f>
        <v>0</v>
      </c>
      <c r="E70" s="480">
        <f>+'[12]Sch C'!H58</f>
        <v>378890</v>
      </c>
      <c r="F70" s="166">
        <f t="shared" ref="F70:F83" si="13">C70+D70+E70</f>
        <v>378890</v>
      </c>
      <c r="G70" s="626"/>
      <c r="H70" s="166"/>
      <c r="I70" s="166">
        <f t="shared" ref="I70:I83" si="14">F70+G70+H70</f>
        <v>378890</v>
      </c>
      <c r="J70" s="167">
        <f t="shared" si="11"/>
        <v>3.9469492683315059E-2</v>
      </c>
      <c r="K70" s="458"/>
      <c r="L70" s="182"/>
      <c r="M70" s="163"/>
      <c r="O70" s="324">
        <f t="shared" si="12"/>
        <v>13.002402196293755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'[12]Sch C'!D59</f>
        <v>0</v>
      </c>
      <c r="D71" s="480">
        <f>'[12]Sch C'!F59</f>
        <v>0</v>
      </c>
      <c r="E71" s="480">
        <f>+'[12]Sch C'!H59</f>
        <v>416200</v>
      </c>
      <c r="F71" s="166">
        <f t="shared" si="13"/>
        <v>416200</v>
      </c>
      <c r="G71" s="626"/>
      <c r="H71" s="626">
        <v>44257</v>
      </c>
      <c r="I71" s="166">
        <f t="shared" si="14"/>
        <v>460457</v>
      </c>
      <c r="J71" s="167">
        <f t="shared" si="11"/>
        <v>4.7966439316110748E-2</v>
      </c>
      <c r="K71" s="458"/>
      <c r="L71" s="182"/>
      <c r="M71" s="163"/>
      <c r="O71" s="324">
        <f t="shared" si="12"/>
        <v>15.801544269045985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'[12]Sch C'!D60</f>
        <v>152019</v>
      </c>
      <c r="D72" s="480">
        <f>'[12]Sch C'!F60</f>
        <v>0</v>
      </c>
      <c r="E72" s="480">
        <f>+'[12]Sch C'!H60</f>
        <v>0</v>
      </c>
      <c r="F72" s="166">
        <f t="shared" si="13"/>
        <v>152019</v>
      </c>
      <c r="G72" s="626"/>
      <c r="H72" s="166"/>
      <c r="I72" s="166">
        <f t="shared" si="14"/>
        <v>152019</v>
      </c>
      <c r="J72" s="167">
        <f t="shared" si="11"/>
        <v>1.5836028420451509E-2</v>
      </c>
      <c r="K72" s="458"/>
      <c r="L72" s="185"/>
      <c r="M72" s="163"/>
      <c r="O72" s="324">
        <f t="shared" si="12"/>
        <v>5.2168496911461908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'[12]Sch C'!D61</f>
        <v>8013</v>
      </c>
      <c r="D73" s="480">
        <f>'[12]Sch C'!F61</f>
        <v>0</v>
      </c>
      <c r="E73" s="480">
        <f>+'[12]Sch C'!H61</f>
        <v>0</v>
      </c>
      <c r="F73" s="166">
        <f t="shared" si="13"/>
        <v>8013</v>
      </c>
      <c r="G73" s="626"/>
      <c r="H73" s="166"/>
      <c r="I73" s="166">
        <f t="shared" si="14"/>
        <v>8013</v>
      </c>
      <c r="J73" s="167">
        <f t="shared" si="11"/>
        <v>8.3472523653673511E-4</v>
      </c>
      <c r="K73" s="458"/>
      <c r="L73" s="185"/>
      <c r="M73" s="163"/>
      <c r="O73" s="324">
        <f t="shared" si="12"/>
        <v>0.27498284145504459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'[12]Sch C'!D62</f>
        <v>0</v>
      </c>
      <c r="D74" s="480">
        <f>'[12]Sch C'!F62</f>
        <v>0</v>
      </c>
      <c r="E74" s="480">
        <f>+'[12]Sch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'[12]Sch C'!D63</f>
        <v>0</v>
      </c>
      <c r="D75" s="480">
        <f>'[12]Sch C'!F63</f>
        <v>0</v>
      </c>
      <c r="E75" s="480">
        <f>+'[12]Sch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'[12]Sch C'!D64</f>
        <v>0</v>
      </c>
      <c r="D76" s="480">
        <f>'[12]Sch C'!F64</f>
        <v>0</v>
      </c>
      <c r="E76" s="480">
        <f>+'[12]Sch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'[12]Sch C'!D65</f>
        <v>0</v>
      </c>
      <c r="D77" s="480">
        <f>'[12]Sch C'!F65</f>
        <v>0</v>
      </c>
      <c r="E77" s="480">
        <f>+'[12]Sch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'[12]Sch C'!D66</f>
        <v>25944</v>
      </c>
      <c r="D78" s="480">
        <f>'[12]Sch C'!F66</f>
        <v>0</v>
      </c>
      <c r="E78" s="480">
        <f>+'[12]Sch C'!H66</f>
        <v>0</v>
      </c>
      <c r="F78" s="166">
        <f t="shared" si="13"/>
        <v>25944</v>
      </c>
      <c r="G78" s="626"/>
      <c r="H78" s="166"/>
      <c r="I78" s="166">
        <f t="shared" si="14"/>
        <v>25944</v>
      </c>
      <c r="J78" s="167">
        <f t="shared" si="11"/>
        <v>2.7026221810444347E-3</v>
      </c>
      <c r="K78" s="458"/>
      <c r="L78" s="187"/>
      <c r="M78" s="163"/>
      <c r="O78" s="324">
        <f t="shared" si="12"/>
        <v>0.89032258064516134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'[12]Sch C'!D67</f>
        <v>0</v>
      </c>
      <c r="D79" s="480">
        <f>'[12]Sch C'!F67</f>
        <v>0</v>
      </c>
      <c r="E79" s="480">
        <f>+'[12]Sch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'[12]Sch C'!D68</f>
        <v>0</v>
      </c>
      <c r="D80" s="480">
        <f>'[12]Sch C'!F68</f>
        <v>0</v>
      </c>
      <c r="E80" s="480">
        <f>+'[12]Sch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'[12]Sch C'!D69</f>
        <v>256</v>
      </c>
      <c r="D81" s="480">
        <f>'[12]Sch C'!F69</f>
        <v>0</v>
      </c>
      <c r="E81" s="480">
        <f>+'[12]Sch C'!H69</f>
        <v>0</v>
      </c>
      <c r="F81" s="166">
        <f t="shared" si="13"/>
        <v>256</v>
      </c>
      <c r="G81" s="626"/>
      <c r="H81" s="166"/>
      <c r="I81" s="166">
        <f t="shared" si="14"/>
        <v>256</v>
      </c>
      <c r="J81" s="167">
        <f t="shared" si="11"/>
        <v>2.6667872276725843E-5</v>
      </c>
      <c r="K81" s="458"/>
      <c r="L81" s="187"/>
      <c r="M81" s="163"/>
      <c r="O81" s="324">
        <f t="shared" si="12"/>
        <v>8.7851750171585447E-3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'[12]Sch C'!D70</f>
        <v>0</v>
      </c>
      <c r="D82" s="480">
        <f>'[12]Sch C'!F70</f>
        <v>0</v>
      </c>
      <c r="E82" s="480">
        <f>+'[12]Sch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'[12]Sch C'!D71</f>
        <v>0</v>
      </c>
      <c r="D83" s="480">
        <f>'[12]Sch C'!F71</f>
        <v>0</v>
      </c>
      <c r="E83" s="480">
        <f>+'[12]Sch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994354</v>
      </c>
      <c r="D84" s="480">
        <f t="shared" si="15"/>
        <v>0</v>
      </c>
      <c r="E84" s="480">
        <f t="shared" si="15"/>
        <v>-13032</v>
      </c>
      <c r="F84" s="166">
        <f t="shared" ref="F84:I84" si="16">SUM(F69:F83)</f>
        <v>981322</v>
      </c>
      <c r="G84" s="166">
        <f t="shared" si="16"/>
        <v>0</v>
      </c>
      <c r="H84" s="166">
        <f t="shared" si="16"/>
        <v>44257</v>
      </c>
      <c r="I84" s="166">
        <f t="shared" si="16"/>
        <v>1025579</v>
      </c>
      <c r="J84" s="167">
        <f t="shared" si="11"/>
        <v>0.10683597570973521</v>
      </c>
      <c r="K84" s="458"/>
      <c r="L84" s="187"/>
      <c r="M84" s="163"/>
      <c r="O84" s="324">
        <f t="shared" si="12"/>
        <v>35.194886753603292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'[12]Sch C'!D75</f>
        <v>47777</v>
      </c>
      <c r="D87" s="480">
        <f>'[12]Sch C'!F75</f>
        <v>0</v>
      </c>
      <c r="E87" s="480">
        <f>+'[12]Sch C'!H75</f>
        <v>0</v>
      </c>
      <c r="F87" s="166">
        <f t="shared" ref="F87:F97" si="17">C87+D87+E87</f>
        <v>47777</v>
      </c>
      <c r="G87" s="626"/>
      <c r="H87" s="166"/>
      <c r="I87" s="166">
        <f t="shared" ref="I87:I97" si="18">F87+G87+H87</f>
        <v>47777</v>
      </c>
      <c r="J87" s="167">
        <f t="shared" ref="J87:J98" si="19">IF($I$213=0,0,I87/$I$213)</f>
        <v>4.9769958350200415E-3</v>
      </c>
      <c r="K87" s="458"/>
      <c r="L87" s="176">
        <v>2852</v>
      </c>
      <c r="M87" s="176">
        <v>3002</v>
      </c>
      <c r="O87" s="324">
        <f t="shared" ref="O87:O97" si="20">I87/I$233</f>
        <v>1.6395676046671241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'[12]Sch C'!D76</f>
        <v>6362</v>
      </c>
      <c r="D88" s="480">
        <f>'[12]Sch C'!F76</f>
        <v>0</v>
      </c>
      <c r="E88" s="480">
        <f>+'[12]Sch C'!H76</f>
        <v>0</v>
      </c>
      <c r="F88" s="166">
        <f t="shared" si="17"/>
        <v>6362</v>
      </c>
      <c r="G88" s="626"/>
      <c r="H88" s="166"/>
      <c r="I88" s="166">
        <f t="shared" si="18"/>
        <v>6362</v>
      </c>
      <c r="J88" s="167">
        <f t="shared" si="19"/>
        <v>6.6273829462706955E-4</v>
      </c>
      <c r="K88" s="458"/>
      <c r="L88" s="163"/>
      <c r="M88" s="163"/>
      <c r="O88" s="324">
        <f t="shared" si="20"/>
        <v>0.21832532601235416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'[12]Sch C'!D77</f>
        <v>14573</v>
      </c>
      <c r="D89" s="480">
        <f>'[12]Sch C'!F77</f>
        <v>0</v>
      </c>
      <c r="E89" s="480">
        <f>+'[12]Sch C'!H77</f>
        <v>0</v>
      </c>
      <c r="F89" s="166">
        <f t="shared" si="17"/>
        <v>14573</v>
      </c>
      <c r="G89" s="626"/>
      <c r="H89" s="166"/>
      <c r="I89" s="166">
        <f t="shared" si="18"/>
        <v>14573</v>
      </c>
      <c r="J89" s="167">
        <f t="shared" si="19"/>
        <v>1.5180894636278349E-3</v>
      </c>
      <c r="K89" s="458"/>
      <c r="L89" s="163"/>
      <c r="M89" s="163"/>
      <c r="O89" s="324">
        <f t="shared" si="20"/>
        <v>0.50010295126973237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'[12]Sch C'!D78</f>
        <v>51054</v>
      </c>
      <c r="D90" s="480">
        <f>'[12]Sch C'!F78</f>
        <v>0</v>
      </c>
      <c r="E90" s="480">
        <f>+'[12]Sch C'!H78</f>
        <v>0</v>
      </c>
      <c r="F90" s="166">
        <f t="shared" si="17"/>
        <v>51054</v>
      </c>
      <c r="G90" s="626">
        <f>-42097+45871</f>
        <v>3774</v>
      </c>
      <c r="H90" s="166"/>
      <c r="I90" s="166">
        <f t="shared" si="18"/>
        <v>54828</v>
      </c>
      <c r="J90" s="167">
        <f t="shared" si="19"/>
        <v>5.7115082077668928E-3</v>
      </c>
      <c r="K90" s="458"/>
      <c r="L90" s="163"/>
      <c r="M90" s="163"/>
      <c r="O90" s="324">
        <f t="shared" si="20"/>
        <v>1.8815374056280028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'[12]Sch C'!D79</f>
        <v>8957</v>
      </c>
      <c r="D91" s="480">
        <f>'[12]Sch C'!F79</f>
        <v>0</v>
      </c>
      <c r="E91" s="480">
        <f>+'[12]Sch C'!H79</f>
        <v>0</v>
      </c>
      <c r="F91" s="166">
        <f t="shared" si="17"/>
        <v>8957</v>
      </c>
      <c r="G91" s="626">
        <v>31082</v>
      </c>
      <c r="H91" s="166"/>
      <c r="I91" s="166">
        <f t="shared" si="18"/>
        <v>40039</v>
      </c>
      <c r="J91" s="167">
        <f t="shared" si="19"/>
        <v>4.1709177269055701E-3</v>
      </c>
      <c r="K91" s="458"/>
      <c r="L91" s="163"/>
      <c r="M91" s="163"/>
      <c r="O91" s="324">
        <f t="shared" si="20"/>
        <v>1.374021962937543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'[12]Sch C'!D80</f>
        <v>40039</v>
      </c>
      <c r="D92" s="480">
        <f>'[12]Sch C'!F80</f>
        <v>0</v>
      </c>
      <c r="E92" s="480">
        <f>+'[12]Sch C'!H80</f>
        <v>0</v>
      </c>
      <c r="F92" s="166">
        <f t="shared" si="17"/>
        <v>40039</v>
      </c>
      <c r="G92" s="626">
        <v>11015</v>
      </c>
      <c r="H92" s="166"/>
      <c r="I92" s="166">
        <f t="shared" si="18"/>
        <v>51054</v>
      </c>
      <c r="J92" s="167">
        <f t="shared" si="19"/>
        <v>5.3183654344373483E-3</v>
      </c>
      <c r="K92" s="458"/>
      <c r="L92" s="163"/>
      <c r="M92" s="163"/>
      <c r="O92" s="324">
        <f t="shared" si="20"/>
        <v>1.7520247083047358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'[12]Sch C'!D81</f>
        <v>1160</v>
      </c>
      <c r="D93" s="480">
        <f>'[12]Sch C'!F81</f>
        <v>0</v>
      </c>
      <c r="E93" s="480">
        <f>+'[12]Sch C'!H81</f>
        <v>0</v>
      </c>
      <c r="F93" s="166">
        <f t="shared" si="17"/>
        <v>1160</v>
      </c>
      <c r="G93" s="626"/>
      <c r="H93" s="166"/>
      <c r="I93" s="166">
        <f t="shared" si="18"/>
        <v>1160</v>
      </c>
      <c r="J93" s="167">
        <f t="shared" si="19"/>
        <v>1.2083879625391398E-4</v>
      </c>
      <c r="K93" s="458"/>
      <c r="L93" s="163"/>
      <c r="M93" s="163"/>
      <c r="O93" s="324">
        <f t="shared" si="20"/>
        <v>3.9807824296499657E-2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'[12]Sch C'!D82</f>
        <v>13501</v>
      </c>
      <c r="D94" s="480">
        <f>'[12]Sch C'!F82</f>
        <v>0</v>
      </c>
      <c r="E94" s="480">
        <f>+'[12]Sch C'!H82</f>
        <v>0</v>
      </c>
      <c r="F94" s="166">
        <f t="shared" si="17"/>
        <v>13501</v>
      </c>
      <c r="G94" s="626"/>
      <c r="H94" s="166"/>
      <c r="I94" s="166">
        <f t="shared" si="18"/>
        <v>13501</v>
      </c>
      <c r="J94" s="167">
        <f t="shared" si="19"/>
        <v>1.4064177484690453E-3</v>
      </c>
      <c r="K94" s="458"/>
      <c r="L94" s="163"/>
      <c r="M94" s="163"/>
      <c r="O94" s="324">
        <f t="shared" si="20"/>
        <v>0.4633150308853809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'[12]Sch C'!D83</f>
        <v>1186</v>
      </c>
      <c r="D95" s="480">
        <f>'[12]Sch C'!F83</f>
        <v>0</v>
      </c>
      <c r="E95" s="480">
        <f>+'[12]Sch C'!H83</f>
        <v>0</v>
      </c>
      <c r="F95" s="166">
        <f t="shared" si="17"/>
        <v>1186</v>
      </c>
      <c r="G95" s="626">
        <v>21398</v>
      </c>
      <c r="H95" s="166"/>
      <c r="I95" s="166">
        <f t="shared" si="18"/>
        <v>22584</v>
      </c>
      <c r="J95" s="167">
        <f t="shared" si="19"/>
        <v>2.352606357412408E-3</v>
      </c>
      <c r="K95" s="458"/>
      <c r="L95" s="163"/>
      <c r="M95" s="163"/>
      <c r="O95" s="324">
        <f t="shared" si="20"/>
        <v>0.77501715854495534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'[12]Sch C'!D84</f>
        <v>154745</v>
      </c>
      <c r="D96" s="480">
        <f>'[12]Sch C'!F84</f>
        <v>0</v>
      </c>
      <c r="E96" s="480">
        <f>+'[12]Sch C'!H84</f>
        <v>0</v>
      </c>
      <c r="F96" s="166">
        <f t="shared" si="17"/>
        <v>154745</v>
      </c>
      <c r="G96" s="626"/>
      <c r="H96" s="166"/>
      <c r="I96" s="166">
        <f t="shared" si="18"/>
        <v>154745</v>
      </c>
      <c r="J96" s="167">
        <f t="shared" si="19"/>
        <v>1.6119999591648206E-2</v>
      </c>
      <c r="K96" s="458"/>
      <c r="L96" s="163"/>
      <c r="M96" s="163"/>
      <c r="O96" s="324">
        <f t="shared" si="20"/>
        <v>5.3103980782429652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'[12]Sch C'!D85</f>
        <v>0</v>
      </c>
      <c r="D97" s="480">
        <f>'[12]Sch C'!F85</f>
        <v>0</v>
      </c>
      <c r="E97" s="480">
        <f>+'[12]Sch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339354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339354</v>
      </c>
      <c r="G98" s="166">
        <f t="shared" si="22"/>
        <v>67269</v>
      </c>
      <c r="H98" s="166">
        <f t="shared" si="22"/>
        <v>0</v>
      </c>
      <c r="I98" s="166">
        <f t="shared" si="22"/>
        <v>406623</v>
      </c>
      <c r="J98" s="167">
        <f t="shared" si="19"/>
        <v>4.2358477456168331E-2</v>
      </c>
      <c r="K98" s="458"/>
      <c r="L98" s="163"/>
      <c r="M98" s="163"/>
      <c r="O98" s="329">
        <f>I98/I$233</f>
        <v>13.954118050789294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'[12]Sch C'!D89</f>
        <v>272042</v>
      </c>
      <c r="D101" s="480">
        <f>'[12]Sch C'!F89</f>
        <v>0</v>
      </c>
      <c r="E101" s="480">
        <f>+'[12]Sch C'!H89</f>
        <v>0</v>
      </c>
      <c r="F101" s="166">
        <f t="shared" ref="F101:F106" si="23">C101+D101+E101</f>
        <v>272042</v>
      </c>
      <c r="G101" s="626"/>
      <c r="H101" s="166"/>
      <c r="I101" s="166">
        <f t="shared" ref="I101:I106" si="24">F101+G101+H101</f>
        <v>272042</v>
      </c>
      <c r="J101" s="167">
        <f t="shared" ref="J101:J107" si="25">IF($I$213=0,0,I101/$I$213)</f>
        <v>2.833898949181661E-2</v>
      </c>
      <c r="K101" s="458"/>
      <c r="L101" s="176">
        <v>25195</v>
      </c>
      <c r="M101" s="176">
        <v>26299</v>
      </c>
      <c r="O101" s="329">
        <f t="shared" ref="O101:O106" si="26">I101/I$233</f>
        <v>9.3356897735072071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'[12]Sch C'!D90</f>
        <v>30114</v>
      </c>
      <c r="D102" s="480">
        <f>'[12]Sch C'!F90</f>
        <v>0</v>
      </c>
      <c r="E102" s="480">
        <f>+'[12]Sch C'!H90</f>
        <v>0</v>
      </c>
      <c r="F102" s="166">
        <f t="shared" si="23"/>
        <v>30114</v>
      </c>
      <c r="G102" s="626"/>
      <c r="H102" s="166"/>
      <c r="I102" s="166">
        <f t="shared" si="24"/>
        <v>30114</v>
      </c>
      <c r="J102" s="167">
        <f t="shared" si="25"/>
        <v>3.1370168193020393E-3</v>
      </c>
      <c r="K102" s="458"/>
      <c r="L102" s="163"/>
      <c r="M102" s="163"/>
      <c r="O102" s="329">
        <f t="shared" si="26"/>
        <v>1.0334248455730954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'[12]Sch C'!D91</f>
        <v>16049</v>
      </c>
      <c r="D103" s="480">
        <f>'[12]Sch C'!F91</f>
        <v>0</v>
      </c>
      <c r="E103" s="480">
        <f>+'[12]Sch C'!H91</f>
        <v>0</v>
      </c>
      <c r="F103" s="166">
        <f t="shared" si="23"/>
        <v>16049</v>
      </c>
      <c r="G103" s="626"/>
      <c r="H103" s="166"/>
      <c r="I103" s="166">
        <f t="shared" si="24"/>
        <v>16049</v>
      </c>
      <c r="J103" s="167">
        <f t="shared" si="25"/>
        <v>1.6718464147233323E-3</v>
      </c>
      <c r="K103" s="458"/>
      <c r="L103" s="163"/>
      <c r="M103" s="163"/>
      <c r="O103" s="329">
        <f t="shared" si="26"/>
        <v>0.55075497597803702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'[12]Sch C'!D92</f>
        <v>236681</v>
      </c>
      <c r="D104" s="480">
        <f>'[12]Sch C'!F92</f>
        <v>0</v>
      </c>
      <c r="E104" s="480">
        <f>+'[12]Sch C'!H92</f>
        <v>0</v>
      </c>
      <c r="F104" s="166">
        <f t="shared" si="23"/>
        <v>236681</v>
      </c>
      <c r="G104" s="626"/>
      <c r="H104" s="166"/>
      <c r="I104" s="166">
        <f t="shared" si="24"/>
        <v>236681</v>
      </c>
      <c r="J104" s="167">
        <f t="shared" si="25"/>
        <v>2.4655385462217769E-2</v>
      </c>
      <c r="K104" s="458"/>
      <c r="L104" s="163"/>
      <c r="M104" s="163"/>
      <c r="O104" s="329">
        <f t="shared" si="26"/>
        <v>8.1222031571722724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'[12]Sch C'!D93</f>
        <v>21069</v>
      </c>
      <c r="D105" s="480">
        <f>'[12]Sch C'!F93</f>
        <v>0</v>
      </c>
      <c r="E105" s="480">
        <f>+'[12]Sch C'!H93</f>
        <v>0</v>
      </c>
      <c r="F105" s="166">
        <f t="shared" si="23"/>
        <v>21069</v>
      </c>
      <c r="G105" s="626"/>
      <c r="H105" s="166"/>
      <c r="I105" s="166">
        <f t="shared" si="24"/>
        <v>21069</v>
      </c>
      <c r="J105" s="167">
        <f t="shared" si="25"/>
        <v>2.1947867226497532E-3</v>
      </c>
      <c r="K105" s="458"/>
      <c r="L105" s="163"/>
      <c r="M105" s="163"/>
      <c r="O105" s="329">
        <f t="shared" si="26"/>
        <v>0.72302676733013038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'[12]Sch C'!D94</f>
        <v>0</v>
      </c>
      <c r="D106" s="480">
        <f>'[12]Sch C'!F94</f>
        <v>0</v>
      </c>
      <c r="E106" s="480">
        <f>+'[12]Sch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575955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575955</v>
      </c>
      <c r="G107" s="166">
        <f t="shared" si="28"/>
        <v>0</v>
      </c>
      <c r="H107" s="166">
        <f t="shared" si="28"/>
        <v>0</v>
      </c>
      <c r="I107" s="166">
        <f t="shared" si="28"/>
        <v>575955</v>
      </c>
      <c r="J107" s="167">
        <f t="shared" si="25"/>
        <v>5.9998024910709505E-2</v>
      </c>
      <c r="K107" s="458"/>
      <c r="L107" s="163"/>
      <c r="M107" s="163"/>
      <c r="O107" s="329">
        <f>I107/I$233</f>
        <v>19.765099519560742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'[12]Sch C'!D98</f>
        <v>84</v>
      </c>
      <c r="D110" s="480">
        <f>'[12]Sch C'!F98</f>
        <v>0</v>
      </c>
      <c r="E110" s="480">
        <f>+'[12]Sch C'!H98</f>
        <v>0</v>
      </c>
      <c r="F110" s="166">
        <f t="shared" ref="F110:F115" si="29">C110+D110+E110</f>
        <v>84</v>
      </c>
      <c r="G110" s="626"/>
      <c r="H110" s="166"/>
      <c r="I110" s="166">
        <f t="shared" ref="I110:I115" si="30">F110+G110+H110</f>
        <v>84</v>
      </c>
      <c r="J110" s="167">
        <f t="shared" ref="J110:J116" si="31">IF($I$213=0,0,I110/$I$213)</f>
        <v>8.7503955908006676E-6</v>
      </c>
      <c r="K110" s="458"/>
      <c r="L110" s="176">
        <v>16</v>
      </c>
      <c r="M110" s="176">
        <v>16</v>
      </c>
      <c r="O110" s="329">
        <f t="shared" ref="O110:O115" si="32">I110/I$233</f>
        <v>2.8826355525051477E-3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'[12]Sch C'!D99</f>
        <v>7</v>
      </c>
      <c r="D111" s="480">
        <f>'[12]Sch C'!F99</f>
        <v>0</v>
      </c>
      <c r="E111" s="480">
        <f>+'[12]Sch C'!H99</f>
        <v>0</v>
      </c>
      <c r="F111" s="166">
        <f t="shared" si="29"/>
        <v>7</v>
      </c>
      <c r="G111" s="626"/>
      <c r="H111" s="166"/>
      <c r="I111" s="166">
        <f t="shared" si="30"/>
        <v>7</v>
      </c>
      <c r="J111" s="167">
        <f t="shared" si="31"/>
        <v>7.291996325667223E-7</v>
      </c>
      <c r="K111" s="458"/>
      <c r="L111" s="163"/>
      <c r="M111" s="163"/>
      <c r="O111" s="329">
        <f t="shared" si="32"/>
        <v>2.4021962937542896E-4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'[12]Sch C'!D100</f>
        <v>1871</v>
      </c>
      <c r="D112" s="480">
        <f>'[12]Sch C'!F100</f>
        <v>0</v>
      </c>
      <c r="E112" s="480">
        <f>+'[12]Sch C'!H100</f>
        <v>0</v>
      </c>
      <c r="F112" s="166">
        <f t="shared" si="29"/>
        <v>1871</v>
      </c>
      <c r="G112" s="626"/>
      <c r="H112" s="166"/>
      <c r="I112" s="166">
        <f t="shared" si="30"/>
        <v>1871</v>
      </c>
      <c r="J112" s="167">
        <f t="shared" si="31"/>
        <v>1.9490464464747676E-4</v>
      </c>
      <c r="K112" s="458"/>
      <c r="L112" s="163"/>
      <c r="M112" s="163"/>
      <c r="O112" s="329">
        <f t="shared" si="32"/>
        <v>6.4207275223061078E-2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'[12]Sch C'!D101</f>
        <v>0</v>
      </c>
      <c r="D113" s="480">
        <f>'[12]Sch C'!F101</f>
        <v>0</v>
      </c>
      <c r="E113" s="480">
        <f>+'[12]Sch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'[12]Sch C'!D102</f>
        <v>3829</v>
      </c>
      <c r="D114" s="480">
        <f>'[12]Sch C'!F102</f>
        <v>0</v>
      </c>
      <c r="E114" s="480">
        <f>+'[12]Sch C'!H102</f>
        <v>0</v>
      </c>
      <c r="F114" s="166">
        <f t="shared" si="29"/>
        <v>3829</v>
      </c>
      <c r="G114" s="626"/>
      <c r="H114" s="166"/>
      <c r="I114" s="166">
        <f t="shared" si="30"/>
        <v>3829</v>
      </c>
      <c r="J114" s="167">
        <f t="shared" si="31"/>
        <v>3.9887219901399711E-4</v>
      </c>
      <c r="K114" s="458"/>
      <c r="L114" s="163"/>
      <c r="M114" s="163"/>
      <c r="O114" s="329">
        <f t="shared" si="32"/>
        <v>0.13140013726835964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'[12]Sch C'!D103</f>
        <v>0</v>
      </c>
      <c r="D115" s="480">
        <f>'[12]Sch C'!F103</f>
        <v>0</v>
      </c>
      <c r="E115" s="480">
        <f>+'[12]Sch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5791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5791</v>
      </c>
      <c r="G116" s="166">
        <f t="shared" si="34"/>
        <v>0</v>
      </c>
      <c r="H116" s="166">
        <f t="shared" si="34"/>
        <v>0</v>
      </c>
      <c r="I116" s="166">
        <f t="shared" si="34"/>
        <v>5791</v>
      </c>
      <c r="J116" s="167">
        <f t="shared" si="31"/>
        <v>6.0325643888484127E-4</v>
      </c>
      <c r="K116" s="458"/>
      <c r="L116" s="163"/>
      <c r="M116" s="163"/>
      <c r="O116" s="329">
        <f>I116/I$233</f>
        <v>0.19873026767330129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'[12]Sch C'!D115</f>
        <v>126831</v>
      </c>
      <c r="D119" s="480">
        <f>'[12]Sch C'!F115</f>
        <v>0</v>
      </c>
      <c r="E119" s="480">
        <f>+'[12]Sch C'!H115</f>
        <v>0</v>
      </c>
      <c r="F119" s="166">
        <f t="shared" ref="F119:F123" si="35">C119+D119+E119</f>
        <v>126831</v>
      </c>
      <c r="G119" s="626"/>
      <c r="H119" s="166"/>
      <c r="I119" s="166">
        <f t="shared" ref="I119:I123" si="36">F119+G119+H119</f>
        <v>126831</v>
      </c>
      <c r="J119" s="167">
        <f t="shared" ref="J119:J124" si="37">IF($I$213=0,0,I119/$I$213)</f>
        <v>1.3212159799724279E-2</v>
      </c>
      <c r="K119" s="458"/>
      <c r="L119" s="176">
        <v>12424</v>
      </c>
      <c r="M119" s="176">
        <v>13197</v>
      </c>
      <c r="O119" s="329">
        <f t="shared" ref="O119:O124" si="38">I119/I$233</f>
        <v>4.3524708304735755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'[12]Sch C'!D116</f>
        <v>20274</v>
      </c>
      <c r="D120" s="480">
        <f>'[12]Sch C'!F116</f>
        <v>0</v>
      </c>
      <c r="E120" s="480">
        <f>+'[12]Sch C'!H116</f>
        <v>0</v>
      </c>
      <c r="F120" s="166">
        <f t="shared" si="35"/>
        <v>20274</v>
      </c>
      <c r="G120" s="626"/>
      <c r="H120" s="166"/>
      <c r="I120" s="166">
        <f t="shared" si="36"/>
        <v>20274</v>
      </c>
      <c r="J120" s="167">
        <f t="shared" si="37"/>
        <v>2.1119704786653898E-3</v>
      </c>
      <c r="K120" s="458"/>
      <c r="L120" s="163"/>
      <c r="M120" s="163"/>
      <c r="O120" s="329">
        <f t="shared" si="38"/>
        <v>0.69574468085106378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'[12]Sch C'!D117</f>
        <v>30897</v>
      </c>
      <c r="D121" s="480">
        <f>'[12]Sch C'!F117</f>
        <v>0</v>
      </c>
      <c r="E121" s="480">
        <f>+'[12]Sch C'!H117</f>
        <v>0</v>
      </c>
      <c r="F121" s="166">
        <f t="shared" si="35"/>
        <v>30897</v>
      </c>
      <c r="G121" s="626"/>
      <c r="H121" s="166"/>
      <c r="I121" s="166">
        <f t="shared" si="36"/>
        <v>30897</v>
      </c>
      <c r="J121" s="167">
        <f t="shared" si="37"/>
        <v>3.2185830067734313E-3</v>
      </c>
      <c r="K121" s="458"/>
      <c r="L121" s="163"/>
      <c r="M121" s="163"/>
      <c r="O121" s="329">
        <f t="shared" si="38"/>
        <v>1.0602951269732326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'[12]Sch C'!D118</f>
        <v>2409</v>
      </c>
      <c r="D122" s="480">
        <f>'[12]Sch C'!F118</f>
        <v>0</v>
      </c>
      <c r="E122" s="480">
        <f>+'[12]Sch C'!H118</f>
        <v>0</v>
      </c>
      <c r="F122" s="166">
        <f t="shared" si="35"/>
        <v>2409</v>
      </c>
      <c r="G122" s="626"/>
      <c r="H122" s="166"/>
      <c r="I122" s="166">
        <f t="shared" si="36"/>
        <v>2409</v>
      </c>
      <c r="J122" s="167">
        <f t="shared" si="37"/>
        <v>2.5094884497903344E-4</v>
      </c>
      <c r="K122" s="458"/>
      <c r="L122" s="163"/>
      <c r="M122" s="163"/>
      <c r="O122" s="329">
        <f t="shared" si="38"/>
        <v>8.2669869595058343E-2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'[12]Sch C'!D119</f>
        <v>0</v>
      </c>
      <c r="D123" s="480">
        <f>'[12]Sch C'!F119</f>
        <v>0</v>
      </c>
      <c r="E123" s="480">
        <f>+'[12]Sch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357</v>
      </c>
      <c r="C124" s="480">
        <f t="shared" ref="C124:E124" si="39">SUM(C119:C123)</f>
        <v>180411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180411</v>
      </c>
      <c r="G124" s="166">
        <f t="shared" si="40"/>
        <v>0</v>
      </c>
      <c r="H124" s="166">
        <f t="shared" si="40"/>
        <v>0</v>
      </c>
      <c r="I124" s="166">
        <f t="shared" si="40"/>
        <v>180411</v>
      </c>
      <c r="J124" s="167">
        <f t="shared" si="37"/>
        <v>1.8793662130142132E-2</v>
      </c>
      <c r="K124" s="458"/>
      <c r="L124" s="163"/>
      <c r="M124" s="163"/>
      <c r="O124" s="329">
        <f t="shared" si="38"/>
        <v>6.1911805078929305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'[12]Sch C'!D124</f>
        <v>0</v>
      </c>
      <c r="D128" s="480">
        <f>'[12]Sch C'!F124</f>
        <v>0</v>
      </c>
      <c r="E128" s="480">
        <f>+'[12]Sch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'[12]Sch C'!D125</f>
        <v>99860</v>
      </c>
      <c r="D129" s="480">
        <f>'[12]Sch C'!F125</f>
        <v>0</v>
      </c>
      <c r="E129" s="480">
        <f>+'[12]Sch C'!H125</f>
        <v>0</v>
      </c>
      <c r="F129" s="166">
        <f t="shared" si="41"/>
        <v>99860</v>
      </c>
      <c r="G129" s="626"/>
      <c r="H129" s="166"/>
      <c r="I129" s="166">
        <f t="shared" si="42"/>
        <v>99860</v>
      </c>
      <c r="J129" s="167">
        <f>IF($I$213=0,0,I129/$I$213)</f>
        <v>1.0402553615444699E-2</v>
      </c>
      <c r="K129" s="458"/>
      <c r="L129" s="176">
        <v>2327</v>
      </c>
      <c r="M129" s="176">
        <v>2527</v>
      </c>
      <c r="O129" s="329">
        <f t="shared" si="43"/>
        <v>3.4269045984900481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'[12]Sch C'!D126</f>
        <v>0</v>
      </c>
      <c r="D130" s="480">
        <f>'[12]Sch C'!F126</f>
        <v>0</v>
      </c>
      <c r="E130" s="480">
        <f>+'[12]Sch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'[12]Sch C'!D127</f>
        <v>0</v>
      </c>
      <c r="D131" s="480">
        <f>'[12]Sch C'!F127</f>
        <v>0</v>
      </c>
      <c r="E131" s="480">
        <f>+'[12]Sch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'[12]Sch C'!D128</f>
        <v>443448</v>
      </c>
      <c r="D132" s="480">
        <f>'[12]Sch C'!F128</f>
        <v>0</v>
      </c>
      <c r="E132" s="480">
        <f>+'[12]Sch C'!H128</f>
        <v>0</v>
      </c>
      <c r="F132" s="166">
        <f t="shared" si="41"/>
        <v>443448</v>
      </c>
      <c r="G132" s="626"/>
      <c r="H132" s="166"/>
      <c r="I132" s="166">
        <f t="shared" si="42"/>
        <v>443448</v>
      </c>
      <c r="J132" s="167">
        <f>IF($I$213=0,0,I132/$I$213)</f>
        <v>4.6194588380349698E-2</v>
      </c>
      <c r="K132" s="458"/>
      <c r="L132" s="176">
        <v>9466</v>
      </c>
      <c r="M132" s="176">
        <v>10160</v>
      </c>
      <c r="O132" s="329">
        <f t="shared" si="43"/>
        <v>15.217844886753603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'[12]Sch C'!D130</f>
        <v>0</v>
      </c>
      <c r="D134" s="480">
        <f>'[12]Sch C'!F130</f>
        <v>0</v>
      </c>
      <c r="E134" s="480">
        <f>+'[12]Sch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'[12]Sch C'!D131</f>
        <v>306373</v>
      </c>
      <c r="D135" s="480">
        <f>'[12]Sch C'!F131</f>
        <v>-289734</v>
      </c>
      <c r="E135" s="480">
        <f>+'[12]Sch C'!H131</f>
        <v>0</v>
      </c>
      <c r="F135" s="166">
        <f t="shared" si="44"/>
        <v>16639</v>
      </c>
      <c r="G135" s="626"/>
      <c r="H135" s="166"/>
      <c r="I135" s="166">
        <f t="shared" si="45"/>
        <v>16639</v>
      </c>
      <c r="J135" s="167">
        <f>IF($I$213=0,0,I135/$I$213)</f>
        <v>1.7333075266110988E-3</v>
      </c>
      <c r="K135" s="458"/>
      <c r="L135" s="196"/>
      <c r="M135" s="196"/>
      <c r="O135" s="329">
        <f t="shared" si="43"/>
        <v>0.57100205902539469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'[12]Sch C'!D132</f>
        <v>0</v>
      </c>
      <c r="D136" s="480">
        <f>'[12]Sch C'!F132</f>
        <v>0</v>
      </c>
      <c r="E136" s="480">
        <f>+'[12]Sch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'[12]Sch C'!D133</f>
        <v>0</v>
      </c>
      <c r="D137" s="480">
        <f>'[12]Sch C'!F133</f>
        <v>0</v>
      </c>
      <c r="E137" s="480">
        <f>+'[12]Sch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'[12]Sch C'!D134</f>
        <v>0</v>
      </c>
      <c r="D138" s="480">
        <f>'[12]Sch C'!F134</f>
        <v>73893</v>
      </c>
      <c r="E138" s="480">
        <f>+'[12]Sch C'!H134</f>
        <v>0</v>
      </c>
      <c r="F138" s="166">
        <f t="shared" si="44"/>
        <v>73893</v>
      </c>
      <c r="G138" s="626"/>
      <c r="H138" s="166"/>
      <c r="I138" s="166">
        <f t="shared" si="45"/>
        <v>73893</v>
      </c>
      <c r="J138" s="167">
        <f>IF($I$213=0,0,I138/$I$213)</f>
        <v>7.6975354927504014E-3</v>
      </c>
      <c r="K138" s="458"/>
      <c r="L138" s="163"/>
      <c r="M138" s="163"/>
      <c r="O138" s="329">
        <f t="shared" si="43"/>
        <v>2.5357927247769387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'[12]Sch C'!D136</f>
        <v>956310</v>
      </c>
      <c r="D140" s="480">
        <f>'[12]Sch C'!F136</f>
        <v>0</v>
      </c>
      <c r="E140" s="480">
        <f>+'[12]Sch C'!H136</f>
        <v>0</v>
      </c>
      <c r="F140" s="166">
        <f t="shared" ref="F140:F143" si="46">C140+D140+E140</f>
        <v>956310</v>
      </c>
      <c r="G140" s="626"/>
      <c r="H140" s="166"/>
      <c r="I140" s="166">
        <f t="shared" ref="I140:I143" si="47">F140+G140+H140</f>
        <v>956310</v>
      </c>
      <c r="J140" s="167">
        <f>IF($I$213=0,0,I140/$I$213)</f>
        <v>9.9620128659983168E-2</v>
      </c>
      <c r="K140" s="458"/>
      <c r="L140" s="176">
        <v>33922</v>
      </c>
      <c r="M140" s="176">
        <v>35621</v>
      </c>
      <c r="O140" s="329">
        <f t="shared" si="43"/>
        <v>32.817776252573779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'[12]Sch C'!D137</f>
        <v>339010</v>
      </c>
      <c r="D141" s="480">
        <f>'[12]Sch C'!F137</f>
        <v>0</v>
      </c>
      <c r="E141" s="480">
        <f>+'[12]Sch C'!H137</f>
        <v>0</v>
      </c>
      <c r="F141" s="166">
        <f t="shared" si="46"/>
        <v>339010</v>
      </c>
      <c r="G141" s="626"/>
      <c r="H141" s="166"/>
      <c r="I141" s="166">
        <f t="shared" si="47"/>
        <v>339010</v>
      </c>
      <c r="J141" s="167">
        <f>IF($I$213=0,0,I141/$I$213)</f>
        <v>3.5315138205206362E-2</v>
      </c>
      <c r="K141" s="458"/>
      <c r="L141" s="176">
        <v>16770</v>
      </c>
      <c r="M141" s="176">
        <v>17367</v>
      </c>
      <c r="O141" s="329">
        <f t="shared" si="43"/>
        <v>11.633836650652025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'[12]Sch C'!D138</f>
        <v>1123934</v>
      </c>
      <c r="D142" s="480">
        <f>'[12]Sch C'!F138</f>
        <v>0</v>
      </c>
      <c r="E142" s="480">
        <f>+'[12]Sch C'!H138</f>
        <v>0</v>
      </c>
      <c r="F142" s="166">
        <f t="shared" si="46"/>
        <v>1123934</v>
      </c>
      <c r="G142" s="626"/>
      <c r="H142" s="166"/>
      <c r="I142" s="166">
        <f t="shared" si="47"/>
        <v>1123934</v>
      </c>
      <c r="J142" s="167">
        <f>IF($I$213=0,0,I142/$I$213)</f>
        <v>0.11708175140417806</v>
      </c>
      <c r="K142" s="458"/>
      <c r="L142" s="176">
        <v>94847</v>
      </c>
      <c r="M142" s="176">
        <v>99331</v>
      </c>
      <c r="O142" s="329">
        <f t="shared" si="43"/>
        <v>38.570144131777624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'[12]Sch C'!D139</f>
        <v>0</v>
      </c>
      <c r="D143" s="480">
        <f>'[12]Sch C'!F139</f>
        <v>0</v>
      </c>
      <c r="E143" s="480">
        <f>+'[12]Sch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'[12]Sch C'!D141</f>
        <v>0</v>
      </c>
      <c r="D145" s="480">
        <f>'[12]Sch C'!F141</f>
        <v>159351</v>
      </c>
      <c r="E145" s="480">
        <f>+'[12]Sch C'!H141</f>
        <v>0</v>
      </c>
      <c r="F145" s="166">
        <f t="shared" ref="F145:F148" si="48">C145+D145+E145</f>
        <v>159351</v>
      </c>
      <c r="G145" s="626"/>
      <c r="H145" s="166"/>
      <c r="I145" s="166">
        <f t="shared" ref="I145:I148" si="49">F145+G145+H145</f>
        <v>159351</v>
      </c>
      <c r="J145" s="167">
        <f>IF($I$213=0,0,I145/$I$213)</f>
        <v>1.659981294987711E-2</v>
      </c>
      <c r="K145" s="458"/>
      <c r="L145" s="163"/>
      <c r="M145" s="163"/>
      <c r="O145" s="329">
        <f t="shared" si="43"/>
        <v>5.4684625943719976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'[12]Sch C'!D142</f>
        <v>0</v>
      </c>
      <c r="D146" s="480">
        <f>'[12]Sch C'!F142</f>
        <v>56490</v>
      </c>
      <c r="E146" s="480">
        <f>+'[12]Sch C'!H142</f>
        <v>0</v>
      </c>
      <c r="F146" s="166">
        <f t="shared" si="48"/>
        <v>56490</v>
      </c>
      <c r="G146" s="626"/>
      <c r="H146" s="166"/>
      <c r="I146" s="166">
        <f t="shared" si="49"/>
        <v>56490</v>
      </c>
      <c r="J146" s="167">
        <f>IF($I$213=0,0,I146/$I$213)</f>
        <v>5.8846410348134485E-3</v>
      </c>
      <c r="K146" s="458"/>
      <c r="L146" s="163"/>
      <c r="M146" s="163"/>
      <c r="O146" s="329">
        <f t="shared" si="43"/>
        <v>1.9385724090597118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'[12]Sch C'!D143</f>
        <v>91308</v>
      </c>
      <c r="D147" s="480">
        <f>'[12]Sch C'!F143</f>
        <v>0</v>
      </c>
      <c r="E147" s="480">
        <f>+'[12]Sch C'!H143</f>
        <v>0</v>
      </c>
      <c r="F147" s="166">
        <f t="shared" si="48"/>
        <v>91308</v>
      </c>
      <c r="G147" s="626"/>
      <c r="H147" s="166"/>
      <c r="I147" s="166">
        <f t="shared" si="49"/>
        <v>91308</v>
      </c>
      <c r="J147" s="167">
        <f>IF($I$213=0,0,I147/$I$213)</f>
        <v>9.5116800072003252E-3</v>
      </c>
      <c r="K147" s="458"/>
      <c r="L147" s="163"/>
      <c r="M147" s="163"/>
      <c r="O147" s="329">
        <f t="shared" si="43"/>
        <v>3.1334248455730953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'[12]Sch C'!D144</f>
        <v>0</v>
      </c>
      <c r="D148" s="480">
        <f>'[12]Sch C'!F144</f>
        <v>0</v>
      </c>
      <c r="E148" s="480">
        <f>+'[12]Sch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'[12]Sch C'!D146</f>
        <v>46933</v>
      </c>
      <c r="D150" s="480">
        <f>'[12]Sch C'!F146</f>
        <v>0</v>
      </c>
      <c r="E150" s="480">
        <f>+'[12]Sch C'!H146</f>
        <v>0</v>
      </c>
      <c r="F150" s="166">
        <f t="shared" ref="F150:F158" si="50">C150+D150+E150</f>
        <v>46933</v>
      </c>
      <c r="G150" s="626"/>
      <c r="H150" s="166"/>
      <c r="I150" s="166">
        <f t="shared" ref="I150:I158" si="51">F150+G150+H150</f>
        <v>46933</v>
      </c>
      <c r="J150" s="167">
        <f t="shared" ref="J150:J158" si="52">IF($I$213=0,0,I150/$I$213)</f>
        <v>4.8890751936077111E-3</v>
      </c>
      <c r="K150" s="458"/>
      <c r="L150" s="176">
        <v>0</v>
      </c>
      <c r="M150" s="176">
        <v>0</v>
      </c>
      <c r="O150" s="329">
        <f t="shared" si="43"/>
        <v>1.6106039807824297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'[12]Sch C'!D147</f>
        <v>119474</v>
      </c>
      <c r="D151" s="480">
        <f>'[12]Sch C'!F147</f>
        <v>0</v>
      </c>
      <c r="E151" s="480">
        <f>+'[12]Sch C'!H147</f>
        <v>0</v>
      </c>
      <c r="F151" s="166">
        <f t="shared" si="50"/>
        <v>119474</v>
      </c>
      <c r="G151" s="626"/>
      <c r="H151" s="166"/>
      <c r="I151" s="166">
        <f t="shared" si="51"/>
        <v>119474</v>
      </c>
      <c r="J151" s="167">
        <f t="shared" si="52"/>
        <v>1.2445770985896654E-2</v>
      </c>
      <c r="K151" s="458"/>
      <c r="L151" s="176">
        <v>0</v>
      </c>
      <c r="M151" s="176">
        <v>0</v>
      </c>
      <c r="O151" s="329">
        <f t="shared" si="43"/>
        <v>4.0999999999999996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'[12]Sch C'!D148</f>
        <v>39466</v>
      </c>
      <c r="D152" s="480">
        <f>'[12]Sch C'!F148</f>
        <v>0</v>
      </c>
      <c r="E152" s="480">
        <f>+'[12]Sch C'!H148</f>
        <v>0</v>
      </c>
      <c r="F152" s="166">
        <f t="shared" si="50"/>
        <v>39466</v>
      </c>
      <c r="G152" s="626"/>
      <c r="H152" s="166"/>
      <c r="I152" s="166">
        <f t="shared" si="51"/>
        <v>39466</v>
      </c>
      <c r="J152" s="167">
        <f t="shared" si="52"/>
        <v>4.1112275284111805E-3</v>
      </c>
      <c r="K152" s="458"/>
      <c r="L152" s="176">
        <v>0</v>
      </c>
      <c r="M152" s="176">
        <v>0</v>
      </c>
      <c r="O152" s="329">
        <f t="shared" si="43"/>
        <v>1.3543582704186685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'[12]Sch C'!D149</f>
        <v>56547</v>
      </c>
      <c r="D153" s="480">
        <f>'[12]Sch C'!F149</f>
        <v>0</v>
      </c>
      <c r="E153" s="480">
        <f>+'[12]Sch C'!H149</f>
        <v>0</v>
      </c>
      <c r="F153" s="166">
        <f t="shared" si="50"/>
        <v>56547</v>
      </c>
      <c r="G153" s="626"/>
      <c r="H153" s="166"/>
      <c r="I153" s="166">
        <f t="shared" si="51"/>
        <v>56547</v>
      </c>
      <c r="J153" s="167">
        <f t="shared" si="52"/>
        <v>5.8905788032500633E-3</v>
      </c>
      <c r="K153" s="458"/>
      <c r="L153" s="176">
        <v>0</v>
      </c>
      <c r="M153" s="176">
        <v>0</v>
      </c>
      <c r="O153" s="329">
        <f t="shared" si="43"/>
        <v>1.9405284831846259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'[12]Sch C'!D150</f>
        <v>7470</v>
      </c>
      <c r="D154" s="480">
        <f>'[12]Sch C'!F150</f>
        <v>0</v>
      </c>
      <c r="E154" s="480">
        <f>+'[12]Sch C'!H150</f>
        <v>0</v>
      </c>
      <c r="F154" s="166">
        <f t="shared" si="50"/>
        <v>7470</v>
      </c>
      <c r="G154" s="626"/>
      <c r="H154" s="166"/>
      <c r="I154" s="166">
        <f t="shared" si="51"/>
        <v>7470</v>
      </c>
      <c r="J154" s="167">
        <f t="shared" si="52"/>
        <v>7.7816017932477363E-4</v>
      </c>
      <c r="K154" s="458"/>
      <c r="L154" s="176">
        <v>0</v>
      </c>
      <c r="M154" s="176">
        <v>0</v>
      </c>
      <c r="O154" s="329">
        <f t="shared" si="43"/>
        <v>0.25634866163349346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'[12]Sch C'!D151</f>
        <v>158025</v>
      </c>
      <c r="D155" s="480">
        <f>'[12]Sch C'!F151</f>
        <v>0</v>
      </c>
      <c r="E155" s="480">
        <f>+'[12]Sch C'!H151</f>
        <v>0</v>
      </c>
      <c r="F155" s="166">
        <f t="shared" si="50"/>
        <v>158025</v>
      </c>
      <c r="G155" s="626"/>
      <c r="H155" s="166"/>
      <c r="I155" s="166">
        <f t="shared" si="51"/>
        <v>158025</v>
      </c>
      <c r="J155" s="167">
        <f t="shared" si="52"/>
        <v>1.6461681705193756E-2</v>
      </c>
      <c r="K155" s="458"/>
      <c r="L155" s="163"/>
      <c r="M155" s="163"/>
      <c r="O155" s="329">
        <f t="shared" si="43"/>
        <v>5.4229581331503089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'[12]Sch C'!D152</f>
        <v>9375</v>
      </c>
      <c r="D156" s="480">
        <f>'[12]Sch C'!F152</f>
        <v>0</v>
      </c>
      <c r="E156" s="480">
        <f>+'[12]Sch C'!H152</f>
        <v>0</v>
      </c>
      <c r="F156" s="166">
        <f t="shared" si="50"/>
        <v>9375</v>
      </c>
      <c r="G156" s="626"/>
      <c r="H156" s="166"/>
      <c r="I156" s="166">
        <f t="shared" si="51"/>
        <v>9375</v>
      </c>
      <c r="J156" s="167">
        <f t="shared" si="52"/>
        <v>9.7660665075900298E-4</v>
      </c>
      <c r="K156" s="458"/>
      <c r="L156" s="163"/>
      <c r="M156" s="163"/>
      <c r="O156" s="329">
        <f t="shared" si="43"/>
        <v>0.32172271791352092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'[12]Sch C'!D153</f>
        <v>16441</v>
      </c>
      <c r="D157" s="480">
        <f>'[12]Sch C'!F153</f>
        <v>0</v>
      </c>
      <c r="E157" s="480">
        <f>+'[12]Sch C'!H153</f>
        <v>0</v>
      </c>
      <c r="F157" s="166">
        <f t="shared" si="50"/>
        <v>16441</v>
      </c>
      <c r="G157" s="626"/>
      <c r="H157" s="166"/>
      <c r="I157" s="166">
        <f t="shared" si="51"/>
        <v>16441</v>
      </c>
      <c r="J157" s="167">
        <f t="shared" si="52"/>
        <v>1.7126815941470688E-3</v>
      </c>
      <c r="K157" s="458"/>
      <c r="L157" s="163"/>
      <c r="M157" s="163"/>
      <c r="O157" s="329">
        <f t="shared" si="43"/>
        <v>0.56420727522306113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'[12]Sch C'!D154</f>
        <v>0</v>
      </c>
      <c r="D158" s="480">
        <f>'[12]Sch C'!F154</f>
        <v>0</v>
      </c>
      <c r="E158" s="480">
        <f>+'[12]Sch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'[12]Sch C'!D156</f>
        <v>0</v>
      </c>
      <c r="D160" s="480">
        <f>'[12]Sch C'!F156</f>
        <v>0</v>
      </c>
      <c r="E160" s="480">
        <f>+'[12]Sch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'[12]Sch C'!D157</f>
        <v>0</v>
      </c>
      <c r="D161" s="480">
        <f>'[12]Sch C'!F157</f>
        <v>0</v>
      </c>
      <c r="E161" s="480">
        <f>+'[12]Sch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'[12]Sch C'!D158</f>
        <v>0</v>
      </c>
      <c r="D162" s="480">
        <f>'[12]Sch C'!F158</f>
        <v>0</v>
      </c>
      <c r="E162" s="480">
        <f>+'[12]Sch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'[12]Sch C'!D159</f>
        <v>0</v>
      </c>
      <c r="D163" s="480">
        <f>'[12]Sch C'!F159</f>
        <v>0</v>
      </c>
      <c r="E163" s="480">
        <f>+'[12]Sch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'[12]Sch C'!D160</f>
        <v>0</v>
      </c>
      <c r="D164" s="480">
        <f>'[12]Sch C'!F160</f>
        <v>0</v>
      </c>
      <c r="E164" s="480">
        <f>+'[12]Sch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'[12]Sch C'!D161</f>
        <v>77074</v>
      </c>
      <c r="D165" s="480">
        <f>'[12]Sch C'!F161</f>
        <v>0</v>
      </c>
      <c r="E165" s="480">
        <f>+'[12]Sch C'!H161</f>
        <v>0</v>
      </c>
      <c r="F165" s="166">
        <f t="shared" si="53"/>
        <v>77074</v>
      </c>
      <c r="G165" s="626">
        <f>-45781-259</f>
        <v>-46040</v>
      </c>
      <c r="H165" s="166"/>
      <c r="I165" s="166">
        <f t="shared" si="54"/>
        <v>31034</v>
      </c>
      <c r="J165" s="167">
        <f t="shared" si="55"/>
        <v>3.2328544852965229E-3</v>
      </c>
      <c r="K165" s="458"/>
      <c r="L165" s="163"/>
      <c r="M165" s="163"/>
      <c r="O165" s="329">
        <f t="shared" si="43"/>
        <v>1.064996568291009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3891048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3891048</v>
      </c>
      <c r="G166" s="166">
        <f t="shared" si="57"/>
        <v>-46040</v>
      </c>
      <c r="H166" s="166">
        <f t="shared" si="57"/>
        <v>0</v>
      </c>
      <c r="I166" s="166">
        <f t="shared" si="57"/>
        <v>3845008</v>
      </c>
      <c r="J166" s="167">
        <f t="shared" si="55"/>
        <v>0.4005397744023011</v>
      </c>
      <c r="K166" s="458"/>
      <c r="L166" s="163"/>
      <c r="M166" s="163"/>
      <c r="O166" s="329">
        <f>I166/I$233</f>
        <v>131.94948524365134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'[12]Sch C'!D175</f>
        <v>0</v>
      </c>
      <c r="D169" s="480">
        <f>'[12]Sch C'!F175</f>
        <v>0</v>
      </c>
      <c r="E169" s="480">
        <f>+'[12]Sch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'[12]Sch C'!D176</f>
        <v>0</v>
      </c>
      <c r="D170" s="480">
        <f>'[12]Sch C'!F176</f>
        <v>0</v>
      </c>
      <c r="E170" s="480">
        <f>+'[12]Sch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'[12]Sch C'!D177</f>
        <v>0</v>
      </c>
      <c r="D171" s="480">
        <f>'[12]Sch C'!F177</f>
        <v>0</v>
      </c>
      <c r="E171" s="480">
        <f>+'[12]Sch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'[12]Sch C'!D178</f>
        <v>0</v>
      </c>
      <c r="D172" s="480">
        <f>'[12]Sch C'!F178</f>
        <v>0</v>
      </c>
      <c r="E172" s="480">
        <f>+'[12]Sch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'[12]Sch C'!D179</f>
        <v>0</v>
      </c>
      <c r="D173" s="480">
        <f>'[12]Sch C'!F179</f>
        <v>0</v>
      </c>
      <c r="E173" s="480">
        <f>+'[12]Sch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'[12]Sch C'!D180</f>
        <v>0</v>
      </c>
      <c r="D174" s="480">
        <f>'[12]Sch C'!F180</f>
        <v>0</v>
      </c>
      <c r="E174" s="480">
        <f>+'[12]Sch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'[12]Sch C'!D181</f>
        <v>0</v>
      </c>
      <c r="D175" s="480">
        <f>'[12]Sch C'!F181</f>
        <v>0</v>
      </c>
      <c r="E175" s="480">
        <f>+'[12]Sch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'[12]Sch C'!D182</f>
        <v>0</v>
      </c>
      <c r="D176" s="480">
        <f>'[12]Sch C'!F182</f>
        <v>0</v>
      </c>
      <c r="E176" s="480">
        <f>+'[12]Sch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'[12]Sch C'!D183</f>
        <v>0</v>
      </c>
      <c r="D177" s="480">
        <f>'[12]Sch C'!F183</f>
        <v>0</v>
      </c>
      <c r="E177" s="480">
        <f>+'[12]Sch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'[12]Sch C'!D184</f>
        <v>0</v>
      </c>
      <c r="D178" s="480">
        <f>'[12]Sch C'!F184</f>
        <v>0</v>
      </c>
      <c r="E178" s="480">
        <f>+'[12]Sch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'[12]Sch C'!D185</f>
        <v>0</v>
      </c>
      <c r="D179" s="480">
        <f>'[12]Sch C'!F185</f>
        <v>0</v>
      </c>
      <c r="E179" s="480">
        <f>+'[12]Sch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'[12]Sch C'!D186</f>
        <v>0</v>
      </c>
      <c r="D180" s="480">
        <f>'[12]Sch C'!F186</f>
        <v>0</v>
      </c>
      <c r="E180" s="480">
        <f>+'[12]Sch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'[12]Sch C'!D187</f>
        <v>0</v>
      </c>
      <c r="D181" s="480">
        <f>'[12]Sch C'!F187</f>
        <v>0</v>
      </c>
      <c r="E181" s="480">
        <f>+'[12]Sch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'[12]Sch C'!D188</f>
        <v>0</v>
      </c>
      <c r="D182" s="480">
        <f>'[12]Sch C'!F188</f>
        <v>0</v>
      </c>
      <c r="E182" s="480">
        <f>+'[12]Sch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'[12]Sch C'!D189</f>
        <v>0</v>
      </c>
      <c r="D183" s="480">
        <f>'[12]Sch C'!F189</f>
        <v>0</v>
      </c>
      <c r="E183" s="480">
        <f>+'[12]Sch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'[12]Sch C'!D190</f>
        <v>0</v>
      </c>
      <c r="D184" s="480">
        <f>'[12]Sch C'!F190</f>
        <v>0</v>
      </c>
      <c r="E184" s="480">
        <f>+'[12]Sch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'[12]Sch C'!D191</f>
        <v>0</v>
      </c>
      <c r="D185" s="480">
        <f>'[12]Sch C'!F191</f>
        <v>0</v>
      </c>
      <c r="E185" s="480">
        <f>+'[12]Sch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'[12]Sch C'!D192</f>
        <v>0</v>
      </c>
      <c r="D186" s="480">
        <f>'[12]Sch C'!F192</f>
        <v>0</v>
      </c>
      <c r="E186" s="480">
        <f>+'[12]Sch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'[12]Sch C'!D193</f>
        <v>0</v>
      </c>
      <c r="D187" s="480">
        <f>'[12]Sch C'!F193</f>
        <v>0</v>
      </c>
      <c r="E187" s="480">
        <f>+'[12]Sch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'[12]Sch C'!D194</f>
        <v>611710</v>
      </c>
      <c r="D188" s="480">
        <f>'[12]Sch C'!F194</f>
        <v>0</v>
      </c>
      <c r="E188" s="480">
        <f>+'[12]Sch C'!H194</f>
        <v>0</v>
      </c>
      <c r="F188" s="166">
        <f t="shared" si="58"/>
        <v>611710</v>
      </c>
      <c r="G188" s="626"/>
      <c r="H188" s="166"/>
      <c r="I188" s="166">
        <f t="shared" si="59"/>
        <v>611710</v>
      </c>
      <c r="J188" s="167">
        <f t="shared" si="60"/>
        <v>6.3722672462484239E-2</v>
      </c>
      <c r="K188" s="458"/>
      <c r="L188" s="213"/>
      <c r="M188" s="208"/>
      <c r="O188" s="329">
        <f t="shared" si="61"/>
        <v>20.992107069320522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'[12]Sch C'!D195</f>
        <v>110427</v>
      </c>
      <c r="D189" s="480">
        <f>'[12]Sch C'!F195</f>
        <v>0</v>
      </c>
      <c r="E189" s="480">
        <f>+'[12]Sch C'!H195</f>
        <v>0</v>
      </c>
      <c r="F189" s="166">
        <f t="shared" si="58"/>
        <v>110427</v>
      </c>
      <c r="G189" s="626"/>
      <c r="H189" s="166"/>
      <c r="I189" s="166">
        <f t="shared" si="59"/>
        <v>110427</v>
      </c>
      <c r="J189" s="167">
        <f t="shared" si="60"/>
        <v>1.1503332546492205E-2</v>
      </c>
      <c r="K189" s="458"/>
      <c r="L189" s="213"/>
      <c r="M189" s="208"/>
      <c r="O189" s="329">
        <f t="shared" si="61"/>
        <v>3.7895332875772136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'[12]Sch C'!D196</f>
        <v>0</v>
      </c>
      <c r="D190" s="480">
        <f>'[12]Sch C'!F196</f>
        <v>0</v>
      </c>
      <c r="E190" s="480">
        <f>+'[12]Sch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'[12]Sch C'!D197</f>
        <v>589831</v>
      </c>
      <c r="D191" s="480">
        <f>'[12]Sch C'!F197</f>
        <v>0</v>
      </c>
      <c r="E191" s="480">
        <f>+'[12]Sch C'!H197</f>
        <v>0</v>
      </c>
      <c r="F191" s="166">
        <f t="shared" si="58"/>
        <v>589831</v>
      </c>
      <c r="G191" s="626"/>
      <c r="H191" s="166"/>
      <c r="I191" s="166">
        <f t="shared" si="59"/>
        <v>589831</v>
      </c>
      <c r="J191" s="167">
        <f t="shared" si="60"/>
        <v>6.1443506925208911E-2</v>
      </c>
      <c r="K191" s="458"/>
      <c r="L191" s="213"/>
      <c r="M191" s="208"/>
      <c r="O191" s="329">
        <f t="shared" si="61"/>
        <v>20.241283459162663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'[12]Sch C'!D198</f>
        <v>85968</v>
      </c>
      <c r="D192" s="480">
        <f>'[12]Sch C'!F198</f>
        <v>0</v>
      </c>
      <c r="E192" s="480">
        <f>+'[12]Sch C'!H198</f>
        <v>0</v>
      </c>
      <c r="F192" s="166">
        <f t="shared" si="58"/>
        <v>85968</v>
      </c>
      <c r="G192" s="626"/>
      <c r="H192" s="166"/>
      <c r="I192" s="166">
        <f t="shared" si="59"/>
        <v>85968</v>
      </c>
      <c r="J192" s="167">
        <f t="shared" si="60"/>
        <v>8.9554048589279966E-3</v>
      </c>
      <c r="K192" s="458"/>
      <c r="L192" s="213"/>
      <c r="M192" s="208"/>
      <c r="O192" s="329">
        <f t="shared" si="61"/>
        <v>2.9501715854495538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'[12]Sch C'!D199</f>
        <v>0</v>
      </c>
      <c r="D193" s="480">
        <f>'[12]Sch C'!F199</f>
        <v>0</v>
      </c>
      <c r="E193" s="480">
        <f>+'[12]Sch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'[12]Sch C'!D200</f>
        <v>0</v>
      </c>
      <c r="D194" s="480">
        <f>'[12]Sch C'!F200</f>
        <v>0</v>
      </c>
      <c r="E194" s="480">
        <f>+'[12]Sch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'[12]Sch C'!D201</f>
        <v>0</v>
      </c>
      <c r="D195" s="480">
        <f>'[12]Sch C'!F201</f>
        <v>0</v>
      </c>
      <c r="E195" s="480">
        <f>+'[12]Sch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'[12]Sch C'!D202</f>
        <v>0</v>
      </c>
      <c r="D196" s="480">
        <f>'[12]Sch C'!F202</f>
        <v>0</v>
      </c>
      <c r="E196" s="480">
        <f>+'[12]Sch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'[12]Sch C'!D203</f>
        <v>0</v>
      </c>
      <c r="D197" s="480">
        <f>'[12]Sch C'!F203</f>
        <v>0</v>
      </c>
      <c r="E197" s="480">
        <f>+'[12]Sch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'[12]Sch C'!D204</f>
        <v>0</v>
      </c>
      <c r="D198" s="480">
        <f>'[12]Sch C'!F204</f>
        <v>0</v>
      </c>
      <c r="E198" s="480">
        <f>+'[12]Sch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'[12]Sch C'!D205</f>
        <v>495422</v>
      </c>
      <c r="D199" s="480">
        <f>'[12]Sch C'!F205</f>
        <v>0</v>
      </c>
      <c r="E199" s="480">
        <f>+'[12]Sch C'!H205</f>
        <v>0</v>
      </c>
      <c r="F199" s="166">
        <f t="shared" si="58"/>
        <v>495422</v>
      </c>
      <c r="G199" s="626"/>
      <c r="H199" s="166"/>
      <c r="I199" s="166">
        <f t="shared" si="59"/>
        <v>495422</v>
      </c>
      <c r="J199" s="167">
        <f t="shared" si="60"/>
        <v>5.1608791480781527E-2</v>
      </c>
      <c r="K199" s="458"/>
      <c r="L199" s="213"/>
      <c r="M199" s="208"/>
      <c r="O199" s="329">
        <f t="shared" si="61"/>
        <v>17.001441317776251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'[12]Sch C'!D206</f>
        <v>0</v>
      </c>
      <c r="D200" s="480">
        <f>'[12]Sch C'!F206</f>
        <v>0</v>
      </c>
      <c r="E200" s="480">
        <f>+'[12]Sch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'[12]Sch C'!D207</f>
        <v>0</v>
      </c>
      <c r="D201" s="480">
        <f>'[12]Sch C'!F207</f>
        <v>0</v>
      </c>
      <c r="E201" s="480">
        <f>+'[12]Sch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1893358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1893358</v>
      </c>
      <c r="G202" s="166">
        <f t="shared" si="63"/>
        <v>0</v>
      </c>
      <c r="H202" s="166">
        <f t="shared" si="63"/>
        <v>0</v>
      </c>
      <c r="I202" s="166">
        <f t="shared" si="63"/>
        <v>1893358</v>
      </c>
      <c r="J202" s="167">
        <f>IF($I$213=0,0,I202/$I$213)</f>
        <v>0.19723370827389489</v>
      </c>
      <c r="K202" s="458"/>
      <c r="L202" s="163"/>
      <c r="M202" s="163"/>
      <c r="O202" s="329">
        <f>I202/I$233</f>
        <v>64.974536719286206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'[12]Sch C'!D211</f>
        <v>139922</v>
      </c>
      <c r="D205" s="480">
        <f>'[12]Sch C'!F211</f>
        <v>0</v>
      </c>
      <c r="E205" s="480">
        <f>+'[12]Sch C'!H211</f>
        <v>0</v>
      </c>
      <c r="F205" s="166">
        <f t="shared" ref="F205:F210" si="64">C205+D205+E205</f>
        <v>139922</v>
      </c>
      <c r="G205" s="626"/>
      <c r="H205" s="166"/>
      <c r="I205" s="166">
        <f t="shared" ref="I205:I210" si="65">F205+G205+H205</f>
        <v>139922</v>
      </c>
      <c r="J205" s="167">
        <f t="shared" ref="J205:J211" si="66">IF($I$213=0,0,I205/$I$213)</f>
        <v>1.457586728400013E-2</v>
      </c>
      <c r="K205" s="458"/>
      <c r="L205" s="176">
        <v>10738</v>
      </c>
      <c r="M205" s="176">
        <v>11163</v>
      </c>
      <c r="O205" s="329">
        <f t="shared" ref="O205:O210" si="67">I205/I$233</f>
        <v>4.8017158544955389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'[12]Sch C'!D212</f>
        <v>27186</v>
      </c>
      <c r="D206" s="480">
        <f>'[12]Sch C'!F212</f>
        <v>0</v>
      </c>
      <c r="E206" s="480">
        <f>+'[12]Sch C'!H212</f>
        <v>0</v>
      </c>
      <c r="F206" s="166">
        <f t="shared" si="64"/>
        <v>27186</v>
      </c>
      <c r="G206" s="626"/>
      <c r="H206" s="166"/>
      <c r="I206" s="166">
        <f t="shared" si="65"/>
        <v>27186</v>
      </c>
      <c r="J206" s="167">
        <f t="shared" si="66"/>
        <v>2.8320030301369876E-3</v>
      </c>
      <c r="K206" s="458"/>
      <c r="L206" s="163"/>
      <c r="M206" s="163"/>
      <c r="O206" s="329">
        <f t="shared" si="67"/>
        <v>0.9329444063143445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'[12]Sch C'!D213</f>
        <v>5150</v>
      </c>
      <c r="D207" s="480">
        <f>'[12]Sch C'!F213</f>
        <v>0</v>
      </c>
      <c r="E207" s="480">
        <f>+'[12]Sch C'!H213</f>
        <v>0</v>
      </c>
      <c r="F207" s="166">
        <f t="shared" si="64"/>
        <v>5150</v>
      </c>
      <c r="G207" s="626"/>
      <c r="H207" s="166"/>
      <c r="I207" s="166">
        <f t="shared" si="65"/>
        <v>5150</v>
      </c>
      <c r="J207" s="167">
        <f t="shared" si="66"/>
        <v>5.3648258681694564E-4</v>
      </c>
      <c r="K207" s="458"/>
      <c r="L207" s="163"/>
      <c r="M207" s="163"/>
      <c r="O207" s="329">
        <f t="shared" si="67"/>
        <v>0.17673301304049416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'[12]Sch C'!D214</f>
        <v>0</v>
      </c>
      <c r="D208" s="480">
        <f>'[12]Sch C'!F214</f>
        <v>0</v>
      </c>
      <c r="E208" s="480">
        <f>+'[12]Sch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'[12]Sch C'!D215</f>
        <v>0</v>
      </c>
      <c r="D209" s="480">
        <f>'[12]Sch C'!F215</f>
        <v>0</v>
      </c>
      <c r="E209" s="480">
        <f>+'[12]Sch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'[12]Sch C'!D216</f>
        <v>9778</v>
      </c>
      <c r="D210" s="480">
        <f>'[12]Sch C'!F216</f>
        <v>0</v>
      </c>
      <c r="E210" s="480">
        <f>+'[12]Sch C'!H216</f>
        <v>0</v>
      </c>
      <c r="F210" s="166">
        <f t="shared" si="64"/>
        <v>9778</v>
      </c>
      <c r="G210" s="626"/>
      <c r="H210" s="166"/>
      <c r="I210" s="166">
        <f t="shared" si="65"/>
        <v>9778</v>
      </c>
      <c r="J210" s="167">
        <f t="shared" si="66"/>
        <v>1.01858771531963E-3</v>
      </c>
      <c r="K210" s="458"/>
      <c r="L210" s="163"/>
      <c r="M210" s="163"/>
      <c r="O210" s="329">
        <f t="shared" si="67"/>
        <v>0.33555250514756346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182036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182036</v>
      </c>
      <c r="G211" s="166">
        <f t="shared" si="69"/>
        <v>0</v>
      </c>
      <c r="H211" s="166">
        <f t="shared" si="69"/>
        <v>0</v>
      </c>
      <c r="I211" s="166">
        <f t="shared" si="69"/>
        <v>182036</v>
      </c>
      <c r="J211" s="167">
        <f t="shared" si="66"/>
        <v>1.8962940616273693E-2</v>
      </c>
      <c r="K211" s="458"/>
      <c r="L211" s="163"/>
      <c r="M211" s="163"/>
      <c r="O211" s="329">
        <f>I211/I$233</f>
        <v>6.246945778997941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10439170</v>
      </c>
      <c r="D213" s="480">
        <f t="shared" si="70"/>
        <v>-933903</v>
      </c>
      <c r="E213" s="480">
        <f t="shared" si="70"/>
        <v>-47328</v>
      </c>
      <c r="F213" s="166">
        <f t="shared" ref="F213:I213" si="71">SUM(F30:F211)/2</f>
        <v>9457939</v>
      </c>
      <c r="G213" s="166">
        <f t="shared" si="71"/>
        <v>-6180</v>
      </c>
      <c r="H213" s="166">
        <f t="shared" si="71"/>
        <v>147807</v>
      </c>
      <c r="I213" s="166">
        <f t="shared" si="71"/>
        <v>9599566</v>
      </c>
      <c r="J213" s="167">
        <f>IF($I$213=0,0,I213/$I$213)</f>
        <v>1</v>
      </c>
      <c r="K213" s="458"/>
      <c r="L213" s="176">
        <f>SUM(L30:L205)</f>
        <v>229170</v>
      </c>
      <c r="M213" s="176">
        <f>SUM(M30:M205)</f>
        <v>240273</v>
      </c>
      <c r="O213" s="329">
        <f>I213/I$233</f>
        <v>329.42916952642418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'[12]Sch C'!D221</f>
        <v>10439170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-1219547</v>
      </c>
      <c r="D220" s="480">
        <f t="shared" si="72"/>
        <v>2838486</v>
      </c>
      <c r="E220" s="480">
        <f t="shared" si="72"/>
        <v>47328</v>
      </c>
      <c r="F220" s="166">
        <f t="shared" ref="F220:I220" si="73">F26-F213</f>
        <v>1666267</v>
      </c>
      <c r="G220" s="166">
        <f t="shared" si="73"/>
        <v>-1414718</v>
      </c>
      <c r="H220" s="166">
        <f t="shared" si="73"/>
        <v>-147807</v>
      </c>
      <c r="I220" s="166">
        <f t="shared" si="73"/>
        <v>103742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'[12]Sch D'!C9</f>
        <v>13296</v>
      </c>
      <c r="D224" s="480"/>
      <c r="E224" s="480"/>
      <c r="F224" s="224">
        <f>C224+D224+E224</f>
        <v>13296</v>
      </c>
      <c r="G224" s="627"/>
      <c r="H224" s="223"/>
      <c r="I224" s="224">
        <f>F224+G224+H224</f>
        <v>13296</v>
      </c>
      <c r="J224" s="167">
        <f t="shared" ref="J224:J233" si="74">IF($I$233=0,0,I224/$I$233)</f>
        <v>0.45628002745367191</v>
      </c>
      <c r="K224" s="458"/>
      <c r="L224" s="163"/>
      <c r="M224" s="163"/>
    </row>
    <row r="225" spans="1:13">
      <c r="A225" s="158"/>
      <c r="B225" s="165" t="s">
        <v>201</v>
      </c>
      <c r="C225" s="504">
        <f>'[12]Sch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'[12]Sch D'!E9</f>
        <v>6550</v>
      </c>
      <c r="D226" s="480"/>
      <c r="E226" s="480"/>
      <c r="F226" s="224">
        <f t="shared" si="75"/>
        <v>6550</v>
      </c>
      <c r="G226" s="627"/>
      <c r="H226" s="223"/>
      <c r="I226" s="224">
        <f t="shared" si="76"/>
        <v>6550</v>
      </c>
      <c r="J226" s="167">
        <f t="shared" si="74"/>
        <v>0.22477693891557995</v>
      </c>
      <c r="K226" s="458"/>
      <c r="L226" s="163"/>
      <c r="M226" s="163"/>
    </row>
    <row r="227" spans="1:13">
      <c r="A227" s="158"/>
      <c r="B227" s="194" t="s">
        <v>315</v>
      </c>
      <c r="C227" s="504">
        <f>'[12]Sch D'!F9</f>
        <v>4872</v>
      </c>
      <c r="D227" s="480"/>
      <c r="E227" s="480"/>
      <c r="F227" s="224">
        <f t="shared" si="75"/>
        <v>4872</v>
      </c>
      <c r="G227" s="627"/>
      <c r="H227" s="223"/>
      <c r="I227" s="224">
        <f t="shared" si="76"/>
        <v>4872</v>
      </c>
      <c r="J227" s="167">
        <f t="shared" si="74"/>
        <v>0.16719286204529857</v>
      </c>
      <c r="K227" s="458"/>
      <c r="L227" s="163"/>
      <c r="M227" s="163"/>
    </row>
    <row r="228" spans="1:13">
      <c r="A228" s="158"/>
      <c r="B228" s="165" t="s">
        <v>65</v>
      </c>
      <c r="C228" s="504">
        <f>'[12]Sch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'[12]Sch D'!H9</f>
        <v>2294</v>
      </c>
      <c r="D229" s="480"/>
      <c r="E229" s="480"/>
      <c r="F229" s="224">
        <f t="shared" si="75"/>
        <v>2294</v>
      </c>
      <c r="G229" s="627"/>
      <c r="H229" s="223"/>
      <c r="I229" s="224">
        <f t="shared" si="76"/>
        <v>2294</v>
      </c>
      <c r="J229" s="167">
        <f t="shared" si="74"/>
        <v>7.8723404255319152E-2</v>
      </c>
      <c r="K229" s="458"/>
      <c r="L229" s="163"/>
      <c r="M229" s="163"/>
    </row>
    <row r="230" spans="1:13">
      <c r="A230" s="158"/>
      <c r="B230" s="165" t="s">
        <v>219</v>
      </c>
      <c r="C230" s="504">
        <f>'[12]Sch D'!I9</f>
        <v>1815</v>
      </c>
      <c r="D230" s="480"/>
      <c r="E230" s="480"/>
      <c r="F230" s="224">
        <f t="shared" si="75"/>
        <v>1815</v>
      </c>
      <c r="G230" s="627"/>
      <c r="H230" s="223"/>
      <c r="I230" s="224">
        <f t="shared" si="76"/>
        <v>1815</v>
      </c>
      <c r="J230" s="167">
        <f t="shared" si="74"/>
        <v>6.2285518188057651E-2</v>
      </c>
      <c r="K230" s="458"/>
      <c r="L230" s="163"/>
      <c r="M230" s="163"/>
    </row>
    <row r="231" spans="1:13">
      <c r="A231" s="158"/>
      <c r="B231" s="165" t="s">
        <v>384</v>
      </c>
      <c r="C231" s="504">
        <f>'[12]Sch D'!J9</f>
        <v>313</v>
      </c>
      <c r="D231" s="480"/>
      <c r="E231" s="480"/>
      <c r="F231" s="224">
        <f t="shared" si="75"/>
        <v>313</v>
      </c>
      <c r="G231" s="627"/>
      <c r="H231" s="223"/>
      <c r="I231" s="224">
        <f t="shared" si="76"/>
        <v>313</v>
      </c>
      <c r="J231" s="167">
        <f>IF($I$233=0,0,I231/$I$233)</f>
        <v>1.0741249142072752E-2</v>
      </c>
      <c r="K231" s="458"/>
      <c r="L231" s="163"/>
      <c r="M231" s="163"/>
    </row>
    <row r="232" spans="1:13">
      <c r="A232" s="158"/>
      <c r="B232" s="165" t="s">
        <v>170</v>
      </c>
      <c r="C232" s="504">
        <f>'[12]Sch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29140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29140</v>
      </c>
      <c r="G233" s="226">
        <f t="shared" si="78"/>
        <v>0</v>
      </c>
      <c r="H233" s="226">
        <f t="shared" si="78"/>
        <v>0</v>
      </c>
      <c r="I233" s="226">
        <f t="shared" si="78"/>
        <v>29140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'[12]Sch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'[12]Sch D'!N24</f>
        <v>54</v>
      </c>
      <c r="D237" s="480"/>
      <c r="E237" s="480"/>
      <c r="F237" s="224">
        <f>C237+E237</f>
        <v>54</v>
      </c>
      <c r="G237" s="627"/>
      <c r="H237" s="224"/>
      <c r="I237" s="224">
        <f>F237+G237+H237</f>
        <v>54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'[12]Sch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'[12]Sch D'!N30</f>
        <v>0.66529680365296806</v>
      </c>
      <c r="D241" s="228"/>
      <c r="E241" s="228"/>
      <c r="F241" s="232">
        <f>F233/F240</f>
        <v>0.66529680365296806</v>
      </c>
      <c r="G241"/>
      <c r="H241" s="233"/>
      <c r="I241" s="232">
        <f>I233/I240</f>
        <v>0.66529680365296806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'[12]Sch D'!N32</f>
        <v>0.30356164383561646</v>
      </c>
      <c r="D242" s="228"/>
      <c r="E242" s="228"/>
      <c r="F242" s="232">
        <f>(F224+F225)/F240</f>
        <v>0.30356164383561646</v>
      </c>
      <c r="G242"/>
      <c r="H242" s="233"/>
      <c r="I242" s="232">
        <f>(I224+I225)/I240</f>
        <v>0.30356164383561646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'[12]Sch D'!N34</f>
        <v>0.45628002745367197</v>
      </c>
      <c r="D243" s="228"/>
      <c r="E243" s="228"/>
      <c r="F243" s="232">
        <f>(F242/F241)</f>
        <v>0.45628002745367197</v>
      </c>
      <c r="G243"/>
      <c r="H243" s="233"/>
      <c r="I243" s="232">
        <f>(I242/I241)</f>
        <v>0.45628002745367197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H247" s="140" t="s">
        <v>322</v>
      </c>
      <c r="I247" s="480"/>
      <c r="K247" s="460"/>
    </row>
    <row r="248" spans="1:13">
      <c r="H248" s="140" t="s">
        <v>323</v>
      </c>
      <c r="I248" s="480"/>
      <c r="K248" s="460"/>
    </row>
    <row r="249" spans="1:13">
      <c r="H249" s="140" t="s">
        <v>324</v>
      </c>
      <c r="I249" s="480"/>
      <c r="K249" s="460"/>
    </row>
    <row r="250" spans="1:13">
      <c r="H250" s="140"/>
      <c r="K250" s="460"/>
    </row>
    <row r="251" spans="1:13">
      <c r="B251" s="407"/>
      <c r="K251" s="460"/>
    </row>
    <row r="252" spans="1:13" ht="15">
      <c r="B252" s="408"/>
    </row>
    <row r="253" spans="1:13" ht="15">
      <c r="B253" s="408"/>
    </row>
    <row r="254" spans="1:13" ht="15">
      <c r="B254" s="415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28CAB"/>
  </sheetPr>
  <dimension ref="A1:Q277"/>
  <sheetViews>
    <sheetView showGridLines="0" topLeftCell="A5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5.832031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371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'[13]Sch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'[13]Sch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492" t="s">
        <v>737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'[13]Sch B'!E10</f>
        <v>561865</v>
      </c>
      <c r="D12" s="480">
        <f>'[13]Sch B'!G10</f>
        <v>0</v>
      </c>
      <c r="E12" s="480"/>
      <c r="F12" s="166">
        <f>C12+D12+E12</f>
        <v>561865</v>
      </c>
      <c r="G12" s="626"/>
      <c r="H12" s="166"/>
      <c r="I12" s="166">
        <f>F12+G12+H12</f>
        <v>561865</v>
      </c>
      <c r="J12" s="167">
        <f>IF($I$26=0,0,I12/$I$26)</f>
        <v>4.3910787166497739E-2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'[13]Sch B'!E12</f>
        <v>0</v>
      </c>
      <c r="D13" s="480">
        <f>'[13]Sch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'[13]Sch B'!E13</f>
        <v>6547</v>
      </c>
      <c r="D14" s="480">
        <f>'[13]Sch B'!G13</f>
        <v>0</v>
      </c>
      <c r="E14" s="480"/>
      <c r="F14" s="166">
        <f t="shared" si="0"/>
        <v>6547</v>
      </c>
      <c r="G14" s="626"/>
      <c r="H14" s="166"/>
      <c r="I14" s="166">
        <f t="shared" si="1"/>
        <v>6547</v>
      </c>
      <c r="J14" s="167">
        <f>IF($I$26=0,0,I14/$I$26)</f>
        <v>5.1166013825217928E-4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'[13]Sch B'!E14</f>
        <v>0</v>
      </c>
      <c r="D15" s="480">
        <f>'[13]Sch B'!G14</f>
        <v>0</v>
      </c>
      <c r="E15" s="480"/>
      <c r="F15" s="166">
        <f t="shared" si="0"/>
        <v>0</v>
      </c>
      <c r="G15" s="626">
        <v>5883</v>
      </c>
      <c r="H15" s="166"/>
      <c r="I15" s="166">
        <f t="shared" si="1"/>
        <v>5883</v>
      </c>
      <c r="J15" s="167">
        <f>IF($I$26=0,0,I15/$I$26)</f>
        <v>4.5976731225562406E-4</v>
      </c>
      <c r="K15" s="592">
        <v>1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'[13]Sch B'!E15</f>
        <v>568412</v>
      </c>
      <c r="D16" s="480">
        <f>'[13]Sch B'!G15</f>
        <v>0</v>
      </c>
      <c r="E16" s="480"/>
      <c r="F16" s="166">
        <f t="shared" si="0"/>
        <v>568412</v>
      </c>
      <c r="G16" s="626"/>
      <c r="H16" s="166"/>
      <c r="I16" s="166">
        <f>SUM(I12:I15)</f>
        <v>574295</v>
      </c>
      <c r="J16" s="167">
        <f t="shared" ref="J16:J26" si="2">IF($I$26=0,0,I16/$I$26)</f>
        <v>4.4882214617005547E-2</v>
      </c>
      <c r="K16" s="594"/>
      <c r="L16" s="333" t="s">
        <v>325</v>
      </c>
      <c r="M16" s="334">
        <f>I26</f>
        <v>12795603</v>
      </c>
      <c r="O16" s="324">
        <f>IFERROR(I16/I224,0)</f>
        <v>189.03719552337063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'[13]Sch B'!E20</f>
        <v>0</v>
      </c>
      <c r="D17" s="480">
        <f>'[13]Sch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520"/>
      <c r="L17" s="335" t="s">
        <v>326</v>
      </c>
      <c r="M17" s="336">
        <f>I213</f>
        <v>11994531.300000001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'[13]Sch B'!E26</f>
        <v>1453615</v>
      </c>
      <c r="D18" s="480">
        <f>'[13]Sch B'!G26</f>
        <v>0</v>
      </c>
      <c r="E18" s="480"/>
      <c r="F18" s="166">
        <f t="shared" si="0"/>
        <v>1453615</v>
      </c>
      <c r="G18" s="626"/>
      <c r="H18" s="166"/>
      <c r="I18" s="166">
        <f t="shared" si="1"/>
        <v>1453615</v>
      </c>
      <c r="J18" s="167">
        <f t="shared" si="2"/>
        <v>0.11360269617617864</v>
      </c>
      <c r="K18" s="520"/>
      <c r="L18" s="335" t="s">
        <v>327</v>
      </c>
      <c r="M18" s="336">
        <f>I233</f>
        <v>38589</v>
      </c>
      <c r="O18" s="324">
        <f t="shared" si="3"/>
        <v>620.67250213492741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'[13]Sch B'!E32</f>
        <v>313406</v>
      </c>
      <c r="D19" s="480">
        <f>'[13]Sch B'!G32</f>
        <v>0</v>
      </c>
      <c r="E19" s="480"/>
      <c r="F19" s="166">
        <f t="shared" si="0"/>
        <v>313406</v>
      </c>
      <c r="G19" s="626"/>
      <c r="H19" s="166"/>
      <c r="I19" s="166">
        <f t="shared" si="1"/>
        <v>313406</v>
      </c>
      <c r="J19" s="170">
        <f t="shared" si="2"/>
        <v>2.4493257566681303E-2</v>
      </c>
      <c r="K19" s="520"/>
      <c r="L19" s="335" t="s">
        <v>328</v>
      </c>
      <c r="M19" s="336">
        <f>I236</f>
        <v>108</v>
      </c>
      <c r="O19" s="324">
        <f t="shared" si="3"/>
        <v>474.85757575757577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'[13]Sch B'!E37</f>
        <v>7795420</v>
      </c>
      <c r="D20" s="480">
        <f>'[13]Sch B'!G37</f>
        <v>-2268918</v>
      </c>
      <c r="E20" s="480"/>
      <c r="F20" s="166">
        <f t="shared" si="0"/>
        <v>5526502</v>
      </c>
      <c r="G20" s="626"/>
      <c r="H20" s="166"/>
      <c r="I20" s="166">
        <f t="shared" si="1"/>
        <v>5526502</v>
      </c>
      <c r="J20" s="167">
        <f t="shared" si="2"/>
        <v>0.43190633532472056</v>
      </c>
      <c r="K20" s="520"/>
      <c r="L20" s="335" t="s">
        <v>329</v>
      </c>
      <c r="M20" s="336">
        <f>I240</f>
        <v>39420</v>
      </c>
      <c r="O20" s="324">
        <f t="shared" si="3"/>
        <v>410.00830922175237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'[13]Sch B'!E42</f>
        <v>1755093</v>
      </c>
      <c r="D21" s="480">
        <f>'[13]Sch B'!G42</f>
        <v>2268918</v>
      </c>
      <c r="E21" s="480"/>
      <c r="F21" s="166">
        <f t="shared" si="0"/>
        <v>4024011</v>
      </c>
      <c r="G21" s="626"/>
      <c r="H21" s="166"/>
      <c r="I21" s="166">
        <f t="shared" si="1"/>
        <v>4024011</v>
      </c>
      <c r="J21" s="167">
        <f t="shared" si="2"/>
        <v>0.31448388950485567</v>
      </c>
      <c r="K21" s="520"/>
      <c r="L21" s="337"/>
      <c r="M21" s="336"/>
      <c r="O21" s="324">
        <f t="shared" si="3"/>
        <v>234.77310385064177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415</v>
      </c>
      <c r="C22" s="480">
        <f>'[13]Sch B'!E47</f>
        <v>55184</v>
      </c>
      <c r="D22" s="480">
        <f>'[13]Sch B'!G47</f>
        <v>0</v>
      </c>
      <c r="E22" s="480"/>
      <c r="F22" s="166">
        <f t="shared" si="0"/>
        <v>55184</v>
      </c>
      <c r="G22" s="626"/>
      <c r="H22" s="166"/>
      <c r="I22" s="166">
        <f t="shared" si="1"/>
        <v>55184</v>
      </c>
      <c r="J22" s="167">
        <f t="shared" si="2"/>
        <v>4.3127314906534686E-3</v>
      </c>
      <c r="K22" s="594"/>
      <c r="L22" s="335" t="s">
        <v>148</v>
      </c>
      <c r="M22" s="336">
        <f>L213</f>
        <v>430583</v>
      </c>
      <c r="O22" s="324">
        <f t="shared" si="3"/>
        <v>201.4014598540146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'[13]Sch B'!E52</f>
        <v>0</v>
      </c>
      <c r="D23" s="480">
        <f>'[13]Sch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594"/>
      <c r="L23" s="338" t="s">
        <v>233</v>
      </c>
      <c r="M23" s="339">
        <f>M213</f>
        <v>454186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'[13]Sch B'!E57</f>
        <v>834134</v>
      </c>
      <c r="D24" s="480">
        <f>'[13]Sch B'!G57</f>
        <v>0</v>
      </c>
      <c r="E24" s="480"/>
      <c r="F24" s="166">
        <f t="shared" si="0"/>
        <v>834134</v>
      </c>
      <c r="G24" s="626"/>
      <c r="H24" s="166"/>
      <c r="I24" s="166">
        <f t="shared" si="1"/>
        <v>834134</v>
      </c>
      <c r="J24" s="167">
        <f t="shared" si="2"/>
        <v>6.5189112228630414E-2</v>
      </c>
      <c r="K24" s="458"/>
      <c r="L24" s="163"/>
      <c r="M24" s="163"/>
      <c r="O24" s="324">
        <f t="shared" si="3"/>
        <v>503.70410628019323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'[13]Sch B'!E72</f>
        <v>74339</v>
      </c>
      <c r="D25" s="480">
        <f>'[13]Sch B'!G72</f>
        <v>-54000</v>
      </c>
      <c r="E25" s="480"/>
      <c r="F25" s="166">
        <f t="shared" si="0"/>
        <v>20339</v>
      </c>
      <c r="G25" s="626">
        <v>-5883</v>
      </c>
      <c r="H25" s="166"/>
      <c r="I25" s="166">
        <f t="shared" si="1"/>
        <v>14456</v>
      </c>
      <c r="J25" s="167">
        <f t="shared" si="2"/>
        <v>1.129763091274401E-3</v>
      </c>
      <c r="K25" s="592">
        <v>1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12849603</v>
      </c>
      <c r="D26" s="480">
        <f t="shared" ref="D26:F26" si="4">SUM(D16:D25)</f>
        <v>-54000</v>
      </c>
      <c r="E26" s="480">
        <f t="shared" si="4"/>
        <v>0</v>
      </c>
      <c r="F26" s="166">
        <f t="shared" si="4"/>
        <v>12795603</v>
      </c>
      <c r="G26" s="166">
        <f>SUM(G12:G25)</f>
        <v>0</v>
      </c>
      <c r="H26" s="166">
        <f>SUM(H12:H25)</f>
        <v>0</v>
      </c>
      <c r="I26" s="166">
        <f>SUM(I16:I25)</f>
        <v>12795603</v>
      </c>
      <c r="J26" s="167">
        <f t="shared" si="2"/>
        <v>1</v>
      </c>
      <c r="K26" s="458"/>
      <c r="L26" s="163"/>
      <c r="M26" s="163"/>
      <c r="O26" s="324">
        <f>IFERROR(I26/I233,0)</f>
        <v>331.58679934696414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'[13]Sch C'!D10</f>
        <v>0</v>
      </c>
      <c r="D30" s="480">
        <f>'[13]Sch C'!F10</f>
        <v>122657</v>
      </c>
      <c r="E30" s="480">
        <f>+'[13]Sch C'!H10</f>
        <v>0</v>
      </c>
      <c r="F30" s="166">
        <f t="shared" ref="F30:F65" si="5">C30+D30+E30</f>
        <v>122657</v>
      </c>
      <c r="G30" s="626"/>
      <c r="H30" s="166"/>
      <c r="I30" s="166">
        <f t="shared" ref="I30:I65" si="6">F30+G30+H30</f>
        <v>122657</v>
      </c>
      <c r="J30" s="167">
        <f>IF($I$213=0,0,I30/$I$213)</f>
        <v>1.0226076945582691E-2</v>
      </c>
      <c r="K30" s="458"/>
      <c r="L30" s="176">
        <v>1944</v>
      </c>
      <c r="M30" s="176">
        <v>2080</v>
      </c>
      <c r="O30" s="324">
        <f>I30/I$233</f>
        <v>3.1785482909637461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'[13]Sch C'!D11</f>
        <v>0</v>
      </c>
      <c r="D31" s="480">
        <f>'[13]Sch C'!F11</f>
        <v>0</v>
      </c>
      <c r="E31" s="480">
        <f>+'[13]Sch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'[13]Sch C'!D12</f>
        <v>420707</v>
      </c>
      <c r="D32" s="480">
        <f>'[13]Sch C'!F12</f>
        <v>-122707</v>
      </c>
      <c r="E32" s="480">
        <f>+'[13]Sch C'!H12</f>
        <v>0</v>
      </c>
      <c r="F32" s="166">
        <f t="shared" si="5"/>
        <v>298000</v>
      </c>
      <c r="G32" s="626"/>
      <c r="H32" s="166"/>
      <c r="I32" s="166">
        <f t="shared" si="6"/>
        <v>298000</v>
      </c>
      <c r="J32" s="167">
        <f t="shared" si="7"/>
        <v>2.4844655664035823E-2</v>
      </c>
      <c r="K32" s="458"/>
      <c r="L32" s="176">
        <v>16440</v>
      </c>
      <c r="M32" s="176">
        <v>17560</v>
      </c>
      <c r="O32" s="324">
        <f t="shared" si="8"/>
        <v>7.7224079400865531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'[13]Sch C'!D13</f>
        <v>105500</v>
      </c>
      <c r="D33" s="480">
        <f>'[13]Sch C'!F13</f>
        <v>-16489</v>
      </c>
      <c r="E33" s="480">
        <f>+'[13]Sch C'!H13</f>
        <v>0</v>
      </c>
      <c r="F33" s="166">
        <f t="shared" si="5"/>
        <v>89011</v>
      </c>
      <c r="G33" s="626"/>
      <c r="H33" s="166"/>
      <c r="I33" s="166">
        <f t="shared" si="6"/>
        <v>89011</v>
      </c>
      <c r="J33" s="167">
        <f t="shared" si="7"/>
        <v>7.4209652527231305E-3</v>
      </c>
      <c r="K33" s="458"/>
      <c r="L33" s="163"/>
      <c r="M33" s="163"/>
      <c r="O33" s="324">
        <f t="shared" si="8"/>
        <v>2.3066417891108864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'[13]Sch C'!D14</f>
        <v>0</v>
      </c>
      <c r="D34" s="480">
        <f>'[13]Sch C'!F14</f>
        <v>0</v>
      </c>
      <c r="E34" s="480">
        <f>+'[13]Sch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'[13]Sch C'!D15</f>
        <v>0</v>
      </c>
      <c r="D35" s="480">
        <f>'[13]Sch C'!F15</f>
        <v>771073</v>
      </c>
      <c r="E35" s="480">
        <f>+'[13]Sch C'!H15</f>
        <v>0</v>
      </c>
      <c r="F35" s="166">
        <f t="shared" si="5"/>
        <v>771073</v>
      </c>
      <c r="G35" s="626"/>
      <c r="H35" s="166"/>
      <c r="I35" s="166">
        <f t="shared" si="6"/>
        <v>771073</v>
      </c>
      <c r="J35" s="167">
        <f t="shared" si="7"/>
        <v>6.4285379788037236E-2</v>
      </c>
      <c r="K35" s="458"/>
      <c r="L35" s="163"/>
      <c r="M35" s="163"/>
      <c r="O35" s="324">
        <f t="shared" si="8"/>
        <v>19.981678716732748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'[13]Sch C'!D16</f>
        <v>771073</v>
      </c>
      <c r="D36" s="480">
        <f>'[13]Sch C'!F16</f>
        <v>-771073</v>
      </c>
      <c r="E36" s="480">
        <f>+'[13]Sch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'[13]Sch C'!D17</f>
        <v>10102</v>
      </c>
      <c r="D37" s="480">
        <f>'[13]Sch C'!F17</f>
        <v>-10102</v>
      </c>
      <c r="E37" s="480">
        <f>+'[13]Sch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'[13]Sch C'!D18</f>
        <v>83314</v>
      </c>
      <c r="D38" s="480">
        <f>'[13]Sch C'!F18</f>
        <v>0</v>
      </c>
      <c r="E38" s="480">
        <f>+'[13]Sch C'!H18</f>
        <v>0</v>
      </c>
      <c r="F38" s="166">
        <f t="shared" si="5"/>
        <v>83314</v>
      </c>
      <c r="G38" s="626"/>
      <c r="H38" s="166"/>
      <c r="I38" s="166">
        <f t="shared" si="6"/>
        <v>83314</v>
      </c>
      <c r="J38" s="167">
        <f t="shared" si="7"/>
        <v>6.9459987986358416E-3</v>
      </c>
      <c r="K38" s="458"/>
      <c r="L38" s="163"/>
      <c r="M38" s="163"/>
      <c r="O38" s="324">
        <f t="shared" si="8"/>
        <v>2.1590090440280907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'[13]Sch C'!D19</f>
        <v>9354</v>
      </c>
      <c r="D39" s="480">
        <f>'[13]Sch C'!F19</f>
        <v>0</v>
      </c>
      <c r="E39" s="480">
        <f>+'[13]Sch C'!H19</f>
        <v>0</v>
      </c>
      <c r="F39" s="166">
        <f t="shared" si="5"/>
        <v>9354</v>
      </c>
      <c r="G39" s="626"/>
      <c r="H39" s="166"/>
      <c r="I39" s="166">
        <f t="shared" si="6"/>
        <v>9354</v>
      </c>
      <c r="J39" s="167">
        <f t="shared" si="7"/>
        <v>7.7985539960198354E-4</v>
      </c>
      <c r="K39" s="458"/>
      <c r="L39" s="163"/>
      <c r="M39" s="163"/>
      <c r="O39" s="324">
        <f t="shared" si="8"/>
        <v>0.24240068413278396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'[13]Sch C'!D20</f>
        <v>93699</v>
      </c>
      <c r="D40" s="480">
        <f>'[13]Sch C'!F20</f>
        <v>0</v>
      </c>
      <c r="E40" s="480">
        <f>+'[13]Sch C'!H20</f>
        <v>0</v>
      </c>
      <c r="F40" s="166">
        <f t="shared" si="5"/>
        <v>93699</v>
      </c>
      <c r="G40" s="626"/>
      <c r="H40" s="166"/>
      <c r="I40" s="166">
        <f t="shared" si="6"/>
        <v>93699</v>
      </c>
      <c r="J40" s="167">
        <f t="shared" si="7"/>
        <v>7.8118100371291702E-3</v>
      </c>
      <c r="K40" s="458"/>
      <c r="L40" s="163"/>
      <c r="M40" s="163"/>
      <c r="O40" s="324">
        <f t="shared" si="8"/>
        <v>2.428127186503926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'[13]Sch C'!D21</f>
        <v>6556</v>
      </c>
      <c r="D41" s="480">
        <f>'[13]Sch C'!F21</f>
        <v>0</v>
      </c>
      <c r="E41" s="480">
        <f>+'[13]Sch C'!H21</f>
        <v>0</v>
      </c>
      <c r="F41" s="166">
        <f t="shared" si="5"/>
        <v>6556</v>
      </c>
      <c r="G41" s="626"/>
      <c r="H41" s="166"/>
      <c r="I41" s="166">
        <f t="shared" si="6"/>
        <v>6556</v>
      </c>
      <c r="J41" s="167">
        <f t="shared" si="7"/>
        <v>5.4658242460878812E-4</v>
      </c>
      <c r="K41" s="458"/>
      <c r="L41" s="163"/>
      <c r="M41" s="163"/>
      <c r="O41" s="324">
        <f t="shared" si="8"/>
        <v>0.16989297468190417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'[13]Sch C'!D22</f>
        <v>0</v>
      </c>
      <c r="D42" s="480">
        <f>'[13]Sch C'!F22</f>
        <v>0</v>
      </c>
      <c r="E42" s="480">
        <f>+'[13]Sch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'[13]Sch C'!D23</f>
        <v>24097</v>
      </c>
      <c r="D43" s="480">
        <f>'[13]Sch C'!F23</f>
        <v>0</v>
      </c>
      <c r="E43" s="480">
        <f>+'[13]Sch C'!H23</f>
        <v>0</v>
      </c>
      <c r="F43" s="166">
        <f t="shared" si="5"/>
        <v>24097</v>
      </c>
      <c r="G43" s="626"/>
      <c r="H43" s="166"/>
      <c r="I43" s="166">
        <f t="shared" si="6"/>
        <v>24097</v>
      </c>
      <c r="J43" s="167">
        <f t="shared" si="7"/>
        <v>2.0089988843499038E-3</v>
      </c>
      <c r="K43" s="458"/>
      <c r="L43" s="163"/>
      <c r="M43" s="163"/>
      <c r="O43" s="324">
        <f t="shared" si="8"/>
        <v>0.62445256420223383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'[13]Sch C'!D24</f>
        <v>33216</v>
      </c>
      <c r="D44" s="480">
        <f>'[13]Sch C'!F24</f>
        <v>0</v>
      </c>
      <c r="E44" s="480">
        <f>+'[13]Sch C'!H24</f>
        <v>0</v>
      </c>
      <c r="F44" s="166">
        <f t="shared" si="5"/>
        <v>33216</v>
      </c>
      <c r="G44" s="626"/>
      <c r="H44" s="166"/>
      <c r="I44" s="166">
        <f t="shared" si="6"/>
        <v>33216</v>
      </c>
      <c r="J44" s="167">
        <f t="shared" si="7"/>
        <v>2.7692620219349462E-3</v>
      </c>
      <c r="K44" s="458"/>
      <c r="L44" s="163"/>
      <c r="M44" s="163"/>
      <c r="O44" s="324">
        <f t="shared" si="8"/>
        <v>0.86076342999300315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'[13]Sch C'!D25</f>
        <v>0</v>
      </c>
      <c r="D45" s="480">
        <f>'[13]Sch C'!F25</f>
        <v>0</v>
      </c>
      <c r="E45" s="480">
        <f>+'[13]Sch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'[13]Sch C'!D26</f>
        <v>0</v>
      </c>
      <c r="D46" s="480">
        <f>'[13]Sch C'!F26</f>
        <v>0</v>
      </c>
      <c r="E46" s="480">
        <f>+'[13]Sch C'!H26</f>
        <v>0</v>
      </c>
      <c r="F46" s="166">
        <f t="shared" si="5"/>
        <v>0</v>
      </c>
      <c r="G46" s="626"/>
      <c r="H46" s="166"/>
      <c r="I46" s="166">
        <f t="shared" si="6"/>
        <v>0</v>
      </c>
      <c r="J46" s="167">
        <f t="shared" si="7"/>
        <v>0</v>
      </c>
      <c r="K46" s="458"/>
      <c r="L46" s="163"/>
      <c r="M46" s="163"/>
      <c r="O46" s="324">
        <f t="shared" si="8"/>
        <v>0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'[13]Sch C'!D27</f>
        <v>0</v>
      </c>
      <c r="D47" s="480">
        <f>'[13]Sch C'!F27</f>
        <v>0</v>
      </c>
      <c r="E47" s="480">
        <f>+'[13]Sch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'[13]Sch C'!D28</f>
        <v>0</v>
      </c>
      <c r="D48" s="480">
        <f>'[13]Sch C'!F28</f>
        <v>0</v>
      </c>
      <c r="E48" s="480">
        <f>+'[13]Sch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'[13]Sch C'!D29</f>
        <v>67356</v>
      </c>
      <c r="D49" s="480">
        <f>'[13]Sch C'!F29</f>
        <v>-67356</v>
      </c>
      <c r="E49" s="480">
        <f>+'[13]Sch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'[13]Sch C'!D30</f>
        <v>0</v>
      </c>
      <c r="D50" s="480">
        <f>'[13]Sch C'!F30</f>
        <v>0</v>
      </c>
      <c r="E50" s="480">
        <f>+'[13]Sch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'[13]Sch C'!D31</f>
        <v>0</v>
      </c>
      <c r="D51" s="480">
        <f>'[13]Sch C'!F31</f>
        <v>0</v>
      </c>
      <c r="E51" s="480">
        <f>+'[13]Sch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'[13]Sch C'!D32</f>
        <v>83280</v>
      </c>
      <c r="D52" s="480">
        <f>'[13]Sch C'!F32</f>
        <v>0</v>
      </c>
      <c r="E52" s="480">
        <f>+'[13]Sch C'!H32</f>
        <v>0</v>
      </c>
      <c r="F52" s="166">
        <f t="shared" si="5"/>
        <v>83280</v>
      </c>
      <c r="G52" s="626"/>
      <c r="H52" s="166"/>
      <c r="I52" s="166">
        <f t="shared" si="6"/>
        <v>83280</v>
      </c>
      <c r="J52" s="167">
        <f t="shared" si="7"/>
        <v>6.9431641734929647E-3</v>
      </c>
      <c r="K52" s="458"/>
      <c r="L52" s="163"/>
      <c r="M52" s="163"/>
      <c r="O52" s="324">
        <f t="shared" si="8"/>
        <v>2.1581279639275439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'[13]Sch C'!D33</f>
        <v>0</v>
      </c>
      <c r="D53" s="480">
        <f>'[13]Sch C'!F33</f>
        <v>0</v>
      </c>
      <c r="E53" s="480">
        <f>+'[13]Sch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'[13]Sch C'!D34</f>
        <v>6</v>
      </c>
      <c r="D54" s="480">
        <f>'[13]Sch C'!F34</f>
        <v>0</v>
      </c>
      <c r="E54" s="480">
        <f>+'[13]Sch C'!H34</f>
        <v>0</v>
      </c>
      <c r="F54" s="166">
        <f t="shared" si="5"/>
        <v>6</v>
      </c>
      <c r="G54" s="626"/>
      <c r="H54" s="166"/>
      <c r="I54" s="166">
        <f t="shared" si="6"/>
        <v>6</v>
      </c>
      <c r="J54" s="167">
        <f t="shared" si="7"/>
        <v>5.0022796638998308E-7</v>
      </c>
      <c r="K54" s="458"/>
      <c r="L54" s="163"/>
      <c r="M54" s="163"/>
      <c r="O54" s="324">
        <f t="shared" si="8"/>
        <v>1.5548472362590375E-4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'[13]Sch C'!D35</f>
        <v>0</v>
      </c>
      <c r="D55" s="480">
        <f>'[13]Sch C'!F35</f>
        <v>0</v>
      </c>
      <c r="E55" s="480">
        <f>+'[13]Sch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'[13]Sch C'!D36</f>
        <v>110258</v>
      </c>
      <c r="D56" s="480">
        <f>'[13]Sch C'!F36</f>
        <v>0</v>
      </c>
      <c r="E56" s="480">
        <f>+'[13]Sch C'!H36</f>
        <v>0</v>
      </c>
      <c r="F56" s="166">
        <f t="shared" si="5"/>
        <v>110258</v>
      </c>
      <c r="G56" s="626"/>
      <c r="H56" s="166"/>
      <c r="I56" s="166">
        <f t="shared" si="6"/>
        <v>110258</v>
      </c>
      <c r="J56" s="167">
        <f t="shared" si="7"/>
        <v>9.1923558530377925E-3</v>
      </c>
      <c r="K56" s="458"/>
      <c r="L56" s="176">
        <v>7741</v>
      </c>
      <c r="M56" s="176">
        <v>8198</v>
      </c>
      <c r="O56" s="324">
        <f t="shared" si="8"/>
        <v>2.8572391095908158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'[13]Sch C'!D37</f>
        <v>33571</v>
      </c>
      <c r="D57" s="480">
        <f>'[13]Sch C'!F37</f>
        <v>0</v>
      </c>
      <c r="E57" s="480">
        <f>+'[13]Sch C'!H37</f>
        <v>0</v>
      </c>
      <c r="F57" s="166">
        <f t="shared" si="5"/>
        <v>33571</v>
      </c>
      <c r="G57" s="626"/>
      <c r="H57" s="166"/>
      <c r="I57" s="166">
        <f t="shared" si="6"/>
        <v>33571</v>
      </c>
      <c r="J57" s="167">
        <f t="shared" si="7"/>
        <v>2.798858843279687E-3</v>
      </c>
      <c r="K57" s="458"/>
      <c r="L57" s="163"/>
      <c r="M57" s="163"/>
      <c r="O57" s="324">
        <f t="shared" si="8"/>
        <v>0.86996294280753583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'[13]Sch C'!D38</f>
        <v>4017</v>
      </c>
      <c r="D58" s="480">
        <f>'[13]Sch C'!F38</f>
        <v>-4017</v>
      </c>
      <c r="E58" s="480">
        <f>+'[13]Sch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'[13]Sch C'!D39</f>
        <v>22764</v>
      </c>
      <c r="D59" s="480">
        <f>'[13]Sch C'!F39</f>
        <v>0</v>
      </c>
      <c r="E59" s="480">
        <f>+'[13]Sch C'!H39</f>
        <v>0</v>
      </c>
      <c r="F59" s="166">
        <f t="shared" si="5"/>
        <v>22764</v>
      </c>
      <c r="G59" s="626"/>
      <c r="H59" s="166"/>
      <c r="I59" s="166">
        <f t="shared" si="6"/>
        <v>22764</v>
      </c>
      <c r="J59" s="167">
        <f t="shared" si="7"/>
        <v>1.8978649044835956E-3</v>
      </c>
      <c r="K59" s="458"/>
      <c r="L59" s="163"/>
      <c r="M59" s="163"/>
      <c r="O59" s="324">
        <f t="shared" si="8"/>
        <v>0.58990904143667888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'[13]Sch C'!D40</f>
        <v>39035</v>
      </c>
      <c r="D60" s="480">
        <f>'[13]Sch C'!F40</f>
        <v>-39035</v>
      </c>
      <c r="E60" s="480">
        <f>+'[13]Sch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'[13]Sch C'!D41</f>
        <v>64258</v>
      </c>
      <c r="D61" s="480">
        <f>'[13]Sch C'!F41</f>
        <v>-13308</v>
      </c>
      <c r="E61" s="480">
        <f>+'[13]Sch C'!H41</f>
        <v>0</v>
      </c>
      <c r="F61" s="166">
        <f t="shared" si="5"/>
        <v>50950</v>
      </c>
      <c r="G61" s="626"/>
      <c r="H61" s="166"/>
      <c r="I61" s="166">
        <f t="shared" si="6"/>
        <v>50950</v>
      </c>
      <c r="J61" s="167">
        <f t="shared" si="7"/>
        <v>4.2477691479282723E-3</v>
      </c>
      <c r="K61" s="458"/>
      <c r="L61" s="163"/>
      <c r="M61" s="163"/>
      <c r="O61" s="324">
        <f t="shared" si="8"/>
        <v>1.320324444789966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'[13]Sch C'!D42</f>
        <v>1284</v>
      </c>
      <c r="D62" s="480">
        <f>'[13]Sch C'!F42</f>
        <v>0</v>
      </c>
      <c r="E62" s="480">
        <f>+'[13]Sch C'!H42</f>
        <v>0</v>
      </c>
      <c r="F62" s="166">
        <f t="shared" si="5"/>
        <v>1284</v>
      </c>
      <c r="G62" s="626"/>
      <c r="H62" s="166"/>
      <c r="I62" s="166">
        <f t="shared" si="6"/>
        <v>1284</v>
      </c>
      <c r="J62" s="167">
        <f t="shared" si="7"/>
        <v>1.0704878480745638E-4</v>
      </c>
      <c r="K62" s="458"/>
      <c r="L62" s="163"/>
      <c r="M62" s="163"/>
      <c r="O62" s="324">
        <f t="shared" si="8"/>
        <v>3.3273730855943401E-2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'[13]Sch C'!D43</f>
        <v>26830</v>
      </c>
      <c r="D63" s="480">
        <f>'[13]Sch C'!F43</f>
        <v>-26830</v>
      </c>
      <c r="E63" s="480">
        <f>+'[13]Sch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'[13]Sch C'!D44</f>
        <v>0</v>
      </c>
      <c r="D64" s="480">
        <f>'[13]Sch C'!F44</f>
        <v>0</v>
      </c>
      <c r="E64" s="480">
        <f>+'[13]Sch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'[13]Sch C'!D45</f>
        <v>448357</v>
      </c>
      <c r="D65" s="480">
        <f>'[13]Sch C'!F45</f>
        <v>-413663</v>
      </c>
      <c r="E65" s="480">
        <f>+'[13]Sch C'!H45</f>
        <v>0</v>
      </c>
      <c r="F65" s="166">
        <f t="shared" si="5"/>
        <v>34694</v>
      </c>
      <c r="G65" s="626">
        <f>-9623.11-3682.07-9737.52</f>
        <v>-23042.7</v>
      </c>
      <c r="H65" s="166"/>
      <c r="I65" s="166">
        <f t="shared" si="6"/>
        <v>11651.3</v>
      </c>
      <c r="J65" s="167">
        <f t="shared" si="7"/>
        <v>9.7138435079993483E-4</v>
      </c>
      <c r="K65" s="458" t="s">
        <v>595</v>
      </c>
      <c r="L65" s="163"/>
      <c r="M65" s="163"/>
      <c r="O65" s="324">
        <f t="shared" si="8"/>
        <v>0.30193319339708208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2458634</v>
      </c>
      <c r="D66" s="480">
        <f t="shared" si="9"/>
        <v>-590850</v>
      </c>
      <c r="E66" s="480">
        <f t="shared" si="9"/>
        <v>0</v>
      </c>
      <c r="F66" s="166">
        <f t="shared" ref="F66:I66" si="10">SUM(F30:F65)</f>
        <v>1867784</v>
      </c>
      <c r="G66" s="166">
        <f t="shared" si="10"/>
        <v>-23042.7</v>
      </c>
      <c r="H66" s="166">
        <f t="shared" si="10"/>
        <v>0</v>
      </c>
      <c r="I66" s="166">
        <f t="shared" si="10"/>
        <v>1844741.3</v>
      </c>
      <c r="J66" s="178">
        <f t="shared" si="7"/>
        <v>0.15379853150243561</v>
      </c>
      <c r="K66" s="465"/>
      <c r="L66" s="163" t="s">
        <v>594</v>
      </c>
      <c r="M66" s="163"/>
      <c r="O66" s="329">
        <f>I66/I$233</f>
        <v>47.804848531965071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'[13]Sch C'!D57</f>
        <v>0</v>
      </c>
      <c r="D69" s="480">
        <f>'[13]Sch C'!F57</f>
        <v>0</v>
      </c>
      <c r="E69" s="480">
        <f>+'[13]Sch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'[13]Sch C'!D58</f>
        <v>1275</v>
      </c>
      <c r="D70" s="480">
        <f>'[13]Sch C'!F58</f>
        <v>0</v>
      </c>
      <c r="E70" s="480">
        <f>+'[13]Sch C'!H58</f>
        <v>0</v>
      </c>
      <c r="F70" s="166">
        <f t="shared" ref="F70:F83" si="13">C70+D70+E70</f>
        <v>1275</v>
      </c>
      <c r="G70" s="626"/>
      <c r="H70" s="166"/>
      <c r="I70" s="166">
        <f t="shared" ref="I70:I83" si="14">F70+G70+H70</f>
        <v>1275</v>
      </c>
      <c r="J70" s="167">
        <f t="shared" si="11"/>
        <v>1.0629844285787139E-4</v>
      </c>
      <c r="K70" s="458"/>
      <c r="L70" s="182"/>
      <c r="M70" s="163"/>
      <c r="O70" s="324">
        <f t="shared" si="12"/>
        <v>3.3040503770504548E-2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'[13]Sch C'!D59</f>
        <v>0</v>
      </c>
      <c r="D71" s="480">
        <f>'[13]Sch C'!F59</f>
        <v>0</v>
      </c>
      <c r="E71" s="480">
        <f>+'[13]Sch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'[13]Sch C'!D60</f>
        <v>0</v>
      </c>
      <c r="D72" s="480">
        <f>'[13]Sch C'!F60</f>
        <v>0</v>
      </c>
      <c r="E72" s="480">
        <f>+'[13]Sch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'[13]Sch C'!D61</f>
        <v>16884</v>
      </c>
      <c r="D73" s="480">
        <f>'[13]Sch C'!F61</f>
        <v>0</v>
      </c>
      <c r="E73" s="480">
        <f>+'[13]Sch C'!H61</f>
        <v>0</v>
      </c>
      <c r="F73" s="166">
        <f t="shared" si="13"/>
        <v>16884</v>
      </c>
      <c r="G73" s="626"/>
      <c r="H73" s="166"/>
      <c r="I73" s="166">
        <f t="shared" si="14"/>
        <v>16884</v>
      </c>
      <c r="J73" s="167">
        <f t="shared" si="11"/>
        <v>1.4076414974214123E-3</v>
      </c>
      <c r="K73" s="458"/>
      <c r="L73" s="185"/>
      <c r="M73" s="163"/>
      <c r="O73" s="324">
        <f t="shared" si="12"/>
        <v>0.43753401228329314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'[13]Sch C'!D62</f>
        <v>1730</v>
      </c>
      <c r="D74" s="480">
        <f>'[13]Sch C'!F62</f>
        <v>0</v>
      </c>
      <c r="E74" s="480">
        <f>+'[13]Sch C'!H62</f>
        <v>0</v>
      </c>
      <c r="F74" s="166">
        <f t="shared" si="13"/>
        <v>1730</v>
      </c>
      <c r="G74" s="626"/>
      <c r="H74" s="166"/>
      <c r="I74" s="166">
        <f t="shared" si="14"/>
        <v>1730</v>
      </c>
      <c r="J74" s="167">
        <f t="shared" si="11"/>
        <v>1.4423239697577845E-4</v>
      </c>
      <c r="K74" s="458"/>
      <c r="L74" s="187"/>
      <c r="M74" s="163"/>
      <c r="O74" s="324">
        <f t="shared" si="12"/>
        <v>4.4831428645468914E-2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'[13]Sch C'!D63</f>
        <v>0</v>
      </c>
      <c r="D75" s="480">
        <f>'[13]Sch C'!F63</f>
        <v>0</v>
      </c>
      <c r="E75" s="480">
        <f>+'[13]Sch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'[13]Sch C'!D64</f>
        <v>0</v>
      </c>
      <c r="D76" s="480">
        <f>'[13]Sch C'!F64</f>
        <v>0</v>
      </c>
      <c r="E76" s="480">
        <f>+'[13]Sch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'[13]Sch C'!D65</f>
        <v>2633</v>
      </c>
      <c r="D77" s="480">
        <f>'[13]Sch C'!F65</f>
        <v>0</v>
      </c>
      <c r="E77" s="480">
        <f>+'[13]Sch C'!H65</f>
        <v>0</v>
      </c>
      <c r="F77" s="166">
        <f t="shared" si="13"/>
        <v>2633</v>
      </c>
      <c r="G77" s="626"/>
      <c r="H77" s="166"/>
      <c r="I77" s="166">
        <f t="shared" si="14"/>
        <v>2633</v>
      </c>
      <c r="J77" s="167">
        <f t="shared" si="11"/>
        <v>2.1951670591747088E-4</v>
      </c>
      <c r="K77" s="458"/>
      <c r="L77" s="187"/>
      <c r="M77" s="163"/>
      <c r="O77" s="324">
        <f t="shared" si="12"/>
        <v>6.8231879551167426E-2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'[13]Sch C'!D66</f>
        <v>113467</v>
      </c>
      <c r="D78" s="480">
        <f>'[13]Sch C'!F66</f>
        <v>0</v>
      </c>
      <c r="E78" s="480">
        <f>+'[13]Sch C'!H66</f>
        <v>0</v>
      </c>
      <c r="F78" s="166">
        <f t="shared" si="13"/>
        <v>113467</v>
      </c>
      <c r="G78" s="626"/>
      <c r="H78" s="166"/>
      <c r="I78" s="166">
        <f t="shared" si="14"/>
        <v>113467</v>
      </c>
      <c r="J78" s="167">
        <f t="shared" si="11"/>
        <v>9.4598944437287013E-3</v>
      </c>
      <c r="K78" s="458"/>
      <c r="L78" s="187"/>
      <c r="M78" s="163"/>
      <c r="O78" s="324">
        <f t="shared" si="12"/>
        <v>2.9403975226100703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'[13]Sch C'!D67</f>
        <v>48085</v>
      </c>
      <c r="D79" s="480">
        <f>'[13]Sch C'!F67</f>
        <v>0</v>
      </c>
      <c r="E79" s="480">
        <f>+'[13]Sch C'!H67</f>
        <v>0</v>
      </c>
      <c r="F79" s="166">
        <f t="shared" si="13"/>
        <v>48085</v>
      </c>
      <c r="G79" s="626"/>
      <c r="H79" s="166"/>
      <c r="I79" s="166">
        <f t="shared" si="14"/>
        <v>48085</v>
      </c>
      <c r="J79" s="167">
        <f t="shared" si="11"/>
        <v>4.0089102939770555E-3</v>
      </c>
      <c r="K79" s="458"/>
      <c r="L79" s="187"/>
      <c r="M79" s="163"/>
      <c r="O79" s="324">
        <f t="shared" si="12"/>
        <v>1.246080489258597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'[13]Sch C'!D68</f>
        <v>0</v>
      </c>
      <c r="D80" s="480">
        <f>'[13]Sch C'!F68</f>
        <v>0</v>
      </c>
      <c r="E80" s="480">
        <f>+'[13]Sch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'[13]Sch C'!D69</f>
        <v>0</v>
      </c>
      <c r="D81" s="480">
        <f>'[13]Sch C'!F69</f>
        <v>0</v>
      </c>
      <c r="E81" s="480">
        <f>+'[13]Sch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'[13]Sch C'!D70</f>
        <v>0</v>
      </c>
      <c r="D82" s="480">
        <f>'[13]Sch C'!F70</f>
        <v>0</v>
      </c>
      <c r="E82" s="480">
        <f>+'[13]Sch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'[13]Sch C'!D71</f>
        <v>0</v>
      </c>
      <c r="D83" s="480">
        <f>'[13]Sch C'!F71</f>
        <v>0</v>
      </c>
      <c r="E83" s="480">
        <f>+'[13]Sch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184074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184074</v>
      </c>
      <c r="G84" s="166">
        <f t="shared" si="16"/>
        <v>0</v>
      </c>
      <c r="H84" s="166">
        <f t="shared" si="16"/>
        <v>0</v>
      </c>
      <c r="I84" s="166">
        <f t="shared" si="16"/>
        <v>184074</v>
      </c>
      <c r="J84" s="167">
        <f t="shared" si="11"/>
        <v>1.534649378087829E-2</v>
      </c>
      <c r="K84" s="458"/>
      <c r="L84" s="187"/>
      <c r="M84" s="163"/>
      <c r="O84" s="324">
        <f t="shared" si="12"/>
        <v>4.7701158361191016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'[13]Sch C'!D75</f>
        <v>113321</v>
      </c>
      <c r="D87" s="480">
        <f>'[13]Sch C'!F75</f>
        <v>0</v>
      </c>
      <c r="E87" s="480">
        <f>+'[13]Sch C'!H75</f>
        <v>0</v>
      </c>
      <c r="F87" s="166">
        <f t="shared" ref="F87:F97" si="17">C87+D87+E87</f>
        <v>113321</v>
      </c>
      <c r="G87" s="626"/>
      <c r="H87" s="166"/>
      <c r="I87" s="166">
        <f t="shared" ref="I87:I97" si="18">F87+G87+H87</f>
        <v>113321</v>
      </c>
      <c r="J87" s="167">
        <f t="shared" ref="J87:J98" si="19">IF($I$213=0,0,I87/$I$213)</f>
        <v>9.4477222298798777E-3</v>
      </c>
      <c r="K87" s="458"/>
      <c r="L87" s="176">
        <v>5592</v>
      </c>
      <c r="M87" s="176">
        <v>5971</v>
      </c>
      <c r="O87" s="324">
        <f t="shared" ref="O87:O97" si="20">I87/I$233</f>
        <v>2.9366140610018401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'[13]Sch C'!D76</f>
        <v>12021</v>
      </c>
      <c r="D88" s="480">
        <f>'[13]Sch C'!F76</f>
        <v>0</v>
      </c>
      <c r="E88" s="480">
        <f>+'[13]Sch C'!H76</f>
        <v>0</v>
      </c>
      <c r="F88" s="166">
        <f t="shared" si="17"/>
        <v>12021</v>
      </c>
      <c r="G88" s="626"/>
      <c r="H88" s="166"/>
      <c r="I88" s="166">
        <f t="shared" si="18"/>
        <v>12021</v>
      </c>
      <c r="J88" s="167">
        <f t="shared" si="19"/>
        <v>1.002206730662331E-3</v>
      </c>
      <c r="K88" s="458"/>
      <c r="L88" s="163"/>
      <c r="M88" s="163"/>
      <c r="O88" s="324">
        <f t="shared" si="20"/>
        <v>0.3115136437844982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'[13]Sch C'!D77</f>
        <v>16029</v>
      </c>
      <c r="D89" s="480">
        <f>'[13]Sch C'!F77</f>
        <v>0</v>
      </c>
      <c r="E89" s="480">
        <f>+'[13]Sch C'!H77</f>
        <v>0</v>
      </c>
      <c r="F89" s="166">
        <f t="shared" si="17"/>
        <v>16029</v>
      </c>
      <c r="G89" s="626"/>
      <c r="H89" s="166"/>
      <c r="I89" s="166">
        <f t="shared" si="18"/>
        <v>16029</v>
      </c>
      <c r="J89" s="167">
        <f t="shared" si="19"/>
        <v>1.3363590122108396E-3</v>
      </c>
      <c r="K89" s="458"/>
      <c r="L89" s="163"/>
      <c r="M89" s="163"/>
      <c r="O89" s="324">
        <f t="shared" si="20"/>
        <v>0.41537743916660186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'[13]Sch C'!D78</f>
        <v>0</v>
      </c>
      <c r="D90" s="480">
        <f>'[13]Sch C'!F78</f>
        <v>0</v>
      </c>
      <c r="E90" s="480">
        <f>+'[13]Sch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'[13]Sch C'!D79</f>
        <v>12600</v>
      </c>
      <c r="D91" s="480">
        <f>'[13]Sch C'!F79</f>
        <v>0</v>
      </c>
      <c r="E91" s="480">
        <f>+'[13]Sch C'!H79</f>
        <v>0</v>
      </c>
      <c r="F91" s="166">
        <f t="shared" si="17"/>
        <v>12600</v>
      </c>
      <c r="G91" s="626"/>
      <c r="H91" s="166"/>
      <c r="I91" s="166">
        <f t="shared" si="18"/>
        <v>12600</v>
      </c>
      <c r="J91" s="167">
        <f t="shared" si="19"/>
        <v>1.0504787294189643E-3</v>
      </c>
      <c r="K91" s="458"/>
      <c r="L91" s="163"/>
      <c r="M91" s="163"/>
      <c r="O91" s="324">
        <f t="shared" si="20"/>
        <v>0.32651791961439791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'[13]Sch C'!D80</f>
        <v>20021</v>
      </c>
      <c r="D92" s="480">
        <f>'[13]Sch C'!F80</f>
        <v>0</v>
      </c>
      <c r="E92" s="480">
        <f>+'[13]Sch C'!H80</f>
        <v>0</v>
      </c>
      <c r="F92" s="166">
        <f t="shared" si="17"/>
        <v>20021</v>
      </c>
      <c r="G92" s="626"/>
      <c r="H92" s="166"/>
      <c r="I92" s="166">
        <f t="shared" si="18"/>
        <v>20021</v>
      </c>
      <c r="J92" s="167">
        <f t="shared" si="19"/>
        <v>1.6691773525156417E-3</v>
      </c>
      <c r="K92" s="458"/>
      <c r="L92" s="163"/>
      <c r="M92" s="163"/>
      <c r="O92" s="324">
        <f t="shared" si="20"/>
        <v>0.51882660861903651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'[13]Sch C'!D81</f>
        <v>52221</v>
      </c>
      <c r="D93" s="480">
        <f>'[13]Sch C'!F81</f>
        <v>0</v>
      </c>
      <c r="E93" s="480">
        <f>+'[13]Sch C'!H81</f>
        <v>0</v>
      </c>
      <c r="F93" s="166">
        <f t="shared" si="17"/>
        <v>52221</v>
      </c>
      <c r="G93" s="626"/>
      <c r="H93" s="166"/>
      <c r="I93" s="166">
        <f t="shared" si="18"/>
        <v>52221</v>
      </c>
      <c r="J93" s="167">
        <f t="shared" si="19"/>
        <v>4.3537341054752177E-3</v>
      </c>
      <c r="K93" s="458"/>
      <c r="L93" s="163"/>
      <c r="M93" s="163"/>
      <c r="O93" s="324">
        <f t="shared" si="20"/>
        <v>1.3532612920780533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'[13]Sch C'!D82</f>
        <v>40538</v>
      </c>
      <c r="D94" s="480">
        <f>'[13]Sch C'!F82</f>
        <v>0</v>
      </c>
      <c r="E94" s="480">
        <f>+'[13]Sch C'!H82</f>
        <v>0</v>
      </c>
      <c r="F94" s="166">
        <f t="shared" si="17"/>
        <v>40538</v>
      </c>
      <c r="G94" s="626"/>
      <c r="H94" s="166"/>
      <c r="I94" s="166">
        <f t="shared" si="18"/>
        <v>40538</v>
      </c>
      <c r="J94" s="167">
        <f t="shared" si="19"/>
        <v>3.3797068835861887E-3</v>
      </c>
      <c r="K94" s="458"/>
      <c r="L94" s="163"/>
      <c r="M94" s="163"/>
      <c r="O94" s="324">
        <f t="shared" si="20"/>
        <v>1.0505066210578144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'[13]Sch C'!D83</f>
        <v>8256</v>
      </c>
      <c r="D95" s="480">
        <f>'[13]Sch C'!F83</f>
        <v>0</v>
      </c>
      <c r="E95" s="480">
        <f>+'[13]Sch C'!H83</f>
        <v>0</v>
      </c>
      <c r="F95" s="166">
        <f t="shared" si="17"/>
        <v>8256</v>
      </c>
      <c r="G95" s="626"/>
      <c r="H95" s="166"/>
      <c r="I95" s="166">
        <f t="shared" si="18"/>
        <v>8256</v>
      </c>
      <c r="J95" s="167">
        <f t="shared" si="19"/>
        <v>6.8831368175261668E-4</v>
      </c>
      <c r="K95" s="458"/>
      <c r="L95" s="163"/>
      <c r="M95" s="163"/>
      <c r="O95" s="324">
        <f t="shared" si="20"/>
        <v>0.21394697970924356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'[13]Sch C'!D84</f>
        <v>177623</v>
      </c>
      <c r="D96" s="480">
        <f>'[13]Sch C'!F84</f>
        <v>0</v>
      </c>
      <c r="E96" s="480">
        <f>+'[13]Sch C'!H84</f>
        <v>0</v>
      </c>
      <c r="F96" s="166">
        <f t="shared" si="17"/>
        <v>177623</v>
      </c>
      <c r="G96" s="626"/>
      <c r="H96" s="166"/>
      <c r="I96" s="166">
        <f t="shared" si="18"/>
        <v>177623</v>
      </c>
      <c r="J96" s="167">
        <f t="shared" si="19"/>
        <v>1.4808665345681326E-2</v>
      </c>
      <c r="K96" s="458"/>
      <c r="L96" s="163"/>
      <c r="M96" s="163"/>
      <c r="O96" s="324">
        <f t="shared" si="20"/>
        <v>4.6029438441006505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'[13]Sch C'!D85</f>
        <v>709</v>
      </c>
      <c r="D97" s="480">
        <f>'[13]Sch C'!F85</f>
        <v>0</v>
      </c>
      <c r="E97" s="480">
        <f>+'[13]Sch C'!H85</f>
        <v>0</v>
      </c>
      <c r="F97" s="166">
        <f t="shared" si="17"/>
        <v>709</v>
      </c>
      <c r="G97" s="626"/>
      <c r="H97" s="166"/>
      <c r="I97" s="166">
        <f t="shared" si="18"/>
        <v>709</v>
      </c>
      <c r="J97" s="167">
        <f t="shared" si="19"/>
        <v>5.9110271361749662E-5</v>
      </c>
      <c r="K97" s="458"/>
      <c r="L97" s="163"/>
      <c r="M97" s="163"/>
      <c r="O97" s="324">
        <f t="shared" si="20"/>
        <v>1.8373111508460962E-2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453339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453339</v>
      </c>
      <c r="G98" s="166">
        <f t="shared" si="22"/>
        <v>0</v>
      </c>
      <c r="H98" s="166">
        <f t="shared" si="22"/>
        <v>0</v>
      </c>
      <c r="I98" s="166">
        <f t="shared" si="22"/>
        <v>453339</v>
      </c>
      <c r="J98" s="167">
        <f t="shared" si="19"/>
        <v>3.7795474342544752E-2</v>
      </c>
      <c r="K98" s="458"/>
      <c r="L98" s="163"/>
      <c r="M98" s="163"/>
      <c r="O98" s="329">
        <f>I98/I$233</f>
        <v>11.747881520640597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'[13]Sch C'!D89</f>
        <v>432490</v>
      </c>
      <c r="D101" s="480">
        <f>'[13]Sch C'!F89</f>
        <v>0</v>
      </c>
      <c r="E101" s="480">
        <f>+'[13]Sch C'!H89</f>
        <v>0</v>
      </c>
      <c r="F101" s="166">
        <f t="shared" ref="F101:F106" si="23">C101+D101+E101</f>
        <v>432490</v>
      </c>
      <c r="G101" s="626"/>
      <c r="H101" s="166"/>
      <c r="I101" s="166">
        <f t="shared" ref="I101:I106" si="24">F101+G101+H101</f>
        <v>432490</v>
      </c>
      <c r="J101" s="167">
        <f t="shared" ref="J101:J107" si="25">IF($I$213=0,0,I101/$I$213)</f>
        <v>3.6057265530667293E-2</v>
      </c>
      <c r="K101" s="458"/>
      <c r="L101" s="176">
        <v>31377</v>
      </c>
      <c r="M101" s="176">
        <v>33086</v>
      </c>
      <c r="O101" s="329">
        <f t="shared" ref="O101:O106" si="26">I101/I$233</f>
        <v>11.207598020161186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'[13]Sch C'!D90</f>
        <v>60698</v>
      </c>
      <c r="D102" s="480">
        <f>'[13]Sch C'!F90</f>
        <v>0</v>
      </c>
      <c r="E102" s="480">
        <f>+'[13]Sch C'!H90</f>
        <v>0</v>
      </c>
      <c r="F102" s="166">
        <f t="shared" si="23"/>
        <v>60698</v>
      </c>
      <c r="G102" s="626"/>
      <c r="H102" s="166"/>
      <c r="I102" s="166">
        <f t="shared" si="24"/>
        <v>60698</v>
      </c>
      <c r="J102" s="167">
        <f t="shared" si="25"/>
        <v>5.0604728506565321E-3</v>
      </c>
      <c r="K102" s="458"/>
      <c r="L102" s="163"/>
      <c r="M102" s="163"/>
      <c r="O102" s="329">
        <f t="shared" si="26"/>
        <v>1.5729352924408511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'[13]Sch C'!D91</f>
        <v>22338</v>
      </c>
      <c r="D103" s="480">
        <f>'[13]Sch C'!F91</f>
        <v>0</v>
      </c>
      <c r="E103" s="480">
        <f>+'[13]Sch C'!H91</f>
        <v>0</v>
      </c>
      <c r="F103" s="166">
        <f t="shared" si="23"/>
        <v>22338</v>
      </c>
      <c r="G103" s="626"/>
      <c r="H103" s="166"/>
      <c r="I103" s="166">
        <f t="shared" si="24"/>
        <v>22338</v>
      </c>
      <c r="J103" s="167">
        <f t="shared" si="25"/>
        <v>1.862348718869907E-3</v>
      </c>
      <c r="K103" s="458"/>
      <c r="L103" s="163"/>
      <c r="M103" s="163"/>
      <c r="O103" s="329">
        <f t="shared" si="26"/>
        <v>0.57886962605923964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'[13]Sch C'!D92</f>
        <v>487235</v>
      </c>
      <c r="D104" s="480">
        <f>'[13]Sch C'!F92</f>
        <v>1400</v>
      </c>
      <c r="E104" s="480">
        <f>+'[13]Sch C'!H92</f>
        <v>0</v>
      </c>
      <c r="F104" s="166">
        <f t="shared" si="23"/>
        <v>488635</v>
      </c>
      <c r="G104" s="626"/>
      <c r="H104" s="166"/>
      <c r="I104" s="166">
        <f t="shared" si="24"/>
        <v>488635</v>
      </c>
      <c r="J104" s="167">
        <f t="shared" si="25"/>
        <v>4.0738148726161563E-2</v>
      </c>
      <c r="K104" s="458"/>
      <c r="L104" s="163"/>
      <c r="M104" s="163"/>
      <c r="O104" s="329">
        <f t="shared" si="26"/>
        <v>12.662546321490581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'[13]Sch C'!D93</f>
        <v>23869</v>
      </c>
      <c r="D105" s="480">
        <f>'[13]Sch C'!F93</f>
        <v>0</v>
      </c>
      <c r="E105" s="480">
        <f>+'[13]Sch C'!H93</f>
        <v>0</v>
      </c>
      <c r="F105" s="166">
        <f t="shared" si="23"/>
        <v>23869</v>
      </c>
      <c r="G105" s="626"/>
      <c r="H105" s="166"/>
      <c r="I105" s="166">
        <f t="shared" si="24"/>
        <v>23869</v>
      </c>
      <c r="J105" s="167">
        <f t="shared" si="25"/>
        <v>1.9899902216270844E-3</v>
      </c>
      <c r="K105" s="458"/>
      <c r="L105" s="163"/>
      <c r="M105" s="163"/>
      <c r="O105" s="329">
        <f t="shared" si="26"/>
        <v>0.61854414470444941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'[13]Sch C'!D94</f>
        <v>455</v>
      </c>
      <c r="D106" s="480">
        <f>'[13]Sch C'!F94</f>
        <v>0</v>
      </c>
      <c r="E106" s="480">
        <f>+'[13]Sch C'!H94</f>
        <v>0</v>
      </c>
      <c r="F106" s="166">
        <f t="shared" si="23"/>
        <v>455</v>
      </c>
      <c r="G106" s="626"/>
      <c r="H106" s="166"/>
      <c r="I106" s="166">
        <f t="shared" si="24"/>
        <v>455</v>
      </c>
      <c r="J106" s="167">
        <f t="shared" si="25"/>
        <v>3.7933954117907048E-5</v>
      </c>
      <c r="K106" s="458"/>
      <c r="L106" s="163"/>
      <c r="M106" s="163"/>
      <c r="O106" s="329">
        <f t="shared" si="26"/>
        <v>1.1790924874964368E-2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1027085</v>
      </c>
      <c r="D107" s="480">
        <f t="shared" si="27"/>
        <v>1400</v>
      </c>
      <c r="E107" s="480">
        <f t="shared" si="27"/>
        <v>0</v>
      </c>
      <c r="F107" s="166">
        <f t="shared" ref="F107:I107" si="28">SUM(F101:F106)</f>
        <v>1028485</v>
      </c>
      <c r="G107" s="166">
        <f t="shared" si="28"/>
        <v>0</v>
      </c>
      <c r="H107" s="166">
        <f t="shared" si="28"/>
        <v>0</v>
      </c>
      <c r="I107" s="166">
        <f t="shared" si="28"/>
        <v>1028485</v>
      </c>
      <c r="J107" s="167">
        <f t="shared" si="25"/>
        <v>8.574616000210028E-2</v>
      </c>
      <c r="K107" s="458"/>
      <c r="L107" s="163"/>
      <c r="M107" s="163"/>
      <c r="O107" s="329">
        <f>I107/I$233</f>
        <v>26.65228432973127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'[13]Sch C'!D98</f>
        <v>55146</v>
      </c>
      <c r="D110" s="480">
        <f>'[13]Sch C'!F98</f>
        <v>0</v>
      </c>
      <c r="E110" s="480">
        <f>+'[13]Sch C'!H98</f>
        <v>0</v>
      </c>
      <c r="F110" s="166">
        <f t="shared" ref="F110:F115" si="29">C110+D110+E110</f>
        <v>55146</v>
      </c>
      <c r="G110" s="626"/>
      <c r="H110" s="166"/>
      <c r="I110" s="166">
        <f t="shared" ref="I110:I115" si="30">F110+G110+H110</f>
        <v>55146</v>
      </c>
      <c r="J110" s="167">
        <f t="shared" ref="J110:J116" si="31">IF($I$213=0,0,I110/$I$213)</f>
        <v>4.5975952390903338E-3</v>
      </c>
      <c r="K110" s="458"/>
      <c r="L110" s="176">
        <v>4922</v>
      </c>
      <c r="M110" s="176">
        <v>5226</v>
      </c>
      <c r="O110" s="329">
        <f t="shared" ref="O110:O115" si="32">I110/I$233</f>
        <v>1.4290600948456813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'[13]Sch C'!D99</f>
        <v>10372</v>
      </c>
      <c r="D111" s="480">
        <f>'[13]Sch C'!F99</f>
        <v>0</v>
      </c>
      <c r="E111" s="480">
        <f>+'[13]Sch C'!H99</f>
        <v>0</v>
      </c>
      <c r="F111" s="166">
        <f t="shared" si="29"/>
        <v>10372</v>
      </c>
      <c r="G111" s="626"/>
      <c r="H111" s="166"/>
      <c r="I111" s="166">
        <f t="shared" si="30"/>
        <v>10372</v>
      </c>
      <c r="J111" s="167">
        <f t="shared" si="31"/>
        <v>8.6472741123281736E-4</v>
      </c>
      <c r="K111" s="458"/>
      <c r="L111" s="163"/>
      <c r="M111" s="163"/>
      <c r="O111" s="329">
        <f t="shared" si="32"/>
        <v>0.26878125890797894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'[13]Sch C'!D100</f>
        <v>8887</v>
      </c>
      <c r="D112" s="480">
        <f>'[13]Sch C'!F100</f>
        <v>0</v>
      </c>
      <c r="E112" s="480">
        <f>+'[13]Sch C'!H100</f>
        <v>0</v>
      </c>
      <c r="F112" s="166">
        <f t="shared" si="29"/>
        <v>8887</v>
      </c>
      <c r="G112" s="626"/>
      <c r="H112" s="166"/>
      <c r="I112" s="166">
        <f t="shared" si="30"/>
        <v>8887</v>
      </c>
      <c r="J112" s="167">
        <f t="shared" si="31"/>
        <v>7.4092098955129654E-4</v>
      </c>
      <c r="K112" s="458"/>
      <c r="L112" s="163"/>
      <c r="M112" s="163"/>
      <c r="O112" s="329">
        <f t="shared" si="32"/>
        <v>0.23029878981056778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'[13]Sch C'!D101</f>
        <v>0</v>
      </c>
      <c r="D113" s="480">
        <f>'[13]Sch C'!F101</f>
        <v>0</v>
      </c>
      <c r="E113" s="480">
        <f>+'[13]Sch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'[13]Sch C'!D102</f>
        <v>17578</v>
      </c>
      <c r="D114" s="480">
        <f>'[13]Sch C'!F102</f>
        <v>0</v>
      </c>
      <c r="E114" s="480">
        <f>+'[13]Sch C'!H102</f>
        <v>0</v>
      </c>
      <c r="F114" s="166">
        <f t="shared" si="29"/>
        <v>17578</v>
      </c>
      <c r="G114" s="626"/>
      <c r="H114" s="166"/>
      <c r="I114" s="166">
        <f t="shared" si="30"/>
        <v>17578</v>
      </c>
      <c r="J114" s="167">
        <f t="shared" si="31"/>
        <v>1.465501198867187E-3</v>
      </c>
      <c r="K114" s="458"/>
      <c r="L114" s="163"/>
      <c r="M114" s="163"/>
      <c r="O114" s="329">
        <f t="shared" si="32"/>
        <v>0.45551841198268939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'[13]Sch C'!D103</f>
        <v>0</v>
      </c>
      <c r="D115" s="480">
        <f>'[13]Sch C'!F103</f>
        <v>0</v>
      </c>
      <c r="E115" s="480">
        <f>+'[13]Sch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91983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91983</v>
      </c>
      <c r="G116" s="166">
        <f t="shared" si="34"/>
        <v>0</v>
      </c>
      <c r="H116" s="166">
        <f t="shared" si="34"/>
        <v>0</v>
      </c>
      <c r="I116" s="166">
        <f t="shared" si="34"/>
        <v>91983</v>
      </c>
      <c r="J116" s="167">
        <f t="shared" si="31"/>
        <v>7.6687448387416351E-3</v>
      </c>
      <c r="K116" s="458"/>
      <c r="L116" s="163"/>
      <c r="M116" s="163"/>
      <c r="O116" s="329">
        <f>I116/I$233</f>
        <v>2.3836585555469174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'[13]Sch C'!D115</f>
        <v>244747</v>
      </c>
      <c r="D119" s="480">
        <f>'[13]Sch C'!F115</f>
        <v>0</v>
      </c>
      <c r="E119" s="480">
        <f>+'[13]Sch C'!H115</f>
        <v>0</v>
      </c>
      <c r="F119" s="166">
        <f t="shared" ref="F119:F123" si="35">C119+D119+E119</f>
        <v>244747</v>
      </c>
      <c r="G119" s="626"/>
      <c r="H119" s="166"/>
      <c r="I119" s="166">
        <f t="shared" ref="I119:I123" si="36">F119+G119+H119</f>
        <v>244747</v>
      </c>
      <c r="J119" s="167">
        <f t="shared" ref="J119:J124" si="37">IF($I$213=0,0,I119/$I$213)</f>
        <v>2.0404882348341528E-2</v>
      </c>
      <c r="K119" s="458"/>
      <c r="L119" s="176">
        <v>21357</v>
      </c>
      <c r="M119" s="176">
        <v>22334</v>
      </c>
      <c r="O119" s="329">
        <f t="shared" ref="O119:O124" si="38">I119/I$233</f>
        <v>6.3424032755448447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'[13]Sch C'!D116</f>
        <v>39516</v>
      </c>
      <c r="D120" s="480">
        <f>'[13]Sch C'!F116</f>
        <v>0</v>
      </c>
      <c r="E120" s="480">
        <f>+'[13]Sch C'!H116</f>
        <v>0</v>
      </c>
      <c r="F120" s="166">
        <f t="shared" si="35"/>
        <v>39516</v>
      </c>
      <c r="G120" s="626"/>
      <c r="H120" s="166"/>
      <c r="I120" s="166">
        <f t="shared" si="36"/>
        <v>39516</v>
      </c>
      <c r="J120" s="167">
        <f t="shared" si="37"/>
        <v>3.2945013866444283E-3</v>
      </c>
      <c r="K120" s="458"/>
      <c r="L120" s="163"/>
      <c r="M120" s="163"/>
      <c r="O120" s="329">
        <f t="shared" si="38"/>
        <v>1.0240223898002021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'[13]Sch C'!D117</f>
        <v>75778</v>
      </c>
      <c r="D121" s="480">
        <f>'[13]Sch C'!F117</f>
        <v>0</v>
      </c>
      <c r="E121" s="480">
        <f>+'[13]Sch C'!H117</f>
        <v>0</v>
      </c>
      <c r="F121" s="166">
        <f t="shared" si="35"/>
        <v>75778</v>
      </c>
      <c r="G121" s="626"/>
      <c r="H121" s="166"/>
      <c r="I121" s="166">
        <f t="shared" si="36"/>
        <v>75778</v>
      </c>
      <c r="J121" s="167">
        <f t="shared" si="37"/>
        <v>6.3177124728500227E-3</v>
      </c>
      <c r="K121" s="458"/>
      <c r="L121" s="163"/>
      <c r="M121" s="163"/>
      <c r="O121" s="329">
        <f t="shared" si="38"/>
        <v>1.9637202311539559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'[13]Sch C'!D118</f>
        <v>1600</v>
      </c>
      <c r="D122" s="480">
        <f>'[13]Sch C'!F118</f>
        <v>0</v>
      </c>
      <c r="E122" s="480">
        <f>+'[13]Sch C'!H118</f>
        <v>0</v>
      </c>
      <c r="F122" s="166">
        <f t="shared" si="35"/>
        <v>1600</v>
      </c>
      <c r="G122" s="626"/>
      <c r="H122" s="166"/>
      <c r="I122" s="166">
        <f t="shared" si="36"/>
        <v>1600</v>
      </c>
      <c r="J122" s="167">
        <f t="shared" si="37"/>
        <v>1.3339412437066216E-4</v>
      </c>
      <c r="K122" s="458"/>
      <c r="L122" s="163"/>
      <c r="M122" s="163"/>
      <c r="O122" s="329">
        <f t="shared" si="38"/>
        <v>4.1462592966907665E-2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'[13]Sch C'!D119</f>
        <v>2647</v>
      </c>
      <c r="D123" s="480">
        <f>'[13]Sch C'!F119</f>
        <v>0</v>
      </c>
      <c r="E123" s="480">
        <f>+'[13]Sch C'!H119</f>
        <v>0</v>
      </c>
      <c r="F123" s="166">
        <f t="shared" si="35"/>
        <v>2647</v>
      </c>
      <c r="G123" s="626"/>
      <c r="H123" s="166"/>
      <c r="I123" s="166">
        <f t="shared" si="36"/>
        <v>2647</v>
      </c>
      <c r="J123" s="167">
        <f t="shared" si="37"/>
        <v>2.206839045057142E-4</v>
      </c>
      <c r="K123" s="458"/>
      <c r="L123" s="163"/>
      <c r="M123" s="163"/>
      <c r="O123" s="329">
        <f t="shared" si="38"/>
        <v>6.859467723962788E-2</v>
      </c>
      <c r="P123" s="324">
        <f>SUMMARY!L125</f>
        <v>1.509992127773452E-2</v>
      </c>
    </row>
    <row r="124" spans="1:16" s="162" customFormat="1">
      <c r="A124" s="158"/>
      <c r="B124" s="165" t="s">
        <v>357</v>
      </c>
      <c r="C124" s="480">
        <f t="shared" ref="C124:E124" si="39">SUM(C119:C123)</f>
        <v>364288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364288</v>
      </c>
      <c r="G124" s="166">
        <f t="shared" si="40"/>
        <v>0</v>
      </c>
      <c r="H124" s="166">
        <f t="shared" si="40"/>
        <v>0</v>
      </c>
      <c r="I124" s="166">
        <f t="shared" si="40"/>
        <v>364288</v>
      </c>
      <c r="J124" s="167">
        <f t="shared" si="37"/>
        <v>3.0371174236712359E-2</v>
      </c>
      <c r="K124" s="458"/>
      <c r="L124" s="163"/>
      <c r="M124" s="163"/>
      <c r="O124" s="329">
        <f t="shared" si="38"/>
        <v>9.4402031667055386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'[13]Sch C'!D124</f>
        <v>0</v>
      </c>
      <c r="D128" s="480">
        <f>'[13]Sch C'!F124</f>
        <v>0</v>
      </c>
      <c r="E128" s="480">
        <f>+'[13]Sch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'[13]Sch C'!D125</f>
        <v>530812</v>
      </c>
      <c r="D129" s="480">
        <f>'[13]Sch C'!F125</f>
        <v>0</v>
      </c>
      <c r="E129" s="480">
        <f>+'[13]Sch C'!H125</f>
        <v>0</v>
      </c>
      <c r="F129" s="166">
        <f t="shared" si="41"/>
        <v>530812</v>
      </c>
      <c r="G129" s="626"/>
      <c r="H129" s="166"/>
      <c r="I129" s="166">
        <f t="shared" si="42"/>
        <v>530812</v>
      </c>
      <c r="J129" s="167">
        <f>IF($I$213=0,0,I129/$I$213)</f>
        <v>4.4254501215899945E-2</v>
      </c>
      <c r="K129" s="458"/>
      <c r="L129" s="176">
        <v>16019</v>
      </c>
      <c r="M129" s="176">
        <v>16726</v>
      </c>
      <c r="O129" s="329">
        <f t="shared" si="43"/>
        <v>13.755526186218871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'[13]Sch C'!D126</f>
        <v>0</v>
      </c>
      <c r="D130" s="480">
        <f>'[13]Sch C'!F126</f>
        <v>0</v>
      </c>
      <c r="E130" s="480">
        <f>+'[13]Sch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'[13]Sch C'!D127</f>
        <v>0</v>
      </c>
      <c r="D131" s="480">
        <f>'[13]Sch C'!F127</f>
        <v>0</v>
      </c>
      <c r="E131" s="480">
        <f>+'[13]Sch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'[13]Sch C'!D128</f>
        <v>66968</v>
      </c>
      <c r="D132" s="480">
        <f>'[13]Sch C'!F128</f>
        <v>0</v>
      </c>
      <c r="E132" s="480">
        <f>+'[13]Sch C'!H128</f>
        <v>0</v>
      </c>
      <c r="F132" s="166">
        <f t="shared" si="41"/>
        <v>66968</v>
      </c>
      <c r="G132" s="626"/>
      <c r="H132" s="166"/>
      <c r="I132" s="166">
        <f t="shared" si="42"/>
        <v>66968</v>
      </c>
      <c r="J132" s="167">
        <f>IF($I$213=0,0,I132/$I$213)</f>
        <v>5.5832110755340645E-3</v>
      </c>
      <c r="K132" s="458"/>
      <c r="L132" s="176">
        <v>4191</v>
      </c>
      <c r="M132" s="176">
        <v>4408</v>
      </c>
      <c r="O132" s="329">
        <f t="shared" si="43"/>
        <v>1.7354168286299205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'[13]Sch C'!D130</f>
        <v>0</v>
      </c>
      <c r="D134" s="480">
        <f>'[13]Sch C'!F130</f>
        <v>0</v>
      </c>
      <c r="E134" s="480">
        <f>+'[13]Sch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'[13]Sch C'!D131</f>
        <v>49962</v>
      </c>
      <c r="D135" s="480">
        <f>'[13]Sch C'!F131</f>
        <v>0</v>
      </c>
      <c r="E135" s="480">
        <f>+'[13]Sch C'!H131</f>
        <v>0</v>
      </c>
      <c r="F135" s="166">
        <f t="shared" si="44"/>
        <v>49962</v>
      </c>
      <c r="G135" s="626"/>
      <c r="H135" s="166"/>
      <c r="I135" s="166">
        <f t="shared" si="45"/>
        <v>49962</v>
      </c>
      <c r="J135" s="167">
        <f>IF($I$213=0,0,I135/$I$213)</f>
        <v>4.1653982761293892E-3</v>
      </c>
      <c r="K135" s="458"/>
      <c r="L135" s="196"/>
      <c r="M135" s="196"/>
      <c r="O135" s="329">
        <f t="shared" si="43"/>
        <v>1.2947212936329007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'[13]Sch C'!D132</f>
        <v>0</v>
      </c>
      <c r="D136" s="480">
        <f>'[13]Sch C'!F132</f>
        <v>0</v>
      </c>
      <c r="E136" s="480">
        <f>+'[13]Sch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'[13]Sch C'!D133</f>
        <v>0</v>
      </c>
      <c r="D137" s="480">
        <f>'[13]Sch C'!F133</f>
        <v>0</v>
      </c>
      <c r="E137" s="480">
        <f>+'[13]Sch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'[13]Sch C'!D134</f>
        <v>6370</v>
      </c>
      <c r="D138" s="480">
        <f>'[13]Sch C'!F134</f>
        <v>0</v>
      </c>
      <c r="E138" s="480">
        <f>+'[13]Sch C'!H134</f>
        <v>0</v>
      </c>
      <c r="F138" s="166">
        <f t="shared" si="44"/>
        <v>6370</v>
      </c>
      <c r="G138" s="626"/>
      <c r="H138" s="166"/>
      <c r="I138" s="166">
        <f t="shared" si="45"/>
        <v>6370</v>
      </c>
      <c r="J138" s="167">
        <f>IF($I$213=0,0,I138/$I$213)</f>
        <v>5.3107535765069866E-4</v>
      </c>
      <c r="K138" s="458"/>
      <c r="L138" s="163"/>
      <c r="M138" s="163"/>
      <c r="O138" s="329">
        <f t="shared" si="43"/>
        <v>0.16507294824950117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'[13]Sch C'!D136</f>
        <v>1291016</v>
      </c>
      <c r="D140" s="480">
        <f>'[13]Sch C'!F136</f>
        <v>0</v>
      </c>
      <c r="E140" s="480">
        <f>+'[13]Sch C'!H136</f>
        <v>0</v>
      </c>
      <c r="F140" s="166">
        <f t="shared" ref="F140:F143" si="46">C140+D140+E140</f>
        <v>1291016</v>
      </c>
      <c r="G140" s="626"/>
      <c r="H140" s="166"/>
      <c r="I140" s="166">
        <f t="shared" ref="I140:I143" si="47">F140+G140+H140</f>
        <v>1291016</v>
      </c>
      <c r="J140" s="167">
        <f>IF($I$213=0,0,I140/$I$213)</f>
        <v>0.10763371804282172</v>
      </c>
      <c r="K140" s="458"/>
      <c r="L140" s="176">
        <v>48018</v>
      </c>
      <c r="M140" s="176">
        <v>49812</v>
      </c>
      <c r="O140" s="329">
        <f t="shared" si="43"/>
        <v>33.455544326103293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'[13]Sch C'!D137</f>
        <v>816933</v>
      </c>
      <c r="D141" s="480">
        <f>'[13]Sch C'!F137</f>
        <v>0</v>
      </c>
      <c r="E141" s="480">
        <f>+'[13]Sch C'!H137</f>
        <v>0</v>
      </c>
      <c r="F141" s="166">
        <f t="shared" si="46"/>
        <v>816933</v>
      </c>
      <c r="G141" s="626"/>
      <c r="H141" s="166"/>
      <c r="I141" s="166">
        <f t="shared" si="47"/>
        <v>816933</v>
      </c>
      <c r="J141" s="167">
        <f>IF($I$213=0,0,I141/$I$213)</f>
        <v>6.8108788877811341E-2</v>
      </c>
      <c r="K141" s="458"/>
      <c r="L141" s="176">
        <v>43706</v>
      </c>
      <c r="M141" s="176">
        <v>45611</v>
      </c>
      <c r="O141" s="329">
        <f t="shared" si="43"/>
        <v>21.17010028764674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'[13]Sch C'!D138</f>
        <v>1945955</v>
      </c>
      <c r="D142" s="480">
        <f>'[13]Sch C'!F138</f>
        <v>95602</v>
      </c>
      <c r="E142" s="480">
        <f>+'[13]Sch C'!H138</f>
        <v>0</v>
      </c>
      <c r="F142" s="166">
        <f t="shared" si="46"/>
        <v>2041557</v>
      </c>
      <c r="G142" s="626"/>
      <c r="H142" s="166"/>
      <c r="I142" s="166">
        <f t="shared" si="47"/>
        <v>2041557</v>
      </c>
      <c r="J142" s="167">
        <f>IF($I$213=0,0,I142/$I$213)</f>
        <v>0.17020731772987244</v>
      </c>
      <c r="K142" s="458"/>
      <c r="L142" s="176">
        <v>212554</v>
      </c>
      <c r="M142" s="176">
        <v>225482</v>
      </c>
      <c r="O142" s="329">
        <f t="shared" si="43"/>
        <v>52.905154318588195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'[13]Sch C'!D139</f>
        <v>95602</v>
      </c>
      <c r="D143" s="480">
        <f>'[13]Sch C'!F139</f>
        <v>-95602</v>
      </c>
      <c r="E143" s="480">
        <f>+'[13]Sch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'[13]Sch C'!D141</f>
        <v>859343</v>
      </c>
      <c r="D145" s="480">
        <f>'[13]Sch C'!F141</f>
        <v>-591980</v>
      </c>
      <c r="E145" s="480">
        <f>+'[13]Sch C'!H141</f>
        <v>0</v>
      </c>
      <c r="F145" s="166">
        <f t="shared" ref="F145:F148" si="48">C145+D145+E145</f>
        <v>267363</v>
      </c>
      <c r="G145" s="626"/>
      <c r="H145" s="166"/>
      <c r="I145" s="166">
        <f t="shared" ref="I145:I148" si="49">F145+G145+H145</f>
        <v>267363</v>
      </c>
      <c r="J145" s="167">
        <f>IF($I$213=0,0,I145/$I$213)</f>
        <v>2.2290408296320841E-2</v>
      </c>
      <c r="K145" s="458"/>
      <c r="L145" s="163"/>
      <c r="M145" s="163"/>
      <c r="O145" s="329">
        <f t="shared" si="43"/>
        <v>6.9284770271320841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'[13]Sch C'!D142</f>
        <v>0</v>
      </c>
      <c r="D146" s="480">
        <f>'[13]Sch C'!F142</f>
        <v>169183</v>
      </c>
      <c r="E146" s="480">
        <f>+'[13]Sch C'!H142</f>
        <v>0</v>
      </c>
      <c r="F146" s="166">
        <f t="shared" si="48"/>
        <v>169183</v>
      </c>
      <c r="G146" s="626"/>
      <c r="H146" s="166"/>
      <c r="I146" s="166">
        <f t="shared" si="49"/>
        <v>169183</v>
      </c>
      <c r="J146" s="167">
        <f>IF($I$213=0,0,I146/$I$213)</f>
        <v>1.4105011339626083E-2</v>
      </c>
      <c r="K146" s="458"/>
      <c r="L146" s="163"/>
      <c r="M146" s="163"/>
      <c r="O146" s="329">
        <f t="shared" si="43"/>
        <v>4.3842286662002126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'[13]Sch C'!D143</f>
        <v>0</v>
      </c>
      <c r="D147" s="480">
        <f>'[13]Sch C'!F143</f>
        <v>422797</v>
      </c>
      <c r="E147" s="480">
        <f>+'[13]Sch C'!H143</f>
        <v>0</v>
      </c>
      <c r="F147" s="166">
        <f t="shared" si="48"/>
        <v>422797</v>
      </c>
      <c r="G147" s="626"/>
      <c r="H147" s="166"/>
      <c r="I147" s="166">
        <f t="shared" si="49"/>
        <v>422797</v>
      </c>
      <c r="J147" s="167">
        <f>IF($I$213=0,0,I147/$I$213)</f>
        <v>3.5249147250964279E-2</v>
      </c>
      <c r="K147" s="458"/>
      <c r="L147" s="163"/>
      <c r="M147" s="163"/>
      <c r="O147" s="329">
        <f t="shared" si="43"/>
        <v>10.956412449143539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'[13]Sch C'!D144</f>
        <v>0</v>
      </c>
      <c r="D148" s="480">
        <f>'[13]Sch C'!F144</f>
        <v>0</v>
      </c>
      <c r="E148" s="480">
        <f>+'[13]Sch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'[13]Sch C'!D146</f>
        <v>59863</v>
      </c>
      <c r="D150" s="480">
        <f>'[13]Sch C'!F146</f>
        <v>0</v>
      </c>
      <c r="E150" s="480">
        <f>+'[13]Sch C'!H146</f>
        <v>0</v>
      </c>
      <c r="F150" s="166">
        <f t="shared" ref="F150:F158" si="50">C150+D150+E150</f>
        <v>59863</v>
      </c>
      <c r="G150" s="626"/>
      <c r="H150" s="166"/>
      <c r="I150" s="166">
        <f t="shared" ref="I150:I158" si="51">F150+G150+H150</f>
        <v>59863</v>
      </c>
      <c r="J150" s="167">
        <f t="shared" ref="J150:J158" si="52">IF($I$213=0,0,I150/$I$213)</f>
        <v>4.9908577920005923E-3</v>
      </c>
      <c r="K150" s="458"/>
      <c r="L150" s="176">
        <v>372</v>
      </c>
      <c r="M150" s="176">
        <v>372</v>
      </c>
      <c r="O150" s="329">
        <f t="shared" si="43"/>
        <v>1.5512970017362462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'[13]Sch C'!D147</f>
        <v>0</v>
      </c>
      <c r="D151" s="480">
        <f>'[13]Sch C'!F147</f>
        <v>0</v>
      </c>
      <c r="E151" s="480">
        <f>+'[13]Sch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'[13]Sch C'!D148</f>
        <v>0</v>
      </c>
      <c r="D152" s="480">
        <f>'[13]Sch C'!F148</f>
        <v>0</v>
      </c>
      <c r="E152" s="480">
        <f>+'[13]Sch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'[13]Sch C'!D149</f>
        <v>0</v>
      </c>
      <c r="D153" s="480">
        <f>'[13]Sch C'!F149</f>
        <v>0</v>
      </c>
      <c r="E153" s="480">
        <f>+'[13]Sch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'[13]Sch C'!D150</f>
        <v>2774</v>
      </c>
      <c r="D154" s="480">
        <f>'[13]Sch C'!F150</f>
        <v>0</v>
      </c>
      <c r="E154" s="480">
        <f>+'[13]Sch C'!H150</f>
        <v>0</v>
      </c>
      <c r="F154" s="166">
        <f t="shared" si="50"/>
        <v>2774</v>
      </c>
      <c r="G154" s="626"/>
      <c r="H154" s="166"/>
      <c r="I154" s="166">
        <f t="shared" si="51"/>
        <v>2774</v>
      </c>
      <c r="J154" s="167">
        <f t="shared" si="52"/>
        <v>2.312720631276355E-4</v>
      </c>
      <c r="K154" s="458"/>
      <c r="L154" s="176">
        <v>0</v>
      </c>
      <c r="M154" s="176">
        <v>0</v>
      </c>
      <c r="O154" s="329">
        <f t="shared" si="43"/>
        <v>7.1885770556376169E-2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'[13]Sch C'!D151</f>
        <v>158367</v>
      </c>
      <c r="D155" s="480">
        <f>'[13]Sch C'!F151</f>
        <v>0</v>
      </c>
      <c r="E155" s="480">
        <f>+'[13]Sch C'!H151</f>
        <v>0</v>
      </c>
      <c r="F155" s="166">
        <f t="shared" si="50"/>
        <v>158367</v>
      </c>
      <c r="G155" s="626"/>
      <c r="H155" s="166"/>
      <c r="I155" s="166">
        <f t="shared" si="51"/>
        <v>158367</v>
      </c>
      <c r="J155" s="167">
        <f t="shared" si="52"/>
        <v>1.3203267058880407E-2</v>
      </c>
      <c r="K155" s="458"/>
      <c r="L155" s="163"/>
      <c r="M155" s="163"/>
      <c r="O155" s="329">
        <f t="shared" si="43"/>
        <v>4.1039415377439168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'[13]Sch C'!D152</f>
        <v>24963</v>
      </c>
      <c r="D156" s="480">
        <f>'[13]Sch C'!F152</f>
        <v>0</v>
      </c>
      <c r="E156" s="480">
        <f>+'[13]Sch C'!H152</f>
        <v>0</v>
      </c>
      <c r="F156" s="166">
        <f t="shared" si="50"/>
        <v>24963</v>
      </c>
      <c r="G156" s="626"/>
      <c r="H156" s="166"/>
      <c r="I156" s="166">
        <f t="shared" si="51"/>
        <v>24963</v>
      </c>
      <c r="J156" s="167">
        <f t="shared" si="52"/>
        <v>2.0811984541655244E-3</v>
      </c>
      <c r="K156" s="458"/>
      <c r="L156" s="163"/>
      <c r="M156" s="163"/>
      <c r="O156" s="329">
        <f t="shared" si="43"/>
        <v>0.64689419264557257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'[13]Sch C'!D153</f>
        <v>0</v>
      </c>
      <c r="D157" s="480">
        <f>'[13]Sch C'!F153</f>
        <v>0</v>
      </c>
      <c r="E157" s="480">
        <f>+'[13]Sch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'[13]Sch C'!D154</f>
        <v>0</v>
      </c>
      <c r="D158" s="480">
        <f>'[13]Sch C'!F154</f>
        <v>0</v>
      </c>
      <c r="E158" s="480">
        <f>+'[13]Sch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'[13]Sch C'!D156</f>
        <v>0</v>
      </c>
      <c r="D160" s="480">
        <f>'[13]Sch C'!F156</f>
        <v>0</v>
      </c>
      <c r="E160" s="480">
        <f>+'[13]Sch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'[13]Sch C'!D157</f>
        <v>0</v>
      </c>
      <c r="D161" s="480">
        <f>'[13]Sch C'!F157</f>
        <v>0</v>
      </c>
      <c r="E161" s="480">
        <f>+'[13]Sch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'[13]Sch C'!D158</f>
        <v>0</v>
      </c>
      <c r="D162" s="480">
        <f>'[13]Sch C'!F158</f>
        <v>0</v>
      </c>
      <c r="E162" s="480">
        <f>+'[13]Sch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'[13]Sch C'!D159</f>
        <v>0</v>
      </c>
      <c r="D163" s="480">
        <f>'[13]Sch C'!F159</f>
        <v>0</v>
      </c>
      <c r="E163" s="480">
        <f>+'[13]Sch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'[13]Sch C'!D160</f>
        <v>1906</v>
      </c>
      <c r="D164" s="480">
        <f>'[13]Sch C'!F160</f>
        <v>0</v>
      </c>
      <c r="E164" s="480">
        <f>+'[13]Sch C'!H160</f>
        <v>0</v>
      </c>
      <c r="F164" s="166">
        <f t="shared" si="53"/>
        <v>1906</v>
      </c>
      <c r="G164" s="626"/>
      <c r="H164" s="166"/>
      <c r="I164" s="166">
        <f t="shared" si="54"/>
        <v>1906</v>
      </c>
      <c r="J164" s="167">
        <f>IF($I$213=0,0,I164/$I$213)</f>
        <v>1.5890575065655128E-4</v>
      </c>
      <c r="K164" s="458"/>
      <c r="L164" s="163"/>
      <c r="M164" s="163"/>
      <c r="O164" s="329">
        <f t="shared" si="43"/>
        <v>4.9392313871828762E-2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'[13]Sch C'!D161</f>
        <v>35181</v>
      </c>
      <c r="D165" s="480">
        <f>'[13]Sch C'!F161</f>
        <v>0</v>
      </c>
      <c r="E165" s="480">
        <f>+'[13]Sch C'!H161</f>
        <v>0</v>
      </c>
      <c r="F165" s="166">
        <f t="shared" si="53"/>
        <v>35181</v>
      </c>
      <c r="G165" s="626"/>
      <c r="H165" s="166"/>
      <c r="I165" s="166">
        <f t="shared" si="54"/>
        <v>35181</v>
      </c>
      <c r="J165" s="167">
        <f t="shared" si="55"/>
        <v>2.9330866809276655E-3</v>
      </c>
      <c r="K165" s="458"/>
      <c r="L165" s="163"/>
      <c r="M165" s="163"/>
      <c r="O165" s="329">
        <f t="shared" si="43"/>
        <v>0.91168467698048672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5946015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5946015</v>
      </c>
      <c r="G166" s="166">
        <f t="shared" si="57"/>
        <v>0</v>
      </c>
      <c r="H166" s="166">
        <f t="shared" si="57"/>
        <v>0</v>
      </c>
      <c r="I166" s="166">
        <f t="shared" si="57"/>
        <v>5946015</v>
      </c>
      <c r="J166" s="167">
        <f t="shared" si="55"/>
        <v>0.49572716526238919</v>
      </c>
      <c r="K166" s="458"/>
      <c r="L166" s="163"/>
      <c r="M166" s="163"/>
      <c r="O166" s="329">
        <f>I166/I$233</f>
        <v>154.08574982507969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'[13]Sch C'!D175</f>
        <v>0</v>
      </c>
      <c r="D169" s="480">
        <f>'[13]Sch C'!F175</f>
        <v>0</v>
      </c>
      <c r="E169" s="480">
        <f>+'[13]Sch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'[13]Sch C'!D176</f>
        <v>0</v>
      </c>
      <c r="D170" s="480">
        <f>'[13]Sch C'!F176</f>
        <v>0</v>
      </c>
      <c r="E170" s="480">
        <f>+'[13]Sch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'[13]Sch C'!D177</f>
        <v>0</v>
      </c>
      <c r="D171" s="480">
        <f>'[13]Sch C'!F177</f>
        <v>0</v>
      </c>
      <c r="E171" s="480">
        <f>+'[13]Sch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'[13]Sch C'!D178</f>
        <v>0</v>
      </c>
      <c r="D172" s="480">
        <f>'[13]Sch C'!F178</f>
        <v>0</v>
      </c>
      <c r="E172" s="480">
        <f>+'[13]Sch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'[13]Sch C'!D179</f>
        <v>0</v>
      </c>
      <c r="D173" s="480">
        <f>'[13]Sch C'!F179</f>
        <v>0</v>
      </c>
      <c r="E173" s="480">
        <f>+'[13]Sch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'[13]Sch C'!D180</f>
        <v>0</v>
      </c>
      <c r="D174" s="480">
        <f>'[13]Sch C'!F180</f>
        <v>0</v>
      </c>
      <c r="E174" s="480">
        <f>+'[13]Sch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'[13]Sch C'!D181</f>
        <v>0</v>
      </c>
      <c r="D175" s="480">
        <f>'[13]Sch C'!F181</f>
        <v>0</v>
      </c>
      <c r="E175" s="480">
        <f>+'[13]Sch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'[13]Sch C'!D182</f>
        <v>0</v>
      </c>
      <c r="D176" s="480">
        <f>'[13]Sch C'!F182</f>
        <v>0</v>
      </c>
      <c r="E176" s="480">
        <f>+'[13]Sch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'[13]Sch C'!D183</f>
        <v>0</v>
      </c>
      <c r="D177" s="480">
        <f>'[13]Sch C'!F183</f>
        <v>0</v>
      </c>
      <c r="E177" s="480">
        <f>+'[13]Sch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'[13]Sch C'!D184</f>
        <v>0</v>
      </c>
      <c r="D178" s="480">
        <f>'[13]Sch C'!F184</f>
        <v>0</v>
      </c>
      <c r="E178" s="480">
        <f>+'[13]Sch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'[13]Sch C'!D185</f>
        <v>0</v>
      </c>
      <c r="D179" s="480">
        <f>'[13]Sch C'!F185</f>
        <v>0</v>
      </c>
      <c r="E179" s="480">
        <f>+'[13]Sch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'[13]Sch C'!D186</f>
        <v>0</v>
      </c>
      <c r="D180" s="480">
        <f>'[13]Sch C'!F186</f>
        <v>0</v>
      </c>
      <c r="E180" s="480">
        <f>+'[13]Sch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'[13]Sch C'!D187</f>
        <v>0</v>
      </c>
      <c r="D181" s="480">
        <f>'[13]Sch C'!F187</f>
        <v>0</v>
      </c>
      <c r="E181" s="480">
        <f>+'[13]Sch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'[13]Sch C'!D188</f>
        <v>70</v>
      </c>
      <c r="D182" s="480">
        <f>'[13]Sch C'!F188</f>
        <v>0</v>
      </c>
      <c r="E182" s="480">
        <f>+'[13]Sch C'!H188</f>
        <v>0</v>
      </c>
      <c r="F182" s="166">
        <f t="shared" si="58"/>
        <v>70</v>
      </c>
      <c r="G182" s="626"/>
      <c r="H182" s="166"/>
      <c r="I182" s="166">
        <f t="shared" si="59"/>
        <v>70</v>
      </c>
      <c r="J182" s="167">
        <f t="shared" si="60"/>
        <v>5.8359929412164688E-6</v>
      </c>
      <c r="K182" s="458"/>
      <c r="L182" s="213"/>
      <c r="M182" s="208"/>
      <c r="N182" s="210"/>
      <c r="O182" s="329">
        <f t="shared" si="61"/>
        <v>1.8139884423022104E-3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'[13]Sch C'!D189</f>
        <v>0</v>
      </c>
      <c r="D183" s="480">
        <f>'[13]Sch C'!F189</f>
        <v>0</v>
      </c>
      <c r="E183" s="480">
        <f>+'[13]Sch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'[13]Sch C'!D190</f>
        <v>0</v>
      </c>
      <c r="D184" s="480">
        <f>'[13]Sch C'!F190</f>
        <v>0</v>
      </c>
      <c r="E184" s="480">
        <f>+'[13]Sch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'[13]Sch C'!D191</f>
        <v>0</v>
      </c>
      <c r="D185" s="480">
        <f>'[13]Sch C'!F191</f>
        <v>0</v>
      </c>
      <c r="E185" s="480">
        <f>+'[13]Sch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'[13]Sch C'!D192</f>
        <v>0</v>
      </c>
      <c r="D186" s="480">
        <f>'[13]Sch C'!F192</f>
        <v>0</v>
      </c>
      <c r="E186" s="480">
        <f>+'[13]Sch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'[13]Sch C'!D193</f>
        <v>65155</v>
      </c>
      <c r="D187" s="480">
        <f>'[13]Sch C'!F193</f>
        <v>0</v>
      </c>
      <c r="E187" s="480">
        <f>+'[13]Sch C'!H193</f>
        <v>0</v>
      </c>
      <c r="F187" s="166">
        <f t="shared" si="58"/>
        <v>65155</v>
      </c>
      <c r="G187" s="626"/>
      <c r="H187" s="166"/>
      <c r="I187" s="166">
        <f t="shared" si="59"/>
        <v>65155</v>
      </c>
      <c r="J187" s="167">
        <f t="shared" si="60"/>
        <v>5.4320588583565577E-3</v>
      </c>
      <c r="K187" s="458"/>
      <c r="L187" s="213"/>
      <c r="M187" s="208"/>
      <c r="N187" s="210"/>
      <c r="O187" s="329">
        <f t="shared" si="61"/>
        <v>1.6884345279742932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'[13]Sch C'!D194</f>
        <v>421624</v>
      </c>
      <c r="D188" s="480">
        <f>'[13]Sch C'!F194</f>
        <v>0</v>
      </c>
      <c r="E188" s="480">
        <f>+'[13]Sch C'!H194</f>
        <v>0</v>
      </c>
      <c r="F188" s="166">
        <f t="shared" si="58"/>
        <v>421624</v>
      </c>
      <c r="G188" s="626"/>
      <c r="H188" s="166"/>
      <c r="I188" s="166">
        <f t="shared" si="59"/>
        <v>421624</v>
      </c>
      <c r="J188" s="167">
        <f t="shared" si="60"/>
        <v>3.5151352683535038E-2</v>
      </c>
      <c r="K188" s="458"/>
      <c r="L188" s="213"/>
      <c r="M188" s="208"/>
      <c r="O188" s="329">
        <f t="shared" si="61"/>
        <v>10.926015185674673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'[13]Sch C'!D195</f>
        <v>219581</v>
      </c>
      <c r="D189" s="480">
        <f>'[13]Sch C'!F195</f>
        <v>0</v>
      </c>
      <c r="E189" s="480">
        <f>+'[13]Sch C'!H195</f>
        <v>0</v>
      </c>
      <c r="F189" s="166">
        <f t="shared" si="58"/>
        <v>219581</v>
      </c>
      <c r="G189" s="626"/>
      <c r="H189" s="166"/>
      <c r="I189" s="166">
        <f t="shared" si="59"/>
        <v>219581</v>
      </c>
      <c r="J189" s="167">
        <f t="shared" si="60"/>
        <v>1.8306759514646477E-2</v>
      </c>
      <c r="K189" s="458"/>
      <c r="L189" s="213"/>
      <c r="M189" s="208"/>
      <c r="O189" s="329">
        <f t="shared" si="61"/>
        <v>5.6902485164165952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'[13]Sch C'!D196</f>
        <v>0</v>
      </c>
      <c r="D190" s="480">
        <f>'[13]Sch C'!F196</f>
        <v>0</v>
      </c>
      <c r="E190" s="480">
        <f>+'[13]Sch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'[13]Sch C'!D197</f>
        <v>356063</v>
      </c>
      <c r="D191" s="480">
        <f>'[13]Sch C'!F197</f>
        <v>0</v>
      </c>
      <c r="E191" s="480">
        <f>+'[13]Sch C'!H197</f>
        <v>0</v>
      </c>
      <c r="F191" s="166">
        <f t="shared" si="58"/>
        <v>356063</v>
      </c>
      <c r="G191" s="626"/>
      <c r="H191" s="166"/>
      <c r="I191" s="166">
        <f t="shared" si="59"/>
        <v>356063</v>
      </c>
      <c r="J191" s="167">
        <f t="shared" si="60"/>
        <v>2.9685445066119424E-2</v>
      </c>
      <c r="K191" s="458"/>
      <c r="L191" s="213"/>
      <c r="M191" s="208"/>
      <c r="O191" s="329">
        <f t="shared" si="61"/>
        <v>9.2270595247350276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'[13]Sch C'!D198</f>
        <v>65121</v>
      </c>
      <c r="D192" s="480">
        <f>'[13]Sch C'!F198</f>
        <v>0</v>
      </c>
      <c r="E192" s="480">
        <f>+'[13]Sch C'!H198</f>
        <v>0</v>
      </c>
      <c r="F192" s="166">
        <f t="shared" si="58"/>
        <v>65121</v>
      </c>
      <c r="G192" s="626"/>
      <c r="H192" s="166"/>
      <c r="I192" s="166">
        <f t="shared" si="59"/>
        <v>65121</v>
      </c>
      <c r="J192" s="167">
        <f t="shared" si="60"/>
        <v>5.4292242332136809E-3</v>
      </c>
      <c r="K192" s="458"/>
      <c r="L192" s="213"/>
      <c r="M192" s="208"/>
      <c r="O192" s="329">
        <f t="shared" si="61"/>
        <v>1.6875534478737464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'[13]Sch C'!D199</f>
        <v>0</v>
      </c>
      <c r="D193" s="480">
        <f>'[13]Sch C'!F199</f>
        <v>0</v>
      </c>
      <c r="E193" s="480">
        <f>+'[13]Sch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'[13]Sch C'!D200</f>
        <v>0</v>
      </c>
      <c r="D194" s="480">
        <f>'[13]Sch C'!F200</f>
        <v>0</v>
      </c>
      <c r="E194" s="480">
        <f>+'[13]Sch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'[13]Sch C'!D201</f>
        <v>0</v>
      </c>
      <c r="D195" s="480">
        <f>'[13]Sch C'!F201</f>
        <v>0</v>
      </c>
      <c r="E195" s="480">
        <f>+'[13]Sch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'[13]Sch C'!D202</f>
        <v>0</v>
      </c>
      <c r="D196" s="480">
        <f>'[13]Sch C'!F202</f>
        <v>0</v>
      </c>
      <c r="E196" s="480">
        <f>+'[13]Sch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'[13]Sch C'!D203</f>
        <v>0</v>
      </c>
      <c r="D197" s="480">
        <f>'[13]Sch C'!F203</f>
        <v>0</v>
      </c>
      <c r="E197" s="480">
        <f>+'[13]Sch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'[13]Sch C'!D204</f>
        <v>0</v>
      </c>
      <c r="D198" s="480">
        <f>'[13]Sch C'!F204</f>
        <v>0</v>
      </c>
      <c r="E198" s="480">
        <f>+'[13]Sch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'[13]Sch C'!D205</f>
        <v>523131</v>
      </c>
      <c r="D199" s="480">
        <f>'[13]Sch C'!F205</f>
        <v>0</v>
      </c>
      <c r="E199" s="480">
        <f>+'[13]Sch C'!H205</f>
        <v>0</v>
      </c>
      <c r="F199" s="166">
        <f t="shared" si="58"/>
        <v>523131</v>
      </c>
      <c r="G199" s="626"/>
      <c r="H199" s="166"/>
      <c r="I199" s="166">
        <f t="shared" si="59"/>
        <v>523131</v>
      </c>
      <c r="J199" s="167">
        <f t="shared" si="60"/>
        <v>4.3614126047593037E-2</v>
      </c>
      <c r="K199" s="458"/>
      <c r="L199" s="213"/>
      <c r="M199" s="208"/>
      <c r="O199" s="329">
        <f t="shared" si="61"/>
        <v>13.55647982585711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'[13]Sch C'!D206</f>
        <v>14297</v>
      </c>
      <c r="D200" s="480">
        <f>'[13]Sch C'!F206</f>
        <v>0</v>
      </c>
      <c r="E200" s="480">
        <f>+'[13]Sch C'!H206</f>
        <v>0</v>
      </c>
      <c r="F200" s="166">
        <f t="shared" si="58"/>
        <v>14297</v>
      </c>
      <c r="G200" s="626"/>
      <c r="H200" s="166"/>
      <c r="I200" s="166">
        <f t="shared" si="59"/>
        <v>14297</v>
      </c>
      <c r="J200" s="167">
        <f t="shared" si="60"/>
        <v>1.191959872579598E-3</v>
      </c>
      <c r="K200" s="458"/>
      <c r="L200" s="213"/>
      <c r="M200" s="208"/>
      <c r="O200" s="329">
        <f t="shared" si="61"/>
        <v>0.37049418227992431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'[13]Sch C'!D207</f>
        <v>0</v>
      </c>
      <c r="D201" s="480">
        <f>'[13]Sch C'!F207</f>
        <v>0</v>
      </c>
      <c r="E201" s="480">
        <f>+'[13]Sch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1665042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1665042</v>
      </c>
      <c r="G202" s="166">
        <f t="shared" si="63"/>
        <v>0</v>
      </c>
      <c r="H202" s="166">
        <f t="shared" si="63"/>
        <v>0</v>
      </c>
      <c r="I202" s="166">
        <f t="shared" si="63"/>
        <v>1665042</v>
      </c>
      <c r="J202" s="167">
        <f>IF($I$213=0,0,I202/$I$213)</f>
        <v>0.13881676226898501</v>
      </c>
      <c r="K202" s="458"/>
      <c r="L202" s="163"/>
      <c r="M202" s="163"/>
      <c r="O202" s="329">
        <f>I202/I$233</f>
        <v>43.148099199253672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'[13]Sch C'!D211</f>
        <v>316252</v>
      </c>
      <c r="D205" s="480">
        <f>'[13]Sch C'!F211</f>
        <v>0</v>
      </c>
      <c r="E205" s="480">
        <f>+'[13]Sch C'!H211</f>
        <v>0</v>
      </c>
      <c r="F205" s="166">
        <f t="shared" ref="F205:F210" si="64">C205+D205+E205</f>
        <v>316252</v>
      </c>
      <c r="G205" s="626"/>
      <c r="H205" s="166"/>
      <c r="I205" s="166">
        <f t="shared" ref="I205:I210" si="65">F205+G205+H205</f>
        <v>316252</v>
      </c>
      <c r="J205" s="167">
        <f t="shared" ref="J205:J211" si="66">IF($I$213=0,0,I205/$I$213)</f>
        <v>2.6366349137794152E-2</v>
      </c>
      <c r="K205" s="458"/>
      <c r="L205" s="176">
        <v>16350</v>
      </c>
      <c r="M205" s="176">
        <v>17320</v>
      </c>
      <c r="O205" s="329">
        <f t="shared" ref="O205:O210" si="67">I205/I$233</f>
        <v>8.1953924693565519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'[13]Sch C'!D212</f>
        <v>75022</v>
      </c>
      <c r="D206" s="480">
        <f>'[13]Sch C'!F212</f>
        <v>0</v>
      </c>
      <c r="E206" s="480">
        <f>+'[13]Sch C'!H212</f>
        <v>0</v>
      </c>
      <c r="F206" s="166">
        <f t="shared" si="64"/>
        <v>75022</v>
      </c>
      <c r="G206" s="626"/>
      <c r="H206" s="166"/>
      <c r="I206" s="166">
        <f t="shared" si="65"/>
        <v>75022</v>
      </c>
      <c r="J206" s="167">
        <f t="shared" si="66"/>
        <v>6.2546837490848849E-3</v>
      </c>
      <c r="K206" s="458"/>
      <c r="L206" s="163"/>
      <c r="M206" s="163"/>
      <c r="O206" s="329">
        <f t="shared" si="67"/>
        <v>1.9441291559770919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'[13]Sch C'!D213</f>
        <v>11324</v>
      </c>
      <c r="D207" s="480">
        <f>'[13]Sch C'!F213</f>
        <v>0</v>
      </c>
      <c r="E207" s="480">
        <f>+'[13]Sch C'!H213</f>
        <v>0</v>
      </c>
      <c r="F207" s="166">
        <f t="shared" si="64"/>
        <v>11324</v>
      </c>
      <c r="G207" s="626"/>
      <c r="H207" s="166"/>
      <c r="I207" s="166">
        <f t="shared" si="65"/>
        <v>11324</v>
      </c>
      <c r="J207" s="167">
        <f t="shared" si="66"/>
        <v>9.4409691523336138E-4</v>
      </c>
      <c r="K207" s="458"/>
      <c r="L207" s="163"/>
      <c r="M207" s="163"/>
      <c r="O207" s="329">
        <f t="shared" si="67"/>
        <v>0.29345150172328904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'[13]Sch C'!D214</f>
        <v>0</v>
      </c>
      <c r="D208" s="480">
        <f>'[13]Sch C'!F214</f>
        <v>0</v>
      </c>
      <c r="E208" s="480">
        <f>+'[13]Sch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'[13]Sch C'!D215</f>
        <v>0</v>
      </c>
      <c r="D209" s="480">
        <f>'[13]Sch C'!F215</f>
        <v>0</v>
      </c>
      <c r="E209" s="480">
        <f>+'[13]Sch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'[13]Sch C'!D216</f>
        <v>13966</v>
      </c>
      <c r="D210" s="480">
        <f>'[13]Sch C'!F216</f>
        <v>0</v>
      </c>
      <c r="E210" s="480">
        <f>+'[13]Sch C'!H216</f>
        <v>0</v>
      </c>
      <c r="F210" s="166">
        <f t="shared" si="64"/>
        <v>13966</v>
      </c>
      <c r="G210" s="626"/>
      <c r="H210" s="166"/>
      <c r="I210" s="166">
        <f t="shared" si="65"/>
        <v>13966</v>
      </c>
      <c r="J210" s="167">
        <f t="shared" si="66"/>
        <v>1.1643639631004172E-3</v>
      </c>
      <c r="K210" s="458"/>
      <c r="L210" s="163"/>
      <c r="M210" s="163"/>
      <c r="O210" s="329">
        <f t="shared" si="67"/>
        <v>0.36191660835989531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416564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416564</v>
      </c>
      <c r="G211" s="166">
        <f t="shared" si="69"/>
        <v>0</v>
      </c>
      <c r="H211" s="166">
        <f t="shared" si="69"/>
        <v>0</v>
      </c>
      <c r="I211" s="166">
        <f t="shared" si="69"/>
        <v>416564</v>
      </c>
      <c r="J211" s="167">
        <f t="shared" si="66"/>
        <v>3.4729493765212817E-2</v>
      </c>
      <c r="K211" s="458"/>
      <c r="L211" s="163"/>
      <c r="M211" s="163"/>
      <c r="O211" s="329">
        <f>I211/I$233</f>
        <v>10.794889735416829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12607024</v>
      </c>
      <c r="D213" s="480">
        <f t="shared" si="70"/>
        <v>-589450</v>
      </c>
      <c r="E213" s="480">
        <f t="shared" si="70"/>
        <v>0</v>
      </c>
      <c r="F213" s="166">
        <f t="shared" ref="F213:I213" si="71">SUM(F30:F211)/2</f>
        <v>12017574</v>
      </c>
      <c r="G213" s="166">
        <f t="shared" si="71"/>
        <v>-23042.7</v>
      </c>
      <c r="H213" s="166">
        <f t="shared" si="71"/>
        <v>0</v>
      </c>
      <c r="I213" s="166">
        <f t="shared" si="71"/>
        <v>11994531.300000001</v>
      </c>
      <c r="J213" s="167">
        <f>IF($I$213=0,0,I213/$I$213)</f>
        <v>1</v>
      </c>
      <c r="K213" s="458"/>
      <c r="L213" s="176">
        <f>SUM(L30:L205)</f>
        <v>430583</v>
      </c>
      <c r="M213" s="176">
        <f>SUM(M30:M205)</f>
        <v>454186</v>
      </c>
      <c r="O213" s="329">
        <f>I213/I$233</f>
        <v>310.82773070045869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'[13]Sch C'!D221</f>
        <v>12607024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242579</v>
      </c>
      <c r="D220" s="480">
        <f t="shared" si="72"/>
        <v>535450</v>
      </c>
      <c r="E220" s="480">
        <f t="shared" si="72"/>
        <v>0</v>
      </c>
      <c r="F220" s="166">
        <f t="shared" ref="F220:I220" si="73">F26-F213</f>
        <v>778029</v>
      </c>
      <c r="G220" s="166">
        <f t="shared" si="73"/>
        <v>23042.7</v>
      </c>
      <c r="H220" s="166">
        <f t="shared" si="73"/>
        <v>0</v>
      </c>
      <c r="I220" s="166">
        <f t="shared" si="73"/>
        <v>801071.69999999925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'[13]Sch D'!C9</f>
        <v>3038</v>
      </c>
      <c r="D224" s="480"/>
      <c r="E224" s="480"/>
      <c r="F224" s="224">
        <f>C224+D224+E224</f>
        <v>3038</v>
      </c>
      <c r="G224" s="627"/>
      <c r="H224" s="223"/>
      <c r="I224" s="224">
        <f>F224+G224+H224</f>
        <v>3038</v>
      </c>
      <c r="J224" s="167">
        <f t="shared" ref="J224:J233" si="74">IF($I$233=0,0,I224/$I$233)</f>
        <v>7.8727098395915934E-2</v>
      </c>
      <c r="K224" s="458"/>
      <c r="L224" s="163"/>
      <c r="M224" s="163"/>
    </row>
    <row r="225" spans="1:13">
      <c r="A225" s="158"/>
      <c r="B225" s="165" t="s">
        <v>201</v>
      </c>
      <c r="C225" s="504">
        <f>'[13]Sch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'[13]Sch D'!E9</f>
        <v>2342</v>
      </c>
      <c r="D226" s="480"/>
      <c r="E226" s="480"/>
      <c r="F226" s="224">
        <f t="shared" si="75"/>
        <v>2342</v>
      </c>
      <c r="G226" s="627"/>
      <c r="H226" s="223"/>
      <c r="I226" s="224">
        <f t="shared" si="76"/>
        <v>2342</v>
      </c>
      <c r="J226" s="167">
        <f t="shared" si="74"/>
        <v>6.0690870455311102E-2</v>
      </c>
      <c r="K226" s="458"/>
      <c r="L226" s="163"/>
      <c r="M226" s="163"/>
    </row>
    <row r="227" spans="1:13">
      <c r="A227" s="158"/>
      <c r="B227" s="194" t="s">
        <v>315</v>
      </c>
      <c r="C227" s="504">
        <f>'[13]Sch D'!F9</f>
        <v>660</v>
      </c>
      <c r="D227" s="480"/>
      <c r="E227" s="480"/>
      <c r="F227" s="224">
        <f t="shared" si="75"/>
        <v>660</v>
      </c>
      <c r="G227" s="627"/>
      <c r="H227" s="223"/>
      <c r="I227" s="224">
        <f t="shared" si="76"/>
        <v>660</v>
      </c>
      <c r="J227" s="167">
        <f t="shared" si="74"/>
        <v>1.7103319598849413E-2</v>
      </c>
      <c r="K227" s="458"/>
      <c r="L227" s="163"/>
      <c r="M227" s="163"/>
    </row>
    <row r="228" spans="1:13">
      <c r="A228" s="158"/>
      <c r="B228" s="165" t="s">
        <v>65</v>
      </c>
      <c r="C228" s="504">
        <f>'[13]Sch D'!G9</f>
        <v>13479</v>
      </c>
      <c r="D228" s="480"/>
      <c r="E228" s="480"/>
      <c r="F228" s="224">
        <f t="shared" si="75"/>
        <v>13479</v>
      </c>
      <c r="G228" s="627"/>
      <c r="H228" s="223"/>
      <c r="I228" s="224">
        <f t="shared" si="76"/>
        <v>13479</v>
      </c>
      <c r="J228" s="167">
        <f t="shared" si="74"/>
        <v>0.34929643162559276</v>
      </c>
      <c r="K228" s="458"/>
      <c r="L228" s="163"/>
      <c r="M228" s="163"/>
    </row>
    <row r="229" spans="1:13">
      <c r="A229" s="158"/>
      <c r="B229" s="165" t="s">
        <v>66</v>
      </c>
      <c r="C229" s="504">
        <f>'[13]Sch D'!H9</f>
        <v>17140</v>
      </c>
      <c r="D229" s="480"/>
      <c r="E229" s="480"/>
      <c r="F229" s="224">
        <f t="shared" si="75"/>
        <v>17140</v>
      </c>
      <c r="G229" s="627"/>
      <c r="H229" s="223"/>
      <c r="I229" s="224">
        <f t="shared" si="76"/>
        <v>17140</v>
      </c>
      <c r="J229" s="167">
        <f t="shared" si="74"/>
        <v>0.44416802715799841</v>
      </c>
      <c r="K229" s="458"/>
      <c r="L229" s="163"/>
      <c r="M229" s="163"/>
    </row>
    <row r="230" spans="1:13">
      <c r="A230" s="158"/>
      <c r="B230" s="165" t="s">
        <v>219</v>
      </c>
      <c r="C230" s="504">
        <f>'[13]Sch D'!I9</f>
        <v>274</v>
      </c>
      <c r="D230" s="480"/>
      <c r="E230" s="480"/>
      <c r="F230" s="224">
        <f t="shared" si="75"/>
        <v>274</v>
      </c>
      <c r="G230" s="627"/>
      <c r="H230" s="223"/>
      <c r="I230" s="224">
        <f t="shared" si="76"/>
        <v>274</v>
      </c>
      <c r="J230" s="167">
        <f t="shared" si="74"/>
        <v>7.1004690455829383E-3</v>
      </c>
      <c r="K230" s="458"/>
      <c r="L230" s="163"/>
      <c r="M230" s="163"/>
    </row>
    <row r="231" spans="1:13">
      <c r="A231" s="158"/>
      <c r="B231" s="165" t="s">
        <v>384</v>
      </c>
      <c r="C231" s="504">
        <f>'[13]Sch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'[13]Sch D'!K9</f>
        <v>1656</v>
      </c>
      <c r="D232" s="480"/>
      <c r="E232" s="480"/>
      <c r="F232" s="224">
        <f t="shared" si="75"/>
        <v>1656</v>
      </c>
      <c r="G232" s="627"/>
      <c r="H232" s="223"/>
      <c r="I232" s="224">
        <f t="shared" si="76"/>
        <v>1656</v>
      </c>
      <c r="J232" s="167">
        <f t="shared" si="74"/>
        <v>4.2913783720749436E-2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38589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38589</v>
      </c>
      <c r="G233" s="226">
        <f t="shared" si="78"/>
        <v>0</v>
      </c>
      <c r="H233" s="226">
        <f t="shared" si="78"/>
        <v>0</v>
      </c>
      <c r="I233" s="226">
        <f t="shared" si="78"/>
        <v>38589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'[13]Sch D'!N22</f>
        <v>108</v>
      </c>
      <c r="D236" s="480"/>
      <c r="E236" s="480"/>
      <c r="F236" s="224">
        <f>C236+E236</f>
        <v>108</v>
      </c>
      <c r="G236" s="627"/>
      <c r="H236" s="224"/>
      <c r="I236" s="224">
        <f>F236+G236+H236</f>
        <v>108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'[13]Sch D'!N24</f>
        <v>10</v>
      </c>
      <c r="D237" s="480"/>
      <c r="E237" s="480"/>
      <c r="F237" s="224">
        <f>C237+E237</f>
        <v>10</v>
      </c>
      <c r="G237" s="627"/>
      <c r="H237" s="176"/>
      <c r="I237" s="224">
        <f>F237+G237+H237</f>
        <v>10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'[13]Sch D'!N28</f>
        <v>39420</v>
      </c>
      <c r="D240" s="427"/>
      <c r="E240" s="427"/>
      <c r="F240" s="223">
        <f>F236*F238</f>
        <v>39420</v>
      </c>
      <c r="G240"/>
      <c r="H240" s="228"/>
      <c r="I240" s="223">
        <f>I236*I238</f>
        <v>39420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'[13]Sch D'!N30</f>
        <v>0.97891933028919331</v>
      </c>
      <c r="D241" s="228"/>
      <c r="E241" s="228"/>
      <c r="F241" s="232">
        <f>F233/F240</f>
        <v>0.97891933028919331</v>
      </c>
      <c r="G241"/>
      <c r="H241" s="233"/>
      <c r="I241" s="232">
        <f>I233/I240</f>
        <v>0.97891933028919331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'[13]Sch D'!N32</f>
        <v>7.706747843734145E-2</v>
      </c>
      <c r="D242" s="228"/>
      <c r="E242" s="228"/>
      <c r="F242" s="232">
        <f>(F224+F225)/F240</f>
        <v>7.706747843734145E-2</v>
      </c>
      <c r="G242"/>
      <c r="H242" s="233"/>
      <c r="I242" s="232">
        <f>(I224+I225)/I240</f>
        <v>7.706747843734145E-2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'[13]Sch D'!N34</f>
        <v>7.8727098395915934E-2</v>
      </c>
      <c r="D243" s="228"/>
      <c r="E243" s="228"/>
      <c r="F243" s="232">
        <f>(F242/F241)</f>
        <v>7.8727098395915934E-2</v>
      </c>
      <c r="G243"/>
      <c r="H243" s="233"/>
      <c r="I243" s="232">
        <f>(I242/I241)</f>
        <v>7.8727098395915934E-2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'[13]Sch B'!C90</f>
        <v>234.77310360259565</v>
      </c>
      <c r="K246" s="460"/>
    </row>
    <row r="247" spans="1:13">
      <c r="H247" s="140" t="s">
        <v>322</v>
      </c>
      <c r="I247" s="480">
        <f>'[13]Sch B'!E90</f>
        <v>234.77312308778536</v>
      </c>
      <c r="K247" s="460"/>
    </row>
    <row r="248" spans="1:13">
      <c r="H248" s="140" t="s">
        <v>323</v>
      </c>
      <c r="I248" s="480">
        <f>'[13]Sch B'!G90</f>
        <v>234.77312308778536</v>
      </c>
      <c r="K248" s="460"/>
    </row>
    <row r="249" spans="1:13">
      <c r="H249" s="140" t="s">
        <v>324</v>
      </c>
      <c r="I249" s="480">
        <f>'[13]Sch B'!I90</f>
        <v>234.77306494128925</v>
      </c>
      <c r="K249" s="460"/>
    </row>
    <row r="250" spans="1:13">
      <c r="H250" s="140"/>
      <c r="K250" s="460"/>
    </row>
    <row r="251" spans="1:13">
      <c r="B251" s="407"/>
      <c r="K251" s="460"/>
    </row>
    <row r="252" spans="1:13" ht="15">
      <c r="B252" s="408"/>
    </row>
    <row r="253" spans="1:13" ht="15">
      <c r="B253" s="408"/>
    </row>
    <row r="254" spans="1:13" ht="15">
      <c r="B254" s="415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">
    <tabColor rgb="FFE28CAB"/>
  </sheetPr>
  <dimension ref="A1:Q277"/>
  <sheetViews>
    <sheetView showGridLines="0" topLeftCell="A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78"/>
      <c r="D1" s="478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527</v>
      </c>
      <c r="D2" s="426"/>
      <c r="E2"/>
      <c r="H2"/>
    </row>
    <row r="3" spans="1:16">
      <c r="A3" s="143"/>
      <c r="B3" s="138" t="s">
        <v>71</v>
      </c>
      <c r="C3" s="557">
        <f>'[14]Sch A Pg 1'!B39</f>
        <v>42917</v>
      </c>
      <c r="D3" s="620"/>
      <c r="E3" s="142"/>
      <c r="F3" s="144"/>
      <c r="G3" s="144"/>
      <c r="H3" s="410"/>
    </row>
    <row r="4" spans="1:16">
      <c r="A4" s="143"/>
      <c r="B4" s="145" t="s">
        <v>72</v>
      </c>
      <c r="C4" s="557">
        <f>'[14]Sch A Pg 1'!G39</f>
        <v>43281</v>
      </c>
      <c r="D4" s="620"/>
      <c r="E4" s="142"/>
      <c r="F4" s="146"/>
      <c r="G4" s="146"/>
      <c r="H4" s="410"/>
      <c r="I4" s="147"/>
    </row>
    <row r="5" spans="1:16">
      <c r="A5" s="143"/>
      <c r="B5" s="145"/>
      <c r="C5" s="148"/>
      <c r="D5" s="148"/>
      <c r="E5" s="142"/>
      <c r="H5" s="507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508"/>
      <c r="D9" s="508"/>
      <c r="E9" s="142"/>
      <c r="H9"/>
      <c r="I9" s="160"/>
      <c r="K9" s="460"/>
    </row>
    <row r="10" spans="1:16" s="162" customFormat="1" ht="15.5">
      <c r="A10" s="158" t="s">
        <v>228</v>
      </c>
      <c r="B10" s="159" t="s">
        <v>229</v>
      </c>
      <c r="C10" s="509"/>
      <c r="D10" s="509"/>
      <c r="E10" s="160"/>
      <c r="F10" s="160"/>
      <c r="G10" s="160"/>
      <c r="H10"/>
      <c r="I10" s="342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509"/>
      <c r="D11" s="509"/>
      <c r="E11" s="160"/>
      <c r="F11" s="160"/>
      <c r="G11" s="160"/>
      <c r="H11"/>
      <c r="I11" s="342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'[14]Sch B'!E10</f>
        <v>3376374</v>
      </c>
      <c r="D12" s="480">
        <f>'[14]Sch B'!G10</f>
        <v>0</v>
      </c>
      <c r="E12" s="480"/>
      <c r="F12" s="166">
        <f>C12+D12+E12</f>
        <v>3376374</v>
      </c>
      <c r="G12" s="626"/>
      <c r="H12" s="166"/>
      <c r="I12" s="166">
        <f>F12+G12+H12</f>
        <v>3376374</v>
      </c>
      <c r="J12" s="167">
        <f>IF($I$26=0,0,I12/$I$26)</f>
        <v>0.45836097086825073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'[14]Sch B'!E12</f>
        <v>839682</v>
      </c>
      <c r="D13" s="480">
        <f>'[14]Sch B'!G12</f>
        <v>998749</v>
      </c>
      <c r="E13" s="480"/>
      <c r="F13" s="166">
        <f t="shared" ref="F13:F25" si="0">C13+D13+E13</f>
        <v>1838431</v>
      </c>
      <c r="G13" s="626">
        <v>96005</v>
      </c>
      <c r="H13" s="166"/>
      <c r="I13" s="166">
        <f t="shared" ref="I13:I25" si="1">F13+G13+H13</f>
        <v>1934436</v>
      </c>
      <c r="J13" s="167">
        <f>IF($I$26=0,0,I13/$I$26)</f>
        <v>0.26261011459112515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'[14]Sch B'!E13</f>
        <v>79859</v>
      </c>
      <c r="D14" s="480">
        <f>'[14]Sch B'!G13</f>
        <v>0</v>
      </c>
      <c r="E14" s="480"/>
      <c r="F14" s="166">
        <f t="shared" si="0"/>
        <v>79859</v>
      </c>
      <c r="G14" s="626"/>
      <c r="H14" s="166"/>
      <c r="I14" s="166">
        <f t="shared" si="1"/>
        <v>79859</v>
      </c>
      <c r="J14" s="167">
        <f>IF($I$26=0,0,I14/$I$26)</f>
        <v>1.0841289730511974E-2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'[14]Sch B'!E14</f>
        <v>63017</v>
      </c>
      <c r="D15" s="480">
        <f>'[14]Sch B'!G14</f>
        <v>0</v>
      </c>
      <c r="E15" s="480"/>
      <c r="F15" s="166">
        <f t="shared" si="0"/>
        <v>63017</v>
      </c>
      <c r="G15" s="626"/>
      <c r="H15" s="166"/>
      <c r="I15" s="166">
        <f t="shared" si="1"/>
        <v>63017</v>
      </c>
      <c r="J15" s="167">
        <f>IF($I$26=0,0,I15/$I$26)</f>
        <v>8.5548974435902415E-3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'[14]Sch B'!E15</f>
        <v>4358932</v>
      </c>
      <c r="D16" s="480">
        <f>'[14]Sch B'!G15</f>
        <v>998749</v>
      </c>
      <c r="E16" s="480"/>
      <c r="F16" s="166">
        <f t="shared" si="0"/>
        <v>5357681</v>
      </c>
      <c r="G16" s="626"/>
      <c r="H16" s="166"/>
      <c r="I16" s="166">
        <f>SUM(I12:I15)</f>
        <v>5453686</v>
      </c>
      <c r="J16" s="167">
        <f t="shared" ref="J16:J26" si="2">IF($I$26=0,0,I16/$I$26)</f>
        <v>0.74036727263347812</v>
      </c>
      <c r="K16" s="458"/>
      <c r="L16" s="333" t="s">
        <v>325</v>
      </c>
      <c r="M16" s="334">
        <f>I26</f>
        <v>7366190</v>
      </c>
      <c r="O16" s="324">
        <f>IFERROR(I16/I224,0)</f>
        <v>301.45851528384281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'[14]Sch B'!E20</f>
        <v>0</v>
      </c>
      <c r="D17" s="480">
        <f>'[14]Sch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5426796.6001999993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'[14]Sch B'!E26</f>
        <v>1003036</v>
      </c>
      <c r="D18" s="480">
        <f>'[14]Sch B'!G26</f>
        <v>0</v>
      </c>
      <c r="E18" s="480"/>
      <c r="F18" s="166">
        <f t="shared" si="0"/>
        <v>1003036</v>
      </c>
      <c r="G18" s="626"/>
      <c r="H18" s="166"/>
      <c r="I18" s="166">
        <f t="shared" si="1"/>
        <v>1003036</v>
      </c>
      <c r="J18" s="167">
        <f t="shared" si="2"/>
        <v>0.13616754387274832</v>
      </c>
      <c r="K18" s="458"/>
      <c r="L18" s="335" t="s">
        <v>327</v>
      </c>
      <c r="M18" s="336">
        <f>I233</f>
        <v>23039</v>
      </c>
      <c r="O18" s="324">
        <f t="shared" si="3"/>
        <v>562.23991031390131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'[14]Sch B'!E32</f>
        <v>360451.61889763782</v>
      </c>
      <c r="D19" s="480">
        <f>'[14]Sch B'!G32</f>
        <v>0</v>
      </c>
      <c r="E19" s="480"/>
      <c r="F19" s="166">
        <f t="shared" si="0"/>
        <v>360451.61889763782</v>
      </c>
      <c r="G19" s="626"/>
      <c r="H19" s="166"/>
      <c r="I19" s="166">
        <f t="shared" si="1"/>
        <v>360451.61889763782</v>
      </c>
      <c r="J19" s="170">
        <f t="shared" si="2"/>
        <v>4.8933250282389922E-2</v>
      </c>
      <c r="K19" s="464"/>
      <c r="L19" s="335" t="s">
        <v>328</v>
      </c>
      <c r="M19" s="336">
        <f>I236</f>
        <v>108</v>
      </c>
      <c r="O19" s="324">
        <f t="shared" si="3"/>
        <v>335.92881537524494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'[14]Sch B'!E37</f>
        <v>0</v>
      </c>
      <c r="D20" s="480">
        <f>'[14]Sch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39420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'[14]Sch B'!E42</f>
        <v>84674</v>
      </c>
      <c r="D21" s="480">
        <f>'[14]Sch B'!G42</f>
        <v>0</v>
      </c>
      <c r="E21" s="480"/>
      <c r="F21" s="166">
        <f t="shared" si="0"/>
        <v>84674</v>
      </c>
      <c r="G21" s="626"/>
      <c r="H21" s="166"/>
      <c r="I21" s="166">
        <f t="shared" si="1"/>
        <v>84674</v>
      </c>
      <c r="J21" s="167">
        <f t="shared" si="2"/>
        <v>1.1494951935803991E-2</v>
      </c>
      <c r="K21" s="458"/>
      <c r="L21" s="337"/>
      <c r="M21" s="336"/>
      <c r="O21" s="324">
        <f t="shared" si="3"/>
        <v>284.14093959731542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'[14]Sch B'!E47</f>
        <v>178878</v>
      </c>
      <c r="D22" s="480">
        <f>'[14]Sch B'!G47</f>
        <v>0</v>
      </c>
      <c r="E22" s="480"/>
      <c r="F22" s="166">
        <f t="shared" si="0"/>
        <v>178878</v>
      </c>
      <c r="G22" s="626"/>
      <c r="H22" s="166"/>
      <c r="I22" s="166">
        <f t="shared" si="1"/>
        <v>178878</v>
      </c>
      <c r="J22" s="167">
        <f t="shared" si="2"/>
        <v>2.4283652743141298E-2</v>
      </c>
      <c r="K22" s="458"/>
      <c r="L22" s="335" t="s">
        <v>148</v>
      </c>
      <c r="M22" s="336">
        <f>L213</f>
        <v>140588</v>
      </c>
      <c r="O22" s="324">
        <f t="shared" si="3"/>
        <v>192.34193548387097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'[14]Sch B'!E52</f>
        <v>5776</v>
      </c>
      <c r="D23" s="480">
        <f>'[14]Sch B'!G52</f>
        <v>0</v>
      </c>
      <c r="E23" s="480"/>
      <c r="F23" s="166">
        <f t="shared" si="0"/>
        <v>5776</v>
      </c>
      <c r="G23" s="626"/>
      <c r="H23" s="166"/>
      <c r="I23" s="166">
        <f t="shared" si="1"/>
        <v>5776</v>
      </c>
      <c r="J23" s="167">
        <f t="shared" si="2"/>
        <v>7.841231355694056E-4</v>
      </c>
      <c r="K23" s="458"/>
      <c r="L23" s="338" t="s">
        <v>233</v>
      </c>
      <c r="M23" s="339">
        <f>M213</f>
        <v>148131</v>
      </c>
      <c r="O23" s="324">
        <f t="shared" si="3"/>
        <v>186.32258064516128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'[14]Sch B'!E57</f>
        <v>277450.38110236218</v>
      </c>
      <c r="D24" s="480">
        <f>'[14]Sch B'!G57</f>
        <v>0</v>
      </c>
      <c r="E24" s="480"/>
      <c r="F24" s="166">
        <f t="shared" si="0"/>
        <v>277450.38110236218</v>
      </c>
      <c r="G24" s="626"/>
      <c r="H24" s="166"/>
      <c r="I24" s="166">
        <f t="shared" si="1"/>
        <v>277450.38110236218</v>
      </c>
      <c r="J24" s="167">
        <f t="shared" si="2"/>
        <v>3.7665384832913922E-2</v>
      </c>
      <c r="K24" s="458"/>
      <c r="L24" s="163"/>
      <c r="M24" s="163"/>
      <c r="O24" s="324">
        <f t="shared" si="3"/>
        <v>333.47401574803149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'[14]Sch B'!E72</f>
        <v>2238</v>
      </c>
      <c r="D25" s="480">
        <f>'[14]Sch B'!G72</f>
        <v>0</v>
      </c>
      <c r="E25" s="480"/>
      <c r="F25" s="166">
        <f t="shared" si="0"/>
        <v>2238</v>
      </c>
      <c r="G25" s="626"/>
      <c r="H25" s="166"/>
      <c r="I25" s="166">
        <f t="shared" si="1"/>
        <v>2238</v>
      </c>
      <c r="J25" s="167">
        <f t="shared" si="2"/>
        <v>3.0382056395504326E-4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6271436</v>
      </c>
      <c r="D26" s="480">
        <f t="shared" ref="D26:F26" si="4">SUM(D16:D25)</f>
        <v>998749</v>
      </c>
      <c r="E26" s="480">
        <f t="shared" si="4"/>
        <v>0</v>
      </c>
      <c r="F26" s="166">
        <f t="shared" si="4"/>
        <v>7270185</v>
      </c>
      <c r="G26" s="166">
        <f>SUM(G12:G25)</f>
        <v>96005</v>
      </c>
      <c r="H26" s="166">
        <f>SUM(H12:H25)</f>
        <v>0</v>
      </c>
      <c r="I26" s="166">
        <f>SUM(I16:I25)</f>
        <v>7366190</v>
      </c>
      <c r="J26" s="167">
        <f t="shared" si="2"/>
        <v>1</v>
      </c>
      <c r="K26" s="458"/>
      <c r="L26" s="163"/>
      <c r="M26" s="163"/>
      <c r="O26" s="324">
        <f>IFERROR(I26/I233,0)</f>
        <v>319.72698467815445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3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'[14]Sch C'!D10</f>
        <v>184836</v>
      </c>
      <c r="D30" s="480">
        <f>'[14]Sch C'!F10</f>
        <v>-85267</v>
      </c>
      <c r="E30" s="480">
        <f>+'[14]Sch C'!H10</f>
        <v>0</v>
      </c>
      <c r="F30" s="166">
        <f t="shared" ref="F30:F65" si="5">C30+D30+E30</f>
        <v>99569</v>
      </c>
      <c r="G30" s="626">
        <v>85267</v>
      </c>
      <c r="H30" s="166"/>
      <c r="I30" s="166">
        <f t="shared" ref="I30:I65" si="6">F30+G30+H30</f>
        <v>184836</v>
      </c>
      <c r="J30" s="167">
        <f>IF($I$213=0,0,I30/$I$213)</f>
        <v>3.405987244725333E-2</v>
      </c>
      <c r="K30" s="458"/>
      <c r="L30" s="176">
        <v>2080</v>
      </c>
      <c r="M30" s="176">
        <v>2080</v>
      </c>
      <c r="O30" s="324">
        <f>I30/I$233</f>
        <v>8.0227440427101868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'[14]Sch C'!D11</f>
        <v>0</v>
      </c>
      <c r="D31" s="480">
        <f>'[14]Sch C'!F11</f>
        <v>0</v>
      </c>
      <c r="E31" s="480">
        <f>+'[14]Sch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'[14]Sch C'!D12</f>
        <v>53973</v>
      </c>
      <c r="D32" s="480">
        <f>'[14]Sch C'!F12</f>
        <v>0</v>
      </c>
      <c r="E32" s="480">
        <f>+'[14]Sch C'!H12</f>
        <v>0</v>
      </c>
      <c r="F32" s="166">
        <f t="shared" si="5"/>
        <v>53973</v>
      </c>
      <c r="G32" s="626">
        <v>34300</v>
      </c>
      <c r="H32" s="166"/>
      <c r="I32" s="166">
        <f t="shared" si="6"/>
        <v>88273</v>
      </c>
      <c r="J32" s="167">
        <f t="shared" si="7"/>
        <v>1.6266133872927316E-2</v>
      </c>
      <c r="K32" s="458"/>
      <c r="L32" s="176">
        <v>2475</v>
      </c>
      <c r="M32" s="176">
        <v>2817</v>
      </c>
      <c r="O32" s="324">
        <f t="shared" si="8"/>
        <v>3.8314596987716483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'[14]Sch C'!D13</f>
        <v>200951</v>
      </c>
      <c r="D33" s="480">
        <f>'[14]Sch C'!F13</f>
        <v>-145960</v>
      </c>
      <c r="E33" s="480">
        <f>+'[14]Sch C'!H13</f>
        <v>0</v>
      </c>
      <c r="F33" s="166">
        <f t="shared" si="5"/>
        <v>54991</v>
      </c>
      <c r="G33" s="626"/>
      <c r="H33" s="166"/>
      <c r="I33" s="166">
        <f t="shared" si="6"/>
        <v>54991</v>
      </c>
      <c r="J33" s="167">
        <f t="shared" si="7"/>
        <v>1.0133234033126165E-2</v>
      </c>
      <c r="K33" s="458"/>
      <c r="L33" s="163"/>
      <c r="M33" s="163"/>
      <c r="O33" s="324">
        <f t="shared" si="8"/>
        <v>2.3868657493814838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'[14]Sch C'!D14</f>
        <v>0</v>
      </c>
      <c r="D34" s="480">
        <f>'[14]Sch C'!F14</f>
        <v>0</v>
      </c>
      <c r="E34" s="480">
        <f>+'[14]Sch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'[14]Sch C'!D15</f>
        <v>0</v>
      </c>
      <c r="D35" s="480">
        <f>'[14]Sch C'!F15</f>
        <v>0</v>
      </c>
      <c r="E35" s="480">
        <f>+'[14]Sch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'[14]Sch C'!D16</f>
        <v>313572</v>
      </c>
      <c r="D36" s="480">
        <f>'[14]Sch C'!F16</f>
        <v>0</v>
      </c>
      <c r="E36" s="480">
        <f>+'[14]Sch C'!H16</f>
        <v>-44750</v>
      </c>
      <c r="F36" s="166">
        <f t="shared" si="5"/>
        <v>268822</v>
      </c>
      <c r="G36" s="626"/>
      <c r="H36" s="166">
        <v>129981</v>
      </c>
      <c r="I36" s="166">
        <f t="shared" si="6"/>
        <v>398803</v>
      </c>
      <c r="J36" s="167">
        <f t="shared" si="7"/>
        <v>7.3487736758975367E-2</v>
      </c>
      <c r="K36" s="458"/>
      <c r="L36" s="163"/>
      <c r="M36" s="163"/>
      <c r="O36" s="324">
        <f t="shared" si="8"/>
        <v>17.309909284257131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'[14]Sch C'!D17</f>
        <v>0</v>
      </c>
      <c r="D37" s="480">
        <f>'[14]Sch C'!F17</f>
        <v>0</v>
      </c>
      <c r="E37" s="480">
        <f>+'[14]Sch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'[14]Sch C'!D18</f>
        <v>12595</v>
      </c>
      <c r="D38" s="480">
        <f>'[14]Sch C'!F18</f>
        <v>0</v>
      </c>
      <c r="E38" s="480">
        <f>+'[14]Sch C'!H18</f>
        <v>0</v>
      </c>
      <c r="F38" s="166">
        <f t="shared" si="5"/>
        <v>12595</v>
      </c>
      <c r="G38" s="626"/>
      <c r="H38" s="166"/>
      <c r="I38" s="166">
        <f t="shared" si="6"/>
        <v>12595</v>
      </c>
      <c r="J38" s="167">
        <f t="shared" si="7"/>
        <v>2.3208903756473612E-3</v>
      </c>
      <c r="K38" s="458"/>
      <c r="L38" s="163"/>
      <c r="M38" s="163"/>
      <c r="O38" s="324">
        <f t="shared" si="8"/>
        <v>0.54668171361604234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'[14]Sch C'!D19</f>
        <v>19736</v>
      </c>
      <c r="D39" s="480">
        <f>'[14]Sch C'!F19</f>
        <v>-1618</v>
      </c>
      <c r="E39" s="480">
        <f>+'[14]Sch C'!H19</f>
        <v>0</v>
      </c>
      <c r="F39" s="166">
        <f t="shared" si="5"/>
        <v>18118</v>
      </c>
      <c r="G39" s="626"/>
      <c r="H39" s="166"/>
      <c r="I39" s="166">
        <f t="shared" si="6"/>
        <v>18118</v>
      </c>
      <c r="J39" s="167">
        <f t="shared" si="7"/>
        <v>3.3386178504151562E-3</v>
      </c>
      <c r="K39" s="458"/>
      <c r="L39" s="163"/>
      <c r="M39" s="163"/>
      <c r="O39" s="324">
        <f t="shared" si="8"/>
        <v>0.78640565996788059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'[14]Sch C'!D20</f>
        <v>12626</v>
      </c>
      <c r="D40" s="480">
        <f>'[14]Sch C'!F20</f>
        <v>3109</v>
      </c>
      <c r="E40" s="480">
        <f>+'[14]Sch C'!H20</f>
        <v>0</v>
      </c>
      <c r="F40" s="166">
        <f t="shared" si="5"/>
        <v>15735</v>
      </c>
      <c r="G40" s="626"/>
      <c r="H40" s="166"/>
      <c r="I40" s="166">
        <f t="shared" si="6"/>
        <v>15735</v>
      </c>
      <c r="J40" s="167">
        <f t="shared" si="7"/>
        <v>2.8995006003025986E-3</v>
      </c>
      <c r="K40" s="458"/>
      <c r="L40" s="163"/>
      <c r="M40" s="163"/>
      <c r="O40" s="324">
        <f t="shared" si="8"/>
        <v>0.68297235123052213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'[14]Sch C'!D21</f>
        <v>1171</v>
      </c>
      <c r="D41" s="480">
        <f>'[14]Sch C'!F21</f>
        <v>0</v>
      </c>
      <c r="E41" s="480">
        <f>+'[14]Sch C'!H21</f>
        <v>0</v>
      </c>
      <c r="F41" s="166">
        <f t="shared" si="5"/>
        <v>1171</v>
      </c>
      <c r="G41" s="626"/>
      <c r="H41" s="166"/>
      <c r="I41" s="166">
        <f t="shared" si="6"/>
        <v>1171</v>
      </c>
      <c r="J41" s="167">
        <f t="shared" si="7"/>
        <v>2.1578107422652324E-4</v>
      </c>
      <c r="K41" s="458"/>
      <c r="L41" s="163"/>
      <c r="M41" s="163"/>
      <c r="O41" s="324">
        <f t="shared" si="8"/>
        <v>5.0826858804635618E-2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'[14]Sch C'!D22</f>
        <v>0</v>
      </c>
      <c r="D42" s="480">
        <f>'[14]Sch C'!F22</f>
        <v>0</v>
      </c>
      <c r="E42" s="480">
        <f>+'[14]Sch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'[14]Sch C'!D23</f>
        <v>5047</v>
      </c>
      <c r="D43" s="480">
        <f>'[14]Sch C'!F23</f>
        <v>0</v>
      </c>
      <c r="E43" s="480">
        <f>+'[14]Sch C'!H23</f>
        <v>0</v>
      </c>
      <c r="F43" s="166">
        <f t="shared" si="5"/>
        <v>5047</v>
      </c>
      <c r="G43" s="626"/>
      <c r="H43" s="166"/>
      <c r="I43" s="166">
        <f t="shared" si="6"/>
        <v>5047</v>
      </c>
      <c r="J43" s="167">
        <f t="shared" si="7"/>
        <v>9.3001458720859333E-4</v>
      </c>
      <c r="K43" s="458"/>
      <c r="L43" s="163"/>
      <c r="M43" s="163"/>
      <c r="O43" s="324">
        <f t="shared" si="8"/>
        <v>0.21906332740136292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'[14]Sch C'!D24</f>
        <v>54803</v>
      </c>
      <c r="D44" s="480">
        <f>'[14]Sch C'!F24</f>
        <v>0</v>
      </c>
      <c r="E44" s="480">
        <f>+'[14]Sch C'!H24</f>
        <v>-10081</v>
      </c>
      <c r="F44" s="166">
        <f t="shared" si="5"/>
        <v>44722</v>
      </c>
      <c r="G44" s="626"/>
      <c r="H44" s="166"/>
      <c r="I44" s="166">
        <f t="shared" si="6"/>
        <v>44722</v>
      </c>
      <c r="J44" s="167">
        <f t="shared" si="7"/>
        <v>8.2409574735769191E-3</v>
      </c>
      <c r="K44" s="458"/>
      <c r="L44" s="163"/>
      <c r="M44" s="163"/>
      <c r="O44" s="324">
        <f t="shared" si="8"/>
        <v>1.9411432787881417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'[14]Sch C'!D25</f>
        <v>0</v>
      </c>
      <c r="D45" s="480">
        <f>'[14]Sch C'!F25</f>
        <v>0</v>
      </c>
      <c r="E45" s="480">
        <f>+'[14]Sch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'[14]Sch C'!D26</f>
        <v>406089</v>
      </c>
      <c r="D46" s="480">
        <f>'[14]Sch C'!F26</f>
        <v>0</v>
      </c>
      <c r="E46" s="480">
        <f>+'[14]Sch C'!H26</f>
        <v>0</v>
      </c>
      <c r="F46" s="166">
        <f t="shared" si="5"/>
        <v>406089</v>
      </c>
      <c r="G46" s="626"/>
      <c r="H46" s="166"/>
      <c r="I46" s="166">
        <f t="shared" si="6"/>
        <v>406089</v>
      </c>
      <c r="J46" s="167">
        <f t="shared" si="7"/>
        <v>7.4830333605102134E-2</v>
      </c>
      <c r="K46" s="458"/>
      <c r="L46" s="163"/>
      <c r="M46" s="163"/>
      <c r="O46" s="324">
        <f t="shared" si="8"/>
        <v>17.626155649116715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'[14]Sch C'!D27</f>
        <v>0</v>
      </c>
      <c r="D47" s="480">
        <f>'[14]Sch C'!F27</f>
        <v>0</v>
      </c>
      <c r="E47" s="480">
        <f>+'[14]Sch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'[14]Sch C'!D28</f>
        <v>0</v>
      </c>
      <c r="D48" s="480">
        <f>'[14]Sch C'!F28</f>
        <v>0</v>
      </c>
      <c r="E48" s="480">
        <f>+'[14]Sch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'[14]Sch C'!D29</f>
        <v>79284</v>
      </c>
      <c r="D49" s="480">
        <f>'[14]Sch C'!F29</f>
        <v>-79284</v>
      </c>
      <c r="E49" s="480">
        <f>+'[14]Sch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'[14]Sch C'!D30</f>
        <v>0</v>
      </c>
      <c r="D50" s="480">
        <f>'[14]Sch C'!F30</f>
        <v>0</v>
      </c>
      <c r="E50" s="480">
        <f>+'[14]Sch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'[14]Sch C'!D31</f>
        <v>81712</v>
      </c>
      <c r="D51" s="480">
        <f>'[14]Sch C'!F31</f>
        <v>0</v>
      </c>
      <c r="E51" s="480">
        <f>+'[14]Sch C'!H31</f>
        <v>-48210</v>
      </c>
      <c r="F51" s="166">
        <f t="shared" si="5"/>
        <v>33502</v>
      </c>
      <c r="G51" s="626"/>
      <c r="H51" s="166"/>
      <c r="I51" s="166">
        <f t="shared" si="6"/>
        <v>33502</v>
      </c>
      <c r="J51" s="167">
        <f t="shared" si="7"/>
        <v>6.173439409681453E-3</v>
      </c>
      <c r="K51" s="458"/>
      <c r="L51" s="163"/>
      <c r="M51" s="163"/>
      <c r="O51" s="324">
        <f t="shared" si="8"/>
        <v>1.4541429749555101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'[14]Sch C'!D32</f>
        <v>83787</v>
      </c>
      <c r="D52" s="480">
        <f>'[14]Sch C'!F32</f>
        <v>0</v>
      </c>
      <c r="E52" s="480">
        <f>+'[14]Sch C'!H32</f>
        <v>-37704</v>
      </c>
      <c r="F52" s="166">
        <f t="shared" si="5"/>
        <v>46083</v>
      </c>
      <c r="G52" s="626"/>
      <c r="H52" s="166"/>
      <c r="I52" s="166">
        <f t="shared" si="6"/>
        <v>46083</v>
      </c>
      <c r="J52" s="167">
        <f t="shared" si="7"/>
        <v>8.4917499945182488E-3</v>
      </c>
      <c r="K52" s="458"/>
      <c r="L52" s="163"/>
      <c r="M52" s="163"/>
      <c r="O52" s="324">
        <f t="shared" si="8"/>
        <v>2.0002170233083034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'[14]Sch C'!D33</f>
        <v>61658</v>
      </c>
      <c r="D53" s="480">
        <f>'[14]Sch C'!F33</f>
        <v>-61658</v>
      </c>
      <c r="E53" s="480">
        <f>+'[14]Sch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'[14]Sch C'!D34</f>
        <v>0</v>
      </c>
      <c r="D54" s="480">
        <f>'[14]Sch C'!F34</f>
        <v>0</v>
      </c>
      <c r="E54" s="480">
        <f>+'[14]Sch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'[14]Sch C'!D35</f>
        <v>307</v>
      </c>
      <c r="D55" s="480">
        <f>'[14]Sch C'!F35</f>
        <v>-307</v>
      </c>
      <c r="E55" s="480">
        <f>+'[14]Sch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'[14]Sch C'!D36</f>
        <v>0</v>
      </c>
      <c r="D56" s="480">
        <f>'[14]Sch C'!F36</f>
        <v>0</v>
      </c>
      <c r="E56" s="480">
        <f>+'[14]Sch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'[14]Sch C'!D37</f>
        <v>0</v>
      </c>
      <c r="D57" s="480">
        <f>'[14]Sch C'!F37</f>
        <v>0</v>
      </c>
      <c r="E57" s="480">
        <f>+'[14]Sch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'[14]Sch C'!D38</f>
        <v>0</v>
      </c>
      <c r="D58" s="480">
        <f>'[14]Sch C'!F38</f>
        <v>0</v>
      </c>
      <c r="E58" s="480">
        <f>+'[14]Sch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'[14]Sch C'!D39</f>
        <v>7104</v>
      </c>
      <c r="D59" s="480">
        <f>'[14]Sch C'!F39</f>
        <v>0</v>
      </c>
      <c r="E59" s="480">
        <f>+'[14]Sch C'!H39</f>
        <v>0</v>
      </c>
      <c r="F59" s="166">
        <f t="shared" si="5"/>
        <v>7104</v>
      </c>
      <c r="G59" s="626"/>
      <c r="H59" s="166"/>
      <c r="I59" s="166">
        <f t="shared" si="6"/>
        <v>7104</v>
      </c>
      <c r="J59" s="167">
        <f t="shared" si="7"/>
        <v>1.3090595655894288E-3</v>
      </c>
      <c r="K59" s="458"/>
      <c r="L59" s="163"/>
      <c r="M59" s="163"/>
      <c r="O59" s="324">
        <f t="shared" si="8"/>
        <v>0.30834671643734535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'[14]Sch C'!D40</f>
        <v>24731</v>
      </c>
      <c r="D60" s="480">
        <f>'[14]Sch C'!F40</f>
        <v>0</v>
      </c>
      <c r="E60" s="480">
        <f>+'[14]Sch C'!H40</f>
        <v>0</v>
      </c>
      <c r="F60" s="166">
        <f t="shared" si="5"/>
        <v>24731</v>
      </c>
      <c r="G60" s="626"/>
      <c r="H60" s="166"/>
      <c r="I60" s="166">
        <f t="shared" si="6"/>
        <v>24731</v>
      </c>
      <c r="J60" s="167">
        <f t="shared" si="7"/>
        <v>4.5572004668626353E-3</v>
      </c>
      <c r="K60" s="458"/>
      <c r="L60" s="163"/>
      <c r="M60" s="163"/>
      <c r="O60" s="324">
        <f t="shared" si="8"/>
        <v>1.0734406875298408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'[14]Sch C'!D41</f>
        <v>26585</v>
      </c>
      <c r="D61" s="480">
        <f>'[14]Sch C'!F41</f>
        <v>0</v>
      </c>
      <c r="E61" s="480">
        <f>+'[14]Sch C'!H41</f>
        <v>0</v>
      </c>
      <c r="F61" s="166">
        <f t="shared" si="5"/>
        <v>26585</v>
      </c>
      <c r="G61" s="626"/>
      <c r="H61" s="166"/>
      <c r="I61" s="166">
        <f t="shared" si="6"/>
        <v>26585</v>
      </c>
      <c r="J61" s="167">
        <f t="shared" si="7"/>
        <v>4.8988384784902821E-3</v>
      </c>
      <c r="K61" s="458"/>
      <c r="L61" s="163"/>
      <c r="M61" s="163"/>
      <c r="O61" s="324">
        <f t="shared" si="8"/>
        <v>1.1539129302487088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'[14]Sch C'!D42</f>
        <v>2026</v>
      </c>
      <c r="D62" s="480">
        <f>'[14]Sch C'!F42</f>
        <v>0</v>
      </c>
      <c r="E62" s="480">
        <f>+'[14]Sch C'!H42</f>
        <v>0</v>
      </c>
      <c r="F62" s="166">
        <f t="shared" si="5"/>
        <v>2026</v>
      </c>
      <c r="G62" s="626"/>
      <c r="H62" s="166"/>
      <c r="I62" s="166">
        <f t="shared" si="6"/>
        <v>2026</v>
      </c>
      <c r="J62" s="167">
        <f t="shared" si="7"/>
        <v>3.7333258444315634E-4</v>
      </c>
      <c r="K62" s="458"/>
      <c r="L62" s="163"/>
      <c r="M62" s="163"/>
      <c r="O62" s="324">
        <f t="shared" si="8"/>
        <v>8.7937844524501929E-2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'[14]Sch C'!D43</f>
        <v>5630</v>
      </c>
      <c r="D63" s="480">
        <f>'[14]Sch C'!F43</f>
        <v>0</v>
      </c>
      <c r="E63" s="480">
        <f>+'[14]Sch C'!H43</f>
        <v>0</v>
      </c>
      <c r="F63" s="166">
        <f t="shared" si="5"/>
        <v>5630</v>
      </c>
      <c r="G63" s="626">
        <v>-5630</v>
      </c>
      <c r="H63" s="166"/>
      <c r="I63" s="166">
        <f t="shared" si="6"/>
        <v>0</v>
      </c>
      <c r="J63" s="167">
        <f t="shared" si="7"/>
        <v>0</v>
      </c>
      <c r="K63" s="458" t="s">
        <v>713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'[14]Sch C'!D44</f>
        <v>184</v>
      </c>
      <c r="D64" s="480">
        <f>'[14]Sch C'!F44</f>
        <v>0</v>
      </c>
      <c r="E64" s="480">
        <f>+'[14]Sch C'!H44</f>
        <v>0</v>
      </c>
      <c r="F64" s="166">
        <f t="shared" si="5"/>
        <v>184</v>
      </c>
      <c r="G64" s="626"/>
      <c r="H64" s="166"/>
      <c r="I64" s="166">
        <f t="shared" si="6"/>
        <v>184</v>
      </c>
      <c r="J64" s="167">
        <f t="shared" si="7"/>
        <v>3.3905822081708176E-5</v>
      </c>
      <c r="K64" s="458"/>
      <c r="L64" s="163"/>
      <c r="M64" s="163"/>
      <c r="O64" s="324">
        <f t="shared" si="8"/>
        <v>7.9864577455618733E-3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'[14]Sch C'!D45</f>
        <v>372</v>
      </c>
      <c r="D65" s="480">
        <f>'[14]Sch C'!F45</f>
        <v>-870</v>
      </c>
      <c r="E65" s="480">
        <f>+'[14]Sch C'!H45</f>
        <v>0</v>
      </c>
      <c r="F65" s="166">
        <f t="shared" si="5"/>
        <v>-498</v>
      </c>
      <c r="G65" s="626">
        <v>24176</v>
      </c>
      <c r="H65" s="166"/>
      <c r="I65" s="166">
        <f t="shared" si="6"/>
        <v>23678</v>
      </c>
      <c r="J65" s="167">
        <f t="shared" si="7"/>
        <v>4.3631633437537292E-3</v>
      </c>
      <c r="K65" s="458"/>
      <c r="L65" s="163"/>
      <c r="M65" s="163"/>
      <c r="O65" s="324">
        <f t="shared" si="8"/>
        <v>1.0277355788011633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1638779</v>
      </c>
      <c r="D66" s="480">
        <f t="shared" si="9"/>
        <v>-371855</v>
      </c>
      <c r="E66" s="480">
        <f t="shared" si="9"/>
        <v>-140745</v>
      </c>
      <c r="F66" s="166">
        <f t="shared" ref="F66:I66" si="10">SUM(F30:F65)</f>
        <v>1126179</v>
      </c>
      <c r="G66" s="166">
        <f t="shared" si="10"/>
        <v>138113</v>
      </c>
      <c r="H66" s="166">
        <f t="shared" si="10"/>
        <v>129981</v>
      </c>
      <c r="I66" s="166">
        <f t="shared" si="10"/>
        <v>1394273</v>
      </c>
      <c r="J66" s="178">
        <f t="shared" si="7"/>
        <v>0.25692376234418207</v>
      </c>
      <c r="K66" s="465"/>
      <c r="L66" s="163"/>
      <c r="M66" s="163"/>
      <c r="O66" s="329">
        <f>I66/I$233</f>
        <v>60.517947827596686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'[14]Sch C'!D57</f>
        <v>557283</v>
      </c>
      <c r="D69" s="480">
        <f>'[14]Sch C'!F57+557283</f>
        <v>0</v>
      </c>
      <c r="E69" s="480">
        <f>+'[14]Sch C'!H57</f>
        <v>0</v>
      </c>
      <c r="F69" s="166">
        <f>C69+D69+E69</f>
        <v>557283</v>
      </c>
      <c r="G69" s="626"/>
      <c r="H69" s="480">
        <v>-557283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'[14]Sch C'!D58</f>
        <v>6266</v>
      </c>
      <c r="D70" s="480">
        <f>'[14]Sch C'!F58-297696</f>
        <v>0</v>
      </c>
      <c r="E70" s="480">
        <f>+'[14]Sch C'!H58</f>
        <v>0</v>
      </c>
      <c r="F70" s="166">
        <f t="shared" ref="F70:F83" si="13">C70+D70+E70</f>
        <v>6266</v>
      </c>
      <c r="G70" s="626"/>
      <c r="H70" s="480">
        <v>297696</v>
      </c>
      <c r="I70" s="166">
        <f t="shared" ref="I70:I83" si="14">F70+G70+H70</f>
        <v>303962</v>
      </c>
      <c r="J70" s="167">
        <f t="shared" si="11"/>
        <v>5.6011312454348809E-2</v>
      </c>
      <c r="K70" s="458"/>
      <c r="L70" s="182"/>
      <c r="M70" s="163"/>
      <c r="O70" s="324">
        <f t="shared" si="12"/>
        <v>13.19336776769825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'[14]Sch C'!D59</f>
        <v>0</v>
      </c>
      <c r="D71" s="480">
        <f>'[14]Sch C'!F59</f>
        <v>0</v>
      </c>
      <c r="E71" s="480">
        <f>+'[14]Sch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'[14]Sch C'!D60</f>
        <v>34147</v>
      </c>
      <c r="D72" s="480">
        <f>'[14]Sch C'!F60</f>
        <v>0</v>
      </c>
      <c r="E72" s="480">
        <f>+'[14]Sch C'!H60</f>
        <v>0</v>
      </c>
      <c r="F72" s="166">
        <f t="shared" si="13"/>
        <v>34147</v>
      </c>
      <c r="G72" s="626"/>
      <c r="H72" s="166"/>
      <c r="I72" s="166">
        <f t="shared" si="14"/>
        <v>34147</v>
      </c>
      <c r="J72" s="167">
        <f t="shared" si="11"/>
        <v>6.2922940577396147E-3</v>
      </c>
      <c r="K72" s="458"/>
      <c r="L72" s="185"/>
      <c r="M72" s="163"/>
      <c r="O72" s="324">
        <f t="shared" si="12"/>
        <v>1.4821389817266375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'[14]Sch C'!D61</f>
        <v>6742</v>
      </c>
      <c r="D73" s="480">
        <f>'[14]Sch C'!F61</f>
        <v>0</v>
      </c>
      <c r="E73" s="480">
        <f>+'[14]Sch C'!H61</f>
        <v>0</v>
      </c>
      <c r="F73" s="166">
        <f t="shared" si="13"/>
        <v>6742</v>
      </c>
      <c r="G73" s="626"/>
      <c r="H73" s="166"/>
      <c r="I73" s="166">
        <f t="shared" si="14"/>
        <v>6742</v>
      </c>
      <c r="J73" s="167">
        <f t="shared" si="11"/>
        <v>1.2423535460591116E-3</v>
      </c>
      <c r="K73" s="458"/>
      <c r="L73" s="185"/>
      <c r="M73" s="163"/>
      <c r="O73" s="324">
        <f t="shared" si="12"/>
        <v>0.29263422891618562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'[14]Sch C'!D62</f>
        <v>1240</v>
      </c>
      <c r="D74" s="480">
        <f>'[14]Sch C'!F62</f>
        <v>0</v>
      </c>
      <c r="E74" s="480">
        <f>+'[14]Sch C'!H62</f>
        <v>0</v>
      </c>
      <c r="F74" s="166">
        <f t="shared" si="13"/>
        <v>1240</v>
      </c>
      <c r="G74" s="626"/>
      <c r="H74" s="166"/>
      <c r="I74" s="166">
        <f t="shared" si="14"/>
        <v>1240</v>
      </c>
      <c r="J74" s="167">
        <f t="shared" si="11"/>
        <v>2.2849575750716379E-4</v>
      </c>
      <c r="K74" s="458"/>
      <c r="L74" s="187"/>
      <c r="M74" s="163"/>
      <c r="O74" s="324">
        <f t="shared" si="12"/>
        <v>5.382178045922132E-2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'[14]Sch C'!D63</f>
        <v>0</v>
      </c>
      <c r="D75" s="480">
        <f>'[14]Sch C'!F63</f>
        <v>0</v>
      </c>
      <c r="E75" s="480">
        <f>+'[14]Sch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'[14]Sch C'!D64</f>
        <v>0</v>
      </c>
      <c r="D76" s="480">
        <f>'[14]Sch C'!F64</f>
        <v>0</v>
      </c>
      <c r="E76" s="480">
        <f>+'[14]Sch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'[14]Sch C'!D65</f>
        <v>3751</v>
      </c>
      <c r="D77" s="480">
        <f>'[14]Sch C'!F65</f>
        <v>0</v>
      </c>
      <c r="E77" s="480">
        <f>+'[14]Sch C'!H65</f>
        <v>0</v>
      </c>
      <c r="F77" s="166">
        <f t="shared" si="13"/>
        <v>3751</v>
      </c>
      <c r="G77" s="626"/>
      <c r="H77" s="166"/>
      <c r="I77" s="166">
        <f t="shared" si="14"/>
        <v>3751</v>
      </c>
      <c r="J77" s="167">
        <f t="shared" si="11"/>
        <v>6.9119966645917049E-4</v>
      </c>
      <c r="K77" s="458"/>
      <c r="L77" s="187"/>
      <c r="M77" s="163"/>
      <c r="O77" s="324">
        <f t="shared" si="12"/>
        <v>0.1628108858891445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'[14]Sch C'!D66</f>
        <v>10228</v>
      </c>
      <c r="D78" s="480">
        <f>'[14]Sch C'!F66</f>
        <v>0</v>
      </c>
      <c r="E78" s="480">
        <f>+'[14]Sch C'!H66</f>
        <v>0</v>
      </c>
      <c r="F78" s="166">
        <f t="shared" si="13"/>
        <v>10228</v>
      </c>
      <c r="G78" s="626">
        <v>300</v>
      </c>
      <c r="H78" s="166"/>
      <c r="I78" s="166">
        <f t="shared" si="14"/>
        <v>10528</v>
      </c>
      <c r="J78" s="167">
        <f t="shared" si="11"/>
        <v>1.940002689544694E-3</v>
      </c>
      <c r="K78" s="458"/>
      <c r="L78" s="187"/>
      <c r="M78" s="163"/>
      <c r="O78" s="324">
        <f t="shared" si="12"/>
        <v>0.45696427796345329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'[14]Sch C'!D67</f>
        <v>53940</v>
      </c>
      <c r="D79" s="480">
        <f>'[14]Sch C'!F67</f>
        <v>-4134</v>
      </c>
      <c r="E79" s="480">
        <f>+'[14]Sch C'!H67</f>
        <v>0</v>
      </c>
      <c r="F79" s="166">
        <f t="shared" si="13"/>
        <v>49806</v>
      </c>
      <c r="G79" s="626"/>
      <c r="H79" s="166"/>
      <c r="I79" s="166">
        <f t="shared" si="14"/>
        <v>49806</v>
      </c>
      <c r="J79" s="167">
        <f t="shared" si="11"/>
        <v>9.1777900793562905E-3</v>
      </c>
      <c r="K79" s="458"/>
      <c r="L79" s="187"/>
      <c r="M79" s="163"/>
      <c r="O79" s="324">
        <f t="shared" si="12"/>
        <v>2.1618125786709492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'[14]Sch C'!D68</f>
        <v>0</v>
      </c>
      <c r="D80" s="480">
        <f>'[14]Sch C'!F68</f>
        <v>0</v>
      </c>
      <c r="E80" s="480">
        <f>+'[14]Sch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'[14]Sch C'!D69</f>
        <v>6829</v>
      </c>
      <c r="D81" s="480">
        <f>'[14]Sch C'!F69</f>
        <v>0</v>
      </c>
      <c r="E81" s="480">
        <f>+'[14]Sch C'!H69</f>
        <v>0</v>
      </c>
      <c r="F81" s="166">
        <f t="shared" si="13"/>
        <v>6829</v>
      </c>
      <c r="G81" s="626"/>
      <c r="H81" s="166"/>
      <c r="I81" s="166">
        <f t="shared" si="14"/>
        <v>6829</v>
      </c>
      <c r="J81" s="167">
        <f t="shared" si="11"/>
        <v>1.2583851032390498E-3</v>
      </c>
      <c r="K81" s="458"/>
      <c r="L81" s="187"/>
      <c r="M81" s="163"/>
      <c r="O81" s="324">
        <f t="shared" si="12"/>
        <v>0.29641043448066323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'[14]Sch C'!D70</f>
        <v>0</v>
      </c>
      <c r="D82" s="480">
        <f>'[14]Sch C'!F70</f>
        <v>0</v>
      </c>
      <c r="E82" s="480">
        <f>+'[14]Sch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'[14]Sch C'!D71</f>
        <v>0</v>
      </c>
      <c r="D83" s="480">
        <f>'[14]Sch C'!F71</f>
        <v>0</v>
      </c>
      <c r="E83" s="480">
        <f>+'[14]Sch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680426</v>
      </c>
      <c r="D84" s="480">
        <f t="shared" si="15"/>
        <v>-4134</v>
      </c>
      <c r="E84" s="480">
        <f t="shared" si="15"/>
        <v>0</v>
      </c>
      <c r="F84" s="166">
        <f t="shared" ref="F84:I84" si="16">SUM(F69:F83)</f>
        <v>676292</v>
      </c>
      <c r="G84" s="166">
        <f t="shared" si="16"/>
        <v>300</v>
      </c>
      <c r="H84" s="166">
        <f t="shared" si="16"/>
        <v>-259587</v>
      </c>
      <c r="I84" s="166">
        <f t="shared" si="16"/>
        <v>417005</v>
      </c>
      <c r="J84" s="167">
        <f t="shared" si="11"/>
        <v>7.6841833354253902E-2</v>
      </c>
      <c r="K84" s="458"/>
      <c r="L84" s="187"/>
      <c r="M84" s="163"/>
      <c r="O84" s="324">
        <f t="shared" si="12"/>
        <v>18.099960935804507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'[14]Sch C'!D75</f>
        <v>36416</v>
      </c>
      <c r="D87" s="480">
        <f>'[14]Sch C'!F75</f>
        <v>0</v>
      </c>
      <c r="E87" s="480">
        <f>+'[14]Sch C'!H75</f>
        <v>0</v>
      </c>
      <c r="F87" s="166">
        <f t="shared" ref="F87:F97" si="17">C87+D87+E87</f>
        <v>36416</v>
      </c>
      <c r="G87" s="626"/>
      <c r="H87" s="166"/>
      <c r="I87" s="166">
        <f t="shared" ref="I87:I97" si="18">F87+G87+H87</f>
        <v>36416</v>
      </c>
      <c r="J87" s="167">
        <f t="shared" ref="J87:J98" si="19">IF($I$213=0,0,I87/$I$213)</f>
        <v>6.7104044398232877E-3</v>
      </c>
      <c r="K87" s="458"/>
      <c r="L87" s="176">
        <v>1536</v>
      </c>
      <c r="M87" s="176">
        <v>1588</v>
      </c>
      <c r="O87" s="324">
        <f t="shared" ref="O87:O97" si="20">I87/I$233</f>
        <v>1.5806241590346803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'[14]Sch C'!D76</f>
        <v>4469</v>
      </c>
      <c r="D88" s="480">
        <f>'[14]Sch C'!F76</f>
        <v>2384</v>
      </c>
      <c r="E88" s="480">
        <f>+'[14]Sch C'!H76</f>
        <v>0</v>
      </c>
      <c r="F88" s="166">
        <f t="shared" si="17"/>
        <v>6853</v>
      </c>
      <c r="G88" s="626"/>
      <c r="H88" s="166"/>
      <c r="I88" s="166">
        <f t="shared" si="18"/>
        <v>6853</v>
      </c>
      <c r="J88" s="167">
        <f t="shared" si="19"/>
        <v>1.2628076017714464E-3</v>
      </c>
      <c r="K88" s="458"/>
      <c r="L88" s="163"/>
      <c r="M88" s="163"/>
      <c r="O88" s="324">
        <f t="shared" si="20"/>
        <v>0.29745214636051914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'[14]Sch C'!D77</f>
        <v>9831</v>
      </c>
      <c r="D89" s="480">
        <f>'[14]Sch C'!F77</f>
        <v>0</v>
      </c>
      <c r="E89" s="480">
        <f>+'[14]Sch C'!H77</f>
        <v>0</v>
      </c>
      <c r="F89" s="166">
        <f t="shared" si="17"/>
        <v>9831</v>
      </c>
      <c r="G89" s="626"/>
      <c r="H89" s="166"/>
      <c r="I89" s="166">
        <f t="shared" si="18"/>
        <v>9831</v>
      </c>
      <c r="J89" s="167">
        <f t="shared" si="19"/>
        <v>1.811565961333006E-3</v>
      </c>
      <c r="K89" s="458"/>
      <c r="L89" s="163"/>
      <c r="M89" s="163"/>
      <c r="O89" s="324">
        <f t="shared" si="20"/>
        <v>0.42671122878597162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'[14]Sch C'!D78</f>
        <v>0</v>
      </c>
      <c r="D90" s="480">
        <f>'[14]Sch C'!F78</f>
        <v>0</v>
      </c>
      <c r="E90" s="480">
        <f>+'[14]Sch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'[14]Sch C'!D79</f>
        <v>8435</v>
      </c>
      <c r="D91" s="480">
        <f>'[14]Sch C'!F79</f>
        <v>3180</v>
      </c>
      <c r="E91" s="480">
        <f>+'[14]Sch C'!H79</f>
        <v>0</v>
      </c>
      <c r="F91" s="166">
        <f t="shared" si="17"/>
        <v>11615</v>
      </c>
      <c r="G91" s="626"/>
      <c r="H91" s="166"/>
      <c r="I91" s="166">
        <f t="shared" si="18"/>
        <v>11615</v>
      </c>
      <c r="J91" s="167">
        <f t="shared" si="19"/>
        <v>2.1403050189078288E-3</v>
      </c>
      <c r="K91" s="458"/>
      <c r="L91" s="163"/>
      <c r="M91" s="163"/>
      <c r="O91" s="324">
        <f t="shared" si="20"/>
        <v>0.50414514518859321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'[14]Sch C'!D80</f>
        <v>21547</v>
      </c>
      <c r="D92" s="480">
        <f>'[14]Sch C'!F80</f>
        <v>0</v>
      </c>
      <c r="E92" s="480">
        <f>+'[14]Sch C'!H80</f>
        <v>0</v>
      </c>
      <c r="F92" s="166">
        <f t="shared" si="17"/>
        <v>21547</v>
      </c>
      <c r="G92" s="626"/>
      <c r="H92" s="166"/>
      <c r="I92" s="166">
        <f t="shared" si="18"/>
        <v>21547</v>
      </c>
      <c r="J92" s="167">
        <f t="shared" si="19"/>
        <v>3.9704823282313371E-3</v>
      </c>
      <c r="K92" s="458"/>
      <c r="L92" s="163"/>
      <c r="M92" s="163"/>
      <c r="O92" s="324">
        <f t="shared" si="20"/>
        <v>0.93524024480229173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'[14]Sch C'!D81</f>
        <v>15278</v>
      </c>
      <c r="D93" s="480">
        <f>'[14]Sch C'!F81</f>
        <v>0</v>
      </c>
      <c r="E93" s="480">
        <f>+'[14]Sch C'!H81</f>
        <v>0</v>
      </c>
      <c r="F93" s="166">
        <f t="shared" si="17"/>
        <v>15278</v>
      </c>
      <c r="G93" s="626"/>
      <c r="H93" s="166"/>
      <c r="I93" s="166">
        <f t="shared" si="18"/>
        <v>15278</v>
      </c>
      <c r="J93" s="167">
        <f t="shared" si="19"/>
        <v>2.8152888574148778E-3</v>
      </c>
      <c r="K93" s="458"/>
      <c r="L93" s="163"/>
      <c r="M93" s="163"/>
      <c r="O93" s="324">
        <f t="shared" si="20"/>
        <v>0.66313642085159941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'[14]Sch C'!D82</f>
        <v>3651</v>
      </c>
      <c r="D94" s="480">
        <f>'[14]Sch C'!F82</f>
        <v>0</v>
      </c>
      <c r="E94" s="480">
        <f>+'[14]Sch C'!H82</f>
        <v>0</v>
      </c>
      <c r="F94" s="166">
        <f t="shared" si="17"/>
        <v>3651</v>
      </c>
      <c r="G94" s="626"/>
      <c r="H94" s="166"/>
      <c r="I94" s="166">
        <f t="shared" si="18"/>
        <v>3651</v>
      </c>
      <c r="J94" s="167">
        <f t="shared" si="19"/>
        <v>6.7277258924085086E-4</v>
      </c>
      <c r="K94" s="458"/>
      <c r="L94" s="163"/>
      <c r="M94" s="163"/>
      <c r="O94" s="324">
        <f t="shared" si="20"/>
        <v>0.15847041972307827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'[14]Sch C'!D83</f>
        <v>0</v>
      </c>
      <c r="D95" s="480">
        <f>'[14]Sch C'!F83</f>
        <v>0</v>
      </c>
      <c r="E95" s="480">
        <f>+'[14]Sch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'[14]Sch C'!D84</f>
        <v>110473</v>
      </c>
      <c r="D96" s="480">
        <f>'[14]Sch C'!F84</f>
        <v>0</v>
      </c>
      <c r="E96" s="480">
        <f>+'[14]Sch C'!H84</f>
        <v>0</v>
      </c>
      <c r="F96" s="166">
        <f t="shared" si="17"/>
        <v>110473</v>
      </c>
      <c r="G96" s="626"/>
      <c r="H96" s="166"/>
      <c r="I96" s="166">
        <f t="shared" si="18"/>
        <v>110473</v>
      </c>
      <c r="J96" s="167">
        <f t="shared" si="19"/>
        <v>2.0356945015394281E-2</v>
      </c>
      <c r="K96" s="458"/>
      <c r="L96" s="163"/>
      <c r="M96" s="163"/>
      <c r="O96" s="324">
        <f t="shared" si="20"/>
        <v>4.7950431876383526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'[14]Sch C'!D85</f>
        <v>396</v>
      </c>
      <c r="D97" s="480">
        <f>'[14]Sch C'!F85</f>
        <v>0</v>
      </c>
      <c r="E97" s="480">
        <f>+'[14]Sch C'!H85</f>
        <v>0</v>
      </c>
      <c r="F97" s="166">
        <f t="shared" si="17"/>
        <v>396</v>
      </c>
      <c r="G97" s="626"/>
      <c r="H97" s="166"/>
      <c r="I97" s="166">
        <f t="shared" si="18"/>
        <v>396</v>
      </c>
      <c r="J97" s="167">
        <f t="shared" si="19"/>
        <v>7.2971225784545862E-5</v>
      </c>
      <c r="K97" s="458"/>
      <c r="L97" s="163"/>
      <c r="M97" s="163"/>
      <c r="O97" s="324">
        <f t="shared" si="20"/>
        <v>1.7188246017622293E-2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210496</v>
      </c>
      <c r="D98" s="480">
        <f t="shared" si="21"/>
        <v>5564</v>
      </c>
      <c r="E98" s="480">
        <f t="shared" si="21"/>
        <v>0</v>
      </c>
      <c r="F98" s="166">
        <f t="shared" ref="F98:I98" si="22">SUM(F87:F97)</f>
        <v>216060</v>
      </c>
      <c r="G98" s="166">
        <f t="shared" si="22"/>
        <v>0</v>
      </c>
      <c r="H98" s="166">
        <f t="shared" si="22"/>
        <v>0</v>
      </c>
      <c r="I98" s="166">
        <f t="shared" si="22"/>
        <v>216060</v>
      </c>
      <c r="J98" s="167">
        <f t="shared" si="19"/>
        <v>3.981354303790146E-2</v>
      </c>
      <c r="K98" s="458"/>
      <c r="L98" s="163"/>
      <c r="M98" s="163"/>
      <c r="O98" s="329">
        <f>I98/I$233</f>
        <v>9.3780111984027084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'[14]Sch C'!D89</f>
        <v>176479</v>
      </c>
      <c r="D101" s="480">
        <f>'[14]Sch C'!F89</f>
        <v>0</v>
      </c>
      <c r="E101" s="480">
        <f>+'[14]Sch C'!H89</f>
        <v>0</v>
      </c>
      <c r="F101" s="166">
        <f t="shared" ref="F101:F106" si="23">C101+D101+E101</f>
        <v>176479</v>
      </c>
      <c r="G101" s="626"/>
      <c r="H101" s="166"/>
      <c r="I101" s="166">
        <f t="shared" ref="I101:I106" si="24">F101+G101+H101</f>
        <v>176479</v>
      </c>
      <c r="J101" s="167">
        <f t="shared" ref="J101:J107" si="25">IF($I$213=0,0,I101/$I$213)</f>
        <v>3.2519921604118353E-2</v>
      </c>
      <c r="K101" s="458"/>
      <c r="L101" s="176">
        <v>11995</v>
      </c>
      <c r="M101" s="176">
        <v>12756</v>
      </c>
      <c r="O101" s="329">
        <f t="shared" ref="O101:O106" si="26">I101/I$233</f>
        <v>7.6600112852120317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'[14]Sch C'!D90</f>
        <v>26199</v>
      </c>
      <c r="D102" s="480">
        <f>'[14]Sch C'!F90</f>
        <v>11553</v>
      </c>
      <c r="E102" s="480">
        <f>+'[14]Sch C'!H90</f>
        <v>0</v>
      </c>
      <c r="F102" s="166">
        <f t="shared" si="23"/>
        <v>37752</v>
      </c>
      <c r="G102" s="626"/>
      <c r="H102" s="166"/>
      <c r="I102" s="166">
        <f t="shared" si="24"/>
        <v>37752</v>
      </c>
      <c r="J102" s="167">
        <f t="shared" si="25"/>
        <v>6.9565901914600383E-3</v>
      </c>
      <c r="K102" s="458"/>
      <c r="L102" s="163"/>
      <c r="M102" s="163"/>
      <c r="O102" s="329">
        <f t="shared" si="26"/>
        <v>1.6386127870133251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'[14]Sch C'!D91</f>
        <v>18954</v>
      </c>
      <c r="D103" s="480">
        <f>'[14]Sch C'!F91</f>
        <v>0</v>
      </c>
      <c r="E103" s="480">
        <f>+'[14]Sch C'!H91</f>
        <v>0</v>
      </c>
      <c r="F103" s="166">
        <f t="shared" si="23"/>
        <v>18954</v>
      </c>
      <c r="G103" s="626"/>
      <c r="H103" s="166"/>
      <c r="I103" s="166">
        <f t="shared" si="24"/>
        <v>18954</v>
      </c>
      <c r="J103" s="167">
        <f t="shared" si="25"/>
        <v>3.4926682159603087E-3</v>
      </c>
      <c r="K103" s="458"/>
      <c r="L103" s="163"/>
      <c r="M103" s="163"/>
      <c r="O103" s="329">
        <f t="shared" si="26"/>
        <v>0.82269195711619425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'[14]Sch C'!D92</f>
        <v>161350</v>
      </c>
      <c r="D104" s="480">
        <f>'[14]Sch C'!F92</f>
        <v>0</v>
      </c>
      <c r="E104" s="480">
        <f>+'[14]Sch C'!H92</f>
        <v>0</v>
      </c>
      <c r="F104" s="166">
        <f t="shared" si="23"/>
        <v>161350</v>
      </c>
      <c r="G104" s="626"/>
      <c r="H104" s="166"/>
      <c r="I104" s="166">
        <f t="shared" si="24"/>
        <v>161350</v>
      </c>
      <c r="J104" s="167">
        <f t="shared" si="25"/>
        <v>2.9732089091758774E-2</v>
      </c>
      <c r="K104" s="458"/>
      <c r="L104" s="163"/>
      <c r="M104" s="163"/>
      <c r="O104" s="329">
        <f t="shared" si="26"/>
        <v>7.0033421589478708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'[14]Sch C'!D93</f>
        <v>12606</v>
      </c>
      <c r="D105" s="480">
        <f>'[14]Sch C'!F93</f>
        <v>4182</v>
      </c>
      <c r="E105" s="480">
        <f>+'[14]Sch C'!H93</f>
        <v>0</v>
      </c>
      <c r="F105" s="166">
        <f t="shared" si="23"/>
        <v>16788</v>
      </c>
      <c r="G105" s="626"/>
      <c r="H105" s="166"/>
      <c r="I105" s="166">
        <f t="shared" si="24"/>
        <v>16788</v>
      </c>
      <c r="J105" s="167">
        <f t="shared" si="25"/>
        <v>3.0935377234115047E-3</v>
      </c>
      <c r="K105" s="458"/>
      <c r="L105" s="163"/>
      <c r="M105" s="163"/>
      <c r="O105" s="329">
        <f t="shared" si="26"/>
        <v>0.72867745995919964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'[14]Sch C'!D94</f>
        <v>0</v>
      </c>
      <c r="D106" s="480">
        <f>'[14]Sch C'!F94</f>
        <v>0</v>
      </c>
      <c r="E106" s="480">
        <f>+'[14]Sch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395588</v>
      </c>
      <c r="D107" s="480">
        <f t="shared" si="27"/>
        <v>15735</v>
      </c>
      <c r="E107" s="480">
        <f t="shared" si="27"/>
        <v>0</v>
      </c>
      <c r="F107" s="166">
        <f t="shared" ref="F107:I107" si="28">SUM(F101:F106)</f>
        <v>411323</v>
      </c>
      <c r="G107" s="166">
        <f t="shared" si="28"/>
        <v>0</v>
      </c>
      <c r="H107" s="166">
        <f t="shared" si="28"/>
        <v>0</v>
      </c>
      <c r="I107" s="166">
        <f t="shared" si="28"/>
        <v>411323</v>
      </c>
      <c r="J107" s="167">
        <f t="shared" si="25"/>
        <v>7.5794806826708985E-2</v>
      </c>
      <c r="K107" s="458"/>
      <c r="L107" s="163"/>
      <c r="M107" s="163"/>
      <c r="O107" s="329">
        <f>I107/I$233</f>
        <v>17.853335648248621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'[14]Sch C'!D98</f>
        <v>19731</v>
      </c>
      <c r="D110" s="480">
        <f>'[14]Sch C'!F98</f>
        <v>0</v>
      </c>
      <c r="E110" s="480">
        <f>+'[14]Sch C'!H98</f>
        <v>0</v>
      </c>
      <c r="F110" s="166">
        <f t="shared" ref="F110:F115" si="29">C110+D110+E110</f>
        <v>19731</v>
      </c>
      <c r="G110" s="626"/>
      <c r="H110" s="166"/>
      <c r="I110" s="166">
        <f t="shared" ref="I110:I115" si="30">F110+G110+H110</f>
        <v>19731</v>
      </c>
      <c r="J110" s="167">
        <f t="shared" ref="J110:J116" si="31">IF($I$213=0,0,I110/$I$213)</f>
        <v>3.6358466059466525E-3</v>
      </c>
      <c r="K110" s="458"/>
      <c r="L110" s="176">
        <v>1937</v>
      </c>
      <c r="M110" s="176">
        <v>2039</v>
      </c>
      <c r="O110" s="329">
        <f t="shared" ref="O110:O115" si="32">I110/I$233</f>
        <v>0.85641737922652894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'[14]Sch C'!D99</f>
        <v>2754</v>
      </c>
      <c r="D111" s="480">
        <f>'[14]Sch C'!F99</f>
        <v>1292</v>
      </c>
      <c r="E111" s="480">
        <f>+'[14]Sch C'!H99</f>
        <v>0</v>
      </c>
      <c r="F111" s="166">
        <f t="shared" si="29"/>
        <v>4046</v>
      </c>
      <c r="G111" s="626"/>
      <c r="H111" s="166"/>
      <c r="I111" s="166">
        <f t="shared" si="30"/>
        <v>4046</v>
      </c>
      <c r="J111" s="167">
        <f t="shared" si="31"/>
        <v>7.4555954425321348E-4</v>
      </c>
      <c r="K111" s="458"/>
      <c r="L111" s="163"/>
      <c r="M111" s="163"/>
      <c r="O111" s="329">
        <f t="shared" si="32"/>
        <v>0.17561526107903988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'[14]Sch C'!D100</f>
        <v>790</v>
      </c>
      <c r="D112" s="480">
        <f>'[14]Sch C'!F100</f>
        <v>0</v>
      </c>
      <c r="E112" s="480">
        <f>+'[14]Sch C'!H100</f>
        <v>0</v>
      </c>
      <c r="F112" s="166">
        <f t="shared" si="29"/>
        <v>790</v>
      </c>
      <c r="G112" s="626"/>
      <c r="H112" s="166"/>
      <c r="I112" s="166">
        <f t="shared" si="30"/>
        <v>790</v>
      </c>
      <c r="J112" s="167">
        <f t="shared" si="31"/>
        <v>1.4557391002472533E-4</v>
      </c>
      <c r="K112" s="458"/>
      <c r="L112" s="163"/>
      <c r="M112" s="163"/>
      <c r="O112" s="329">
        <f t="shared" si="32"/>
        <v>3.4289682711923258E-2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'[14]Sch C'!D101</f>
        <v>0</v>
      </c>
      <c r="D113" s="480">
        <f>'[14]Sch C'!F101</f>
        <v>0</v>
      </c>
      <c r="E113" s="480">
        <f>+'[14]Sch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'[14]Sch C'!D102</f>
        <v>1247</v>
      </c>
      <c r="D114" s="480">
        <f>'[14]Sch C'!F102</f>
        <v>0</v>
      </c>
      <c r="E114" s="480">
        <f>+'[14]Sch C'!H102</f>
        <v>0</v>
      </c>
      <c r="F114" s="166">
        <f t="shared" si="29"/>
        <v>1247</v>
      </c>
      <c r="G114" s="626"/>
      <c r="H114" s="166"/>
      <c r="I114" s="166">
        <f t="shared" si="30"/>
        <v>1247</v>
      </c>
      <c r="J114" s="167">
        <f t="shared" si="31"/>
        <v>2.2978565291244618E-4</v>
      </c>
      <c r="K114" s="458"/>
      <c r="L114" s="163"/>
      <c r="M114" s="163"/>
      <c r="O114" s="329">
        <f t="shared" si="32"/>
        <v>5.4125613090845959E-2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'[14]Sch C'!D103</f>
        <v>0</v>
      </c>
      <c r="D115" s="480">
        <f>'[14]Sch C'!F103</f>
        <v>0</v>
      </c>
      <c r="E115" s="480">
        <f>+'[14]Sch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24522</v>
      </c>
      <c r="D116" s="480">
        <f t="shared" si="33"/>
        <v>1292</v>
      </c>
      <c r="E116" s="480">
        <f t="shared" si="33"/>
        <v>0</v>
      </c>
      <c r="F116" s="166">
        <f t="shared" ref="F116:I116" si="34">SUM(F110:F115)</f>
        <v>25814</v>
      </c>
      <c r="G116" s="166">
        <f t="shared" si="34"/>
        <v>0</v>
      </c>
      <c r="H116" s="166">
        <f t="shared" si="34"/>
        <v>0</v>
      </c>
      <c r="I116" s="166">
        <f t="shared" si="34"/>
        <v>25814</v>
      </c>
      <c r="J116" s="167">
        <f t="shared" si="31"/>
        <v>4.7567657131370377E-3</v>
      </c>
      <c r="K116" s="458"/>
      <c r="L116" s="163"/>
      <c r="M116" s="163"/>
      <c r="O116" s="329">
        <f>I116/I$233</f>
        <v>1.1204479361083379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'[14]Sch C'!D115</f>
        <v>83173</v>
      </c>
      <c r="D119" s="480">
        <f>'[14]Sch C'!F115</f>
        <v>0</v>
      </c>
      <c r="E119" s="480">
        <f>+'[14]Sch C'!H115</f>
        <v>0</v>
      </c>
      <c r="F119" s="166">
        <f t="shared" ref="F119:F123" si="35">C119+D119+E119</f>
        <v>83173</v>
      </c>
      <c r="G119" s="626"/>
      <c r="H119" s="166"/>
      <c r="I119" s="166">
        <f t="shared" ref="I119:I123" si="36">F119+G119+H119</f>
        <v>83173</v>
      </c>
      <c r="J119" s="167">
        <f t="shared" ref="J119:J124" si="37">IF($I$213=0,0,I119/$I$213)</f>
        <v>1.5326352934793012E-2</v>
      </c>
      <c r="K119" s="458"/>
      <c r="L119" s="176">
        <v>7715</v>
      </c>
      <c r="M119" s="176">
        <v>7811</v>
      </c>
      <c r="O119" s="329">
        <f t="shared" ref="O119:O124" si="38">I119/I$233</f>
        <v>3.6100959243022701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'[14]Sch C'!D116</f>
        <v>11539</v>
      </c>
      <c r="D120" s="480">
        <f>'[14]Sch C'!F116</f>
        <v>5445</v>
      </c>
      <c r="E120" s="480">
        <f>+'[14]Sch C'!H116</f>
        <v>0</v>
      </c>
      <c r="F120" s="166">
        <f t="shared" si="35"/>
        <v>16984</v>
      </c>
      <c r="G120" s="626"/>
      <c r="H120" s="166"/>
      <c r="I120" s="166">
        <f t="shared" si="36"/>
        <v>16984</v>
      </c>
      <c r="J120" s="167">
        <f t="shared" si="37"/>
        <v>3.1296547947594114E-3</v>
      </c>
      <c r="K120" s="458"/>
      <c r="L120" s="163"/>
      <c r="M120" s="163"/>
      <c r="O120" s="329">
        <f t="shared" si="38"/>
        <v>0.73718477364468948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'[14]Sch C'!D117</f>
        <v>16514</v>
      </c>
      <c r="D121" s="480">
        <f>'[14]Sch C'!F117</f>
        <v>0</v>
      </c>
      <c r="E121" s="480">
        <f>+'[14]Sch C'!H117</f>
        <v>0</v>
      </c>
      <c r="F121" s="166">
        <f t="shared" si="35"/>
        <v>16514</v>
      </c>
      <c r="G121" s="626"/>
      <c r="H121" s="166"/>
      <c r="I121" s="166">
        <f t="shared" si="36"/>
        <v>16514</v>
      </c>
      <c r="J121" s="167">
        <f t="shared" si="37"/>
        <v>3.0430475318333088E-3</v>
      </c>
      <c r="K121" s="458"/>
      <c r="L121" s="163"/>
      <c r="M121" s="163"/>
      <c r="O121" s="329">
        <f t="shared" si="38"/>
        <v>0.7167845826641781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'[14]Sch C'!D118</f>
        <v>3037</v>
      </c>
      <c r="D122" s="480">
        <f>'[14]Sch C'!F118</f>
        <v>0</v>
      </c>
      <c r="E122" s="480">
        <f>+'[14]Sch C'!H118</f>
        <v>0</v>
      </c>
      <c r="F122" s="166">
        <f t="shared" si="35"/>
        <v>3037</v>
      </c>
      <c r="G122" s="626"/>
      <c r="H122" s="166"/>
      <c r="I122" s="166">
        <f t="shared" si="36"/>
        <v>3037</v>
      </c>
      <c r="J122" s="167">
        <f t="shared" si="37"/>
        <v>5.5963033512036818E-4</v>
      </c>
      <c r="K122" s="458"/>
      <c r="L122" s="163"/>
      <c r="M122" s="163"/>
      <c r="O122" s="329">
        <f t="shared" si="38"/>
        <v>0.13181995746343159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'[14]Sch C'!D119</f>
        <v>139</v>
      </c>
      <c r="D123" s="480">
        <f>'[14]Sch C'!F119</f>
        <v>0</v>
      </c>
      <c r="E123" s="480">
        <f>+'[14]Sch C'!H119</f>
        <v>0</v>
      </c>
      <c r="F123" s="166">
        <f t="shared" si="35"/>
        <v>139</v>
      </c>
      <c r="G123" s="626"/>
      <c r="H123" s="166"/>
      <c r="I123" s="166">
        <f t="shared" si="36"/>
        <v>139</v>
      </c>
      <c r="J123" s="167">
        <f t="shared" si="37"/>
        <v>2.5613637333464331E-5</v>
      </c>
      <c r="K123" s="458"/>
      <c r="L123" s="163"/>
      <c r="M123" s="163"/>
      <c r="O123" s="329">
        <f t="shared" si="38"/>
        <v>6.0332479708320678E-3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114402</v>
      </c>
      <c r="D124" s="480">
        <f t="shared" si="39"/>
        <v>5445</v>
      </c>
      <c r="E124" s="480">
        <f t="shared" si="39"/>
        <v>0</v>
      </c>
      <c r="F124" s="166">
        <f t="shared" ref="F124:I124" si="40">SUM(F119:F123)</f>
        <v>119847</v>
      </c>
      <c r="G124" s="166">
        <f t="shared" si="40"/>
        <v>0</v>
      </c>
      <c r="H124" s="166">
        <f t="shared" si="40"/>
        <v>0</v>
      </c>
      <c r="I124" s="166">
        <f t="shared" si="40"/>
        <v>119847</v>
      </c>
      <c r="J124" s="167">
        <f t="shared" si="37"/>
        <v>2.2084299233839564E-2</v>
      </c>
      <c r="K124" s="458"/>
      <c r="L124" s="163"/>
      <c r="M124" s="163"/>
      <c r="O124" s="329">
        <f t="shared" si="38"/>
        <v>5.2019184860454013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'[14]Sch C'!D124</f>
        <v>0</v>
      </c>
      <c r="D128" s="480">
        <f>'[14]Sch C'!F124</f>
        <v>0</v>
      </c>
      <c r="E128" s="480">
        <f>+'[14]Sch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'[14]Sch C'!D125</f>
        <v>168293</v>
      </c>
      <c r="D129" s="480">
        <f>'[14]Sch C'!F125</f>
        <v>0</v>
      </c>
      <c r="E129" s="480">
        <f>+'[14]Sch C'!H125</f>
        <v>40300</v>
      </c>
      <c r="F129" s="166">
        <f t="shared" si="41"/>
        <v>208593</v>
      </c>
      <c r="G129" s="626"/>
      <c r="H129" s="166"/>
      <c r="I129" s="166">
        <f t="shared" si="42"/>
        <v>208593</v>
      </c>
      <c r="J129" s="167">
        <f>IF($I$213=0,0,I129/$I$213)</f>
        <v>3.8437593182009532E-2</v>
      </c>
      <c r="K129" s="458"/>
      <c r="L129" s="176">
        <v>15897</v>
      </c>
      <c r="M129" s="176">
        <v>16275</v>
      </c>
      <c r="O129" s="329">
        <f t="shared" si="43"/>
        <v>9.0539085897825426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'[14]Sch C'!D126</f>
        <v>0</v>
      </c>
      <c r="D130" s="480">
        <f>'[14]Sch C'!F126</f>
        <v>0</v>
      </c>
      <c r="E130" s="480">
        <f>+'[14]Sch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'[14]Sch C'!D127</f>
        <v>0</v>
      </c>
      <c r="D131" s="480">
        <f>'[14]Sch C'!F127</f>
        <v>0</v>
      </c>
      <c r="E131" s="480">
        <f>+'[14]Sch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'[14]Sch C'!D128</f>
        <v>31510</v>
      </c>
      <c r="D132" s="480">
        <f>'[14]Sch C'!F128</f>
        <v>0</v>
      </c>
      <c r="E132" s="480">
        <f>+'[14]Sch C'!H128</f>
        <v>0</v>
      </c>
      <c r="F132" s="166">
        <f t="shared" si="41"/>
        <v>31510</v>
      </c>
      <c r="G132" s="626"/>
      <c r="H132" s="166"/>
      <c r="I132" s="166">
        <f t="shared" si="42"/>
        <v>31510</v>
      </c>
      <c r="J132" s="167">
        <f>IF($I$213=0,0,I132/$I$213)</f>
        <v>5.8063720314925253E-3</v>
      </c>
      <c r="K132" s="458"/>
      <c r="L132" s="176">
        <v>1814</v>
      </c>
      <c r="M132" s="176">
        <v>1919</v>
      </c>
      <c r="O132" s="329">
        <f t="shared" si="43"/>
        <v>1.3676808889274708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'[14]Sch C'!D130</f>
        <v>0</v>
      </c>
      <c r="D134" s="480">
        <f>'[14]Sch C'!F130</f>
        <v>0</v>
      </c>
      <c r="E134" s="480">
        <f>+'[14]Sch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'[14]Sch C'!D131</f>
        <v>0</v>
      </c>
      <c r="D135" s="480">
        <f>'[14]Sch C'!F131</f>
        <v>11017</v>
      </c>
      <c r="E135" s="480">
        <f>+'[14]Sch C'!H131</f>
        <v>4451</v>
      </c>
      <c r="F135" s="166">
        <f t="shared" si="44"/>
        <v>15468</v>
      </c>
      <c r="G135" s="626">
        <v>28943</v>
      </c>
      <c r="H135" s="166"/>
      <c r="I135" s="166">
        <f t="shared" si="45"/>
        <v>44411</v>
      </c>
      <c r="J135" s="167">
        <f>IF($I$213=0,0,I135/$I$213)</f>
        <v>8.1836492634279456E-3</v>
      </c>
      <c r="K135" s="458"/>
      <c r="L135" s="196"/>
      <c r="M135" s="196"/>
      <c r="O135" s="329">
        <f t="shared" si="43"/>
        <v>1.9276444290116759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'[14]Sch C'!D132</f>
        <v>0</v>
      </c>
      <c r="D136" s="480">
        <f>'[14]Sch C'!F132</f>
        <v>0</v>
      </c>
      <c r="E136" s="480">
        <f>+'[14]Sch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'[14]Sch C'!D133</f>
        <v>0</v>
      </c>
      <c r="D137" s="480">
        <f>'[14]Sch C'!F133</f>
        <v>0</v>
      </c>
      <c r="E137" s="480">
        <f>+'[14]Sch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'[14]Sch C'!D134</f>
        <v>0</v>
      </c>
      <c r="D138" s="480">
        <f>'[14]Sch C'!F134</f>
        <v>2063</v>
      </c>
      <c r="E138" s="480">
        <f>+'[14]Sch C'!H134</f>
        <v>0</v>
      </c>
      <c r="F138" s="166">
        <f t="shared" si="44"/>
        <v>2063</v>
      </c>
      <c r="G138" s="626">
        <v>4646</v>
      </c>
      <c r="H138" s="166"/>
      <c r="I138" s="166">
        <f t="shared" si="45"/>
        <v>6709</v>
      </c>
      <c r="J138" s="167">
        <f>IF($I$213=0,0,I138/$I$213)</f>
        <v>1.2362726105770662E-3</v>
      </c>
      <c r="K138" s="458"/>
      <c r="L138" s="163"/>
      <c r="M138" s="163"/>
      <c r="O138" s="329">
        <f t="shared" si="43"/>
        <v>0.29120187508138373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'[14]Sch C'!D136</f>
        <v>511743</v>
      </c>
      <c r="D140" s="480">
        <f>'[14]Sch C'!F136</f>
        <v>0</v>
      </c>
      <c r="E140" s="480">
        <f>+'[14]Sch C'!H136</f>
        <v>0</v>
      </c>
      <c r="F140" s="166">
        <f t="shared" ref="F140:F143" si="46">C140+D140+E140</f>
        <v>511743</v>
      </c>
      <c r="G140" s="626"/>
      <c r="H140" s="166"/>
      <c r="I140" s="166">
        <f t="shared" ref="I140:I143" si="47">F140+G140+H140</f>
        <v>511743</v>
      </c>
      <c r="J140" s="167">
        <f>IF($I$213=0,0,I140/$I$213)</f>
        <v>9.4299277769345588E-2</v>
      </c>
      <c r="K140" s="458"/>
      <c r="L140" s="176">
        <v>17080</v>
      </c>
      <c r="M140" s="176">
        <v>18038</v>
      </c>
      <c r="O140" s="329">
        <f t="shared" si="43"/>
        <v>22.212031772212335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'[14]Sch C'!D137</f>
        <v>205784</v>
      </c>
      <c r="D141" s="480">
        <f>'[14]Sch C'!F137</f>
        <v>0</v>
      </c>
      <c r="E141" s="480">
        <f>+'[14]Sch C'!H137</f>
        <v>0</v>
      </c>
      <c r="F141" s="166">
        <f t="shared" si="46"/>
        <v>205784</v>
      </c>
      <c r="G141" s="626"/>
      <c r="H141" s="166"/>
      <c r="I141" s="166">
        <f t="shared" si="47"/>
        <v>205784</v>
      </c>
      <c r="J141" s="167">
        <f>IF($I$213=0,0,I141/$I$213)</f>
        <v>3.7919976582946935E-2</v>
      </c>
      <c r="K141" s="458"/>
      <c r="L141" s="176">
        <v>7862</v>
      </c>
      <c r="M141" s="176">
        <v>8545</v>
      </c>
      <c r="O141" s="329">
        <f t="shared" si="43"/>
        <v>8.9319848951777416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'[14]Sch C'!D138</f>
        <v>565172</v>
      </c>
      <c r="D142" s="480">
        <f>'[14]Sch C'!F138</f>
        <v>0</v>
      </c>
      <c r="E142" s="480">
        <f>+'[14]Sch C'!H138</f>
        <v>0</v>
      </c>
      <c r="F142" s="166">
        <f t="shared" si="46"/>
        <v>565172</v>
      </c>
      <c r="G142" s="626"/>
      <c r="H142" s="166"/>
      <c r="I142" s="166">
        <f t="shared" si="47"/>
        <v>565172</v>
      </c>
      <c r="J142" s="167">
        <f>IF($I$213=0,0,I142/$I$213)</f>
        <v>0.1041446808563216</v>
      </c>
      <c r="K142" s="458"/>
      <c r="L142" s="176">
        <v>40085</v>
      </c>
      <c r="M142" s="176">
        <v>42911</v>
      </c>
      <c r="O142" s="329">
        <f t="shared" si="43"/>
        <v>24.531099440079863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'[14]Sch C'!D139</f>
        <v>122139</v>
      </c>
      <c r="D143" s="480">
        <f>'[14]Sch C'!F139</f>
        <v>0</v>
      </c>
      <c r="E143" s="480">
        <f>+'[14]Sch C'!H139</f>
        <v>0</v>
      </c>
      <c r="F143" s="166">
        <f t="shared" si="46"/>
        <v>122139</v>
      </c>
      <c r="G143" s="626"/>
      <c r="H143" s="166"/>
      <c r="I143" s="166">
        <f t="shared" si="47"/>
        <v>122139</v>
      </c>
      <c r="J143" s="167">
        <f>IF($I$213=0,0,I143/$I$213)</f>
        <v>2.2506647843683451E-2</v>
      </c>
      <c r="K143" s="458"/>
      <c r="L143" s="176">
        <v>8539</v>
      </c>
      <c r="M143" s="176">
        <v>8786</v>
      </c>
      <c r="O143" s="329">
        <f t="shared" si="43"/>
        <v>5.3014019705716393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'[14]Sch C'!D141</f>
        <v>0</v>
      </c>
      <c r="D145" s="480">
        <f>'[14]Sch C'!F141</f>
        <v>33501</v>
      </c>
      <c r="E145" s="480">
        <f>+'[14]Sch C'!H141</f>
        <v>0</v>
      </c>
      <c r="F145" s="166">
        <f t="shared" ref="F145:F148" si="48">C145+D145+E145</f>
        <v>33501</v>
      </c>
      <c r="G145" s="626">
        <v>75453</v>
      </c>
      <c r="H145" s="166"/>
      <c r="I145" s="166">
        <f t="shared" ref="I145:I148" si="49">F145+G145+H145</f>
        <v>108954</v>
      </c>
      <c r="J145" s="167">
        <f>IF($I$213=0,0,I145/$I$213)</f>
        <v>2.0077037712448006E-2</v>
      </c>
      <c r="K145" s="458"/>
      <c r="L145" s="163"/>
      <c r="M145" s="163"/>
      <c r="O145" s="329">
        <f t="shared" si="43"/>
        <v>4.7291115065758058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'[14]Sch C'!D142</f>
        <v>0</v>
      </c>
      <c r="D146" s="480">
        <f>'[14]Sch C'!F142</f>
        <v>13472</v>
      </c>
      <c r="E146" s="480">
        <f>+'[14]Sch C'!H142</f>
        <v>0</v>
      </c>
      <c r="F146" s="166">
        <f t="shared" si="48"/>
        <v>13472</v>
      </c>
      <c r="G146" s="626">
        <v>30341</v>
      </c>
      <c r="H146" s="166"/>
      <c r="I146" s="166">
        <f t="shared" si="49"/>
        <v>43813</v>
      </c>
      <c r="J146" s="167">
        <f>IF($I$213=0,0,I146/$I$213)</f>
        <v>8.073455341662393E-3</v>
      </c>
      <c r="K146" s="458"/>
      <c r="L146" s="163"/>
      <c r="M146" s="163"/>
      <c r="O146" s="329">
        <f t="shared" si="43"/>
        <v>1.9016884413385997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'[14]Sch C'!D143</f>
        <v>0</v>
      </c>
      <c r="D147" s="480">
        <f>'[14]Sch C'!F143</f>
        <v>36999</v>
      </c>
      <c r="E147" s="480">
        <f>+'[14]Sch C'!H143</f>
        <v>0</v>
      </c>
      <c r="F147" s="166">
        <f t="shared" si="48"/>
        <v>36999</v>
      </c>
      <c r="G147" s="626">
        <v>83329</v>
      </c>
      <c r="H147" s="166"/>
      <c r="I147" s="166">
        <f t="shared" si="49"/>
        <v>120328</v>
      </c>
      <c r="J147" s="167">
        <f>IF($I$213=0,0,I147/$I$213)</f>
        <v>2.2172933475259681E-2</v>
      </c>
      <c r="K147" s="458"/>
      <c r="L147" s="163"/>
      <c r="M147" s="163"/>
      <c r="O147" s="329">
        <f t="shared" si="43"/>
        <v>5.2227961283041795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'[14]Sch C'!D144</f>
        <v>240750</v>
      </c>
      <c r="D148" s="480">
        <f>'[14]Sch C'!F144</f>
        <v>7996</v>
      </c>
      <c r="E148" s="480">
        <f>+'[14]Sch C'!H144</f>
        <v>0</v>
      </c>
      <c r="F148" s="166">
        <f t="shared" si="48"/>
        <v>248746</v>
      </c>
      <c r="G148" s="626">
        <v>-222712</v>
      </c>
      <c r="H148" s="166"/>
      <c r="I148" s="166">
        <f t="shared" si="49"/>
        <v>26034</v>
      </c>
      <c r="J148" s="167">
        <f>IF($I$213=0,0,I148/$I$213)</f>
        <v>4.7973052830173404E-3</v>
      </c>
      <c r="K148" s="458"/>
      <c r="L148" s="163"/>
      <c r="M148" s="163"/>
      <c r="O148" s="329">
        <f t="shared" si="43"/>
        <v>1.1299969616736838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'[14]Sch C'!D146</f>
        <v>21875</v>
      </c>
      <c r="D150" s="480">
        <f>'[14]Sch C'!F146</f>
        <v>0</v>
      </c>
      <c r="E150" s="480">
        <f>+'[14]Sch C'!H146</f>
        <v>0</v>
      </c>
      <c r="F150" s="166">
        <f t="shared" ref="F150:F158" si="50">C150+D150+E150</f>
        <v>21875</v>
      </c>
      <c r="G150" s="626"/>
      <c r="H150" s="166"/>
      <c r="I150" s="166">
        <f t="shared" ref="I150:I158" si="51">F150+G150+H150</f>
        <v>21875</v>
      </c>
      <c r="J150" s="167">
        <f t="shared" ref="J150:J158" si="52">IF($I$213=0,0,I150/$I$213)</f>
        <v>4.0309231415074261E-3</v>
      </c>
      <c r="K150" s="458"/>
      <c r="L150" s="176">
        <v>156</v>
      </c>
      <c r="M150" s="176">
        <v>156</v>
      </c>
      <c r="O150" s="329">
        <f t="shared" si="43"/>
        <v>0.94947697382698903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'[14]Sch C'!D147</f>
        <v>4360</v>
      </c>
      <c r="D151" s="480">
        <f>'[14]Sch C'!F147</f>
        <v>0</v>
      </c>
      <c r="E151" s="480">
        <f>+'[14]Sch C'!H147</f>
        <v>0</v>
      </c>
      <c r="F151" s="166">
        <f t="shared" si="50"/>
        <v>4360</v>
      </c>
      <c r="G151" s="626"/>
      <c r="H151" s="166"/>
      <c r="I151" s="166">
        <f t="shared" si="51"/>
        <v>4360</v>
      </c>
      <c r="J151" s="167">
        <f t="shared" si="52"/>
        <v>8.0342056671873726E-4</v>
      </c>
      <c r="K151" s="458"/>
      <c r="L151" s="176">
        <v>86</v>
      </c>
      <c r="M151" s="176">
        <v>86</v>
      </c>
      <c r="O151" s="329">
        <f t="shared" si="43"/>
        <v>0.18924432484048787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'[14]Sch C'!D148</f>
        <v>0</v>
      </c>
      <c r="D152" s="480">
        <f>'[14]Sch C'!F148</f>
        <v>0</v>
      </c>
      <c r="E152" s="480">
        <f>+'[14]Sch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'[14]Sch C'!D149</f>
        <v>44900</v>
      </c>
      <c r="D153" s="480">
        <f>'[14]Sch C'!F149</f>
        <v>0</v>
      </c>
      <c r="E153" s="480">
        <f>+'[14]Sch C'!H149</f>
        <v>0</v>
      </c>
      <c r="F153" s="166">
        <f t="shared" si="50"/>
        <v>44900</v>
      </c>
      <c r="G153" s="626"/>
      <c r="H153" s="166"/>
      <c r="I153" s="166">
        <f t="shared" si="51"/>
        <v>44900</v>
      </c>
      <c r="J153" s="167">
        <f t="shared" si="52"/>
        <v>8.2737576710255282E-3</v>
      </c>
      <c r="K153" s="458"/>
      <c r="L153" s="176">
        <v>2041</v>
      </c>
      <c r="M153" s="176">
        <v>2041</v>
      </c>
      <c r="O153" s="329">
        <f t="shared" si="43"/>
        <v>1.9488693085637399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'[14]Sch C'!D150</f>
        <v>18271</v>
      </c>
      <c r="D154" s="480">
        <f>'[14]Sch C'!F150</f>
        <v>0</v>
      </c>
      <c r="E154" s="480">
        <f>+'[14]Sch C'!H150</f>
        <v>0</v>
      </c>
      <c r="F154" s="166">
        <f t="shared" si="50"/>
        <v>18271</v>
      </c>
      <c r="G154" s="626"/>
      <c r="H154" s="166"/>
      <c r="I154" s="166">
        <f t="shared" si="51"/>
        <v>18271</v>
      </c>
      <c r="J154" s="167">
        <f t="shared" si="52"/>
        <v>3.3668112785591852E-3</v>
      </c>
      <c r="K154" s="458"/>
      <c r="L154" s="176">
        <v>769</v>
      </c>
      <c r="M154" s="176">
        <v>769</v>
      </c>
      <c r="O154" s="329">
        <f t="shared" si="43"/>
        <v>0.79304657320196192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'[14]Sch C'!D151</f>
        <v>85569</v>
      </c>
      <c r="D155" s="480">
        <f>'[14]Sch C'!F151</f>
        <v>3572</v>
      </c>
      <c r="E155" s="480">
        <f>+'[14]Sch C'!H151</f>
        <v>0</v>
      </c>
      <c r="F155" s="166">
        <f t="shared" si="50"/>
        <v>89141</v>
      </c>
      <c r="G155" s="626">
        <v>-298</v>
      </c>
      <c r="H155" s="166"/>
      <c r="I155" s="166">
        <f t="shared" si="51"/>
        <v>88843</v>
      </c>
      <c r="J155" s="167">
        <f t="shared" si="52"/>
        <v>1.6371168213071736E-2</v>
      </c>
      <c r="K155" s="458"/>
      <c r="L155" s="163"/>
      <c r="M155" s="163"/>
      <c r="O155" s="329">
        <f t="shared" si="43"/>
        <v>3.8562003559182254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'[14]Sch C'!D152</f>
        <v>3775</v>
      </c>
      <c r="D156" s="480">
        <f>'[14]Sch C'!F152</f>
        <v>0</v>
      </c>
      <c r="E156" s="480">
        <f>+'[14]Sch C'!H152</f>
        <v>0</v>
      </c>
      <c r="F156" s="166">
        <f t="shared" si="50"/>
        <v>3775</v>
      </c>
      <c r="G156" s="626"/>
      <c r="H156" s="166"/>
      <c r="I156" s="166">
        <f t="shared" si="51"/>
        <v>3775</v>
      </c>
      <c r="J156" s="167">
        <f t="shared" si="52"/>
        <v>6.9562216499156719E-4</v>
      </c>
      <c r="K156" s="458"/>
      <c r="L156" s="163"/>
      <c r="M156" s="163"/>
      <c r="O156" s="329">
        <f t="shared" si="43"/>
        <v>0.16385259776900038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'[14]Sch C'!D153</f>
        <v>3446</v>
      </c>
      <c r="D157" s="480">
        <f>'[14]Sch C'!F153</f>
        <v>0</v>
      </c>
      <c r="E157" s="480">
        <f>+'[14]Sch C'!H153</f>
        <v>0</v>
      </c>
      <c r="F157" s="166">
        <f t="shared" si="50"/>
        <v>3446</v>
      </c>
      <c r="G157" s="626"/>
      <c r="H157" s="166"/>
      <c r="I157" s="166">
        <f t="shared" si="51"/>
        <v>3446</v>
      </c>
      <c r="J157" s="167">
        <f t="shared" si="52"/>
        <v>6.3499708094329557E-4</v>
      </c>
      <c r="K157" s="458"/>
      <c r="L157" s="163"/>
      <c r="M157" s="163"/>
      <c r="O157" s="329">
        <f t="shared" si="43"/>
        <v>0.14957246408264246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'[14]Sch C'!D154</f>
        <v>0</v>
      </c>
      <c r="D158" s="480">
        <f>'[14]Sch C'!F154</f>
        <v>0</v>
      </c>
      <c r="E158" s="480">
        <f>+'[14]Sch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'[14]Sch C'!D156</f>
        <v>0</v>
      </c>
      <c r="D160" s="480">
        <f>'[14]Sch C'!F156</f>
        <v>0</v>
      </c>
      <c r="E160" s="480">
        <f>+'[14]Sch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'[14]Sch C'!D157</f>
        <v>0</v>
      </c>
      <c r="D161" s="480">
        <f>'[14]Sch C'!F157</f>
        <v>0</v>
      </c>
      <c r="E161" s="480">
        <f>+'[14]Sch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'[14]Sch C'!D158</f>
        <v>0</v>
      </c>
      <c r="D162" s="480">
        <f>'[14]Sch C'!F158</f>
        <v>0</v>
      </c>
      <c r="E162" s="480">
        <f>+'[14]Sch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'[14]Sch C'!D159</f>
        <v>0</v>
      </c>
      <c r="D163" s="480">
        <f>'[14]Sch C'!F159</f>
        <v>0</v>
      </c>
      <c r="E163" s="480">
        <f>+'[14]Sch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'[14]Sch C'!D160</f>
        <v>0</v>
      </c>
      <c r="D164" s="480">
        <f>'[14]Sch C'!F160</f>
        <v>0</v>
      </c>
      <c r="E164" s="480">
        <f>+'[14]Sch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'[14]Sch C'!D161</f>
        <v>2106</v>
      </c>
      <c r="D165" s="480">
        <f>'[14]Sch C'!F161</f>
        <v>0</v>
      </c>
      <c r="E165" s="480">
        <f>+'[14]Sch C'!H161</f>
        <v>0</v>
      </c>
      <c r="F165" s="166">
        <f t="shared" si="53"/>
        <v>2106</v>
      </c>
      <c r="G165" s="626">
        <v>-300</v>
      </c>
      <c r="H165" s="166"/>
      <c r="I165" s="166">
        <f t="shared" si="54"/>
        <v>1806</v>
      </c>
      <c r="J165" s="167">
        <f t="shared" si="55"/>
        <v>3.327930145628531E-4</v>
      </c>
      <c r="K165" s="458"/>
      <c r="L165" s="163"/>
      <c r="M165" s="163"/>
      <c r="O165" s="329">
        <f t="shared" si="43"/>
        <v>7.8388818959156212E-2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2029693</v>
      </c>
      <c r="D166" s="480">
        <f t="shared" si="56"/>
        <v>108620</v>
      </c>
      <c r="E166" s="480">
        <f t="shared" si="56"/>
        <v>44751</v>
      </c>
      <c r="F166" s="166">
        <f t="shared" ref="F166:I166" si="57">SUM(F128:F165)</f>
        <v>2183064</v>
      </c>
      <c r="G166" s="166">
        <f t="shared" si="57"/>
        <v>-598</v>
      </c>
      <c r="H166" s="166">
        <f t="shared" si="57"/>
        <v>0</v>
      </c>
      <c r="I166" s="166">
        <f t="shared" si="57"/>
        <v>2182466</v>
      </c>
      <c r="J166" s="167">
        <f t="shared" si="55"/>
        <v>0.40216469508357239</v>
      </c>
      <c r="K166" s="458"/>
      <c r="L166" s="163"/>
      <c r="M166" s="163"/>
      <c r="O166" s="329">
        <f>I166/I$233</f>
        <v>94.729198315899126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'[14]Sch C'!D175</f>
        <v>0</v>
      </c>
      <c r="D169" s="480">
        <f>'[14]Sch C'!F175</f>
        <v>0</v>
      </c>
      <c r="E169" s="480">
        <f>+'[14]Sch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'[14]Sch C'!D176</f>
        <v>0</v>
      </c>
      <c r="D170" s="480">
        <f>'[14]Sch C'!F176</f>
        <v>0</v>
      </c>
      <c r="E170" s="480">
        <f>+'[14]Sch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'[14]Sch C'!D177</f>
        <v>147399</v>
      </c>
      <c r="D171" s="480">
        <f>'[14]Sch C'!F177</f>
        <v>0</v>
      </c>
      <c r="E171" s="480">
        <f>+'[14]Sch C'!H177</f>
        <v>0</v>
      </c>
      <c r="F171" s="166">
        <f t="shared" si="58"/>
        <v>147399</v>
      </c>
      <c r="G171" s="626"/>
      <c r="H171" s="166"/>
      <c r="I171" s="166">
        <f t="shared" si="59"/>
        <v>147399</v>
      </c>
      <c r="J171" s="167">
        <f t="shared" si="60"/>
        <v>2.7161327549030997E-2</v>
      </c>
      <c r="K171" s="468"/>
      <c r="L171" s="176">
        <v>4602</v>
      </c>
      <c r="M171" s="176">
        <v>4868</v>
      </c>
      <c r="N171" s="208"/>
      <c r="O171" s="329">
        <f t="shared" si="61"/>
        <v>6.3978037241199708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'[14]Sch C'!D178</f>
        <v>20678</v>
      </c>
      <c r="D172" s="480">
        <f>'[14]Sch C'!F178</f>
        <v>9649</v>
      </c>
      <c r="E172" s="480">
        <f>+'[14]Sch C'!H178</f>
        <v>0</v>
      </c>
      <c r="F172" s="166">
        <f t="shared" si="58"/>
        <v>30327</v>
      </c>
      <c r="G172" s="626"/>
      <c r="H172" s="166"/>
      <c r="I172" s="166">
        <f t="shared" si="59"/>
        <v>30327</v>
      </c>
      <c r="J172" s="167">
        <f t="shared" si="60"/>
        <v>5.5883797079998038E-3</v>
      </c>
      <c r="K172" s="469"/>
      <c r="L172" s="212"/>
      <c r="M172" s="212"/>
      <c r="N172" s="208"/>
      <c r="O172" s="329">
        <f t="shared" si="61"/>
        <v>1.3163331741829072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'[14]Sch C'!D179</f>
        <v>32414</v>
      </c>
      <c r="D173" s="480">
        <f>'[14]Sch C'!F179</f>
        <v>0</v>
      </c>
      <c r="E173" s="480">
        <f>+'[14]Sch C'!H179</f>
        <v>0</v>
      </c>
      <c r="F173" s="166">
        <f t="shared" si="58"/>
        <v>32414</v>
      </c>
      <c r="G173" s="626"/>
      <c r="H173" s="166"/>
      <c r="I173" s="166">
        <f t="shared" si="59"/>
        <v>32414</v>
      </c>
      <c r="J173" s="167">
        <f t="shared" si="60"/>
        <v>5.9729528095461351E-3</v>
      </c>
      <c r="K173" s="468"/>
      <c r="L173" s="176">
        <v>796</v>
      </c>
      <c r="M173" s="176">
        <v>823</v>
      </c>
      <c r="N173" s="208"/>
      <c r="O173" s="329">
        <f t="shared" si="61"/>
        <v>1.4069187030687096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'[14]Sch C'!D180</f>
        <v>3708</v>
      </c>
      <c r="D174" s="480">
        <f>'[14]Sch C'!F180</f>
        <v>2122</v>
      </c>
      <c r="E174" s="480">
        <f>+'[14]Sch C'!H180</f>
        <v>0</v>
      </c>
      <c r="F174" s="166">
        <f t="shared" si="58"/>
        <v>5830</v>
      </c>
      <c r="G174" s="626"/>
      <c r="H174" s="166"/>
      <c r="I174" s="166">
        <f t="shared" si="59"/>
        <v>5830</v>
      </c>
      <c r="J174" s="167">
        <f t="shared" si="60"/>
        <v>1.0742986018280362E-3</v>
      </c>
      <c r="K174" s="469"/>
      <c r="L174" s="212"/>
      <c r="M174" s="212"/>
      <c r="N174" s="208"/>
      <c r="O174" s="329">
        <f t="shared" si="61"/>
        <v>0.25304917748166156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'[14]Sch C'!D181</f>
        <v>0</v>
      </c>
      <c r="D175" s="480">
        <f>'[14]Sch C'!F181</f>
        <v>0</v>
      </c>
      <c r="E175" s="480">
        <f>+'[14]Sch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'[14]Sch C'!D182</f>
        <v>0</v>
      </c>
      <c r="D176" s="480">
        <f>'[14]Sch C'!F182</f>
        <v>0</v>
      </c>
      <c r="E176" s="480">
        <f>+'[14]Sch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'[14]Sch C'!D183</f>
        <v>89102</v>
      </c>
      <c r="D177" s="480">
        <f>'[14]Sch C'!F183</f>
        <v>0</v>
      </c>
      <c r="E177" s="480">
        <f>+'[14]Sch C'!H183</f>
        <v>0</v>
      </c>
      <c r="F177" s="166">
        <f t="shared" si="58"/>
        <v>89102</v>
      </c>
      <c r="G177" s="626"/>
      <c r="H177" s="166"/>
      <c r="I177" s="166">
        <f t="shared" si="59"/>
        <v>89102</v>
      </c>
      <c r="J177" s="167">
        <f t="shared" si="60"/>
        <v>1.6418894343067186E-2</v>
      </c>
      <c r="K177" s="468"/>
      <c r="L177" s="176">
        <v>2897</v>
      </c>
      <c r="M177" s="176">
        <v>3095</v>
      </c>
      <c r="N177" s="208"/>
      <c r="O177" s="329">
        <f t="shared" si="61"/>
        <v>3.8674421632883371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'[14]Sch C'!D184</f>
        <v>14269</v>
      </c>
      <c r="D178" s="480">
        <f>'[14]Sch C'!F184</f>
        <v>5833</v>
      </c>
      <c r="E178" s="480">
        <f>+'[14]Sch C'!H184</f>
        <v>0</v>
      </c>
      <c r="F178" s="166">
        <f t="shared" si="58"/>
        <v>20102</v>
      </c>
      <c r="G178" s="626"/>
      <c r="H178" s="166"/>
      <c r="I178" s="166">
        <f t="shared" si="59"/>
        <v>20102</v>
      </c>
      <c r="J178" s="167">
        <f t="shared" si="60"/>
        <v>3.7042110624266184E-3</v>
      </c>
      <c r="K178" s="469"/>
      <c r="L178" s="212"/>
      <c r="M178" s="212"/>
      <c r="N178" s="208"/>
      <c r="O178" s="329">
        <f t="shared" si="61"/>
        <v>0.87252050870263465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'[14]Sch C'!D185</f>
        <v>0</v>
      </c>
      <c r="D179" s="480">
        <f>'[14]Sch C'!F185</f>
        <v>0</v>
      </c>
      <c r="E179" s="480">
        <f>+'[14]Sch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'[14]Sch C'!D186</f>
        <v>0</v>
      </c>
      <c r="D180" s="480">
        <f>'[14]Sch C'!F186</f>
        <v>0</v>
      </c>
      <c r="E180" s="480">
        <f>+'[14]Sch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'[14]Sch C'!D187</f>
        <v>0</v>
      </c>
      <c r="D181" s="480">
        <f>'[14]Sch C'!F187</f>
        <v>0</v>
      </c>
      <c r="E181" s="480">
        <f>+'[14]Sch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'[14]Sch C'!D188</f>
        <v>171</v>
      </c>
      <c r="D182" s="480">
        <f>'[14]Sch C'!F188</f>
        <v>0</v>
      </c>
      <c r="E182" s="480">
        <f>+'[14]Sch C'!H188</f>
        <v>0</v>
      </c>
      <c r="F182" s="166">
        <f t="shared" si="58"/>
        <v>171</v>
      </c>
      <c r="G182" s="626"/>
      <c r="H182" s="166"/>
      <c r="I182" s="166">
        <f t="shared" si="59"/>
        <v>171</v>
      </c>
      <c r="J182" s="167">
        <f t="shared" si="60"/>
        <v>3.1510302043326624E-5</v>
      </c>
      <c r="K182" s="458"/>
      <c r="L182" s="213"/>
      <c r="M182" s="208"/>
      <c r="N182" s="210"/>
      <c r="O182" s="329">
        <f t="shared" si="61"/>
        <v>7.4221971439732623E-3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'[14]Sch C'!D189</f>
        <v>0</v>
      </c>
      <c r="D183" s="480">
        <f>'[14]Sch C'!F189</f>
        <v>0</v>
      </c>
      <c r="E183" s="480">
        <f>+'[14]Sch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'[14]Sch C'!D190</f>
        <v>0</v>
      </c>
      <c r="D184" s="480">
        <f>'[14]Sch C'!F190</f>
        <v>0</v>
      </c>
      <c r="E184" s="480">
        <f>+'[14]Sch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'[14]Sch C'!D191</f>
        <v>0</v>
      </c>
      <c r="D185" s="480">
        <f>'[14]Sch C'!F191</f>
        <v>0</v>
      </c>
      <c r="E185" s="480">
        <f>+'[14]Sch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'[14]Sch C'!D192</f>
        <v>0</v>
      </c>
      <c r="D186" s="480">
        <f>'[14]Sch C'!F192</f>
        <v>0</v>
      </c>
      <c r="E186" s="480">
        <f>+'[14]Sch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'[14]Sch C'!D193</f>
        <v>0</v>
      </c>
      <c r="D187" s="480">
        <f>'[14]Sch C'!F193</f>
        <v>0</v>
      </c>
      <c r="E187" s="480">
        <f>+'[14]Sch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'[14]Sch C'!D194</f>
        <v>0</v>
      </c>
      <c r="D188" s="480">
        <f>'[14]Sch C'!F194</f>
        <v>0</v>
      </c>
      <c r="E188" s="480">
        <f>+'[14]Sch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'[14]Sch C'!D195</f>
        <v>172</v>
      </c>
      <c r="D189" s="480">
        <f>'[14]Sch C'!F195</f>
        <v>0</v>
      </c>
      <c r="E189" s="480">
        <f>+'[14]Sch C'!H195</f>
        <v>0</v>
      </c>
      <c r="F189" s="166">
        <f t="shared" si="58"/>
        <v>172</v>
      </c>
      <c r="G189" s="626"/>
      <c r="H189" s="166"/>
      <c r="I189" s="166">
        <f t="shared" si="59"/>
        <v>172</v>
      </c>
      <c r="J189" s="167">
        <f t="shared" si="60"/>
        <v>3.169457281550982E-5</v>
      </c>
      <c r="K189" s="458"/>
      <c r="L189" s="213"/>
      <c r="M189" s="208"/>
      <c r="O189" s="329">
        <f t="shared" si="61"/>
        <v>7.4656018056339247E-3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'[14]Sch C'!D196</f>
        <v>0</v>
      </c>
      <c r="D190" s="480">
        <f>'[14]Sch C'!F196</f>
        <v>0</v>
      </c>
      <c r="E190" s="480">
        <f>+'[14]Sch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'[14]Sch C'!D197</f>
        <v>0</v>
      </c>
      <c r="D191" s="480">
        <f>'[14]Sch C'!F197</f>
        <v>0</v>
      </c>
      <c r="E191" s="480">
        <f>+'[14]Sch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'[14]Sch C'!D198</f>
        <v>25610</v>
      </c>
      <c r="D192" s="480">
        <f>'[14]Sch C'!F198</f>
        <v>0</v>
      </c>
      <c r="E192" s="480">
        <f>+'[14]Sch C'!H198</f>
        <v>-854</v>
      </c>
      <c r="F192" s="166">
        <f t="shared" si="58"/>
        <v>24756</v>
      </c>
      <c r="G192" s="626"/>
      <c r="H192" s="166"/>
      <c r="I192" s="166">
        <f t="shared" si="59"/>
        <v>24756</v>
      </c>
      <c r="J192" s="167">
        <f t="shared" si="60"/>
        <v>4.5618072361672153E-3</v>
      </c>
      <c r="K192" s="458"/>
      <c r="L192" s="213"/>
      <c r="M192" s="208"/>
      <c r="O192" s="329">
        <f t="shared" si="61"/>
        <v>1.0745258040713572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'[14]Sch C'!D199</f>
        <v>395</v>
      </c>
      <c r="D193" s="480">
        <f>'[14]Sch C'!F199</f>
        <v>0</v>
      </c>
      <c r="E193" s="480">
        <f>+'[14]Sch C'!H199</f>
        <v>0</v>
      </c>
      <c r="F193" s="166">
        <f t="shared" si="58"/>
        <v>395</v>
      </c>
      <c r="G193" s="626"/>
      <c r="H193" s="166"/>
      <c r="I193" s="166">
        <f t="shared" si="59"/>
        <v>395</v>
      </c>
      <c r="J193" s="167">
        <f t="shared" si="60"/>
        <v>7.2786955012362666E-5</v>
      </c>
      <c r="K193" s="458"/>
      <c r="L193" s="213"/>
      <c r="M193" s="208"/>
      <c r="O193" s="329">
        <f t="shared" si="61"/>
        <v>1.7144841355961629E-2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'[14]Sch C'!D200</f>
        <v>0</v>
      </c>
      <c r="D194" s="480">
        <f>'[14]Sch C'!F200</f>
        <v>0</v>
      </c>
      <c r="E194" s="480">
        <f>+'[14]Sch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'[14]Sch C'!D201</f>
        <v>0</v>
      </c>
      <c r="D195" s="480">
        <f>'[14]Sch C'!F201</f>
        <v>0</v>
      </c>
      <c r="E195" s="480">
        <f>+'[14]Sch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'[14]Sch C'!D202</f>
        <v>0</v>
      </c>
      <c r="D196" s="480">
        <f>'[14]Sch C'!F202</f>
        <v>0</v>
      </c>
      <c r="E196" s="480">
        <f>+'[14]Sch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'[14]Sch C'!D203</f>
        <v>0</v>
      </c>
      <c r="D197" s="480">
        <f>'[14]Sch C'!F203</f>
        <v>0</v>
      </c>
      <c r="E197" s="480">
        <f>+'[14]Sch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'[14]Sch C'!D204</f>
        <v>0</v>
      </c>
      <c r="D198" s="480">
        <f>'[14]Sch C'!F204</f>
        <v>0</v>
      </c>
      <c r="E198" s="480">
        <f>+'[14]Sch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'[14]Sch C'!D205</f>
        <v>103858</v>
      </c>
      <c r="D199" s="480">
        <f>'[14]Sch C'!F205</f>
        <v>0</v>
      </c>
      <c r="E199" s="480">
        <f>+'[14]Sch C'!H205</f>
        <v>0</v>
      </c>
      <c r="F199" s="166">
        <f t="shared" si="58"/>
        <v>103858</v>
      </c>
      <c r="G199" s="626"/>
      <c r="H199" s="166"/>
      <c r="I199" s="166">
        <f t="shared" si="59"/>
        <v>103858</v>
      </c>
      <c r="J199" s="167">
        <f t="shared" si="60"/>
        <v>1.9137993857402433E-2</v>
      </c>
      <c r="K199" s="458"/>
      <c r="L199" s="213"/>
      <c r="M199" s="208"/>
      <c r="O199" s="329">
        <f t="shared" si="61"/>
        <v>4.5079213507530707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'[14]Sch C'!D206</f>
        <v>1359</v>
      </c>
      <c r="D200" s="480">
        <f>'[14]Sch C'!F206</f>
        <v>0</v>
      </c>
      <c r="E200" s="480">
        <f>+'[14]Sch C'!H206</f>
        <v>0</v>
      </c>
      <c r="F200" s="166">
        <f t="shared" si="58"/>
        <v>1359</v>
      </c>
      <c r="G200" s="626">
        <v>298</v>
      </c>
      <c r="H200" s="166"/>
      <c r="I200" s="166">
        <f t="shared" si="59"/>
        <v>1657</v>
      </c>
      <c r="J200" s="167">
        <f t="shared" si="60"/>
        <v>3.0533666950755678E-4</v>
      </c>
      <c r="K200" s="458"/>
      <c r="L200" s="213"/>
      <c r="M200" s="208"/>
      <c r="O200" s="329">
        <f t="shared" si="61"/>
        <v>7.1921524371717518E-2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'[14]Sch C'!D207</f>
        <v>4993</v>
      </c>
      <c r="D201" s="480">
        <f>'[14]Sch C'!F207+3295.4</f>
        <v>1.9999999994979589E-4</v>
      </c>
      <c r="E201" s="480">
        <f>+'[14]Sch C'!H207</f>
        <v>0</v>
      </c>
      <c r="F201" s="166">
        <f t="shared" si="58"/>
        <v>4993.0002000000004</v>
      </c>
      <c r="G201" s="626"/>
      <c r="H201" s="166">
        <v>-3295.4</v>
      </c>
      <c r="I201" s="166">
        <f t="shared" si="59"/>
        <v>1697.6002000000003</v>
      </c>
      <c r="J201" s="167">
        <f t="shared" si="60"/>
        <v>3.1281809971234908E-4</v>
      </c>
      <c r="K201" s="458" t="s">
        <v>625</v>
      </c>
      <c r="L201" s="213"/>
      <c r="M201" s="208"/>
      <c r="O201" s="329">
        <f t="shared" si="61"/>
        <v>7.3683762316072765E-2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444128</v>
      </c>
      <c r="D202" s="480">
        <f t="shared" si="62"/>
        <v>17604.000199999999</v>
      </c>
      <c r="E202" s="480">
        <f t="shared" si="62"/>
        <v>-854</v>
      </c>
      <c r="F202" s="166">
        <f t="shared" ref="F202:I202" si="63">SUM(F169:F201)</f>
        <v>460878.00020000001</v>
      </c>
      <c r="G202" s="166">
        <f t="shared" si="63"/>
        <v>298</v>
      </c>
      <c r="H202" s="166">
        <f t="shared" si="63"/>
        <v>-3295.4</v>
      </c>
      <c r="I202" s="166">
        <f t="shared" si="63"/>
        <v>457880.60019999999</v>
      </c>
      <c r="J202" s="167">
        <f>IF($I$213=0,0,I202/$I$213)</f>
        <v>8.4374011766559523E-2</v>
      </c>
      <c r="K202" s="458"/>
      <c r="L202" s="163"/>
      <c r="M202" s="163"/>
      <c r="O202" s="329">
        <f>I202/I$233</f>
        <v>19.874152532662006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'[14]Sch C'!D211</f>
        <v>192482</v>
      </c>
      <c r="D205" s="480">
        <f>'[14]Sch C'!F211</f>
        <v>0</v>
      </c>
      <c r="E205" s="480">
        <f>+'[14]Sch C'!H211</f>
        <v>0</v>
      </c>
      <c r="F205" s="166">
        <f t="shared" ref="F205:F210" si="64">C205+D205+E205</f>
        <v>192482</v>
      </c>
      <c r="G205" s="626">
        <v>-34300</v>
      </c>
      <c r="H205" s="166"/>
      <c r="I205" s="166">
        <f t="shared" ref="I205:I210" si="65">F205+G205+H205</f>
        <v>158182</v>
      </c>
      <c r="J205" s="167">
        <f t="shared" ref="J205:J211" si="66">IF($I$213=0,0,I205/$I$213)</f>
        <v>2.9148319285482407E-2</v>
      </c>
      <c r="K205" s="458"/>
      <c r="L205" s="176">
        <v>10226</v>
      </c>
      <c r="M205" s="176">
        <v>10728</v>
      </c>
      <c r="O205" s="329">
        <f t="shared" ref="O205:O210" si="67">I205/I$233</f>
        <v>6.8658361908068928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'[14]Sch C'!D212</f>
        <v>23491</v>
      </c>
      <c r="D206" s="480">
        <f>'[14]Sch C'!F212</f>
        <v>12601</v>
      </c>
      <c r="E206" s="480">
        <f>+'[14]Sch C'!H212</f>
        <v>0</v>
      </c>
      <c r="F206" s="166">
        <f t="shared" si="64"/>
        <v>36092</v>
      </c>
      <c r="G206" s="626"/>
      <c r="H206" s="166"/>
      <c r="I206" s="166">
        <f t="shared" si="65"/>
        <v>36092</v>
      </c>
      <c r="J206" s="167">
        <f t="shared" si="66"/>
        <v>6.6507007096359323E-3</v>
      </c>
      <c r="K206" s="458"/>
      <c r="L206" s="163"/>
      <c r="M206" s="163"/>
      <c r="O206" s="329">
        <f t="shared" si="67"/>
        <v>1.5665610486566257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'[14]Sch C'!D213</f>
        <v>2105</v>
      </c>
      <c r="D207" s="480">
        <f>'[14]Sch C'!F213</f>
        <v>0</v>
      </c>
      <c r="E207" s="480">
        <f>+'[14]Sch C'!H213</f>
        <v>0</v>
      </c>
      <c r="F207" s="166">
        <f t="shared" si="64"/>
        <v>2105</v>
      </c>
      <c r="G207" s="626"/>
      <c r="H207" s="166"/>
      <c r="I207" s="166">
        <f t="shared" si="65"/>
        <v>2105</v>
      </c>
      <c r="J207" s="167">
        <f t="shared" si="66"/>
        <v>3.8788997544562888E-4</v>
      </c>
      <c r="K207" s="458"/>
      <c r="L207" s="163"/>
      <c r="M207" s="163"/>
      <c r="O207" s="329">
        <f t="shared" si="67"/>
        <v>9.1366812795694252E-2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'[14]Sch C'!D214</f>
        <v>0</v>
      </c>
      <c r="D208" s="480">
        <f>'[14]Sch C'!F214</f>
        <v>0</v>
      </c>
      <c r="E208" s="480">
        <f>+'[14]Sch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'[14]Sch C'!D215</f>
        <v>0</v>
      </c>
      <c r="D209" s="480">
        <f>'[14]Sch C'!F215</f>
        <v>0</v>
      </c>
      <c r="E209" s="480">
        <f>+'[14]Sch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'[14]Sch C'!D216</f>
        <v>31110</v>
      </c>
      <c r="D210" s="480">
        <f>'[14]Sch C'!F216</f>
        <v>0</v>
      </c>
      <c r="E210" s="480">
        <f>+'[14]Sch C'!H216</f>
        <v>-1185</v>
      </c>
      <c r="F210" s="166">
        <f t="shared" si="64"/>
        <v>29925</v>
      </c>
      <c r="G210" s="626">
        <v>-24176</v>
      </c>
      <c r="H210" s="166"/>
      <c r="I210" s="166">
        <f t="shared" si="65"/>
        <v>5749</v>
      </c>
      <c r="J210" s="167">
        <f t="shared" si="66"/>
        <v>1.0593726692811974E-3</v>
      </c>
      <c r="K210" s="458"/>
      <c r="L210" s="163"/>
      <c r="M210" s="163"/>
      <c r="O210" s="329">
        <f t="shared" si="67"/>
        <v>0.24953339988714787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249188</v>
      </c>
      <c r="D211" s="480">
        <f t="shared" si="68"/>
        <v>12601</v>
      </c>
      <c r="E211" s="480">
        <f t="shared" si="68"/>
        <v>-1185</v>
      </c>
      <c r="F211" s="166">
        <f t="shared" ref="F211:I211" si="69">SUM(F205:F210)</f>
        <v>260604</v>
      </c>
      <c r="G211" s="166">
        <f t="shared" si="69"/>
        <v>-58476</v>
      </c>
      <c r="H211" s="166">
        <f t="shared" si="69"/>
        <v>0</v>
      </c>
      <c r="I211" s="166">
        <f t="shared" si="69"/>
        <v>202128</v>
      </c>
      <c r="J211" s="167">
        <f t="shared" si="66"/>
        <v>3.7246282639845169E-2</v>
      </c>
      <c r="K211" s="458"/>
      <c r="L211" s="163"/>
      <c r="M211" s="163"/>
      <c r="O211" s="329">
        <f>I211/I$233</f>
        <v>8.7732974521463607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5787222</v>
      </c>
      <c r="D213" s="480">
        <f t="shared" si="70"/>
        <v>-209127.99979999999</v>
      </c>
      <c r="E213" s="480">
        <f t="shared" si="70"/>
        <v>-98033</v>
      </c>
      <c r="F213" s="166">
        <f t="shared" ref="F213:I213" si="71">SUM(F30:F211)/2</f>
        <v>5480061.0001999997</v>
      </c>
      <c r="G213" s="166">
        <f t="shared" si="71"/>
        <v>79637</v>
      </c>
      <c r="H213" s="166">
        <f t="shared" si="71"/>
        <v>-132901.40000000002</v>
      </c>
      <c r="I213" s="166">
        <f t="shared" si="71"/>
        <v>5426796.6001999993</v>
      </c>
      <c r="J213" s="167">
        <f>IF($I$213=0,0,I213/$I$213)</f>
        <v>1</v>
      </c>
      <c r="K213" s="458"/>
      <c r="L213" s="176">
        <f>SUM(L30:L205)</f>
        <v>140588</v>
      </c>
      <c r="M213" s="176">
        <f>SUM(M30:M205)</f>
        <v>148131</v>
      </c>
      <c r="O213" s="329">
        <f>I213/I$233</f>
        <v>235.54827033291372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'[14]Sch C'!D221</f>
        <v>5787223</v>
      </c>
      <c r="D216" s="188"/>
      <c r="E216" s="188"/>
      <c r="F216" s="160"/>
      <c r="G216" s="160"/>
      <c r="H216" s="410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-1</v>
      </c>
      <c r="D217" s="219"/>
      <c r="E217" s="219"/>
      <c r="F217" s="160"/>
      <c r="G217" s="160"/>
      <c r="H217" s="410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507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484214</v>
      </c>
      <c r="D220" s="480">
        <f t="shared" si="72"/>
        <v>1207876.9997999999</v>
      </c>
      <c r="E220" s="480">
        <f t="shared" si="72"/>
        <v>98033</v>
      </c>
      <c r="F220" s="166">
        <f t="shared" ref="F220:I220" si="73">F26-F213</f>
        <v>1790123.9998000003</v>
      </c>
      <c r="G220" s="166">
        <f t="shared" si="73"/>
        <v>16368</v>
      </c>
      <c r="H220" s="166">
        <f t="shared" si="73"/>
        <v>132901.40000000002</v>
      </c>
      <c r="I220" s="166">
        <f t="shared" si="73"/>
        <v>1939393.3998000007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'[14]Sch D'!C9</f>
        <v>18091</v>
      </c>
      <c r="D224" s="480"/>
      <c r="E224" s="480"/>
      <c r="F224" s="224">
        <f>C224+D224+E224</f>
        <v>18091</v>
      </c>
      <c r="G224" s="627"/>
      <c r="H224" s="223"/>
      <c r="I224" s="224">
        <f>F224+G224+H224</f>
        <v>18091</v>
      </c>
      <c r="J224" s="167">
        <f t="shared" ref="J224:J233" si="74">IF($I$233=0,0,I224/$I$233)</f>
        <v>0.78523373410304265</v>
      </c>
      <c r="K224" s="458"/>
      <c r="L224" s="163"/>
      <c r="M224" s="163"/>
    </row>
    <row r="225" spans="1:13">
      <c r="A225" s="158"/>
      <c r="B225" s="165" t="s">
        <v>201</v>
      </c>
      <c r="C225" s="504">
        <f>'[14]Sch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'[14]Sch D'!E9</f>
        <v>1784</v>
      </c>
      <c r="D226" s="480"/>
      <c r="E226" s="480"/>
      <c r="F226" s="224">
        <f t="shared" si="75"/>
        <v>1784</v>
      </c>
      <c r="G226" s="627"/>
      <c r="H226" s="223"/>
      <c r="I226" s="224">
        <f t="shared" si="76"/>
        <v>1784</v>
      </c>
      <c r="J226" s="167">
        <f t="shared" si="74"/>
        <v>7.7433916402621636E-2</v>
      </c>
      <c r="K226" s="458"/>
      <c r="L226" s="163"/>
      <c r="M226" s="163"/>
    </row>
    <row r="227" spans="1:13">
      <c r="A227" s="158"/>
      <c r="B227" s="194" t="s">
        <v>315</v>
      </c>
      <c r="C227" s="504">
        <f>'[14]Sch D'!F9</f>
        <v>1073</v>
      </c>
      <c r="D227" s="480"/>
      <c r="E227" s="480"/>
      <c r="F227" s="224">
        <f t="shared" si="75"/>
        <v>1073</v>
      </c>
      <c r="G227" s="627"/>
      <c r="H227" s="223"/>
      <c r="I227" s="224">
        <f t="shared" si="76"/>
        <v>1073</v>
      </c>
      <c r="J227" s="167">
        <f t="shared" si="74"/>
        <v>4.6573201961890708E-2</v>
      </c>
      <c r="K227" s="458"/>
      <c r="L227" s="163"/>
      <c r="M227" s="163"/>
    </row>
    <row r="228" spans="1:13">
      <c r="A228" s="158"/>
      <c r="B228" s="165" t="s">
        <v>65</v>
      </c>
      <c r="C228" s="504">
        <f>'[14]Sch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'[14]Sch D'!H9</f>
        <v>298</v>
      </c>
      <c r="D229" s="480"/>
      <c r="E229" s="480"/>
      <c r="F229" s="224">
        <f t="shared" si="75"/>
        <v>298</v>
      </c>
      <c r="G229" s="627"/>
      <c r="H229" s="223"/>
      <c r="I229" s="224">
        <f t="shared" si="76"/>
        <v>298</v>
      </c>
      <c r="J229" s="167">
        <f t="shared" si="74"/>
        <v>1.2934589174877381E-2</v>
      </c>
      <c r="K229" s="458"/>
      <c r="L229" s="163"/>
      <c r="M229" s="163"/>
    </row>
    <row r="230" spans="1:13">
      <c r="A230" s="158"/>
      <c r="B230" s="165" t="s">
        <v>219</v>
      </c>
      <c r="C230" s="504">
        <f>'[14]Sch D'!I9</f>
        <v>930</v>
      </c>
      <c r="D230" s="480"/>
      <c r="E230" s="480"/>
      <c r="F230" s="224">
        <f t="shared" si="75"/>
        <v>930</v>
      </c>
      <c r="G230" s="627"/>
      <c r="H230" s="223"/>
      <c r="I230" s="224">
        <f t="shared" si="76"/>
        <v>930</v>
      </c>
      <c r="J230" s="167">
        <f t="shared" si="74"/>
        <v>4.0366335344415992E-2</v>
      </c>
      <c r="K230" s="458"/>
      <c r="L230" s="163"/>
      <c r="M230" s="163"/>
    </row>
    <row r="231" spans="1:13">
      <c r="A231" s="158"/>
      <c r="B231" s="165" t="s">
        <v>218</v>
      </c>
      <c r="C231" s="504">
        <f>'[14]Sch D'!J9</f>
        <v>31</v>
      </c>
      <c r="D231" s="480"/>
      <c r="E231" s="480"/>
      <c r="F231" s="224">
        <f t="shared" si="75"/>
        <v>31</v>
      </c>
      <c r="G231" s="627"/>
      <c r="H231" s="223"/>
      <c r="I231" s="224">
        <f t="shared" si="76"/>
        <v>31</v>
      </c>
      <c r="J231" s="167">
        <f>IF($I$233=0,0,I231/$I$233)</f>
        <v>1.345544511480533E-3</v>
      </c>
      <c r="K231" s="458"/>
      <c r="L231" s="163"/>
      <c r="M231" s="163"/>
    </row>
    <row r="232" spans="1:13">
      <c r="A232" s="158"/>
      <c r="B232" s="165" t="s">
        <v>170</v>
      </c>
      <c r="C232" s="504">
        <f>'[14]Sch D'!K9</f>
        <v>832</v>
      </c>
      <c r="D232" s="480"/>
      <c r="E232" s="480"/>
      <c r="F232" s="224">
        <f t="shared" si="75"/>
        <v>832</v>
      </c>
      <c r="G232" s="627"/>
      <c r="H232" s="223"/>
      <c r="I232" s="224">
        <f t="shared" si="76"/>
        <v>832</v>
      </c>
      <c r="J232" s="167">
        <f t="shared" si="74"/>
        <v>3.6112678501671082E-2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23039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23039</v>
      </c>
      <c r="G233" s="226">
        <f t="shared" si="78"/>
        <v>0</v>
      </c>
      <c r="H233" s="226">
        <f t="shared" si="78"/>
        <v>0</v>
      </c>
      <c r="I233" s="226">
        <f t="shared" si="78"/>
        <v>23039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'[14]Sch D'!N22</f>
        <v>108</v>
      </c>
      <c r="D236" s="480"/>
      <c r="E236" s="480"/>
      <c r="F236" s="224">
        <f>C236+E236</f>
        <v>108</v>
      </c>
      <c r="G236" s="627"/>
      <c r="H236" s="224"/>
      <c r="I236" s="224">
        <f>F236+G236+H236</f>
        <v>108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'[14]Sch D'!N24</f>
        <v>108</v>
      </c>
      <c r="D237" s="480"/>
      <c r="E237" s="480"/>
      <c r="F237" s="224">
        <f>C237+E237</f>
        <v>108</v>
      </c>
      <c r="G237" s="627"/>
      <c r="H237" s="224"/>
      <c r="I237" s="224">
        <f>F237+G237+H237</f>
        <v>108</v>
      </c>
      <c r="J237" s="162"/>
      <c r="K237" s="460"/>
      <c r="L237" s="163"/>
      <c r="M237" s="163"/>
    </row>
    <row r="238" spans="1:13">
      <c r="A238" s="158"/>
      <c r="B238" s="194" t="s">
        <v>392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510" t="s">
        <v>393</v>
      </c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'[14]Sch D'!N28</f>
        <v>39420</v>
      </c>
      <c r="D240" s="427"/>
      <c r="E240" s="427"/>
      <c r="F240" s="223">
        <f>F236*F238</f>
        <v>39420</v>
      </c>
      <c r="G240"/>
      <c r="H240" s="228"/>
      <c r="I240" s="223">
        <f>I236*I238</f>
        <v>39420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'[14]Sch D'!N30</f>
        <v>0.58444951801116185</v>
      </c>
      <c r="D241" s="228"/>
      <c r="E241" s="228"/>
      <c r="F241" s="232">
        <f>F233/F240</f>
        <v>0.58444951801116185</v>
      </c>
      <c r="G241"/>
      <c r="H241" s="233"/>
      <c r="I241" s="232">
        <f>I233/I240</f>
        <v>0.58444951801116185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'[14]Sch D'!N32</f>
        <v>0.45892947742262813</v>
      </c>
      <c r="D242" s="228"/>
      <c r="E242" s="228"/>
      <c r="F242" s="232">
        <f>(F224+F225)/F240</f>
        <v>0.45892947742262813</v>
      </c>
      <c r="G242"/>
      <c r="H242" s="233"/>
      <c r="I242" s="232">
        <f>(I224+I225)/I240</f>
        <v>0.45892947742262813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'[14]Sch D'!N34</f>
        <v>0.78523373410304265</v>
      </c>
      <c r="D243" s="228"/>
      <c r="E243" s="228"/>
      <c r="F243" s="232">
        <f>(F242/F241)</f>
        <v>0.78523373410304265</v>
      </c>
      <c r="G243"/>
      <c r="H243" s="233"/>
      <c r="I243" s="232">
        <f>(I242/I241)</f>
        <v>0.78523373410304265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 ht="15.5">
      <c r="B246" s="145" t="s">
        <v>320</v>
      </c>
      <c r="F246"/>
      <c r="G246"/>
      <c r="H246" s="140" t="s">
        <v>321</v>
      </c>
      <c r="I246" s="480">
        <f>'[14]Sch B'!C90</f>
        <v>132.83333333333334</v>
      </c>
      <c r="K246" s="460"/>
    </row>
    <row r="247" spans="1:13" ht="15.5">
      <c r="F247"/>
      <c r="G247"/>
      <c r="H247" s="140" t="s">
        <v>322</v>
      </c>
      <c r="I247" s="480">
        <f>'[14]Sch B'!E90</f>
        <v>201.88524590163934</v>
      </c>
      <c r="K247" s="460"/>
    </row>
    <row r="248" spans="1:13" ht="15.5">
      <c r="F248"/>
      <c r="G248"/>
      <c r="H248" s="140" t="s">
        <v>323</v>
      </c>
      <c r="I248" s="480">
        <f>'[14]Sch B'!G90</f>
        <v>331.79310344827587</v>
      </c>
      <c r="K248" s="460"/>
    </row>
    <row r="249" spans="1:13" ht="15.5">
      <c r="F249"/>
      <c r="G249"/>
      <c r="H249" s="140" t="s">
        <v>324</v>
      </c>
      <c r="I249" s="480">
        <f>'[14]Sch B'!I90</f>
        <v>446.29464285714283</v>
      </c>
      <c r="J249"/>
      <c r="K249" s="460"/>
    </row>
    <row r="250" spans="1:13" ht="15.5">
      <c r="F250"/>
      <c r="G250"/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horizontalDpi="300" verticalDpi="300" r:id="rId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5">
    <tabColor rgb="FFE28CAB"/>
  </sheetPr>
  <dimension ref="A1:P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33.7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533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78"/>
      <c r="D1" s="478"/>
      <c r="E1" s="419"/>
      <c r="F1" s="419"/>
      <c r="G1" s="419"/>
      <c r="H1" s="419"/>
      <c r="I1" s="419"/>
      <c r="J1" s="419"/>
      <c r="K1" s="532"/>
    </row>
    <row r="2" spans="1:16" ht="23">
      <c r="B2" s="141" t="s">
        <v>178</v>
      </c>
      <c r="C2" s="234" t="s">
        <v>428</v>
      </c>
      <c r="D2" s="234"/>
      <c r="E2" s="234"/>
      <c r="F2" s="142"/>
      <c r="G2" s="142"/>
    </row>
    <row r="3" spans="1:16" ht="15.5">
      <c r="A3" s="143"/>
      <c r="B3" s="138" t="s">
        <v>71</v>
      </c>
      <c r="C3" s="557">
        <f>'[15]Sch A Pg 1'!B39</f>
        <v>42917</v>
      </c>
      <c r="D3" s="620"/>
      <c r="E3" s="142"/>
      <c r="F3" s="361"/>
      <c r="G3" s="361"/>
      <c r="H3" s="361"/>
      <c r="K3" s="535"/>
    </row>
    <row r="4" spans="1:16" ht="15.5">
      <c r="A4" s="143"/>
      <c r="B4" s="145" t="s">
        <v>72</v>
      </c>
      <c r="C4" s="557">
        <f>'[15]Sch A Pg 1'!G39</f>
        <v>43281</v>
      </c>
      <c r="D4" s="620"/>
      <c r="E4" s="142"/>
      <c r="F4" s="361"/>
      <c r="G4" s="361"/>
      <c r="H4" s="361"/>
      <c r="I4" s="147"/>
      <c r="K4" s="535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534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60"/>
      <c r="K9" s="592"/>
    </row>
    <row r="10" spans="1:16" s="162" customFormat="1" ht="15.5">
      <c r="A10" s="158" t="s">
        <v>228</v>
      </c>
      <c r="B10" s="159" t="s">
        <v>229</v>
      </c>
      <c r="C10" s="492"/>
      <c r="D10" s="492"/>
      <c r="E10" s="160"/>
      <c r="F10" s="160"/>
      <c r="G10" s="160"/>
      <c r="H10"/>
      <c r="I10" s="160"/>
      <c r="J10" s="161"/>
      <c r="K10" s="592"/>
      <c r="L10" s="163"/>
      <c r="M10" s="163"/>
    </row>
    <row r="11" spans="1:16" s="162" customFormat="1" ht="15.5">
      <c r="A11" s="158"/>
      <c r="B11" s="615" t="s">
        <v>511</v>
      </c>
      <c r="C11" s="492"/>
      <c r="D11" s="492"/>
      <c r="E11" s="160"/>
      <c r="F11" s="160"/>
      <c r="G11" s="160"/>
      <c r="H11"/>
      <c r="I11" s="160"/>
      <c r="J11" s="161"/>
      <c r="K11" s="592"/>
      <c r="L11" s="163"/>
      <c r="M11" s="163"/>
    </row>
    <row r="12" spans="1:16" s="162" customFormat="1">
      <c r="A12" s="158"/>
      <c r="B12" s="160" t="s">
        <v>512</v>
      </c>
      <c r="C12" s="480">
        <f>'[15]Sch B'!E10</f>
        <v>3348085</v>
      </c>
      <c r="D12" s="480">
        <f>'[15]Sch B'!G10</f>
        <v>0</v>
      </c>
      <c r="E12" s="480"/>
      <c r="F12" s="166">
        <f>C12+D12+E12</f>
        <v>3348085</v>
      </c>
      <c r="G12" s="626"/>
      <c r="H12" s="166"/>
      <c r="I12" s="166">
        <f>F12+G12+H12</f>
        <v>3348085</v>
      </c>
      <c r="J12" s="167">
        <f>IF($I$26=0,0,I12/$I$26)</f>
        <v>0.40263728229875628</v>
      </c>
      <c r="K12" s="592"/>
      <c r="L12" s="163"/>
      <c r="M12" s="163"/>
    </row>
    <row r="13" spans="1:16" s="162" customFormat="1">
      <c r="A13" s="158"/>
      <c r="B13" s="160" t="s">
        <v>513</v>
      </c>
      <c r="C13" s="480">
        <f>'[15]Sch B'!E12</f>
        <v>1036282</v>
      </c>
      <c r="D13" s="480">
        <f>'[15]Sch B'!G12</f>
        <v>1124134.4397446532</v>
      </c>
      <c r="E13" s="480"/>
      <c r="F13" s="166">
        <f t="shared" ref="F13:F25" si="0">C13+D13+E13</f>
        <v>2160416.4397446532</v>
      </c>
      <c r="G13" s="626">
        <v>44033</v>
      </c>
      <c r="H13" s="166"/>
      <c r="I13" s="166">
        <f t="shared" ref="I13:I25" si="1">F13+G13+H13</f>
        <v>2204449.4397446532</v>
      </c>
      <c r="J13" s="167">
        <f>IF($I$26=0,0,I13/$I$26)</f>
        <v>0.26510483795477208</v>
      </c>
      <c r="K13" s="592"/>
      <c r="L13" s="163"/>
      <c r="M13" s="163"/>
    </row>
    <row r="14" spans="1:16" s="162" customFormat="1">
      <c r="A14" s="158"/>
      <c r="B14" s="160" t="s">
        <v>514</v>
      </c>
      <c r="C14" s="480">
        <f>'[15]Sch B'!E13</f>
        <v>7448</v>
      </c>
      <c r="D14" s="480">
        <f>'[15]Sch B'!G13</f>
        <v>0</v>
      </c>
      <c r="E14" s="480"/>
      <c r="F14" s="166">
        <f t="shared" si="0"/>
        <v>7448</v>
      </c>
      <c r="G14" s="626"/>
      <c r="H14" s="166"/>
      <c r="I14" s="166">
        <f t="shared" si="1"/>
        <v>7448</v>
      </c>
      <c r="J14" s="167">
        <f>IF($I$26=0,0,I14/$I$26)</f>
        <v>8.9568887246325481E-4</v>
      </c>
      <c r="K14" s="592"/>
      <c r="L14" s="163"/>
      <c r="M14" s="163"/>
    </row>
    <row r="15" spans="1:16" s="162" customFormat="1" ht="13.5" thickBot="1">
      <c r="A15" s="158"/>
      <c r="B15" s="160" t="s">
        <v>515</v>
      </c>
      <c r="C15" s="480">
        <f>'[15]Sch B'!E14</f>
        <v>70598</v>
      </c>
      <c r="D15" s="480">
        <f>'[15]Sch B'!G14</f>
        <v>0</v>
      </c>
      <c r="E15" s="480"/>
      <c r="F15" s="166">
        <f t="shared" si="0"/>
        <v>70598</v>
      </c>
      <c r="G15" s="626"/>
      <c r="H15" s="166"/>
      <c r="I15" s="166">
        <f t="shared" si="1"/>
        <v>70598</v>
      </c>
      <c r="J15" s="167">
        <f>IF($I$26=0,0,I15/$I$26)</f>
        <v>8.4900433697852936E-3</v>
      </c>
      <c r="K15" s="592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'[15]Sch B'!E15</f>
        <v>4462413</v>
      </c>
      <c r="D16" s="480">
        <f>'[15]Sch B'!G15</f>
        <v>1124134.4397446532</v>
      </c>
      <c r="E16" s="480"/>
      <c r="F16" s="166">
        <f t="shared" si="0"/>
        <v>5586547.4397446532</v>
      </c>
      <c r="G16" s="626"/>
      <c r="H16" s="166"/>
      <c r="I16" s="166">
        <f>SUM(I12:I15)</f>
        <v>5630580.4397446532</v>
      </c>
      <c r="J16" s="167">
        <f t="shared" ref="J16:J26" si="2">IF($I$26=0,0,I16/$I$26)</f>
        <v>0.67712785249577689</v>
      </c>
      <c r="K16" s="457"/>
      <c r="L16" s="333" t="s">
        <v>325</v>
      </c>
      <c r="M16" s="334">
        <f>I26</f>
        <v>8315387.4397446532</v>
      </c>
      <c r="O16" s="324">
        <f>IFERROR(I16/I224,0)</f>
        <v>312.53221801424587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'[15]Sch B'!E20</f>
        <v>0</v>
      </c>
      <c r="D17" s="480">
        <f>'[15]Sch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6361866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'[15]Sch B'!E26</f>
        <v>873201</v>
      </c>
      <c r="D18" s="480">
        <f>'[15]Sch B'!G26</f>
        <v>0</v>
      </c>
      <c r="E18" s="480"/>
      <c r="F18" s="166">
        <f t="shared" si="0"/>
        <v>873201</v>
      </c>
      <c r="G18" s="626"/>
      <c r="H18" s="166"/>
      <c r="I18" s="166">
        <f t="shared" si="1"/>
        <v>873201</v>
      </c>
      <c r="J18" s="167">
        <f t="shared" si="2"/>
        <v>0.10501026035496598</v>
      </c>
      <c r="K18" s="458"/>
      <c r="L18" s="335" t="s">
        <v>327</v>
      </c>
      <c r="M18" s="336">
        <f>I233</f>
        <v>26166</v>
      </c>
      <c r="O18" s="324">
        <f t="shared" si="3"/>
        <v>559.74423076923074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'[15]Sch B'!E32</f>
        <v>903276.21572840563</v>
      </c>
      <c r="D19" s="480">
        <f>'[15]Sch B'!G32</f>
        <v>0</v>
      </c>
      <c r="E19" s="480"/>
      <c r="F19" s="166">
        <f t="shared" si="0"/>
        <v>903276.21572840563</v>
      </c>
      <c r="G19" s="626"/>
      <c r="H19" s="166"/>
      <c r="I19" s="166">
        <f t="shared" si="1"/>
        <v>903276.21572840563</v>
      </c>
      <c r="J19" s="170">
        <f t="shared" si="2"/>
        <v>0.10862707507903482</v>
      </c>
      <c r="K19" s="464"/>
      <c r="L19" s="335" t="s">
        <v>328</v>
      </c>
      <c r="M19" s="336">
        <f>I236</f>
        <v>120</v>
      </c>
      <c r="O19" s="324">
        <f t="shared" si="3"/>
        <v>423.47689438743816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'[15]Sch B'!E37</f>
        <v>1090</v>
      </c>
      <c r="D20" s="480">
        <f>'[15]Sch B'!G37</f>
        <v>0</v>
      </c>
      <c r="E20" s="480"/>
      <c r="F20" s="166">
        <f t="shared" si="0"/>
        <v>1090</v>
      </c>
      <c r="G20" s="626"/>
      <c r="H20" s="166"/>
      <c r="I20" s="166">
        <f t="shared" si="1"/>
        <v>1090</v>
      </c>
      <c r="J20" s="167">
        <f t="shared" si="2"/>
        <v>1.3108228665211437E-4</v>
      </c>
      <c r="K20" s="591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'[15]Sch B'!E42</f>
        <v>485212</v>
      </c>
      <c r="D21" s="480">
        <f>'[15]Sch B'!G42</f>
        <v>0</v>
      </c>
      <c r="E21" s="480"/>
      <c r="F21" s="166">
        <f t="shared" si="0"/>
        <v>485212</v>
      </c>
      <c r="G21" s="626"/>
      <c r="H21" s="166"/>
      <c r="I21" s="166">
        <f t="shared" si="1"/>
        <v>485212</v>
      </c>
      <c r="J21" s="167">
        <f t="shared" si="2"/>
        <v>5.8351099514720839E-2</v>
      </c>
      <c r="K21" s="457"/>
      <c r="L21" s="337"/>
      <c r="M21" s="336"/>
      <c r="O21" s="324">
        <f t="shared" si="3"/>
        <v>193.69740518962075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'[15]Sch B'!E47</f>
        <v>236952</v>
      </c>
      <c r="D22" s="480">
        <f>'[15]Sch B'!G47</f>
        <v>0</v>
      </c>
      <c r="E22" s="480"/>
      <c r="F22" s="166">
        <f t="shared" si="0"/>
        <v>236952</v>
      </c>
      <c r="G22" s="626"/>
      <c r="H22" s="166"/>
      <c r="I22" s="166">
        <f t="shared" si="1"/>
        <v>236952</v>
      </c>
      <c r="J22" s="167">
        <f t="shared" si="2"/>
        <v>2.8495605492469545E-2</v>
      </c>
      <c r="K22" s="520"/>
      <c r="L22" s="335" t="s">
        <v>148</v>
      </c>
      <c r="M22" s="336">
        <f>L213</f>
        <v>157399</v>
      </c>
      <c r="O22" s="324">
        <f t="shared" si="3"/>
        <v>192.17518248175182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'[15]Sch B'!E52</f>
        <v>100892</v>
      </c>
      <c r="D23" s="480">
        <f>'[15]Sch B'!G52</f>
        <v>0</v>
      </c>
      <c r="E23" s="480"/>
      <c r="F23" s="166">
        <f t="shared" si="0"/>
        <v>100892</v>
      </c>
      <c r="G23" s="626"/>
      <c r="H23" s="166"/>
      <c r="I23" s="166">
        <f t="shared" si="1"/>
        <v>100892</v>
      </c>
      <c r="J23" s="167">
        <f t="shared" si="2"/>
        <v>1.2133168866885433E-2</v>
      </c>
      <c r="K23" s="591"/>
      <c r="L23" s="338" t="s">
        <v>233</v>
      </c>
      <c r="M23" s="339">
        <f>M213</f>
        <v>164619</v>
      </c>
      <c r="O23" s="324">
        <f t="shared" si="3"/>
        <v>192.17523809523809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'[15]Sch B'!E57</f>
        <v>81171.784271594312</v>
      </c>
      <c r="D24" s="480">
        <f>'[15]Sch B'!G57</f>
        <v>0</v>
      </c>
      <c r="E24" s="480"/>
      <c r="F24" s="166">
        <f t="shared" si="0"/>
        <v>81171.784271594312</v>
      </c>
      <c r="G24" s="626"/>
      <c r="H24" s="166"/>
      <c r="I24" s="166">
        <f t="shared" si="1"/>
        <v>81171.784271594312</v>
      </c>
      <c r="J24" s="167">
        <f t="shared" si="2"/>
        <v>9.7616358660116646E-3</v>
      </c>
      <c r="K24" s="593"/>
      <c r="L24" s="163"/>
      <c r="M24" s="163"/>
      <c r="O24" s="324">
        <f t="shared" si="3"/>
        <v>418.41125913192946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'[15]Sch B'!E72</f>
        <v>3012</v>
      </c>
      <c r="D25" s="480">
        <f>'[15]Sch B'!G72</f>
        <v>0</v>
      </c>
      <c r="E25" s="480"/>
      <c r="F25" s="166">
        <f t="shared" si="0"/>
        <v>3012</v>
      </c>
      <c r="G25" s="626"/>
      <c r="H25" s="166"/>
      <c r="I25" s="166">
        <f t="shared" si="1"/>
        <v>3012</v>
      </c>
      <c r="J25" s="167">
        <f t="shared" si="2"/>
        <v>3.6222004348272335E-4</v>
      </c>
      <c r="K25" s="591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7147220</v>
      </c>
      <c r="D26" s="480">
        <f t="shared" ref="D26:F26" si="4">SUM(D16:D25)</f>
        <v>1124134.4397446532</v>
      </c>
      <c r="E26" s="480">
        <f t="shared" si="4"/>
        <v>0</v>
      </c>
      <c r="F26" s="166">
        <f t="shared" si="4"/>
        <v>8271354.4397446532</v>
      </c>
      <c r="G26" s="166">
        <f>SUM(G12:G25)</f>
        <v>44033</v>
      </c>
      <c r="H26" s="166">
        <f>SUM(H12:H25)</f>
        <v>0</v>
      </c>
      <c r="I26" s="166">
        <f>SUM(I16:I25)</f>
        <v>8315387.4397446532</v>
      </c>
      <c r="J26" s="167">
        <f t="shared" si="2"/>
        <v>1</v>
      </c>
      <c r="K26" s="458"/>
      <c r="L26" s="163"/>
      <c r="M26" s="163"/>
      <c r="O26" s="324">
        <f>IFERROR(I26/I233,0)</f>
        <v>317.79360390371676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595"/>
      <c r="K28" s="460"/>
      <c r="O28" s="328"/>
      <c r="P28" s="328"/>
    </row>
    <row r="29" spans="1:16">
      <c r="A29" s="175" t="s">
        <v>153</v>
      </c>
      <c r="B29" s="145" t="s">
        <v>8</v>
      </c>
      <c r="H29" s="362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'[15]Sch C'!D10</f>
        <v>127240</v>
      </c>
      <c r="D30" s="480">
        <f>'[15]Sch C'!F10</f>
        <v>-14978</v>
      </c>
      <c r="E30" s="480">
        <f>+'[15]Sch C'!H10</f>
        <v>0</v>
      </c>
      <c r="F30" s="166">
        <f t="shared" ref="F30:F65" si="5">C30+D30+E30</f>
        <v>112262</v>
      </c>
      <c r="G30" s="626">
        <v>14978</v>
      </c>
      <c r="H30" s="166"/>
      <c r="I30" s="166">
        <f t="shared" ref="I30:I65" si="6">F30+G30+H30</f>
        <v>127240</v>
      </c>
      <c r="J30" s="167">
        <f>IF($I$213=0,0,I30/$I$213)</f>
        <v>2.0000421260051689E-2</v>
      </c>
      <c r="K30" s="458"/>
      <c r="L30" s="176">
        <v>2080</v>
      </c>
      <c r="M30" s="176">
        <v>2080</v>
      </c>
      <c r="O30" s="324">
        <f>I30/I$233</f>
        <v>4.8627990522051521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'[15]Sch C'!D11</f>
        <v>0</v>
      </c>
      <c r="D31" s="480">
        <f>'[15]Sch C'!F11</f>
        <v>0</v>
      </c>
      <c r="E31" s="480">
        <f>+'[15]Sch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'[15]Sch C'!D12</f>
        <v>176778</v>
      </c>
      <c r="D32" s="480">
        <f>'[15]Sch C'!F12</f>
        <v>0</v>
      </c>
      <c r="E32" s="480">
        <f>+'[15]Sch C'!H12</f>
        <v>0</v>
      </c>
      <c r="F32" s="166">
        <f t="shared" si="5"/>
        <v>176778</v>
      </c>
      <c r="G32" s="626"/>
      <c r="H32" s="166"/>
      <c r="I32" s="166">
        <f t="shared" si="6"/>
        <v>176778</v>
      </c>
      <c r="J32" s="167">
        <f t="shared" si="7"/>
        <v>2.7787130379671624E-2</v>
      </c>
      <c r="K32" s="458"/>
      <c r="L32" s="176">
        <v>8753</v>
      </c>
      <c r="M32" s="176">
        <v>9353</v>
      </c>
      <c r="O32" s="324">
        <f t="shared" si="8"/>
        <v>6.7560192616372392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'[15]Sch C'!D13</f>
        <v>240993</v>
      </c>
      <c r="D33" s="480">
        <f>'[15]Sch C'!F13</f>
        <v>-179159</v>
      </c>
      <c r="E33" s="480">
        <f>+'[15]Sch C'!H13</f>
        <v>0</v>
      </c>
      <c r="F33" s="166">
        <f t="shared" si="5"/>
        <v>61834</v>
      </c>
      <c r="G33" s="626"/>
      <c r="H33" s="166"/>
      <c r="I33" s="166">
        <f t="shared" si="6"/>
        <v>61834</v>
      </c>
      <c r="J33" s="167">
        <f t="shared" si="7"/>
        <v>9.719475386623988E-3</v>
      </c>
      <c r="K33" s="458"/>
      <c r="L33" s="163"/>
      <c r="M33" s="163"/>
      <c r="O33" s="324">
        <f t="shared" si="8"/>
        <v>2.363143010012994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'[15]Sch C'!D14</f>
        <v>0</v>
      </c>
      <c r="D34" s="480">
        <f>'[15]Sch C'!F14</f>
        <v>0</v>
      </c>
      <c r="E34" s="480">
        <f>+'[15]Sch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'[15]Sch C'!D15</f>
        <v>0</v>
      </c>
      <c r="D35" s="480">
        <f>'[15]Sch C'!F15</f>
        <v>0</v>
      </c>
      <c r="E35" s="480">
        <f>+'[15]Sch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'[15]Sch C'!D16</f>
        <v>357241</v>
      </c>
      <c r="D36" s="480">
        <f>'[15]Sch C'!F16</f>
        <v>0</v>
      </c>
      <c r="E36" s="480">
        <f>+'[15]Sch C'!H16</f>
        <v>-81754</v>
      </c>
      <c r="F36" s="166">
        <f t="shared" si="5"/>
        <v>275487</v>
      </c>
      <c r="G36" s="626"/>
      <c r="H36" s="166">
        <v>206846</v>
      </c>
      <c r="I36" s="166">
        <f t="shared" si="6"/>
        <v>482333</v>
      </c>
      <c r="J36" s="167">
        <f t="shared" si="7"/>
        <v>7.5816277802770449E-2</v>
      </c>
      <c r="K36" s="458"/>
      <c r="L36" s="163"/>
      <c r="M36" s="163"/>
      <c r="O36" s="324">
        <f t="shared" si="8"/>
        <v>18.433577925552243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'[15]Sch C'!D17</f>
        <v>0</v>
      </c>
      <c r="D37" s="480">
        <f>'[15]Sch C'!F17</f>
        <v>0</v>
      </c>
      <c r="E37" s="480">
        <f>+'[15]Sch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'[15]Sch C'!D18</f>
        <v>6478</v>
      </c>
      <c r="D38" s="480">
        <f>'[15]Sch C'!F18</f>
        <v>0</v>
      </c>
      <c r="E38" s="480">
        <f>+'[15]Sch C'!H18</f>
        <v>0</v>
      </c>
      <c r="F38" s="166">
        <f t="shared" si="5"/>
        <v>6478</v>
      </c>
      <c r="G38" s="626"/>
      <c r="H38" s="166"/>
      <c r="I38" s="166">
        <f t="shared" si="6"/>
        <v>6478</v>
      </c>
      <c r="J38" s="167">
        <f t="shared" si="7"/>
        <v>1.0182547070309246E-3</v>
      </c>
      <c r="K38" s="458"/>
      <c r="L38" s="163"/>
      <c r="M38" s="163"/>
      <c r="O38" s="324">
        <f t="shared" si="8"/>
        <v>0.24757318657800198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'[15]Sch C'!D19</f>
        <v>20014</v>
      </c>
      <c r="D39" s="480">
        <f>'[15]Sch C'!F19</f>
        <v>-1983</v>
      </c>
      <c r="E39" s="480">
        <f>+'[15]Sch C'!H19</f>
        <v>0</v>
      </c>
      <c r="F39" s="166">
        <f t="shared" si="5"/>
        <v>18031</v>
      </c>
      <c r="G39" s="626"/>
      <c r="H39" s="166"/>
      <c r="I39" s="166">
        <f t="shared" si="6"/>
        <v>18031</v>
      </c>
      <c r="J39" s="167">
        <f t="shared" si="7"/>
        <v>2.8342313403017291E-3</v>
      </c>
      <c r="K39" s="458"/>
      <c r="L39" s="163"/>
      <c r="M39" s="163"/>
      <c r="O39" s="324">
        <f t="shared" si="8"/>
        <v>0.68910035924482149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'[15]Sch C'!D20</f>
        <v>19874</v>
      </c>
      <c r="D40" s="480">
        <f>'[15]Sch C'!F20</f>
        <v>0</v>
      </c>
      <c r="E40" s="480">
        <f>+'[15]Sch C'!H20</f>
        <v>0</v>
      </c>
      <c r="F40" s="166">
        <f t="shared" si="5"/>
        <v>19874</v>
      </c>
      <c r="G40" s="626"/>
      <c r="H40" s="166"/>
      <c r="I40" s="166">
        <f t="shared" si="6"/>
        <v>19874</v>
      </c>
      <c r="J40" s="167">
        <f t="shared" si="7"/>
        <v>3.1239262191313051E-3</v>
      </c>
      <c r="K40" s="458"/>
      <c r="L40" s="163"/>
      <c r="M40" s="163"/>
      <c r="O40" s="324">
        <f t="shared" si="8"/>
        <v>0.7595352747840709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'[15]Sch C'!D21</f>
        <v>2022</v>
      </c>
      <c r="D41" s="480">
        <f>'[15]Sch C'!F21</f>
        <v>0</v>
      </c>
      <c r="E41" s="480">
        <f>+'[15]Sch C'!H21</f>
        <v>0</v>
      </c>
      <c r="F41" s="166">
        <f t="shared" si="5"/>
        <v>2022</v>
      </c>
      <c r="G41" s="626"/>
      <c r="H41" s="166"/>
      <c r="I41" s="166">
        <f t="shared" si="6"/>
        <v>2022</v>
      </c>
      <c r="J41" s="167">
        <f t="shared" si="7"/>
        <v>3.1783127780434233E-4</v>
      </c>
      <c r="K41" s="458"/>
      <c r="L41" s="163"/>
      <c r="M41" s="163"/>
      <c r="O41" s="324">
        <f t="shared" si="8"/>
        <v>7.7275854161889479E-2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'[15]Sch C'!D22</f>
        <v>0</v>
      </c>
      <c r="D42" s="480">
        <f>'[15]Sch C'!F22</f>
        <v>0</v>
      </c>
      <c r="E42" s="480">
        <f>+'[15]Sch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'[15]Sch C'!D23</f>
        <v>6122</v>
      </c>
      <c r="D43" s="480">
        <f>'[15]Sch C'!F23</f>
        <v>0</v>
      </c>
      <c r="E43" s="480">
        <f>+'[15]Sch C'!H23</f>
        <v>0</v>
      </c>
      <c r="F43" s="166">
        <f t="shared" si="5"/>
        <v>6122</v>
      </c>
      <c r="G43" s="626"/>
      <c r="H43" s="166"/>
      <c r="I43" s="166">
        <f t="shared" si="6"/>
        <v>6122</v>
      </c>
      <c r="J43" s="167">
        <f t="shared" si="7"/>
        <v>9.6229628225429455E-4</v>
      </c>
      <c r="K43" s="458"/>
      <c r="L43" s="163"/>
      <c r="M43" s="163"/>
      <c r="O43" s="324">
        <f t="shared" si="8"/>
        <v>0.23396774440113124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'[15]Sch C'!D24</f>
        <v>73331</v>
      </c>
      <c r="D44" s="480">
        <f>'[15]Sch C'!F24</f>
        <v>0</v>
      </c>
      <c r="E44" s="480">
        <f>+'[15]Sch C'!H24</f>
        <v>-19161</v>
      </c>
      <c r="F44" s="166">
        <f t="shared" si="5"/>
        <v>54170</v>
      </c>
      <c r="G44" s="626"/>
      <c r="H44" s="166"/>
      <c r="I44" s="166">
        <f t="shared" si="6"/>
        <v>54170</v>
      </c>
      <c r="J44" s="167">
        <f t="shared" si="7"/>
        <v>8.5147973880619308E-3</v>
      </c>
      <c r="K44" s="458"/>
      <c r="L44" s="163"/>
      <c r="M44" s="163"/>
      <c r="O44" s="324">
        <f t="shared" si="8"/>
        <v>2.070243827868226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'[15]Sch C'!D25</f>
        <v>0</v>
      </c>
      <c r="D45" s="480">
        <f>'[15]Sch C'!F25</f>
        <v>0</v>
      </c>
      <c r="E45" s="480">
        <f>+'[15]Sch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'[15]Sch C'!D26</f>
        <v>467413</v>
      </c>
      <c r="D46" s="480">
        <f>'[15]Sch C'!F26</f>
        <v>0</v>
      </c>
      <c r="E46" s="480">
        <f>+'[15]Sch C'!H26</f>
        <v>0</v>
      </c>
      <c r="F46" s="166">
        <f t="shared" si="5"/>
        <v>467413</v>
      </c>
      <c r="G46" s="626"/>
      <c r="H46" s="166"/>
      <c r="I46" s="166">
        <f t="shared" si="6"/>
        <v>467413</v>
      </c>
      <c r="J46" s="167">
        <f t="shared" si="7"/>
        <v>7.3471053932918418E-2</v>
      </c>
      <c r="K46" s="458"/>
      <c r="L46" s="163"/>
      <c r="M46" s="163"/>
      <c r="O46" s="324">
        <f t="shared" si="8"/>
        <v>17.863372315218221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'[15]Sch C'!D27</f>
        <v>0</v>
      </c>
      <c r="D47" s="480">
        <f>'[15]Sch C'!F27</f>
        <v>0</v>
      </c>
      <c r="E47" s="480">
        <f>+'[15]Sch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'[15]Sch C'!D28</f>
        <v>0</v>
      </c>
      <c r="D48" s="480">
        <f>'[15]Sch C'!F28</f>
        <v>0</v>
      </c>
      <c r="E48" s="480">
        <f>+'[15]Sch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'[15]Sch C'!D29</f>
        <v>51851</v>
      </c>
      <c r="D49" s="480">
        <f>'[15]Sch C'!F29</f>
        <v>-51851</v>
      </c>
      <c r="E49" s="480">
        <f>+'[15]Sch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'[15]Sch C'!D30</f>
        <v>0</v>
      </c>
      <c r="D50" s="480">
        <f>'[15]Sch C'!F30</f>
        <v>0</v>
      </c>
      <c r="E50" s="480">
        <f>+'[15]Sch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'[15]Sch C'!D31</f>
        <v>98155</v>
      </c>
      <c r="D51" s="480">
        <f>'[15]Sch C'!F31</f>
        <v>0</v>
      </c>
      <c r="E51" s="480">
        <f>+'[15]Sch C'!H31</f>
        <v>-57509</v>
      </c>
      <c r="F51" s="166">
        <f t="shared" si="5"/>
        <v>40646</v>
      </c>
      <c r="G51" s="626"/>
      <c r="H51" s="166"/>
      <c r="I51" s="166">
        <f t="shared" si="6"/>
        <v>40646</v>
      </c>
      <c r="J51" s="167">
        <f t="shared" si="7"/>
        <v>6.3890059928957948E-3</v>
      </c>
      <c r="K51" s="458"/>
      <c r="L51" s="163"/>
      <c r="M51" s="163"/>
      <c r="O51" s="324">
        <f t="shared" si="8"/>
        <v>1.5533898952839562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'[15]Sch C'!D32</f>
        <v>110843</v>
      </c>
      <c r="D52" s="480">
        <f>'[15]Sch C'!F32</f>
        <v>0</v>
      </c>
      <c r="E52" s="480">
        <f>+'[15]Sch C'!H32</f>
        <v>-49880</v>
      </c>
      <c r="F52" s="166">
        <f t="shared" si="5"/>
        <v>60963</v>
      </c>
      <c r="G52" s="626"/>
      <c r="H52" s="166"/>
      <c r="I52" s="166">
        <f t="shared" si="6"/>
        <v>60963</v>
      </c>
      <c r="J52" s="167">
        <f t="shared" si="7"/>
        <v>9.5825658698249858E-3</v>
      </c>
      <c r="K52" s="458"/>
      <c r="L52" s="163"/>
      <c r="M52" s="163"/>
      <c r="O52" s="324">
        <f t="shared" si="8"/>
        <v>2.3298555377207064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'[15]Sch C'!D33</f>
        <v>66074</v>
      </c>
      <c r="D53" s="480">
        <f>'[15]Sch C'!F33</f>
        <v>-66074</v>
      </c>
      <c r="E53" s="480">
        <f>+'[15]Sch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'[15]Sch C'!D34</f>
        <v>0</v>
      </c>
      <c r="D54" s="480">
        <f>'[15]Sch C'!F34</f>
        <v>0</v>
      </c>
      <c r="E54" s="480">
        <f>+'[15]Sch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'[15]Sch C'!D35</f>
        <v>-99745</v>
      </c>
      <c r="D55" s="480">
        <f>'[15]Sch C'!F35</f>
        <v>99745</v>
      </c>
      <c r="E55" s="480">
        <f>+'[15]Sch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'[15]Sch C'!D36</f>
        <v>1271</v>
      </c>
      <c r="D56" s="480">
        <f>'[15]Sch C'!F36</f>
        <v>0</v>
      </c>
      <c r="E56" s="480">
        <f>+'[15]Sch C'!H36</f>
        <v>0</v>
      </c>
      <c r="F56" s="166">
        <f t="shared" si="5"/>
        <v>1271</v>
      </c>
      <c r="G56" s="626"/>
      <c r="H56" s="166"/>
      <c r="I56" s="166">
        <f t="shared" si="6"/>
        <v>1271</v>
      </c>
      <c r="J56" s="167">
        <f t="shared" si="7"/>
        <v>1.997841513794852E-4</v>
      </c>
      <c r="K56" s="458"/>
      <c r="L56" s="176">
        <v>106</v>
      </c>
      <c r="M56" s="176">
        <v>109</v>
      </c>
      <c r="O56" s="324">
        <f t="shared" si="8"/>
        <v>4.8574485974164944E-2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'[15]Sch C'!D37</f>
        <v>141</v>
      </c>
      <c r="D57" s="480">
        <f>'[15]Sch C'!F37</f>
        <v>91</v>
      </c>
      <c r="E57" s="480">
        <f>+'[15]Sch C'!H37</f>
        <v>0</v>
      </c>
      <c r="F57" s="166">
        <f t="shared" si="5"/>
        <v>232</v>
      </c>
      <c r="G57" s="626"/>
      <c r="H57" s="166"/>
      <c r="I57" s="166">
        <f t="shared" si="6"/>
        <v>232</v>
      </c>
      <c r="J57" s="167">
        <f t="shared" si="7"/>
        <v>3.6467288056680222E-5</v>
      </c>
      <c r="K57" s="458"/>
      <c r="L57" s="163"/>
      <c r="M57" s="163"/>
      <c r="O57" s="324">
        <f t="shared" si="8"/>
        <v>8.8664679354888021E-3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'[15]Sch C'!D38</f>
        <v>0</v>
      </c>
      <c r="D58" s="480">
        <f>'[15]Sch C'!F38</f>
        <v>0</v>
      </c>
      <c r="E58" s="480">
        <f>+'[15]Sch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'[15]Sch C'!D39</f>
        <v>10759</v>
      </c>
      <c r="D59" s="480">
        <f>'[15]Sch C'!F39</f>
        <v>0</v>
      </c>
      <c r="E59" s="480">
        <f>+'[15]Sch C'!H39</f>
        <v>0</v>
      </c>
      <c r="F59" s="166">
        <f t="shared" si="5"/>
        <v>10759</v>
      </c>
      <c r="G59" s="626"/>
      <c r="H59" s="166"/>
      <c r="I59" s="166">
        <f t="shared" si="6"/>
        <v>10759</v>
      </c>
      <c r="J59" s="167">
        <f t="shared" si="7"/>
        <v>1.6911704836285455E-3</v>
      </c>
      <c r="K59" s="458"/>
      <c r="L59" s="163"/>
      <c r="M59" s="163"/>
      <c r="O59" s="324">
        <f t="shared" si="8"/>
        <v>0.41118245050829322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'[15]Sch C'!D40</f>
        <v>1157</v>
      </c>
      <c r="D60" s="480">
        <f>'[15]Sch C'!F40</f>
        <v>0</v>
      </c>
      <c r="E60" s="480">
        <f>+'[15]Sch C'!H40</f>
        <v>0</v>
      </c>
      <c r="F60" s="166">
        <f t="shared" si="5"/>
        <v>1157</v>
      </c>
      <c r="G60" s="626"/>
      <c r="H60" s="166"/>
      <c r="I60" s="166">
        <f t="shared" si="6"/>
        <v>1157</v>
      </c>
      <c r="J60" s="167">
        <f t="shared" si="7"/>
        <v>1.8186488052404751E-4</v>
      </c>
      <c r="K60" s="458"/>
      <c r="L60" s="163"/>
      <c r="M60" s="163"/>
      <c r="O60" s="324">
        <f t="shared" si="8"/>
        <v>4.4217687074829932E-2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'[15]Sch C'!D41</f>
        <v>30704</v>
      </c>
      <c r="D61" s="480">
        <f>'[15]Sch C'!F41</f>
        <v>0</v>
      </c>
      <c r="E61" s="480">
        <f>+'[15]Sch C'!H41</f>
        <v>0</v>
      </c>
      <c r="F61" s="166">
        <f t="shared" si="5"/>
        <v>30704</v>
      </c>
      <c r="G61" s="626"/>
      <c r="H61" s="166"/>
      <c r="I61" s="166">
        <f t="shared" si="6"/>
        <v>30704</v>
      </c>
      <c r="J61" s="167">
        <f t="shared" si="7"/>
        <v>4.8262569503978864E-3</v>
      </c>
      <c r="K61" s="458"/>
      <c r="L61" s="163"/>
      <c r="M61" s="163"/>
      <c r="O61" s="324">
        <f t="shared" si="8"/>
        <v>1.1734311702208973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'[15]Sch C'!D42</f>
        <v>12380</v>
      </c>
      <c r="D62" s="480">
        <f>'[15]Sch C'!F42</f>
        <v>0</v>
      </c>
      <c r="E62" s="480">
        <f>+'[15]Sch C'!H42</f>
        <v>0</v>
      </c>
      <c r="F62" s="166">
        <f t="shared" si="5"/>
        <v>12380</v>
      </c>
      <c r="G62" s="626"/>
      <c r="H62" s="166"/>
      <c r="I62" s="166">
        <f t="shared" si="6"/>
        <v>12380</v>
      </c>
      <c r="J62" s="167">
        <f t="shared" si="7"/>
        <v>1.9459699402659535E-3</v>
      </c>
      <c r="K62" s="458"/>
      <c r="L62" s="163"/>
      <c r="M62" s="163"/>
      <c r="O62" s="324">
        <f t="shared" si="8"/>
        <v>0.47313307345410072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'[15]Sch C'!D43</f>
        <v>19013</v>
      </c>
      <c r="D63" s="480">
        <f>'[15]Sch C'!F43</f>
        <v>0</v>
      </c>
      <c r="E63" s="480">
        <f>+'[15]Sch C'!H43</f>
        <v>0</v>
      </c>
      <c r="F63" s="166">
        <f t="shared" si="5"/>
        <v>19013</v>
      </c>
      <c r="G63" s="626">
        <v>-19013</v>
      </c>
      <c r="H63" s="166"/>
      <c r="I63" s="166">
        <f t="shared" si="6"/>
        <v>0</v>
      </c>
      <c r="J63" s="167">
        <f t="shared" si="7"/>
        <v>0</v>
      </c>
      <c r="K63" s="458" t="s">
        <v>741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'[15]Sch C'!D44</f>
        <v>0</v>
      </c>
      <c r="D64" s="480">
        <f>'[15]Sch C'!F44</f>
        <v>0</v>
      </c>
      <c r="E64" s="480">
        <f>+'[15]Sch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'[15]Sch C'!D45</f>
        <v>-1686</v>
      </c>
      <c r="D65" s="480">
        <f>'[15]Sch C'!F45</f>
        <v>-424</v>
      </c>
      <c r="E65" s="480">
        <f>+'[15]Sch C'!H45</f>
        <v>0</v>
      </c>
      <c r="F65" s="166">
        <f t="shared" si="5"/>
        <v>-2110</v>
      </c>
      <c r="G65" s="626">
        <v>31532</v>
      </c>
      <c r="H65" s="166"/>
      <c r="I65" s="166">
        <f t="shared" si="6"/>
        <v>29422</v>
      </c>
      <c r="J65" s="167">
        <f t="shared" si="7"/>
        <v>4.6247437465674378E-3</v>
      </c>
      <c r="K65" s="457"/>
      <c r="L65" s="163"/>
      <c r="M65" s="163"/>
      <c r="O65" s="324">
        <f t="shared" si="8"/>
        <v>1.1244362913704808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1798423</v>
      </c>
      <c r="D66" s="480">
        <f t="shared" si="9"/>
        <v>-214633</v>
      </c>
      <c r="E66" s="480">
        <f t="shared" si="9"/>
        <v>-208304</v>
      </c>
      <c r="F66" s="166">
        <f t="shared" ref="F66:I66" si="10">SUM(F30:F65)</f>
        <v>1375486</v>
      </c>
      <c r="G66" s="166">
        <f t="shared" si="10"/>
        <v>27497</v>
      </c>
      <c r="H66" s="166">
        <f t="shared" si="10"/>
        <v>206846</v>
      </c>
      <c r="I66" s="166">
        <f t="shared" si="10"/>
        <v>1609829</v>
      </c>
      <c r="J66" s="178">
        <f t="shared" si="7"/>
        <v>0.2530435252801615</v>
      </c>
      <c r="K66" s="465"/>
      <c r="L66" s="163"/>
      <c r="M66" s="163"/>
      <c r="O66" s="329">
        <f>I66/I$233</f>
        <v>61.523694871206906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'[15]Sch C'!D57</f>
        <v>724469</v>
      </c>
      <c r="D69" s="480">
        <f>'[15]Sch C'!F57+724469</f>
        <v>0</v>
      </c>
      <c r="E69" s="480">
        <f>+'[15]Sch C'!H57</f>
        <v>0</v>
      </c>
      <c r="F69" s="166">
        <f>C69+D69+E69</f>
        <v>724469</v>
      </c>
      <c r="G69" s="626"/>
      <c r="H69" s="480">
        <v>-724469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'[15]Sch C'!D58</f>
        <v>1732</v>
      </c>
      <c r="D70" s="480">
        <f>'[15]Sch C'!F58-203611</f>
        <v>0</v>
      </c>
      <c r="E70" s="480">
        <f>+'[15]Sch C'!H58</f>
        <v>0</v>
      </c>
      <c r="F70" s="166">
        <f t="shared" ref="F70:F83" si="13">C70+D70+E70</f>
        <v>1732</v>
      </c>
      <c r="G70" s="626"/>
      <c r="H70" s="480">
        <v>203611</v>
      </c>
      <c r="I70" s="166">
        <f t="shared" ref="I70:I83" si="14">F70+G70+H70</f>
        <v>205343</v>
      </c>
      <c r="J70" s="167">
        <f t="shared" si="11"/>
        <v>3.2277165221650375E-2</v>
      </c>
      <c r="K70" s="458"/>
      <c r="L70" s="182"/>
      <c r="M70" s="163"/>
      <c r="O70" s="324">
        <f t="shared" si="12"/>
        <v>7.8477031261942978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'[15]Sch C'!D59</f>
        <v>0</v>
      </c>
      <c r="D71" s="480">
        <f>'[15]Sch C'!F59</f>
        <v>0</v>
      </c>
      <c r="E71" s="480">
        <f>+'[15]Sch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'[15]Sch C'!D60</f>
        <v>55412</v>
      </c>
      <c r="D72" s="480">
        <f>'[15]Sch C'!F60</f>
        <v>0</v>
      </c>
      <c r="E72" s="480">
        <f>+'[15]Sch C'!H60</f>
        <v>0</v>
      </c>
      <c r="F72" s="166">
        <f t="shared" si="13"/>
        <v>55412</v>
      </c>
      <c r="G72" s="626"/>
      <c r="H72" s="166"/>
      <c r="I72" s="166">
        <f t="shared" si="14"/>
        <v>55412</v>
      </c>
      <c r="J72" s="167">
        <f t="shared" si="11"/>
        <v>8.7100231284343299E-3</v>
      </c>
      <c r="K72" s="458"/>
      <c r="L72" s="185"/>
      <c r="M72" s="163"/>
      <c r="O72" s="324">
        <f t="shared" si="12"/>
        <v>2.1177100053504549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'[15]Sch C'!D61</f>
        <v>8553</v>
      </c>
      <c r="D73" s="480">
        <f>'[15]Sch C'!F61</f>
        <v>0</v>
      </c>
      <c r="E73" s="480">
        <f>+'[15]Sch C'!H61</f>
        <v>0</v>
      </c>
      <c r="F73" s="166">
        <f t="shared" si="13"/>
        <v>8553</v>
      </c>
      <c r="G73" s="626"/>
      <c r="H73" s="166"/>
      <c r="I73" s="166">
        <f t="shared" si="14"/>
        <v>8553</v>
      </c>
      <c r="J73" s="167">
        <f t="shared" si="11"/>
        <v>1.344416873917181E-3</v>
      </c>
      <c r="K73" s="458"/>
      <c r="L73" s="185"/>
      <c r="M73" s="163"/>
      <c r="O73" s="324">
        <f t="shared" si="12"/>
        <v>0.32687457005274018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'[15]Sch C'!D62</f>
        <v>8484</v>
      </c>
      <c r="D74" s="480">
        <f>'[15]Sch C'!F62</f>
        <v>0</v>
      </c>
      <c r="E74" s="480">
        <f>+'[15]Sch C'!H62</f>
        <v>0</v>
      </c>
      <c r="F74" s="166">
        <f t="shared" si="13"/>
        <v>8484</v>
      </c>
      <c r="G74" s="626"/>
      <c r="H74" s="166"/>
      <c r="I74" s="166">
        <f t="shared" si="14"/>
        <v>8484</v>
      </c>
      <c r="J74" s="167">
        <f t="shared" si="11"/>
        <v>1.3335709994520477E-3</v>
      </c>
      <c r="K74" s="458"/>
      <c r="L74" s="187"/>
      <c r="M74" s="163"/>
      <c r="O74" s="324">
        <f t="shared" si="12"/>
        <v>0.32423756019261635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'[15]Sch C'!D63</f>
        <v>0</v>
      </c>
      <c r="D75" s="480">
        <f>'[15]Sch C'!F63</f>
        <v>0</v>
      </c>
      <c r="E75" s="480">
        <f>+'[15]Sch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'[15]Sch C'!D64</f>
        <v>0</v>
      </c>
      <c r="D76" s="480">
        <f>'[15]Sch C'!F64</f>
        <v>0</v>
      </c>
      <c r="E76" s="480">
        <f>+'[15]Sch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'[15]Sch C'!D65</f>
        <v>7177</v>
      </c>
      <c r="D77" s="480">
        <f>'[15]Sch C'!F65</f>
        <v>0</v>
      </c>
      <c r="E77" s="480">
        <f>+'[15]Sch C'!H65</f>
        <v>0</v>
      </c>
      <c r="F77" s="166">
        <f t="shared" si="13"/>
        <v>7177</v>
      </c>
      <c r="G77" s="626"/>
      <c r="H77" s="166"/>
      <c r="I77" s="166">
        <f t="shared" si="14"/>
        <v>7177</v>
      </c>
      <c r="J77" s="167">
        <f t="shared" si="11"/>
        <v>1.1281281309603189E-3</v>
      </c>
      <c r="K77" s="458"/>
      <c r="L77" s="187"/>
      <c r="M77" s="163"/>
      <c r="O77" s="324">
        <f t="shared" si="12"/>
        <v>0.27428724298708246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'[15]Sch C'!D66</f>
        <v>4742</v>
      </c>
      <c r="D78" s="480">
        <f>'[15]Sch C'!F66</f>
        <v>0</v>
      </c>
      <c r="E78" s="480">
        <f>+'[15]Sch C'!H66</f>
        <v>0</v>
      </c>
      <c r="F78" s="166">
        <f t="shared" si="13"/>
        <v>4742</v>
      </c>
      <c r="G78" s="626">
        <v>1580</v>
      </c>
      <c r="H78" s="166"/>
      <c r="I78" s="166">
        <f t="shared" si="14"/>
        <v>6322</v>
      </c>
      <c r="J78" s="167">
        <f t="shared" si="11"/>
        <v>9.937335995445361E-4</v>
      </c>
      <c r="K78" s="458"/>
      <c r="L78" s="187"/>
      <c r="M78" s="163"/>
      <c r="O78" s="324">
        <f t="shared" si="12"/>
        <v>0.24161125124206986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'[15]Sch C'!D67</f>
        <v>66677</v>
      </c>
      <c r="D79" s="480">
        <f>'[15]Sch C'!F67</f>
        <v>-5179</v>
      </c>
      <c r="E79" s="480">
        <f>+'[15]Sch C'!H67</f>
        <v>0</v>
      </c>
      <c r="F79" s="166">
        <f t="shared" si="13"/>
        <v>61498</v>
      </c>
      <c r="G79" s="626"/>
      <c r="H79" s="166"/>
      <c r="I79" s="166">
        <f t="shared" si="14"/>
        <v>61498</v>
      </c>
      <c r="J79" s="167">
        <f t="shared" si="11"/>
        <v>9.6666606935763809E-3</v>
      </c>
      <c r="K79" s="458"/>
      <c r="L79" s="187"/>
      <c r="M79" s="163"/>
      <c r="O79" s="324">
        <f t="shared" si="12"/>
        <v>2.3503019185202172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'[15]Sch C'!D68</f>
        <v>0</v>
      </c>
      <c r="D80" s="480">
        <f>'[15]Sch C'!F68</f>
        <v>0</v>
      </c>
      <c r="E80" s="480">
        <f>+'[15]Sch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'[15]Sch C'!D69</f>
        <v>5858</v>
      </c>
      <c r="D81" s="480">
        <f>'[15]Sch C'!F69</f>
        <v>0</v>
      </c>
      <c r="E81" s="480">
        <f>+'[15]Sch C'!H69</f>
        <v>0</v>
      </c>
      <c r="F81" s="166">
        <f t="shared" si="13"/>
        <v>5858</v>
      </c>
      <c r="G81" s="626"/>
      <c r="H81" s="166"/>
      <c r="I81" s="166">
        <f t="shared" si="14"/>
        <v>5858</v>
      </c>
      <c r="J81" s="167">
        <f t="shared" si="11"/>
        <v>9.2079902343117565E-4</v>
      </c>
      <c r="K81" s="458"/>
      <c r="L81" s="187"/>
      <c r="M81" s="163"/>
      <c r="O81" s="324">
        <f t="shared" si="12"/>
        <v>0.22387831537109226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'[15]Sch C'!D70</f>
        <v>0</v>
      </c>
      <c r="D82" s="480">
        <f>'[15]Sch C'!F70</f>
        <v>0</v>
      </c>
      <c r="E82" s="480">
        <f>+'[15]Sch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'[15]Sch C'!D71</f>
        <v>0</v>
      </c>
      <c r="D83" s="480">
        <f>'[15]Sch C'!F71</f>
        <v>0</v>
      </c>
      <c r="E83" s="480">
        <f>+'[15]Sch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883104</v>
      </c>
      <c r="D84" s="480">
        <f t="shared" si="15"/>
        <v>-5179</v>
      </c>
      <c r="E84" s="480">
        <f t="shared" si="15"/>
        <v>0</v>
      </c>
      <c r="F84" s="166">
        <f t="shared" ref="F84:I84" si="16">SUM(F69:F83)</f>
        <v>877925</v>
      </c>
      <c r="G84" s="166">
        <f t="shared" si="16"/>
        <v>1580</v>
      </c>
      <c r="H84" s="166">
        <f t="shared" si="16"/>
        <v>-520858</v>
      </c>
      <c r="I84" s="166">
        <f t="shared" si="16"/>
        <v>358647</v>
      </c>
      <c r="J84" s="167">
        <f t="shared" si="11"/>
        <v>5.6374497670966348E-2</v>
      </c>
      <c r="K84" s="458"/>
      <c r="L84" s="187"/>
      <c r="M84" s="163"/>
      <c r="O84" s="324">
        <f t="shared" si="12"/>
        <v>13.706603989910571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'[15]Sch C'!D75</f>
        <v>58277</v>
      </c>
      <c r="D87" s="480">
        <f>'[15]Sch C'!F75</f>
        <v>0</v>
      </c>
      <c r="E87" s="480">
        <f>+'[15]Sch C'!H75</f>
        <v>0</v>
      </c>
      <c r="F87" s="166">
        <f t="shared" ref="F87:F97" si="17">C87+D87+E87</f>
        <v>58277</v>
      </c>
      <c r="G87" s="626"/>
      <c r="H87" s="166"/>
      <c r="I87" s="166">
        <f t="shared" ref="I87:I97" si="18">F87+G87+H87</f>
        <v>58277</v>
      </c>
      <c r="J87" s="167">
        <f t="shared" ref="J87:J98" si="19">IF($I$213=0,0,I87/$I$213)</f>
        <v>9.160362698617041E-3</v>
      </c>
      <c r="K87" s="458"/>
      <c r="L87" s="176">
        <v>3471</v>
      </c>
      <c r="M87" s="176">
        <v>3656</v>
      </c>
      <c r="O87" s="324">
        <f t="shared" ref="O87:O97" si="20">I87/I$233</f>
        <v>2.2272032408469005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'[15]Sch C'!D76</f>
        <v>8133</v>
      </c>
      <c r="D88" s="480">
        <f>'[15]Sch C'!F76</f>
        <v>4160</v>
      </c>
      <c r="E88" s="480">
        <f>+'[15]Sch C'!H76</f>
        <v>0</v>
      </c>
      <c r="F88" s="166">
        <f t="shared" si="17"/>
        <v>12293</v>
      </c>
      <c r="G88" s="626"/>
      <c r="H88" s="166"/>
      <c r="I88" s="166">
        <f t="shared" si="18"/>
        <v>12293</v>
      </c>
      <c r="J88" s="167">
        <f t="shared" si="19"/>
        <v>1.9322947072446983E-3</v>
      </c>
      <c r="K88" s="458"/>
      <c r="L88" s="163"/>
      <c r="M88" s="163"/>
      <c r="O88" s="324">
        <f t="shared" si="20"/>
        <v>0.46980814797829246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'[15]Sch C'!D77</f>
        <v>16476</v>
      </c>
      <c r="D89" s="480">
        <f>'[15]Sch C'!F77</f>
        <v>0</v>
      </c>
      <c r="E89" s="480">
        <f>+'[15]Sch C'!H77</f>
        <v>0</v>
      </c>
      <c r="F89" s="166">
        <f t="shared" si="17"/>
        <v>16476</v>
      </c>
      <c r="G89" s="626"/>
      <c r="H89" s="166"/>
      <c r="I89" s="166">
        <f t="shared" si="18"/>
        <v>16476</v>
      </c>
      <c r="J89" s="167">
        <f t="shared" si="19"/>
        <v>2.5898061983701008E-3</v>
      </c>
      <c r="K89" s="458"/>
      <c r="L89" s="163"/>
      <c r="M89" s="163"/>
      <c r="O89" s="324">
        <f t="shared" si="20"/>
        <v>0.62967209355652376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'[15]Sch C'!D78</f>
        <v>0</v>
      </c>
      <c r="D90" s="480">
        <f>'[15]Sch C'!F78</f>
        <v>0</v>
      </c>
      <c r="E90" s="480">
        <f>+'[15]Sch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'[15]Sch C'!D79</f>
        <v>8184</v>
      </c>
      <c r="D91" s="480">
        <f>'[15]Sch C'!F79</f>
        <v>5725</v>
      </c>
      <c r="E91" s="480">
        <f>+'[15]Sch C'!H79</f>
        <v>0</v>
      </c>
      <c r="F91" s="166">
        <f t="shared" si="17"/>
        <v>13909</v>
      </c>
      <c r="G91" s="626"/>
      <c r="H91" s="166"/>
      <c r="I91" s="166">
        <f t="shared" si="18"/>
        <v>13909</v>
      </c>
      <c r="J91" s="167">
        <f t="shared" si="19"/>
        <v>2.18630823094985E-3</v>
      </c>
      <c r="K91" s="458"/>
      <c r="L91" s="163"/>
      <c r="M91" s="163"/>
      <c r="O91" s="324">
        <f t="shared" si="20"/>
        <v>0.53156768325307646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'[15]Sch C'!D80</f>
        <v>39172</v>
      </c>
      <c r="D92" s="480">
        <f>'[15]Sch C'!F80</f>
        <v>0</v>
      </c>
      <c r="E92" s="480">
        <f>+'[15]Sch C'!H80</f>
        <v>0</v>
      </c>
      <c r="F92" s="166">
        <f t="shared" si="17"/>
        <v>39172</v>
      </c>
      <c r="G92" s="626"/>
      <c r="H92" s="166"/>
      <c r="I92" s="166">
        <f t="shared" si="18"/>
        <v>39172</v>
      </c>
      <c r="J92" s="167">
        <f t="shared" si="19"/>
        <v>6.1573129644667147E-3</v>
      </c>
      <c r="K92" s="458"/>
      <c r="L92" s="163"/>
      <c r="M92" s="163"/>
      <c r="O92" s="324">
        <f t="shared" si="20"/>
        <v>1.4970572498662387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'[15]Sch C'!D81</f>
        <v>11823</v>
      </c>
      <c r="D93" s="480">
        <f>'[15]Sch C'!F81</f>
        <v>0</v>
      </c>
      <c r="E93" s="480">
        <f>+'[15]Sch C'!H81</f>
        <v>0</v>
      </c>
      <c r="F93" s="166">
        <f t="shared" si="17"/>
        <v>11823</v>
      </c>
      <c r="G93" s="626"/>
      <c r="H93" s="166"/>
      <c r="I93" s="166">
        <f t="shared" si="18"/>
        <v>11823</v>
      </c>
      <c r="J93" s="167">
        <f t="shared" si="19"/>
        <v>1.8584170116126306E-3</v>
      </c>
      <c r="K93" s="458"/>
      <c r="L93" s="163"/>
      <c r="M93" s="163"/>
      <c r="O93" s="324">
        <f t="shared" si="20"/>
        <v>0.4518459069020867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'[15]Sch C'!D82</f>
        <v>183</v>
      </c>
      <c r="D94" s="480">
        <f>'[15]Sch C'!F82</f>
        <v>0</v>
      </c>
      <c r="E94" s="480">
        <f>+'[15]Sch C'!H82</f>
        <v>0</v>
      </c>
      <c r="F94" s="166">
        <f t="shared" si="17"/>
        <v>183</v>
      </c>
      <c r="G94" s="626"/>
      <c r="H94" s="166"/>
      <c r="I94" s="166">
        <f t="shared" si="18"/>
        <v>183</v>
      </c>
      <c r="J94" s="167">
        <f t="shared" si="19"/>
        <v>2.876514532057104E-5</v>
      </c>
      <c r="K94" s="458"/>
      <c r="L94" s="163"/>
      <c r="M94" s="163"/>
      <c r="O94" s="324">
        <f t="shared" si="20"/>
        <v>6.9938087594588394E-3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'[15]Sch C'!D83</f>
        <v>0</v>
      </c>
      <c r="D95" s="480">
        <f>'[15]Sch C'!F83</f>
        <v>0</v>
      </c>
      <c r="E95" s="480">
        <f>+'[15]Sch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'[15]Sch C'!D84</f>
        <v>107075</v>
      </c>
      <c r="D96" s="480">
        <f>'[15]Sch C'!F84</f>
        <v>0</v>
      </c>
      <c r="E96" s="480">
        <f>+'[15]Sch C'!H84</f>
        <v>0</v>
      </c>
      <c r="F96" s="166">
        <f t="shared" si="17"/>
        <v>107075</v>
      </c>
      <c r="G96" s="626"/>
      <c r="H96" s="166"/>
      <c r="I96" s="166">
        <f t="shared" si="18"/>
        <v>107075</v>
      </c>
      <c r="J96" s="167">
        <f t="shared" si="19"/>
        <v>1.6830753744263082E-2</v>
      </c>
      <c r="K96" s="458"/>
      <c r="L96" s="163"/>
      <c r="M96" s="163"/>
      <c r="O96" s="324">
        <f t="shared" si="20"/>
        <v>4.092142474967515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'[15]Sch C'!D85</f>
        <v>19</v>
      </c>
      <c r="D97" s="480">
        <f>'[15]Sch C'!F85</f>
        <v>0</v>
      </c>
      <c r="E97" s="480">
        <f>+'[15]Sch C'!H85</f>
        <v>0</v>
      </c>
      <c r="F97" s="166">
        <f t="shared" si="17"/>
        <v>19</v>
      </c>
      <c r="G97" s="626"/>
      <c r="H97" s="166"/>
      <c r="I97" s="166">
        <f t="shared" si="18"/>
        <v>19</v>
      </c>
      <c r="J97" s="167">
        <f t="shared" si="19"/>
        <v>2.9865451425729494E-6</v>
      </c>
      <c r="K97" s="458"/>
      <c r="L97" s="163"/>
      <c r="M97" s="163"/>
      <c r="O97" s="324">
        <f t="shared" si="20"/>
        <v>7.2613314988916912E-4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249342</v>
      </c>
      <c r="D98" s="480">
        <f t="shared" si="21"/>
        <v>9885</v>
      </c>
      <c r="E98" s="480">
        <f t="shared" si="21"/>
        <v>0</v>
      </c>
      <c r="F98" s="166">
        <f t="shared" ref="F98:I98" si="22">SUM(F87:F97)</f>
        <v>259227</v>
      </c>
      <c r="G98" s="166">
        <f t="shared" si="22"/>
        <v>0</v>
      </c>
      <c r="H98" s="166">
        <f t="shared" si="22"/>
        <v>0</v>
      </c>
      <c r="I98" s="166">
        <f t="shared" si="22"/>
        <v>259227</v>
      </c>
      <c r="J98" s="167">
        <f t="shared" si="19"/>
        <v>4.074700724598726E-2</v>
      </c>
      <c r="K98" s="458"/>
      <c r="L98" s="163"/>
      <c r="M98" s="163"/>
      <c r="O98" s="329">
        <f>I98/I$233</f>
        <v>9.9070167392799817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'[15]Sch C'!D89</f>
        <v>178252</v>
      </c>
      <c r="D101" s="480">
        <f>'[15]Sch C'!F89</f>
        <v>0</v>
      </c>
      <c r="E101" s="480">
        <f>+'[15]Sch C'!H89</f>
        <v>0</v>
      </c>
      <c r="F101" s="166">
        <f t="shared" ref="F101:F106" si="23">C101+D101+E101</f>
        <v>178252</v>
      </c>
      <c r="G101" s="626"/>
      <c r="H101" s="166"/>
      <c r="I101" s="166">
        <f t="shared" ref="I101:I106" si="24">F101+G101+H101</f>
        <v>178252</v>
      </c>
      <c r="J101" s="167">
        <f t="shared" ref="J101:J107" si="25">IF($I$213=0,0,I101/$I$213)</f>
        <v>2.8018823408100704E-2</v>
      </c>
      <c r="K101" s="458"/>
      <c r="L101" s="176">
        <v>15513</v>
      </c>
      <c r="M101" s="176">
        <v>16395</v>
      </c>
      <c r="O101" s="329">
        <f t="shared" ref="O101:O106" si="26">I101/I$233</f>
        <v>6.812351907054957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'[15]Sch C'!D90</f>
        <v>25780</v>
      </c>
      <c r="D102" s="480">
        <f>'[15]Sch C'!F90</f>
        <v>12724</v>
      </c>
      <c r="E102" s="480">
        <f>+'[15]Sch C'!H90</f>
        <v>0</v>
      </c>
      <c r="F102" s="166">
        <f t="shared" si="23"/>
        <v>38504</v>
      </c>
      <c r="G102" s="626"/>
      <c r="H102" s="166"/>
      <c r="I102" s="166">
        <f t="shared" si="24"/>
        <v>38504</v>
      </c>
      <c r="J102" s="167">
        <f t="shared" si="25"/>
        <v>6.0523123247173075E-3</v>
      </c>
      <c r="K102" s="458"/>
      <c r="L102" s="163"/>
      <c r="M102" s="163"/>
      <c r="O102" s="329">
        <f t="shared" si="26"/>
        <v>1.4715279370175036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'[15]Sch C'!D91</f>
        <v>9083</v>
      </c>
      <c r="D103" s="480">
        <f>'[15]Sch C'!F91</f>
        <v>0</v>
      </c>
      <c r="E103" s="480">
        <f>+'[15]Sch C'!H91</f>
        <v>0</v>
      </c>
      <c r="F103" s="166">
        <f t="shared" si="23"/>
        <v>9083</v>
      </c>
      <c r="G103" s="626"/>
      <c r="H103" s="166"/>
      <c r="I103" s="166">
        <f t="shared" si="24"/>
        <v>9083</v>
      </c>
      <c r="J103" s="167">
        <f t="shared" si="25"/>
        <v>1.4277257647363211E-3</v>
      </c>
      <c r="K103" s="458"/>
      <c r="L103" s="163"/>
      <c r="M103" s="163"/>
      <c r="O103" s="329">
        <f t="shared" si="26"/>
        <v>0.34712986318122757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'[15]Sch C'!D92</f>
        <v>164048</v>
      </c>
      <c r="D104" s="480">
        <f>'[15]Sch C'!F92</f>
        <v>0</v>
      </c>
      <c r="E104" s="480">
        <f>+'[15]Sch C'!H92</f>
        <v>0</v>
      </c>
      <c r="F104" s="166">
        <f t="shared" si="23"/>
        <v>164048</v>
      </c>
      <c r="G104" s="626"/>
      <c r="H104" s="166"/>
      <c r="I104" s="166">
        <f t="shared" si="24"/>
        <v>164048</v>
      </c>
      <c r="J104" s="167">
        <f t="shared" si="25"/>
        <v>2.5786145134147748E-2</v>
      </c>
      <c r="K104" s="458"/>
      <c r="L104" s="163"/>
      <c r="M104" s="163"/>
      <c r="O104" s="329">
        <f t="shared" si="26"/>
        <v>6.2695100512114958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'[15]Sch C'!D93</f>
        <v>20672</v>
      </c>
      <c r="D105" s="480">
        <f>'[15]Sch C'!F93</f>
        <v>0</v>
      </c>
      <c r="E105" s="480">
        <f>+'[15]Sch C'!H93</f>
        <v>0</v>
      </c>
      <c r="F105" s="166">
        <f t="shared" si="23"/>
        <v>20672</v>
      </c>
      <c r="G105" s="626"/>
      <c r="H105" s="166"/>
      <c r="I105" s="166">
        <f t="shared" si="24"/>
        <v>20672</v>
      </c>
      <c r="J105" s="167">
        <f t="shared" si="25"/>
        <v>3.249361115119369E-3</v>
      </c>
      <c r="K105" s="458"/>
      <c r="L105" s="163"/>
      <c r="M105" s="163"/>
      <c r="O105" s="329">
        <f t="shared" si="26"/>
        <v>0.790032867079416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'[15]Sch C'!D94</f>
        <v>0</v>
      </c>
      <c r="D106" s="480">
        <f>'[15]Sch C'!F94</f>
        <v>0</v>
      </c>
      <c r="E106" s="480">
        <f>+'[15]Sch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397835</v>
      </c>
      <c r="D107" s="480">
        <f t="shared" si="27"/>
        <v>12724</v>
      </c>
      <c r="E107" s="480">
        <f t="shared" si="27"/>
        <v>0</v>
      </c>
      <c r="F107" s="166">
        <f t="shared" ref="F107:I107" si="28">SUM(F101:F106)</f>
        <v>410559</v>
      </c>
      <c r="G107" s="166">
        <f t="shared" si="28"/>
        <v>0</v>
      </c>
      <c r="H107" s="166">
        <f t="shared" si="28"/>
        <v>0</v>
      </c>
      <c r="I107" s="166">
        <f t="shared" si="28"/>
        <v>410559</v>
      </c>
      <c r="J107" s="167">
        <f t="shared" si="25"/>
        <v>6.4534367746821447E-2</v>
      </c>
      <c r="K107" s="458"/>
      <c r="L107" s="163"/>
      <c r="M107" s="163"/>
      <c r="O107" s="329">
        <f>I107/I$233</f>
        <v>15.6905526255446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'[15]Sch C'!D98</f>
        <v>27293</v>
      </c>
      <c r="D110" s="480">
        <f>'[15]Sch C'!F98</f>
        <v>0</v>
      </c>
      <c r="E110" s="480">
        <f>+'[15]Sch C'!H98</f>
        <v>0</v>
      </c>
      <c r="F110" s="166">
        <f t="shared" ref="F110:F115" si="29">C110+D110+E110</f>
        <v>27293</v>
      </c>
      <c r="G110" s="626"/>
      <c r="H110" s="166"/>
      <c r="I110" s="166">
        <f t="shared" ref="I110:I115" si="30">F110+G110+H110</f>
        <v>27293</v>
      </c>
      <c r="J110" s="167">
        <f t="shared" ref="J110:J116" si="31">IF($I$213=0,0,I110/$I$213)</f>
        <v>4.2900935040128168E-3</v>
      </c>
      <c r="K110" s="458"/>
      <c r="L110" s="176">
        <v>2688</v>
      </c>
      <c r="M110" s="176">
        <v>2803</v>
      </c>
      <c r="O110" s="329">
        <f t="shared" ref="O110:O115" si="32">I110/I$233</f>
        <v>1.0430711610486891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'[15]Sch C'!D99</f>
        <v>3873</v>
      </c>
      <c r="D111" s="480">
        <f>'[15]Sch C'!F99</f>
        <v>1948</v>
      </c>
      <c r="E111" s="480">
        <f>+'[15]Sch C'!H99</f>
        <v>0</v>
      </c>
      <c r="F111" s="166">
        <f t="shared" si="29"/>
        <v>5821</v>
      </c>
      <c r="G111" s="626"/>
      <c r="H111" s="166"/>
      <c r="I111" s="166">
        <f t="shared" si="30"/>
        <v>5821</v>
      </c>
      <c r="J111" s="167">
        <f t="shared" si="31"/>
        <v>9.1498311973248106E-4</v>
      </c>
      <c r="K111" s="458"/>
      <c r="L111" s="163"/>
      <c r="M111" s="163"/>
      <c r="O111" s="329">
        <f t="shared" si="32"/>
        <v>0.2224642666055186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'[15]Sch C'!D100</f>
        <v>5543</v>
      </c>
      <c r="D112" s="480">
        <f>'[15]Sch C'!F100</f>
        <v>0</v>
      </c>
      <c r="E112" s="480">
        <f>+'[15]Sch C'!H100</f>
        <v>0</v>
      </c>
      <c r="F112" s="166">
        <f t="shared" si="29"/>
        <v>5543</v>
      </c>
      <c r="G112" s="626"/>
      <c r="H112" s="166"/>
      <c r="I112" s="166">
        <f t="shared" si="30"/>
        <v>5543</v>
      </c>
      <c r="J112" s="167">
        <f t="shared" si="31"/>
        <v>8.7128524869904526E-4</v>
      </c>
      <c r="K112" s="458"/>
      <c r="L112" s="163"/>
      <c r="M112" s="163"/>
      <c r="O112" s="329">
        <f t="shared" si="32"/>
        <v>0.21183979209661394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'[15]Sch C'!D101</f>
        <v>122</v>
      </c>
      <c r="D113" s="480">
        <f>'[15]Sch C'!F101</f>
        <v>0</v>
      </c>
      <c r="E113" s="480">
        <f>+'[15]Sch C'!H101</f>
        <v>0</v>
      </c>
      <c r="F113" s="166">
        <f t="shared" si="29"/>
        <v>122</v>
      </c>
      <c r="G113" s="626"/>
      <c r="H113" s="166"/>
      <c r="I113" s="166">
        <f t="shared" si="30"/>
        <v>122</v>
      </c>
      <c r="J113" s="167">
        <f t="shared" si="31"/>
        <v>1.917676354704736E-5</v>
      </c>
      <c r="K113" s="458"/>
      <c r="L113" s="163"/>
      <c r="M113" s="163"/>
      <c r="O113" s="329">
        <f t="shared" si="32"/>
        <v>4.6625391729725602E-3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'[15]Sch C'!D102</f>
        <v>3919</v>
      </c>
      <c r="D114" s="480">
        <f>'[15]Sch C'!F102</f>
        <v>0</v>
      </c>
      <c r="E114" s="480">
        <f>+'[15]Sch C'!H102</f>
        <v>0</v>
      </c>
      <c r="F114" s="166">
        <f t="shared" si="29"/>
        <v>3919</v>
      </c>
      <c r="G114" s="626"/>
      <c r="H114" s="166"/>
      <c r="I114" s="166">
        <f t="shared" si="30"/>
        <v>3919</v>
      </c>
      <c r="J114" s="167">
        <f t="shared" si="31"/>
        <v>6.1601423230228365E-4</v>
      </c>
      <c r="K114" s="458"/>
      <c r="L114" s="163"/>
      <c r="M114" s="163"/>
      <c r="O114" s="329">
        <f t="shared" si="32"/>
        <v>0.14977451654819232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'[15]Sch C'!D103</f>
        <v>0</v>
      </c>
      <c r="D115" s="480">
        <f>'[15]Sch C'!F103</f>
        <v>0</v>
      </c>
      <c r="E115" s="480">
        <f>+'[15]Sch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40750</v>
      </c>
      <c r="D116" s="480">
        <f t="shared" si="33"/>
        <v>1948</v>
      </c>
      <c r="E116" s="480">
        <f t="shared" si="33"/>
        <v>0</v>
      </c>
      <c r="F116" s="166">
        <f t="shared" ref="F116:I116" si="34">SUM(F110:F115)</f>
        <v>42698</v>
      </c>
      <c r="G116" s="166">
        <f t="shared" si="34"/>
        <v>0</v>
      </c>
      <c r="H116" s="166">
        <f t="shared" si="34"/>
        <v>0</v>
      </c>
      <c r="I116" s="166">
        <f t="shared" si="34"/>
        <v>42698</v>
      </c>
      <c r="J116" s="167">
        <f t="shared" si="31"/>
        <v>6.7115528682936739E-3</v>
      </c>
      <c r="K116" s="458"/>
      <c r="L116" s="163"/>
      <c r="M116" s="163"/>
      <c r="O116" s="329">
        <f>I116/I$233</f>
        <v>1.6318122754719866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'[15]Sch C'!D115</f>
        <v>111989</v>
      </c>
      <c r="D119" s="480">
        <f>'[15]Sch C'!F115</f>
        <v>0</v>
      </c>
      <c r="E119" s="480">
        <f>+'[15]Sch C'!H115</f>
        <v>0</v>
      </c>
      <c r="F119" s="166">
        <f t="shared" ref="F119:F123" si="35">C119+D119+E119</f>
        <v>111989</v>
      </c>
      <c r="G119" s="626"/>
      <c r="H119" s="166"/>
      <c r="I119" s="166">
        <f t="shared" ref="I119:I123" si="36">F119+G119+H119</f>
        <v>111989</v>
      </c>
      <c r="J119" s="167">
        <f t="shared" ref="J119:J124" si="37">IF($I$213=0,0,I119/$I$213)</f>
        <v>1.7603168630084317E-2</v>
      </c>
      <c r="K119" s="458"/>
      <c r="L119" s="176">
        <v>9584</v>
      </c>
      <c r="M119" s="176">
        <v>10057</v>
      </c>
      <c r="O119" s="329">
        <f t="shared" ref="O119:O124" si="38">I119/I$233</f>
        <v>4.2799434380493775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'[15]Sch C'!D116</f>
        <v>14615</v>
      </c>
      <c r="D120" s="480">
        <f>'[15]Sch C'!F116</f>
        <v>7994</v>
      </c>
      <c r="E120" s="480">
        <f>+'[15]Sch C'!H116</f>
        <v>0</v>
      </c>
      <c r="F120" s="166">
        <f t="shared" si="35"/>
        <v>22609</v>
      </c>
      <c r="G120" s="626"/>
      <c r="H120" s="166"/>
      <c r="I120" s="166">
        <f t="shared" si="36"/>
        <v>22609</v>
      </c>
      <c r="J120" s="167">
        <f t="shared" si="37"/>
        <v>3.5538315330753585E-3</v>
      </c>
      <c r="K120" s="458"/>
      <c r="L120" s="163"/>
      <c r="M120" s="163"/>
      <c r="O120" s="329">
        <f t="shared" si="38"/>
        <v>0.8640602308339066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'[15]Sch C'!D117</f>
        <v>18351</v>
      </c>
      <c r="D121" s="480">
        <f>'[15]Sch C'!F117</f>
        <v>0</v>
      </c>
      <c r="E121" s="480">
        <f>+'[15]Sch C'!H117</f>
        <v>0</v>
      </c>
      <c r="F121" s="166">
        <f t="shared" si="35"/>
        <v>18351</v>
      </c>
      <c r="G121" s="626"/>
      <c r="H121" s="166"/>
      <c r="I121" s="166">
        <f t="shared" si="36"/>
        <v>18351</v>
      </c>
      <c r="J121" s="167">
        <f t="shared" si="37"/>
        <v>2.8845310479661155E-3</v>
      </c>
      <c r="K121" s="458"/>
      <c r="L121" s="163"/>
      <c r="M121" s="163"/>
      <c r="O121" s="329">
        <f t="shared" si="38"/>
        <v>0.70132997019032328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'[15]Sch C'!D118</f>
        <v>1032</v>
      </c>
      <c r="D122" s="480">
        <f>'[15]Sch C'!F118</f>
        <v>0</v>
      </c>
      <c r="E122" s="480">
        <f>+'[15]Sch C'!H118</f>
        <v>0</v>
      </c>
      <c r="F122" s="166">
        <f t="shared" si="35"/>
        <v>1032</v>
      </c>
      <c r="G122" s="626"/>
      <c r="H122" s="166"/>
      <c r="I122" s="166">
        <f t="shared" si="36"/>
        <v>1032</v>
      </c>
      <c r="J122" s="167">
        <f t="shared" si="37"/>
        <v>1.6221655721764653E-4</v>
      </c>
      <c r="K122" s="458"/>
      <c r="L122" s="163"/>
      <c r="M122" s="163"/>
      <c r="O122" s="329">
        <f t="shared" si="38"/>
        <v>3.9440495299243296E-2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'[15]Sch C'!D119</f>
        <v>0</v>
      </c>
      <c r="D123" s="480">
        <f>'[15]Sch C'!F119</f>
        <v>0</v>
      </c>
      <c r="E123" s="480">
        <f>+'[15]Sch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145987</v>
      </c>
      <c r="D124" s="480">
        <f t="shared" si="39"/>
        <v>7994</v>
      </c>
      <c r="E124" s="480">
        <f t="shared" si="39"/>
        <v>0</v>
      </c>
      <c r="F124" s="166">
        <f t="shared" ref="F124:I124" si="40">SUM(F119:F123)</f>
        <v>153981</v>
      </c>
      <c r="G124" s="166">
        <f t="shared" si="40"/>
        <v>0</v>
      </c>
      <c r="H124" s="166">
        <f t="shared" si="40"/>
        <v>0</v>
      </c>
      <c r="I124" s="166">
        <f t="shared" si="40"/>
        <v>153981</v>
      </c>
      <c r="J124" s="167">
        <f t="shared" si="37"/>
        <v>2.4203747768343439E-2</v>
      </c>
      <c r="K124" s="458"/>
      <c r="L124" s="163"/>
      <c r="M124" s="163"/>
      <c r="O124" s="329">
        <f t="shared" si="38"/>
        <v>5.8847741343728499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'[15]Sch C'!D124</f>
        <v>0</v>
      </c>
      <c r="D128" s="480">
        <f>'[15]Sch C'!F124</f>
        <v>0</v>
      </c>
      <c r="E128" s="480">
        <f>+'[15]Sch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'[15]Sch C'!D125</f>
        <v>196333</v>
      </c>
      <c r="D129" s="480">
        <f>'[15]Sch C'!F125</f>
        <v>0</v>
      </c>
      <c r="E129" s="480">
        <f>+'[15]Sch C'!H125</f>
        <v>73136</v>
      </c>
      <c r="F129" s="166">
        <f t="shared" si="41"/>
        <v>269469</v>
      </c>
      <c r="G129" s="626"/>
      <c r="H129" s="166"/>
      <c r="I129" s="166">
        <f t="shared" si="42"/>
        <v>269469</v>
      </c>
      <c r="J129" s="167">
        <f>IF($I$213=0,0,I129/$I$213)</f>
        <v>4.2356912264420531E-2</v>
      </c>
      <c r="K129" s="458"/>
      <c r="L129" s="176">
        <v>6285</v>
      </c>
      <c r="M129" s="176">
        <v>6649</v>
      </c>
      <c r="O129" s="329">
        <f t="shared" si="43"/>
        <v>10.298440724604449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'[15]Sch C'!D126</f>
        <v>64012</v>
      </c>
      <c r="D130" s="480">
        <f>'[15]Sch C'!F126</f>
        <v>0</v>
      </c>
      <c r="E130" s="480">
        <f>+'[15]Sch C'!H126</f>
        <v>0</v>
      </c>
      <c r="F130" s="166">
        <f t="shared" si="41"/>
        <v>64012</v>
      </c>
      <c r="G130" s="626"/>
      <c r="H130" s="166"/>
      <c r="I130" s="166">
        <f t="shared" si="42"/>
        <v>64012</v>
      </c>
      <c r="J130" s="167">
        <f>IF($I$213=0,0,I130/$I$213)</f>
        <v>1.0061827771914719E-2</v>
      </c>
      <c r="K130" s="458"/>
      <c r="L130" s="176">
        <v>1936</v>
      </c>
      <c r="M130" s="176">
        <v>2110</v>
      </c>
      <c r="O130" s="329">
        <f t="shared" si="43"/>
        <v>2.4463807995108158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'[15]Sch C'!D127</f>
        <v>0</v>
      </c>
      <c r="D131" s="480">
        <f>'[15]Sch C'!F127</f>
        <v>0</v>
      </c>
      <c r="E131" s="480">
        <f>+'[15]Sch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'[15]Sch C'!D128</f>
        <v>49627</v>
      </c>
      <c r="D132" s="480">
        <f>'[15]Sch C'!F128</f>
        <v>0</v>
      </c>
      <c r="E132" s="480">
        <f>+'[15]Sch C'!H128</f>
        <v>0</v>
      </c>
      <c r="F132" s="166">
        <f t="shared" si="41"/>
        <v>49627</v>
      </c>
      <c r="G132" s="626"/>
      <c r="H132" s="166"/>
      <c r="I132" s="166">
        <f t="shared" si="42"/>
        <v>49627</v>
      </c>
      <c r="J132" s="167">
        <f>IF($I$213=0,0,I132/$I$213)</f>
        <v>7.8006987258140929E-3</v>
      </c>
      <c r="K132" s="458"/>
      <c r="L132" s="176">
        <v>2726</v>
      </c>
      <c r="M132" s="176">
        <v>2916</v>
      </c>
      <c r="O132" s="329">
        <f t="shared" si="43"/>
        <v>1.8966215699763052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'[15]Sch C'!D130</f>
        <v>0</v>
      </c>
      <c r="D134" s="480">
        <f>'[15]Sch C'!F130</f>
        <v>0</v>
      </c>
      <c r="E134" s="480">
        <f>+'[15]Sch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'[15]Sch C'!D131</f>
        <v>0</v>
      </c>
      <c r="D135" s="480">
        <f>'[15]Sch C'!F131</f>
        <v>14014</v>
      </c>
      <c r="E135" s="480">
        <f>+'[15]Sch C'!H131</f>
        <v>8618</v>
      </c>
      <c r="F135" s="166">
        <f t="shared" si="44"/>
        <v>22632</v>
      </c>
      <c r="G135" s="626">
        <v>35027</v>
      </c>
      <c r="H135" s="166"/>
      <c r="I135" s="166">
        <f t="shared" si="45"/>
        <v>57659</v>
      </c>
      <c r="J135" s="167">
        <f>IF($I$213=0,0,I135/$I$213)</f>
        <v>9.063221388190195E-3</v>
      </c>
      <c r="K135" s="458"/>
      <c r="L135" s="196"/>
      <c r="M135" s="196"/>
      <c r="O135" s="329">
        <f t="shared" si="43"/>
        <v>2.2035848047084001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'[15]Sch C'!D132</f>
        <v>0</v>
      </c>
      <c r="D136" s="480">
        <f>'[15]Sch C'!F132</f>
        <v>4569</v>
      </c>
      <c r="E136" s="480">
        <f>+'[15]Sch C'!H132</f>
        <v>0</v>
      </c>
      <c r="F136" s="166">
        <f t="shared" si="44"/>
        <v>4569</v>
      </c>
      <c r="G136" s="626">
        <v>8321</v>
      </c>
      <c r="H136" s="166"/>
      <c r="I136" s="166">
        <f t="shared" si="45"/>
        <v>12890</v>
      </c>
      <c r="J136" s="167">
        <f>IF($I$213=0,0,I136/$I$213)</f>
        <v>2.0261350993560695E-3</v>
      </c>
      <c r="K136" s="458"/>
      <c r="L136" s="163"/>
      <c r="M136" s="163"/>
      <c r="O136" s="329">
        <f t="shared" si="43"/>
        <v>0.49262401589849425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'[15]Sch C'!D133</f>
        <v>0</v>
      </c>
      <c r="D137" s="480">
        <f>'[15]Sch C'!F133</f>
        <v>0</v>
      </c>
      <c r="E137" s="480">
        <f>+'[15]Sch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'[15]Sch C'!D134</f>
        <v>0</v>
      </c>
      <c r="D138" s="480">
        <f>'[15]Sch C'!F134</f>
        <v>3542</v>
      </c>
      <c r="E138" s="480">
        <f>+'[15]Sch C'!H134</f>
        <v>0</v>
      </c>
      <c r="F138" s="166">
        <f t="shared" si="44"/>
        <v>3542</v>
      </c>
      <c r="G138" s="626">
        <v>6451</v>
      </c>
      <c r="H138" s="166"/>
      <c r="I138" s="166">
        <f t="shared" si="45"/>
        <v>9993</v>
      </c>
      <c r="J138" s="167">
        <f>IF($I$213=0,0,I138/$I$213)</f>
        <v>1.5707655584069203E-3</v>
      </c>
      <c r="K138" s="458"/>
      <c r="L138" s="163"/>
      <c r="M138" s="163"/>
      <c r="O138" s="329">
        <f t="shared" si="43"/>
        <v>0.38190781930749829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'[15]Sch C'!D136</f>
        <v>451248</v>
      </c>
      <c r="D140" s="480">
        <f>'[15]Sch C'!F136</f>
        <v>0</v>
      </c>
      <c r="E140" s="480">
        <f>+'[15]Sch C'!H136</f>
        <v>0</v>
      </c>
      <c r="F140" s="166">
        <f t="shared" ref="F140:F143" si="46">C140+D140+E140</f>
        <v>451248</v>
      </c>
      <c r="G140" s="626"/>
      <c r="H140" s="166"/>
      <c r="I140" s="166">
        <f t="shared" ref="I140:I143" si="47">F140+G140+H140</f>
        <v>451248</v>
      </c>
      <c r="J140" s="167">
        <f>IF($I$213=0,0,I140/$I$213)</f>
        <v>7.0930132762934653E-2</v>
      </c>
      <c r="K140" s="458"/>
      <c r="L140" s="176">
        <v>15276</v>
      </c>
      <c r="M140" s="176">
        <v>16100</v>
      </c>
      <c r="O140" s="329">
        <f t="shared" si="43"/>
        <v>17.245585874799357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'[15]Sch C'!D137</f>
        <v>375077</v>
      </c>
      <c r="D141" s="480">
        <f>'[15]Sch C'!F137</f>
        <v>0</v>
      </c>
      <c r="E141" s="480">
        <f>+'[15]Sch C'!H137</f>
        <v>0</v>
      </c>
      <c r="F141" s="166">
        <f t="shared" si="46"/>
        <v>375077</v>
      </c>
      <c r="G141" s="626"/>
      <c r="H141" s="166"/>
      <c r="I141" s="166">
        <f t="shared" si="47"/>
        <v>375077</v>
      </c>
      <c r="J141" s="167">
        <f>IF($I$213=0,0,I141/$I$213)</f>
        <v>5.8957073286359692E-2</v>
      </c>
      <c r="K141" s="458"/>
      <c r="L141" s="176">
        <v>13564</v>
      </c>
      <c r="M141" s="176">
        <v>14332</v>
      </c>
      <c r="O141" s="329">
        <f t="shared" si="43"/>
        <v>14.334518076893678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'[15]Sch C'!D138</f>
        <v>572250</v>
      </c>
      <c r="D142" s="480">
        <f>'[15]Sch C'!F138</f>
        <v>0</v>
      </c>
      <c r="E142" s="480">
        <f>+'[15]Sch C'!H138</f>
        <v>0</v>
      </c>
      <c r="F142" s="166">
        <f t="shared" si="46"/>
        <v>572250</v>
      </c>
      <c r="G142" s="626"/>
      <c r="H142" s="166"/>
      <c r="I142" s="166">
        <f t="shared" si="47"/>
        <v>572250</v>
      </c>
      <c r="J142" s="167">
        <f>IF($I$213=0,0,I142/$I$213)</f>
        <v>8.9950024096703704E-2</v>
      </c>
      <c r="K142" s="458"/>
      <c r="L142" s="176">
        <v>38232</v>
      </c>
      <c r="M142" s="176">
        <v>39445</v>
      </c>
      <c r="O142" s="329">
        <f t="shared" si="43"/>
        <v>21.869983948635635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'[15]Sch C'!D139</f>
        <v>120729</v>
      </c>
      <c r="D143" s="480">
        <f>'[15]Sch C'!F139</f>
        <v>0</v>
      </c>
      <c r="E143" s="480">
        <f>+'[15]Sch C'!H139</f>
        <v>0</v>
      </c>
      <c r="F143" s="166">
        <f t="shared" si="46"/>
        <v>120729</v>
      </c>
      <c r="G143" s="626"/>
      <c r="H143" s="166"/>
      <c r="I143" s="166">
        <f t="shared" si="47"/>
        <v>120729</v>
      </c>
      <c r="J143" s="167">
        <f>IF($I$213=0,0,I143/$I$213)</f>
        <v>1.8976979395667875E-2</v>
      </c>
      <c r="K143" s="458"/>
      <c r="L143" s="176">
        <v>9299</v>
      </c>
      <c r="M143" s="176">
        <v>9650</v>
      </c>
      <c r="O143" s="329">
        <f t="shared" si="43"/>
        <v>4.6139646869983952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'[15]Sch C'!D141</f>
        <v>0</v>
      </c>
      <c r="D145" s="480">
        <f>'[15]Sch C'!F141</f>
        <v>32210</v>
      </c>
      <c r="E145" s="480">
        <f>+'[15]Sch C'!H141</f>
        <v>0</v>
      </c>
      <c r="F145" s="166">
        <f t="shared" ref="F145:F148" si="48">C145+D145+E145</f>
        <v>32210</v>
      </c>
      <c r="G145" s="626">
        <v>58656</v>
      </c>
      <c r="H145" s="166"/>
      <c r="I145" s="166">
        <f t="shared" ref="I145:I148" si="49">F145+G145+H145</f>
        <v>90866</v>
      </c>
      <c r="J145" s="167">
        <f>IF($I$213=0,0,I145/$I$213)</f>
        <v>1.4282916364475455E-2</v>
      </c>
      <c r="K145" s="458"/>
      <c r="L145" s="163"/>
      <c r="M145" s="163"/>
      <c r="O145" s="329">
        <f t="shared" si="43"/>
        <v>3.4726744630436444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'[15]Sch C'!D142</f>
        <v>0</v>
      </c>
      <c r="D146" s="480">
        <f>'[15]Sch C'!F142</f>
        <v>26773</v>
      </c>
      <c r="E146" s="480">
        <f>+'[15]Sch C'!H142</f>
        <v>0</v>
      </c>
      <c r="F146" s="166">
        <f t="shared" si="48"/>
        <v>26773</v>
      </c>
      <c r="G146" s="626">
        <v>48755</v>
      </c>
      <c r="H146" s="166"/>
      <c r="I146" s="166">
        <f t="shared" si="49"/>
        <v>75528</v>
      </c>
      <c r="J146" s="167">
        <f>IF($I$213=0,0,I146/$I$213)</f>
        <v>1.1871988501486828E-2</v>
      </c>
      <c r="K146" s="458"/>
      <c r="L146" s="163"/>
      <c r="M146" s="163"/>
      <c r="O146" s="329">
        <f t="shared" si="43"/>
        <v>2.8864939234120612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'[15]Sch C'!D143</f>
        <v>0</v>
      </c>
      <c r="D147" s="480">
        <f>'[15]Sch C'!F143</f>
        <v>40847</v>
      </c>
      <c r="E147" s="480">
        <f>+'[15]Sch C'!H143</f>
        <v>0</v>
      </c>
      <c r="F147" s="166">
        <f t="shared" si="48"/>
        <v>40847</v>
      </c>
      <c r="G147" s="626">
        <v>74383</v>
      </c>
      <c r="H147" s="166"/>
      <c r="I147" s="166">
        <f t="shared" si="49"/>
        <v>115230</v>
      </c>
      <c r="J147" s="167">
        <f>IF($I$213=0,0,I147/$I$213)</f>
        <v>1.8112610356772682E-2</v>
      </c>
      <c r="K147" s="458"/>
      <c r="L147" s="163"/>
      <c r="M147" s="163"/>
      <c r="O147" s="329">
        <f t="shared" si="43"/>
        <v>4.4038064664067873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'[15]Sch C'!D144</f>
        <v>247286</v>
      </c>
      <c r="D148" s="480">
        <f>'[15]Sch C'!F144</f>
        <v>8618</v>
      </c>
      <c r="E148" s="480">
        <f>+'[15]Sch C'!H144</f>
        <v>0</v>
      </c>
      <c r="F148" s="166">
        <f t="shared" si="48"/>
        <v>255904</v>
      </c>
      <c r="G148" s="626">
        <v>-231593</v>
      </c>
      <c r="H148" s="166"/>
      <c r="I148" s="166">
        <f t="shared" si="49"/>
        <v>24311</v>
      </c>
      <c r="J148" s="167">
        <f>IF($I$213=0,0,I148/$I$213)</f>
        <v>3.8213631032153147E-3</v>
      </c>
      <c r="K148" s="458"/>
      <c r="L148" s="163"/>
      <c r="M148" s="163"/>
      <c r="O148" s="329">
        <f t="shared" si="43"/>
        <v>0.92910647405029423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'[15]Sch C'!D146</f>
        <v>36125</v>
      </c>
      <c r="D150" s="480">
        <f>'[15]Sch C'!F146</f>
        <v>0</v>
      </c>
      <c r="E150" s="480">
        <f>+'[15]Sch C'!H146</f>
        <v>0</v>
      </c>
      <c r="F150" s="166">
        <f t="shared" ref="F150:F158" si="50">C150+D150+E150</f>
        <v>36125</v>
      </c>
      <c r="G150" s="626"/>
      <c r="H150" s="166"/>
      <c r="I150" s="166">
        <f t="shared" ref="I150:I158" si="51">F150+G150+H150</f>
        <v>36125</v>
      </c>
      <c r="J150" s="167">
        <f t="shared" ref="J150:J158" si="52">IF($I$213=0,0,I150/$I$213)</f>
        <v>5.6783654355498847E-3</v>
      </c>
      <c r="K150" s="458"/>
      <c r="L150" s="176">
        <v>144</v>
      </c>
      <c r="M150" s="176">
        <v>144</v>
      </c>
      <c r="O150" s="329">
        <f t="shared" si="43"/>
        <v>1.3806084231445388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'[15]Sch C'!D147</f>
        <v>26650</v>
      </c>
      <c r="D151" s="480">
        <f>'[15]Sch C'!F147</f>
        <v>0</v>
      </c>
      <c r="E151" s="480">
        <f>+'[15]Sch C'!H147</f>
        <v>0</v>
      </c>
      <c r="F151" s="166">
        <f t="shared" si="50"/>
        <v>26650</v>
      </c>
      <c r="G151" s="626"/>
      <c r="H151" s="166"/>
      <c r="I151" s="166">
        <f t="shared" si="51"/>
        <v>26650</v>
      </c>
      <c r="J151" s="167">
        <f t="shared" si="52"/>
        <v>4.1890225289246893E-3</v>
      </c>
      <c r="K151" s="458"/>
      <c r="L151" s="176">
        <v>485</v>
      </c>
      <c r="M151" s="176">
        <v>485</v>
      </c>
      <c r="O151" s="329">
        <f t="shared" si="43"/>
        <v>1.0184972865550714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'[15]Sch C'!D148</f>
        <v>3925</v>
      </c>
      <c r="D152" s="480">
        <f>'[15]Sch C'!F148</f>
        <v>0</v>
      </c>
      <c r="E152" s="480">
        <f>+'[15]Sch C'!H148</f>
        <v>0</v>
      </c>
      <c r="F152" s="166">
        <f t="shared" si="50"/>
        <v>3925</v>
      </c>
      <c r="G152" s="626"/>
      <c r="H152" s="166"/>
      <c r="I152" s="166">
        <f t="shared" si="51"/>
        <v>3925</v>
      </c>
      <c r="J152" s="167">
        <f t="shared" si="52"/>
        <v>6.1695735182099086E-4</v>
      </c>
      <c r="K152" s="458"/>
      <c r="L152" s="176">
        <v>98</v>
      </c>
      <c r="M152" s="176">
        <v>98</v>
      </c>
      <c r="O152" s="329">
        <f t="shared" si="43"/>
        <v>0.15000382175342047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'[15]Sch C'!D149</f>
        <v>211262</v>
      </c>
      <c r="D153" s="480">
        <f>'[15]Sch C'!F149</f>
        <v>0</v>
      </c>
      <c r="E153" s="480">
        <f>+'[15]Sch C'!H149</f>
        <v>0</v>
      </c>
      <c r="F153" s="166">
        <f t="shared" si="50"/>
        <v>211262</v>
      </c>
      <c r="G153" s="626"/>
      <c r="H153" s="166"/>
      <c r="I153" s="166">
        <f t="shared" si="51"/>
        <v>211262</v>
      </c>
      <c r="J153" s="167">
        <f t="shared" si="52"/>
        <v>3.3207552626855076E-2</v>
      </c>
      <c r="K153" s="458"/>
      <c r="L153" s="176">
        <v>8450</v>
      </c>
      <c r="M153" s="176">
        <v>8450</v>
      </c>
      <c r="O153" s="329">
        <f t="shared" si="43"/>
        <v>8.0739127111518769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'[15]Sch C'!D150</f>
        <v>14960</v>
      </c>
      <c r="D154" s="480">
        <f>'[15]Sch C'!F150</f>
        <v>0</v>
      </c>
      <c r="E154" s="480">
        <f>+'[15]Sch C'!H150</f>
        <v>0</v>
      </c>
      <c r="F154" s="166">
        <f t="shared" si="50"/>
        <v>14960</v>
      </c>
      <c r="G154" s="626"/>
      <c r="H154" s="166"/>
      <c r="I154" s="166">
        <f t="shared" si="51"/>
        <v>14960</v>
      </c>
      <c r="J154" s="167">
        <f t="shared" si="52"/>
        <v>2.3515113333100698E-3</v>
      </c>
      <c r="K154" s="458"/>
      <c r="L154" s="176">
        <v>214</v>
      </c>
      <c r="M154" s="176">
        <v>214</v>
      </c>
      <c r="O154" s="329">
        <f t="shared" si="43"/>
        <v>0.57173431170220901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'[15]Sch C'!D151</f>
        <v>123536</v>
      </c>
      <c r="D155" s="480">
        <f>'[15]Sch C'!F151</f>
        <v>3483</v>
      </c>
      <c r="E155" s="480">
        <f>+'[15]Sch C'!H151</f>
        <v>0</v>
      </c>
      <c r="F155" s="166">
        <f t="shared" si="50"/>
        <v>127019</v>
      </c>
      <c r="G155" s="626"/>
      <c r="H155" s="166"/>
      <c r="I155" s="166">
        <f t="shared" si="51"/>
        <v>127019</v>
      </c>
      <c r="J155" s="167">
        <f t="shared" si="52"/>
        <v>1.9965683024445971E-2</v>
      </c>
      <c r="K155" s="458"/>
      <c r="L155" s="163"/>
      <c r="M155" s="163"/>
      <c r="O155" s="329">
        <f t="shared" si="43"/>
        <v>4.8543529771459148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'[15]Sch C'!D152</f>
        <v>1585</v>
      </c>
      <c r="D156" s="480">
        <f>'[15]Sch C'!F152</f>
        <v>0</v>
      </c>
      <c r="E156" s="480">
        <f>+'[15]Sch C'!H152</f>
        <v>0</v>
      </c>
      <c r="F156" s="166">
        <f t="shared" si="50"/>
        <v>1585</v>
      </c>
      <c r="G156" s="626"/>
      <c r="H156" s="166"/>
      <c r="I156" s="166">
        <f t="shared" si="51"/>
        <v>1585</v>
      </c>
      <c r="J156" s="167">
        <f t="shared" si="52"/>
        <v>2.4914073952516448E-4</v>
      </c>
      <c r="K156" s="458"/>
      <c r="L156" s="163"/>
      <c r="M156" s="163"/>
      <c r="O156" s="329">
        <f t="shared" si="43"/>
        <v>6.0574791714438588E-2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'[15]Sch C'!D153</f>
        <v>0</v>
      </c>
      <c r="D157" s="480">
        <f>'[15]Sch C'!F153</f>
        <v>0</v>
      </c>
      <c r="E157" s="480">
        <f>+'[15]Sch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'[15]Sch C'!D154</f>
        <v>0</v>
      </c>
      <c r="D158" s="480">
        <f>'[15]Sch C'!F154</f>
        <v>0</v>
      </c>
      <c r="E158" s="480">
        <f>+'[15]Sch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'[15]Sch C'!D156</f>
        <v>0</v>
      </c>
      <c r="D160" s="480">
        <f>'[15]Sch C'!F156</f>
        <v>0</v>
      </c>
      <c r="E160" s="480">
        <f>+'[15]Sch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'[15]Sch C'!D157</f>
        <v>0</v>
      </c>
      <c r="D161" s="480">
        <f>'[15]Sch C'!F157</f>
        <v>0</v>
      </c>
      <c r="E161" s="480">
        <f>+'[15]Sch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'[15]Sch C'!D158</f>
        <v>0</v>
      </c>
      <c r="D162" s="480">
        <f>'[15]Sch C'!F158</f>
        <v>0</v>
      </c>
      <c r="E162" s="480">
        <f>+'[15]Sch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'[15]Sch C'!D159</f>
        <v>0</v>
      </c>
      <c r="D163" s="480">
        <f>'[15]Sch C'!F159</f>
        <v>0</v>
      </c>
      <c r="E163" s="480">
        <f>+'[15]Sch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'[15]Sch C'!D160</f>
        <v>0</v>
      </c>
      <c r="D164" s="480">
        <f>'[15]Sch C'!F160</f>
        <v>0</v>
      </c>
      <c r="E164" s="480">
        <f>+'[15]Sch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'[15]Sch C'!D161</f>
        <v>3199</v>
      </c>
      <c r="D165" s="480">
        <f>'[15]Sch C'!F161</f>
        <v>0</v>
      </c>
      <c r="E165" s="480">
        <f>+'[15]Sch C'!H161</f>
        <v>0</v>
      </c>
      <c r="F165" s="166">
        <f t="shared" si="53"/>
        <v>3199</v>
      </c>
      <c r="G165" s="626">
        <v>-1580</v>
      </c>
      <c r="H165" s="166"/>
      <c r="I165" s="166">
        <f t="shared" si="54"/>
        <v>1619</v>
      </c>
      <c r="J165" s="167">
        <f t="shared" si="55"/>
        <v>2.5448508346450553E-4</v>
      </c>
      <c r="K165" s="458"/>
      <c r="L165" s="163"/>
      <c r="M165" s="163"/>
      <c r="O165" s="329">
        <f t="shared" si="43"/>
        <v>6.1874187877398151E-2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2497804</v>
      </c>
      <c r="D166" s="480">
        <f t="shared" si="56"/>
        <v>134056</v>
      </c>
      <c r="E166" s="480">
        <f t="shared" si="56"/>
        <v>81754</v>
      </c>
      <c r="F166" s="166">
        <f t="shared" ref="F166:I166" si="57">SUM(F128:F165)</f>
        <v>2713614</v>
      </c>
      <c r="G166" s="166">
        <f t="shared" si="57"/>
        <v>-1580</v>
      </c>
      <c r="H166" s="166">
        <f t="shared" si="57"/>
        <v>0</v>
      </c>
      <c r="I166" s="166">
        <f t="shared" si="57"/>
        <v>2712034</v>
      </c>
      <c r="J166" s="167">
        <f t="shared" si="55"/>
        <v>0.42629536679961511</v>
      </c>
      <c r="K166" s="458"/>
      <c r="L166" s="163"/>
      <c r="M166" s="163"/>
      <c r="O166" s="329">
        <f>I166/I$233</f>
        <v>103.64725215929069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 ht="26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'[15]Sch C'!D175</f>
        <v>0</v>
      </c>
      <c r="D169" s="480">
        <f>'[15]Sch C'!F175</f>
        <v>0</v>
      </c>
      <c r="E169" s="480">
        <f>+'[15]Sch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9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'[15]Sch C'!D176</f>
        <v>0</v>
      </c>
      <c r="D170" s="480">
        <f>'[15]Sch C'!F176</f>
        <v>0</v>
      </c>
      <c r="E170" s="480">
        <f>+'[15]Sch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9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'[15]Sch C'!D177</f>
        <v>222068</v>
      </c>
      <c r="D171" s="480">
        <f>'[15]Sch C'!F177</f>
        <v>0</v>
      </c>
      <c r="E171" s="480">
        <f>+'[15]Sch C'!H177</f>
        <v>0</v>
      </c>
      <c r="F171" s="166">
        <f t="shared" si="58"/>
        <v>222068</v>
      </c>
      <c r="G171" s="626"/>
      <c r="H171" s="166"/>
      <c r="I171" s="166">
        <f t="shared" si="59"/>
        <v>222068</v>
      </c>
      <c r="J171" s="167">
        <f t="shared" si="60"/>
        <v>3.4906110880046831E-2</v>
      </c>
      <c r="K171" s="468"/>
      <c r="L171" s="176">
        <v>5633</v>
      </c>
      <c r="M171" s="176">
        <v>5991</v>
      </c>
      <c r="N171" s="209"/>
      <c r="O171" s="329">
        <f t="shared" si="61"/>
        <v>8.486891385767791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'[15]Sch C'!D178</f>
        <v>34139</v>
      </c>
      <c r="D172" s="480">
        <f>'[15]Sch C'!F178</f>
        <v>15851</v>
      </c>
      <c r="E172" s="480">
        <f>+'[15]Sch C'!H178</f>
        <v>0</v>
      </c>
      <c r="F172" s="166">
        <f t="shared" si="58"/>
        <v>49990</v>
      </c>
      <c r="G172" s="626"/>
      <c r="H172" s="166"/>
      <c r="I172" s="166">
        <f t="shared" si="59"/>
        <v>49990</v>
      </c>
      <c r="J172" s="167">
        <f t="shared" si="60"/>
        <v>7.8577574566958807E-3</v>
      </c>
      <c r="K172" s="469"/>
      <c r="L172" s="212"/>
      <c r="M172" s="212"/>
      <c r="N172" s="209"/>
      <c r="O172" s="329">
        <f t="shared" si="61"/>
        <v>1.9104945348926088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'[15]Sch C'!D179</f>
        <v>34575</v>
      </c>
      <c r="D173" s="480">
        <f>'[15]Sch C'!F179</f>
        <v>0</v>
      </c>
      <c r="E173" s="480">
        <f>+'[15]Sch C'!H179</f>
        <v>0</v>
      </c>
      <c r="F173" s="166">
        <f t="shared" si="58"/>
        <v>34575</v>
      </c>
      <c r="G173" s="626"/>
      <c r="H173" s="166"/>
      <c r="I173" s="166">
        <f t="shared" si="59"/>
        <v>34575</v>
      </c>
      <c r="J173" s="167">
        <f t="shared" si="60"/>
        <v>5.4347262265505118E-3</v>
      </c>
      <c r="K173" s="468"/>
      <c r="L173" s="176">
        <v>998</v>
      </c>
      <c r="M173" s="176">
        <v>1129</v>
      </c>
      <c r="N173" s="209"/>
      <c r="O173" s="329">
        <f t="shared" si="61"/>
        <v>1.3213712451272643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'[15]Sch C'!D180</f>
        <v>7642</v>
      </c>
      <c r="D174" s="480">
        <f>'[15]Sch C'!F180</f>
        <v>2468</v>
      </c>
      <c r="E174" s="480">
        <f>+'[15]Sch C'!H180</f>
        <v>0</v>
      </c>
      <c r="F174" s="166">
        <f t="shared" si="58"/>
        <v>10110</v>
      </c>
      <c r="G174" s="626"/>
      <c r="H174" s="166"/>
      <c r="I174" s="166">
        <f t="shared" si="59"/>
        <v>10110</v>
      </c>
      <c r="J174" s="167">
        <f t="shared" si="60"/>
        <v>1.5891563890217115E-3</v>
      </c>
      <c r="K174" s="469"/>
      <c r="L174" s="212"/>
      <c r="M174" s="212"/>
      <c r="N174" s="209"/>
      <c r="O174" s="329">
        <f t="shared" si="61"/>
        <v>0.38637927080944739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'[15]Sch C'!D181</f>
        <v>0</v>
      </c>
      <c r="D175" s="480">
        <f>'[15]Sch C'!F181</f>
        <v>0</v>
      </c>
      <c r="E175" s="480">
        <f>+'[15]Sch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9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'[15]Sch C'!D182</f>
        <v>0</v>
      </c>
      <c r="D176" s="480">
        <f>'[15]Sch C'!F182</f>
        <v>0</v>
      </c>
      <c r="E176" s="480">
        <f>+'[15]Sch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9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'[15]Sch C'!D183</f>
        <v>75530</v>
      </c>
      <c r="D177" s="480">
        <f>'[15]Sch C'!F183</f>
        <v>0</v>
      </c>
      <c r="E177" s="480">
        <f>+'[15]Sch C'!H183</f>
        <v>0</v>
      </c>
      <c r="F177" s="166">
        <f t="shared" si="58"/>
        <v>75530</v>
      </c>
      <c r="G177" s="626"/>
      <c r="H177" s="166"/>
      <c r="I177" s="166">
        <f t="shared" si="59"/>
        <v>75530</v>
      </c>
      <c r="J177" s="167">
        <f t="shared" si="60"/>
        <v>1.187230287465973E-2</v>
      </c>
      <c r="K177" s="468"/>
      <c r="L177" s="176">
        <v>2189</v>
      </c>
      <c r="M177" s="176">
        <v>2515</v>
      </c>
      <c r="N177" s="209"/>
      <c r="O177" s="329">
        <f t="shared" si="61"/>
        <v>2.8865703584804709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'[15]Sch C'!D184</f>
        <v>18879</v>
      </c>
      <c r="D178" s="480">
        <f>'[15]Sch C'!F184</f>
        <v>5391</v>
      </c>
      <c r="E178" s="480">
        <f>+'[15]Sch C'!H184</f>
        <v>0</v>
      </c>
      <c r="F178" s="166">
        <f t="shared" si="58"/>
        <v>24270</v>
      </c>
      <c r="G178" s="626"/>
      <c r="H178" s="166"/>
      <c r="I178" s="166">
        <f t="shared" si="59"/>
        <v>24270</v>
      </c>
      <c r="J178" s="167">
        <f t="shared" si="60"/>
        <v>3.8149184531708152E-3</v>
      </c>
      <c r="K178" s="469"/>
      <c r="L178" s="212"/>
      <c r="M178" s="212"/>
      <c r="N178" s="209"/>
      <c r="O178" s="329">
        <f t="shared" si="61"/>
        <v>0.92753955514790187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'[15]Sch C'!D185</f>
        <v>0</v>
      </c>
      <c r="D179" s="480">
        <f>'[15]Sch C'!F185</f>
        <v>0</v>
      </c>
      <c r="E179" s="480">
        <f>+'[15]Sch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9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'[15]Sch C'!D186</f>
        <v>0</v>
      </c>
      <c r="D180" s="480">
        <f>'[15]Sch C'!F186</f>
        <v>0</v>
      </c>
      <c r="E180" s="480">
        <f>+'[15]Sch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'[15]Sch C'!D187</f>
        <v>0</v>
      </c>
      <c r="D181" s="480">
        <f>'[15]Sch C'!F187</f>
        <v>0</v>
      </c>
      <c r="E181" s="480">
        <f>+'[15]Sch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'[15]Sch C'!D188</f>
        <v>252</v>
      </c>
      <c r="D182" s="480">
        <f>'[15]Sch C'!F188</f>
        <v>0</v>
      </c>
      <c r="E182" s="480">
        <f>+'[15]Sch C'!H188</f>
        <v>0</v>
      </c>
      <c r="F182" s="166">
        <f t="shared" si="58"/>
        <v>252</v>
      </c>
      <c r="G182" s="626"/>
      <c r="H182" s="166"/>
      <c r="I182" s="166">
        <f t="shared" si="59"/>
        <v>252</v>
      </c>
      <c r="J182" s="167">
        <f t="shared" si="60"/>
        <v>3.9611019785704383E-5</v>
      </c>
      <c r="K182" s="458"/>
      <c r="L182" s="213"/>
      <c r="M182" s="208"/>
      <c r="N182" s="210"/>
      <c r="O182" s="329">
        <f t="shared" si="61"/>
        <v>9.630818619582664E-3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'[15]Sch C'!D189</f>
        <v>0</v>
      </c>
      <c r="D183" s="480">
        <f>'[15]Sch C'!F189</f>
        <v>0</v>
      </c>
      <c r="E183" s="480">
        <f>+'[15]Sch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'[15]Sch C'!D190</f>
        <v>0</v>
      </c>
      <c r="D184" s="480">
        <f>'[15]Sch C'!F190</f>
        <v>0</v>
      </c>
      <c r="E184" s="480">
        <f>+'[15]Sch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'[15]Sch C'!D191</f>
        <v>0</v>
      </c>
      <c r="D185" s="480">
        <f>'[15]Sch C'!F191</f>
        <v>0</v>
      </c>
      <c r="E185" s="480">
        <f>+'[15]Sch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'[15]Sch C'!D192</f>
        <v>0</v>
      </c>
      <c r="D186" s="480">
        <f>'[15]Sch C'!F192</f>
        <v>0</v>
      </c>
      <c r="E186" s="480">
        <f>+'[15]Sch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'[15]Sch C'!D193</f>
        <v>0</v>
      </c>
      <c r="D187" s="480">
        <f>'[15]Sch C'!F193</f>
        <v>0</v>
      </c>
      <c r="E187" s="480">
        <f>+'[15]Sch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'[15]Sch C'!D194</f>
        <v>0</v>
      </c>
      <c r="D188" s="480">
        <f>'[15]Sch C'!F194</f>
        <v>0</v>
      </c>
      <c r="E188" s="480">
        <f>+'[15]Sch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N188" s="210"/>
      <c r="O188" s="329">
        <f t="shared" si="61"/>
        <v>0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'[15]Sch C'!D195</f>
        <v>1905</v>
      </c>
      <c r="D189" s="480">
        <f>'[15]Sch C'!F195</f>
        <v>0</v>
      </c>
      <c r="E189" s="480">
        <f>+'[15]Sch C'!H195</f>
        <v>0</v>
      </c>
      <c r="F189" s="166">
        <f t="shared" si="58"/>
        <v>1905</v>
      </c>
      <c r="G189" s="626"/>
      <c r="H189" s="166"/>
      <c r="I189" s="166">
        <f t="shared" si="59"/>
        <v>1905</v>
      </c>
      <c r="J189" s="167">
        <f t="shared" si="60"/>
        <v>2.9944044718955101E-4</v>
      </c>
      <c r="K189" s="458"/>
      <c r="L189" s="213"/>
      <c r="M189" s="208"/>
      <c r="N189" s="210"/>
      <c r="O189" s="329">
        <f t="shared" si="61"/>
        <v>7.2804402659940384E-2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'[15]Sch C'!D196</f>
        <v>0</v>
      </c>
      <c r="D190" s="480">
        <f>'[15]Sch C'!F196</f>
        <v>0</v>
      </c>
      <c r="E190" s="480">
        <f>+'[15]Sch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210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'[15]Sch C'!D197</f>
        <v>0</v>
      </c>
      <c r="D191" s="480">
        <f>'[15]Sch C'!F197</f>
        <v>0</v>
      </c>
      <c r="E191" s="480">
        <f>+'[15]Sch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210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'[15]Sch C'!D198</f>
        <v>36934</v>
      </c>
      <c r="D192" s="480">
        <f>'[15]Sch C'!F198</f>
        <v>0</v>
      </c>
      <c r="E192" s="480">
        <f>+'[15]Sch C'!H198</f>
        <v>-1678</v>
      </c>
      <c r="F192" s="166">
        <f t="shared" si="58"/>
        <v>35256</v>
      </c>
      <c r="G192" s="626"/>
      <c r="H192" s="166"/>
      <c r="I192" s="166">
        <f t="shared" si="59"/>
        <v>35256</v>
      </c>
      <c r="J192" s="167">
        <f t="shared" si="60"/>
        <v>5.5417702919237843E-3</v>
      </c>
      <c r="K192" s="458"/>
      <c r="L192" s="213"/>
      <c r="M192" s="208"/>
      <c r="N192" s="210"/>
      <c r="O192" s="329">
        <f t="shared" si="61"/>
        <v>1.3473973859206605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'[15]Sch C'!D199</f>
        <v>0</v>
      </c>
      <c r="D193" s="480">
        <f>'[15]Sch C'!F199</f>
        <v>0</v>
      </c>
      <c r="E193" s="480">
        <f>+'[15]Sch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210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'[15]Sch C'!D200</f>
        <v>0</v>
      </c>
      <c r="D194" s="480">
        <f>'[15]Sch C'!F200</f>
        <v>0</v>
      </c>
      <c r="E194" s="480">
        <f>+'[15]Sch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210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'[15]Sch C'!D201</f>
        <v>0</v>
      </c>
      <c r="D195" s="480">
        <f>'[15]Sch C'!F201</f>
        <v>0</v>
      </c>
      <c r="E195" s="480">
        <f>+'[15]Sch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210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'[15]Sch C'!D202</f>
        <v>0</v>
      </c>
      <c r="D196" s="480">
        <f>'[15]Sch C'!F202</f>
        <v>0</v>
      </c>
      <c r="E196" s="480">
        <f>+'[15]Sch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210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'[15]Sch C'!D203</f>
        <v>0</v>
      </c>
      <c r="D197" s="480">
        <f>'[15]Sch C'!F203</f>
        <v>0</v>
      </c>
      <c r="E197" s="480">
        <f>+'[15]Sch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210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'[15]Sch C'!D204</f>
        <v>0</v>
      </c>
      <c r="D198" s="480">
        <f>'[15]Sch C'!F204</f>
        <v>0</v>
      </c>
      <c r="E198" s="480">
        <f>+'[15]Sch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210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'[15]Sch C'!D205</f>
        <v>159186</v>
      </c>
      <c r="D199" s="480">
        <f>'[15]Sch C'!F205</f>
        <v>0</v>
      </c>
      <c r="E199" s="480">
        <f>+'[15]Sch C'!H205</f>
        <v>0</v>
      </c>
      <c r="F199" s="166">
        <f t="shared" si="58"/>
        <v>159186</v>
      </c>
      <c r="G199" s="626"/>
      <c r="H199" s="166"/>
      <c r="I199" s="166">
        <f t="shared" si="59"/>
        <v>159186</v>
      </c>
      <c r="J199" s="167">
        <f t="shared" si="60"/>
        <v>2.5021903950821975E-2</v>
      </c>
      <c r="K199" s="458"/>
      <c r="L199" s="213"/>
      <c r="M199" s="208"/>
      <c r="N199" s="210"/>
      <c r="O199" s="329">
        <f t="shared" si="61"/>
        <v>6.0836963999082778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'[15]Sch C'!D206</f>
        <v>2108</v>
      </c>
      <c r="D200" s="480">
        <f>'[15]Sch C'!F206</f>
        <v>0</v>
      </c>
      <c r="E200" s="480">
        <f>+'[15]Sch C'!H206</f>
        <v>0</v>
      </c>
      <c r="F200" s="166">
        <f t="shared" si="58"/>
        <v>2108</v>
      </c>
      <c r="G200" s="626"/>
      <c r="H200" s="166"/>
      <c r="I200" s="166">
        <f t="shared" si="59"/>
        <v>2108</v>
      </c>
      <c r="J200" s="167">
        <f t="shared" si="60"/>
        <v>3.3134932423914621E-4</v>
      </c>
      <c r="K200" s="458"/>
      <c r="L200" s="213"/>
      <c r="M200" s="208"/>
      <c r="N200" s="210"/>
      <c r="O200" s="329">
        <f t="shared" si="61"/>
        <v>8.0562562103493079E-2</v>
      </c>
      <c r="P200" s="324">
        <f>SUMMARY!L202</f>
        <v>0.50085155199169495</v>
      </c>
    </row>
    <row r="201" spans="1:16" s="211" customFormat="1" ht="15">
      <c r="A201" s="215" t="s">
        <v>135</v>
      </c>
      <c r="B201" s="186" t="s">
        <v>314</v>
      </c>
      <c r="C201" s="480">
        <f>'[15]Sch C'!D207</f>
        <v>16754</v>
      </c>
      <c r="D201" s="676">
        <f>'[15]Sch C'!F207+4679</f>
        <v>0</v>
      </c>
      <c r="E201" s="480">
        <f>+'[15]Sch C'!H207</f>
        <v>0</v>
      </c>
      <c r="F201" s="166">
        <f t="shared" si="58"/>
        <v>16754</v>
      </c>
      <c r="G201" s="626"/>
      <c r="H201" s="484">
        <v>-4679</v>
      </c>
      <c r="I201" s="166">
        <f t="shared" si="59"/>
        <v>12075</v>
      </c>
      <c r="J201" s="167">
        <f t="shared" si="60"/>
        <v>1.8980280313983351E-3</v>
      </c>
      <c r="K201" s="579" t="s">
        <v>606</v>
      </c>
      <c r="L201" s="213"/>
      <c r="M201" s="208"/>
      <c r="N201" s="210"/>
      <c r="O201" s="329">
        <f t="shared" si="61"/>
        <v>0.46147672552166935</v>
      </c>
      <c r="P201" s="324">
        <f>SUMMARY!L203</f>
        <v>0.38409432252006021</v>
      </c>
    </row>
    <row r="202" spans="1:16" s="162" customFormat="1" ht="26">
      <c r="A202" s="158"/>
      <c r="B202" s="204" t="s">
        <v>122</v>
      </c>
      <c r="C202" s="480">
        <f t="shared" ref="C202:E202" si="62">SUM(C169:C201)</f>
        <v>609972</v>
      </c>
      <c r="D202" s="480">
        <f t="shared" si="62"/>
        <v>23710</v>
      </c>
      <c r="E202" s="480">
        <f t="shared" si="62"/>
        <v>-1678</v>
      </c>
      <c r="F202" s="166">
        <f t="shared" ref="F202:I202" si="63">SUM(F169:F201)</f>
        <v>632004</v>
      </c>
      <c r="G202" s="166">
        <f t="shared" si="63"/>
        <v>0</v>
      </c>
      <c r="H202" s="166">
        <f t="shared" si="63"/>
        <v>-4679</v>
      </c>
      <c r="I202" s="166">
        <f t="shared" si="63"/>
        <v>627325</v>
      </c>
      <c r="J202" s="167">
        <f>IF($I$213=0,0,I202/$I$213)</f>
        <v>9.8607075345503975E-2</v>
      </c>
      <c r="K202" s="458"/>
      <c r="L202" s="163"/>
      <c r="M202" s="163"/>
      <c r="O202" s="329">
        <f>I202/I$233</f>
        <v>23.974814644959107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'[15]Sch C'!D211</f>
        <v>144913</v>
      </c>
      <c r="D205" s="480">
        <f>'[15]Sch C'!F211</f>
        <v>0</v>
      </c>
      <c r="E205" s="480">
        <f>+'[15]Sch C'!H211</f>
        <v>0</v>
      </c>
      <c r="F205" s="166">
        <f t="shared" ref="F205:F210" si="64">C205+D205+E205</f>
        <v>144913</v>
      </c>
      <c r="G205" s="626"/>
      <c r="H205" s="166"/>
      <c r="I205" s="166">
        <f t="shared" ref="I205:I210" si="65">F205+G205+H205</f>
        <v>144913</v>
      </c>
      <c r="J205" s="167">
        <f t="shared" ref="J205:J211" si="66">IF($I$213=0,0,I205/$I$213)</f>
        <v>2.2778379802403884E-2</v>
      </c>
      <c r="K205" s="458"/>
      <c r="L205" s="176">
        <v>9675</v>
      </c>
      <c r="M205" s="176">
        <v>9938</v>
      </c>
      <c r="O205" s="329">
        <f t="shared" ref="O205:O210" si="67">I205/I$233</f>
        <v>5.5382175342046933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'[15]Sch C'!D212</f>
        <v>17029</v>
      </c>
      <c r="D206" s="480">
        <f>'[15]Sch C'!F212</f>
        <v>10344</v>
      </c>
      <c r="E206" s="480">
        <f>+'[15]Sch C'!H212</f>
        <v>0</v>
      </c>
      <c r="F206" s="166">
        <f t="shared" si="64"/>
        <v>27373</v>
      </c>
      <c r="G206" s="626"/>
      <c r="H206" s="166"/>
      <c r="I206" s="166">
        <f t="shared" si="65"/>
        <v>27373</v>
      </c>
      <c r="J206" s="167">
        <f t="shared" si="66"/>
        <v>4.3026684309289132E-3</v>
      </c>
      <c r="K206" s="458"/>
      <c r="L206" s="163"/>
      <c r="M206" s="163"/>
      <c r="O206" s="329">
        <f t="shared" si="67"/>
        <v>1.0461285637850646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'[15]Sch C'!D213</f>
        <v>7809</v>
      </c>
      <c r="D207" s="480">
        <f>'[15]Sch C'!F213</f>
        <v>0</v>
      </c>
      <c r="E207" s="480">
        <f>+'[15]Sch C'!H213</f>
        <v>0</v>
      </c>
      <c r="F207" s="166">
        <f t="shared" si="64"/>
        <v>7809</v>
      </c>
      <c r="G207" s="626"/>
      <c r="H207" s="166"/>
      <c r="I207" s="166">
        <f t="shared" si="65"/>
        <v>7809</v>
      </c>
      <c r="J207" s="167">
        <f t="shared" si="66"/>
        <v>1.2274700535974822E-3</v>
      </c>
      <c r="K207" s="458"/>
      <c r="L207" s="163"/>
      <c r="M207" s="163"/>
      <c r="O207" s="329">
        <f t="shared" si="67"/>
        <v>0.29844072460444854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'[15]Sch C'!D214</f>
        <v>0</v>
      </c>
      <c r="D208" s="480">
        <f>'[15]Sch C'!F214</f>
        <v>0</v>
      </c>
      <c r="E208" s="480">
        <f>+'[15]Sch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'[15]Sch C'!D215</f>
        <v>0</v>
      </c>
      <c r="D209" s="480">
        <f>'[15]Sch C'!F215</f>
        <v>0</v>
      </c>
      <c r="E209" s="480">
        <f>+'[15]Sch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'[15]Sch C'!D216</f>
        <v>39149</v>
      </c>
      <c r="D210" s="480">
        <f>'[15]Sch C'!F216</f>
        <v>0</v>
      </c>
      <c r="E210" s="480">
        <f>+'[15]Sch C'!H216</f>
        <v>-146</v>
      </c>
      <c r="F210" s="166">
        <f t="shared" si="64"/>
        <v>39003</v>
      </c>
      <c r="G210" s="626">
        <v>-31532</v>
      </c>
      <c r="H210" s="166"/>
      <c r="I210" s="166">
        <f t="shared" si="65"/>
        <v>7471</v>
      </c>
      <c r="J210" s="167">
        <f t="shared" si="66"/>
        <v>1.1743409873769741E-3</v>
      </c>
      <c r="K210" s="457"/>
      <c r="L210" s="163"/>
      <c r="M210" s="163"/>
      <c r="O210" s="329">
        <f t="shared" si="67"/>
        <v>0.28552319804326226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208900</v>
      </c>
      <c r="D211" s="480">
        <f t="shared" si="68"/>
        <v>10344</v>
      </c>
      <c r="E211" s="480">
        <f t="shared" si="68"/>
        <v>-146</v>
      </c>
      <c r="F211" s="166">
        <f t="shared" ref="F211:I211" si="69">SUM(F205:F210)</f>
        <v>219098</v>
      </c>
      <c r="G211" s="166">
        <f t="shared" si="69"/>
        <v>-31532</v>
      </c>
      <c r="H211" s="166">
        <f t="shared" si="69"/>
        <v>0</v>
      </c>
      <c r="I211" s="166">
        <f t="shared" si="69"/>
        <v>187566</v>
      </c>
      <c r="J211" s="167">
        <f t="shared" si="66"/>
        <v>2.9482859274307254E-2</v>
      </c>
      <c r="K211" s="458"/>
      <c r="L211" s="163"/>
      <c r="M211" s="163"/>
      <c r="O211" s="329">
        <f>I211/I$233</f>
        <v>7.1683100206374686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6832117</v>
      </c>
      <c r="D213" s="480">
        <f t="shared" si="70"/>
        <v>-19151</v>
      </c>
      <c r="E213" s="480">
        <f t="shared" si="70"/>
        <v>-128374</v>
      </c>
      <c r="F213" s="166">
        <f t="shared" ref="F213:I213" si="71">SUM(F30:F211)/2</f>
        <v>6684592</v>
      </c>
      <c r="G213" s="166">
        <f t="shared" si="71"/>
        <v>-4035</v>
      </c>
      <c r="H213" s="166">
        <f t="shared" si="71"/>
        <v>-318691</v>
      </c>
      <c r="I213" s="166">
        <f t="shared" si="71"/>
        <v>6361866</v>
      </c>
      <c r="J213" s="167">
        <f>IF($I$213=0,0,I213/$I$213)</f>
        <v>1</v>
      </c>
      <c r="K213" s="458"/>
      <c r="L213" s="176">
        <f>SUM(L30:L205)</f>
        <v>157399</v>
      </c>
      <c r="M213" s="176">
        <f>SUM(M30:M205)</f>
        <v>164619</v>
      </c>
      <c r="O213" s="329">
        <f>I213/I$233</f>
        <v>243.13483146067415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'[15]Sch C'!D221</f>
        <v>6832117</v>
      </c>
      <c r="D216" s="188"/>
      <c r="E216" s="188"/>
      <c r="F216" s="160"/>
      <c r="G216" s="160"/>
      <c r="H216" s="138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61"/>
      <c r="I217"/>
      <c r="K217" s="460"/>
      <c r="L217" s="163"/>
      <c r="M217" s="163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 s="36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411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315103</v>
      </c>
      <c r="D220" s="480">
        <f t="shared" si="72"/>
        <v>1143285.4397446532</v>
      </c>
      <c r="E220" s="480">
        <f t="shared" si="72"/>
        <v>128374</v>
      </c>
      <c r="F220" s="166">
        <f t="shared" ref="F220:I220" si="73">F26-F213</f>
        <v>1586762.4397446532</v>
      </c>
      <c r="G220" s="166">
        <f t="shared" si="73"/>
        <v>48068</v>
      </c>
      <c r="H220" s="166">
        <f t="shared" si="73"/>
        <v>318691</v>
      </c>
      <c r="I220" s="166">
        <f t="shared" si="73"/>
        <v>1953521.4397446532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'[15]Sch D'!C9</f>
        <v>18016</v>
      </c>
      <c r="D224" s="480"/>
      <c r="E224" s="480"/>
      <c r="F224" s="224">
        <f>C224+D224+E224</f>
        <v>18016</v>
      </c>
      <c r="G224" s="627"/>
      <c r="H224" s="223"/>
      <c r="I224" s="224">
        <f>F224+G224+H224</f>
        <v>18016</v>
      </c>
      <c r="J224" s="167">
        <f t="shared" ref="J224:J233" si="74">IF($I$233=0,0,I224/$I$233)</f>
        <v>0.68852709623175112</v>
      </c>
      <c r="K224" s="458"/>
      <c r="L224" s="163"/>
      <c r="M224" s="163"/>
    </row>
    <row r="225" spans="1:13">
      <c r="A225" s="158"/>
      <c r="B225" s="165" t="s">
        <v>201</v>
      </c>
      <c r="C225" s="504">
        <f>'[15]Sch D'!D9</f>
        <v>0</v>
      </c>
      <c r="D225" s="480"/>
      <c r="E225" s="480"/>
      <c r="F225" s="224">
        <f t="shared" ref="F225:F232" si="75">C225+D225+E225</f>
        <v>0</v>
      </c>
      <c r="G225" s="626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'[15]Sch D'!E9</f>
        <v>1560</v>
      </c>
      <c r="D226" s="480"/>
      <c r="E226" s="480"/>
      <c r="F226" s="224">
        <f t="shared" si="75"/>
        <v>1560</v>
      </c>
      <c r="G226" s="626"/>
      <c r="H226" s="223"/>
      <c r="I226" s="224">
        <f t="shared" si="76"/>
        <v>1560</v>
      </c>
      <c r="J226" s="167">
        <f t="shared" si="74"/>
        <v>5.9619353359321253E-2</v>
      </c>
      <c r="K226" s="458"/>
      <c r="L226" s="163"/>
      <c r="M226" s="163"/>
    </row>
    <row r="227" spans="1:13">
      <c r="A227" s="158"/>
      <c r="B227" s="194" t="s">
        <v>315</v>
      </c>
      <c r="C227" s="504">
        <f>'[15]Sch D'!F9</f>
        <v>2133</v>
      </c>
      <c r="D227" s="480"/>
      <c r="E227" s="480"/>
      <c r="F227" s="224">
        <f t="shared" si="75"/>
        <v>2133</v>
      </c>
      <c r="G227" s="626"/>
      <c r="H227" s="223"/>
      <c r="I227" s="224">
        <f t="shared" si="76"/>
        <v>2133</v>
      </c>
      <c r="J227" s="167">
        <f t="shared" si="74"/>
        <v>8.1518000458610407E-2</v>
      </c>
      <c r="K227" s="458"/>
      <c r="L227" s="163"/>
      <c r="M227" s="163"/>
    </row>
    <row r="228" spans="1:13">
      <c r="A228" s="158"/>
      <c r="B228" s="165" t="s">
        <v>65</v>
      </c>
      <c r="C228" s="504">
        <f>'[15]Sch D'!G9</f>
        <v>0</v>
      </c>
      <c r="D228" s="480"/>
      <c r="E228" s="480"/>
      <c r="F228" s="224">
        <f t="shared" si="75"/>
        <v>0</v>
      </c>
      <c r="G228" s="626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'[15]Sch D'!H9</f>
        <v>2505</v>
      </c>
      <c r="D229" s="480"/>
      <c r="E229" s="480"/>
      <c r="F229" s="224">
        <f t="shared" si="75"/>
        <v>2505</v>
      </c>
      <c r="G229" s="626"/>
      <c r="H229" s="223"/>
      <c r="I229" s="224">
        <f t="shared" si="76"/>
        <v>2505</v>
      </c>
      <c r="J229" s="167">
        <f t="shared" si="74"/>
        <v>9.5734923182756254E-2</v>
      </c>
      <c r="K229" s="458"/>
      <c r="L229" s="163"/>
      <c r="M229" s="163"/>
    </row>
    <row r="230" spans="1:13">
      <c r="A230" s="158"/>
      <c r="B230" s="165" t="s">
        <v>219</v>
      </c>
      <c r="C230" s="504">
        <f>'[15]Sch D'!I9</f>
        <v>1233</v>
      </c>
      <c r="D230" s="480"/>
      <c r="E230" s="480"/>
      <c r="F230" s="224">
        <f t="shared" si="75"/>
        <v>1233</v>
      </c>
      <c r="G230" s="626"/>
      <c r="H230" s="223"/>
      <c r="I230" s="224">
        <f t="shared" si="76"/>
        <v>1233</v>
      </c>
      <c r="J230" s="167">
        <f t="shared" si="74"/>
        <v>4.7122219674386609E-2</v>
      </c>
      <c r="K230" s="458"/>
      <c r="L230" s="163"/>
      <c r="M230" s="163"/>
    </row>
    <row r="231" spans="1:13">
      <c r="A231" s="158"/>
      <c r="B231" s="165" t="s">
        <v>218</v>
      </c>
      <c r="C231" s="504">
        <f>'[15]Sch D'!J9</f>
        <v>525</v>
      </c>
      <c r="D231" s="480"/>
      <c r="E231" s="480"/>
      <c r="F231" s="224">
        <f t="shared" si="75"/>
        <v>525</v>
      </c>
      <c r="G231" s="626"/>
      <c r="H231" s="223"/>
      <c r="I231" s="224">
        <f t="shared" si="76"/>
        <v>525</v>
      </c>
      <c r="J231" s="167">
        <f>IF($I$233=0,0,I231/$I$233)</f>
        <v>2.0064205457463884E-2</v>
      </c>
      <c r="K231" s="458"/>
      <c r="L231" s="163"/>
      <c r="M231" s="163"/>
    </row>
    <row r="232" spans="1:13">
      <c r="A232" s="158"/>
      <c r="B232" s="165" t="s">
        <v>170</v>
      </c>
      <c r="C232" s="504">
        <f>'[15]Sch D'!K9</f>
        <v>194</v>
      </c>
      <c r="D232" s="480"/>
      <c r="E232" s="480"/>
      <c r="F232" s="224">
        <f t="shared" si="75"/>
        <v>194</v>
      </c>
      <c r="G232" s="626"/>
      <c r="H232" s="223"/>
      <c r="I232" s="224">
        <f t="shared" si="76"/>
        <v>194</v>
      </c>
      <c r="J232" s="167">
        <f t="shared" si="74"/>
        <v>7.4142016357104639E-3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26166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26166</v>
      </c>
      <c r="G233" s="226">
        <f t="shared" si="78"/>
        <v>0</v>
      </c>
      <c r="H233" s="226">
        <f t="shared" si="78"/>
        <v>0</v>
      </c>
      <c r="I233" s="226">
        <f t="shared" si="78"/>
        <v>26166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'[15]Sch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'[15]Sch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257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511" t="s">
        <v>394</v>
      </c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'[15]Sch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'[15]Sch D'!N30</f>
        <v>0.59739726027397255</v>
      </c>
      <c r="D241" s="228"/>
      <c r="E241" s="228"/>
      <c r="F241" s="232">
        <f>F233/F240</f>
        <v>0.59739726027397255</v>
      </c>
      <c r="G241"/>
      <c r="H241" s="233"/>
      <c r="I241" s="232">
        <f>I233/I240</f>
        <v>0.59739726027397255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'[15]Sch D'!N32</f>
        <v>0.41132420091324201</v>
      </c>
      <c r="D242" s="228"/>
      <c r="E242" s="228"/>
      <c r="F242" s="232">
        <f>(F224+F225)/F240</f>
        <v>0.41132420091324201</v>
      </c>
      <c r="G242"/>
      <c r="H242" s="233"/>
      <c r="I242" s="232">
        <f>(I224+I225)/I240</f>
        <v>0.41132420091324201</v>
      </c>
      <c r="J242" s="162"/>
      <c r="K242" s="460"/>
      <c r="L242" s="163"/>
      <c r="M242" s="163"/>
    </row>
    <row r="243" spans="1:13" ht="39.5">
      <c r="A243" s="158"/>
      <c r="B243" s="231" t="s">
        <v>319</v>
      </c>
      <c r="C243" s="505">
        <f>'[15]Sch D'!N34</f>
        <v>0.68852709623175123</v>
      </c>
      <c r="D243" s="228"/>
      <c r="E243" s="228"/>
      <c r="F243" s="232">
        <f>(F242/F241)</f>
        <v>0.68852709623175123</v>
      </c>
      <c r="G243"/>
      <c r="H243" s="233"/>
      <c r="I243" s="232">
        <f>(I242/I241)</f>
        <v>0.68852709623175123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'[15]Sch B'!C90</f>
        <v>184.24897119341563</v>
      </c>
      <c r="K246" s="460"/>
    </row>
    <row r="247" spans="1:13">
      <c r="H247" s="140" t="s">
        <v>322</v>
      </c>
      <c r="I247" s="480">
        <f>'[15]Sch B'!E90</f>
        <v>183.70920840064619</v>
      </c>
      <c r="K247" s="460"/>
    </row>
    <row r="248" spans="1:13">
      <c r="H248" s="140" t="s">
        <v>323</v>
      </c>
      <c r="I248" s="480">
        <f>'[15]Sch B'!G90</f>
        <v>196.85163204747775</v>
      </c>
      <c r="K248" s="460"/>
    </row>
    <row r="249" spans="1:13">
      <c r="H249" s="140" t="s">
        <v>324</v>
      </c>
      <c r="I249" s="480">
        <f>'[15]Sch B'!I90</f>
        <v>205.61019283746558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28CAB"/>
  </sheetPr>
  <dimension ref="A1:P277"/>
  <sheetViews>
    <sheetView showGridLines="0" topLeftCell="A4" zoomScaleNormal="100" workbookViewId="0">
      <pane xSplit="2" topLeftCell="E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33.7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533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78"/>
      <c r="D1" s="478"/>
      <c r="E1" s="419"/>
      <c r="F1" s="419"/>
      <c r="G1" s="419"/>
      <c r="H1" s="419"/>
      <c r="I1" s="419"/>
      <c r="J1" s="419"/>
      <c r="K1" s="532"/>
    </row>
    <row r="2" spans="1:16" ht="23">
      <c r="B2" s="141" t="s">
        <v>178</v>
      </c>
      <c r="C2" s="545" t="s">
        <v>425</v>
      </c>
      <c r="D2" s="545"/>
      <c r="E2" s="234"/>
      <c r="F2" s="142"/>
      <c r="G2" s="142"/>
    </row>
    <row r="3" spans="1:16" ht="15.5">
      <c r="A3" s="143"/>
      <c r="B3" s="138" t="s">
        <v>71</v>
      </c>
      <c r="C3" s="557">
        <f>'[16]Sch A Pg 1'!B39</f>
        <v>42917</v>
      </c>
      <c r="D3" s="620"/>
      <c r="E3" s="142"/>
      <c r="F3" s="361"/>
      <c r="G3" s="361"/>
      <c r="H3" s="361"/>
      <c r="K3" s="535"/>
    </row>
    <row r="4" spans="1:16" ht="15.5">
      <c r="A4" s="143"/>
      <c r="B4" s="145" t="s">
        <v>72</v>
      </c>
      <c r="C4" s="557">
        <f>'[16]Sch A Pg 1'!G39</f>
        <v>43281</v>
      </c>
      <c r="D4" s="620"/>
      <c r="E4" s="142"/>
      <c r="F4" s="361"/>
      <c r="G4" s="361"/>
      <c r="H4" s="361"/>
      <c r="I4" s="147"/>
      <c r="K4" s="535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534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492"/>
      <c r="D10" s="492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492"/>
      <c r="D11" s="492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'[16]Sch B'!E10</f>
        <v>2647</v>
      </c>
      <c r="D12" s="480">
        <f>'[16]Sch B'!G10</f>
        <v>7423</v>
      </c>
      <c r="E12" s="480"/>
      <c r="F12" s="166">
        <f>C12+D12+E12</f>
        <v>10070</v>
      </c>
      <c r="G12" s="626"/>
      <c r="H12" s="166"/>
      <c r="I12" s="166">
        <f>F12+G12+H12</f>
        <v>10070</v>
      </c>
      <c r="J12" s="167">
        <f>IF($I$26=0,0,I12/$I$26)</f>
        <v>1.2008337864781583E-3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'[16]Sch B'!E12</f>
        <v>0</v>
      </c>
      <c r="D13" s="480">
        <f>'[16]Sch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'[16]Sch B'!E13</f>
        <v>112</v>
      </c>
      <c r="D14" s="480">
        <f>'[16]Sch B'!G13</f>
        <v>0</v>
      </c>
      <c r="E14" s="480"/>
      <c r="F14" s="166">
        <f t="shared" si="0"/>
        <v>112</v>
      </c>
      <c r="G14" s="626"/>
      <c r="H14" s="166"/>
      <c r="I14" s="166">
        <f t="shared" si="1"/>
        <v>112</v>
      </c>
      <c r="J14" s="167">
        <f>IF($I$26=0,0,I14/$I$26)</f>
        <v>1.3355847476221822E-5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'[16]Sch B'!E14</f>
        <v>2925</v>
      </c>
      <c r="D15" s="480">
        <f>'[16]Sch B'!G14</f>
        <v>0</v>
      </c>
      <c r="E15" s="480"/>
      <c r="F15" s="166">
        <f t="shared" si="0"/>
        <v>2925</v>
      </c>
      <c r="G15" s="626"/>
      <c r="H15" s="166"/>
      <c r="I15" s="166">
        <f t="shared" si="1"/>
        <v>2925</v>
      </c>
      <c r="J15" s="167">
        <f>IF($I$26=0,0,I15/$I$26)</f>
        <v>3.4880226667811454E-4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'[16]Sch B'!E15</f>
        <v>5684</v>
      </c>
      <c r="D16" s="480">
        <f>'[16]Sch B'!G15</f>
        <v>7423</v>
      </c>
      <c r="E16" s="480"/>
      <c r="F16" s="166">
        <f t="shared" si="0"/>
        <v>13107</v>
      </c>
      <c r="G16" s="626"/>
      <c r="H16" s="166"/>
      <c r="I16" s="166">
        <f>SUM(I12:I15)</f>
        <v>13107</v>
      </c>
      <c r="J16" s="167">
        <f t="shared" ref="J16:J26" si="2">IF($I$26=0,0,I16/$I$26)</f>
        <v>1.5629919006324947E-3</v>
      </c>
      <c r="K16" s="457"/>
      <c r="L16" s="333" t="s">
        <v>325</v>
      </c>
      <c r="M16" s="334">
        <f>I26</f>
        <v>8385840</v>
      </c>
      <c r="O16" s="324">
        <f>IFERROR(I16/I224,0)</f>
        <v>118.08108108108108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'[16]Sch B'!E20</f>
        <v>0</v>
      </c>
      <c r="D17" s="480">
        <f>'[16]Sch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7702139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'[16]Sch B'!E26</f>
        <v>6221241</v>
      </c>
      <c r="D18" s="480">
        <f>'[16]Sch B'!G26</f>
        <v>0</v>
      </c>
      <c r="E18" s="480"/>
      <c r="F18" s="166">
        <f t="shared" si="0"/>
        <v>6221241</v>
      </c>
      <c r="G18" s="626"/>
      <c r="H18" s="166"/>
      <c r="I18" s="166">
        <f t="shared" si="1"/>
        <v>6221241</v>
      </c>
      <c r="J18" s="167">
        <f t="shared" si="2"/>
        <v>0.74187451704301532</v>
      </c>
      <c r="K18" s="458"/>
      <c r="L18" s="335" t="s">
        <v>327</v>
      </c>
      <c r="M18" s="336">
        <f>I233</f>
        <v>16784</v>
      </c>
      <c r="O18" s="324">
        <f t="shared" si="3"/>
        <v>527.35788759854199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'[16]Sch B'!E32</f>
        <v>1644945.92253671</v>
      </c>
      <c r="D19" s="480">
        <f>'[16]Sch B'!G32</f>
        <v>0</v>
      </c>
      <c r="E19" s="480"/>
      <c r="F19" s="166">
        <f t="shared" si="0"/>
        <v>1644945.92253671</v>
      </c>
      <c r="G19" s="626"/>
      <c r="H19" s="166"/>
      <c r="I19" s="166">
        <f t="shared" si="1"/>
        <v>1644945.92253671</v>
      </c>
      <c r="J19" s="170">
        <f t="shared" si="2"/>
        <v>0.19615756114315441</v>
      </c>
      <c r="K19" s="464"/>
      <c r="L19" s="335" t="s">
        <v>328</v>
      </c>
      <c r="M19" s="336">
        <f>I236</f>
        <v>60</v>
      </c>
      <c r="O19" s="324">
        <f t="shared" si="3"/>
        <v>443.98000608278272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'[16]Sch B'!E37</f>
        <v>0</v>
      </c>
      <c r="D20" s="480">
        <f>'[16]Sch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21900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'[16]Sch B'!E42</f>
        <v>60055</v>
      </c>
      <c r="D21" s="480">
        <f>'[16]Sch B'!G42</f>
        <v>-7423</v>
      </c>
      <c r="E21" s="480"/>
      <c r="F21" s="166">
        <f t="shared" si="0"/>
        <v>52632</v>
      </c>
      <c r="G21" s="626"/>
      <c r="H21" s="166"/>
      <c r="I21" s="166">
        <f t="shared" si="1"/>
        <v>52632</v>
      </c>
      <c r="J21" s="167">
        <f t="shared" si="2"/>
        <v>6.2762943247188117E-3</v>
      </c>
      <c r="K21" s="458"/>
      <c r="L21" s="337"/>
      <c r="M21" s="336"/>
      <c r="O21" s="324">
        <f t="shared" si="3"/>
        <v>401.7709923664122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'[16]Sch B'!E47</f>
        <v>0</v>
      </c>
      <c r="D22" s="480">
        <f>'[16]Sch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520"/>
      <c r="L22" s="335" t="s">
        <v>148</v>
      </c>
      <c r="M22" s="336">
        <f>L213</f>
        <v>186801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'[16]Sch B'!E52</f>
        <v>12728</v>
      </c>
      <c r="D23" s="480">
        <f>'[16]Sch B'!G52</f>
        <v>0</v>
      </c>
      <c r="E23" s="480"/>
      <c r="F23" s="166">
        <f t="shared" si="0"/>
        <v>12728</v>
      </c>
      <c r="G23" s="626"/>
      <c r="H23" s="166"/>
      <c r="I23" s="166">
        <f t="shared" si="1"/>
        <v>12728</v>
      </c>
      <c r="J23" s="167">
        <f t="shared" si="2"/>
        <v>1.5177966667620656E-3</v>
      </c>
      <c r="K23" s="458"/>
      <c r="L23" s="338" t="s">
        <v>233</v>
      </c>
      <c r="M23" s="339">
        <f>M213</f>
        <v>200993.41442561965</v>
      </c>
      <c r="O23" s="324">
        <f t="shared" si="3"/>
        <v>276.69565217391306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'[16]Sch B'!E57</f>
        <v>440314.07746329007</v>
      </c>
      <c r="D24" s="480">
        <f>'[16]Sch B'!G57</f>
        <v>0</v>
      </c>
      <c r="E24" s="480"/>
      <c r="F24" s="166">
        <f t="shared" si="0"/>
        <v>440314.07746329007</v>
      </c>
      <c r="G24" s="626"/>
      <c r="H24" s="166"/>
      <c r="I24" s="166">
        <f t="shared" si="1"/>
        <v>440314.07746329007</v>
      </c>
      <c r="J24" s="167">
        <f t="shared" si="2"/>
        <v>5.2506854109223414E-2</v>
      </c>
      <c r="K24" s="458"/>
      <c r="L24" s="163"/>
      <c r="M24" s="163"/>
      <c r="O24" s="324">
        <f t="shared" si="3"/>
        <v>442.97190891679082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'[16]Sch B'!E72</f>
        <v>872</v>
      </c>
      <c r="D25" s="480">
        <f>'[16]Sch B'!G72</f>
        <v>0</v>
      </c>
      <c r="E25" s="480"/>
      <c r="F25" s="166">
        <f t="shared" si="0"/>
        <v>872</v>
      </c>
      <c r="G25" s="626"/>
      <c r="H25" s="166"/>
      <c r="I25" s="166">
        <f t="shared" si="1"/>
        <v>872</v>
      </c>
      <c r="J25" s="167">
        <f t="shared" si="2"/>
        <v>1.0398481249344133E-4</v>
      </c>
      <c r="K25" s="591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8385840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8385840</v>
      </c>
      <c r="G26" s="166">
        <f>SUM(G12:G25)</f>
        <v>0</v>
      </c>
      <c r="H26" s="166">
        <f>SUM(H12:H25)</f>
        <v>0</v>
      </c>
      <c r="I26" s="166">
        <f>SUM(I16:I25)</f>
        <v>8385840</v>
      </c>
      <c r="J26" s="167">
        <f t="shared" si="2"/>
        <v>1</v>
      </c>
      <c r="K26" s="458"/>
      <c r="L26" s="163"/>
      <c r="M26" s="163"/>
      <c r="O26" s="324">
        <f>IFERROR(I26/I233,0)</f>
        <v>499.63298379408963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H29" s="362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'[16]Sch C'!D10</f>
        <v>189931</v>
      </c>
      <c r="D30" s="480">
        <f>'[16]Sch C'!F10</f>
        <v>-89276</v>
      </c>
      <c r="E30" s="480">
        <f>+'[16]Sch C'!H10</f>
        <v>0</v>
      </c>
      <c r="F30" s="166">
        <f t="shared" ref="F30:F65" si="5">C30+D30+E30</f>
        <v>100655</v>
      </c>
      <c r="G30" s="626"/>
      <c r="H30" s="166"/>
      <c r="I30" s="166">
        <f t="shared" ref="I30:I65" si="6">F30+G30+H30</f>
        <v>100655</v>
      </c>
      <c r="J30" s="167">
        <f>IF($I$213=0,0,I30/$I$213)</f>
        <v>1.3068447609164155E-2</v>
      </c>
      <c r="K30" s="458"/>
      <c r="L30" s="176">
        <v>2080</v>
      </c>
      <c r="M30" s="176">
        <v>2080</v>
      </c>
      <c r="O30" s="324">
        <f>I30/I$233</f>
        <v>5.9970805529075308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'[16]Sch C'!D11</f>
        <v>0</v>
      </c>
      <c r="D31" s="480">
        <f>'[16]Sch C'!F11</f>
        <v>0</v>
      </c>
      <c r="E31" s="480">
        <f>+'[16]Sch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'[16]Sch C'!D12</f>
        <v>380924</v>
      </c>
      <c r="D32" s="480">
        <f>'[16]Sch C'!F12</f>
        <v>0</v>
      </c>
      <c r="E32" s="480">
        <f>+'[16]Sch C'!H12</f>
        <v>0</v>
      </c>
      <c r="F32" s="166">
        <f t="shared" si="5"/>
        <v>380924</v>
      </c>
      <c r="G32" s="626"/>
      <c r="H32" s="166"/>
      <c r="I32" s="166">
        <f t="shared" si="6"/>
        <v>380924</v>
      </c>
      <c r="J32" s="167">
        <f t="shared" si="7"/>
        <v>4.9456910606261457E-2</v>
      </c>
      <c r="K32" s="458"/>
      <c r="L32" s="176">
        <v>21652</v>
      </c>
      <c r="M32" s="176">
        <v>23388</v>
      </c>
      <c r="O32" s="324">
        <f t="shared" si="8"/>
        <v>22.695662535748333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'[16]Sch C'!D13</f>
        <v>408454</v>
      </c>
      <c r="D33" s="480">
        <f>'[16]Sch C'!F13</f>
        <v>-255873</v>
      </c>
      <c r="E33" s="480">
        <f>+'[16]Sch C'!H13</f>
        <v>0</v>
      </c>
      <c r="F33" s="166">
        <f t="shared" si="5"/>
        <v>152581</v>
      </c>
      <c r="G33" s="626"/>
      <c r="H33" s="166"/>
      <c r="I33" s="166">
        <f t="shared" si="6"/>
        <v>152581</v>
      </c>
      <c r="J33" s="167">
        <f t="shared" si="7"/>
        <v>1.981021116341837E-2</v>
      </c>
      <c r="K33" s="458"/>
      <c r="L33" s="163"/>
      <c r="M33" s="163"/>
      <c r="O33" s="324">
        <f t="shared" si="8"/>
        <v>9.0908603431839854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'[16]Sch C'!D14</f>
        <v>0</v>
      </c>
      <c r="D34" s="480">
        <f>'[16]Sch C'!F14</f>
        <v>0</v>
      </c>
      <c r="E34" s="480">
        <f>+'[16]Sch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'[16]Sch C'!D15</f>
        <v>0</v>
      </c>
      <c r="D35" s="480">
        <f>'[16]Sch C'!F15</f>
        <v>0</v>
      </c>
      <c r="E35" s="480">
        <f>+'[16]Sch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'[16]Sch C'!D16</f>
        <v>419259</v>
      </c>
      <c r="D36" s="480">
        <f>'[16]Sch C'!F16</f>
        <v>0</v>
      </c>
      <c r="E36" s="480">
        <f>+'[16]Sch C'!H16</f>
        <v>-9107</v>
      </c>
      <c r="F36" s="166">
        <f t="shared" si="5"/>
        <v>410152</v>
      </c>
      <c r="G36" s="626"/>
      <c r="H36" s="166"/>
      <c r="I36" s="166">
        <f t="shared" si="6"/>
        <v>410152</v>
      </c>
      <c r="J36" s="167">
        <f t="shared" si="7"/>
        <v>5.325170059901542E-2</v>
      </c>
      <c r="K36" s="458"/>
      <c r="L36" s="163"/>
      <c r="M36" s="163"/>
      <c r="O36" s="324">
        <f t="shared" si="8"/>
        <v>24.437082936129649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'[16]Sch C'!D17</f>
        <v>0</v>
      </c>
      <c r="D37" s="480">
        <f>'[16]Sch C'!F17</f>
        <v>0</v>
      </c>
      <c r="E37" s="480">
        <f>+'[16]Sch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'[16]Sch C'!D18</f>
        <v>14215</v>
      </c>
      <c r="D38" s="480">
        <f>'[16]Sch C'!F18</f>
        <v>0</v>
      </c>
      <c r="E38" s="480">
        <f>+'[16]Sch C'!H18</f>
        <v>0</v>
      </c>
      <c r="F38" s="166">
        <f t="shared" si="5"/>
        <v>14215</v>
      </c>
      <c r="G38" s="626"/>
      <c r="H38" s="166"/>
      <c r="I38" s="166">
        <f t="shared" si="6"/>
        <v>14215</v>
      </c>
      <c r="J38" s="167">
        <f t="shared" si="7"/>
        <v>1.8455912052483083E-3</v>
      </c>
      <c r="K38" s="458"/>
      <c r="L38" s="163"/>
      <c r="M38" s="163"/>
      <c r="O38" s="324">
        <f t="shared" si="8"/>
        <v>0.84693755958055295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'[16]Sch C'!D19</f>
        <v>7995</v>
      </c>
      <c r="D39" s="480">
        <f>'[16]Sch C'!F19</f>
        <v>-506</v>
      </c>
      <c r="E39" s="480">
        <f>+'[16]Sch C'!H19</f>
        <v>0</v>
      </c>
      <c r="F39" s="166">
        <f t="shared" si="5"/>
        <v>7489</v>
      </c>
      <c r="G39" s="626"/>
      <c r="H39" s="166"/>
      <c r="I39" s="166">
        <f t="shared" si="6"/>
        <v>7489</v>
      </c>
      <c r="J39" s="167">
        <f t="shared" si="7"/>
        <v>9.7232729765069157E-4</v>
      </c>
      <c r="K39" s="458"/>
      <c r="L39" s="163"/>
      <c r="M39" s="163"/>
      <c r="O39" s="324">
        <f t="shared" si="8"/>
        <v>0.44619876072449954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'[16]Sch C'!D20</f>
        <v>37999</v>
      </c>
      <c r="D40" s="480">
        <f>'[16]Sch C'!F20</f>
        <v>1876</v>
      </c>
      <c r="E40" s="480">
        <f>+'[16]Sch C'!H20</f>
        <v>0</v>
      </c>
      <c r="F40" s="166">
        <f t="shared" si="5"/>
        <v>39875</v>
      </c>
      <c r="G40" s="626"/>
      <c r="H40" s="166"/>
      <c r="I40" s="166">
        <f t="shared" si="6"/>
        <v>39875</v>
      </c>
      <c r="J40" s="167">
        <f t="shared" si="7"/>
        <v>5.1771332612927396E-3</v>
      </c>
      <c r="K40" s="458" t="s">
        <v>497</v>
      </c>
      <c r="L40" s="163"/>
      <c r="M40" s="163"/>
      <c r="O40" s="324">
        <f t="shared" si="8"/>
        <v>2.375774547187798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'[16]Sch C'!D21</f>
        <v>0</v>
      </c>
      <c r="D41" s="480">
        <f>'[16]Sch C'!F21</f>
        <v>0</v>
      </c>
      <c r="E41" s="480">
        <f>+'[16]Sch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'[16]Sch C'!D22</f>
        <v>0</v>
      </c>
      <c r="D42" s="480">
        <f>'[16]Sch C'!F22</f>
        <v>0</v>
      </c>
      <c r="E42" s="480">
        <f>+'[16]Sch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'[16]Sch C'!D23</f>
        <v>17190</v>
      </c>
      <c r="D43" s="480">
        <f>'[16]Sch C'!F23</f>
        <v>0</v>
      </c>
      <c r="E43" s="480">
        <f>+'[16]Sch C'!H23</f>
        <v>0</v>
      </c>
      <c r="F43" s="166">
        <f t="shared" si="5"/>
        <v>17190</v>
      </c>
      <c r="G43" s="626"/>
      <c r="H43" s="166"/>
      <c r="I43" s="166">
        <f t="shared" si="6"/>
        <v>17190</v>
      </c>
      <c r="J43" s="167">
        <f t="shared" si="7"/>
        <v>2.231847542611215E-3</v>
      </c>
      <c r="K43" s="458"/>
      <c r="L43" s="163"/>
      <c r="M43" s="163"/>
      <c r="O43" s="324">
        <f t="shared" si="8"/>
        <v>1.0241897044804575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'[16]Sch C'!D24</f>
        <v>67181</v>
      </c>
      <c r="D44" s="480">
        <f>'[16]Sch C'!F24</f>
        <v>0</v>
      </c>
      <c r="E44" s="480">
        <f>+'[16]Sch C'!H24</f>
        <v>-19192</v>
      </c>
      <c r="F44" s="166">
        <f t="shared" si="5"/>
        <v>47989</v>
      </c>
      <c r="G44" s="626"/>
      <c r="H44" s="166"/>
      <c r="I44" s="166">
        <f t="shared" si="6"/>
        <v>47989</v>
      </c>
      <c r="J44" s="167">
        <f t="shared" si="7"/>
        <v>6.2306068483053865E-3</v>
      </c>
      <c r="K44" s="458"/>
      <c r="L44" s="163"/>
      <c r="M44" s="163"/>
      <c r="O44" s="324">
        <f t="shared" si="8"/>
        <v>2.8592111534795044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'[16]Sch C'!D25</f>
        <v>0</v>
      </c>
      <c r="D45" s="480">
        <f>'[16]Sch C'!F25</f>
        <v>0</v>
      </c>
      <c r="E45" s="480">
        <f>+'[16]Sch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'[16]Sch C'!D26</f>
        <v>4996</v>
      </c>
      <c r="D46" s="480">
        <f>'[16]Sch C'!F26</f>
        <v>0</v>
      </c>
      <c r="E46" s="480">
        <f>+'[16]Sch C'!H26</f>
        <v>0</v>
      </c>
      <c r="F46" s="166">
        <f t="shared" si="5"/>
        <v>4996</v>
      </c>
      <c r="G46" s="626"/>
      <c r="H46" s="166"/>
      <c r="I46" s="166">
        <f t="shared" si="6"/>
        <v>4996</v>
      </c>
      <c r="J46" s="167">
        <f t="shared" si="7"/>
        <v>6.4865097864372483E-4</v>
      </c>
      <c r="K46" s="458"/>
      <c r="L46" s="163"/>
      <c r="M46" s="163"/>
      <c r="O46" s="324">
        <f t="shared" si="8"/>
        <v>0.29766444232602479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'[16]Sch C'!D27</f>
        <v>0</v>
      </c>
      <c r="D47" s="480">
        <f>'[16]Sch C'!F27</f>
        <v>0</v>
      </c>
      <c r="E47" s="480">
        <f>+'[16]Sch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'[16]Sch C'!D28</f>
        <v>0</v>
      </c>
      <c r="D48" s="480">
        <f>'[16]Sch C'!F28</f>
        <v>0</v>
      </c>
      <c r="E48" s="480">
        <f>+'[16]Sch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'[16]Sch C'!D29</f>
        <v>40680</v>
      </c>
      <c r="D49" s="480">
        <f>'[16]Sch C'!F29</f>
        <v>-40680</v>
      </c>
      <c r="E49" s="480">
        <f>+'[16]Sch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'[16]Sch C'!D30</f>
        <v>0</v>
      </c>
      <c r="D50" s="480">
        <f>'[16]Sch C'!F30</f>
        <v>0</v>
      </c>
      <c r="E50" s="480">
        <f>+'[16]Sch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'[16]Sch C'!D31</f>
        <v>60555</v>
      </c>
      <c r="D51" s="480">
        <f>'[16]Sch C'!F31</f>
        <v>0</v>
      </c>
      <c r="E51" s="480">
        <f>+'[16]Sch C'!H31</f>
        <v>-35479</v>
      </c>
      <c r="F51" s="166">
        <f t="shared" si="5"/>
        <v>25076</v>
      </c>
      <c r="G51" s="626"/>
      <c r="H51" s="166"/>
      <c r="I51" s="166">
        <f t="shared" si="6"/>
        <v>25076</v>
      </c>
      <c r="J51" s="167">
        <f t="shared" si="7"/>
        <v>3.2557189632646203E-3</v>
      </c>
      <c r="K51" s="458"/>
      <c r="L51" s="163"/>
      <c r="M51" s="163"/>
      <c r="O51" s="324">
        <f t="shared" si="8"/>
        <v>1.494041944709247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'[16]Sch C'!D32</f>
        <v>56310</v>
      </c>
      <c r="D52" s="480">
        <f>'[16]Sch C'!F32</f>
        <v>0</v>
      </c>
      <c r="E52" s="480">
        <f>+'[16]Sch C'!H32</f>
        <v>-25340</v>
      </c>
      <c r="F52" s="166">
        <f t="shared" si="5"/>
        <v>30970</v>
      </c>
      <c r="G52" s="626"/>
      <c r="H52" s="166"/>
      <c r="I52" s="166">
        <f t="shared" si="6"/>
        <v>30970</v>
      </c>
      <c r="J52" s="167">
        <f t="shared" si="7"/>
        <v>4.0209609304636025E-3</v>
      </c>
      <c r="K52" s="458"/>
      <c r="L52" s="163"/>
      <c r="M52" s="163"/>
      <c r="O52" s="324">
        <f t="shared" si="8"/>
        <v>1.8452097235462346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'[16]Sch C'!D33</f>
        <v>0</v>
      </c>
      <c r="D53" s="480">
        <f>'[16]Sch C'!F33</f>
        <v>0</v>
      </c>
      <c r="E53" s="480">
        <f>+'[16]Sch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'[16]Sch C'!D34</f>
        <v>0</v>
      </c>
      <c r="D54" s="480">
        <f>'[16]Sch C'!F34</f>
        <v>0</v>
      </c>
      <c r="E54" s="480">
        <f>+'[16]Sch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'[16]Sch C'!D35</f>
        <v>12</v>
      </c>
      <c r="D55" s="480">
        <f>'[16]Sch C'!F35</f>
        <v>-12</v>
      </c>
      <c r="E55" s="480">
        <f>+'[16]Sch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'[16]Sch C'!D36</f>
        <v>0</v>
      </c>
      <c r="D56" s="480">
        <f>'[16]Sch C'!F36</f>
        <v>0</v>
      </c>
      <c r="E56" s="480">
        <f>+'[16]Sch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'[16]Sch C'!D37</f>
        <v>0</v>
      </c>
      <c r="D57" s="480">
        <f>'[16]Sch C'!F37</f>
        <v>0</v>
      </c>
      <c r="E57" s="480">
        <f>+'[16]Sch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'[16]Sch C'!D38</f>
        <v>0</v>
      </c>
      <c r="D58" s="480">
        <f>'[16]Sch C'!F38</f>
        <v>0</v>
      </c>
      <c r="E58" s="480">
        <f>+'[16]Sch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'[16]Sch C'!D39</f>
        <v>3297</v>
      </c>
      <c r="D59" s="480">
        <f>'[16]Sch C'!F39</f>
        <v>0</v>
      </c>
      <c r="E59" s="480">
        <f>+'[16]Sch C'!H39</f>
        <v>0</v>
      </c>
      <c r="F59" s="166">
        <f t="shared" si="5"/>
        <v>3297</v>
      </c>
      <c r="G59" s="626"/>
      <c r="H59" s="166"/>
      <c r="I59" s="166">
        <f t="shared" si="6"/>
        <v>3297</v>
      </c>
      <c r="J59" s="167">
        <f t="shared" si="7"/>
        <v>4.2806290564218591E-4</v>
      </c>
      <c r="K59" s="458"/>
      <c r="L59" s="163"/>
      <c r="M59" s="163"/>
      <c r="O59" s="324">
        <f t="shared" si="8"/>
        <v>0.19643708293612966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'[16]Sch C'!D40</f>
        <v>17784</v>
      </c>
      <c r="D60" s="480">
        <f>'[16]Sch C'!F40</f>
        <v>0</v>
      </c>
      <c r="E60" s="480">
        <f>+'[16]Sch C'!H40</f>
        <v>0</v>
      </c>
      <c r="F60" s="166">
        <f t="shared" si="5"/>
        <v>17784</v>
      </c>
      <c r="G60" s="626"/>
      <c r="H60" s="166"/>
      <c r="I60" s="166">
        <f t="shared" si="6"/>
        <v>17784</v>
      </c>
      <c r="J60" s="167">
        <f t="shared" si="7"/>
        <v>2.3089689760208169E-3</v>
      </c>
      <c r="K60" s="458"/>
      <c r="L60" s="163"/>
      <c r="M60" s="163"/>
      <c r="O60" s="324">
        <f t="shared" si="8"/>
        <v>1.0595805529075311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'[16]Sch C'!D41</f>
        <v>7781</v>
      </c>
      <c r="D61" s="480">
        <f>'[16]Sch C'!F41</f>
        <v>0</v>
      </c>
      <c r="E61" s="480">
        <f>+'[16]Sch C'!H41</f>
        <v>0</v>
      </c>
      <c r="F61" s="166">
        <f t="shared" si="5"/>
        <v>7781</v>
      </c>
      <c r="G61" s="626"/>
      <c r="H61" s="166"/>
      <c r="I61" s="166">
        <f t="shared" si="6"/>
        <v>7781</v>
      </c>
      <c r="J61" s="167">
        <f t="shared" si="7"/>
        <v>1.0102388440405971E-3</v>
      </c>
      <c r="K61" s="458"/>
      <c r="L61" s="163"/>
      <c r="M61" s="163"/>
      <c r="O61" s="324">
        <f t="shared" si="8"/>
        <v>0.46359628217349858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'[16]Sch C'!D42</f>
        <v>1603</v>
      </c>
      <c r="D62" s="480">
        <f>'[16]Sch C'!F42</f>
        <v>0</v>
      </c>
      <c r="E62" s="480">
        <f>+'[16]Sch C'!H42</f>
        <v>0</v>
      </c>
      <c r="F62" s="166">
        <f t="shared" si="5"/>
        <v>1603</v>
      </c>
      <c r="G62" s="626"/>
      <c r="H62" s="166"/>
      <c r="I62" s="166">
        <f t="shared" si="6"/>
        <v>1603</v>
      </c>
      <c r="J62" s="167">
        <f t="shared" si="7"/>
        <v>2.0812400295554262E-4</v>
      </c>
      <c r="K62" s="458"/>
      <c r="L62" s="163"/>
      <c r="M62" s="163"/>
      <c r="O62" s="324">
        <f t="shared" si="8"/>
        <v>9.550762631077217E-2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'[16]Sch C'!D43</f>
        <v>8704</v>
      </c>
      <c r="D63" s="480">
        <f>'[16]Sch C'!F43</f>
        <v>0</v>
      </c>
      <c r="E63" s="480">
        <f>+'[16]Sch C'!H43</f>
        <v>0</v>
      </c>
      <c r="F63" s="166">
        <f t="shared" si="5"/>
        <v>8704</v>
      </c>
      <c r="G63" s="626">
        <v>-8704</v>
      </c>
      <c r="H63" s="166"/>
      <c r="I63" s="166">
        <f t="shared" si="6"/>
        <v>0</v>
      </c>
      <c r="J63" s="167">
        <f t="shared" si="7"/>
        <v>0</v>
      </c>
      <c r="K63" s="458" t="s">
        <v>714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'[16]Sch C'!D44</f>
        <v>0</v>
      </c>
      <c r="D64" s="480">
        <f>'[16]Sch C'!F44</f>
        <v>0</v>
      </c>
      <c r="E64" s="480">
        <f>+'[16]Sch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'[16]Sch C'!D45</f>
        <v>979</v>
      </c>
      <c r="D65" s="480">
        <f>'[16]Sch C'!F45</f>
        <v>21</v>
      </c>
      <c r="E65" s="480">
        <f>+'[16]Sch C'!H45</f>
        <v>0</v>
      </c>
      <c r="F65" s="166">
        <f t="shared" si="5"/>
        <v>1000</v>
      </c>
      <c r="G65" s="626"/>
      <c r="H65" s="166"/>
      <c r="I65" s="166">
        <f t="shared" si="6"/>
        <v>1000</v>
      </c>
      <c r="J65" s="167">
        <f t="shared" si="7"/>
        <v>1.2983406297912826E-4</v>
      </c>
      <c r="K65" s="458"/>
      <c r="L65" s="163"/>
      <c r="M65" s="163"/>
      <c r="O65" s="324">
        <f t="shared" si="8"/>
        <v>5.9580552907530983E-2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1745849</v>
      </c>
      <c r="D66" s="480">
        <f t="shared" si="9"/>
        <v>-384450</v>
      </c>
      <c r="E66" s="480">
        <f t="shared" si="9"/>
        <v>-89118</v>
      </c>
      <c r="F66" s="166">
        <f t="shared" ref="F66:I66" si="10">SUM(F30:F65)</f>
        <v>1272281</v>
      </c>
      <c r="G66" s="166">
        <f t="shared" si="10"/>
        <v>-8704</v>
      </c>
      <c r="H66" s="166">
        <f t="shared" si="10"/>
        <v>0</v>
      </c>
      <c r="I66" s="166">
        <f t="shared" si="10"/>
        <v>1263577</v>
      </c>
      <c r="J66" s="178">
        <f t="shared" si="7"/>
        <v>0.16405533579697795</v>
      </c>
      <c r="K66" s="465"/>
      <c r="L66" s="163"/>
      <c r="M66" s="163"/>
      <c r="O66" s="329">
        <f>I66/I$233</f>
        <v>75.284616301239282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'[16]Sch C'!D57</f>
        <v>743803</v>
      </c>
      <c r="D69" s="480">
        <f>'[16]Sch C'!F57</f>
        <v>0</v>
      </c>
      <c r="E69" s="480">
        <f>+'[16]Sch C'!H57</f>
        <v>0</v>
      </c>
      <c r="F69" s="166">
        <f>C69+D69+E69</f>
        <v>743803</v>
      </c>
      <c r="G69" s="626"/>
      <c r="H69" s="166"/>
      <c r="I69" s="166">
        <f>F69+G69+H69</f>
        <v>743803</v>
      </c>
      <c r="J69" s="167">
        <f t="shared" ref="J69:J84" si="11">IF($I$213=0,0,I69/$I$213)</f>
        <v>9.6570965546064536E-2</v>
      </c>
      <c r="K69" s="458"/>
      <c r="L69" s="182"/>
      <c r="M69" s="163"/>
      <c r="O69" s="324">
        <f t="shared" ref="O69:O84" si="12">I69/I$233</f>
        <v>44.316193994280269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'[16]Sch C'!D58</f>
        <v>17161</v>
      </c>
      <c r="D70" s="480">
        <f>'[16]Sch C'!F58</f>
        <v>0</v>
      </c>
      <c r="E70" s="480">
        <f>+'[16]Sch C'!H58</f>
        <v>0</v>
      </c>
      <c r="F70" s="166">
        <f t="shared" ref="F70:F83" si="13">C70+D70+E70</f>
        <v>17161</v>
      </c>
      <c r="G70" s="626"/>
      <c r="H70" s="166"/>
      <c r="I70" s="166">
        <f t="shared" ref="I70:I83" si="14">F70+G70+H70</f>
        <v>17161</v>
      </c>
      <c r="J70" s="167">
        <f t="shared" si="11"/>
        <v>2.2280823547848202E-3</v>
      </c>
      <c r="K70" s="458"/>
      <c r="L70" s="182"/>
      <c r="M70" s="163"/>
      <c r="O70" s="324">
        <f t="shared" si="12"/>
        <v>1.0224618684461393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'[16]Sch C'!D59</f>
        <v>0</v>
      </c>
      <c r="D71" s="480">
        <f>'[16]Sch C'!F59</f>
        <v>0</v>
      </c>
      <c r="E71" s="480">
        <f>+'[16]Sch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'[16]Sch C'!D60</f>
        <v>45921</v>
      </c>
      <c r="D72" s="480">
        <f>'[16]Sch C'!F60</f>
        <v>0</v>
      </c>
      <c r="E72" s="480">
        <f>+'[16]Sch C'!H60</f>
        <v>0</v>
      </c>
      <c r="F72" s="166">
        <f t="shared" si="13"/>
        <v>45921</v>
      </c>
      <c r="G72" s="626"/>
      <c r="H72" s="166"/>
      <c r="I72" s="166">
        <f t="shared" si="14"/>
        <v>45921</v>
      </c>
      <c r="J72" s="167">
        <f t="shared" si="11"/>
        <v>5.9621100060645487E-3</v>
      </c>
      <c r="K72" s="458"/>
      <c r="L72" s="185"/>
      <c r="M72" s="163"/>
      <c r="O72" s="324">
        <f t="shared" si="12"/>
        <v>2.7359985700667302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'[16]Sch C'!D61</f>
        <v>6166</v>
      </c>
      <c r="D73" s="480">
        <f>'[16]Sch C'!F61</f>
        <v>0</v>
      </c>
      <c r="E73" s="480">
        <f>+'[16]Sch C'!H61</f>
        <v>0</v>
      </c>
      <c r="F73" s="166">
        <f t="shared" si="13"/>
        <v>6166</v>
      </c>
      <c r="G73" s="626"/>
      <c r="H73" s="166"/>
      <c r="I73" s="166">
        <f t="shared" si="14"/>
        <v>6166</v>
      </c>
      <c r="J73" s="167">
        <f t="shared" si="11"/>
        <v>8.0055683232930488E-4</v>
      </c>
      <c r="K73" s="458"/>
      <c r="L73" s="185"/>
      <c r="M73" s="163"/>
      <c r="O73" s="324">
        <f t="shared" si="12"/>
        <v>0.36737368922783603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'[16]Sch C'!D62</f>
        <v>6329</v>
      </c>
      <c r="D74" s="480">
        <f>'[16]Sch C'!F62</f>
        <v>0</v>
      </c>
      <c r="E74" s="480">
        <f>+'[16]Sch C'!H62</f>
        <v>0</v>
      </c>
      <c r="F74" s="166">
        <f t="shared" si="13"/>
        <v>6329</v>
      </c>
      <c r="G74" s="626"/>
      <c r="H74" s="166"/>
      <c r="I74" s="166">
        <f t="shared" si="14"/>
        <v>6329</v>
      </c>
      <c r="J74" s="167">
        <f t="shared" si="11"/>
        <v>8.2171978459490277E-4</v>
      </c>
      <c r="K74" s="458"/>
      <c r="L74" s="187"/>
      <c r="M74" s="163"/>
      <c r="O74" s="324">
        <f t="shared" si="12"/>
        <v>0.37708531935176359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'[16]Sch C'!D63</f>
        <v>0</v>
      </c>
      <c r="D75" s="480">
        <f>'[16]Sch C'!F63</f>
        <v>0</v>
      </c>
      <c r="E75" s="480">
        <f>+'[16]Sch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'[16]Sch C'!D64</f>
        <v>0</v>
      </c>
      <c r="D76" s="480">
        <f>'[16]Sch C'!F64</f>
        <v>0</v>
      </c>
      <c r="E76" s="480">
        <f>+'[16]Sch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'[16]Sch C'!D65</f>
        <v>4515</v>
      </c>
      <c r="D77" s="480">
        <f>'[16]Sch C'!F65</f>
        <v>0</v>
      </c>
      <c r="E77" s="480">
        <f>+'[16]Sch C'!H65</f>
        <v>0</v>
      </c>
      <c r="F77" s="166">
        <f t="shared" si="13"/>
        <v>4515</v>
      </c>
      <c r="G77" s="626"/>
      <c r="H77" s="166"/>
      <c r="I77" s="166">
        <f t="shared" si="14"/>
        <v>4515</v>
      </c>
      <c r="J77" s="167">
        <f t="shared" si="11"/>
        <v>5.8620079435076414E-4</v>
      </c>
      <c r="K77" s="458"/>
      <c r="L77" s="187"/>
      <c r="M77" s="163"/>
      <c r="O77" s="324">
        <f t="shared" si="12"/>
        <v>0.26900619637750239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'[16]Sch C'!D66</f>
        <v>3538</v>
      </c>
      <c r="D78" s="480">
        <f>'[16]Sch C'!F66</f>
        <v>0</v>
      </c>
      <c r="E78" s="480">
        <f>+'[16]Sch C'!H66</f>
        <v>0</v>
      </c>
      <c r="F78" s="166">
        <f t="shared" si="13"/>
        <v>3538</v>
      </c>
      <c r="G78" s="626"/>
      <c r="H78" s="166"/>
      <c r="I78" s="166">
        <f t="shared" si="14"/>
        <v>3538</v>
      </c>
      <c r="J78" s="167">
        <f t="shared" si="11"/>
        <v>4.5935291482015583E-4</v>
      </c>
      <c r="K78" s="458"/>
      <c r="L78" s="187"/>
      <c r="M78" s="163"/>
      <c r="O78" s="324">
        <f t="shared" si="12"/>
        <v>0.21079599618684461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'[16]Sch C'!D67</f>
        <v>66483</v>
      </c>
      <c r="D79" s="480">
        <f>'[16]Sch C'!F67</f>
        <v>-819</v>
      </c>
      <c r="E79" s="480">
        <f>+'[16]Sch C'!H67</f>
        <v>0</v>
      </c>
      <c r="F79" s="166">
        <f t="shared" si="13"/>
        <v>65664</v>
      </c>
      <c r="G79" s="626"/>
      <c r="H79" s="166"/>
      <c r="I79" s="166">
        <f t="shared" si="14"/>
        <v>65664</v>
      </c>
      <c r="J79" s="167">
        <f t="shared" si="11"/>
        <v>8.5254239114614782E-3</v>
      </c>
      <c r="K79" s="458"/>
      <c r="L79" s="187"/>
      <c r="M79" s="163"/>
      <c r="O79" s="324">
        <f t="shared" si="12"/>
        <v>3.9122974261201144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'[16]Sch C'!D68</f>
        <v>0</v>
      </c>
      <c r="D80" s="480">
        <f>'[16]Sch C'!F68</f>
        <v>0</v>
      </c>
      <c r="E80" s="480">
        <f>+'[16]Sch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'[16]Sch C'!D69</f>
        <v>3838</v>
      </c>
      <c r="D81" s="480">
        <f>'[16]Sch C'!F69</f>
        <v>0</v>
      </c>
      <c r="E81" s="480">
        <f>+'[16]Sch C'!H69</f>
        <v>0</v>
      </c>
      <c r="F81" s="166">
        <f t="shared" si="13"/>
        <v>3838</v>
      </c>
      <c r="G81" s="626"/>
      <c r="H81" s="166"/>
      <c r="I81" s="166">
        <f t="shared" si="14"/>
        <v>3838</v>
      </c>
      <c r="J81" s="167">
        <f t="shared" si="11"/>
        <v>4.983031337138943E-4</v>
      </c>
      <c r="K81" s="458"/>
      <c r="L81" s="187"/>
      <c r="M81" s="163"/>
      <c r="O81" s="324">
        <f t="shared" si="12"/>
        <v>0.2286701620591039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'[16]Sch C'!D70</f>
        <v>0</v>
      </c>
      <c r="D82" s="480">
        <f>'[16]Sch C'!F70</f>
        <v>0</v>
      </c>
      <c r="E82" s="480">
        <f>+'[16]Sch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'[16]Sch C'!D71</f>
        <v>0</v>
      </c>
      <c r="D83" s="480">
        <f>'[16]Sch C'!F71</f>
        <v>0</v>
      </c>
      <c r="E83" s="480">
        <f>+'[16]Sch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897754</v>
      </c>
      <c r="D84" s="480">
        <f t="shared" si="15"/>
        <v>-819</v>
      </c>
      <c r="E84" s="480">
        <f t="shared" si="15"/>
        <v>0</v>
      </c>
      <c r="F84" s="166">
        <f t="shared" ref="F84:I84" si="16">SUM(F69:F83)</f>
        <v>896935</v>
      </c>
      <c r="G84" s="166">
        <f t="shared" si="16"/>
        <v>0</v>
      </c>
      <c r="H84" s="166">
        <f t="shared" si="16"/>
        <v>0</v>
      </c>
      <c r="I84" s="166">
        <f t="shared" si="16"/>
        <v>896935</v>
      </c>
      <c r="J84" s="167">
        <f t="shared" si="11"/>
        <v>0.1164527152781844</v>
      </c>
      <c r="K84" s="458"/>
      <c r="L84" s="187"/>
      <c r="M84" s="163"/>
      <c r="O84" s="324">
        <f t="shared" si="12"/>
        <v>53.4398832221163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'[16]Sch C'!D75</f>
        <v>38986</v>
      </c>
      <c r="D87" s="480">
        <f>'[16]Sch C'!F75</f>
        <v>0</v>
      </c>
      <c r="E87" s="480">
        <f>+'[16]Sch C'!H75</f>
        <v>0</v>
      </c>
      <c r="F87" s="166">
        <f t="shared" ref="F87:F97" si="17">C87+D87+E87</f>
        <v>38986</v>
      </c>
      <c r="G87" s="626"/>
      <c r="H87" s="166"/>
      <c r="I87" s="166">
        <f t="shared" ref="I87:I97" si="18">F87+G87+H87</f>
        <v>38986</v>
      </c>
      <c r="J87" s="167">
        <f t="shared" ref="J87:J98" si="19">IF($I$213=0,0,I87/$I$213)</f>
        <v>5.0617107793042944E-3</v>
      </c>
      <c r="K87" s="458"/>
      <c r="L87" s="176">
        <v>2033</v>
      </c>
      <c r="M87" s="176">
        <v>2162</v>
      </c>
      <c r="O87" s="324">
        <f t="shared" ref="O87:O97" si="20">I87/I$233</f>
        <v>2.3228074356530031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'[16]Sch C'!D76</f>
        <v>6759</v>
      </c>
      <c r="D88" s="480">
        <f>'[16]Sch C'!F76</f>
        <v>3113</v>
      </c>
      <c r="E88" s="480">
        <f>+'[16]Sch C'!H76</f>
        <v>0</v>
      </c>
      <c r="F88" s="166">
        <f t="shared" si="17"/>
        <v>9872</v>
      </c>
      <c r="G88" s="626"/>
      <c r="H88" s="166"/>
      <c r="I88" s="166">
        <f t="shared" si="18"/>
        <v>9872</v>
      </c>
      <c r="J88" s="167">
        <f t="shared" si="19"/>
        <v>1.2817218697299543E-3</v>
      </c>
      <c r="K88" s="458"/>
      <c r="L88" s="163"/>
      <c r="M88" s="163"/>
      <c r="O88" s="324">
        <f t="shared" si="20"/>
        <v>0.5881792183031459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'[16]Sch C'!D77</f>
        <v>14009</v>
      </c>
      <c r="D89" s="480">
        <f>'[16]Sch C'!F77</f>
        <v>0</v>
      </c>
      <c r="E89" s="480">
        <f>+'[16]Sch C'!H77</f>
        <v>0</v>
      </c>
      <c r="F89" s="166">
        <f t="shared" si="17"/>
        <v>14009</v>
      </c>
      <c r="G89" s="626"/>
      <c r="H89" s="166"/>
      <c r="I89" s="166">
        <f t="shared" si="18"/>
        <v>14009</v>
      </c>
      <c r="J89" s="167">
        <f t="shared" si="19"/>
        <v>1.8188453882746079E-3</v>
      </c>
      <c r="K89" s="458"/>
      <c r="L89" s="163"/>
      <c r="M89" s="163"/>
      <c r="O89" s="324">
        <f t="shared" si="20"/>
        <v>0.83466396568160151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'[16]Sch C'!D78</f>
        <v>0</v>
      </c>
      <c r="D90" s="480">
        <f>'[16]Sch C'!F78</f>
        <v>0</v>
      </c>
      <c r="E90" s="480">
        <f>+'[16]Sch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'[16]Sch C'!D79</f>
        <v>6245</v>
      </c>
      <c r="D91" s="480">
        <f>'[16]Sch C'!F79</f>
        <v>8732</v>
      </c>
      <c r="E91" s="480">
        <f>+'[16]Sch C'!H79</f>
        <v>0</v>
      </c>
      <c r="F91" s="166">
        <f t="shared" si="17"/>
        <v>14977</v>
      </c>
      <c r="G91" s="626"/>
      <c r="H91" s="166"/>
      <c r="I91" s="166">
        <f t="shared" si="18"/>
        <v>14977</v>
      </c>
      <c r="J91" s="167">
        <f t="shared" si="19"/>
        <v>1.9445247612384041E-3</v>
      </c>
      <c r="K91" s="458"/>
      <c r="L91" s="163"/>
      <c r="M91" s="163"/>
      <c r="O91" s="324">
        <f t="shared" si="20"/>
        <v>0.89233794089609153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'[16]Sch C'!D80</f>
        <v>27969</v>
      </c>
      <c r="D92" s="480">
        <f>'[16]Sch C'!F80</f>
        <v>0</v>
      </c>
      <c r="E92" s="480">
        <f>+'[16]Sch C'!H80</f>
        <v>0</v>
      </c>
      <c r="F92" s="166">
        <f t="shared" si="17"/>
        <v>27969</v>
      </c>
      <c r="G92" s="626"/>
      <c r="H92" s="166"/>
      <c r="I92" s="166">
        <f t="shared" si="18"/>
        <v>27969</v>
      </c>
      <c r="J92" s="167">
        <f t="shared" si="19"/>
        <v>3.6313289074632383E-3</v>
      </c>
      <c r="K92" s="458"/>
      <c r="L92" s="163"/>
      <c r="M92" s="163"/>
      <c r="O92" s="324">
        <f t="shared" si="20"/>
        <v>1.6664084842707341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'[16]Sch C'!D81</f>
        <v>24618</v>
      </c>
      <c r="D93" s="480">
        <f>'[16]Sch C'!F81</f>
        <v>0</v>
      </c>
      <c r="E93" s="480">
        <f>+'[16]Sch C'!H81</f>
        <v>0</v>
      </c>
      <c r="F93" s="166">
        <f t="shared" si="17"/>
        <v>24618</v>
      </c>
      <c r="G93" s="626"/>
      <c r="H93" s="166"/>
      <c r="I93" s="166">
        <f t="shared" si="18"/>
        <v>24618</v>
      </c>
      <c r="J93" s="167">
        <f t="shared" si="19"/>
        <v>3.1962549624201795E-3</v>
      </c>
      <c r="K93" s="458"/>
      <c r="L93" s="163"/>
      <c r="M93" s="163"/>
      <c r="O93" s="324">
        <f t="shared" si="20"/>
        <v>1.4667540514775976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'[16]Sch C'!D82</f>
        <v>4027</v>
      </c>
      <c r="D94" s="480">
        <f>'[16]Sch C'!F82</f>
        <v>0</v>
      </c>
      <c r="E94" s="480">
        <f>+'[16]Sch C'!H82</f>
        <v>0</v>
      </c>
      <c r="F94" s="166">
        <f t="shared" si="17"/>
        <v>4027</v>
      </c>
      <c r="G94" s="626"/>
      <c r="H94" s="166"/>
      <c r="I94" s="166">
        <f t="shared" si="18"/>
        <v>4027</v>
      </c>
      <c r="J94" s="167">
        <f t="shared" si="19"/>
        <v>5.228417716169495E-4</v>
      </c>
      <c r="K94" s="458"/>
      <c r="L94" s="163"/>
      <c r="M94" s="163"/>
      <c r="O94" s="324">
        <f t="shared" si="20"/>
        <v>0.23993088655862727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'[16]Sch C'!D83</f>
        <v>0</v>
      </c>
      <c r="D95" s="480">
        <f>'[16]Sch C'!F83</f>
        <v>0</v>
      </c>
      <c r="E95" s="480">
        <f>+'[16]Sch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'[16]Sch C'!D84</f>
        <v>91737</v>
      </c>
      <c r="D96" s="480">
        <f>'[16]Sch C'!F84</f>
        <v>0</v>
      </c>
      <c r="E96" s="480">
        <f>+'[16]Sch C'!H84</f>
        <v>0</v>
      </c>
      <c r="F96" s="166">
        <f t="shared" si="17"/>
        <v>91737</v>
      </c>
      <c r="G96" s="626"/>
      <c r="H96" s="166"/>
      <c r="I96" s="166">
        <f t="shared" si="18"/>
        <v>91737</v>
      </c>
      <c r="J96" s="167">
        <f t="shared" si="19"/>
        <v>1.191058743551629E-2</v>
      </c>
      <c r="K96" s="458"/>
      <c r="L96" s="163"/>
      <c r="M96" s="163"/>
      <c r="O96" s="324">
        <f t="shared" si="20"/>
        <v>5.4657411820781698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'[16]Sch C'!D85</f>
        <v>63</v>
      </c>
      <c r="D97" s="480">
        <f>'[16]Sch C'!F85</f>
        <v>0</v>
      </c>
      <c r="E97" s="480">
        <f>+'[16]Sch C'!H85</f>
        <v>0</v>
      </c>
      <c r="F97" s="166">
        <f t="shared" si="17"/>
        <v>63</v>
      </c>
      <c r="G97" s="626"/>
      <c r="H97" s="166"/>
      <c r="I97" s="166">
        <f t="shared" si="18"/>
        <v>63</v>
      </c>
      <c r="J97" s="167">
        <f t="shared" si="19"/>
        <v>8.1795459676850809E-6</v>
      </c>
      <c r="K97" s="458"/>
      <c r="L97" s="163"/>
      <c r="M97" s="163"/>
      <c r="O97" s="324">
        <f t="shared" si="20"/>
        <v>3.7535748331744517E-3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214413</v>
      </c>
      <c r="D98" s="480">
        <f t="shared" si="21"/>
        <v>11845</v>
      </c>
      <c r="E98" s="480">
        <f t="shared" si="21"/>
        <v>0</v>
      </c>
      <c r="F98" s="166">
        <f t="shared" ref="F98:I98" si="22">SUM(F87:F97)</f>
        <v>226258</v>
      </c>
      <c r="G98" s="166">
        <f t="shared" si="22"/>
        <v>0</v>
      </c>
      <c r="H98" s="166">
        <f t="shared" si="22"/>
        <v>0</v>
      </c>
      <c r="I98" s="166">
        <f t="shared" si="22"/>
        <v>226258</v>
      </c>
      <c r="J98" s="167">
        <f t="shared" si="19"/>
        <v>2.9375995421531603E-2</v>
      </c>
      <c r="K98" s="458"/>
      <c r="L98" s="163"/>
      <c r="M98" s="163"/>
      <c r="O98" s="329">
        <f>I98/I$233</f>
        <v>13.480576739752145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'[16]Sch C'!D89</f>
        <v>161713</v>
      </c>
      <c r="D101" s="480">
        <f>'[16]Sch C'!F89</f>
        <v>0</v>
      </c>
      <c r="E101" s="480">
        <f>+'[16]Sch C'!H89</f>
        <v>0</v>
      </c>
      <c r="F101" s="166">
        <f t="shared" ref="F101:F106" si="23">C101+D101+E101</f>
        <v>161713</v>
      </c>
      <c r="G101" s="626"/>
      <c r="H101" s="166"/>
      <c r="I101" s="166">
        <f t="shared" ref="I101:I106" si="24">F101+G101+H101</f>
        <v>161713</v>
      </c>
      <c r="J101" s="167">
        <f t="shared" ref="J101:J107" si="25">IF($I$213=0,0,I101/$I$213)</f>
        <v>2.0995855826543768E-2</v>
      </c>
      <c r="K101" s="458"/>
      <c r="L101" s="176">
        <v>11902</v>
      </c>
      <c r="M101" s="176">
        <v>12746</v>
      </c>
      <c r="O101" s="329">
        <f t="shared" ref="O101:O106" si="26">I101/I$233</f>
        <v>9.6349499523355568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'[16]Sch C'!D90</f>
        <v>25242</v>
      </c>
      <c r="D102" s="480">
        <f>'[16]Sch C'!F90</f>
        <v>12913</v>
      </c>
      <c r="E102" s="480">
        <f>+'[16]Sch C'!H90</f>
        <v>0</v>
      </c>
      <c r="F102" s="166">
        <f t="shared" si="23"/>
        <v>38155</v>
      </c>
      <c r="G102" s="626"/>
      <c r="H102" s="166"/>
      <c r="I102" s="166">
        <f t="shared" si="24"/>
        <v>38155</v>
      </c>
      <c r="J102" s="167">
        <f t="shared" si="25"/>
        <v>4.9538186729686387E-3</v>
      </c>
      <c r="K102" s="458"/>
      <c r="L102" s="163"/>
      <c r="M102" s="163"/>
      <c r="O102" s="329">
        <f t="shared" si="26"/>
        <v>2.2732959961868446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'[16]Sch C'!D91</f>
        <v>2729</v>
      </c>
      <c r="D103" s="480">
        <f>'[16]Sch C'!F91</f>
        <v>0</v>
      </c>
      <c r="E103" s="480">
        <f>+'[16]Sch C'!H91</f>
        <v>0</v>
      </c>
      <c r="F103" s="166">
        <f t="shared" si="23"/>
        <v>2729</v>
      </c>
      <c r="G103" s="626"/>
      <c r="H103" s="166"/>
      <c r="I103" s="166">
        <f t="shared" si="24"/>
        <v>2729</v>
      </c>
      <c r="J103" s="167">
        <f t="shared" si="25"/>
        <v>3.5431715787004103E-4</v>
      </c>
      <c r="K103" s="458"/>
      <c r="L103" s="163"/>
      <c r="M103" s="163"/>
      <c r="O103" s="329">
        <f t="shared" si="26"/>
        <v>0.16259532888465206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'[16]Sch C'!D92</f>
        <v>139179</v>
      </c>
      <c r="D104" s="480">
        <f>'[16]Sch C'!F92</f>
        <v>0</v>
      </c>
      <c r="E104" s="480">
        <f>+'[16]Sch C'!H92</f>
        <v>0</v>
      </c>
      <c r="F104" s="166">
        <f t="shared" si="23"/>
        <v>139179</v>
      </c>
      <c r="G104" s="626"/>
      <c r="H104" s="166"/>
      <c r="I104" s="166">
        <f t="shared" si="24"/>
        <v>139179</v>
      </c>
      <c r="J104" s="167">
        <f t="shared" si="25"/>
        <v>1.8070175051372091E-2</v>
      </c>
      <c r="K104" s="458"/>
      <c r="L104" s="163"/>
      <c r="M104" s="163"/>
      <c r="O104" s="329">
        <f t="shared" si="26"/>
        <v>8.2923617731172552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'[16]Sch C'!D93</f>
        <v>8688</v>
      </c>
      <c r="D105" s="480">
        <f>'[16]Sch C'!F93</f>
        <v>0</v>
      </c>
      <c r="E105" s="480">
        <f>+'[16]Sch C'!H93</f>
        <v>0</v>
      </c>
      <c r="F105" s="166">
        <f t="shared" si="23"/>
        <v>8688</v>
      </c>
      <c r="G105" s="626"/>
      <c r="H105" s="166"/>
      <c r="I105" s="166">
        <f t="shared" si="24"/>
        <v>8688</v>
      </c>
      <c r="J105" s="167">
        <f t="shared" si="25"/>
        <v>1.1279983391626663E-3</v>
      </c>
      <c r="K105" s="458"/>
      <c r="L105" s="163"/>
      <c r="M105" s="163"/>
      <c r="O105" s="329">
        <f t="shared" si="26"/>
        <v>0.5176358436606292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'[16]Sch C'!D94</f>
        <v>0</v>
      </c>
      <c r="D106" s="480">
        <f>'[16]Sch C'!F94</f>
        <v>0</v>
      </c>
      <c r="E106" s="480">
        <f>+'[16]Sch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337551</v>
      </c>
      <c r="D107" s="480">
        <f t="shared" si="27"/>
        <v>12913</v>
      </c>
      <c r="E107" s="480">
        <f t="shared" si="27"/>
        <v>0</v>
      </c>
      <c r="F107" s="166">
        <f t="shared" ref="F107:I107" si="28">SUM(F101:F106)</f>
        <v>350464</v>
      </c>
      <c r="G107" s="166">
        <f t="shared" si="28"/>
        <v>0</v>
      </c>
      <c r="H107" s="166">
        <f t="shared" si="28"/>
        <v>0</v>
      </c>
      <c r="I107" s="166">
        <f t="shared" si="28"/>
        <v>350464</v>
      </c>
      <c r="J107" s="167">
        <f t="shared" si="25"/>
        <v>4.5502165047917209E-2</v>
      </c>
      <c r="K107" s="458"/>
      <c r="L107" s="163"/>
      <c r="M107" s="163"/>
      <c r="O107" s="329">
        <f>I107/I$233</f>
        <v>20.880838894184937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'[16]Sch C'!D98</f>
        <v>16071</v>
      </c>
      <c r="D110" s="480">
        <f>'[16]Sch C'!F98</f>
        <v>0</v>
      </c>
      <c r="E110" s="480">
        <f>+'[16]Sch C'!H98</f>
        <v>0</v>
      </c>
      <c r="F110" s="166">
        <f t="shared" ref="F110:F115" si="29">C110+D110+E110</f>
        <v>16071</v>
      </c>
      <c r="G110" s="626"/>
      <c r="H110" s="166"/>
      <c r="I110" s="166">
        <f t="shared" ref="I110:I115" si="30">F110+G110+H110</f>
        <v>16071</v>
      </c>
      <c r="J110" s="167">
        <f t="shared" ref="J110:J116" si="31">IF($I$213=0,0,I110/$I$213)</f>
        <v>2.0865632261375705E-3</v>
      </c>
      <c r="K110" s="458"/>
      <c r="L110" s="176">
        <v>1511</v>
      </c>
      <c r="M110" s="176">
        <v>1679</v>
      </c>
      <c r="O110" s="329">
        <f t="shared" ref="O110:O115" si="32">I110/I$233</f>
        <v>0.95751906577693036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'[16]Sch C'!D99</f>
        <v>3324</v>
      </c>
      <c r="D111" s="480">
        <f>'[16]Sch C'!F99</f>
        <v>1283</v>
      </c>
      <c r="E111" s="480">
        <f>+'[16]Sch C'!H99</f>
        <v>0</v>
      </c>
      <c r="F111" s="166">
        <f t="shared" si="29"/>
        <v>4607</v>
      </c>
      <c r="G111" s="626"/>
      <c r="H111" s="166"/>
      <c r="I111" s="166">
        <f t="shared" si="30"/>
        <v>4607</v>
      </c>
      <c r="J111" s="167">
        <f t="shared" si="31"/>
        <v>5.9814552814484395E-4</v>
      </c>
      <c r="K111" s="458"/>
      <c r="L111" s="163"/>
      <c r="M111" s="163"/>
      <c r="O111" s="329">
        <f t="shared" si="32"/>
        <v>0.27448760724499521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'[16]Sch C'!D100</f>
        <v>8470</v>
      </c>
      <c r="D112" s="480">
        <f>'[16]Sch C'!F100</f>
        <v>0</v>
      </c>
      <c r="E112" s="480">
        <f>+'[16]Sch C'!H100</f>
        <v>0</v>
      </c>
      <c r="F112" s="166">
        <f t="shared" si="29"/>
        <v>8470</v>
      </c>
      <c r="G112" s="626"/>
      <c r="H112" s="166"/>
      <c r="I112" s="166">
        <f t="shared" si="30"/>
        <v>8470</v>
      </c>
      <c r="J112" s="167">
        <f t="shared" si="31"/>
        <v>1.0996945134332163E-3</v>
      </c>
      <c r="K112" s="458"/>
      <c r="L112" s="163"/>
      <c r="M112" s="163"/>
      <c r="O112" s="329">
        <f t="shared" si="32"/>
        <v>0.50464728312678742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'[16]Sch C'!D101</f>
        <v>0</v>
      </c>
      <c r="D113" s="480">
        <f>'[16]Sch C'!F101</f>
        <v>0</v>
      </c>
      <c r="E113" s="480">
        <f>+'[16]Sch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'[16]Sch C'!D102</f>
        <v>6633</v>
      </c>
      <c r="D114" s="480">
        <f>'[16]Sch C'!F102</f>
        <v>0</v>
      </c>
      <c r="E114" s="480">
        <f>+'[16]Sch C'!H102</f>
        <v>0</v>
      </c>
      <c r="F114" s="166">
        <f t="shared" si="29"/>
        <v>6633</v>
      </c>
      <c r="G114" s="626"/>
      <c r="H114" s="166"/>
      <c r="I114" s="166">
        <f t="shared" si="30"/>
        <v>6633</v>
      </c>
      <c r="J114" s="167">
        <f t="shared" si="31"/>
        <v>8.6118933974055779E-4</v>
      </c>
      <c r="K114" s="458"/>
      <c r="L114" s="163"/>
      <c r="M114" s="163"/>
      <c r="O114" s="329">
        <f t="shared" si="32"/>
        <v>0.39519780743565303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'[16]Sch C'!D103</f>
        <v>235</v>
      </c>
      <c r="D115" s="480">
        <f>'[16]Sch C'!F103</f>
        <v>0</v>
      </c>
      <c r="E115" s="480">
        <f>+'[16]Sch C'!H103</f>
        <v>0</v>
      </c>
      <c r="F115" s="166">
        <f t="shared" si="29"/>
        <v>235</v>
      </c>
      <c r="G115" s="626"/>
      <c r="H115" s="166"/>
      <c r="I115" s="166">
        <f t="shared" si="30"/>
        <v>235</v>
      </c>
      <c r="J115" s="167">
        <f t="shared" si="31"/>
        <v>3.0511004800095142E-5</v>
      </c>
      <c r="K115" s="458"/>
      <c r="L115" s="163"/>
      <c r="M115" s="163"/>
      <c r="O115" s="329">
        <f t="shared" si="32"/>
        <v>1.400142993326978E-2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34733</v>
      </c>
      <c r="D116" s="480">
        <f t="shared" si="33"/>
        <v>1283</v>
      </c>
      <c r="E116" s="480">
        <f t="shared" si="33"/>
        <v>0</v>
      </c>
      <c r="F116" s="166">
        <f t="shared" ref="F116:I116" si="34">SUM(F110:F115)</f>
        <v>36016</v>
      </c>
      <c r="G116" s="166">
        <f t="shared" si="34"/>
        <v>0</v>
      </c>
      <c r="H116" s="166">
        <f t="shared" si="34"/>
        <v>0</v>
      </c>
      <c r="I116" s="166">
        <f t="shared" si="34"/>
        <v>36016</v>
      </c>
      <c r="J116" s="167">
        <f t="shared" si="31"/>
        <v>4.6761036122562839E-3</v>
      </c>
      <c r="K116" s="458"/>
      <c r="L116" s="163"/>
      <c r="M116" s="163"/>
      <c r="O116" s="329">
        <f>I116/I$233</f>
        <v>2.1458531935176359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'[16]Sch C'!D115</f>
        <v>84300</v>
      </c>
      <c r="D119" s="480">
        <f>'[16]Sch C'!F115</f>
        <v>0</v>
      </c>
      <c r="E119" s="480">
        <f>+'[16]Sch C'!H115</f>
        <v>0</v>
      </c>
      <c r="F119" s="166">
        <f t="shared" ref="F119:F123" si="35">C119+D119+E119</f>
        <v>84300</v>
      </c>
      <c r="G119" s="626"/>
      <c r="H119" s="166"/>
      <c r="I119" s="166">
        <f t="shared" ref="I119:I123" si="36">F119+G119+H119</f>
        <v>84300</v>
      </c>
      <c r="J119" s="167">
        <f t="shared" ref="J119:J124" si="37">IF($I$213=0,0,I119/$I$213)</f>
        <v>1.0945011509140512E-2</v>
      </c>
      <c r="K119" s="458"/>
      <c r="L119" s="176">
        <v>8555</v>
      </c>
      <c r="M119" s="176">
        <v>9140</v>
      </c>
      <c r="O119" s="329">
        <f t="shared" ref="O119:O124" si="38">I119/I$233</f>
        <v>5.0226406101048617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'[16]Sch C'!D116</f>
        <v>13026</v>
      </c>
      <c r="D120" s="480">
        <f>'[16]Sch C'!F116</f>
        <v>6732</v>
      </c>
      <c r="E120" s="480">
        <f>+'[16]Sch C'!H116</f>
        <v>0</v>
      </c>
      <c r="F120" s="166">
        <f t="shared" si="35"/>
        <v>19758</v>
      </c>
      <c r="G120" s="626"/>
      <c r="H120" s="166"/>
      <c r="I120" s="166">
        <f t="shared" si="36"/>
        <v>19758</v>
      </c>
      <c r="J120" s="167">
        <f t="shared" si="37"/>
        <v>2.5652614163416162E-3</v>
      </c>
      <c r="K120" s="458"/>
      <c r="L120" s="163"/>
      <c r="M120" s="163"/>
      <c r="O120" s="329">
        <f t="shared" si="38"/>
        <v>1.1771925643469972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'[16]Sch C'!D117</f>
        <v>43595</v>
      </c>
      <c r="D121" s="480">
        <f>'[16]Sch C'!F117</f>
        <v>0</v>
      </c>
      <c r="E121" s="480">
        <f>+'[16]Sch C'!H117</f>
        <v>0</v>
      </c>
      <c r="F121" s="166">
        <f t="shared" si="35"/>
        <v>43595</v>
      </c>
      <c r="G121" s="626"/>
      <c r="H121" s="166"/>
      <c r="I121" s="166">
        <f t="shared" si="36"/>
        <v>43595</v>
      </c>
      <c r="J121" s="167">
        <f t="shared" si="37"/>
        <v>5.6601159755750967E-3</v>
      </c>
      <c r="K121" s="458"/>
      <c r="L121" s="163"/>
      <c r="M121" s="163"/>
      <c r="O121" s="329">
        <f t="shared" si="38"/>
        <v>2.5974142040038131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'[16]Sch C'!D118</f>
        <v>1125</v>
      </c>
      <c r="D122" s="480">
        <f>'[16]Sch C'!F118</f>
        <v>0</v>
      </c>
      <c r="E122" s="480">
        <f>+'[16]Sch C'!H118</f>
        <v>0</v>
      </c>
      <c r="F122" s="166">
        <f t="shared" si="35"/>
        <v>1125</v>
      </c>
      <c r="G122" s="626"/>
      <c r="H122" s="166"/>
      <c r="I122" s="166">
        <f t="shared" si="36"/>
        <v>1125</v>
      </c>
      <c r="J122" s="167">
        <f t="shared" si="37"/>
        <v>1.460633208515193E-4</v>
      </c>
      <c r="K122" s="458"/>
      <c r="L122" s="163"/>
      <c r="M122" s="163"/>
      <c r="O122" s="329">
        <f t="shared" si="38"/>
        <v>6.7028122020972358E-2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'[16]Sch C'!D119</f>
        <v>73</v>
      </c>
      <c r="D123" s="480">
        <f>'[16]Sch C'!F119</f>
        <v>0</v>
      </c>
      <c r="E123" s="480">
        <f>+'[16]Sch C'!H119</f>
        <v>0</v>
      </c>
      <c r="F123" s="166">
        <f t="shared" si="35"/>
        <v>73</v>
      </c>
      <c r="G123" s="626"/>
      <c r="H123" s="166"/>
      <c r="I123" s="166">
        <f t="shared" si="36"/>
        <v>73</v>
      </c>
      <c r="J123" s="167">
        <f t="shared" si="37"/>
        <v>9.4778865974763628E-6</v>
      </c>
      <c r="K123" s="458"/>
      <c r="L123" s="163"/>
      <c r="M123" s="163"/>
      <c r="O123" s="329">
        <f t="shared" si="38"/>
        <v>4.3493803622497614E-3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142119</v>
      </c>
      <c r="D124" s="480">
        <f t="shared" si="39"/>
        <v>6732</v>
      </c>
      <c r="E124" s="480">
        <f t="shared" si="39"/>
        <v>0</v>
      </c>
      <c r="F124" s="166">
        <f t="shared" ref="F124:I124" si="40">SUM(F119:F123)</f>
        <v>148851</v>
      </c>
      <c r="G124" s="166">
        <f t="shared" si="40"/>
        <v>0</v>
      </c>
      <c r="H124" s="166">
        <f t="shared" si="40"/>
        <v>0</v>
      </c>
      <c r="I124" s="166">
        <f t="shared" si="40"/>
        <v>148851</v>
      </c>
      <c r="J124" s="167">
        <f t="shared" si="37"/>
        <v>1.9325930108506223E-2</v>
      </c>
      <c r="K124" s="458"/>
      <c r="L124" s="163"/>
      <c r="M124" s="163"/>
      <c r="O124" s="329">
        <f t="shared" si="38"/>
        <v>8.8686248808388939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'[16]Sch C'!D124</f>
        <v>0</v>
      </c>
      <c r="D128" s="480">
        <f>'[16]Sch C'!F124</f>
        <v>0</v>
      </c>
      <c r="E128" s="480">
        <f>+'[16]Sch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'[16]Sch C'!D125</f>
        <v>90423</v>
      </c>
      <c r="D129" s="480">
        <f>'[16]Sch C'!F125</f>
        <v>0</v>
      </c>
      <c r="E129" s="480">
        <f>+'[16]Sch C'!H125</f>
        <v>8287</v>
      </c>
      <c r="F129" s="166">
        <f t="shared" si="41"/>
        <v>98710</v>
      </c>
      <c r="G129" s="626"/>
      <c r="H129" s="166"/>
      <c r="I129" s="166">
        <f t="shared" si="42"/>
        <v>98710</v>
      </c>
      <c r="J129" s="167">
        <f>IF($I$213=0,0,I129/$I$213)</f>
        <v>1.2815920356669751E-2</v>
      </c>
      <c r="K129" s="458"/>
      <c r="L129" s="176">
        <v>1909</v>
      </c>
      <c r="M129" s="176">
        <v>2043</v>
      </c>
      <c r="O129" s="329">
        <f t="shared" si="43"/>
        <v>5.8811963775023832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'[16]Sch C'!D126</f>
        <v>132711</v>
      </c>
      <c r="D130" s="480">
        <f>'[16]Sch C'!F126</f>
        <v>0</v>
      </c>
      <c r="E130" s="480">
        <f>+'[16]Sch C'!H126</f>
        <v>0</v>
      </c>
      <c r="F130" s="166">
        <f t="shared" si="41"/>
        <v>132711</v>
      </c>
      <c r="G130" s="626"/>
      <c r="H130" s="166"/>
      <c r="I130" s="166">
        <f t="shared" si="42"/>
        <v>132711</v>
      </c>
      <c r="J130" s="167">
        <f>IF($I$213=0,0,I130/$I$213)</f>
        <v>1.7230408332023092E-2</v>
      </c>
      <c r="K130" s="458"/>
      <c r="L130" s="176">
        <v>4099</v>
      </c>
      <c r="M130" s="176">
        <v>4319</v>
      </c>
      <c r="O130" s="329">
        <f t="shared" si="43"/>
        <v>7.9069947569113443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'[16]Sch C'!D127</f>
        <v>0</v>
      </c>
      <c r="D131" s="480">
        <f>'[16]Sch C'!F127</f>
        <v>0</v>
      </c>
      <c r="E131" s="480">
        <f>+'[16]Sch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'[16]Sch C'!D128</f>
        <v>66233</v>
      </c>
      <c r="D132" s="480">
        <f>'[16]Sch C'!F128</f>
        <v>0</v>
      </c>
      <c r="E132" s="480">
        <f>+'[16]Sch C'!H128</f>
        <v>0</v>
      </c>
      <c r="F132" s="166">
        <f t="shared" si="41"/>
        <v>66233</v>
      </c>
      <c r="G132" s="626"/>
      <c r="H132" s="166"/>
      <c r="I132" s="166">
        <f t="shared" si="42"/>
        <v>66233</v>
      </c>
      <c r="J132" s="167">
        <f>IF($I$213=0,0,I132/$I$213)</f>
        <v>8.5992994932966027E-3</v>
      </c>
      <c r="K132" s="458"/>
      <c r="L132" s="176">
        <v>3880</v>
      </c>
      <c r="M132" s="176">
        <v>4022</v>
      </c>
      <c r="O132" s="329">
        <f t="shared" si="43"/>
        <v>3.9461987607244997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'[16]Sch C'!D130</f>
        <v>0</v>
      </c>
      <c r="D134" s="480">
        <f>'[16]Sch C'!F130</f>
        <v>0</v>
      </c>
      <c r="E134" s="480">
        <f>+'[16]Sch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'[16]Sch C'!D131</f>
        <v>0</v>
      </c>
      <c r="D135" s="480">
        <f>'[16]Sch C'!F131</f>
        <v>7220</v>
      </c>
      <c r="E135" s="480">
        <f>+'[16]Sch C'!H131</f>
        <v>820</v>
      </c>
      <c r="F135" s="166">
        <f t="shared" si="44"/>
        <v>8040</v>
      </c>
      <c r="G135" s="626"/>
      <c r="H135" s="166"/>
      <c r="I135" s="166">
        <f t="shared" si="45"/>
        <v>8040</v>
      </c>
      <c r="J135" s="167">
        <f>IF($I$213=0,0,I135/$I$213)</f>
        <v>1.0438658663521913E-3</v>
      </c>
      <c r="K135" s="458"/>
      <c r="L135" s="196"/>
      <c r="M135" s="196"/>
      <c r="O135" s="329">
        <f t="shared" si="43"/>
        <v>0.47902764537654907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'[16]Sch C'!D132</f>
        <v>0</v>
      </c>
      <c r="D136" s="480">
        <f>'[16]Sch C'!F132</f>
        <v>10597</v>
      </c>
      <c r="E136" s="480">
        <f>+'[16]Sch C'!H132</f>
        <v>0</v>
      </c>
      <c r="F136" s="166">
        <f t="shared" si="44"/>
        <v>10597</v>
      </c>
      <c r="G136" s="626"/>
      <c r="H136" s="166"/>
      <c r="I136" s="166">
        <f t="shared" si="45"/>
        <v>10597</v>
      </c>
      <c r="J136" s="167">
        <f>IF($I$213=0,0,I136/$I$213)</f>
        <v>1.3758515653898222E-3</v>
      </c>
      <c r="K136" s="458"/>
      <c r="L136" s="163"/>
      <c r="M136" s="163"/>
      <c r="O136" s="329">
        <f t="shared" si="43"/>
        <v>0.63137511916110578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'[16]Sch C'!D133</f>
        <v>0</v>
      </c>
      <c r="D137" s="480">
        <f>'[16]Sch C'!F133</f>
        <v>0</v>
      </c>
      <c r="E137" s="480">
        <f>+'[16]Sch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'[16]Sch C'!D134</f>
        <v>0</v>
      </c>
      <c r="D138" s="480">
        <f>'[16]Sch C'!F134</f>
        <v>5289</v>
      </c>
      <c r="E138" s="480">
        <f>+'[16]Sch C'!H134</f>
        <v>0</v>
      </c>
      <c r="F138" s="166">
        <f t="shared" si="44"/>
        <v>5289</v>
      </c>
      <c r="G138" s="626"/>
      <c r="H138" s="166"/>
      <c r="I138" s="166">
        <f t="shared" si="45"/>
        <v>5289</v>
      </c>
      <c r="J138" s="167">
        <f>IF($I$213=0,0,I138/$I$213)</f>
        <v>6.8669235909660936E-4</v>
      </c>
      <c r="K138" s="458"/>
      <c r="L138" s="163"/>
      <c r="M138" s="163"/>
      <c r="O138" s="329">
        <f t="shared" si="43"/>
        <v>0.31512154432793138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'[16]Sch C'!D136</f>
        <v>588600</v>
      </c>
      <c r="D140" s="480">
        <f>'[16]Sch C'!F136</f>
        <v>0</v>
      </c>
      <c r="E140" s="480">
        <f>+'[16]Sch C'!H136</f>
        <v>0</v>
      </c>
      <c r="F140" s="166">
        <f t="shared" ref="F140:F143" si="46">C140+D140+E140</f>
        <v>588600</v>
      </c>
      <c r="G140" s="626"/>
      <c r="H140" s="166"/>
      <c r="I140" s="166">
        <f t="shared" ref="I140:I143" si="47">F140+G140+H140</f>
        <v>588600</v>
      </c>
      <c r="J140" s="167">
        <f>IF($I$213=0,0,I140/$I$213)</f>
        <v>7.6420329469514894E-2</v>
      </c>
      <c r="K140" s="458"/>
      <c r="L140" s="176">
        <v>20369</v>
      </c>
      <c r="M140" s="176">
        <v>21702.211879892893</v>
      </c>
      <c r="O140" s="329">
        <f t="shared" si="43"/>
        <v>35.069113441372735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'[16]Sch C'!D137</f>
        <v>194719</v>
      </c>
      <c r="D141" s="480">
        <f>'[16]Sch C'!F137</f>
        <v>0</v>
      </c>
      <c r="E141" s="480">
        <f>+'[16]Sch C'!H137</f>
        <v>0</v>
      </c>
      <c r="F141" s="166">
        <f t="shared" si="46"/>
        <v>194719</v>
      </c>
      <c r="G141" s="626"/>
      <c r="H141" s="166"/>
      <c r="I141" s="166">
        <f t="shared" si="47"/>
        <v>194719</v>
      </c>
      <c r="J141" s="167">
        <f>IF($I$213=0,0,I141/$I$213)</f>
        <v>2.5281158909232878E-2</v>
      </c>
      <c r="K141" s="458"/>
      <c r="L141" s="176">
        <v>8372</v>
      </c>
      <c r="M141" s="176">
        <v>8882.9073951439896</v>
      </c>
      <c r="O141" s="329">
        <f t="shared" si="43"/>
        <v>11.601465681601525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'[16]Sch C'!D138</f>
        <v>591649</v>
      </c>
      <c r="D142" s="480">
        <f>'[16]Sch C'!F138</f>
        <v>0</v>
      </c>
      <c r="E142" s="480">
        <f>+'[16]Sch C'!H138</f>
        <v>0</v>
      </c>
      <c r="F142" s="166">
        <f t="shared" si="46"/>
        <v>591649</v>
      </c>
      <c r="G142" s="626"/>
      <c r="H142" s="166"/>
      <c r="I142" s="166">
        <f t="shared" si="47"/>
        <v>591649</v>
      </c>
      <c r="J142" s="167">
        <f>IF($I$213=0,0,I142/$I$213)</f>
        <v>7.6816193527538254E-2</v>
      </c>
      <c r="K142" s="458"/>
      <c r="L142" s="176">
        <v>47378</v>
      </c>
      <c r="M142" s="176">
        <v>51435.941096503491</v>
      </c>
      <c r="O142" s="329">
        <f t="shared" si="43"/>
        <v>35.250774547187795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'[16]Sch C'!D139</f>
        <v>184767</v>
      </c>
      <c r="D143" s="480">
        <f>'[16]Sch C'!F139</f>
        <v>0</v>
      </c>
      <c r="E143" s="480">
        <f>+'[16]Sch C'!H139</f>
        <v>0</v>
      </c>
      <c r="F143" s="166">
        <f t="shared" si="46"/>
        <v>184767</v>
      </c>
      <c r="G143" s="626"/>
      <c r="H143" s="166"/>
      <c r="I143" s="166">
        <f t="shared" si="47"/>
        <v>184767</v>
      </c>
      <c r="J143" s="167">
        <f>IF($I$213=0,0,I143/$I$213)</f>
        <v>2.3989050314464591E-2</v>
      </c>
      <c r="K143" s="458"/>
      <c r="L143" s="176">
        <v>8653</v>
      </c>
      <c r="M143" s="176">
        <v>9349.3540540792601</v>
      </c>
      <c r="O143" s="329">
        <f t="shared" si="43"/>
        <v>11.008520019065777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'[16]Sch C'!D141</f>
        <v>0</v>
      </c>
      <c r="D145" s="480">
        <f>'[16]Sch C'!F141</f>
        <v>47001</v>
      </c>
      <c r="E145" s="480">
        <f>+'[16]Sch C'!H141</f>
        <v>0</v>
      </c>
      <c r="F145" s="166">
        <f t="shared" ref="F145:F148" si="48">C145+D145+E145</f>
        <v>47001</v>
      </c>
      <c r="G145" s="626"/>
      <c r="H145" s="166"/>
      <c r="I145" s="166">
        <f t="shared" ref="I145:I148" si="49">F145+G145+H145</f>
        <v>47001</v>
      </c>
      <c r="J145" s="167">
        <f>IF($I$213=0,0,I145/$I$213)</f>
        <v>6.102330794082008E-3</v>
      </c>
      <c r="K145" s="458"/>
      <c r="L145" s="163"/>
      <c r="M145" s="163"/>
      <c r="O145" s="329">
        <f t="shared" si="43"/>
        <v>2.8003455672068638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'[16]Sch C'!D142</f>
        <v>0</v>
      </c>
      <c r="D146" s="480">
        <f>'[16]Sch C'!F142</f>
        <v>15549</v>
      </c>
      <c r="E146" s="480">
        <f>+'[16]Sch C'!H142</f>
        <v>0</v>
      </c>
      <c r="F146" s="166">
        <f t="shared" si="48"/>
        <v>15549</v>
      </c>
      <c r="G146" s="626"/>
      <c r="H146" s="166"/>
      <c r="I146" s="166">
        <f t="shared" si="49"/>
        <v>15549</v>
      </c>
      <c r="J146" s="167">
        <f>IF($I$213=0,0,I146/$I$213)</f>
        <v>2.0187898452624655E-3</v>
      </c>
      <c r="K146" s="458"/>
      <c r="L146" s="163"/>
      <c r="M146" s="163"/>
      <c r="O146" s="329">
        <f t="shared" si="43"/>
        <v>0.92641801715919925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'[16]Sch C'!D143</f>
        <v>0</v>
      </c>
      <c r="D147" s="480">
        <f>'[16]Sch C'!F143</f>
        <v>47245</v>
      </c>
      <c r="E147" s="480">
        <f>+'[16]Sch C'!H143</f>
        <v>0</v>
      </c>
      <c r="F147" s="166">
        <f t="shared" si="48"/>
        <v>47245</v>
      </c>
      <c r="G147" s="626"/>
      <c r="H147" s="166"/>
      <c r="I147" s="166">
        <f t="shared" si="49"/>
        <v>47245</v>
      </c>
      <c r="J147" s="167">
        <f>IF($I$213=0,0,I147/$I$213)</f>
        <v>6.1340103054489149E-3</v>
      </c>
      <c r="K147" s="458"/>
      <c r="L147" s="163"/>
      <c r="M147" s="163"/>
      <c r="O147" s="329">
        <f t="shared" si="43"/>
        <v>2.8148832221163014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'[16]Sch C'!D144</f>
        <v>287836</v>
      </c>
      <c r="D148" s="480">
        <f>'[16]Sch C'!F144</f>
        <v>14754</v>
      </c>
      <c r="E148" s="480">
        <f>+'[16]Sch C'!H144</f>
        <v>0</v>
      </c>
      <c r="F148" s="166">
        <f t="shared" si="48"/>
        <v>302590</v>
      </c>
      <c r="G148" s="626"/>
      <c r="H148" s="166"/>
      <c r="I148" s="166">
        <f t="shared" si="49"/>
        <v>302590</v>
      </c>
      <c r="J148" s="167">
        <f>IF($I$213=0,0,I148/$I$213)</f>
        <v>3.9286489116854423E-2</v>
      </c>
      <c r="K148" s="458"/>
      <c r="L148" s="163"/>
      <c r="M148" s="163"/>
      <c r="O148" s="329">
        <f t="shared" si="43"/>
        <v>18.028479504289798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'[16]Sch C'!D146</f>
        <v>30358</v>
      </c>
      <c r="D150" s="480">
        <f>'[16]Sch C'!F146</f>
        <v>0</v>
      </c>
      <c r="E150" s="480">
        <f>+'[16]Sch C'!H146</f>
        <v>0</v>
      </c>
      <c r="F150" s="166">
        <f t="shared" ref="F150:F158" si="50">C150+D150+E150</f>
        <v>30358</v>
      </c>
      <c r="G150" s="626"/>
      <c r="H150" s="166"/>
      <c r="I150" s="166">
        <f t="shared" ref="I150:I158" si="51">F150+G150+H150</f>
        <v>30358</v>
      </c>
      <c r="J150" s="167">
        <f t="shared" ref="J150:J158" si="52">IF($I$213=0,0,I150/$I$213)</f>
        <v>3.9415024839203755E-3</v>
      </c>
      <c r="K150" s="458"/>
      <c r="L150" s="176">
        <v>126</v>
      </c>
      <c r="M150" s="176">
        <v>126</v>
      </c>
      <c r="O150" s="329">
        <f t="shared" si="43"/>
        <v>1.8087464251668255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'[16]Sch C'!D147</f>
        <v>0</v>
      </c>
      <c r="D151" s="480">
        <f>'[16]Sch C'!F147</f>
        <v>0</v>
      </c>
      <c r="E151" s="480">
        <f>+'[16]Sch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'[16]Sch C'!D148</f>
        <v>0</v>
      </c>
      <c r="D152" s="480">
        <f>'[16]Sch C'!F148</f>
        <v>0</v>
      </c>
      <c r="E152" s="480">
        <f>+'[16]Sch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'[16]Sch C'!D149</f>
        <v>0</v>
      </c>
      <c r="D153" s="480">
        <f>'[16]Sch C'!F149</f>
        <v>0</v>
      </c>
      <c r="E153" s="480">
        <f>+'[16]Sch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'[16]Sch C'!D150</f>
        <v>7103</v>
      </c>
      <c r="D154" s="480">
        <f>'[16]Sch C'!F150</f>
        <v>0</v>
      </c>
      <c r="E154" s="480">
        <f>+'[16]Sch C'!H150</f>
        <v>0</v>
      </c>
      <c r="F154" s="166">
        <f t="shared" si="50"/>
        <v>7103</v>
      </c>
      <c r="G154" s="626"/>
      <c r="H154" s="166"/>
      <c r="I154" s="166">
        <f t="shared" si="51"/>
        <v>7103</v>
      </c>
      <c r="J154" s="167">
        <f t="shared" si="52"/>
        <v>9.222113493407481E-4</v>
      </c>
      <c r="K154" s="458"/>
      <c r="L154" s="176">
        <v>109</v>
      </c>
      <c r="M154" s="176">
        <v>109</v>
      </c>
      <c r="O154" s="329">
        <f t="shared" si="43"/>
        <v>0.42320066730219258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'[16]Sch C'!D151</f>
        <v>82046</v>
      </c>
      <c r="D155" s="480">
        <f>'[16]Sch C'!F151</f>
        <v>0</v>
      </c>
      <c r="E155" s="480">
        <f>+'[16]Sch C'!H151</f>
        <v>0</v>
      </c>
      <c r="F155" s="166">
        <f t="shared" si="50"/>
        <v>82046</v>
      </c>
      <c r="G155" s="626"/>
      <c r="H155" s="166"/>
      <c r="I155" s="166">
        <f t="shared" si="51"/>
        <v>82046</v>
      </c>
      <c r="J155" s="167">
        <f t="shared" si="52"/>
        <v>1.0652365531185558E-2</v>
      </c>
      <c r="K155" s="458"/>
      <c r="L155" s="163"/>
      <c r="M155" s="163"/>
      <c r="O155" s="329">
        <f t="shared" si="43"/>
        <v>4.8883460438512873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'[16]Sch C'!D152</f>
        <v>4349</v>
      </c>
      <c r="D156" s="480">
        <f>'[16]Sch C'!F152</f>
        <v>0</v>
      </c>
      <c r="E156" s="480">
        <f>+'[16]Sch C'!H152</f>
        <v>0</v>
      </c>
      <c r="F156" s="166">
        <f t="shared" si="50"/>
        <v>4349</v>
      </c>
      <c r="G156" s="626"/>
      <c r="H156" s="166"/>
      <c r="I156" s="166">
        <f t="shared" si="51"/>
        <v>4349</v>
      </c>
      <c r="J156" s="167">
        <f t="shared" si="52"/>
        <v>5.6464833989622884E-4</v>
      </c>
      <c r="K156" s="458"/>
      <c r="L156" s="163"/>
      <c r="M156" s="163"/>
      <c r="O156" s="329">
        <f t="shared" si="43"/>
        <v>0.25911582459485222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'[16]Sch C'!D153</f>
        <v>1757</v>
      </c>
      <c r="D157" s="480">
        <f>'[16]Sch C'!F153</f>
        <v>0</v>
      </c>
      <c r="E157" s="480">
        <f>+'[16]Sch C'!H153</f>
        <v>0</v>
      </c>
      <c r="F157" s="166">
        <f t="shared" si="50"/>
        <v>1757</v>
      </c>
      <c r="G157" s="626"/>
      <c r="H157" s="166"/>
      <c r="I157" s="166">
        <f t="shared" si="51"/>
        <v>1757</v>
      </c>
      <c r="J157" s="167">
        <f t="shared" si="52"/>
        <v>2.2811844865432837E-4</v>
      </c>
      <c r="K157" s="458"/>
      <c r="L157" s="163"/>
      <c r="M157" s="163"/>
      <c r="O157" s="329">
        <f t="shared" si="43"/>
        <v>0.10468303145853193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'[16]Sch C'!D154</f>
        <v>0</v>
      </c>
      <c r="D158" s="480">
        <f>'[16]Sch C'!F154</f>
        <v>0</v>
      </c>
      <c r="E158" s="480">
        <f>+'[16]Sch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'[16]Sch C'!D156</f>
        <v>0</v>
      </c>
      <c r="D160" s="480">
        <f>'[16]Sch C'!F156</f>
        <v>0</v>
      </c>
      <c r="E160" s="480">
        <f>+'[16]Sch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'[16]Sch C'!D157</f>
        <v>0</v>
      </c>
      <c r="D161" s="480">
        <f>'[16]Sch C'!F157</f>
        <v>0</v>
      </c>
      <c r="E161" s="480">
        <f>+'[16]Sch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'[16]Sch C'!D158</f>
        <v>0</v>
      </c>
      <c r="D162" s="480">
        <f>'[16]Sch C'!F158</f>
        <v>0</v>
      </c>
      <c r="E162" s="480">
        <f>+'[16]Sch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'[16]Sch C'!D159</f>
        <v>0</v>
      </c>
      <c r="D163" s="480">
        <f>'[16]Sch C'!F159</f>
        <v>0</v>
      </c>
      <c r="E163" s="480">
        <f>+'[16]Sch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'[16]Sch C'!D160</f>
        <v>0</v>
      </c>
      <c r="D164" s="480">
        <f>'[16]Sch C'!F160</f>
        <v>0</v>
      </c>
      <c r="E164" s="480">
        <f>+'[16]Sch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'[16]Sch C'!D161</f>
        <v>13276</v>
      </c>
      <c r="D165" s="480">
        <f>'[16]Sch C'!F161</f>
        <v>0</v>
      </c>
      <c r="E165" s="480">
        <f>+'[16]Sch C'!H161</f>
        <v>0</v>
      </c>
      <c r="F165" s="166">
        <f t="shared" si="53"/>
        <v>13276</v>
      </c>
      <c r="G165" s="626"/>
      <c r="H165" s="166"/>
      <c r="I165" s="166">
        <f t="shared" si="54"/>
        <v>13276</v>
      </c>
      <c r="J165" s="167">
        <f t="shared" si="55"/>
        <v>1.7236770201109069E-3</v>
      </c>
      <c r="K165" s="458"/>
      <c r="L165" s="163"/>
      <c r="M165" s="163"/>
      <c r="O165" s="329">
        <f t="shared" si="43"/>
        <v>0.79099142040038128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2275827</v>
      </c>
      <c r="D166" s="480">
        <f t="shared" si="56"/>
        <v>147655</v>
      </c>
      <c r="E166" s="480">
        <f t="shared" si="56"/>
        <v>9107</v>
      </c>
      <c r="F166" s="166">
        <f t="shared" ref="F166:I166" si="57">SUM(F128:F165)</f>
        <v>2432589</v>
      </c>
      <c r="G166" s="166">
        <f t="shared" si="57"/>
        <v>0</v>
      </c>
      <c r="H166" s="166">
        <f t="shared" si="57"/>
        <v>0</v>
      </c>
      <c r="I166" s="166">
        <f t="shared" si="57"/>
        <v>2432589</v>
      </c>
      <c r="J166" s="167">
        <f t="shared" si="55"/>
        <v>0.31583291342833464</v>
      </c>
      <c r="K166" s="458"/>
      <c r="L166" s="163"/>
      <c r="M166" s="163"/>
      <c r="O166" s="329">
        <f>I166/I$233</f>
        <v>144.93499761677788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 ht="26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'[16]Sch C'!D175</f>
        <v>0</v>
      </c>
      <c r="D169" s="480">
        <f>'[16]Sch C'!F175</f>
        <v>0</v>
      </c>
      <c r="E169" s="480">
        <f>+'[16]Sch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9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'[16]Sch C'!D176</f>
        <v>0</v>
      </c>
      <c r="D170" s="480">
        <f>'[16]Sch C'!F176</f>
        <v>0</v>
      </c>
      <c r="E170" s="480">
        <f>+'[16]Sch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9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'[16]Sch C'!D177</f>
        <v>740255</v>
      </c>
      <c r="D171" s="480">
        <f>'[16]Sch C'!F177</f>
        <v>0</v>
      </c>
      <c r="E171" s="480">
        <f>+'[16]Sch C'!H177</f>
        <v>0</v>
      </c>
      <c r="F171" s="166">
        <f t="shared" si="58"/>
        <v>740255</v>
      </c>
      <c r="G171" s="626"/>
      <c r="H171" s="166"/>
      <c r="I171" s="166">
        <f t="shared" si="59"/>
        <v>740255</v>
      </c>
      <c r="J171" s="167">
        <f t="shared" si="60"/>
        <v>9.611031429061459E-2</v>
      </c>
      <c r="K171" s="468"/>
      <c r="L171" s="176">
        <v>27843</v>
      </c>
      <c r="M171" s="176">
        <v>30012</v>
      </c>
      <c r="N171" s="209"/>
      <c r="O171" s="329">
        <f t="shared" si="61"/>
        <v>44.10480219256435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'[16]Sch C'!D178</f>
        <v>118906</v>
      </c>
      <c r="D172" s="480">
        <f>'[16]Sch C'!F178</f>
        <v>59111</v>
      </c>
      <c r="E172" s="480">
        <f>+'[16]Sch C'!H178</f>
        <v>0</v>
      </c>
      <c r="F172" s="166">
        <f t="shared" si="58"/>
        <v>178017</v>
      </c>
      <c r="G172" s="626"/>
      <c r="H172" s="166"/>
      <c r="I172" s="166">
        <f t="shared" si="59"/>
        <v>178017</v>
      </c>
      <c r="J172" s="167">
        <f t="shared" si="60"/>
        <v>2.3112670389355477E-2</v>
      </c>
      <c r="K172" s="469"/>
      <c r="L172" s="212"/>
      <c r="M172" s="212"/>
      <c r="N172" s="209"/>
      <c r="O172" s="329">
        <f t="shared" si="61"/>
        <v>10.606351286939942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'[16]Sch C'!D179</f>
        <v>52563</v>
      </c>
      <c r="D173" s="480">
        <f>'[16]Sch C'!F179</f>
        <v>0</v>
      </c>
      <c r="E173" s="480">
        <f>+'[16]Sch C'!H179</f>
        <v>0</v>
      </c>
      <c r="F173" s="166">
        <f t="shared" si="58"/>
        <v>52563</v>
      </c>
      <c r="G173" s="626"/>
      <c r="H173" s="166"/>
      <c r="I173" s="166">
        <f t="shared" si="59"/>
        <v>52563</v>
      </c>
      <c r="J173" s="167">
        <f t="shared" si="60"/>
        <v>6.8244678523719194E-3</v>
      </c>
      <c r="K173" s="468"/>
      <c r="L173" s="176">
        <v>1206</v>
      </c>
      <c r="M173" s="176">
        <v>1330</v>
      </c>
      <c r="N173" s="209"/>
      <c r="O173" s="329">
        <f t="shared" si="61"/>
        <v>3.131732602478551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'[16]Sch C'!D180</f>
        <v>10086</v>
      </c>
      <c r="D174" s="480">
        <f>'[16]Sch C'!F180</f>
        <v>4197</v>
      </c>
      <c r="E174" s="480">
        <f>+'[16]Sch C'!H180</f>
        <v>0</v>
      </c>
      <c r="F174" s="166">
        <f t="shared" si="58"/>
        <v>14283</v>
      </c>
      <c r="G174" s="626"/>
      <c r="H174" s="166"/>
      <c r="I174" s="166">
        <f t="shared" si="59"/>
        <v>14283</v>
      </c>
      <c r="J174" s="167">
        <f t="shared" si="60"/>
        <v>1.8544199215308891E-3</v>
      </c>
      <c r="K174" s="469"/>
      <c r="L174" s="212"/>
      <c r="M174" s="212"/>
      <c r="N174" s="209"/>
      <c r="O174" s="329">
        <f t="shared" si="61"/>
        <v>0.85098903717826502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'[16]Sch C'!D181</f>
        <v>0</v>
      </c>
      <c r="D175" s="480">
        <f>'[16]Sch C'!F181</f>
        <v>0</v>
      </c>
      <c r="E175" s="480">
        <f>+'[16]Sch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9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'[16]Sch C'!D182</f>
        <v>0</v>
      </c>
      <c r="D176" s="480">
        <f>'[16]Sch C'!F182</f>
        <v>0</v>
      </c>
      <c r="E176" s="480">
        <f>+'[16]Sch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9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'[16]Sch C'!D183</f>
        <v>464750</v>
      </c>
      <c r="D177" s="480">
        <f>'[16]Sch C'!F183</f>
        <v>0</v>
      </c>
      <c r="E177" s="480">
        <f>+'[16]Sch C'!H183</f>
        <v>0</v>
      </c>
      <c r="F177" s="166">
        <f t="shared" si="58"/>
        <v>464750</v>
      </c>
      <c r="G177" s="626"/>
      <c r="H177" s="166"/>
      <c r="I177" s="166">
        <f t="shared" si="59"/>
        <v>464750</v>
      </c>
      <c r="J177" s="167">
        <f t="shared" si="60"/>
        <v>6.034038076954986E-2</v>
      </c>
      <c r="K177" s="468"/>
      <c r="L177" s="176">
        <v>13000</v>
      </c>
      <c r="M177" s="176">
        <v>14149</v>
      </c>
      <c r="N177" s="209"/>
      <c r="O177" s="329">
        <f t="shared" si="61"/>
        <v>27.690061963775022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'[16]Sch C'!D184</f>
        <v>81532</v>
      </c>
      <c r="D178" s="480">
        <f>'[16]Sch C'!F184</f>
        <v>37111</v>
      </c>
      <c r="E178" s="480">
        <f>+'[16]Sch C'!H184</f>
        <v>0</v>
      </c>
      <c r="F178" s="166">
        <f t="shared" si="58"/>
        <v>118643</v>
      </c>
      <c r="G178" s="626"/>
      <c r="H178" s="166"/>
      <c r="I178" s="166">
        <f t="shared" si="59"/>
        <v>118643</v>
      </c>
      <c r="J178" s="167">
        <f t="shared" si="60"/>
        <v>1.5403902734032715E-2</v>
      </c>
      <c r="K178" s="469"/>
      <c r="L178" s="212"/>
      <c r="M178" s="212"/>
      <c r="N178" s="209"/>
      <c r="O178" s="329">
        <f t="shared" si="61"/>
        <v>7.0688155386081979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'[16]Sch C'!D185</f>
        <v>0</v>
      </c>
      <c r="D179" s="480">
        <f>'[16]Sch C'!F185</f>
        <v>0</v>
      </c>
      <c r="E179" s="480">
        <f>+'[16]Sch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9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'[16]Sch C'!D186</f>
        <v>0</v>
      </c>
      <c r="D180" s="480">
        <f>'[16]Sch C'!F186</f>
        <v>0</v>
      </c>
      <c r="E180" s="480">
        <f>+'[16]Sch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'[16]Sch C'!D187</f>
        <v>0</v>
      </c>
      <c r="D181" s="480">
        <f>'[16]Sch C'!F187</f>
        <v>0</v>
      </c>
      <c r="E181" s="480">
        <f>+'[16]Sch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'[16]Sch C'!D188</f>
        <v>11065</v>
      </c>
      <c r="D182" s="480">
        <f>'[16]Sch C'!F188</f>
        <v>0</v>
      </c>
      <c r="E182" s="480">
        <f>+'[16]Sch C'!H188</f>
        <v>0</v>
      </c>
      <c r="F182" s="166">
        <f t="shared" si="58"/>
        <v>11065</v>
      </c>
      <c r="G182" s="626"/>
      <c r="H182" s="166"/>
      <c r="I182" s="166">
        <f t="shared" si="59"/>
        <v>11065</v>
      </c>
      <c r="J182" s="167">
        <f t="shared" si="60"/>
        <v>1.4366139068640543E-3</v>
      </c>
      <c r="K182" s="458"/>
      <c r="L182" s="213"/>
      <c r="M182" s="208"/>
      <c r="N182" s="210"/>
      <c r="O182" s="329">
        <f t="shared" si="61"/>
        <v>0.65925881792183028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'[16]Sch C'!D189</f>
        <v>0</v>
      </c>
      <c r="D183" s="480">
        <f>'[16]Sch C'!F189</f>
        <v>0</v>
      </c>
      <c r="E183" s="480">
        <f>+'[16]Sch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'[16]Sch C'!D190</f>
        <v>0</v>
      </c>
      <c r="D184" s="480">
        <f>'[16]Sch C'!F190</f>
        <v>0</v>
      </c>
      <c r="E184" s="480">
        <f>+'[16]Sch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'[16]Sch C'!D191</f>
        <v>911</v>
      </c>
      <c r="D185" s="480">
        <f>'[16]Sch C'!F191</f>
        <v>0</v>
      </c>
      <c r="E185" s="480">
        <f>+'[16]Sch C'!H191</f>
        <v>0</v>
      </c>
      <c r="F185" s="166">
        <f t="shared" si="58"/>
        <v>911</v>
      </c>
      <c r="G185" s="626"/>
      <c r="H185" s="166"/>
      <c r="I185" s="166">
        <f t="shared" si="59"/>
        <v>911</v>
      </c>
      <c r="J185" s="167">
        <f t="shared" si="60"/>
        <v>1.1827883137398584E-4</v>
      </c>
      <c r="K185" s="458"/>
      <c r="L185" s="213"/>
      <c r="M185" s="208"/>
      <c r="N185" s="210"/>
      <c r="O185" s="329">
        <f t="shared" si="61"/>
        <v>5.4277883698760722E-2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'[16]Sch C'!D192</f>
        <v>0</v>
      </c>
      <c r="D186" s="480">
        <f>'[16]Sch C'!F192</f>
        <v>0</v>
      </c>
      <c r="E186" s="480">
        <f>+'[16]Sch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'[16]Sch C'!D193</f>
        <v>0</v>
      </c>
      <c r="D187" s="480">
        <f>'[16]Sch C'!F193</f>
        <v>0</v>
      </c>
      <c r="E187" s="480">
        <f>+'[16]Sch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'[16]Sch C'!D194</f>
        <v>0</v>
      </c>
      <c r="D188" s="480">
        <f>'[16]Sch C'!F194</f>
        <v>0</v>
      </c>
      <c r="E188" s="480">
        <f>+'[16]Sch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N188" s="210"/>
      <c r="O188" s="329">
        <f t="shared" si="61"/>
        <v>0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'[16]Sch C'!D195</f>
        <v>863</v>
      </c>
      <c r="D189" s="480">
        <f>'[16]Sch C'!F195</f>
        <v>0</v>
      </c>
      <c r="E189" s="480">
        <f>+'[16]Sch C'!H195</f>
        <v>0</v>
      </c>
      <c r="F189" s="166">
        <f t="shared" si="58"/>
        <v>863</v>
      </c>
      <c r="G189" s="626"/>
      <c r="H189" s="166"/>
      <c r="I189" s="166">
        <f t="shared" si="59"/>
        <v>863</v>
      </c>
      <c r="J189" s="167">
        <f t="shared" si="60"/>
        <v>1.1204679635098769E-4</v>
      </c>
      <c r="K189" s="458"/>
      <c r="L189" s="213"/>
      <c r="M189" s="208"/>
      <c r="N189" s="210"/>
      <c r="O189" s="329">
        <f t="shared" si="61"/>
        <v>5.141801715919924E-2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'[16]Sch C'!D196</f>
        <v>0</v>
      </c>
      <c r="D190" s="480">
        <f>'[16]Sch C'!F196</f>
        <v>0</v>
      </c>
      <c r="E190" s="480">
        <f>+'[16]Sch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210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'[16]Sch C'!D197</f>
        <v>0</v>
      </c>
      <c r="D191" s="480">
        <f>'[16]Sch C'!F197</f>
        <v>0</v>
      </c>
      <c r="E191" s="480">
        <f>+'[16]Sch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210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'[16]Sch C'!D198</f>
        <v>62839</v>
      </c>
      <c r="D192" s="480">
        <f>'[16]Sch C'!F198</f>
        <v>0</v>
      </c>
      <c r="E192" s="480">
        <f>+'[16]Sch C'!H198</f>
        <v>-150</v>
      </c>
      <c r="F192" s="166">
        <f t="shared" si="58"/>
        <v>62689</v>
      </c>
      <c r="G192" s="626"/>
      <c r="H192" s="166"/>
      <c r="I192" s="166">
        <f t="shared" si="59"/>
        <v>62689</v>
      </c>
      <c r="J192" s="167">
        <f t="shared" si="60"/>
        <v>8.1391675740985717E-3</v>
      </c>
      <c r="K192" s="458"/>
      <c r="L192" s="213"/>
      <c r="M192" s="208"/>
      <c r="N192" s="210"/>
      <c r="O192" s="329">
        <f t="shared" si="61"/>
        <v>3.7350452812202097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'[16]Sch C'!D199</f>
        <v>0</v>
      </c>
      <c r="D193" s="480">
        <f>'[16]Sch C'!F199</f>
        <v>0</v>
      </c>
      <c r="E193" s="480">
        <f>+'[16]Sch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210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'[16]Sch C'!D200</f>
        <v>0</v>
      </c>
      <c r="D194" s="480">
        <f>'[16]Sch C'!F200</f>
        <v>0</v>
      </c>
      <c r="E194" s="480">
        <f>+'[16]Sch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210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'[16]Sch C'!D201</f>
        <v>0</v>
      </c>
      <c r="D195" s="480">
        <f>'[16]Sch C'!F201</f>
        <v>0</v>
      </c>
      <c r="E195" s="480">
        <f>+'[16]Sch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210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'[16]Sch C'!D202</f>
        <v>0</v>
      </c>
      <c r="D196" s="480">
        <f>'[16]Sch C'!F202</f>
        <v>0</v>
      </c>
      <c r="E196" s="480">
        <f>+'[16]Sch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210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'[16]Sch C'!D203</f>
        <v>0</v>
      </c>
      <c r="D197" s="480">
        <f>'[16]Sch C'!F203</f>
        <v>0</v>
      </c>
      <c r="E197" s="480">
        <f>+'[16]Sch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210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'[16]Sch C'!D204</f>
        <v>0</v>
      </c>
      <c r="D198" s="480">
        <f>'[16]Sch C'!F204</f>
        <v>0</v>
      </c>
      <c r="E198" s="480">
        <f>+'[16]Sch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210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'[16]Sch C'!D205</f>
        <v>605503</v>
      </c>
      <c r="D199" s="480">
        <f>'[16]Sch C'!F205</f>
        <v>0</v>
      </c>
      <c r="E199" s="480">
        <f>+'[16]Sch C'!H205</f>
        <v>0</v>
      </c>
      <c r="F199" s="166">
        <f t="shared" si="58"/>
        <v>605503</v>
      </c>
      <c r="G199" s="626"/>
      <c r="H199" s="166"/>
      <c r="I199" s="166">
        <f t="shared" si="59"/>
        <v>605503</v>
      </c>
      <c r="J199" s="167">
        <f t="shared" si="60"/>
        <v>7.8614914636051109E-2</v>
      </c>
      <c r="K199" s="458"/>
      <c r="L199" s="213"/>
      <c r="M199" s="208"/>
      <c r="N199" s="210"/>
      <c r="O199" s="329">
        <f t="shared" si="61"/>
        <v>36.07620352716873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'[16]Sch C'!D206</f>
        <v>6994</v>
      </c>
      <c r="D200" s="480">
        <f>'[16]Sch C'!F206</f>
        <v>0</v>
      </c>
      <c r="E200" s="480">
        <f>+'[16]Sch C'!H206</f>
        <v>0</v>
      </c>
      <c r="F200" s="166">
        <f t="shared" si="58"/>
        <v>6994</v>
      </c>
      <c r="G200" s="626"/>
      <c r="H200" s="166"/>
      <c r="I200" s="166">
        <f t="shared" si="59"/>
        <v>6994</v>
      </c>
      <c r="J200" s="167">
        <f t="shared" si="60"/>
        <v>9.0805943647602309E-4</v>
      </c>
      <c r="K200" s="458"/>
      <c r="L200" s="213"/>
      <c r="M200" s="208"/>
      <c r="N200" s="210"/>
      <c r="O200" s="329">
        <f t="shared" si="61"/>
        <v>0.41670638703527169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'[16]Sch C'!D207</f>
        <v>42357</v>
      </c>
      <c r="D201" s="480">
        <f>'[16]Sch C'!F207</f>
        <v>-2483</v>
      </c>
      <c r="E201" s="480">
        <f>+'[16]Sch C'!H207</f>
        <v>0</v>
      </c>
      <c r="F201" s="166">
        <f t="shared" si="58"/>
        <v>39874</v>
      </c>
      <c r="G201" s="626">
        <v>2483</v>
      </c>
      <c r="H201" s="166">
        <v>-2483</v>
      </c>
      <c r="I201" s="166">
        <f t="shared" si="59"/>
        <v>39874</v>
      </c>
      <c r="J201" s="167">
        <f t="shared" si="60"/>
        <v>5.1770034272297606E-3</v>
      </c>
      <c r="K201" s="681" t="s">
        <v>645</v>
      </c>
      <c r="L201" s="213"/>
      <c r="M201" s="208"/>
      <c r="N201" s="210"/>
      <c r="O201" s="329">
        <f t="shared" si="61"/>
        <v>2.3757149666348902</v>
      </c>
      <c r="P201" s="324">
        <f>SUMMARY!L203</f>
        <v>0.38409432252006021</v>
      </c>
    </row>
    <row r="202" spans="1:16" s="162" customFormat="1" ht="26">
      <c r="A202" s="158"/>
      <c r="B202" s="204" t="s">
        <v>122</v>
      </c>
      <c r="C202" s="480">
        <f t="shared" ref="C202:E202" si="62">SUM(C169:C201)</f>
        <v>2198624</v>
      </c>
      <c r="D202" s="480">
        <f t="shared" si="62"/>
        <v>97936</v>
      </c>
      <c r="E202" s="480">
        <f t="shared" si="62"/>
        <v>-150</v>
      </c>
      <c r="F202" s="166">
        <f t="shared" ref="F202:I202" si="63">SUM(F169:F201)</f>
        <v>2296410</v>
      </c>
      <c r="G202" s="166">
        <f t="shared" si="63"/>
        <v>2483</v>
      </c>
      <c r="H202" s="166">
        <f t="shared" si="63"/>
        <v>-2483</v>
      </c>
      <c r="I202" s="166">
        <f t="shared" si="63"/>
        <v>2296410</v>
      </c>
      <c r="J202" s="167">
        <f>IF($I$213=0,0,I202/$I$213)</f>
        <v>0.29815224056589995</v>
      </c>
      <c r="K202" s="458"/>
      <c r="L202" s="163"/>
      <c r="M202" s="163"/>
      <c r="O202" s="329">
        <f>I202/I$233</f>
        <v>136.82137750238323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'[16]Sch C'!D211</f>
        <v>29375</v>
      </c>
      <c r="D205" s="480">
        <f>'[16]Sch C'!F211</f>
        <v>0</v>
      </c>
      <c r="E205" s="480">
        <f>+'[16]Sch C'!H211</f>
        <v>0</v>
      </c>
      <c r="F205" s="166">
        <f t="shared" ref="F205:F210" si="64">C205+D205+E205</f>
        <v>29375</v>
      </c>
      <c r="G205" s="626"/>
      <c r="H205" s="166"/>
      <c r="I205" s="166">
        <f t="shared" ref="I205:I210" si="65">F205+G205+H205</f>
        <v>29375</v>
      </c>
      <c r="J205" s="167">
        <f t="shared" ref="J205:J211" si="66">IF($I$213=0,0,I205/$I$213)</f>
        <v>3.8138756000118926E-3</v>
      </c>
      <c r="K205" s="458"/>
      <c r="L205" s="176">
        <v>2124</v>
      </c>
      <c r="M205" s="176">
        <v>2318</v>
      </c>
      <c r="O205" s="329">
        <f t="shared" ref="O205:O210" si="67">I205/I$233</f>
        <v>1.7501787416587227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'[16]Sch C'!D212</f>
        <v>6058</v>
      </c>
      <c r="D206" s="480">
        <f>'[16]Sch C'!F212</f>
        <v>2346</v>
      </c>
      <c r="E206" s="480">
        <f>+'[16]Sch C'!H212</f>
        <v>0</v>
      </c>
      <c r="F206" s="166">
        <f t="shared" si="64"/>
        <v>8404</v>
      </c>
      <c r="G206" s="626"/>
      <c r="H206" s="166"/>
      <c r="I206" s="166">
        <f t="shared" si="65"/>
        <v>8404</v>
      </c>
      <c r="J206" s="167">
        <f t="shared" si="66"/>
        <v>1.091125465276594E-3</v>
      </c>
      <c r="K206" s="458"/>
      <c r="L206" s="163"/>
      <c r="M206" s="163"/>
      <c r="O206" s="329">
        <f t="shared" si="67"/>
        <v>0.50071496663489035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'[16]Sch C'!D213</f>
        <v>4130</v>
      </c>
      <c r="D207" s="480">
        <f>'[16]Sch C'!F213</f>
        <v>0</v>
      </c>
      <c r="E207" s="480">
        <f>+'[16]Sch C'!H213</f>
        <v>0</v>
      </c>
      <c r="F207" s="166">
        <f t="shared" si="64"/>
        <v>4130</v>
      </c>
      <c r="G207" s="626"/>
      <c r="H207" s="166"/>
      <c r="I207" s="166">
        <f t="shared" si="65"/>
        <v>4130</v>
      </c>
      <c r="J207" s="167">
        <f t="shared" si="66"/>
        <v>5.3621468010379969E-4</v>
      </c>
      <c r="K207" s="458"/>
      <c r="L207" s="163"/>
      <c r="M207" s="163"/>
      <c r="O207" s="329">
        <f t="shared" si="67"/>
        <v>0.24606768350810296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'[16]Sch C'!D214</f>
        <v>0</v>
      </c>
      <c r="D208" s="480">
        <f>'[16]Sch C'!F214</f>
        <v>0</v>
      </c>
      <c r="E208" s="480">
        <f>+'[16]Sch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'[16]Sch C'!D215</f>
        <v>0</v>
      </c>
      <c r="D209" s="480">
        <f>'[16]Sch C'!F215</f>
        <v>0</v>
      </c>
      <c r="E209" s="480">
        <f>+'[16]Sch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'[16]Sch C'!D216</f>
        <v>9130</v>
      </c>
      <c r="D210" s="480">
        <f>'[16]Sch C'!F216</f>
        <v>0</v>
      </c>
      <c r="E210" s="480">
        <f>+'[16]Sch C'!H216</f>
        <v>0</v>
      </c>
      <c r="F210" s="166">
        <f t="shared" si="64"/>
        <v>9130</v>
      </c>
      <c r="G210" s="626"/>
      <c r="H210" s="166"/>
      <c r="I210" s="166">
        <f t="shared" si="65"/>
        <v>9130</v>
      </c>
      <c r="J210" s="167">
        <f t="shared" si="66"/>
        <v>1.185384994999441E-3</v>
      </c>
      <c r="K210" s="458"/>
      <c r="L210" s="163"/>
      <c r="M210" s="163"/>
      <c r="O210" s="329">
        <f t="shared" si="67"/>
        <v>0.54397044804575789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48693</v>
      </c>
      <c r="D211" s="480">
        <f t="shared" si="68"/>
        <v>2346</v>
      </c>
      <c r="E211" s="480">
        <f t="shared" si="68"/>
        <v>0</v>
      </c>
      <c r="F211" s="166">
        <f t="shared" ref="F211:I211" si="69">SUM(F205:F210)</f>
        <v>51039</v>
      </c>
      <c r="G211" s="166">
        <f t="shared" si="69"/>
        <v>0</v>
      </c>
      <c r="H211" s="166">
        <f t="shared" si="69"/>
        <v>0</v>
      </c>
      <c r="I211" s="166">
        <f t="shared" si="69"/>
        <v>51039</v>
      </c>
      <c r="J211" s="167">
        <f t="shared" si="66"/>
        <v>6.6266007403917278E-3</v>
      </c>
      <c r="K211" s="458"/>
      <c r="L211" s="163"/>
      <c r="M211" s="163"/>
      <c r="O211" s="329">
        <f>I211/I$233</f>
        <v>3.0409318398474738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7895563</v>
      </c>
      <c r="D213" s="480">
        <f t="shared" si="70"/>
        <v>-104559</v>
      </c>
      <c r="E213" s="480">
        <f t="shared" si="70"/>
        <v>-80161</v>
      </c>
      <c r="F213" s="166">
        <f t="shared" ref="F213:I213" si="71">SUM(F30:F211)/2</f>
        <v>7710843</v>
      </c>
      <c r="G213" s="166">
        <f t="shared" si="71"/>
        <v>-6221</v>
      </c>
      <c r="H213" s="166">
        <f t="shared" si="71"/>
        <v>-2483</v>
      </c>
      <c r="I213" s="166">
        <f t="shared" si="71"/>
        <v>7702139</v>
      </c>
      <c r="J213" s="167">
        <f>IF($I$213=0,0,I213/$I$213)</f>
        <v>1</v>
      </c>
      <c r="K213" s="458"/>
      <c r="L213" s="176">
        <f>SUM(L30:L205)</f>
        <v>186801</v>
      </c>
      <c r="M213" s="176">
        <f>SUM(M30:M205)</f>
        <v>200993.41442561965</v>
      </c>
      <c r="O213" s="329">
        <f>I213/I$233</f>
        <v>458.89770019065776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'[16]Sch C'!D221</f>
        <v>7895563</v>
      </c>
      <c r="D216" s="188"/>
      <c r="E216" s="188"/>
      <c r="F216" s="160"/>
      <c r="G216" s="160"/>
      <c r="H216" s="138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61"/>
      <c r="I217"/>
      <c r="K217" s="460"/>
      <c r="L217" s="163"/>
      <c r="M217" s="163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 s="36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411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490277</v>
      </c>
      <c r="D220" s="480">
        <f t="shared" si="72"/>
        <v>104559</v>
      </c>
      <c r="E220" s="480">
        <f t="shared" si="72"/>
        <v>80161</v>
      </c>
      <c r="F220" s="166">
        <f>F26-F213</f>
        <v>674997</v>
      </c>
      <c r="G220" s="166"/>
      <c r="H220" s="166"/>
      <c r="I220" s="166">
        <f>I26-I213</f>
        <v>683701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'[16]Sch D'!C9</f>
        <v>111</v>
      </c>
      <c r="D224" s="480"/>
      <c r="E224" s="480"/>
      <c r="F224" s="224">
        <f>C224+D224+E224</f>
        <v>111</v>
      </c>
      <c r="G224" s="627"/>
      <c r="H224" s="223"/>
      <c r="I224" s="224">
        <f>F224+G224+H224</f>
        <v>111</v>
      </c>
      <c r="J224" s="167">
        <f t="shared" ref="J224:J233" si="73">IF($I$233=0,0,I224/$I$233)</f>
        <v>6.6134413727359388E-3</v>
      </c>
      <c r="K224" s="458"/>
      <c r="L224" s="163"/>
      <c r="M224" s="163"/>
    </row>
    <row r="225" spans="1:13">
      <c r="A225" s="158"/>
      <c r="B225" s="165" t="s">
        <v>201</v>
      </c>
      <c r="C225" s="504">
        <f>'[16]Sch D'!D9</f>
        <v>0</v>
      </c>
      <c r="D225" s="480"/>
      <c r="E225" s="480"/>
      <c r="F225" s="224">
        <f t="shared" ref="F225:F232" si="74">C225+D225+E225</f>
        <v>0</v>
      </c>
      <c r="G225" s="626"/>
      <c r="H225" s="223"/>
      <c r="I225" s="224">
        <f t="shared" ref="I225:I232" si="75">F225+G225+H225</f>
        <v>0</v>
      </c>
      <c r="J225" s="167">
        <f t="shared" si="73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'[16]Sch D'!E9</f>
        <v>11797</v>
      </c>
      <c r="D226" s="480"/>
      <c r="E226" s="480"/>
      <c r="F226" s="224">
        <f t="shared" si="74"/>
        <v>11797</v>
      </c>
      <c r="G226" s="626"/>
      <c r="H226" s="223"/>
      <c r="I226" s="224">
        <f t="shared" si="75"/>
        <v>11797</v>
      </c>
      <c r="J226" s="167">
        <f t="shared" si="73"/>
        <v>0.70287178265014294</v>
      </c>
      <c r="K226" s="458"/>
      <c r="L226" s="163"/>
      <c r="M226" s="163"/>
    </row>
    <row r="227" spans="1:13">
      <c r="A227" s="158"/>
      <c r="B227" s="194" t="s">
        <v>315</v>
      </c>
      <c r="C227" s="504">
        <f>'[16]Sch D'!F9</f>
        <v>3705</v>
      </c>
      <c r="D227" s="480"/>
      <c r="E227" s="480"/>
      <c r="F227" s="224">
        <f t="shared" si="74"/>
        <v>3705</v>
      </c>
      <c r="G227" s="626"/>
      <c r="H227" s="223"/>
      <c r="I227" s="224">
        <f t="shared" si="75"/>
        <v>3705</v>
      </c>
      <c r="J227" s="167">
        <f t="shared" si="73"/>
        <v>0.22074594852240229</v>
      </c>
      <c r="K227" s="458"/>
      <c r="L227" s="163"/>
      <c r="M227" s="163"/>
    </row>
    <row r="228" spans="1:13">
      <c r="A228" s="158"/>
      <c r="B228" s="165" t="s">
        <v>65</v>
      </c>
      <c r="C228" s="504">
        <f>'[16]Sch D'!G9</f>
        <v>0</v>
      </c>
      <c r="D228" s="480"/>
      <c r="E228" s="480"/>
      <c r="F228" s="224">
        <f t="shared" si="74"/>
        <v>0</v>
      </c>
      <c r="G228" s="626"/>
      <c r="H228" s="223"/>
      <c r="I228" s="224">
        <f t="shared" si="75"/>
        <v>0</v>
      </c>
      <c r="J228" s="167">
        <f t="shared" si="73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'[16]Sch D'!H9</f>
        <v>131</v>
      </c>
      <c r="D229" s="480"/>
      <c r="E229" s="480"/>
      <c r="F229" s="224">
        <f t="shared" si="74"/>
        <v>131</v>
      </c>
      <c r="G229" s="626"/>
      <c r="H229" s="223"/>
      <c r="I229" s="224">
        <f t="shared" si="75"/>
        <v>131</v>
      </c>
      <c r="J229" s="167">
        <f t="shared" si="73"/>
        <v>7.8050524308865589E-3</v>
      </c>
      <c r="K229" s="458"/>
      <c r="L229" s="163"/>
      <c r="M229" s="163"/>
    </row>
    <row r="230" spans="1:13">
      <c r="A230" s="158"/>
      <c r="B230" s="165" t="s">
        <v>219</v>
      </c>
      <c r="C230" s="504">
        <f>'[16]Sch D'!I9</f>
        <v>0</v>
      </c>
      <c r="D230" s="480"/>
      <c r="E230" s="480"/>
      <c r="F230" s="224">
        <f t="shared" si="74"/>
        <v>0</v>
      </c>
      <c r="G230" s="626"/>
      <c r="H230" s="223"/>
      <c r="I230" s="224">
        <f t="shared" si="75"/>
        <v>0</v>
      </c>
      <c r="J230" s="167">
        <f t="shared" si="73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'[16]Sch D'!J9</f>
        <v>46</v>
      </c>
      <c r="D231" s="480"/>
      <c r="E231" s="480"/>
      <c r="F231" s="224">
        <f t="shared" si="74"/>
        <v>46</v>
      </c>
      <c r="G231" s="626"/>
      <c r="H231" s="223"/>
      <c r="I231" s="224">
        <f t="shared" si="75"/>
        <v>46</v>
      </c>
      <c r="J231" s="167">
        <f>IF($I$233=0,0,I231/$I$233)</f>
        <v>2.740705433746425E-3</v>
      </c>
      <c r="K231" s="458"/>
      <c r="L231" s="163"/>
      <c r="M231" s="163"/>
    </row>
    <row r="232" spans="1:13">
      <c r="A232" s="158"/>
      <c r="B232" s="165" t="s">
        <v>170</v>
      </c>
      <c r="C232" s="504">
        <f>'[16]Sch D'!K9</f>
        <v>994</v>
      </c>
      <c r="D232" s="480"/>
      <c r="E232" s="480"/>
      <c r="F232" s="224">
        <f t="shared" si="74"/>
        <v>994</v>
      </c>
      <c r="G232" s="626"/>
      <c r="H232" s="223"/>
      <c r="I232" s="224">
        <f t="shared" si="75"/>
        <v>994</v>
      </c>
      <c r="J232" s="167">
        <f t="shared" si="73"/>
        <v>5.9223069590085796E-2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6">SUM(C224:C232)</f>
        <v>16784</v>
      </c>
      <c r="D233" s="504">
        <f t="shared" si="76"/>
        <v>0</v>
      </c>
      <c r="E233" s="504">
        <f t="shared" si="76"/>
        <v>0</v>
      </c>
      <c r="F233" s="226">
        <f t="shared" ref="F233:I233" si="77">SUM(F224:F232)</f>
        <v>16784</v>
      </c>
      <c r="G233" s="226">
        <f t="shared" si="77"/>
        <v>0</v>
      </c>
      <c r="H233" s="226">
        <f t="shared" si="77"/>
        <v>0</v>
      </c>
      <c r="I233" s="226">
        <f t="shared" si="77"/>
        <v>16784</v>
      </c>
      <c r="J233" s="167">
        <f t="shared" si="73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'[16]Sch D'!N22</f>
        <v>60</v>
      </c>
      <c r="D236" s="480"/>
      <c r="E236" s="480"/>
      <c r="F236" s="224">
        <f>C236+E236</f>
        <v>60</v>
      </c>
      <c r="G236" s="627"/>
      <c r="H236" s="224"/>
      <c r="I236" s="224">
        <f>F236+G236+H236</f>
        <v>60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'[16]Sch D'!N24</f>
        <v>28</v>
      </c>
      <c r="D237" s="480"/>
      <c r="E237" s="480"/>
      <c r="F237" s="224">
        <f>C237+E237</f>
        <v>28</v>
      </c>
      <c r="G237" s="627"/>
      <c r="H237" s="224"/>
      <c r="I237" s="224">
        <f>F237+G237+H237</f>
        <v>28</v>
      </c>
      <c r="J237" s="162"/>
      <c r="K237" s="460"/>
      <c r="L237" s="163"/>
      <c r="M237" s="163"/>
    </row>
    <row r="238" spans="1:13">
      <c r="A238" s="257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511" t="s">
        <v>394</v>
      </c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'[16]Sch D'!N28</f>
        <v>21900</v>
      </c>
      <c r="D240" s="427"/>
      <c r="E240" s="427"/>
      <c r="F240" s="223">
        <f>F236*F238</f>
        <v>21900</v>
      </c>
      <c r="G240"/>
      <c r="H240" s="228"/>
      <c r="I240" s="223">
        <f>I236*I238</f>
        <v>21900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'[16]Sch D'!N30</f>
        <v>0.76639269406392696</v>
      </c>
      <c r="D241" s="228"/>
      <c r="E241" s="228"/>
      <c r="F241" s="232">
        <f>F233/F240</f>
        <v>0.76639269406392696</v>
      </c>
      <c r="G241"/>
      <c r="H241" s="233"/>
      <c r="I241" s="232">
        <f>I233/I240</f>
        <v>0.76639269406392696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'[16]Sch D'!N32</f>
        <v>5.0684931506849318E-3</v>
      </c>
      <c r="D242" s="228"/>
      <c r="E242" s="228"/>
      <c r="F242" s="232">
        <f>(F224+F225)/F240</f>
        <v>5.0684931506849318E-3</v>
      </c>
      <c r="G242"/>
      <c r="H242" s="233"/>
      <c r="I242" s="232">
        <f>(I224+I225)/I240</f>
        <v>5.0684931506849318E-3</v>
      </c>
      <c r="J242" s="162"/>
      <c r="K242" s="460"/>
      <c r="L242" s="163"/>
      <c r="M242" s="163"/>
    </row>
    <row r="243" spans="1:13" ht="39.5">
      <c r="A243" s="158"/>
      <c r="B243" s="231" t="s">
        <v>319</v>
      </c>
      <c r="C243" s="505">
        <f>'[16]Sch D'!N34</f>
        <v>6.6134413727359396E-3</v>
      </c>
      <c r="D243" s="228"/>
      <c r="E243" s="228"/>
      <c r="F243" s="232">
        <f>(F242/F241)</f>
        <v>6.6134413727359396E-3</v>
      </c>
      <c r="G243"/>
      <c r="H243" s="233"/>
      <c r="I243" s="232">
        <f>(I242/I241)</f>
        <v>6.6134413727359396E-3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'[16]Sch B'!C90</f>
        <v>283.5</v>
      </c>
      <c r="K246" s="460"/>
    </row>
    <row r="247" spans="1:13">
      <c r="H247" s="140" t="s">
        <v>322</v>
      </c>
      <c r="I247" s="480">
        <f>'[16]Sch B'!E90</f>
        <v>618.65909090909088</v>
      </c>
      <c r="K247" s="460"/>
    </row>
    <row r="248" spans="1:13">
      <c r="H248" s="140" t="s">
        <v>323</v>
      </c>
      <c r="I248" s="480">
        <f>'[16]Sch B'!G90</f>
        <v>834.22222222222217</v>
      </c>
      <c r="K248" s="460"/>
    </row>
    <row r="249" spans="1:13">
      <c r="H249" s="140" t="s">
        <v>324</v>
      </c>
      <c r="I249" s="480">
        <f>'[16]Sch B'!I90</f>
        <v>172.68421052631578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E28CAB"/>
  </sheetPr>
  <dimension ref="A1:P277"/>
  <sheetViews>
    <sheetView showGridLines="0" topLeftCell="A6" zoomScaleNormal="100" workbookViewId="0">
      <pane xSplit="2" topLeftCell="E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33.7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367</v>
      </c>
      <c r="D2" s="234"/>
      <c r="E2" s="234"/>
      <c r="F2" s="142"/>
      <c r="G2" s="142"/>
    </row>
    <row r="3" spans="1:16" ht="15.5">
      <c r="A3" s="143"/>
      <c r="B3" s="138" t="s">
        <v>71</v>
      </c>
      <c r="C3" s="557">
        <f>'[17]Sch A Pg 1'!B39</f>
        <v>42917</v>
      </c>
      <c r="D3" s="620"/>
      <c r="E3" s="142"/>
      <c r="F3" s="361"/>
      <c r="G3" s="361"/>
      <c r="H3" s="361"/>
    </row>
    <row r="4" spans="1:16" ht="15.5">
      <c r="A4" s="143"/>
      <c r="B4" s="145" t="s">
        <v>72</v>
      </c>
      <c r="C4" s="557">
        <f>'[17]Sch A Pg 1'!G39</f>
        <v>43281</v>
      </c>
      <c r="D4" s="620"/>
      <c r="E4" s="142"/>
      <c r="F4" s="361"/>
      <c r="G4" s="361"/>
      <c r="H4" s="361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655">
        <f>'[17]Sch B'!E10</f>
        <v>9795398</v>
      </c>
      <c r="D12" s="655">
        <f>'[17]Sch B'!G10</f>
        <v>-2527128</v>
      </c>
      <c r="E12" s="655"/>
      <c r="F12" s="166">
        <f>C12+D12+E12</f>
        <v>7268270</v>
      </c>
      <c r="G12" s="626"/>
      <c r="H12" s="166"/>
      <c r="I12" s="166">
        <f>F12+G12+H12</f>
        <v>7268270</v>
      </c>
      <c r="J12" s="167">
        <f>IF($I$26=0,0,I12/$I$26)</f>
        <v>0.74153671551839528</v>
      </c>
      <c r="K12" s="463"/>
      <c r="L12" s="163"/>
      <c r="M12" s="163"/>
    </row>
    <row r="13" spans="1:16" s="162" customFormat="1">
      <c r="A13" s="158"/>
      <c r="B13" s="160" t="s">
        <v>513</v>
      </c>
      <c r="C13" s="655">
        <f>'[17]Sch B'!E12</f>
        <v>0</v>
      </c>
      <c r="D13" s="655">
        <f>'[17]Sch B'!G12</f>
        <v>0</v>
      </c>
      <c r="E13" s="655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655">
        <f>'[17]Sch B'!E13</f>
        <v>0</v>
      </c>
      <c r="D14" s="655">
        <f>'[17]Sch B'!G13</f>
        <v>0</v>
      </c>
      <c r="E14" s="655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655">
        <f>'[17]Sch B'!E14</f>
        <v>0</v>
      </c>
      <c r="D15" s="655">
        <f>'[17]Sch B'!G14</f>
        <v>0</v>
      </c>
      <c r="E15" s="655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655">
        <f>'[17]Sch B'!E15</f>
        <v>9795398</v>
      </c>
      <c r="D16" s="655">
        <f>'[17]Sch B'!G15</f>
        <v>-2527128</v>
      </c>
      <c r="E16" s="655"/>
      <c r="F16" s="166">
        <f t="shared" si="0"/>
        <v>7268270</v>
      </c>
      <c r="G16" s="626"/>
      <c r="H16" s="166"/>
      <c r="I16" s="166">
        <f>SUM(I12:I15)</f>
        <v>7268270</v>
      </c>
      <c r="J16" s="167">
        <f t="shared" ref="J16:J26" si="2">IF($I$26=0,0,I16/$I$26)</f>
        <v>0.74153671551839528</v>
      </c>
      <c r="K16" s="458"/>
      <c r="L16" s="333" t="s">
        <v>325</v>
      </c>
      <c r="M16" s="334">
        <f>I26</f>
        <v>9801632</v>
      </c>
      <c r="O16" s="324">
        <f>IFERROR(I16/I224,0)</f>
        <v>840.45675300647554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655">
        <f>'[17]Sch B'!E20</f>
        <v>0</v>
      </c>
      <c r="D17" s="655">
        <f>'[17]Sch B'!G20</f>
        <v>148682</v>
      </c>
      <c r="E17" s="655"/>
      <c r="F17" s="166">
        <f t="shared" si="0"/>
        <v>148682</v>
      </c>
      <c r="G17" s="626"/>
      <c r="H17" s="166"/>
      <c r="I17" s="166">
        <f t="shared" si="1"/>
        <v>148682</v>
      </c>
      <c r="J17" s="167">
        <f t="shared" si="2"/>
        <v>1.5169106532463165E-2</v>
      </c>
      <c r="K17" s="458"/>
      <c r="L17" s="335" t="s">
        <v>326</v>
      </c>
      <c r="M17" s="336">
        <f>I213</f>
        <v>7448531</v>
      </c>
      <c r="O17" s="324">
        <f t="shared" ref="O17:O24" si="3">IFERROR(I17/I225,0)</f>
        <v>332.62192393736018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655">
        <f>'[17]Sch B'!E26</f>
        <v>6139</v>
      </c>
      <c r="D18" s="655">
        <f>'[17]Sch B'!G26</f>
        <v>707756</v>
      </c>
      <c r="E18" s="655"/>
      <c r="F18" s="166">
        <f t="shared" si="0"/>
        <v>713895</v>
      </c>
      <c r="G18" s="626"/>
      <c r="H18" s="166"/>
      <c r="I18" s="166">
        <f t="shared" si="1"/>
        <v>713895</v>
      </c>
      <c r="J18" s="167">
        <f t="shared" si="2"/>
        <v>7.2834299430951904E-2</v>
      </c>
      <c r="K18" s="458"/>
      <c r="L18" s="335" t="s">
        <v>327</v>
      </c>
      <c r="M18" s="336">
        <f>I233</f>
        <v>12639</v>
      </c>
      <c r="O18" s="324">
        <f t="shared" si="3"/>
        <v>787.09481808158762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655">
        <f>'[17]Sch B'!E32</f>
        <v>0</v>
      </c>
      <c r="D19" s="655">
        <f>'[17]Sch B'!G32</f>
        <v>78263</v>
      </c>
      <c r="E19" s="655"/>
      <c r="F19" s="166">
        <f t="shared" si="0"/>
        <v>78263</v>
      </c>
      <c r="G19" s="626"/>
      <c r="H19" s="166"/>
      <c r="I19" s="166">
        <f t="shared" si="1"/>
        <v>78263</v>
      </c>
      <c r="J19" s="170">
        <f t="shared" si="2"/>
        <v>7.9846907127302889E-3</v>
      </c>
      <c r="K19" s="464"/>
      <c r="L19" s="335" t="s">
        <v>328</v>
      </c>
      <c r="M19" s="336">
        <f>I236</f>
        <v>36</v>
      </c>
      <c r="O19" s="324">
        <f t="shared" si="3"/>
        <v>731.42990654205607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655">
        <f>'[17]Sch B'!E37</f>
        <v>0</v>
      </c>
      <c r="D20" s="655">
        <f>'[17]Sch B'!G37</f>
        <v>0</v>
      </c>
      <c r="E20" s="655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13140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655">
        <f>'[17]Sch B'!E42</f>
        <v>0</v>
      </c>
      <c r="D21" s="655">
        <f>'[17]Sch B'!G42</f>
        <v>648413</v>
      </c>
      <c r="E21" s="655"/>
      <c r="F21" s="166">
        <f t="shared" si="0"/>
        <v>648413</v>
      </c>
      <c r="G21" s="626"/>
      <c r="H21" s="166"/>
      <c r="I21" s="166">
        <f t="shared" si="1"/>
        <v>648413</v>
      </c>
      <c r="J21" s="167">
        <f t="shared" si="2"/>
        <v>6.6153575241347559E-2</v>
      </c>
      <c r="K21" s="458"/>
      <c r="L21" s="337"/>
      <c r="M21" s="336"/>
      <c r="O21" s="324">
        <f t="shared" si="3"/>
        <v>604.29916123019575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655">
        <f>'[17]Sch B'!E47</f>
        <v>0</v>
      </c>
      <c r="D22" s="655">
        <f>'[17]Sch B'!G47</f>
        <v>0</v>
      </c>
      <c r="E22" s="655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44964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655">
        <f>'[17]Sch B'!E52</f>
        <v>0</v>
      </c>
      <c r="D23" s="655">
        <f>'[17]Sch B'!G52</f>
        <v>0</v>
      </c>
      <c r="E23" s="655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44964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655">
        <f>'[17]Sch B'!E57</f>
        <v>0</v>
      </c>
      <c r="D24" s="655">
        <f>'[17]Sch B'!G57</f>
        <v>944014</v>
      </c>
      <c r="E24" s="655"/>
      <c r="F24" s="166">
        <f t="shared" si="0"/>
        <v>944014</v>
      </c>
      <c r="G24" s="626"/>
      <c r="H24" s="166"/>
      <c r="I24" s="166">
        <f t="shared" si="1"/>
        <v>944014</v>
      </c>
      <c r="J24" s="167">
        <f t="shared" si="2"/>
        <v>9.631192030061933E-2</v>
      </c>
      <c r="K24" s="458"/>
      <c r="L24" s="163"/>
      <c r="M24" s="163"/>
      <c r="O24" s="324">
        <f t="shared" si="3"/>
        <v>647.91626630061774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655">
        <f>'[17]Sch B'!E72</f>
        <v>95</v>
      </c>
      <c r="D25" s="655">
        <f>'[17]Sch B'!G72</f>
        <v>0</v>
      </c>
      <c r="E25" s="655"/>
      <c r="F25" s="166">
        <f t="shared" si="0"/>
        <v>95</v>
      </c>
      <c r="G25" s="626"/>
      <c r="H25" s="166"/>
      <c r="I25" s="166">
        <f t="shared" si="1"/>
        <v>95</v>
      </c>
      <c r="J25" s="167">
        <f t="shared" si="2"/>
        <v>9.6922634924469722E-6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655">
        <f>SUM(C16:C25)</f>
        <v>9801632</v>
      </c>
      <c r="D26" s="655">
        <f t="shared" ref="D26:F26" si="4">SUM(D16:D25)</f>
        <v>0</v>
      </c>
      <c r="E26" s="655">
        <f t="shared" si="4"/>
        <v>0</v>
      </c>
      <c r="F26" s="166">
        <f t="shared" si="4"/>
        <v>9801632</v>
      </c>
      <c r="G26" s="166">
        <f>SUM(G12:G25)</f>
        <v>0</v>
      </c>
      <c r="H26" s="166">
        <f>SUM(H12:H25)</f>
        <v>0</v>
      </c>
      <c r="I26" s="166">
        <f>SUM(I16:I25)</f>
        <v>9801632</v>
      </c>
      <c r="J26" s="167">
        <f t="shared" si="2"/>
        <v>1</v>
      </c>
      <c r="K26" s="458"/>
      <c r="L26" s="163"/>
      <c r="M26" s="163"/>
      <c r="O26" s="324">
        <f>IFERROR(I26/I233,0)</f>
        <v>775.50692301606136</v>
      </c>
      <c r="P26" s="324">
        <f>SUMMARY!L28</f>
        <v>316.15377811906774</v>
      </c>
    </row>
    <row r="27" spans="1:16" ht="12" customHeight="1">
      <c r="A27" s="143"/>
      <c r="B27" s="173"/>
      <c r="C27" s="656"/>
      <c r="D27" s="657"/>
      <c r="E27" s="657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656"/>
      <c r="D28" s="657"/>
      <c r="E28" s="657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C29" s="658"/>
      <c r="D29" s="658"/>
      <c r="E29" s="658"/>
      <c r="H29" s="362"/>
      <c r="K29" s="138" t="s">
        <v>611</v>
      </c>
      <c r="O29" s="328"/>
      <c r="P29" s="328"/>
    </row>
    <row r="30" spans="1:16" s="162" customFormat="1">
      <c r="A30" s="164" t="s">
        <v>75</v>
      </c>
      <c r="B30" s="165" t="s">
        <v>10</v>
      </c>
      <c r="C30" s="655">
        <f>'[17]Sch C'!D10</f>
        <v>0</v>
      </c>
      <c r="D30" s="655">
        <f>'[17]Sch C'!F10</f>
        <v>75719</v>
      </c>
      <c r="E30" s="655">
        <f>+'[17]Sch C'!H10</f>
        <v>0</v>
      </c>
      <c r="F30" s="166">
        <f t="shared" ref="F30:F65" si="5">C30+D30+E30</f>
        <v>75719</v>
      </c>
      <c r="G30" s="626"/>
      <c r="H30" s="166"/>
      <c r="I30" s="166">
        <f t="shared" ref="I30:I65" si="6">F30+G30+H30</f>
        <v>75719</v>
      </c>
      <c r="J30" s="167">
        <f>IF($I$213=0,0,I30/$I$213)</f>
        <v>1.016562863200811E-2</v>
      </c>
      <c r="K30" s="458"/>
      <c r="L30" s="176">
        <v>1660</v>
      </c>
      <c r="M30" s="176">
        <v>1660</v>
      </c>
      <c r="O30" s="324">
        <f>I30/I$233</f>
        <v>5.9909011788907351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655">
        <f>'[17]Sch C'!D11</f>
        <v>0</v>
      </c>
      <c r="D31" s="655">
        <f>'[17]Sch C'!F11</f>
        <v>13900</v>
      </c>
      <c r="E31" s="655">
        <f>+'[17]Sch C'!H11</f>
        <v>0</v>
      </c>
      <c r="F31" s="166">
        <f t="shared" si="5"/>
        <v>13900</v>
      </c>
      <c r="G31" s="626">
        <v>-13900</v>
      </c>
      <c r="H31" s="166"/>
      <c r="I31" s="166">
        <f t="shared" si="6"/>
        <v>0</v>
      </c>
      <c r="J31" s="177">
        <f t="shared" ref="J31:J66" si="7">IF($I$213=0,0,I31/$I$213)</f>
        <v>0</v>
      </c>
      <c r="K31" s="458" t="s">
        <v>485</v>
      </c>
      <c r="L31" s="176">
        <v>473</v>
      </c>
      <c r="M31" s="176">
        <v>473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655">
        <f>'[17]Sch C'!D12</f>
        <v>3314391</v>
      </c>
      <c r="D32" s="655">
        <f>'[17]Sch C'!F12</f>
        <v>-3007835</v>
      </c>
      <c r="E32" s="655">
        <f>+'[17]Sch C'!H12</f>
        <v>0</v>
      </c>
      <c r="F32" s="166">
        <f t="shared" si="5"/>
        <v>306556</v>
      </c>
      <c r="G32" s="626"/>
      <c r="H32" s="166"/>
      <c r="I32" s="166">
        <f t="shared" si="6"/>
        <v>306556</v>
      </c>
      <c r="J32" s="167">
        <f t="shared" si="7"/>
        <v>4.1156571678361814E-2</v>
      </c>
      <c r="K32" s="458"/>
      <c r="L32" s="176">
        <v>5126</v>
      </c>
      <c r="M32" s="176">
        <v>5126</v>
      </c>
      <c r="O32" s="324">
        <f t="shared" si="8"/>
        <v>24.254766991059419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655">
        <f>'[17]Sch C'!D13</f>
        <v>875999</v>
      </c>
      <c r="D33" s="655">
        <f>'[17]Sch C'!F13</f>
        <v>-737212</v>
      </c>
      <c r="E33" s="655">
        <f>+'[17]Sch C'!H13</f>
        <v>0</v>
      </c>
      <c r="F33" s="166">
        <f t="shared" si="5"/>
        <v>138787</v>
      </c>
      <c r="G33" s="626"/>
      <c r="H33" s="166"/>
      <c r="I33" s="166">
        <f t="shared" si="6"/>
        <v>138787</v>
      </c>
      <c r="J33" s="167">
        <f t="shared" si="7"/>
        <v>1.8632801555098583E-2</v>
      </c>
      <c r="K33" s="458"/>
      <c r="L33" s="163"/>
      <c r="M33" s="163"/>
      <c r="O33" s="324">
        <f t="shared" si="8"/>
        <v>10.980852915578764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655">
        <f>'[17]Sch C'!D14</f>
        <v>0</v>
      </c>
      <c r="D34" s="655">
        <f>'[17]Sch C'!F14</f>
        <v>112629</v>
      </c>
      <c r="E34" s="655">
        <f>+'[17]Sch C'!H14</f>
        <v>0</v>
      </c>
      <c r="F34" s="166">
        <f t="shared" si="5"/>
        <v>112629</v>
      </c>
      <c r="G34" s="626"/>
      <c r="H34" s="166"/>
      <c r="I34" s="166">
        <f t="shared" si="6"/>
        <v>112629</v>
      </c>
      <c r="J34" s="167">
        <f t="shared" si="7"/>
        <v>1.5120968147947562E-2</v>
      </c>
      <c r="K34" s="458"/>
      <c r="L34" s="163"/>
      <c r="M34" s="163"/>
      <c r="O34" s="324">
        <f t="shared" si="8"/>
        <v>8.9112271540469976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655">
        <f>'[17]Sch C'!D15</f>
        <v>70665</v>
      </c>
      <c r="D35" s="655">
        <f>'[17]Sch C'!F15</f>
        <v>0</v>
      </c>
      <c r="E35" s="655">
        <f>+'[17]Sch C'!H15</f>
        <v>0</v>
      </c>
      <c r="F35" s="166">
        <f t="shared" si="5"/>
        <v>70665</v>
      </c>
      <c r="G35" s="626"/>
      <c r="H35" s="166"/>
      <c r="I35" s="166">
        <f t="shared" si="6"/>
        <v>70665</v>
      </c>
      <c r="J35" s="167">
        <f t="shared" si="7"/>
        <v>9.4871055782677141E-3</v>
      </c>
      <c r="K35" s="458"/>
      <c r="L35" s="163"/>
      <c r="M35" s="163"/>
      <c r="O35" s="324">
        <f t="shared" si="8"/>
        <v>5.5910277711844287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655">
        <f>'[17]Sch C'!D16</f>
        <v>0</v>
      </c>
      <c r="D36" s="655">
        <f>'[17]Sch C'!F16</f>
        <v>0</v>
      </c>
      <c r="E36" s="655">
        <f>+'[17]Sch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655">
        <f>'[17]Sch C'!D17</f>
        <v>20669</v>
      </c>
      <c r="D37" s="655">
        <f>'[17]Sch C'!F17</f>
        <v>-20669</v>
      </c>
      <c r="E37" s="655">
        <f>+'[17]Sch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655">
        <f>'[17]Sch C'!D18</f>
        <v>7293</v>
      </c>
      <c r="D38" s="655">
        <f>'[17]Sch C'!F18</f>
        <v>0</v>
      </c>
      <c r="E38" s="655">
        <f>+'[17]Sch C'!H18</f>
        <v>0</v>
      </c>
      <c r="F38" s="166">
        <f t="shared" si="5"/>
        <v>7293</v>
      </c>
      <c r="G38" s="626"/>
      <c r="H38" s="166"/>
      <c r="I38" s="166">
        <f t="shared" si="6"/>
        <v>7293</v>
      </c>
      <c r="J38" s="167">
        <f t="shared" si="7"/>
        <v>9.7911923841090286E-4</v>
      </c>
      <c r="K38" s="458"/>
      <c r="L38" s="163"/>
      <c r="M38" s="163"/>
      <c r="O38" s="324">
        <f t="shared" si="8"/>
        <v>0.57702349869451697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655">
        <f>'[17]Sch C'!D19</f>
        <v>3151</v>
      </c>
      <c r="D39" s="655">
        <f>'[17]Sch C'!F19</f>
        <v>0</v>
      </c>
      <c r="E39" s="655">
        <f>+'[17]Sch C'!H19</f>
        <v>0</v>
      </c>
      <c r="F39" s="166">
        <f t="shared" si="5"/>
        <v>3151</v>
      </c>
      <c r="G39" s="626"/>
      <c r="H39" s="166"/>
      <c r="I39" s="166">
        <f t="shared" si="6"/>
        <v>3151</v>
      </c>
      <c r="J39" s="167">
        <f t="shared" si="7"/>
        <v>4.2303643496952622E-4</v>
      </c>
      <c r="K39" s="458"/>
      <c r="L39" s="163"/>
      <c r="M39" s="163"/>
      <c r="O39" s="324">
        <f t="shared" si="8"/>
        <v>0.24930769839386027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655">
        <f>'[17]Sch C'!D20</f>
        <v>41229</v>
      </c>
      <c r="D40" s="655">
        <f>'[17]Sch C'!F20</f>
        <v>0</v>
      </c>
      <c r="E40" s="655">
        <f>+'[17]Sch C'!H20</f>
        <v>0</v>
      </c>
      <c r="F40" s="166">
        <f t="shared" si="5"/>
        <v>41229</v>
      </c>
      <c r="G40" s="626"/>
      <c r="H40" s="166"/>
      <c r="I40" s="166">
        <f t="shared" si="6"/>
        <v>41229</v>
      </c>
      <c r="J40" s="167">
        <f t="shared" si="7"/>
        <v>5.5351853942743881E-3</v>
      </c>
      <c r="K40" s="458"/>
      <c r="L40" s="163"/>
      <c r="M40" s="163"/>
      <c r="O40" s="324">
        <f t="shared" si="8"/>
        <v>3.2620460479468312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655">
        <f>'[17]Sch C'!D21</f>
        <v>0</v>
      </c>
      <c r="D41" s="655">
        <f>'[17]Sch C'!F21</f>
        <v>0</v>
      </c>
      <c r="E41" s="655">
        <f>+'[17]Sch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655">
        <f>'[17]Sch C'!D22</f>
        <v>0</v>
      </c>
      <c r="D42" s="655">
        <f>'[17]Sch C'!F22</f>
        <v>0</v>
      </c>
      <c r="E42" s="655">
        <f>+'[17]Sch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655">
        <f>'[17]Sch C'!D23</f>
        <v>11549</v>
      </c>
      <c r="D43" s="655">
        <f>'[17]Sch C'!F23</f>
        <v>0</v>
      </c>
      <c r="E43" s="655">
        <f>+'[17]Sch C'!H23</f>
        <v>0</v>
      </c>
      <c r="F43" s="166">
        <f t="shared" si="5"/>
        <v>11549</v>
      </c>
      <c r="G43" s="626"/>
      <c r="H43" s="166"/>
      <c r="I43" s="166">
        <f t="shared" si="6"/>
        <v>11549</v>
      </c>
      <c r="J43" s="167">
        <f t="shared" si="7"/>
        <v>1.5505070731396567E-3</v>
      </c>
      <c r="K43" s="458"/>
      <c r="L43" s="163"/>
      <c r="M43" s="163"/>
      <c r="O43" s="324">
        <f t="shared" si="8"/>
        <v>0.91375899992087983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655">
        <f>'[17]Sch C'!D24</f>
        <v>0</v>
      </c>
      <c r="D44" s="655">
        <f>'[17]Sch C'!F24</f>
        <v>0</v>
      </c>
      <c r="E44" s="655">
        <f>+'[17]Sch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655">
        <f>'[17]Sch C'!D25</f>
        <v>642855</v>
      </c>
      <c r="D45" s="655">
        <f>'[17]Sch C'!F25</f>
        <v>0</v>
      </c>
      <c r="E45" s="655">
        <f>+'[17]Sch C'!H25</f>
        <v>0</v>
      </c>
      <c r="F45" s="166">
        <f t="shared" si="5"/>
        <v>642855</v>
      </c>
      <c r="G45" s="626"/>
      <c r="H45" s="166"/>
      <c r="I45" s="166">
        <f t="shared" si="6"/>
        <v>642855</v>
      </c>
      <c r="J45" s="167">
        <f t="shared" si="7"/>
        <v>8.6306279721464541E-2</v>
      </c>
      <c r="K45" s="458"/>
      <c r="L45" s="163"/>
      <c r="M45" s="163"/>
      <c r="O45" s="324">
        <f t="shared" si="8"/>
        <v>50.862805601708999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655">
        <f>'[17]Sch C'!D26</f>
        <v>0</v>
      </c>
      <c r="D46" s="655">
        <f>'[17]Sch C'!F26</f>
        <v>0</v>
      </c>
      <c r="E46" s="655">
        <f>+'[17]Sch C'!H26</f>
        <v>0</v>
      </c>
      <c r="F46" s="166">
        <f t="shared" si="5"/>
        <v>0</v>
      </c>
      <c r="G46" s="626"/>
      <c r="H46" s="166"/>
      <c r="I46" s="166">
        <f t="shared" si="6"/>
        <v>0</v>
      </c>
      <c r="J46" s="167">
        <f t="shared" si="7"/>
        <v>0</v>
      </c>
      <c r="K46" s="458"/>
      <c r="L46" s="163"/>
      <c r="M46" s="163"/>
      <c r="O46" s="324">
        <f t="shared" si="8"/>
        <v>0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655">
        <f>'[17]Sch C'!D27</f>
        <v>38293</v>
      </c>
      <c r="D47" s="655">
        <f>'[17]Sch C'!F27</f>
        <v>0</v>
      </c>
      <c r="E47" s="655">
        <f>+'[17]Sch C'!H27</f>
        <v>0</v>
      </c>
      <c r="F47" s="166">
        <f t="shared" si="5"/>
        <v>38293</v>
      </c>
      <c r="G47" s="626"/>
      <c r="H47" s="166"/>
      <c r="I47" s="166">
        <f t="shared" si="6"/>
        <v>38293</v>
      </c>
      <c r="J47" s="167">
        <f t="shared" si="7"/>
        <v>5.1410137112942135E-3</v>
      </c>
      <c r="K47" s="458"/>
      <c r="L47" s="163"/>
      <c r="M47" s="163"/>
      <c r="O47" s="324">
        <f t="shared" si="8"/>
        <v>3.0297491890181187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655">
        <f>'[17]Sch C'!D28</f>
        <v>19524</v>
      </c>
      <c r="D48" s="655">
        <f>'[17]Sch C'!F28</f>
        <v>-19524</v>
      </c>
      <c r="E48" s="655">
        <f>+'[17]Sch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655">
        <f>'[17]Sch C'!D29</f>
        <v>0</v>
      </c>
      <c r="D49" s="655">
        <f>'[17]Sch C'!F29</f>
        <v>0</v>
      </c>
      <c r="E49" s="655">
        <f>+'[17]Sch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655">
        <f>'[17]Sch C'!D30</f>
        <v>0</v>
      </c>
      <c r="D50" s="655">
        <f>'[17]Sch C'!F30</f>
        <v>0</v>
      </c>
      <c r="E50" s="655">
        <f>+'[17]Sch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655">
        <f>'[17]Sch C'!D31</f>
        <v>88805</v>
      </c>
      <c r="D51" s="655">
        <f>'[17]Sch C'!F31</f>
        <v>0</v>
      </c>
      <c r="E51" s="655">
        <f>+'[17]Sch C'!H31</f>
        <v>0</v>
      </c>
      <c r="F51" s="166">
        <f t="shared" si="5"/>
        <v>88805</v>
      </c>
      <c r="G51" s="626"/>
      <c r="H51" s="166"/>
      <c r="I51" s="166">
        <f t="shared" si="6"/>
        <v>88805</v>
      </c>
      <c r="J51" s="167">
        <f t="shared" si="7"/>
        <v>1.192248511820653E-2</v>
      </c>
      <c r="K51" s="458"/>
      <c r="L51" s="163"/>
      <c r="M51" s="163"/>
      <c r="O51" s="324">
        <f t="shared" si="8"/>
        <v>7.0262679009415301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655">
        <f>'[17]Sch C'!D32</f>
        <v>67245</v>
      </c>
      <c r="D52" s="655">
        <f>'[17]Sch C'!F32</f>
        <v>0</v>
      </c>
      <c r="E52" s="655">
        <f>+'[17]Sch C'!H32</f>
        <v>0</v>
      </c>
      <c r="F52" s="166">
        <f t="shared" si="5"/>
        <v>67245</v>
      </c>
      <c r="G52" s="626"/>
      <c r="H52" s="166"/>
      <c r="I52" s="166">
        <f t="shared" si="6"/>
        <v>67245</v>
      </c>
      <c r="J52" s="167">
        <f t="shared" si="7"/>
        <v>9.0279546396463944E-3</v>
      </c>
      <c r="K52" s="458"/>
      <c r="L52" s="163"/>
      <c r="M52" s="163"/>
      <c r="O52" s="324">
        <f t="shared" si="8"/>
        <v>5.3204367434132447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655">
        <f>'[17]Sch C'!D33</f>
        <v>0</v>
      </c>
      <c r="D53" s="655">
        <f>'[17]Sch C'!F33</f>
        <v>0</v>
      </c>
      <c r="E53" s="655">
        <f>+'[17]Sch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655">
        <f>'[17]Sch C'!D34</f>
        <v>0</v>
      </c>
      <c r="D54" s="655">
        <f>'[17]Sch C'!F34</f>
        <v>0</v>
      </c>
      <c r="E54" s="655">
        <f>+'[17]Sch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655">
        <f>'[17]Sch C'!D35</f>
        <v>0</v>
      </c>
      <c r="D55" s="655">
        <f>'[17]Sch C'!F35</f>
        <v>0</v>
      </c>
      <c r="E55" s="655">
        <f>+'[17]Sch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655">
        <f>'[17]Sch C'!D36</f>
        <v>0</v>
      </c>
      <c r="D56" s="655">
        <f>'[17]Sch C'!F36</f>
        <v>0</v>
      </c>
      <c r="E56" s="655">
        <f>+'[17]Sch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655">
        <f>'[17]Sch C'!D37</f>
        <v>0</v>
      </c>
      <c r="D57" s="655">
        <f>'[17]Sch C'!F37</f>
        <v>0</v>
      </c>
      <c r="E57" s="655">
        <f>+'[17]Sch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655">
        <f>'[17]Sch C'!D38</f>
        <v>0</v>
      </c>
      <c r="D58" s="655">
        <f>'[17]Sch C'!F38</f>
        <v>0</v>
      </c>
      <c r="E58" s="655">
        <f>+'[17]Sch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655">
        <f>'[17]Sch C'!D39</f>
        <v>0</v>
      </c>
      <c r="D59" s="655">
        <f>'[17]Sch C'!F39</f>
        <v>0</v>
      </c>
      <c r="E59" s="655">
        <f>+'[17]Sch C'!H39</f>
        <v>0</v>
      </c>
      <c r="F59" s="166">
        <f t="shared" si="5"/>
        <v>0</v>
      </c>
      <c r="G59" s="626"/>
      <c r="H59" s="166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655">
        <f>'[17]Sch C'!D40</f>
        <v>3570</v>
      </c>
      <c r="D60" s="655">
        <f>'[17]Sch C'!F40</f>
        <v>0</v>
      </c>
      <c r="E60" s="655">
        <f>+'[17]Sch C'!H40</f>
        <v>0</v>
      </c>
      <c r="F60" s="166">
        <f t="shared" si="5"/>
        <v>3570</v>
      </c>
      <c r="G60" s="626"/>
      <c r="H60" s="166"/>
      <c r="I60" s="166">
        <f t="shared" si="6"/>
        <v>3570</v>
      </c>
      <c r="J60" s="167">
        <f t="shared" si="7"/>
        <v>4.7928913768365868E-4</v>
      </c>
      <c r="K60" s="458"/>
      <c r="L60" s="163"/>
      <c r="M60" s="163"/>
      <c r="O60" s="324">
        <f t="shared" si="8"/>
        <v>0.28245905530500831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655">
        <f>'[17]Sch C'!D41</f>
        <v>311996</v>
      </c>
      <c r="D61" s="655">
        <f>'[17]Sch C'!F41</f>
        <v>0</v>
      </c>
      <c r="E61" s="655">
        <f>+'[17]Sch C'!H41</f>
        <v>0</v>
      </c>
      <c r="F61" s="166">
        <f t="shared" si="5"/>
        <v>311996</v>
      </c>
      <c r="G61" s="626"/>
      <c r="H61" s="166"/>
      <c r="I61" s="166">
        <f t="shared" si="6"/>
        <v>311996</v>
      </c>
      <c r="J61" s="167">
        <f t="shared" si="7"/>
        <v>4.1886917031022625E-2</v>
      </c>
      <c r="K61" s="458"/>
      <c r="L61" s="163"/>
      <c r="M61" s="163"/>
      <c r="O61" s="324">
        <f t="shared" si="8"/>
        <v>24.68518078961943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655">
        <f>'[17]Sch C'!D42</f>
        <v>0</v>
      </c>
      <c r="D62" s="655">
        <f>'[17]Sch C'!F42</f>
        <v>0</v>
      </c>
      <c r="E62" s="655">
        <f>+'[17]Sch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655">
        <f>'[17]Sch C'!D43</f>
        <v>13633</v>
      </c>
      <c r="D63" s="655">
        <f>'[17]Sch C'!F43</f>
        <v>0</v>
      </c>
      <c r="E63" s="655">
        <f>+'[17]Sch C'!H43</f>
        <v>0</v>
      </c>
      <c r="F63" s="166">
        <f t="shared" si="5"/>
        <v>13633</v>
      </c>
      <c r="G63" s="626">
        <v>-3918</v>
      </c>
      <c r="H63" s="166"/>
      <c r="I63" s="166">
        <f t="shared" si="6"/>
        <v>9715</v>
      </c>
      <c r="J63" s="167">
        <f t="shared" si="7"/>
        <v>1.3042840259374633E-3</v>
      </c>
      <c r="K63" s="458" t="s">
        <v>711</v>
      </c>
      <c r="L63" s="163"/>
      <c r="M63" s="163"/>
      <c r="O63" s="324">
        <f t="shared" si="8"/>
        <v>0.76865258327399322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655">
        <f>'[17]Sch C'!D44</f>
        <v>0</v>
      </c>
      <c r="D64" s="655">
        <f>'[17]Sch C'!F44</f>
        <v>0</v>
      </c>
      <c r="E64" s="655">
        <f>+'[17]Sch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655">
        <f>'[17]Sch C'!D45</f>
        <v>517</v>
      </c>
      <c r="D65" s="655">
        <f>'[17]Sch C'!F45</f>
        <v>0</v>
      </c>
      <c r="E65" s="655">
        <f>+'[17]Sch C'!H45</f>
        <v>0</v>
      </c>
      <c r="F65" s="166">
        <f t="shared" si="5"/>
        <v>517</v>
      </c>
      <c r="G65" s="626"/>
      <c r="H65" s="166"/>
      <c r="I65" s="166">
        <f t="shared" si="6"/>
        <v>517</v>
      </c>
      <c r="J65" s="167">
        <f t="shared" si="7"/>
        <v>6.9409659434860381E-5</v>
      </c>
      <c r="K65" s="458"/>
      <c r="L65" s="163"/>
      <c r="M65" s="163"/>
      <c r="O65" s="324">
        <f t="shared" si="8"/>
        <v>4.0905134899912966E-2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655">
        <f t="shared" ref="C66:E66" si="9">SUM(C30:C65)</f>
        <v>5531384</v>
      </c>
      <c r="D66" s="655">
        <f t="shared" si="9"/>
        <v>-3582992</v>
      </c>
      <c r="E66" s="655">
        <f t="shared" si="9"/>
        <v>0</v>
      </c>
      <c r="F66" s="166">
        <f t="shared" ref="F66:I66" si="10">SUM(F30:F65)</f>
        <v>1948392</v>
      </c>
      <c r="G66" s="166">
        <f t="shared" si="10"/>
        <v>-17818</v>
      </c>
      <c r="H66" s="166">
        <f t="shared" si="10"/>
        <v>0</v>
      </c>
      <c r="I66" s="166">
        <f t="shared" si="10"/>
        <v>1930574</v>
      </c>
      <c r="J66" s="178">
        <f t="shared" si="7"/>
        <v>0.25918855677716857</v>
      </c>
      <c r="K66" s="465"/>
      <c r="L66" s="163"/>
      <c r="M66" s="163"/>
      <c r="O66" s="329">
        <f>I66/I$233</f>
        <v>152.74736925389666</v>
      </c>
      <c r="P66" s="324">
        <f>SUMMARY!L68</f>
        <v>59.215800022194173</v>
      </c>
    </row>
    <row r="67" spans="1:16" s="162" customFormat="1">
      <c r="A67" s="158"/>
      <c r="C67" s="659"/>
      <c r="D67" s="659"/>
      <c r="E67" s="659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659"/>
      <c r="D68" s="659"/>
      <c r="E68" s="659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655">
        <f>'[17]Sch C'!D57</f>
        <v>619118</v>
      </c>
      <c r="D69" s="655">
        <f>'[17]Sch C'!F57</f>
        <v>0</v>
      </c>
      <c r="E69" s="655">
        <f>+'[17]Sch C'!H57</f>
        <v>0</v>
      </c>
      <c r="F69" s="166">
        <f>C69+D69+E69</f>
        <v>619118</v>
      </c>
      <c r="G69" s="626"/>
      <c r="H69" s="166"/>
      <c r="I69" s="166">
        <f>F69+G69+H69</f>
        <v>619118</v>
      </c>
      <c r="J69" s="167">
        <f t="shared" ref="J69:J84" si="11">IF($I$213=0,0,I69/$I$213)</f>
        <v>8.3119476847179671E-2</v>
      </c>
      <c r="K69" s="458"/>
      <c r="L69" s="182"/>
      <c r="M69" s="163"/>
      <c r="O69" s="324">
        <f t="shared" ref="O69:O84" si="12">I69/I$233</f>
        <v>48.984729804573149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655">
        <f>'[17]Sch C'!D58</f>
        <v>0</v>
      </c>
      <c r="D70" s="655">
        <f>'[17]Sch C'!F58</f>
        <v>0</v>
      </c>
      <c r="E70" s="655">
        <f>+'[17]Sch C'!H58</f>
        <v>0</v>
      </c>
      <c r="F70" s="166">
        <f t="shared" ref="F70:F83" si="13">C70+D70+E70</f>
        <v>0</v>
      </c>
      <c r="G70" s="626"/>
      <c r="H70" s="166"/>
      <c r="I70" s="166">
        <f t="shared" ref="I70:I83" si="14">F70+G70+H70</f>
        <v>0</v>
      </c>
      <c r="J70" s="167">
        <f t="shared" si="11"/>
        <v>0</v>
      </c>
      <c r="K70" s="458"/>
      <c r="L70" s="182"/>
      <c r="M70" s="163"/>
      <c r="O70" s="324">
        <f t="shared" si="12"/>
        <v>0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655">
        <f>'[17]Sch C'!D59</f>
        <v>0</v>
      </c>
      <c r="D71" s="655">
        <f>'[17]Sch C'!F59</f>
        <v>0</v>
      </c>
      <c r="E71" s="655">
        <f>+'[17]Sch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655">
        <f>'[17]Sch C'!D60</f>
        <v>79260</v>
      </c>
      <c r="D72" s="655">
        <f>'[17]Sch C'!F60</f>
        <v>0</v>
      </c>
      <c r="E72" s="655">
        <f>+'[17]Sch C'!H60</f>
        <v>0</v>
      </c>
      <c r="F72" s="166">
        <f t="shared" si="13"/>
        <v>79260</v>
      </c>
      <c r="G72" s="626"/>
      <c r="H72" s="166"/>
      <c r="I72" s="166">
        <f t="shared" si="14"/>
        <v>79260</v>
      </c>
      <c r="J72" s="167">
        <f t="shared" si="11"/>
        <v>1.0641024384539717E-2</v>
      </c>
      <c r="K72" s="458"/>
      <c r="L72" s="185"/>
      <c r="M72" s="163"/>
      <c r="O72" s="324">
        <f t="shared" si="12"/>
        <v>6.2710657488725374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655">
        <f>'[17]Sch C'!D61</f>
        <v>2522</v>
      </c>
      <c r="D73" s="655">
        <f>'[17]Sch C'!F61</f>
        <v>0</v>
      </c>
      <c r="E73" s="655">
        <f>+'[17]Sch C'!H61</f>
        <v>0</v>
      </c>
      <c r="F73" s="166">
        <f t="shared" si="13"/>
        <v>2522</v>
      </c>
      <c r="G73" s="626"/>
      <c r="H73" s="166"/>
      <c r="I73" s="166">
        <f t="shared" si="14"/>
        <v>2522</v>
      </c>
      <c r="J73" s="167">
        <f t="shared" si="11"/>
        <v>3.3859025356811968E-4</v>
      </c>
      <c r="K73" s="458"/>
      <c r="L73" s="185"/>
      <c r="M73" s="163"/>
      <c r="O73" s="324">
        <f t="shared" si="12"/>
        <v>0.19954110293535882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655">
        <f>'[17]Sch C'!D62</f>
        <v>4280</v>
      </c>
      <c r="D74" s="655">
        <f>'[17]Sch C'!F62</f>
        <v>0</v>
      </c>
      <c r="E74" s="655">
        <f>+'[17]Sch C'!H62</f>
        <v>0</v>
      </c>
      <c r="F74" s="166">
        <f t="shared" si="13"/>
        <v>4280</v>
      </c>
      <c r="G74" s="626"/>
      <c r="H74" s="166"/>
      <c r="I74" s="166">
        <f t="shared" si="14"/>
        <v>4280</v>
      </c>
      <c r="J74" s="167">
        <f t="shared" si="11"/>
        <v>5.7460994657872807E-4</v>
      </c>
      <c r="K74" s="458"/>
      <c r="L74" s="187"/>
      <c r="M74" s="163"/>
      <c r="O74" s="324">
        <f t="shared" si="12"/>
        <v>0.33863438563177467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655">
        <f>'[17]Sch C'!D63</f>
        <v>0</v>
      </c>
      <c r="D75" s="655">
        <f>'[17]Sch C'!F63</f>
        <v>0</v>
      </c>
      <c r="E75" s="655">
        <f>+'[17]Sch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655">
        <f>'[17]Sch C'!D64</f>
        <v>0</v>
      </c>
      <c r="D76" s="655">
        <f>'[17]Sch C'!F64</f>
        <v>0</v>
      </c>
      <c r="E76" s="655">
        <f>+'[17]Sch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655">
        <f>'[17]Sch C'!D65</f>
        <v>7356</v>
      </c>
      <c r="D77" s="655">
        <f>'[17]Sch C'!F65</f>
        <v>0</v>
      </c>
      <c r="E77" s="655">
        <f>+'[17]Sch C'!H65</f>
        <v>0</v>
      </c>
      <c r="F77" s="166">
        <f t="shared" si="13"/>
        <v>7356</v>
      </c>
      <c r="G77" s="626"/>
      <c r="H77" s="166"/>
      <c r="I77" s="166">
        <f t="shared" si="14"/>
        <v>7356</v>
      </c>
      <c r="J77" s="167">
        <f t="shared" si="11"/>
        <v>9.8757728201708493E-4</v>
      </c>
      <c r="K77" s="458"/>
      <c r="L77" s="187"/>
      <c r="M77" s="163"/>
      <c r="O77" s="324">
        <f t="shared" si="12"/>
        <v>0.58200807025872303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655">
        <f>'[17]Sch C'!D66</f>
        <v>130575</v>
      </c>
      <c r="D78" s="655">
        <f>'[17]Sch C'!F66</f>
        <v>0</v>
      </c>
      <c r="E78" s="655">
        <f>+'[17]Sch C'!H66</f>
        <v>0</v>
      </c>
      <c r="F78" s="166">
        <f t="shared" si="13"/>
        <v>130575</v>
      </c>
      <c r="G78" s="626"/>
      <c r="H78" s="166"/>
      <c r="I78" s="166">
        <f t="shared" si="14"/>
        <v>130575</v>
      </c>
      <c r="J78" s="167">
        <f t="shared" si="11"/>
        <v>1.7530302283765752E-2</v>
      </c>
      <c r="K78" s="458"/>
      <c r="L78" s="187"/>
      <c r="M78" s="163"/>
      <c r="O78" s="324">
        <f t="shared" si="12"/>
        <v>10.331117968193686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655">
        <f>'[17]Sch C'!D67</f>
        <v>54765</v>
      </c>
      <c r="D79" s="655">
        <f>'[17]Sch C'!F67</f>
        <v>0</v>
      </c>
      <c r="E79" s="655">
        <f>+'[17]Sch C'!H67</f>
        <v>0</v>
      </c>
      <c r="F79" s="166">
        <f t="shared" si="13"/>
        <v>54765</v>
      </c>
      <c r="G79" s="626"/>
      <c r="H79" s="166"/>
      <c r="I79" s="166">
        <f t="shared" si="14"/>
        <v>54765</v>
      </c>
      <c r="J79" s="167">
        <f t="shared" si="11"/>
        <v>7.3524564776598234E-3</v>
      </c>
      <c r="K79" s="458"/>
      <c r="L79" s="187"/>
      <c r="M79" s="163"/>
      <c r="O79" s="324">
        <f t="shared" si="12"/>
        <v>4.3330168525990977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655">
        <f>'[17]Sch C'!D68</f>
        <v>0</v>
      </c>
      <c r="D80" s="655">
        <f>'[17]Sch C'!F68</f>
        <v>0</v>
      </c>
      <c r="E80" s="655">
        <f>+'[17]Sch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655">
        <f>'[17]Sch C'!D69</f>
        <v>129</v>
      </c>
      <c r="D81" s="655">
        <f>'[17]Sch C'!F69</f>
        <v>0</v>
      </c>
      <c r="E81" s="655">
        <f>+'[17]Sch C'!H69</f>
        <v>0</v>
      </c>
      <c r="F81" s="166">
        <f t="shared" si="13"/>
        <v>129</v>
      </c>
      <c r="G81" s="626"/>
      <c r="H81" s="166"/>
      <c r="I81" s="166">
        <f t="shared" si="14"/>
        <v>129</v>
      </c>
      <c r="J81" s="167">
        <f t="shared" si="11"/>
        <v>1.7318851193611197E-5</v>
      </c>
      <c r="K81" s="458"/>
      <c r="L81" s="187"/>
      <c r="M81" s="163"/>
      <c r="O81" s="324">
        <f t="shared" si="12"/>
        <v>1.0206503679088536E-2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655">
        <f>'[17]Sch C'!D70</f>
        <v>0</v>
      </c>
      <c r="D82" s="655">
        <f>'[17]Sch C'!F70</f>
        <v>0</v>
      </c>
      <c r="E82" s="655">
        <f>+'[17]Sch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655">
        <f>'[17]Sch C'!D71</f>
        <v>0</v>
      </c>
      <c r="D83" s="655">
        <f>'[17]Sch C'!F71</f>
        <v>0</v>
      </c>
      <c r="E83" s="655">
        <f>+'[17]Sch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655">
        <f t="shared" ref="C84:E84" si="15">SUM(C69:C83)</f>
        <v>898005</v>
      </c>
      <c r="D84" s="655">
        <f t="shared" si="15"/>
        <v>0</v>
      </c>
      <c r="E84" s="655">
        <f t="shared" si="15"/>
        <v>0</v>
      </c>
      <c r="F84" s="166">
        <f t="shared" ref="F84:I84" si="16">SUM(F69:F83)</f>
        <v>898005</v>
      </c>
      <c r="G84" s="166">
        <f t="shared" si="16"/>
        <v>0</v>
      </c>
      <c r="H84" s="166">
        <f t="shared" si="16"/>
        <v>0</v>
      </c>
      <c r="I84" s="166">
        <f t="shared" si="16"/>
        <v>898005</v>
      </c>
      <c r="J84" s="167">
        <f t="shared" si="11"/>
        <v>0.1205613563265025</v>
      </c>
      <c r="K84" s="458"/>
      <c r="L84" s="187"/>
      <c r="M84" s="163"/>
      <c r="O84" s="324">
        <f t="shared" si="12"/>
        <v>71.050320436743419</v>
      </c>
      <c r="P84" s="324">
        <f>SUMMARY!L86</f>
        <v>24.703953666782958</v>
      </c>
    </row>
    <row r="85" spans="1:16" s="162" customFormat="1">
      <c r="A85" s="158"/>
      <c r="B85" s="165"/>
      <c r="C85" s="659"/>
      <c r="D85" s="659"/>
      <c r="E85" s="659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659"/>
      <c r="D86" s="659"/>
      <c r="E86" s="659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655">
        <f>'[17]Sch C'!D75</f>
        <v>0</v>
      </c>
      <c r="D87" s="655">
        <f>'[17]Sch C'!F75</f>
        <v>42917</v>
      </c>
      <c r="E87" s="655">
        <f>+'[17]Sch C'!H75</f>
        <v>0</v>
      </c>
      <c r="F87" s="166">
        <f t="shared" ref="F87:F97" si="17">C87+D87+E87</f>
        <v>42917</v>
      </c>
      <c r="G87" s="626"/>
      <c r="H87" s="166"/>
      <c r="I87" s="166">
        <f t="shared" ref="I87:I97" si="18">F87+G87+H87</f>
        <v>42917</v>
      </c>
      <c r="J87" s="167">
        <f t="shared" ref="J87:J98" si="19">IF($I$213=0,0,I87/$I$213)</f>
        <v>5.7618072610559051E-3</v>
      </c>
      <c r="K87" s="458"/>
      <c r="L87" s="176">
        <v>511</v>
      </c>
      <c r="M87" s="176">
        <v>511</v>
      </c>
      <c r="O87" s="324">
        <f t="shared" ref="O87:O97" si="20">I87/I$233</f>
        <v>3.3956009177941291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655">
        <f>'[17]Sch C'!D76</f>
        <v>0</v>
      </c>
      <c r="D88" s="655">
        <f>'[17]Sch C'!F76</f>
        <v>11707</v>
      </c>
      <c r="E88" s="655">
        <f>+'[17]Sch C'!H76</f>
        <v>0</v>
      </c>
      <c r="F88" s="166">
        <f t="shared" si="17"/>
        <v>11707</v>
      </c>
      <c r="G88" s="626"/>
      <c r="H88" s="166"/>
      <c r="I88" s="166">
        <f t="shared" si="18"/>
        <v>11707</v>
      </c>
      <c r="J88" s="167">
        <f t="shared" si="19"/>
        <v>1.57171930948532E-3</v>
      </c>
      <c r="K88" s="458"/>
      <c r="L88" s="163"/>
      <c r="M88" s="163"/>
      <c r="O88" s="324">
        <f t="shared" si="20"/>
        <v>0.92625998892317429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655">
        <f>'[17]Sch C'!D77</f>
        <v>0</v>
      </c>
      <c r="D89" s="655">
        <f>'[17]Sch C'!F77</f>
        <v>0</v>
      </c>
      <c r="E89" s="655">
        <f>+'[17]Sch C'!H77</f>
        <v>0</v>
      </c>
      <c r="F89" s="166">
        <f t="shared" si="17"/>
        <v>0</v>
      </c>
      <c r="G89" s="626"/>
      <c r="H89" s="166"/>
      <c r="I89" s="166">
        <f t="shared" si="18"/>
        <v>0</v>
      </c>
      <c r="J89" s="167">
        <f t="shared" si="19"/>
        <v>0</v>
      </c>
      <c r="K89" s="458"/>
      <c r="L89" s="163"/>
      <c r="M89" s="163"/>
      <c r="O89" s="324">
        <f t="shared" si="20"/>
        <v>0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655">
        <f>'[17]Sch C'!D78</f>
        <v>0</v>
      </c>
      <c r="D90" s="655">
        <f>'[17]Sch C'!F78</f>
        <v>0</v>
      </c>
      <c r="E90" s="655">
        <f>+'[17]Sch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655">
        <f>'[17]Sch C'!D79</f>
        <v>0</v>
      </c>
      <c r="D91" s="655">
        <f>'[17]Sch C'!F79</f>
        <v>0</v>
      </c>
      <c r="E91" s="655">
        <f>+'[17]Sch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655">
        <f>'[17]Sch C'!D80</f>
        <v>84476</v>
      </c>
      <c r="D92" s="655">
        <f>'[17]Sch C'!F80</f>
        <v>0</v>
      </c>
      <c r="E92" s="655">
        <f>+'[17]Sch C'!H80</f>
        <v>0</v>
      </c>
      <c r="F92" s="166">
        <f t="shared" si="17"/>
        <v>84476</v>
      </c>
      <c r="G92" s="626"/>
      <c r="H92" s="166"/>
      <c r="I92" s="166">
        <f t="shared" si="18"/>
        <v>84476</v>
      </c>
      <c r="J92" s="167">
        <f t="shared" si="19"/>
        <v>1.1341296693267437E-2</v>
      </c>
      <c r="K92" s="458"/>
      <c r="L92" s="163"/>
      <c r="M92" s="163"/>
      <c r="O92" s="324">
        <f t="shared" si="20"/>
        <v>6.6837566263153727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655">
        <f>'[17]Sch C'!D81</f>
        <v>0</v>
      </c>
      <c r="D93" s="655">
        <f>'[17]Sch C'!F81</f>
        <v>0</v>
      </c>
      <c r="E93" s="655">
        <f>+'[17]Sch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655">
        <f>'[17]Sch C'!D82</f>
        <v>1867</v>
      </c>
      <c r="D94" s="655">
        <f>'[17]Sch C'!F82</f>
        <v>0</v>
      </c>
      <c r="E94" s="655">
        <f>+'[17]Sch C'!H82</f>
        <v>0</v>
      </c>
      <c r="F94" s="166">
        <f t="shared" si="17"/>
        <v>1867</v>
      </c>
      <c r="G94" s="626"/>
      <c r="H94" s="166"/>
      <c r="I94" s="166">
        <f t="shared" si="18"/>
        <v>1867</v>
      </c>
      <c r="J94" s="167">
        <f t="shared" si="19"/>
        <v>2.5065345099590776E-4</v>
      </c>
      <c r="K94" s="458"/>
      <c r="L94" s="163"/>
      <c r="M94" s="163"/>
      <c r="O94" s="324">
        <f t="shared" si="20"/>
        <v>0.14771738270432788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655">
        <f>'[17]Sch C'!D83</f>
        <v>12477</v>
      </c>
      <c r="D95" s="655">
        <f>'[17]Sch C'!F83</f>
        <v>0</v>
      </c>
      <c r="E95" s="655">
        <f>+'[17]Sch C'!H83</f>
        <v>0</v>
      </c>
      <c r="F95" s="166">
        <f t="shared" si="17"/>
        <v>12477</v>
      </c>
      <c r="G95" s="626"/>
      <c r="H95" s="166"/>
      <c r="I95" s="166">
        <f t="shared" si="18"/>
        <v>12477</v>
      </c>
      <c r="J95" s="167">
        <f t="shared" si="19"/>
        <v>1.6750953980053248E-3</v>
      </c>
      <c r="K95" s="458"/>
      <c r="L95" s="163"/>
      <c r="M95" s="163"/>
      <c r="O95" s="324">
        <f t="shared" si="20"/>
        <v>0.98718253026347025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655">
        <f>'[17]Sch C'!D84</f>
        <v>91619</v>
      </c>
      <c r="D96" s="655">
        <f>'[17]Sch C'!F84</f>
        <v>0</v>
      </c>
      <c r="E96" s="655">
        <f>+'[17]Sch C'!H84</f>
        <v>0</v>
      </c>
      <c r="F96" s="166">
        <f t="shared" si="17"/>
        <v>91619</v>
      </c>
      <c r="G96" s="626"/>
      <c r="H96" s="166"/>
      <c r="I96" s="166">
        <f t="shared" si="18"/>
        <v>91619</v>
      </c>
      <c r="J96" s="167">
        <f t="shared" si="19"/>
        <v>1.2300277732616001E-2</v>
      </c>
      <c r="K96" s="458"/>
      <c r="L96" s="163"/>
      <c r="M96" s="163"/>
      <c r="O96" s="324">
        <f t="shared" si="20"/>
        <v>7.2489120974760661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655">
        <f>'[17]Sch C'!D85</f>
        <v>0</v>
      </c>
      <c r="D97" s="655">
        <f>'[17]Sch C'!F85</f>
        <v>0</v>
      </c>
      <c r="E97" s="655">
        <f>+'[17]Sch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655">
        <f t="shared" ref="C98:E98" si="21">SUM(C87:C97)</f>
        <v>190439</v>
      </c>
      <c r="D98" s="655">
        <f t="shared" si="21"/>
        <v>54624</v>
      </c>
      <c r="E98" s="655">
        <f t="shared" si="21"/>
        <v>0</v>
      </c>
      <c r="F98" s="166">
        <f t="shared" ref="F98:I98" si="22">SUM(F87:F97)</f>
        <v>245063</v>
      </c>
      <c r="G98" s="166">
        <f t="shared" si="22"/>
        <v>0</v>
      </c>
      <c r="H98" s="166">
        <f t="shared" si="22"/>
        <v>0</v>
      </c>
      <c r="I98" s="166">
        <f t="shared" si="22"/>
        <v>245063</v>
      </c>
      <c r="J98" s="167">
        <f t="shared" si="19"/>
        <v>3.2900849845425899E-2</v>
      </c>
      <c r="K98" s="458"/>
      <c r="L98" s="163"/>
      <c r="M98" s="163"/>
      <c r="O98" s="329">
        <f>I98/I$233</f>
        <v>19.389429543476542</v>
      </c>
      <c r="P98" s="324">
        <f>SUMMARY!L100</f>
        <v>11.669285059805642</v>
      </c>
    </row>
    <row r="99" spans="1:16" s="162" customFormat="1">
      <c r="A99" s="158"/>
      <c r="C99" s="659"/>
      <c r="D99" s="659"/>
      <c r="E99" s="659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659"/>
      <c r="D100" s="659"/>
      <c r="E100" s="659"/>
      <c r="F100" s="160"/>
      <c r="G100" s="160"/>
      <c r="H100" s="160"/>
      <c r="I100" s="160"/>
      <c r="J100" s="190"/>
      <c r="K100" s="680" t="s">
        <v>712</v>
      </c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655">
        <f>'[17]Sch C'!D89</f>
        <v>0</v>
      </c>
      <c r="D101" s="655">
        <f>'[17]Sch C'!F89</f>
        <v>0</v>
      </c>
      <c r="E101" s="655">
        <f>+'[17]Sch C'!H89</f>
        <v>0</v>
      </c>
      <c r="F101" s="166">
        <f t="shared" ref="F101:F106" si="23">C101+D101+E101</f>
        <v>0</v>
      </c>
      <c r="G101" s="626">
        <v>141727</v>
      </c>
      <c r="H101" s="166"/>
      <c r="I101" s="166">
        <f t="shared" ref="I101:I106" si="24">F101+G101+H101</f>
        <v>141727</v>
      </c>
      <c r="J101" s="167">
        <f t="shared" ref="J101:J107" si="25">IF($I$213=0,0,I101/$I$213)</f>
        <v>1.902751025672042E-2</v>
      </c>
      <c r="K101" s="677" t="s">
        <v>613</v>
      </c>
      <c r="L101" s="176">
        <v>0</v>
      </c>
      <c r="M101" s="176">
        <v>0</v>
      </c>
      <c r="O101" s="329">
        <f t="shared" ref="O101:O106" si="26">I101/I$233</f>
        <v>11.213466255241713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655">
        <f>'[17]Sch C'!D90</f>
        <v>0</v>
      </c>
      <c r="D102" s="655">
        <f>'[17]Sch C'!F90</f>
        <v>0</v>
      </c>
      <c r="E102" s="655">
        <f>+'[17]Sch C'!H90</f>
        <v>0</v>
      </c>
      <c r="F102" s="166">
        <f t="shared" si="23"/>
        <v>0</v>
      </c>
      <c r="G102" s="626">
        <v>38659</v>
      </c>
      <c r="H102" s="166"/>
      <c r="I102" s="166">
        <f t="shared" si="24"/>
        <v>38659</v>
      </c>
      <c r="J102" s="167">
        <f t="shared" si="25"/>
        <v>5.19015091700632E-3</v>
      </c>
      <c r="K102" s="677" t="s">
        <v>613</v>
      </c>
      <c r="L102" s="163"/>
      <c r="M102" s="163"/>
      <c r="O102" s="329">
        <f t="shared" si="26"/>
        <v>3.0587071762006488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655">
        <f>'[17]Sch C'!D91</f>
        <v>0</v>
      </c>
      <c r="D103" s="655">
        <f>'[17]Sch C'!F91</f>
        <v>0</v>
      </c>
      <c r="E103" s="655">
        <f>+'[17]Sch C'!H91</f>
        <v>0</v>
      </c>
      <c r="F103" s="166">
        <f t="shared" si="23"/>
        <v>0</v>
      </c>
      <c r="G103" s="626"/>
      <c r="H103" s="166"/>
      <c r="I103" s="166">
        <f t="shared" si="24"/>
        <v>0</v>
      </c>
      <c r="J103" s="167">
        <f t="shared" si="25"/>
        <v>0</v>
      </c>
      <c r="K103" s="458"/>
      <c r="L103" s="163"/>
      <c r="M103" s="163"/>
      <c r="O103" s="329">
        <f t="shared" si="26"/>
        <v>0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655">
        <f>'[17]Sch C'!D92</f>
        <v>72957</v>
      </c>
      <c r="D104" s="655">
        <f>'[17]Sch C'!F92</f>
        <v>0</v>
      </c>
      <c r="E104" s="655">
        <f>+'[17]Sch C'!H92</f>
        <v>0</v>
      </c>
      <c r="F104" s="166">
        <f t="shared" si="23"/>
        <v>72957</v>
      </c>
      <c r="G104" s="626">
        <v>-2565</v>
      </c>
      <c r="H104" s="166"/>
      <c r="I104" s="166">
        <f t="shared" si="24"/>
        <v>70392</v>
      </c>
      <c r="J104" s="167">
        <f t="shared" si="25"/>
        <v>9.4504540559742587E-3</v>
      </c>
      <c r="K104" s="458" t="s">
        <v>608</v>
      </c>
      <c r="L104" s="163"/>
      <c r="M104" s="163"/>
      <c r="O104" s="329">
        <f t="shared" si="26"/>
        <v>5.5694279610728694</v>
      </c>
      <c r="P104" s="324">
        <f>SUMMARY!L106</f>
        <v>6.7215221396948683</v>
      </c>
    </row>
    <row r="105" spans="1:16" s="162" customFormat="1" ht="13.15" customHeight="1">
      <c r="A105" s="164">
        <v>390</v>
      </c>
      <c r="B105" s="165" t="s">
        <v>526</v>
      </c>
      <c r="C105" s="655">
        <f>'[17]Sch C'!D93</f>
        <v>0</v>
      </c>
      <c r="D105" s="655">
        <f>'[17]Sch C'!F93</f>
        <v>0</v>
      </c>
      <c r="E105" s="655">
        <f>+'[17]Sch C'!H93</f>
        <v>0</v>
      </c>
      <c r="F105" s="166">
        <f t="shared" si="23"/>
        <v>0</v>
      </c>
      <c r="G105" s="626">
        <v>2565</v>
      </c>
      <c r="H105" s="166"/>
      <c r="I105" s="166">
        <f t="shared" si="24"/>
        <v>2565</v>
      </c>
      <c r="J105" s="167">
        <f t="shared" si="25"/>
        <v>3.4436320396599008E-4</v>
      </c>
      <c r="K105" s="458" t="s">
        <v>609</v>
      </c>
      <c r="L105" s="163"/>
      <c r="M105" s="163"/>
      <c r="O105" s="329">
        <f t="shared" si="26"/>
        <v>0.20294327082838831</v>
      </c>
      <c r="P105" s="324">
        <f>SUMMARY!L107</f>
        <v>0.67646258646257007</v>
      </c>
    </row>
    <row r="106" spans="1:16" s="162" customFormat="1" ht="13.15" customHeight="1">
      <c r="A106" s="164">
        <v>490</v>
      </c>
      <c r="B106" s="194" t="s">
        <v>293</v>
      </c>
      <c r="C106" s="655">
        <f>'[17]Sch C'!D94</f>
        <v>0</v>
      </c>
      <c r="D106" s="655">
        <f>'[17]Sch C'!F94</f>
        <v>0</v>
      </c>
      <c r="E106" s="655">
        <f>+'[17]Sch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655">
        <f t="shared" ref="C107:E107" si="27">SUM(C101:C106)</f>
        <v>72957</v>
      </c>
      <c r="D107" s="655">
        <f t="shared" si="27"/>
        <v>0</v>
      </c>
      <c r="E107" s="655">
        <f t="shared" si="27"/>
        <v>0</v>
      </c>
      <c r="F107" s="166">
        <f t="shared" ref="F107:I107" si="28">SUM(F101:F106)</f>
        <v>72957</v>
      </c>
      <c r="G107" s="166">
        <f t="shared" si="28"/>
        <v>180386</v>
      </c>
      <c r="H107" s="166">
        <f t="shared" si="28"/>
        <v>0</v>
      </c>
      <c r="I107" s="166">
        <f t="shared" si="28"/>
        <v>253343</v>
      </c>
      <c r="J107" s="167">
        <f t="shared" si="25"/>
        <v>3.401247843366699E-2</v>
      </c>
      <c r="K107" s="458"/>
      <c r="L107" s="163"/>
      <c r="M107" s="163"/>
      <c r="O107" s="329">
        <f>I107/I$233</f>
        <v>20.044544663343618</v>
      </c>
      <c r="P107" s="324">
        <f>SUMMARY!L109</f>
        <v>20.630906222168928</v>
      </c>
    </row>
    <row r="108" spans="1:16" s="162" customFormat="1">
      <c r="A108" s="158"/>
      <c r="C108" s="659"/>
      <c r="D108" s="659"/>
      <c r="E108" s="659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659"/>
      <c r="D109" s="659"/>
      <c r="E109" s="659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655">
        <f>'[17]Sch C'!D98</f>
        <v>0</v>
      </c>
      <c r="D110" s="655">
        <f>'[17]Sch C'!F98</f>
        <v>0</v>
      </c>
      <c r="E110" s="655">
        <f>+'[17]Sch C'!H98</f>
        <v>0</v>
      </c>
      <c r="F110" s="166">
        <f t="shared" ref="F110:F115" si="29">C110+D110+E110</f>
        <v>0</v>
      </c>
      <c r="G110" s="626">
        <v>35152</v>
      </c>
      <c r="H110" s="166"/>
      <c r="I110" s="166">
        <f t="shared" ref="I110:I115" si="30">F110+G110+H110</f>
        <v>35152</v>
      </c>
      <c r="J110" s="167">
        <f t="shared" ref="J110:J116" si="31">IF($I$213=0,0,I110/$I$213)</f>
        <v>4.7193198229288436E-3</v>
      </c>
      <c r="K110" s="458"/>
      <c r="L110" s="176">
        <v>0</v>
      </c>
      <c r="M110" s="176">
        <v>0</v>
      </c>
      <c r="O110" s="329">
        <f t="shared" ref="O110:O115" si="32">I110/I$233</f>
        <v>2.7812326924598465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655">
        <f>'[17]Sch C'!D99</f>
        <v>0</v>
      </c>
      <c r="D111" s="655">
        <f>'[17]Sch C'!F99</f>
        <v>0</v>
      </c>
      <c r="E111" s="655">
        <f>+'[17]Sch C'!H99</f>
        <v>0</v>
      </c>
      <c r="F111" s="166">
        <f t="shared" si="29"/>
        <v>0</v>
      </c>
      <c r="G111" s="626">
        <v>9588</v>
      </c>
      <c r="H111" s="166"/>
      <c r="I111" s="166">
        <f t="shared" si="30"/>
        <v>9588</v>
      </c>
      <c r="J111" s="167">
        <f t="shared" si="31"/>
        <v>1.2872336840646834E-3</v>
      </c>
      <c r="K111" s="458" t="s">
        <v>610</v>
      </c>
      <c r="L111" s="163"/>
      <c r="M111" s="163"/>
      <c r="O111" s="329">
        <f t="shared" si="32"/>
        <v>0.75860431996202227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655">
        <f>'[17]Sch C'!D100</f>
        <v>0</v>
      </c>
      <c r="D112" s="655">
        <f>'[17]Sch C'!F100</f>
        <v>0</v>
      </c>
      <c r="E112" s="655">
        <f>+'[17]Sch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655">
        <f>'[17]Sch C'!D101</f>
        <v>0</v>
      </c>
      <c r="D113" s="655">
        <f>'[17]Sch C'!F101</f>
        <v>0</v>
      </c>
      <c r="E113" s="655">
        <f>+'[17]Sch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655">
        <f>'[17]Sch C'!D102</f>
        <v>0</v>
      </c>
      <c r="D114" s="655">
        <f>'[17]Sch C'!F102</f>
        <v>0</v>
      </c>
      <c r="E114" s="655">
        <f>+'[17]Sch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655">
        <f>'[17]Sch C'!D103</f>
        <v>0</v>
      </c>
      <c r="D115" s="655">
        <f>'[17]Sch C'!F103</f>
        <v>0</v>
      </c>
      <c r="E115" s="655">
        <f>+'[17]Sch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655">
        <f t="shared" ref="C116:E116" si="33">SUM(C110:C115)</f>
        <v>0</v>
      </c>
      <c r="D116" s="655">
        <f t="shared" si="33"/>
        <v>0</v>
      </c>
      <c r="E116" s="655">
        <f t="shared" si="33"/>
        <v>0</v>
      </c>
      <c r="F116" s="166">
        <f t="shared" ref="F116:I116" si="34">SUM(F110:F115)</f>
        <v>0</v>
      </c>
      <c r="G116" s="166">
        <f t="shared" si="34"/>
        <v>44740</v>
      </c>
      <c r="H116" s="166">
        <f t="shared" si="34"/>
        <v>0</v>
      </c>
      <c r="I116" s="166">
        <f t="shared" si="34"/>
        <v>44740</v>
      </c>
      <c r="J116" s="167">
        <f t="shared" si="31"/>
        <v>6.0065535069935266E-3</v>
      </c>
      <c r="K116" s="458"/>
      <c r="L116" s="163"/>
      <c r="M116" s="163"/>
      <c r="O116" s="329">
        <f>I116/I$233</f>
        <v>3.5398370124218688</v>
      </c>
      <c r="P116" s="324">
        <f>SUMMARY!L118</f>
        <v>2.2960193268338349</v>
      </c>
    </row>
    <row r="117" spans="1:16" s="162" customFormat="1">
      <c r="A117" s="158"/>
      <c r="C117" s="659"/>
      <c r="D117" s="659"/>
      <c r="E117" s="659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659"/>
      <c r="D118" s="659"/>
      <c r="E118" s="659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655">
        <f>'[17]Sch C'!D115</f>
        <v>0</v>
      </c>
      <c r="D119" s="655">
        <f>'[17]Sch C'!F115</f>
        <v>276122</v>
      </c>
      <c r="E119" s="655">
        <f>+'[17]Sch C'!H115</f>
        <v>0</v>
      </c>
      <c r="F119" s="166">
        <f t="shared" ref="F119:F123" si="35">C119+D119+E119</f>
        <v>276122</v>
      </c>
      <c r="G119" s="626">
        <f>-35152-141727</f>
        <v>-176879</v>
      </c>
      <c r="H119" s="166"/>
      <c r="I119" s="166">
        <f t="shared" ref="I119:I123" si="36">F119+G119+H119</f>
        <v>99243</v>
      </c>
      <c r="J119" s="167">
        <f t="shared" ref="J119:J124" si="37">IF($I$213=0,0,I119/$I$213)</f>
        <v>1.3323835263624465E-2</v>
      </c>
      <c r="K119" s="458"/>
      <c r="L119" s="176">
        <v>5000</v>
      </c>
      <c r="M119" s="176">
        <v>5000</v>
      </c>
      <c r="O119" s="329">
        <f t="shared" ref="O119:O124" si="38">I119/I$233</f>
        <v>7.8521243769285549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655">
        <f>'[17]Sch C'!D116</f>
        <v>0</v>
      </c>
      <c r="D120" s="655">
        <f>'[17]Sch C'!F116</f>
        <v>75318</v>
      </c>
      <c r="E120" s="655">
        <f>+'[17]Sch C'!H116</f>
        <v>0</v>
      </c>
      <c r="F120" s="166">
        <f t="shared" si="35"/>
        <v>75318</v>
      </c>
      <c r="G120" s="626">
        <f>-9588-38659</f>
        <v>-48247</v>
      </c>
      <c r="H120" s="166"/>
      <c r="I120" s="166">
        <f t="shared" si="36"/>
        <v>27071</v>
      </c>
      <c r="J120" s="167">
        <f t="shared" si="37"/>
        <v>3.634407912110455E-3</v>
      </c>
      <c r="K120" s="458" t="s">
        <v>610</v>
      </c>
      <c r="L120" s="163"/>
      <c r="M120" s="163"/>
      <c r="O120" s="329">
        <f t="shared" si="38"/>
        <v>2.1418624891209745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655">
        <f>'[17]Sch C'!D117</f>
        <v>32560</v>
      </c>
      <c r="D121" s="655">
        <f>'[17]Sch C'!F117</f>
        <v>0</v>
      </c>
      <c r="E121" s="655">
        <f>+'[17]Sch C'!H117</f>
        <v>0</v>
      </c>
      <c r="F121" s="166">
        <f t="shared" si="35"/>
        <v>32560</v>
      </c>
      <c r="G121" s="626"/>
      <c r="H121" s="166"/>
      <c r="I121" s="166">
        <f t="shared" si="36"/>
        <v>32560</v>
      </c>
      <c r="J121" s="167">
        <f t="shared" si="37"/>
        <v>4.3713317431316326E-3</v>
      </c>
      <c r="K121" s="458"/>
      <c r="L121" s="669" t="s">
        <v>614</v>
      </c>
      <c r="M121" s="163"/>
      <c r="O121" s="329">
        <f t="shared" si="38"/>
        <v>2.57615317667537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655">
        <f>'[17]Sch C'!D118</f>
        <v>509</v>
      </c>
      <c r="D122" s="655">
        <f>'[17]Sch C'!F118</f>
        <v>0</v>
      </c>
      <c r="E122" s="655">
        <f>+'[17]Sch C'!H118</f>
        <v>0</v>
      </c>
      <c r="F122" s="166">
        <f t="shared" si="35"/>
        <v>509</v>
      </c>
      <c r="G122" s="626"/>
      <c r="H122" s="166"/>
      <c r="I122" s="166">
        <f t="shared" si="36"/>
        <v>509</v>
      </c>
      <c r="J122" s="167">
        <f t="shared" si="37"/>
        <v>6.8335622151535655E-5</v>
      </c>
      <c r="K122" s="458"/>
      <c r="L122" s="163"/>
      <c r="M122" s="163"/>
      <c r="O122" s="329">
        <f t="shared" si="38"/>
        <v>4.0272173431442362E-2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655">
        <f>'[17]Sch C'!D119</f>
        <v>0</v>
      </c>
      <c r="D123" s="655">
        <f>'[17]Sch C'!F119</f>
        <v>0</v>
      </c>
      <c r="E123" s="655">
        <f>+'[17]Sch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655">
        <f t="shared" ref="C124:E124" si="39">SUM(C119:C123)</f>
        <v>33069</v>
      </c>
      <c r="D124" s="655">
        <f t="shared" si="39"/>
        <v>351440</v>
      </c>
      <c r="E124" s="655">
        <f t="shared" si="39"/>
        <v>0</v>
      </c>
      <c r="F124" s="166">
        <f t="shared" ref="F124:I124" si="40">SUM(F119:F123)</f>
        <v>384509</v>
      </c>
      <c r="G124" s="166">
        <f t="shared" si="40"/>
        <v>-225126</v>
      </c>
      <c r="H124" s="166">
        <f t="shared" si="40"/>
        <v>0</v>
      </c>
      <c r="I124" s="166">
        <f t="shared" si="40"/>
        <v>159383</v>
      </c>
      <c r="J124" s="167">
        <f t="shared" si="37"/>
        <v>2.1397910541018087E-2</v>
      </c>
      <c r="K124" s="458"/>
      <c r="L124" s="163"/>
      <c r="M124" s="163"/>
      <c r="O124" s="329">
        <f t="shared" si="38"/>
        <v>12.610412216156341</v>
      </c>
      <c r="P124" s="324">
        <f>SUMMARY!L126</f>
        <v>6.4188161734711136</v>
      </c>
    </row>
    <row r="125" spans="1:16" s="162" customFormat="1">
      <c r="A125" s="158"/>
      <c r="B125" s="165"/>
      <c r="C125" s="659"/>
      <c r="D125" s="659"/>
      <c r="E125" s="659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659"/>
      <c r="D126" s="659"/>
      <c r="E126" s="659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659"/>
      <c r="D127" s="659"/>
      <c r="E127" s="659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655">
        <f>'[17]Sch C'!D124</f>
        <v>0</v>
      </c>
      <c r="D128" s="655">
        <f>'[17]Sch C'!F124</f>
        <v>87231</v>
      </c>
      <c r="E128" s="655">
        <f>+'[17]Sch C'!H124</f>
        <v>0</v>
      </c>
      <c r="F128" s="166">
        <f t="shared" ref="F128:F132" si="41">C128+D128+E128</f>
        <v>87231</v>
      </c>
      <c r="G128" s="626"/>
      <c r="H128" s="166"/>
      <c r="I128" s="166">
        <f t="shared" ref="I128:I132" si="42">F128+G128+H128</f>
        <v>87231</v>
      </c>
      <c r="J128" s="167">
        <f>IF($I$213=0,0,I128/$I$213)</f>
        <v>1.1711168282712389E-2</v>
      </c>
      <c r="K128" s="458"/>
      <c r="L128" s="176">
        <v>2040</v>
      </c>
      <c r="M128" s="176">
        <v>2040</v>
      </c>
      <c r="O128" s="329">
        <f t="shared" ref="O128:O165" si="43">I128/I$233</f>
        <v>6.901732732019938</v>
      </c>
      <c r="P128" s="324">
        <f>SUMMARY!L130</f>
        <v>0.80275923694324991</v>
      </c>
    </row>
    <row r="129" spans="1:16" s="162" customFormat="1">
      <c r="B129" s="323" t="s">
        <v>673</v>
      </c>
      <c r="C129" s="655">
        <f>'[17]Sch C'!D125</f>
        <v>0</v>
      </c>
      <c r="D129" s="655">
        <f>'[17]Sch C'!F125</f>
        <v>88269</v>
      </c>
      <c r="E129" s="655">
        <f>+'[17]Sch C'!H125</f>
        <v>0</v>
      </c>
      <c r="F129" s="166">
        <f t="shared" si="41"/>
        <v>88269</v>
      </c>
      <c r="G129" s="626"/>
      <c r="H129" s="166"/>
      <c r="I129" s="166">
        <f t="shared" si="42"/>
        <v>88269</v>
      </c>
      <c r="J129" s="167">
        <f>IF($I$213=0,0,I129/$I$213)</f>
        <v>1.1850524620223773E-2</v>
      </c>
      <c r="K129" s="458"/>
      <c r="L129" s="176">
        <v>2040</v>
      </c>
      <c r="M129" s="176">
        <v>2040</v>
      </c>
      <c r="O129" s="329">
        <f t="shared" si="43"/>
        <v>6.9838594825539992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655">
        <f>'[17]Sch C'!D126</f>
        <v>0</v>
      </c>
      <c r="D130" s="655">
        <f>'[17]Sch C'!F126</f>
        <v>0</v>
      </c>
      <c r="E130" s="655">
        <f>+'[17]Sch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655">
        <f>'[17]Sch C'!D127</f>
        <v>0</v>
      </c>
      <c r="D131" s="655">
        <f>'[17]Sch C'!F127</f>
        <v>6658</v>
      </c>
      <c r="E131" s="655">
        <f>+'[17]Sch C'!H127</f>
        <v>0</v>
      </c>
      <c r="F131" s="166">
        <f t="shared" si="41"/>
        <v>6658</v>
      </c>
      <c r="G131" s="626"/>
      <c r="H131" s="166"/>
      <c r="I131" s="166">
        <f t="shared" si="42"/>
        <v>6658</v>
      </c>
      <c r="J131" s="167">
        <f>IF($I$213=0,0,I131/$I$213)</f>
        <v>8.9386752904700272E-4</v>
      </c>
      <c r="K131" s="458"/>
      <c r="L131" s="176">
        <v>403</v>
      </c>
      <c r="M131" s="176">
        <v>403</v>
      </c>
      <c r="O131" s="329">
        <f t="shared" si="43"/>
        <v>0.52678218213466255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655">
        <f>'[17]Sch C'!D128</f>
        <v>0</v>
      </c>
      <c r="D132" s="655">
        <f>'[17]Sch C'!F128</f>
        <v>0</v>
      </c>
      <c r="E132" s="655">
        <f>+'[17]Sch C'!H128</f>
        <v>0</v>
      </c>
      <c r="F132" s="166">
        <f t="shared" si="41"/>
        <v>0</v>
      </c>
      <c r="G132" s="626">
        <v>13900</v>
      </c>
      <c r="H132" s="166"/>
      <c r="I132" s="166">
        <f t="shared" si="42"/>
        <v>13900</v>
      </c>
      <c r="J132" s="167">
        <f>IF($I$213=0,0,I132/$I$213)</f>
        <v>1.8661397797767104E-3</v>
      </c>
      <c r="K132" s="677" t="s">
        <v>612</v>
      </c>
      <c r="L132" s="176">
        <v>0</v>
      </c>
      <c r="M132" s="176">
        <v>0</v>
      </c>
      <c r="O132" s="329">
        <f t="shared" si="43"/>
        <v>1.0997705514676794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660"/>
      <c r="D133" s="660"/>
      <c r="E133" s="660"/>
      <c r="F133" s="197"/>
      <c r="G133" s="197"/>
      <c r="H133" s="197"/>
      <c r="I133" s="197"/>
      <c r="J133" s="198"/>
      <c r="K133" s="138" t="s">
        <v>611</v>
      </c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655">
        <f>'[17]Sch C'!D130</f>
        <v>0</v>
      </c>
      <c r="D134" s="655">
        <f>'[17]Sch C'!F130</f>
        <v>23794</v>
      </c>
      <c r="E134" s="655">
        <f>+'[17]Sch C'!H130</f>
        <v>0</v>
      </c>
      <c r="F134" s="166">
        <f t="shared" ref="F134:F138" si="44">C134+D134+E134</f>
        <v>23794</v>
      </c>
      <c r="G134" s="626"/>
      <c r="H134" s="166"/>
      <c r="I134" s="166">
        <f t="shared" ref="I134:I138" si="45">F134+G134+H134</f>
        <v>23794</v>
      </c>
      <c r="J134" s="167">
        <f>IF($I$213=0,0,I134/$I$213)</f>
        <v>3.1944553899285644E-3</v>
      </c>
      <c r="K134" s="458"/>
      <c r="L134" s="196"/>
      <c r="M134" s="196"/>
      <c r="O134" s="329">
        <f t="shared" si="43"/>
        <v>1.8825856475987024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655">
        <f>'[17]Sch C'!D131</f>
        <v>0</v>
      </c>
      <c r="D135" s="655">
        <f>'[17]Sch C'!F131</f>
        <v>24077</v>
      </c>
      <c r="E135" s="655">
        <f>+'[17]Sch C'!H131</f>
        <v>0</v>
      </c>
      <c r="F135" s="166">
        <f t="shared" si="44"/>
        <v>24077</v>
      </c>
      <c r="G135" s="626"/>
      <c r="H135" s="166"/>
      <c r="I135" s="166">
        <f t="shared" si="45"/>
        <v>24077</v>
      </c>
      <c r="J135" s="167">
        <f>IF($I$213=0,0,I135/$I$213)</f>
        <v>3.2324494588261768E-3</v>
      </c>
      <c r="K135" s="458"/>
      <c r="L135" s="196"/>
      <c r="M135" s="196"/>
      <c r="O135" s="329">
        <f t="shared" si="43"/>
        <v>1.9049766595458502</v>
      </c>
      <c r="P135" s="324">
        <f>SUMMARY!L137</f>
        <v>1.7172183827658836</v>
      </c>
    </row>
    <row r="136" spans="1:16" s="162" customFormat="1">
      <c r="B136" s="323" t="s">
        <v>674</v>
      </c>
      <c r="C136" s="655">
        <f>'[17]Sch C'!D132</f>
        <v>0</v>
      </c>
      <c r="D136" s="655">
        <f>'[17]Sch C'!F132</f>
        <v>0</v>
      </c>
      <c r="E136" s="655">
        <f>+'[17]Sch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655">
        <f>'[17]Sch C'!D133</f>
        <v>0</v>
      </c>
      <c r="D137" s="655">
        <f>'[17]Sch C'!F133</f>
        <v>1816</v>
      </c>
      <c r="E137" s="655">
        <f>+'[17]Sch C'!H133</f>
        <v>0</v>
      </c>
      <c r="F137" s="166">
        <f t="shared" si="44"/>
        <v>1816</v>
      </c>
      <c r="G137" s="626"/>
      <c r="H137" s="166"/>
      <c r="I137" s="166">
        <f t="shared" si="45"/>
        <v>1816</v>
      </c>
      <c r="J137" s="167">
        <f>IF($I$213=0,0,I137/$I$213)</f>
        <v>2.4380646331471266E-4</v>
      </c>
      <c r="K137" s="458"/>
      <c r="L137" s="163"/>
      <c r="M137" s="163"/>
      <c r="O137" s="329">
        <f t="shared" si="43"/>
        <v>0.14368225334282775</v>
      </c>
      <c r="P137" s="324">
        <f>SUMMARY!L139</f>
        <v>2.1178039395593925E-2</v>
      </c>
    </row>
    <row r="138" spans="1:16" s="162" customFormat="1">
      <c r="B138" s="323" t="s">
        <v>684</v>
      </c>
      <c r="C138" s="655">
        <f>'[17]Sch C'!D134</f>
        <v>0</v>
      </c>
      <c r="D138" s="655">
        <f>'[17]Sch C'!F134</f>
        <v>0</v>
      </c>
      <c r="E138" s="655">
        <f>+'[17]Sch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659"/>
      <c r="D139" s="659"/>
      <c r="E139" s="659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655">
        <f>'[17]Sch C'!D136</f>
        <v>0</v>
      </c>
      <c r="D140" s="655">
        <f>'[17]Sch C'!F136</f>
        <v>702959</v>
      </c>
      <c r="E140" s="655">
        <f>+'[17]Sch C'!H136</f>
        <v>0</v>
      </c>
      <c r="F140" s="166">
        <f t="shared" ref="F140:F143" si="46">C140+D140+E140</f>
        <v>702959</v>
      </c>
      <c r="G140" s="626"/>
      <c r="H140" s="166"/>
      <c r="I140" s="166">
        <f t="shared" ref="I140:I143" si="47">F140+G140+H140</f>
        <v>702959</v>
      </c>
      <c r="J140" s="167">
        <f>IF($I$213=0,0,I140/$I$213)</f>
        <v>9.4375521831083206E-2</v>
      </c>
      <c r="K140" s="458"/>
      <c r="L140" s="176">
        <v>6785</v>
      </c>
      <c r="M140" s="176">
        <v>6785</v>
      </c>
      <c r="O140" s="329">
        <f t="shared" si="43"/>
        <v>55.618245114328666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655">
        <f>'[17]Sch C'!D137</f>
        <v>0</v>
      </c>
      <c r="D141" s="655">
        <f>'[17]Sch C'!F137</f>
        <v>204958</v>
      </c>
      <c r="E141" s="655">
        <f>+'[17]Sch C'!H137</f>
        <v>0</v>
      </c>
      <c r="F141" s="166">
        <f t="shared" si="46"/>
        <v>204958</v>
      </c>
      <c r="G141" s="626"/>
      <c r="H141" s="166"/>
      <c r="I141" s="166">
        <f t="shared" si="47"/>
        <v>204958</v>
      </c>
      <c r="J141" s="167">
        <f>IF($I$213=0,0,I141/$I$213)</f>
        <v>2.7516566689458632E-2</v>
      </c>
      <c r="K141" s="458"/>
      <c r="L141" s="176">
        <v>1279</v>
      </c>
      <c r="M141" s="176">
        <v>1279</v>
      </c>
      <c r="O141" s="329">
        <f t="shared" si="43"/>
        <v>16.216314581849829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655">
        <f>'[17]Sch C'!D138</f>
        <v>0</v>
      </c>
      <c r="D142" s="655">
        <f>'[17]Sch C'!F138</f>
        <v>497171</v>
      </c>
      <c r="E142" s="655">
        <f>+'[17]Sch C'!H138</f>
        <v>0</v>
      </c>
      <c r="F142" s="166">
        <f t="shared" si="46"/>
        <v>497171</v>
      </c>
      <c r="G142" s="626"/>
      <c r="H142" s="166"/>
      <c r="I142" s="166">
        <f t="shared" si="47"/>
        <v>497171</v>
      </c>
      <c r="J142" s="167">
        <f>IF($I$213=0,0,I142/$I$213)</f>
        <v>6.6747523773479631E-2</v>
      </c>
      <c r="K142" s="458"/>
      <c r="L142" s="176">
        <v>15744</v>
      </c>
      <c r="M142" s="176">
        <v>15744</v>
      </c>
      <c r="O142" s="329">
        <f t="shared" si="43"/>
        <v>39.336260780125009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655">
        <f>'[17]Sch C'!D139</f>
        <v>0</v>
      </c>
      <c r="D143" s="655">
        <f>'[17]Sch C'!F139</f>
        <v>0</v>
      </c>
      <c r="E143" s="655">
        <f>+'[17]Sch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659"/>
      <c r="D144" s="659"/>
      <c r="E144" s="659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655">
        <f>'[17]Sch C'!D141</f>
        <v>0</v>
      </c>
      <c r="D145" s="655">
        <f>'[17]Sch C'!F141</f>
        <v>191747</v>
      </c>
      <c r="E145" s="655">
        <f>+'[17]Sch C'!H141</f>
        <v>0</v>
      </c>
      <c r="F145" s="166">
        <f t="shared" ref="F145:F148" si="48">C145+D145+E145</f>
        <v>191747</v>
      </c>
      <c r="G145" s="626"/>
      <c r="H145" s="166"/>
      <c r="I145" s="166">
        <f t="shared" ref="I145:I148" si="49">F145+G145+H145</f>
        <v>191747</v>
      </c>
      <c r="J145" s="167">
        <f>IF($I$213=0,0,I145/$I$213)</f>
        <v>2.5742928370708264E-2</v>
      </c>
      <c r="K145" s="458"/>
      <c r="L145" s="163"/>
      <c r="M145" s="163"/>
      <c r="O145" s="329">
        <f t="shared" si="43"/>
        <v>15.171057836854182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655">
        <f>'[17]Sch C'!D142</f>
        <v>0</v>
      </c>
      <c r="D146" s="655">
        <f>'[17]Sch C'!F142</f>
        <v>55906</v>
      </c>
      <c r="E146" s="655">
        <f>+'[17]Sch C'!H142</f>
        <v>0</v>
      </c>
      <c r="F146" s="166">
        <f t="shared" si="48"/>
        <v>55906</v>
      </c>
      <c r="G146" s="626"/>
      <c r="H146" s="166"/>
      <c r="I146" s="166">
        <f t="shared" si="49"/>
        <v>55906</v>
      </c>
      <c r="J146" s="167">
        <f>IF($I$213=0,0,I146/$I$213)</f>
        <v>7.5056410451940121E-3</v>
      </c>
      <c r="K146" s="458"/>
      <c r="L146" s="163"/>
      <c r="M146" s="163"/>
      <c r="O146" s="329">
        <f t="shared" si="43"/>
        <v>4.423292982039718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655">
        <f>'[17]Sch C'!D143</f>
        <v>0</v>
      </c>
      <c r="D147" s="655">
        <f>'[17]Sch C'!F143</f>
        <v>135614</v>
      </c>
      <c r="E147" s="655">
        <f>+'[17]Sch C'!H143</f>
        <v>0</v>
      </c>
      <c r="F147" s="166">
        <f t="shared" si="48"/>
        <v>135614</v>
      </c>
      <c r="G147" s="626"/>
      <c r="H147" s="166"/>
      <c r="I147" s="166">
        <f t="shared" si="49"/>
        <v>135614</v>
      </c>
      <c r="J147" s="167">
        <f>IF($I$213=0,0,I147/$I$213)</f>
        <v>1.8206811517599914E-2</v>
      </c>
      <c r="K147" s="458"/>
      <c r="L147" s="163"/>
      <c r="M147" s="163"/>
      <c r="O147" s="329">
        <f t="shared" si="43"/>
        <v>10.729804573146609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655">
        <f>'[17]Sch C'!D144</f>
        <v>0</v>
      </c>
      <c r="D148" s="655">
        <f>'[17]Sch C'!F144</f>
        <v>0</v>
      </c>
      <c r="E148" s="655">
        <f>+'[17]Sch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659"/>
      <c r="D149" s="659"/>
      <c r="E149" s="659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655">
        <f>'[17]Sch C'!D146</f>
        <v>0</v>
      </c>
      <c r="D150" s="655">
        <f>'[17]Sch C'!F146</f>
        <v>81500</v>
      </c>
      <c r="E150" s="655">
        <f>+'[17]Sch C'!H146</f>
        <v>0</v>
      </c>
      <c r="F150" s="166">
        <f t="shared" ref="F150:F158" si="50">C150+D150+E150</f>
        <v>81500</v>
      </c>
      <c r="G150" s="626"/>
      <c r="H150" s="166"/>
      <c r="I150" s="166">
        <f t="shared" ref="I150:I158" si="51">F150+G150+H150</f>
        <v>81500</v>
      </c>
      <c r="J150" s="167">
        <f t="shared" ref="J150:J158" si="52">IF($I$213=0,0,I150/$I$213)</f>
        <v>1.094175482387064E-2</v>
      </c>
      <c r="K150" s="458"/>
      <c r="L150" s="176">
        <v>2000</v>
      </c>
      <c r="M150" s="176">
        <v>2000</v>
      </c>
      <c r="O150" s="329">
        <f t="shared" si="43"/>
        <v>6.4482949600443069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655">
        <f>'[17]Sch C'!D147</f>
        <v>0</v>
      </c>
      <c r="D151" s="655">
        <f>'[17]Sch C'!F147</f>
        <v>624</v>
      </c>
      <c r="E151" s="655">
        <f>+'[17]Sch C'!H147</f>
        <v>0</v>
      </c>
      <c r="F151" s="166">
        <f t="shared" si="50"/>
        <v>624</v>
      </c>
      <c r="G151" s="626"/>
      <c r="H151" s="166"/>
      <c r="I151" s="166">
        <f t="shared" si="51"/>
        <v>624</v>
      </c>
      <c r="J151" s="167">
        <f t="shared" si="52"/>
        <v>8.3774908099328577E-5</v>
      </c>
      <c r="K151" s="458"/>
      <c r="L151" s="176">
        <v>20</v>
      </c>
      <c r="M151" s="176">
        <v>20</v>
      </c>
      <c r="O151" s="329">
        <f t="shared" si="43"/>
        <v>4.9370994540707334E-2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655">
        <f>'[17]Sch C'!D148</f>
        <v>0</v>
      </c>
      <c r="D152" s="655">
        <f>'[17]Sch C'!F148</f>
        <v>432</v>
      </c>
      <c r="E152" s="655">
        <f>+'[17]Sch C'!H148</f>
        <v>0</v>
      </c>
      <c r="F152" s="166">
        <f t="shared" si="50"/>
        <v>432</v>
      </c>
      <c r="G152" s="626"/>
      <c r="H152" s="166"/>
      <c r="I152" s="166">
        <f t="shared" si="51"/>
        <v>432</v>
      </c>
      <c r="J152" s="167">
        <f t="shared" si="52"/>
        <v>5.7998013299535168E-5</v>
      </c>
      <c r="K152" s="458"/>
      <c r="L152" s="176">
        <v>20</v>
      </c>
      <c r="M152" s="176">
        <v>20</v>
      </c>
      <c r="O152" s="329">
        <f t="shared" si="43"/>
        <v>3.4179919297412771E-2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655">
        <f>'[17]Sch C'!D149</f>
        <v>0</v>
      </c>
      <c r="D153" s="655">
        <f>'[17]Sch C'!F149</f>
        <v>1895</v>
      </c>
      <c r="E153" s="655">
        <f>+'[17]Sch C'!H149</f>
        <v>0</v>
      </c>
      <c r="F153" s="166">
        <f t="shared" si="50"/>
        <v>1895</v>
      </c>
      <c r="G153" s="626"/>
      <c r="H153" s="166"/>
      <c r="I153" s="166">
        <f t="shared" si="51"/>
        <v>1895</v>
      </c>
      <c r="J153" s="167">
        <f t="shared" si="52"/>
        <v>2.5441258148754434E-4</v>
      </c>
      <c r="K153" s="458"/>
      <c r="L153" s="176">
        <v>100</v>
      </c>
      <c r="M153" s="176">
        <v>100</v>
      </c>
      <c r="O153" s="329">
        <f t="shared" si="43"/>
        <v>0.14993274784397501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655">
        <f>'[17]Sch C'!D150</f>
        <v>0</v>
      </c>
      <c r="D154" s="655">
        <f>'[17]Sch C'!F150</f>
        <v>18457</v>
      </c>
      <c r="E154" s="655">
        <f>+'[17]Sch C'!H150</f>
        <v>0</v>
      </c>
      <c r="F154" s="166">
        <f t="shared" si="50"/>
        <v>18457</v>
      </c>
      <c r="G154" s="626"/>
      <c r="H154" s="166"/>
      <c r="I154" s="166">
        <f t="shared" si="51"/>
        <v>18457</v>
      </c>
      <c r="J154" s="167">
        <f t="shared" si="52"/>
        <v>2.4779382672905572E-3</v>
      </c>
      <c r="K154" s="458"/>
      <c r="L154" s="176">
        <v>0</v>
      </c>
      <c r="M154" s="176">
        <v>0</v>
      </c>
      <c r="O154" s="329">
        <f t="shared" si="43"/>
        <v>1.4603212279452489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655">
        <f>'[17]Sch C'!D151</f>
        <v>529669</v>
      </c>
      <c r="D155" s="655">
        <f>'[17]Sch C'!F151</f>
        <v>0</v>
      </c>
      <c r="E155" s="655">
        <f>+'[17]Sch C'!H151</f>
        <v>0</v>
      </c>
      <c r="F155" s="166">
        <f t="shared" si="50"/>
        <v>529669</v>
      </c>
      <c r="G155" s="626"/>
      <c r="H155" s="166"/>
      <c r="I155" s="166">
        <f t="shared" si="51"/>
        <v>529669</v>
      </c>
      <c r="J155" s="167">
        <f t="shared" si="52"/>
        <v>7.1110531727665502E-2</v>
      </c>
      <c r="K155" s="458"/>
      <c r="L155" s="163"/>
      <c r="M155" s="163"/>
      <c r="O155" s="329">
        <f t="shared" si="43"/>
        <v>41.907508505419734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655">
        <f>'[17]Sch C'!D152</f>
        <v>52407</v>
      </c>
      <c r="D156" s="655">
        <f>'[17]Sch C'!F152</f>
        <v>0</v>
      </c>
      <c r="E156" s="655">
        <f>+'[17]Sch C'!H152</f>
        <v>0</v>
      </c>
      <c r="F156" s="166">
        <f t="shared" si="50"/>
        <v>52407</v>
      </c>
      <c r="G156" s="626"/>
      <c r="H156" s="166"/>
      <c r="I156" s="166">
        <f t="shared" si="51"/>
        <v>52407</v>
      </c>
      <c r="J156" s="167">
        <f t="shared" si="52"/>
        <v>7.0358839883998599E-3</v>
      </c>
      <c r="K156" s="458"/>
      <c r="L156" s="163"/>
      <c r="M156" s="163"/>
      <c r="O156" s="329">
        <f t="shared" si="43"/>
        <v>4.1464514597673867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655">
        <f>'[17]Sch C'!D153</f>
        <v>0</v>
      </c>
      <c r="D157" s="655">
        <f>'[17]Sch C'!F153</f>
        <v>0</v>
      </c>
      <c r="E157" s="655">
        <f>+'[17]Sch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655">
        <f>'[17]Sch C'!D154</f>
        <v>0</v>
      </c>
      <c r="D158" s="655">
        <f>'[17]Sch C'!F154</f>
        <v>844235</v>
      </c>
      <c r="E158" s="655">
        <f>+'[17]Sch C'!H154</f>
        <v>0</v>
      </c>
      <c r="F158" s="166">
        <f t="shared" si="50"/>
        <v>844235</v>
      </c>
      <c r="G158" s="626"/>
      <c r="H158" s="166"/>
      <c r="I158" s="166">
        <f t="shared" si="51"/>
        <v>844235</v>
      </c>
      <c r="J158" s="167">
        <f t="shared" si="52"/>
        <v>0.11334248323595619</v>
      </c>
      <c r="K158" s="458"/>
      <c r="L158" s="163"/>
      <c r="M158" s="163"/>
      <c r="O158" s="329">
        <f t="shared" si="43"/>
        <v>66.796028166785348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661"/>
      <c r="D159" s="661"/>
      <c r="E159" s="661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655">
        <f>'[17]Sch C'!D156</f>
        <v>0</v>
      </c>
      <c r="D160" s="655">
        <f>'[17]Sch C'!F156</f>
        <v>0</v>
      </c>
      <c r="E160" s="655">
        <f>+'[17]Sch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655">
        <f>'[17]Sch C'!D157</f>
        <v>0</v>
      </c>
      <c r="D161" s="655">
        <f>'[17]Sch C'!F157</f>
        <v>0</v>
      </c>
      <c r="E161" s="655">
        <f>+'[17]Sch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655">
        <f>'[17]Sch C'!D158</f>
        <v>0</v>
      </c>
      <c r="D162" s="655">
        <f>'[17]Sch C'!F158</f>
        <v>0</v>
      </c>
      <c r="E162" s="655">
        <f>+'[17]Sch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655">
        <f>'[17]Sch C'!D159</f>
        <v>0</v>
      </c>
      <c r="D163" s="655">
        <f>'[17]Sch C'!F159</f>
        <v>0</v>
      </c>
      <c r="E163" s="655">
        <f>+'[17]Sch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655">
        <f>'[17]Sch C'!D160</f>
        <v>0</v>
      </c>
      <c r="D164" s="655">
        <f>'[17]Sch C'!F160</f>
        <v>0</v>
      </c>
      <c r="E164" s="655">
        <f>+'[17]Sch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655">
        <f>'[17]Sch C'!D161</f>
        <v>0</v>
      </c>
      <c r="D165" s="655">
        <f>'[17]Sch C'!F161</f>
        <v>0</v>
      </c>
      <c r="E165" s="655">
        <f>+'[17]Sch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655">
        <f t="shared" ref="C166:E166" si="56">SUM(C128:C165)</f>
        <v>582076</v>
      </c>
      <c r="D166" s="655">
        <f t="shared" si="56"/>
        <v>2967343</v>
      </c>
      <c r="E166" s="655">
        <f t="shared" si="56"/>
        <v>0</v>
      </c>
      <c r="F166" s="166">
        <f t="shared" ref="F166:I166" si="57">SUM(F128:F165)</f>
        <v>3549419</v>
      </c>
      <c r="G166" s="166">
        <f t="shared" si="57"/>
        <v>13900</v>
      </c>
      <c r="H166" s="166">
        <f t="shared" si="57"/>
        <v>0</v>
      </c>
      <c r="I166" s="166">
        <f t="shared" si="57"/>
        <v>3563319</v>
      </c>
      <c r="J166" s="167">
        <f t="shared" si="55"/>
        <v>0.47839218229742214</v>
      </c>
      <c r="K166" s="458"/>
      <c r="L166" s="163"/>
      <c r="M166" s="163"/>
      <c r="O166" s="329">
        <f>I166/I$233</f>
        <v>281.93045335865179</v>
      </c>
      <c r="P166" s="324">
        <f>SUMMARY!L168</f>
        <v>117.25773185217372</v>
      </c>
    </row>
    <row r="167" spans="1:16" s="162" customFormat="1">
      <c r="A167" s="164"/>
      <c r="B167" s="165"/>
      <c r="C167" s="659"/>
      <c r="D167" s="659"/>
      <c r="E167" s="659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 ht="26">
      <c r="A168" s="164" t="s">
        <v>160</v>
      </c>
      <c r="B168" s="204" t="s">
        <v>92</v>
      </c>
      <c r="C168" s="662"/>
      <c r="D168" s="662"/>
      <c r="E168" s="662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655">
        <f>'[17]Sch C'!D175</f>
        <v>0</v>
      </c>
      <c r="D169" s="655">
        <f>'[17]Sch C'!F175</f>
        <v>0</v>
      </c>
      <c r="E169" s="655">
        <f>+'[17]Sch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9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655">
        <f>'[17]Sch C'!D176</f>
        <v>0</v>
      </c>
      <c r="D170" s="655">
        <f>'[17]Sch C'!F176</f>
        <v>0</v>
      </c>
      <c r="E170" s="655">
        <f>+'[17]Sch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9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655">
        <f>'[17]Sch C'!D177</f>
        <v>0</v>
      </c>
      <c r="D171" s="655">
        <f>'[17]Sch C'!F177</f>
        <v>77863</v>
      </c>
      <c r="E171" s="655">
        <f>+'[17]Sch C'!H177</f>
        <v>0</v>
      </c>
      <c r="F171" s="166">
        <f t="shared" si="58"/>
        <v>77863</v>
      </c>
      <c r="G171" s="626"/>
      <c r="H171" s="166"/>
      <c r="I171" s="166">
        <f t="shared" si="59"/>
        <v>77863</v>
      </c>
      <c r="J171" s="167">
        <f t="shared" si="60"/>
        <v>1.0453470623939136E-2</v>
      </c>
      <c r="K171" s="468"/>
      <c r="L171" s="176">
        <v>1215</v>
      </c>
      <c r="M171" s="176">
        <v>1215</v>
      </c>
      <c r="N171" s="209"/>
      <c r="O171" s="329">
        <f t="shared" si="61"/>
        <v>6.1605348524408576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655">
        <f>'[17]Sch C'!D178</f>
        <v>0</v>
      </c>
      <c r="D172" s="655">
        <f>'[17]Sch C'!F178</f>
        <v>21239</v>
      </c>
      <c r="E172" s="655">
        <f>+'[17]Sch C'!H178</f>
        <v>0</v>
      </c>
      <c r="F172" s="166">
        <f t="shared" si="58"/>
        <v>21239</v>
      </c>
      <c r="G172" s="626"/>
      <c r="H172" s="166"/>
      <c r="I172" s="166">
        <f t="shared" si="59"/>
        <v>21239</v>
      </c>
      <c r="J172" s="167">
        <f t="shared" si="60"/>
        <v>2.8514347325667303E-3</v>
      </c>
      <c r="K172" s="469"/>
      <c r="L172" s="212"/>
      <c r="M172" s="212"/>
      <c r="N172" s="209"/>
      <c r="O172" s="329">
        <f t="shared" si="61"/>
        <v>1.6804335786059024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655">
        <f>'[17]Sch C'!D179</f>
        <v>0</v>
      </c>
      <c r="D173" s="655">
        <f>'[17]Sch C'!F179</f>
        <v>42350</v>
      </c>
      <c r="E173" s="655">
        <f>+'[17]Sch C'!H179</f>
        <v>0</v>
      </c>
      <c r="F173" s="166">
        <f t="shared" si="58"/>
        <v>42350</v>
      </c>
      <c r="G173" s="626"/>
      <c r="H173" s="166"/>
      <c r="I173" s="166">
        <f t="shared" si="59"/>
        <v>42350</v>
      </c>
      <c r="J173" s="167">
        <f t="shared" si="60"/>
        <v>5.6856848686002645E-3</v>
      </c>
      <c r="K173" s="468"/>
      <c r="L173" s="176">
        <v>442</v>
      </c>
      <c r="M173" s="176">
        <v>442</v>
      </c>
      <c r="N173" s="209"/>
      <c r="O173" s="329">
        <f t="shared" si="61"/>
        <v>3.350739773716275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655">
        <f>'[17]Sch C'!D180</f>
        <v>0</v>
      </c>
      <c r="D174" s="655">
        <f>'[17]Sch C'!F180</f>
        <v>11552</v>
      </c>
      <c r="E174" s="655">
        <f>+'[17]Sch C'!H180</f>
        <v>0</v>
      </c>
      <c r="F174" s="166">
        <f t="shared" si="58"/>
        <v>11552</v>
      </c>
      <c r="G174" s="626"/>
      <c r="H174" s="166"/>
      <c r="I174" s="166">
        <f t="shared" si="59"/>
        <v>11552</v>
      </c>
      <c r="J174" s="167">
        <f t="shared" si="60"/>
        <v>1.5509098371209035E-3</v>
      </c>
      <c r="K174" s="469"/>
      <c r="L174" s="212"/>
      <c r="M174" s="212"/>
      <c r="N174" s="209"/>
      <c r="O174" s="329">
        <f t="shared" si="61"/>
        <v>0.9139963604715563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655">
        <f>'[17]Sch C'!D181</f>
        <v>0</v>
      </c>
      <c r="D175" s="655">
        <f>'[17]Sch C'!F181</f>
        <v>0</v>
      </c>
      <c r="E175" s="655">
        <f>+'[17]Sch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9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655">
        <f>'[17]Sch C'!D182</f>
        <v>0</v>
      </c>
      <c r="D176" s="655">
        <f>'[17]Sch C'!F182</f>
        <v>0</v>
      </c>
      <c r="E176" s="655">
        <f>+'[17]Sch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9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655">
        <f>'[17]Sch C'!D183</f>
        <v>0</v>
      </c>
      <c r="D177" s="655">
        <f>'[17]Sch C'!F183</f>
        <v>12876</v>
      </c>
      <c r="E177" s="655">
        <f>+'[17]Sch C'!H183</f>
        <v>0</v>
      </c>
      <c r="F177" s="166">
        <f t="shared" si="58"/>
        <v>12876</v>
      </c>
      <c r="G177" s="626"/>
      <c r="H177" s="166"/>
      <c r="I177" s="166">
        <f t="shared" si="59"/>
        <v>12876</v>
      </c>
      <c r="J177" s="167">
        <f t="shared" si="60"/>
        <v>1.7286630075111454E-3</v>
      </c>
      <c r="K177" s="468"/>
      <c r="L177" s="176">
        <v>106</v>
      </c>
      <c r="M177" s="176">
        <v>106</v>
      </c>
      <c r="N177" s="209"/>
      <c r="O177" s="329">
        <f t="shared" si="61"/>
        <v>1.0187514835034417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655">
        <f>'[17]Sch C'!D184</f>
        <v>0</v>
      </c>
      <c r="D178" s="655">
        <f>'[17]Sch C'!F184</f>
        <v>3512</v>
      </c>
      <c r="E178" s="655">
        <f>+'[17]Sch C'!H184</f>
        <v>0</v>
      </c>
      <c r="F178" s="166">
        <f t="shared" si="58"/>
        <v>3512</v>
      </c>
      <c r="G178" s="626"/>
      <c r="H178" s="166"/>
      <c r="I178" s="166">
        <f t="shared" si="59"/>
        <v>3512</v>
      </c>
      <c r="J178" s="167">
        <f t="shared" si="60"/>
        <v>4.7150236737955446E-4</v>
      </c>
      <c r="K178" s="469"/>
      <c r="L178" s="212"/>
      <c r="M178" s="212"/>
      <c r="N178" s="209"/>
      <c r="O178" s="329">
        <f t="shared" si="61"/>
        <v>0.27787008465859642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655">
        <f>'[17]Sch C'!D185</f>
        <v>0</v>
      </c>
      <c r="D179" s="655">
        <f>'[17]Sch C'!F185</f>
        <v>0</v>
      </c>
      <c r="E179" s="655">
        <f>+'[17]Sch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9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655">
        <f>'[17]Sch C'!D186</f>
        <v>0</v>
      </c>
      <c r="D180" s="655">
        <f>'[17]Sch C'!F186</f>
        <v>0</v>
      </c>
      <c r="E180" s="655">
        <f>+'[17]Sch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655">
        <f>'[17]Sch C'!D187</f>
        <v>0</v>
      </c>
      <c r="D181" s="655">
        <f>'[17]Sch C'!F187</f>
        <v>0</v>
      </c>
      <c r="E181" s="655">
        <f>+'[17]Sch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655">
        <f>'[17]Sch C'!D188</f>
        <v>0</v>
      </c>
      <c r="D182" s="655">
        <f>'[17]Sch C'!F188</f>
        <v>0</v>
      </c>
      <c r="E182" s="655">
        <f>+'[17]Sch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655">
        <f>'[17]Sch C'!D189</f>
        <v>0</v>
      </c>
      <c r="D183" s="655">
        <f>'[17]Sch C'!F189</f>
        <v>0</v>
      </c>
      <c r="E183" s="655">
        <f>+'[17]Sch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655">
        <f>'[17]Sch C'!D190</f>
        <v>0</v>
      </c>
      <c r="D184" s="655">
        <f>'[17]Sch C'!F190</f>
        <v>0</v>
      </c>
      <c r="E184" s="655">
        <f>+'[17]Sch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655">
        <f>'[17]Sch C'!D191</f>
        <v>0</v>
      </c>
      <c r="D185" s="655">
        <f>'[17]Sch C'!F191</f>
        <v>0</v>
      </c>
      <c r="E185" s="655">
        <f>+'[17]Sch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655">
        <f>'[17]Sch C'!D192</f>
        <v>0</v>
      </c>
      <c r="D186" s="655">
        <f>'[17]Sch C'!F192</f>
        <v>0</v>
      </c>
      <c r="E186" s="655">
        <f>+'[17]Sch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655">
        <f>'[17]Sch C'!D193</f>
        <v>0</v>
      </c>
      <c r="D187" s="655">
        <f>'[17]Sch C'!F193</f>
        <v>0</v>
      </c>
      <c r="E187" s="655">
        <f>+'[17]Sch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655">
        <f>'[17]Sch C'!D194</f>
        <v>130</v>
      </c>
      <c r="D188" s="655">
        <f>'[17]Sch C'!F194</f>
        <v>0</v>
      </c>
      <c r="E188" s="655">
        <f>+'[17]Sch C'!H194</f>
        <v>0</v>
      </c>
      <c r="F188" s="166">
        <f t="shared" si="58"/>
        <v>130</v>
      </c>
      <c r="G188" s="626"/>
      <c r="H188" s="166"/>
      <c r="I188" s="166">
        <f t="shared" si="59"/>
        <v>130</v>
      </c>
      <c r="J188" s="167">
        <f t="shared" si="60"/>
        <v>1.7453105854026788E-5</v>
      </c>
      <c r="K188" s="458"/>
      <c r="L188" s="213"/>
      <c r="M188" s="208"/>
      <c r="N188" s="210"/>
      <c r="O188" s="329">
        <f t="shared" si="61"/>
        <v>1.028562386264736E-2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655">
        <f>'[17]Sch C'!D195</f>
        <v>0</v>
      </c>
      <c r="D189" s="655">
        <f>'[17]Sch C'!F195</f>
        <v>0</v>
      </c>
      <c r="E189" s="655">
        <f>+'[17]Sch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N189" s="210"/>
      <c r="O189" s="329">
        <f t="shared" si="61"/>
        <v>0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655">
        <f>'[17]Sch C'!D196</f>
        <v>0</v>
      </c>
      <c r="D190" s="655">
        <f>'[17]Sch C'!F196</f>
        <v>0</v>
      </c>
      <c r="E190" s="655">
        <f>+'[17]Sch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210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655">
        <f>'[17]Sch C'!D197</f>
        <v>0</v>
      </c>
      <c r="D191" s="655">
        <f>'[17]Sch C'!F197</f>
        <v>0</v>
      </c>
      <c r="E191" s="655">
        <f>+'[17]Sch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210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655">
        <f>'[17]Sch C'!D198</f>
        <v>15435</v>
      </c>
      <c r="D192" s="655">
        <f>'[17]Sch C'!F198</f>
        <v>0</v>
      </c>
      <c r="E192" s="655">
        <f>+'[17]Sch C'!H198</f>
        <v>0</v>
      </c>
      <c r="F192" s="166">
        <f t="shared" si="58"/>
        <v>15435</v>
      </c>
      <c r="G192" s="626"/>
      <c r="H192" s="166"/>
      <c r="I192" s="166">
        <f t="shared" si="59"/>
        <v>15435</v>
      </c>
      <c r="J192" s="167">
        <f t="shared" si="60"/>
        <v>2.0722206835146421E-3</v>
      </c>
      <c r="K192" s="458"/>
      <c r="L192" s="213"/>
      <c r="M192" s="208"/>
      <c r="N192" s="210"/>
      <c r="O192" s="329">
        <f t="shared" si="61"/>
        <v>1.221220033230477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655">
        <f>'[17]Sch C'!D199</f>
        <v>0</v>
      </c>
      <c r="D193" s="655">
        <f>'[17]Sch C'!F199</f>
        <v>0</v>
      </c>
      <c r="E193" s="655">
        <f>+'[17]Sch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210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655">
        <f>'[17]Sch C'!D200</f>
        <v>0</v>
      </c>
      <c r="D194" s="655">
        <f>'[17]Sch C'!F200</f>
        <v>0</v>
      </c>
      <c r="E194" s="655">
        <f>+'[17]Sch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210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655">
        <f>'[17]Sch C'!D201</f>
        <v>0</v>
      </c>
      <c r="D195" s="655">
        <f>'[17]Sch C'!F201</f>
        <v>0</v>
      </c>
      <c r="E195" s="655">
        <f>+'[17]Sch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210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655">
        <f>'[17]Sch C'!D202</f>
        <v>0</v>
      </c>
      <c r="D196" s="655">
        <f>'[17]Sch C'!F202</f>
        <v>0</v>
      </c>
      <c r="E196" s="655">
        <f>+'[17]Sch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210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655">
        <f>'[17]Sch C'!D203</f>
        <v>0</v>
      </c>
      <c r="D197" s="655">
        <f>'[17]Sch C'!F203</f>
        <v>0</v>
      </c>
      <c r="E197" s="655">
        <f>+'[17]Sch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210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655">
        <f>'[17]Sch C'!D204</f>
        <v>0</v>
      </c>
      <c r="D198" s="655">
        <f>'[17]Sch C'!F204</f>
        <v>0</v>
      </c>
      <c r="E198" s="655">
        <f>+'[17]Sch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210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655">
        <f>'[17]Sch C'!D205</f>
        <v>150290</v>
      </c>
      <c r="D199" s="655">
        <f>'[17]Sch C'!F205</f>
        <v>0</v>
      </c>
      <c r="E199" s="655">
        <f>+'[17]Sch C'!H205</f>
        <v>0</v>
      </c>
      <c r="F199" s="166">
        <f t="shared" si="58"/>
        <v>150290</v>
      </c>
      <c r="G199" s="626"/>
      <c r="H199" s="166"/>
      <c r="I199" s="166">
        <f t="shared" si="59"/>
        <v>150290</v>
      </c>
      <c r="J199" s="167">
        <f t="shared" si="60"/>
        <v>2.0177132913859121E-2</v>
      </c>
      <c r="K199" s="458"/>
      <c r="L199" s="213"/>
      <c r="M199" s="208"/>
      <c r="N199" s="210"/>
      <c r="O199" s="329">
        <f t="shared" si="61"/>
        <v>11.890972387055937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655">
        <f>'[17]Sch C'!D206</f>
        <v>0</v>
      </c>
      <c r="D200" s="655">
        <f>'[17]Sch C'!F206</f>
        <v>0</v>
      </c>
      <c r="E200" s="655">
        <f>+'[17]Sch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N200" s="210"/>
      <c r="O200" s="329">
        <f t="shared" si="61"/>
        <v>0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655">
        <f>'[17]Sch C'!D207</f>
        <v>0</v>
      </c>
      <c r="D201" s="655">
        <f>'[17]Sch C'!F207</f>
        <v>0</v>
      </c>
      <c r="E201" s="655">
        <f>+'[17]Sch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N201" s="210"/>
      <c r="O201" s="329">
        <f t="shared" si="61"/>
        <v>0</v>
      </c>
      <c r="P201" s="324">
        <f>SUMMARY!L203</f>
        <v>0.38409432252006021</v>
      </c>
    </row>
    <row r="202" spans="1:16" s="162" customFormat="1" ht="26">
      <c r="A202" s="158"/>
      <c r="B202" s="204" t="s">
        <v>122</v>
      </c>
      <c r="C202" s="655">
        <f t="shared" ref="C202:E202" si="62">SUM(C169:C201)</f>
        <v>165855</v>
      </c>
      <c r="D202" s="655">
        <f t="shared" si="62"/>
        <v>169392</v>
      </c>
      <c r="E202" s="655">
        <f t="shared" si="62"/>
        <v>0</v>
      </c>
      <c r="F202" s="166">
        <f t="shared" ref="F202:I202" si="63">SUM(F169:F201)</f>
        <v>335247</v>
      </c>
      <c r="G202" s="166">
        <f t="shared" si="63"/>
        <v>0</v>
      </c>
      <c r="H202" s="166">
        <f t="shared" si="63"/>
        <v>0</v>
      </c>
      <c r="I202" s="166">
        <f t="shared" si="63"/>
        <v>335247</v>
      </c>
      <c r="J202" s="167">
        <f>IF($I$213=0,0,I202/$I$213)</f>
        <v>4.5008472140345528E-2</v>
      </c>
      <c r="K202" s="458"/>
      <c r="L202" s="163"/>
      <c r="M202" s="163"/>
      <c r="O202" s="329">
        <f>I202/I$233</f>
        <v>26.524804177545693</v>
      </c>
      <c r="P202" s="324">
        <f>SUMMARY!L204</f>
        <v>35.511780513975516</v>
      </c>
    </row>
    <row r="203" spans="1:16" s="162" customFormat="1">
      <c r="A203" s="158"/>
      <c r="C203" s="659"/>
      <c r="D203" s="659"/>
      <c r="E203" s="659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659"/>
      <c r="D204" s="659"/>
      <c r="E204" s="659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655">
        <f>'[17]Sch C'!D211</f>
        <v>0</v>
      </c>
      <c r="D205" s="655">
        <f>'[17]Sch C'!F211</f>
        <v>0</v>
      </c>
      <c r="E205" s="655">
        <f>+'[17]Sch C'!H211</f>
        <v>0</v>
      </c>
      <c r="F205" s="166">
        <f t="shared" ref="F205:F210" si="64">C205+D205+E205</f>
        <v>0</v>
      </c>
      <c r="G205" s="626"/>
      <c r="H205" s="166"/>
      <c r="I205" s="166">
        <f t="shared" ref="I205:I210" si="65">F205+G205+H205</f>
        <v>0</v>
      </c>
      <c r="J205" s="167">
        <f t="shared" ref="J205:J211" si="66">IF($I$213=0,0,I205/$I$213)</f>
        <v>0</v>
      </c>
      <c r="K205" s="458"/>
      <c r="L205" s="176">
        <v>0</v>
      </c>
      <c r="M205" s="176">
        <v>0</v>
      </c>
      <c r="O205" s="329">
        <f t="shared" ref="O205:O210" si="67">I205/I$233</f>
        <v>0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655">
        <f>'[17]Sch C'!D212</f>
        <v>0</v>
      </c>
      <c r="D206" s="655">
        <f>'[17]Sch C'!F212</f>
        <v>0</v>
      </c>
      <c r="E206" s="655">
        <f>+'[17]Sch C'!H212</f>
        <v>0</v>
      </c>
      <c r="F206" s="166">
        <f t="shared" si="64"/>
        <v>0</v>
      </c>
      <c r="G206" s="626"/>
      <c r="H206" s="166"/>
      <c r="I206" s="166">
        <f t="shared" si="65"/>
        <v>0</v>
      </c>
      <c r="J206" s="167">
        <f t="shared" si="66"/>
        <v>0</v>
      </c>
      <c r="K206" s="458"/>
      <c r="L206" s="163"/>
      <c r="M206" s="163"/>
      <c r="O206" s="329">
        <f t="shared" si="67"/>
        <v>0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655">
        <f>'[17]Sch C'!D213</f>
        <v>18857</v>
      </c>
      <c r="D207" s="655">
        <f>'[17]Sch C'!F213</f>
        <v>0</v>
      </c>
      <c r="E207" s="655">
        <f>+'[17]Sch C'!H213</f>
        <v>0</v>
      </c>
      <c r="F207" s="166">
        <f t="shared" si="64"/>
        <v>18857</v>
      </c>
      <c r="G207" s="626"/>
      <c r="H207" s="166"/>
      <c r="I207" s="166">
        <f t="shared" si="65"/>
        <v>18857</v>
      </c>
      <c r="J207" s="167">
        <f t="shared" si="66"/>
        <v>2.5316401314567933E-3</v>
      </c>
      <c r="K207" s="458"/>
      <c r="L207" s="163"/>
      <c r="M207" s="163"/>
      <c r="O207" s="329">
        <f t="shared" si="67"/>
        <v>1.4919693013687791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655">
        <f>'[17]Sch C'!D214</f>
        <v>0</v>
      </c>
      <c r="D208" s="655">
        <f>'[17]Sch C'!F214</f>
        <v>0</v>
      </c>
      <c r="E208" s="655">
        <f>+'[17]Sch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655">
        <f>'[17]Sch C'!D215</f>
        <v>0</v>
      </c>
      <c r="D209" s="655">
        <f>'[17]Sch C'!F215</f>
        <v>0</v>
      </c>
      <c r="E209" s="655">
        <f>+'[17]Sch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655">
        <f>'[17]Sch C'!D216</f>
        <v>0</v>
      </c>
      <c r="D210" s="655">
        <f>'[17]Sch C'!F216</f>
        <v>0</v>
      </c>
      <c r="E210" s="655">
        <f>+'[17]Sch C'!H216</f>
        <v>0</v>
      </c>
      <c r="F210" s="166">
        <f t="shared" si="64"/>
        <v>0</v>
      </c>
      <c r="G210" s="626"/>
      <c r="H210" s="166"/>
      <c r="I210" s="166">
        <f t="shared" si="65"/>
        <v>0</v>
      </c>
      <c r="J210" s="167">
        <f t="shared" si="66"/>
        <v>0</v>
      </c>
      <c r="K210" s="458"/>
      <c r="L210" s="163"/>
      <c r="M210" s="163"/>
      <c r="O210" s="329">
        <f t="shared" si="67"/>
        <v>0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655">
        <f t="shared" ref="C211:E211" si="68">SUM(C205:C210)</f>
        <v>18857</v>
      </c>
      <c r="D211" s="655">
        <f t="shared" si="68"/>
        <v>0</v>
      </c>
      <c r="E211" s="655">
        <f t="shared" si="68"/>
        <v>0</v>
      </c>
      <c r="F211" s="166">
        <f t="shared" ref="F211:I211" si="69">SUM(F205:F210)</f>
        <v>18857</v>
      </c>
      <c r="G211" s="166">
        <f t="shared" si="69"/>
        <v>0</v>
      </c>
      <c r="H211" s="166">
        <f t="shared" si="69"/>
        <v>0</v>
      </c>
      <c r="I211" s="166">
        <f t="shared" si="69"/>
        <v>18857</v>
      </c>
      <c r="J211" s="167">
        <f t="shared" si="66"/>
        <v>2.5316401314567933E-3</v>
      </c>
      <c r="K211" s="458"/>
      <c r="L211" s="163"/>
      <c r="M211" s="163"/>
      <c r="O211" s="329">
        <f>I211/I$233</f>
        <v>1.4919693013687791</v>
      </c>
      <c r="P211" s="324">
        <f>SUMMARY!L213</f>
        <v>7.8731716780415235</v>
      </c>
    </row>
    <row r="212" spans="1:16" s="162" customFormat="1">
      <c r="A212" s="158"/>
      <c r="C212" s="659"/>
      <c r="D212" s="659"/>
      <c r="E212" s="659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655">
        <f t="shared" ref="C213:E213" si="70">SUM(C30:C211)/2</f>
        <v>7492642</v>
      </c>
      <c r="D213" s="655">
        <f t="shared" si="70"/>
        <v>-40193</v>
      </c>
      <c r="E213" s="655">
        <f t="shared" si="70"/>
        <v>0</v>
      </c>
      <c r="F213" s="166">
        <f t="shared" ref="F213:I213" si="71">SUM(F30:F211)/2</f>
        <v>7452449</v>
      </c>
      <c r="G213" s="166">
        <f t="shared" si="71"/>
        <v>-3918</v>
      </c>
      <c r="H213" s="166">
        <f t="shared" si="71"/>
        <v>0</v>
      </c>
      <c r="I213" s="166">
        <f t="shared" si="71"/>
        <v>7448531</v>
      </c>
      <c r="J213" s="167">
        <f>IF($I$213=0,0,I213/$I$213)</f>
        <v>1</v>
      </c>
      <c r="K213" s="458"/>
      <c r="L213" s="176">
        <f>SUM(L30:L205)</f>
        <v>44964</v>
      </c>
      <c r="M213" s="176">
        <f>SUM(M30:M205)</f>
        <v>44964</v>
      </c>
      <c r="O213" s="329">
        <f>I213/I$233</f>
        <v>589.32913996360469</v>
      </c>
      <c r="P213" s="324">
        <f>SUMMARY!L215</f>
        <v>285.57746451544745</v>
      </c>
    </row>
    <row r="214" spans="1:16" s="162" customFormat="1" ht="15.5">
      <c r="A214" s="158"/>
      <c r="B214" s="165"/>
      <c r="C214" s="659"/>
      <c r="D214" s="659"/>
      <c r="E214" s="659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659"/>
      <c r="D215" s="659"/>
      <c r="E215" s="659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655">
        <f>'[17]Sch C'!D221</f>
        <v>7492642</v>
      </c>
      <c r="D216" s="659"/>
      <c r="E216" s="659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655">
        <f>C213-C216</f>
        <v>0</v>
      </c>
      <c r="D217" s="663"/>
      <c r="E217" s="663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664"/>
      <c r="D218" s="665"/>
      <c r="E218" s="665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659"/>
      <c r="D219" s="659"/>
      <c r="E219" s="659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655">
        <f t="shared" ref="C220:E220" si="72">C26-C213</f>
        <v>2308990</v>
      </c>
      <c r="D220" s="655">
        <f t="shared" si="72"/>
        <v>40193</v>
      </c>
      <c r="E220" s="655">
        <f t="shared" si="72"/>
        <v>0</v>
      </c>
      <c r="F220" s="166">
        <f t="shared" ref="F220:I220" si="73">F26-F213</f>
        <v>2349183</v>
      </c>
      <c r="G220" s="166">
        <f t="shared" si="73"/>
        <v>3918</v>
      </c>
      <c r="H220" s="166">
        <f t="shared" si="73"/>
        <v>0</v>
      </c>
      <c r="I220" s="166">
        <f t="shared" si="73"/>
        <v>2353101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659"/>
      <c r="D221" s="659"/>
      <c r="E221" s="659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659"/>
      <c r="D222" s="659"/>
      <c r="E222" s="659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659"/>
      <c r="D223" s="659"/>
      <c r="E223" s="659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666">
        <f>'[17]Sch D'!C9</f>
        <v>8648</v>
      </c>
      <c r="D224" s="655"/>
      <c r="E224" s="655"/>
      <c r="F224" s="224">
        <f>C224+D224+E224</f>
        <v>8648</v>
      </c>
      <c r="G224" s="627"/>
      <c r="H224" s="223"/>
      <c r="I224" s="224">
        <f>F224+G224+H224</f>
        <v>8648</v>
      </c>
      <c r="J224" s="167">
        <f t="shared" ref="J224:J233" si="74">IF($I$233=0,0,I224/$I$233)</f>
        <v>0.68423134741672598</v>
      </c>
      <c r="K224" s="458"/>
      <c r="L224" s="163"/>
      <c r="M224" s="163"/>
    </row>
    <row r="225" spans="1:13">
      <c r="A225" s="158"/>
      <c r="B225" s="165" t="s">
        <v>201</v>
      </c>
      <c r="C225" s="666">
        <f>'[17]Sch D'!D9</f>
        <v>447</v>
      </c>
      <c r="D225" s="655"/>
      <c r="E225" s="655"/>
      <c r="F225" s="224">
        <f t="shared" ref="F225:F232" si="75">C225+D225+E225</f>
        <v>447</v>
      </c>
      <c r="G225" s="626"/>
      <c r="H225" s="223"/>
      <c r="I225" s="224">
        <f t="shared" ref="I225:I232" si="76">F225+G225+H225</f>
        <v>447</v>
      </c>
      <c r="J225" s="167">
        <f t="shared" si="74"/>
        <v>3.5366722050795156E-2</v>
      </c>
      <c r="K225" s="458"/>
      <c r="L225" s="163"/>
      <c r="M225" s="163"/>
    </row>
    <row r="226" spans="1:13">
      <c r="A226" s="158"/>
      <c r="B226" s="165" t="s">
        <v>64</v>
      </c>
      <c r="C226" s="666">
        <f>'[17]Sch D'!E9</f>
        <v>907</v>
      </c>
      <c r="D226" s="655"/>
      <c r="E226" s="655"/>
      <c r="F226" s="224">
        <f t="shared" si="75"/>
        <v>907</v>
      </c>
      <c r="G226" s="626"/>
      <c r="H226" s="223"/>
      <c r="I226" s="224">
        <f t="shared" si="76"/>
        <v>907</v>
      </c>
      <c r="J226" s="167">
        <f t="shared" si="74"/>
        <v>7.1762006487855051E-2</v>
      </c>
      <c r="K226" s="458"/>
      <c r="L226" s="163"/>
      <c r="M226" s="163"/>
    </row>
    <row r="227" spans="1:13">
      <c r="A227" s="158"/>
      <c r="B227" s="194" t="s">
        <v>315</v>
      </c>
      <c r="C227" s="666">
        <f>'[17]Sch D'!F9</f>
        <v>107</v>
      </c>
      <c r="D227" s="655"/>
      <c r="E227" s="655"/>
      <c r="F227" s="224">
        <f t="shared" si="75"/>
        <v>107</v>
      </c>
      <c r="G227" s="626"/>
      <c r="H227" s="223"/>
      <c r="I227" s="224">
        <f t="shared" si="76"/>
        <v>107</v>
      </c>
      <c r="J227" s="167">
        <f t="shared" si="74"/>
        <v>8.4658596407943664E-3</v>
      </c>
      <c r="K227" s="458"/>
      <c r="L227" s="163"/>
      <c r="M227" s="163"/>
    </row>
    <row r="228" spans="1:13">
      <c r="A228" s="158"/>
      <c r="B228" s="165" t="s">
        <v>65</v>
      </c>
      <c r="C228" s="666">
        <f>'[17]Sch D'!G9</f>
        <v>0</v>
      </c>
      <c r="D228" s="655"/>
      <c r="E228" s="655"/>
      <c r="F228" s="224">
        <f t="shared" si="75"/>
        <v>0</v>
      </c>
      <c r="G228" s="626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666">
        <f>'[17]Sch D'!H9</f>
        <v>1073</v>
      </c>
      <c r="D229" s="655"/>
      <c r="E229" s="655"/>
      <c r="F229" s="224">
        <f t="shared" si="75"/>
        <v>1073</v>
      </c>
      <c r="G229" s="626"/>
      <c r="H229" s="223"/>
      <c r="I229" s="224">
        <f t="shared" si="76"/>
        <v>1073</v>
      </c>
      <c r="J229" s="167">
        <f t="shared" si="74"/>
        <v>8.489595695862015E-2</v>
      </c>
      <c r="K229" s="458"/>
      <c r="L229" s="163"/>
      <c r="M229" s="163"/>
    </row>
    <row r="230" spans="1:13">
      <c r="A230" s="158"/>
      <c r="B230" s="165" t="s">
        <v>219</v>
      </c>
      <c r="C230" s="666">
        <f>'[17]Sch D'!I9</f>
        <v>0</v>
      </c>
      <c r="D230" s="655"/>
      <c r="E230" s="655"/>
      <c r="F230" s="224">
        <f t="shared" si="75"/>
        <v>0</v>
      </c>
      <c r="G230" s="626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666">
        <f>'[17]Sch D'!J9</f>
        <v>0</v>
      </c>
      <c r="D231" s="655"/>
      <c r="E231" s="655"/>
      <c r="F231" s="224">
        <f t="shared" si="75"/>
        <v>0</v>
      </c>
      <c r="G231" s="626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666">
        <f>'[17]Sch D'!K9</f>
        <v>1457</v>
      </c>
      <c r="D232" s="655"/>
      <c r="E232" s="655"/>
      <c r="F232" s="224">
        <f t="shared" si="75"/>
        <v>1457</v>
      </c>
      <c r="G232" s="626"/>
      <c r="H232" s="223"/>
      <c r="I232" s="224">
        <f t="shared" si="76"/>
        <v>1457</v>
      </c>
      <c r="J232" s="167">
        <f t="shared" si="74"/>
        <v>0.11527810744520928</v>
      </c>
      <c r="K232" s="458"/>
      <c r="L232" s="163"/>
      <c r="M232" s="163"/>
    </row>
    <row r="233" spans="1:13" ht="13.5" thickBot="1">
      <c r="A233" s="158"/>
      <c r="B233" s="225" t="s">
        <v>67</v>
      </c>
      <c r="C233" s="666">
        <f t="shared" ref="C233:E233" si="77">SUM(C224:C232)</f>
        <v>12639</v>
      </c>
      <c r="D233" s="666">
        <f t="shared" si="77"/>
        <v>0</v>
      </c>
      <c r="E233" s="666">
        <f t="shared" si="77"/>
        <v>0</v>
      </c>
      <c r="F233" s="226">
        <f t="shared" ref="F233:I233" si="78">SUM(F224:F232)</f>
        <v>12639</v>
      </c>
      <c r="G233" s="226">
        <f t="shared" si="78"/>
        <v>0</v>
      </c>
      <c r="H233" s="226">
        <f t="shared" si="78"/>
        <v>0</v>
      </c>
      <c r="I233" s="226">
        <f t="shared" si="78"/>
        <v>12639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667"/>
      <c r="D234" s="668"/>
      <c r="E234" s="668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664"/>
      <c r="D235" s="665"/>
      <c r="E235" s="665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666">
        <f>'[17]Sch D'!N22</f>
        <v>36</v>
      </c>
      <c r="D236" s="655"/>
      <c r="E236" s="655"/>
      <c r="F236" s="224">
        <f>C236+E236</f>
        <v>36</v>
      </c>
      <c r="G236" s="627"/>
      <c r="H236" s="224"/>
      <c r="I236" s="224">
        <f>F236+G236+H236</f>
        <v>36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666">
        <f>'[17]Sch D'!N24</f>
        <v>36</v>
      </c>
      <c r="D237" s="655"/>
      <c r="E237" s="655"/>
      <c r="F237" s="224">
        <f>C237+E237</f>
        <v>36</v>
      </c>
      <c r="G237" s="627"/>
      <c r="H237" s="224"/>
      <c r="I237" s="224">
        <f>F237+G237+H237</f>
        <v>36</v>
      </c>
      <c r="J237" s="162" t="s">
        <v>557</v>
      </c>
      <c r="K237" s="460"/>
      <c r="L237" s="163"/>
      <c r="M237" s="163"/>
    </row>
    <row r="238" spans="1:13">
      <c r="A238" s="158"/>
      <c r="B238" s="194" t="s">
        <v>68</v>
      </c>
      <c r="C238" s="666">
        <f>$C$4-$C$3+1</f>
        <v>365</v>
      </c>
      <c r="D238" s="669"/>
      <c r="E238" s="669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670"/>
      <c r="D239" s="665"/>
      <c r="E239" s="665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666">
        <f>'[17]Sch D'!N28</f>
        <v>13140</v>
      </c>
      <c r="D240" s="669"/>
      <c r="E240" s="669"/>
      <c r="F240" s="223">
        <f>F236*F238</f>
        <v>13140</v>
      </c>
      <c r="G240"/>
      <c r="H240" s="228"/>
      <c r="I240" s="223">
        <f>I236*I238</f>
        <v>13140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671">
        <f>'[17]Sch D'!N30</f>
        <v>0.96187214611872152</v>
      </c>
      <c r="D241" s="665"/>
      <c r="E241" s="665"/>
      <c r="F241" s="232">
        <f>F233/F240</f>
        <v>0.96187214611872152</v>
      </c>
      <c r="G241"/>
      <c r="H241" s="233"/>
      <c r="I241" s="232">
        <f>I233/I240</f>
        <v>0.96187214611872152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671">
        <f>'[17]Sch D'!N32</f>
        <v>0.6921613394216134</v>
      </c>
      <c r="D242" s="665"/>
      <c r="E242" s="665"/>
      <c r="F242" s="232">
        <f>(F224+F225)/F240</f>
        <v>0.6921613394216134</v>
      </c>
      <c r="G242"/>
      <c r="H242" s="233"/>
      <c r="I242" s="232">
        <f>(I224+I225)/I240</f>
        <v>0.6921613394216134</v>
      </c>
      <c r="J242" s="162"/>
      <c r="K242" s="460"/>
      <c r="L242" s="163"/>
      <c r="M242" s="163"/>
    </row>
    <row r="243" spans="1:13" ht="39.5">
      <c r="A243" s="158"/>
      <c r="B243" s="231" t="s">
        <v>319</v>
      </c>
      <c r="C243" s="671">
        <f>'[17]Sch D'!N34</f>
        <v>0.71959806946752114</v>
      </c>
      <c r="D243" s="665"/>
      <c r="E243" s="665"/>
      <c r="F243" s="232">
        <f>(F242/F241)</f>
        <v>0.71959806946752114</v>
      </c>
      <c r="G243"/>
      <c r="H243" s="233"/>
      <c r="I243" s="232">
        <f>(I242/I241)</f>
        <v>0.71959806946752114</v>
      </c>
      <c r="J243" s="162"/>
      <c r="K243" s="460"/>
      <c r="L243" s="163"/>
      <c r="M243" s="163"/>
    </row>
    <row r="244" spans="1:13">
      <c r="C244" s="658"/>
      <c r="D244" s="658"/>
      <c r="E244" s="658"/>
      <c r="K244" s="460"/>
    </row>
    <row r="245" spans="1:13">
      <c r="C245" s="658"/>
      <c r="D245" s="658"/>
      <c r="E245" s="658"/>
      <c r="K245" s="460"/>
    </row>
    <row r="246" spans="1:13">
      <c r="B246" s="145" t="s">
        <v>320</v>
      </c>
      <c r="C246" s="658"/>
      <c r="D246" s="658"/>
      <c r="E246" s="658"/>
      <c r="H246" s="140" t="s">
        <v>321</v>
      </c>
      <c r="I246" s="655">
        <f>'[17]Sch B'!C90</f>
        <v>509.32203389830511</v>
      </c>
      <c r="K246" s="460"/>
    </row>
    <row r="247" spans="1:13">
      <c r="C247" s="658"/>
      <c r="D247" s="658"/>
      <c r="E247" s="658"/>
      <c r="H247" s="140" t="s">
        <v>322</v>
      </c>
      <c r="I247" s="655">
        <f>'[17]Sch B'!E90</f>
        <v>546.94420600858371</v>
      </c>
      <c r="K247" s="460"/>
    </row>
    <row r="248" spans="1:13">
      <c r="H248" s="140" t="s">
        <v>323</v>
      </c>
      <c r="I248" s="655">
        <f>'[17]Sch B'!G90</f>
        <v>674.87272727272727</v>
      </c>
      <c r="K248" s="460"/>
    </row>
    <row r="249" spans="1:13">
      <c r="H249" s="140" t="s">
        <v>324</v>
      </c>
      <c r="I249" s="655">
        <f>'[17]Sch B'!I90</f>
        <v>654.05775075987845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E28CAB"/>
  </sheetPr>
  <dimension ref="A1:P277"/>
  <sheetViews>
    <sheetView showGridLines="0" topLeftCell="C225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082031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652"/>
      <c r="D1" s="563" t="s">
        <v>543</v>
      </c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469</v>
      </c>
      <c r="D2" s="234"/>
      <c r="H2" s="361"/>
    </row>
    <row r="3" spans="1:16" ht="15.5">
      <c r="A3" s="143"/>
      <c r="B3" s="138" t="s">
        <v>71</v>
      </c>
      <c r="C3" s="557">
        <f>'[18]Sch A Pg 1'!B39</f>
        <v>42917</v>
      </c>
      <c r="D3" s="620"/>
      <c r="F3" s="361"/>
      <c r="G3" s="361"/>
      <c r="H3" s="361"/>
    </row>
    <row r="4" spans="1:16" ht="15.5">
      <c r="A4" s="143"/>
      <c r="B4" s="145" t="s">
        <v>72</v>
      </c>
      <c r="C4" s="557">
        <f>'[18]Sch A Pg 1'!G39</f>
        <v>43281</v>
      </c>
      <c r="D4" s="620"/>
      <c r="E4" s="142"/>
      <c r="F4" s="361"/>
      <c r="G4" s="361"/>
      <c r="H4" s="361"/>
      <c r="I4" s="147"/>
    </row>
    <row r="5" spans="1:16">
      <c r="A5" s="143"/>
      <c r="B5" s="145"/>
      <c r="C5" s="148"/>
      <c r="D5" s="148"/>
      <c r="E5" s="142"/>
      <c r="H5" s="410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48"/>
      <c r="D10" s="148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48"/>
      <c r="D11" s="148"/>
      <c r="E11" s="160"/>
      <c r="F11" s="160"/>
      <c r="G11" s="492" t="s">
        <v>715</v>
      </c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'[18]Sch B'!E10</f>
        <v>2657569</v>
      </c>
      <c r="D12" s="480">
        <f>'[18]Sch B'!G10</f>
        <v>0</v>
      </c>
      <c r="E12" s="480"/>
      <c r="F12" s="166">
        <f>C12+D12+E12</f>
        <v>2657569</v>
      </c>
      <c r="G12" s="480">
        <f>-78570-21008</f>
        <v>-99578</v>
      </c>
      <c r="H12" s="626"/>
      <c r="I12" s="166">
        <f>F12+G12+H12</f>
        <v>2557991</v>
      </c>
      <c r="J12" s="167">
        <f>IF($I$26=0,0,I12/$I$26)</f>
        <v>0.35048568059543861</v>
      </c>
      <c r="K12" s="162" t="s">
        <v>653</v>
      </c>
      <c r="L12" s="163"/>
      <c r="M12" s="163"/>
    </row>
    <row r="13" spans="1:16" s="162" customFormat="1">
      <c r="A13" s="158"/>
      <c r="B13" s="160" t="s">
        <v>513</v>
      </c>
      <c r="C13" s="480">
        <f>'[18]Sch B'!E12</f>
        <v>1102887</v>
      </c>
      <c r="D13" s="480">
        <f>'[18]Sch B'!G12</f>
        <v>1180668</v>
      </c>
      <c r="E13" s="480"/>
      <c r="F13" s="166">
        <f t="shared" ref="F13:F25" si="0">C13+D13+E13</f>
        <v>2283555</v>
      </c>
      <c r="G13" s="626"/>
      <c r="H13" s="626"/>
      <c r="I13" s="166">
        <f t="shared" ref="I13:I25" si="1">F13+G13+H13</f>
        <v>2283555</v>
      </c>
      <c r="J13" s="167">
        <f>IF($I$26=0,0,I13/$I$26)</f>
        <v>0.31288355914939375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'[18]Sch B'!E13</f>
        <v>0</v>
      </c>
      <c r="D14" s="480">
        <f>'[18]Sch B'!G13</f>
        <v>0</v>
      </c>
      <c r="E14" s="480"/>
      <c r="F14" s="166">
        <f t="shared" si="0"/>
        <v>0</v>
      </c>
      <c r="G14" s="626"/>
      <c r="H14" s="62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'[18]Sch B'!E14</f>
        <v>52611</v>
      </c>
      <c r="D15" s="480">
        <f>'[18]Sch B'!G14</f>
        <v>0</v>
      </c>
      <c r="E15" s="480"/>
      <c r="F15" s="166">
        <f t="shared" si="0"/>
        <v>52611</v>
      </c>
      <c r="G15" s="626"/>
      <c r="H15" s="626"/>
      <c r="I15" s="166">
        <f t="shared" si="1"/>
        <v>52611</v>
      </c>
      <c r="J15" s="167">
        <f>IF($I$26=0,0,I15/$I$26)</f>
        <v>7.2085484826985794E-3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'[18]Sch B'!E15</f>
        <v>3813067</v>
      </c>
      <c r="D16" s="480">
        <f>'[18]Sch B'!G15</f>
        <v>1180668</v>
      </c>
      <c r="E16" s="480"/>
      <c r="F16" s="166">
        <f t="shared" si="0"/>
        <v>4993735</v>
      </c>
      <c r="G16" s="626"/>
      <c r="H16" s="626"/>
      <c r="I16" s="166">
        <f>SUM(I12:I15)</f>
        <v>4894157</v>
      </c>
      <c r="J16" s="167">
        <f t="shared" ref="J16:J26" si="2">IF($I$26=0,0,I16/$I$26)</f>
        <v>0.670577788227531</v>
      </c>
      <c r="K16" s="458"/>
      <c r="L16" s="333" t="s">
        <v>325</v>
      </c>
      <c r="M16" s="334">
        <f>I26</f>
        <v>7298418</v>
      </c>
      <c r="O16" s="324">
        <f>IFERROR(I16/I224,0)</f>
        <v>370.9380779142034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'[18]Sch B'!E20</f>
        <v>0</v>
      </c>
      <c r="D17" s="480">
        <f>'[18]Sch B'!G20</f>
        <v>0</v>
      </c>
      <c r="E17" s="480"/>
      <c r="F17" s="166">
        <f t="shared" si="0"/>
        <v>0</v>
      </c>
      <c r="G17" s="626"/>
      <c r="H17" s="62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5025612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'[18]Sch B'!E26</f>
        <v>752133</v>
      </c>
      <c r="D18" s="480">
        <f>'[18]Sch B'!G26</f>
        <v>0</v>
      </c>
      <c r="E18" s="480"/>
      <c r="F18" s="166">
        <f t="shared" si="0"/>
        <v>752133</v>
      </c>
      <c r="G18" s="626"/>
      <c r="H18" s="626"/>
      <c r="I18" s="166">
        <f t="shared" si="1"/>
        <v>752133</v>
      </c>
      <c r="J18" s="167">
        <f t="shared" si="2"/>
        <v>0.10305425093492863</v>
      </c>
      <c r="K18" s="458"/>
      <c r="L18" s="335" t="s">
        <v>327</v>
      </c>
      <c r="M18" s="336">
        <f>I233</f>
        <v>20776</v>
      </c>
      <c r="O18" s="324">
        <f t="shared" si="3"/>
        <v>484.93423597678918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'[18]Sch B'!E32</f>
        <v>566712</v>
      </c>
      <c r="D19" s="480">
        <f>'[18]Sch B'!G32</f>
        <v>0</v>
      </c>
      <c r="E19" s="480"/>
      <c r="F19" s="166">
        <f t="shared" si="0"/>
        <v>566712</v>
      </c>
      <c r="G19" s="626"/>
      <c r="H19" s="626"/>
      <c r="I19" s="166">
        <f t="shared" si="1"/>
        <v>566712</v>
      </c>
      <c r="J19" s="170">
        <f t="shared" si="2"/>
        <v>7.7648608232633434E-2</v>
      </c>
      <c r="K19" s="464"/>
      <c r="L19" s="335" t="s">
        <v>328</v>
      </c>
      <c r="M19" s="336">
        <f>I236</f>
        <v>88</v>
      </c>
      <c r="O19" s="324">
        <f t="shared" si="3"/>
        <v>486.03087478559178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'[18]Sch B'!E37</f>
        <v>0</v>
      </c>
      <c r="D20" s="480">
        <f>'[18]Sch B'!G37</f>
        <v>0</v>
      </c>
      <c r="E20" s="480"/>
      <c r="F20" s="166">
        <f t="shared" si="0"/>
        <v>0</v>
      </c>
      <c r="G20" s="626"/>
      <c r="H20" s="62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32120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'[18]Sch B'!E42</f>
        <v>540740</v>
      </c>
      <c r="D21" s="480">
        <f>'[18]Sch B'!G42</f>
        <v>0</v>
      </c>
      <c r="E21" s="480"/>
      <c r="F21" s="166">
        <f t="shared" si="0"/>
        <v>540740</v>
      </c>
      <c r="G21" s="626"/>
      <c r="H21" s="626"/>
      <c r="I21" s="166">
        <f t="shared" si="1"/>
        <v>540740</v>
      </c>
      <c r="J21" s="167">
        <f t="shared" si="2"/>
        <v>7.4090028825424911E-2</v>
      </c>
      <c r="K21" s="458"/>
      <c r="L21" s="337"/>
      <c r="M21" s="336"/>
      <c r="O21" s="324">
        <f t="shared" si="3"/>
        <v>216.29599999999999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'[18]Sch B'!E47</f>
        <v>440392</v>
      </c>
      <c r="D22" s="480">
        <f>'[18]Sch B'!G47</f>
        <v>0</v>
      </c>
      <c r="E22" s="480"/>
      <c r="F22" s="166">
        <f t="shared" si="0"/>
        <v>440392</v>
      </c>
      <c r="G22" s="626"/>
      <c r="H22" s="626"/>
      <c r="I22" s="166">
        <f t="shared" si="1"/>
        <v>440392</v>
      </c>
      <c r="J22" s="167">
        <f t="shared" si="2"/>
        <v>6.0340747816855653E-2</v>
      </c>
      <c r="K22" s="458"/>
      <c r="L22" s="335" t="s">
        <v>148</v>
      </c>
      <c r="M22" s="336">
        <f>L213</f>
        <v>115425</v>
      </c>
      <c r="O22" s="324">
        <f t="shared" si="3"/>
        <v>210.71387559808613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'[18]Sch B'!E52</f>
        <v>0</v>
      </c>
      <c r="D23" s="480">
        <f>'[18]Sch B'!G52</f>
        <v>0</v>
      </c>
      <c r="E23" s="480"/>
      <c r="F23" s="166">
        <f t="shared" si="0"/>
        <v>0</v>
      </c>
      <c r="G23" s="626"/>
      <c r="H23" s="62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119476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'[18]Sch B'!E57</f>
        <v>0</v>
      </c>
      <c r="D24" s="480">
        <f>'[18]Sch B'!G57</f>
        <v>0</v>
      </c>
      <c r="E24" s="480"/>
      <c r="F24" s="166">
        <f t="shared" si="0"/>
        <v>0</v>
      </c>
      <c r="G24" s="480">
        <f>78570+21008</f>
        <v>99578</v>
      </c>
      <c r="H24" s="626"/>
      <c r="I24" s="166">
        <f t="shared" si="1"/>
        <v>99578</v>
      </c>
      <c r="J24" s="167">
        <f t="shared" si="2"/>
        <v>1.3643778692861933E-2</v>
      </c>
      <c r="K24" s="162" t="s">
        <v>653</v>
      </c>
      <c r="L24" s="163"/>
      <c r="M24" s="163"/>
      <c r="O24" s="324">
        <f t="shared" si="3"/>
        <v>362.1018181818182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'[18]Sch B'!E72</f>
        <v>14200</v>
      </c>
      <c r="D25" s="480">
        <f>'[18]Sch B'!G72</f>
        <v>0</v>
      </c>
      <c r="E25" s="480"/>
      <c r="F25" s="166">
        <f t="shared" si="0"/>
        <v>14200</v>
      </c>
      <c r="G25" s="626">
        <v>-9494</v>
      </c>
      <c r="H25" s="626"/>
      <c r="I25" s="166">
        <f t="shared" si="1"/>
        <v>4706</v>
      </c>
      <c r="J25" s="167">
        <f t="shared" si="2"/>
        <v>6.4479726976448865E-4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6127244</v>
      </c>
      <c r="D26" s="480">
        <f t="shared" ref="D26:F26" si="4">SUM(D16:D25)</f>
        <v>1180668</v>
      </c>
      <c r="E26" s="480">
        <f t="shared" si="4"/>
        <v>0</v>
      </c>
      <c r="F26" s="166">
        <f t="shared" si="4"/>
        <v>7307912</v>
      </c>
      <c r="G26" s="166">
        <f>SUM(G12:G25)</f>
        <v>-9494</v>
      </c>
      <c r="H26" s="166">
        <f>SUM(H12:H25)</f>
        <v>0</v>
      </c>
      <c r="I26" s="166">
        <f>SUM(I16:I25)</f>
        <v>7298418</v>
      </c>
      <c r="J26" s="167">
        <f t="shared" si="2"/>
        <v>1</v>
      </c>
      <c r="K26" s="458"/>
      <c r="L26" s="163"/>
      <c r="M26" s="163"/>
      <c r="O26" s="324">
        <f>IFERROR(I26/I233,0)</f>
        <v>351.2908163265306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692"/>
      <c r="I28" s="142"/>
      <c r="J28" s="142"/>
      <c r="K28" s="460"/>
      <c r="L28" s="565"/>
      <c r="O28" s="328"/>
      <c r="P28" s="328"/>
    </row>
    <row r="29" spans="1:16">
      <c r="A29" s="175" t="s">
        <v>153</v>
      </c>
      <c r="B29" s="145" t="s">
        <v>8</v>
      </c>
      <c r="K29" s="460"/>
      <c r="L29" s="565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'[18]Sch C'!D10</f>
        <v>124713</v>
      </c>
      <c r="D30" s="480">
        <f>'[18]Sch C'!F10</f>
        <v>0</v>
      </c>
      <c r="E30" s="480">
        <f>+'[18]Sch C'!H10</f>
        <v>0</v>
      </c>
      <c r="F30" s="166">
        <f t="shared" ref="F30:F65" si="5">C30+D30+E30</f>
        <v>124713</v>
      </c>
      <c r="G30" s="626"/>
      <c r="H30" s="626"/>
      <c r="I30" s="166">
        <f t="shared" ref="I30:I65" si="6">F30+G30+H30</f>
        <v>124713</v>
      </c>
      <c r="J30" s="167">
        <f>IF($I$213=0,0,I30/$I$213)</f>
        <v>2.4815485158822446E-2</v>
      </c>
      <c r="K30" s="458"/>
      <c r="L30" s="176">
        <v>3880</v>
      </c>
      <c r="M30" s="176">
        <v>3880</v>
      </c>
      <c r="O30" s="324">
        <f>I30/I$233</f>
        <v>6.0027435502502886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'[18]Sch C'!D11</f>
        <v>0</v>
      </c>
      <c r="D31" s="480">
        <f>'[18]Sch C'!F11</f>
        <v>0</v>
      </c>
      <c r="E31" s="480">
        <f>+'[18]Sch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'[18]Sch C'!D12</f>
        <v>80900</v>
      </c>
      <c r="D32" s="480">
        <f>'[18]Sch C'!F12</f>
        <v>0</v>
      </c>
      <c r="E32" s="480">
        <f>+'[18]Sch C'!H12</f>
        <v>0</v>
      </c>
      <c r="F32" s="166">
        <f t="shared" si="5"/>
        <v>80900</v>
      </c>
      <c r="G32" s="626"/>
      <c r="H32" s="626"/>
      <c r="I32" s="166">
        <f t="shared" si="6"/>
        <v>80900</v>
      </c>
      <c r="J32" s="167">
        <f t="shared" si="7"/>
        <v>1.6097541951109635E-2</v>
      </c>
      <c r="K32" s="458"/>
      <c r="L32" s="176">
        <v>4518</v>
      </c>
      <c r="M32" s="176">
        <v>4804</v>
      </c>
      <c r="O32" s="324">
        <f t="shared" si="8"/>
        <v>3.8939160569888331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'[18]Sch C'!D13</f>
        <v>143649</v>
      </c>
      <c r="D33" s="480">
        <f>'[18]Sch C'!F13</f>
        <v>-118861</v>
      </c>
      <c r="E33" s="480">
        <f>+'[18]Sch C'!H13</f>
        <v>0</v>
      </c>
      <c r="F33" s="166">
        <f t="shared" si="5"/>
        <v>24788</v>
      </c>
      <c r="G33" s="626"/>
      <c r="H33" s="626"/>
      <c r="I33" s="166">
        <f t="shared" si="6"/>
        <v>24788</v>
      </c>
      <c r="J33" s="167">
        <f t="shared" si="7"/>
        <v>4.932334609197845E-3</v>
      </c>
      <c r="K33" s="458"/>
      <c r="L33" s="163"/>
      <c r="M33" s="163"/>
      <c r="O33" s="324">
        <f t="shared" si="8"/>
        <v>1.1931074316519061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'[18]Sch C'!D14</f>
        <v>0</v>
      </c>
      <c r="D34" s="480">
        <f>'[18]Sch C'!F14</f>
        <v>0</v>
      </c>
      <c r="E34" s="480">
        <f>+'[18]Sch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'[18]Sch C'!D15</f>
        <v>595371</v>
      </c>
      <c r="D35" s="480">
        <f>'[18]Sch C'!F15</f>
        <v>0</v>
      </c>
      <c r="E35" s="480">
        <f>+'[18]Sch C'!H15</f>
        <v>-595371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'[18]Sch C'!D16</f>
        <v>158400</v>
      </c>
      <c r="D36" s="480">
        <f>'[18]Sch C'!F16</f>
        <v>0</v>
      </c>
      <c r="E36" s="480">
        <f>+'[18]Sch C'!H16</f>
        <v>-9521</v>
      </c>
      <c r="F36" s="166">
        <f t="shared" si="5"/>
        <v>148879</v>
      </c>
      <c r="G36" s="626"/>
      <c r="H36" s="626"/>
      <c r="I36" s="166">
        <f t="shared" si="6"/>
        <v>148879</v>
      </c>
      <c r="J36" s="167">
        <f t="shared" si="7"/>
        <v>2.9624053747085929E-2</v>
      </c>
      <c r="K36" s="457" t="s">
        <v>474</v>
      </c>
      <c r="L36" s="163"/>
      <c r="M36" s="163"/>
      <c r="O36" s="324">
        <f t="shared" si="8"/>
        <v>7.1659125914516748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'[18]Sch C'!D17</f>
        <v>28188</v>
      </c>
      <c r="D37" s="480">
        <f>'[18]Sch C'!F17</f>
        <v>-28188</v>
      </c>
      <c r="E37" s="480">
        <f>+'[18]Sch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'[18]Sch C'!D18</f>
        <v>15035</v>
      </c>
      <c r="D38" s="480">
        <f>'[18]Sch C'!F18</f>
        <v>0</v>
      </c>
      <c r="E38" s="480">
        <f>+'[18]Sch C'!H18</f>
        <v>0</v>
      </c>
      <c r="F38" s="166">
        <f t="shared" si="5"/>
        <v>15035</v>
      </c>
      <c r="G38" s="626"/>
      <c r="H38" s="626"/>
      <c r="I38" s="166">
        <f t="shared" si="6"/>
        <v>15035</v>
      </c>
      <c r="J38" s="167">
        <f t="shared" si="7"/>
        <v>2.9916754417173472E-3</v>
      </c>
      <c r="K38" s="458"/>
      <c r="L38" s="163"/>
      <c r="M38" s="163"/>
      <c r="O38" s="324">
        <f t="shared" si="8"/>
        <v>0.72367154408933387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'[18]Sch C'!D19</f>
        <v>54000</v>
      </c>
      <c r="D39" s="480">
        <f>'[18]Sch C'!F19</f>
        <v>0</v>
      </c>
      <c r="E39" s="480">
        <f>+'[18]Sch C'!H19</f>
        <v>0</v>
      </c>
      <c r="F39" s="166">
        <f t="shared" si="5"/>
        <v>54000</v>
      </c>
      <c r="G39" s="626">
        <v>-3466</v>
      </c>
      <c r="H39" s="626"/>
      <c r="I39" s="166">
        <f t="shared" si="6"/>
        <v>50534</v>
      </c>
      <c r="J39" s="167">
        <f t="shared" si="7"/>
        <v>1.0055292768323539E-2</v>
      </c>
      <c r="K39" s="458"/>
      <c r="L39" s="163"/>
      <c r="M39" s="163"/>
      <c r="O39" s="324">
        <f t="shared" si="8"/>
        <v>2.4323257604928763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'[18]Sch C'!D20</f>
        <v>16150</v>
      </c>
      <c r="D40" s="480">
        <f>'[18]Sch C'!F20</f>
        <v>0</v>
      </c>
      <c r="E40" s="480">
        <f>+'[18]Sch C'!H20</f>
        <v>0</v>
      </c>
      <c r="F40" s="166">
        <f t="shared" si="5"/>
        <v>16150</v>
      </c>
      <c r="G40" s="626"/>
      <c r="H40" s="626"/>
      <c r="I40" s="166">
        <f t="shared" si="6"/>
        <v>16150</v>
      </c>
      <c r="J40" s="167">
        <f t="shared" si="7"/>
        <v>3.213538967990366E-3</v>
      </c>
      <c r="K40" s="457" t="s">
        <v>482</v>
      </c>
      <c r="L40" s="163"/>
      <c r="M40" s="163"/>
      <c r="O40" s="324">
        <f t="shared" si="8"/>
        <v>0.77733923758182522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'[18]Sch C'!D21</f>
        <v>53061</v>
      </c>
      <c r="D41" s="480">
        <f>'[18]Sch C'!F21</f>
        <v>0</v>
      </c>
      <c r="E41" s="480">
        <f>+'[18]Sch C'!H21</f>
        <v>0</v>
      </c>
      <c r="F41" s="166">
        <f t="shared" si="5"/>
        <v>53061</v>
      </c>
      <c r="G41" s="626"/>
      <c r="H41" s="626"/>
      <c r="I41" s="166">
        <f t="shared" si="6"/>
        <v>53061</v>
      </c>
      <c r="J41" s="167">
        <f t="shared" si="7"/>
        <v>1.0558117100962033E-2</v>
      </c>
      <c r="K41" s="458"/>
      <c r="L41" s="163"/>
      <c r="M41" s="163"/>
      <c r="O41" s="324">
        <f t="shared" si="8"/>
        <v>2.5539564882556798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'[18]Sch C'!D22</f>
        <v>0</v>
      </c>
      <c r="D42" s="480">
        <f>'[18]Sch C'!F22</f>
        <v>0</v>
      </c>
      <c r="E42" s="480">
        <f>+'[18]Sch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'[18]Sch C'!D23</f>
        <v>15707</v>
      </c>
      <c r="D43" s="480">
        <f>'[18]Sch C'!F23</f>
        <v>0</v>
      </c>
      <c r="E43" s="480">
        <f>+'[18]Sch C'!H23</f>
        <v>0</v>
      </c>
      <c r="F43" s="166">
        <f t="shared" si="5"/>
        <v>15707</v>
      </c>
      <c r="G43" s="626"/>
      <c r="H43" s="626"/>
      <c r="I43" s="166">
        <f t="shared" si="6"/>
        <v>15707</v>
      </c>
      <c r="J43" s="167">
        <f t="shared" si="7"/>
        <v>3.1253904997043144E-3</v>
      </c>
      <c r="K43" s="458"/>
      <c r="L43" s="163"/>
      <c r="M43" s="163"/>
      <c r="O43" s="324">
        <f t="shared" si="8"/>
        <v>0.75601655756642283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'[18]Sch C'!D24</f>
        <v>0</v>
      </c>
      <c r="D44" s="480">
        <f>'[18]Sch C'!F24</f>
        <v>0</v>
      </c>
      <c r="E44" s="480">
        <f>+'[18]Sch C'!H24</f>
        <v>0</v>
      </c>
      <c r="F44" s="166">
        <f t="shared" si="5"/>
        <v>0</v>
      </c>
      <c r="G44" s="626"/>
      <c r="H44" s="62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'[18]Sch C'!D25</f>
        <v>0</v>
      </c>
      <c r="D45" s="480">
        <f>'[18]Sch C'!F25</f>
        <v>0</v>
      </c>
      <c r="E45" s="480">
        <f>+'[18]Sch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'[18]Sch C'!D26</f>
        <v>377283</v>
      </c>
      <c r="D46" s="480">
        <f>'[18]Sch C'!F26</f>
        <v>0</v>
      </c>
      <c r="E46" s="480">
        <f>+'[18]Sch C'!H26</f>
        <v>0</v>
      </c>
      <c r="F46" s="166">
        <f t="shared" si="5"/>
        <v>377283</v>
      </c>
      <c r="G46" s="626">
        <v>3466</v>
      </c>
      <c r="H46" s="626"/>
      <c r="I46" s="166">
        <f t="shared" si="6"/>
        <v>380749</v>
      </c>
      <c r="J46" s="167">
        <f t="shared" si="7"/>
        <v>7.5761718174821302E-2</v>
      </c>
      <c r="K46" s="458"/>
      <c r="L46" s="163"/>
      <c r="M46" s="163"/>
      <c r="O46" s="324">
        <f t="shared" si="8"/>
        <v>18.326386214863305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'[18]Sch C'!D27</f>
        <v>0</v>
      </c>
      <c r="D47" s="480">
        <f>'[18]Sch C'!F27</f>
        <v>0</v>
      </c>
      <c r="E47" s="480">
        <f>+'[18]Sch C'!H27</f>
        <v>0</v>
      </c>
      <c r="F47" s="166">
        <f t="shared" si="5"/>
        <v>0</v>
      </c>
      <c r="G47" s="626"/>
      <c r="H47" s="62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'[18]Sch C'!D28</f>
        <v>0</v>
      </c>
      <c r="D48" s="480">
        <f>'[18]Sch C'!F28</f>
        <v>0</v>
      </c>
      <c r="E48" s="480">
        <f>+'[18]Sch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'[18]Sch C'!D29</f>
        <v>99689</v>
      </c>
      <c r="D49" s="480">
        <f>'[18]Sch C'!F29</f>
        <v>-99689</v>
      </c>
      <c r="E49" s="480">
        <f>+'[18]Sch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'[18]Sch C'!D30</f>
        <v>5400</v>
      </c>
      <c r="D50" s="480">
        <f>'[18]Sch C'!F30</f>
        <v>-5400</v>
      </c>
      <c r="E50" s="480">
        <f>+'[18]Sch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'[18]Sch C'!D31</f>
        <v>49073</v>
      </c>
      <c r="D51" s="480">
        <f>'[18]Sch C'!F31</f>
        <v>259</v>
      </c>
      <c r="E51" s="480">
        <f>+'[18]Sch C'!H31</f>
        <v>0</v>
      </c>
      <c r="F51" s="166">
        <f t="shared" si="5"/>
        <v>49332</v>
      </c>
      <c r="G51" s="626"/>
      <c r="H51" s="626"/>
      <c r="I51" s="166">
        <f t="shared" si="6"/>
        <v>49332</v>
      </c>
      <c r="J51" s="167">
        <f t="shared" si="7"/>
        <v>9.8161179175789929E-3</v>
      </c>
      <c r="K51" s="458"/>
      <c r="L51" s="163"/>
      <c r="M51" s="163"/>
      <c r="O51" s="324">
        <f t="shared" si="8"/>
        <v>2.3744705429341546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'[18]Sch C'!D32</f>
        <v>40655</v>
      </c>
      <c r="D52" s="480">
        <f>'[18]Sch C'!F32</f>
        <v>-5089</v>
      </c>
      <c r="E52" s="480">
        <f>+'[18]Sch C'!H32</f>
        <v>0</v>
      </c>
      <c r="F52" s="166">
        <f t="shared" si="5"/>
        <v>35566</v>
      </c>
      <c r="G52" s="626">
        <v>-1471</v>
      </c>
      <c r="H52" s="626"/>
      <c r="I52" s="166">
        <f t="shared" si="6"/>
        <v>34095</v>
      </c>
      <c r="J52" s="167">
        <f t="shared" si="7"/>
        <v>6.7842483661691355E-3</v>
      </c>
      <c r="K52" s="458"/>
      <c r="L52" s="163"/>
      <c r="M52" s="163"/>
      <c r="O52" s="324">
        <f t="shared" si="8"/>
        <v>1.6410762418174818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'[18]Sch C'!D33</f>
        <v>0</v>
      </c>
      <c r="D53" s="480">
        <f>'[18]Sch C'!F33</f>
        <v>0</v>
      </c>
      <c r="E53" s="480">
        <f>+'[18]Sch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'[18]Sch C'!D34</f>
        <v>0</v>
      </c>
      <c r="D54" s="480">
        <f>'[18]Sch C'!F34</f>
        <v>0</v>
      </c>
      <c r="E54" s="480">
        <f>+'[18]Sch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'[18]Sch C'!D35</f>
        <v>0</v>
      </c>
      <c r="D55" s="480">
        <f>'[18]Sch C'!F35</f>
        <v>0</v>
      </c>
      <c r="E55" s="480">
        <f>+'[18]Sch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'[18]Sch C'!D36</f>
        <v>31670</v>
      </c>
      <c r="D56" s="480">
        <f>'[18]Sch C'!F36</f>
        <v>2417</v>
      </c>
      <c r="E56" s="480">
        <f>+'[18]Sch C'!H36</f>
        <v>0</v>
      </c>
      <c r="F56" s="166">
        <f t="shared" si="5"/>
        <v>34087</v>
      </c>
      <c r="G56" s="626"/>
      <c r="H56" s="626"/>
      <c r="I56" s="166">
        <f t="shared" si="6"/>
        <v>34087</v>
      </c>
      <c r="J56" s="167">
        <f t="shared" si="7"/>
        <v>6.7826565202407192E-3</v>
      </c>
      <c r="K56" s="458"/>
      <c r="L56" s="176">
        <v>2224</v>
      </c>
      <c r="M56" s="176">
        <v>2354</v>
      </c>
      <c r="O56" s="324">
        <f t="shared" si="8"/>
        <v>1.6406911821332306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'[18]Sch C'!D37</f>
        <v>0</v>
      </c>
      <c r="D57" s="480">
        <f>'[18]Sch C'!F37</f>
        <v>4828</v>
      </c>
      <c r="E57" s="480">
        <f>+'[18]Sch C'!H37</f>
        <v>0</v>
      </c>
      <c r="F57" s="166">
        <f t="shared" si="5"/>
        <v>4828</v>
      </c>
      <c r="G57" s="626"/>
      <c r="H57" s="626"/>
      <c r="I57" s="166">
        <f t="shared" si="6"/>
        <v>4828</v>
      </c>
      <c r="J57" s="167">
        <f t="shared" si="7"/>
        <v>9.6067901779922529E-4</v>
      </c>
      <c r="K57" s="458"/>
      <c r="L57" s="163"/>
      <c r="M57" s="163"/>
      <c r="O57" s="324">
        <f t="shared" si="8"/>
        <v>0.23238351944551405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'[18]Sch C'!D38</f>
        <v>0</v>
      </c>
      <c r="D58" s="480">
        <f>'[18]Sch C'!F38</f>
        <v>0</v>
      </c>
      <c r="E58" s="480">
        <f>+'[18]Sch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'[18]Sch C'!D39</f>
        <v>1538</v>
      </c>
      <c r="D59" s="480">
        <f>'[18]Sch C'!F39</f>
        <v>0</v>
      </c>
      <c r="E59" s="480">
        <f>+'[18]Sch C'!H39</f>
        <v>0</v>
      </c>
      <c r="F59" s="166">
        <f t="shared" si="5"/>
        <v>1538</v>
      </c>
      <c r="G59" s="626"/>
      <c r="H59" s="626"/>
      <c r="I59" s="166">
        <f t="shared" si="6"/>
        <v>1538</v>
      </c>
      <c r="J59" s="167">
        <f t="shared" si="7"/>
        <v>3.0603237973802989E-4</v>
      </c>
      <c r="K59" s="458"/>
      <c r="L59" s="163"/>
      <c r="M59" s="163"/>
      <c r="O59" s="324">
        <f t="shared" si="8"/>
        <v>7.4027724297266076E-2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'[18]Sch C'!D40</f>
        <v>0</v>
      </c>
      <c r="D60" s="480">
        <f>'[18]Sch C'!F40</f>
        <v>0</v>
      </c>
      <c r="E60" s="480">
        <f>+'[18]Sch C'!H40</f>
        <v>0</v>
      </c>
      <c r="F60" s="166">
        <f t="shared" si="5"/>
        <v>0</v>
      </c>
      <c r="G60" s="626"/>
      <c r="H60" s="62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'[18]Sch C'!D41</f>
        <v>104716</v>
      </c>
      <c r="D61" s="480">
        <f>'[18]Sch C'!F41</f>
        <v>0</v>
      </c>
      <c r="E61" s="480">
        <f>+'[18]Sch C'!H41</f>
        <v>0</v>
      </c>
      <c r="F61" s="166">
        <f t="shared" si="5"/>
        <v>104716</v>
      </c>
      <c r="G61" s="626">
        <v>-584</v>
      </c>
      <c r="H61" s="626"/>
      <c r="I61" s="166">
        <f t="shared" si="6"/>
        <v>104132</v>
      </c>
      <c r="J61" s="167">
        <f t="shared" si="7"/>
        <v>2.0720262527230516E-2</v>
      </c>
      <c r="K61" s="458"/>
      <c r="L61" s="163"/>
      <c r="M61" s="163"/>
      <c r="O61" s="324">
        <f t="shared" si="8"/>
        <v>5.0121293800539082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'[18]Sch C'!D42</f>
        <v>1592</v>
      </c>
      <c r="D62" s="480">
        <f>'[18]Sch C'!F42</f>
        <v>0</v>
      </c>
      <c r="E62" s="480">
        <f>+'[18]Sch C'!H42</f>
        <v>0</v>
      </c>
      <c r="F62" s="166">
        <f t="shared" si="5"/>
        <v>1592</v>
      </c>
      <c r="G62" s="626"/>
      <c r="H62" s="626"/>
      <c r="I62" s="166">
        <f t="shared" si="6"/>
        <v>1592</v>
      </c>
      <c r="J62" s="167">
        <f t="shared" si="7"/>
        <v>3.1677733975483979E-4</v>
      </c>
      <c r="K62" s="458"/>
      <c r="L62" s="163"/>
      <c r="M62" s="163"/>
      <c r="O62" s="324">
        <f t="shared" si="8"/>
        <v>7.6626877165960727E-2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'[18]Sch C'!D43</f>
        <v>15575</v>
      </c>
      <c r="D63" s="480">
        <f>'[18]Sch C'!F43</f>
        <v>-15575</v>
      </c>
      <c r="E63" s="480">
        <f>+'[18]Sch C'!H43</f>
        <v>0</v>
      </c>
      <c r="F63" s="166">
        <f t="shared" si="5"/>
        <v>0</v>
      </c>
      <c r="G63" s="626"/>
      <c r="H63" s="62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'[18]Sch C'!D44</f>
        <v>0</v>
      </c>
      <c r="D64" s="480">
        <f>'[18]Sch C'!F44</f>
        <v>0</v>
      </c>
      <c r="E64" s="480">
        <f>+'[18]Sch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'[18]Sch C'!D45</f>
        <v>25317</v>
      </c>
      <c r="D65" s="480">
        <f>'[18]Sch C'!F45</f>
        <v>-7538</v>
      </c>
      <c r="E65" s="480">
        <f>+'[18]Sch C'!H45</f>
        <v>0</v>
      </c>
      <c r="F65" s="166">
        <f t="shared" si="5"/>
        <v>17779</v>
      </c>
      <c r="G65" s="626"/>
      <c r="H65" s="626"/>
      <c r="I65" s="166">
        <f t="shared" si="6"/>
        <v>17779</v>
      </c>
      <c r="J65" s="167">
        <f t="shared" si="7"/>
        <v>3.5376785951641313E-3</v>
      </c>
      <c r="K65" s="597" t="s">
        <v>483</v>
      </c>
      <c r="L65" s="163"/>
      <c r="M65" s="163"/>
      <c r="O65" s="324">
        <f t="shared" si="8"/>
        <v>0.85574701578744705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2037682</v>
      </c>
      <c r="D66" s="480">
        <f t="shared" si="9"/>
        <v>-272836</v>
      </c>
      <c r="E66" s="480">
        <f t="shared" si="9"/>
        <v>-604892</v>
      </c>
      <c r="F66" s="166">
        <f t="shared" ref="F66:I66" si="10">SUM(F30:F65)</f>
        <v>1159954</v>
      </c>
      <c r="G66" s="166">
        <f t="shared" si="10"/>
        <v>-2055</v>
      </c>
      <c r="H66" s="166">
        <f t="shared" si="10"/>
        <v>0</v>
      </c>
      <c r="I66" s="166">
        <f t="shared" si="10"/>
        <v>1157899</v>
      </c>
      <c r="J66" s="178">
        <f t="shared" si="7"/>
        <v>0.23039960108341034</v>
      </c>
      <c r="K66" s="598" t="s">
        <v>481</v>
      </c>
      <c r="L66" s="163"/>
      <c r="M66" s="163"/>
      <c r="O66" s="329">
        <f>I66/I$233</f>
        <v>55.732527916827109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'[18]Sch C'!D57</f>
        <v>412300</v>
      </c>
      <c r="D69" s="480">
        <f>'[18]Sch C'!F57</f>
        <v>0</v>
      </c>
      <c r="E69" s="480">
        <f>+'[18]Sch C'!H57</f>
        <v>-412300</v>
      </c>
      <c r="F69" s="166">
        <f>C69+D69+E69</f>
        <v>0</v>
      </c>
      <c r="G69" s="626"/>
      <c r="H69" s="626"/>
      <c r="I69" s="166">
        <f>F69+G69+H69</f>
        <v>0</v>
      </c>
      <c r="J69" s="167">
        <f t="shared" ref="J69:J84" si="11">IF($I$213=0,0,I69/$I$213)</f>
        <v>0</v>
      </c>
      <c r="K69" s="457" t="s">
        <v>473</v>
      </c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'[18]Sch C'!D58</f>
        <v>0</v>
      </c>
      <c r="D70" s="480">
        <f>'[18]Sch C'!F58</f>
        <v>0</v>
      </c>
      <c r="E70" s="480">
        <f>+'[18]Sch C'!H58</f>
        <v>175175</v>
      </c>
      <c r="F70" s="166">
        <f t="shared" ref="F70:F83" si="13">C70+D70+E70</f>
        <v>175175</v>
      </c>
      <c r="G70" s="626"/>
      <c r="H70" s="626"/>
      <c r="I70" s="166">
        <f t="shared" ref="I70:I83" si="14">F70+G70+H70</f>
        <v>175175</v>
      </c>
      <c r="J70" s="167">
        <f t="shared" si="11"/>
        <v>3.485645131379024E-2</v>
      </c>
      <c r="K70" s="458"/>
      <c r="L70" s="182"/>
      <c r="M70" s="163"/>
      <c r="O70" s="324">
        <f t="shared" si="12"/>
        <v>8.4316037735849054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'[18]Sch C'!D59</f>
        <v>0</v>
      </c>
      <c r="D71" s="480">
        <f>'[18]Sch C'!F59</f>
        <v>0</v>
      </c>
      <c r="E71" s="480">
        <f>+'[18]Sch C'!H59</f>
        <v>269158</v>
      </c>
      <c r="F71" s="166">
        <f t="shared" si="13"/>
        <v>269158</v>
      </c>
      <c r="G71" s="626"/>
      <c r="H71" s="626"/>
      <c r="I71" s="166">
        <f t="shared" si="14"/>
        <v>269158</v>
      </c>
      <c r="J71" s="167">
        <f t="shared" si="11"/>
        <v>5.3557258300083649E-2</v>
      </c>
      <c r="K71" s="458"/>
      <c r="L71" s="182"/>
      <c r="M71" s="163"/>
      <c r="O71" s="324">
        <f t="shared" si="12"/>
        <v>12.955236811705815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'[18]Sch C'!D60</f>
        <v>38865</v>
      </c>
      <c r="D72" s="480">
        <f>'[18]Sch C'!F60</f>
        <v>0</v>
      </c>
      <c r="E72" s="480">
        <f>+'[18]Sch C'!H60</f>
        <v>-5652</v>
      </c>
      <c r="F72" s="166">
        <f t="shared" si="13"/>
        <v>33213</v>
      </c>
      <c r="G72" s="626"/>
      <c r="H72" s="626"/>
      <c r="I72" s="166">
        <f t="shared" si="14"/>
        <v>33213</v>
      </c>
      <c r="J72" s="167">
        <f t="shared" si="11"/>
        <v>6.6087473525612405E-3</v>
      </c>
      <c r="K72" s="458"/>
      <c r="L72" s="185"/>
      <c r="M72" s="163"/>
      <c r="O72" s="324">
        <f t="shared" si="12"/>
        <v>1.5986234116288025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'[18]Sch C'!D61</f>
        <v>0</v>
      </c>
      <c r="D73" s="480">
        <f>'[18]Sch C'!F61</f>
        <v>11056</v>
      </c>
      <c r="E73" s="480">
        <f>+'[18]Sch C'!H61</f>
        <v>0</v>
      </c>
      <c r="F73" s="166">
        <f t="shared" si="13"/>
        <v>11056</v>
      </c>
      <c r="G73" s="626"/>
      <c r="H73" s="626"/>
      <c r="I73" s="166">
        <f t="shared" si="14"/>
        <v>11056</v>
      </c>
      <c r="J73" s="167">
        <f t="shared" si="11"/>
        <v>2.1999310730712995E-3</v>
      </c>
      <c r="K73" s="458"/>
      <c r="L73" s="185"/>
      <c r="M73" s="163"/>
      <c r="O73" s="324">
        <f t="shared" si="12"/>
        <v>0.53215248363496337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'[18]Sch C'!D62</f>
        <v>0</v>
      </c>
      <c r="D74" s="480">
        <f>'[18]Sch C'!F62</f>
        <v>0</v>
      </c>
      <c r="E74" s="480">
        <f>+'[18]Sch C'!H62</f>
        <v>0</v>
      </c>
      <c r="F74" s="166">
        <f t="shared" si="13"/>
        <v>0</v>
      </c>
      <c r="G74" s="626"/>
      <c r="H74" s="62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'[18]Sch C'!D63</f>
        <v>0</v>
      </c>
      <c r="D75" s="480">
        <f>'[18]Sch C'!F63</f>
        <v>0</v>
      </c>
      <c r="E75" s="480">
        <f>+'[18]Sch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'[18]Sch C'!D64</f>
        <v>0</v>
      </c>
      <c r="D76" s="480">
        <f>'[18]Sch C'!F64</f>
        <v>0</v>
      </c>
      <c r="E76" s="480">
        <f>+'[18]Sch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'[18]Sch C'!D65</f>
        <v>17272</v>
      </c>
      <c r="D77" s="480">
        <f>'[18]Sch C'!F65</f>
        <v>-7915</v>
      </c>
      <c r="E77" s="480">
        <f>+'[18]Sch C'!H65</f>
        <v>0</v>
      </c>
      <c r="F77" s="166">
        <f t="shared" si="13"/>
        <v>9357</v>
      </c>
      <c r="G77" s="626"/>
      <c r="H77" s="626"/>
      <c r="I77" s="166">
        <f t="shared" si="14"/>
        <v>9357</v>
      </c>
      <c r="J77" s="167">
        <f t="shared" si="11"/>
        <v>1.8618627940238919E-3</v>
      </c>
      <c r="K77" s="458"/>
      <c r="L77" s="187"/>
      <c r="M77" s="163"/>
      <c r="O77" s="324">
        <f t="shared" si="12"/>
        <v>0.45037543319214479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'[18]Sch C'!D66</f>
        <v>0</v>
      </c>
      <c r="D78" s="480">
        <f>'[18]Sch C'!F66</f>
        <v>0</v>
      </c>
      <c r="E78" s="480">
        <f>+'[18]Sch C'!H66</f>
        <v>0</v>
      </c>
      <c r="F78" s="166">
        <f t="shared" si="13"/>
        <v>0</v>
      </c>
      <c r="G78" s="626"/>
      <c r="H78" s="62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'[18]Sch C'!D67</f>
        <v>0</v>
      </c>
      <c r="D79" s="480">
        <f>'[18]Sch C'!F67</f>
        <v>4922</v>
      </c>
      <c r="E79" s="480">
        <f>+'[18]Sch C'!H67</f>
        <v>2640</v>
      </c>
      <c r="F79" s="166">
        <f t="shared" si="13"/>
        <v>7562</v>
      </c>
      <c r="G79" s="626"/>
      <c r="H79" s="626"/>
      <c r="I79" s="166">
        <f t="shared" si="14"/>
        <v>7562</v>
      </c>
      <c r="J79" s="167">
        <f t="shared" si="11"/>
        <v>1.504692363835489E-3</v>
      </c>
      <c r="K79" s="458"/>
      <c r="L79" s="187"/>
      <c r="M79" s="163"/>
      <c r="O79" s="324">
        <f t="shared" si="12"/>
        <v>0.36397766653831343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'[18]Sch C'!D68</f>
        <v>0</v>
      </c>
      <c r="D80" s="480">
        <f>'[18]Sch C'!F68</f>
        <v>0</v>
      </c>
      <c r="E80" s="480">
        <f>+'[18]Sch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'[18]Sch C'!D69</f>
        <v>0</v>
      </c>
      <c r="D81" s="480">
        <f>'[18]Sch C'!F69</f>
        <v>0</v>
      </c>
      <c r="E81" s="480">
        <f>+'[18]Sch C'!H69</f>
        <v>0</v>
      </c>
      <c r="F81" s="166">
        <f t="shared" si="13"/>
        <v>0</v>
      </c>
      <c r="G81" s="626"/>
      <c r="H81" s="62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'[18]Sch C'!D70</f>
        <v>0</v>
      </c>
      <c r="D82" s="480">
        <f>'[18]Sch C'!F70</f>
        <v>0</v>
      </c>
      <c r="E82" s="480">
        <f>+'[18]Sch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'[18]Sch C'!D71</f>
        <v>0</v>
      </c>
      <c r="D83" s="480">
        <f>'[18]Sch C'!F71</f>
        <v>0</v>
      </c>
      <c r="E83" s="480">
        <f>+'[18]Sch C'!H71</f>
        <v>0</v>
      </c>
      <c r="F83" s="166">
        <f t="shared" si="13"/>
        <v>0</v>
      </c>
      <c r="G83" s="626"/>
      <c r="H83" s="62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468437</v>
      </c>
      <c r="D84" s="480">
        <f t="shared" si="15"/>
        <v>8063</v>
      </c>
      <c r="E84" s="480">
        <f t="shared" si="15"/>
        <v>29021</v>
      </c>
      <c r="F84" s="166">
        <f t="shared" ref="F84:I84" si="16">SUM(F69:F83)</f>
        <v>505521</v>
      </c>
      <c r="G84" s="166">
        <f t="shared" si="16"/>
        <v>0</v>
      </c>
      <c r="H84" s="166">
        <f t="shared" si="16"/>
        <v>0</v>
      </c>
      <c r="I84" s="166">
        <f t="shared" si="16"/>
        <v>505521</v>
      </c>
      <c r="J84" s="167">
        <f t="shared" si="11"/>
        <v>0.10058894319736582</v>
      </c>
      <c r="K84" s="458"/>
      <c r="L84" s="187"/>
      <c r="M84" s="163"/>
      <c r="O84" s="324">
        <f t="shared" si="12"/>
        <v>24.331969580284944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'[18]Sch C'!D75</f>
        <v>50513</v>
      </c>
      <c r="D87" s="480">
        <f>'[18]Sch C'!F75</f>
        <v>0</v>
      </c>
      <c r="E87" s="480">
        <f>+'[18]Sch C'!H75</f>
        <v>0</v>
      </c>
      <c r="F87" s="166">
        <f t="shared" ref="F87:F97" si="17">C87+D87+E87</f>
        <v>50513</v>
      </c>
      <c r="G87" s="626"/>
      <c r="H87" s="626"/>
      <c r="I87" s="166">
        <f t="shared" ref="I87:I97" si="18">F87+G87+H87</f>
        <v>50513</v>
      </c>
      <c r="J87" s="167">
        <f t="shared" ref="J87:J98" si="19">IF($I$213=0,0,I87/$I$213)</f>
        <v>1.0051114172761447E-2</v>
      </c>
      <c r="K87" s="458"/>
      <c r="L87" s="176">
        <v>3513</v>
      </c>
      <c r="M87" s="176">
        <v>3593</v>
      </c>
      <c r="O87" s="324">
        <f t="shared" ref="O87:O97" si="20">I87/I$233</f>
        <v>2.4313149788217174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'[18]Sch C'!D76</f>
        <v>4263</v>
      </c>
      <c r="D88" s="480">
        <f>'[18]Sch C'!F76</f>
        <v>2941</v>
      </c>
      <c r="E88" s="480">
        <f>+'[18]Sch C'!H76</f>
        <v>0</v>
      </c>
      <c r="F88" s="166">
        <f t="shared" si="17"/>
        <v>7204</v>
      </c>
      <c r="G88" s="626"/>
      <c r="H88" s="626"/>
      <c r="I88" s="166">
        <f t="shared" si="18"/>
        <v>7204</v>
      </c>
      <c r="J88" s="167">
        <f t="shared" si="19"/>
        <v>1.4334572585388606E-3</v>
      </c>
      <c r="K88" s="458"/>
      <c r="L88" s="163"/>
      <c r="M88" s="163"/>
      <c r="O88" s="324">
        <f t="shared" si="20"/>
        <v>0.34674624566807855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'[18]Sch C'!D77</f>
        <v>8001</v>
      </c>
      <c r="D89" s="480">
        <f>'[18]Sch C'!F77</f>
        <v>0</v>
      </c>
      <c r="E89" s="480">
        <f>+'[18]Sch C'!H77</f>
        <v>0</v>
      </c>
      <c r="F89" s="166">
        <f t="shared" si="17"/>
        <v>8001</v>
      </c>
      <c r="G89" s="626"/>
      <c r="H89" s="626"/>
      <c r="I89" s="166">
        <f t="shared" si="18"/>
        <v>8001</v>
      </c>
      <c r="J89" s="167">
        <f t="shared" si="19"/>
        <v>1.5920449091573325E-3</v>
      </c>
      <c r="K89" s="458"/>
      <c r="L89" s="163"/>
      <c r="M89" s="163"/>
      <c r="O89" s="324">
        <f t="shared" si="20"/>
        <v>0.38510781671159028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'[18]Sch C'!D78</f>
        <v>0</v>
      </c>
      <c r="D90" s="480">
        <f>'[18]Sch C'!F78</f>
        <v>0</v>
      </c>
      <c r="E90" s="480">
        <f>+'[18]Sch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'[18]Sch C'!D79</f>
        <v>2363</v>
      </c>
      <c r="D91" s="480">
        <f>'[18]Sch C'!F79</f>
        <v>0</v>
      </c>
      <c r="E91" s="480">
        <f>+'[18]Sch C'!H79</f>
        <v>0</v>
      </c>
      <c r="F91" s="166">
        <f t="shared" si="17"/>
        <v>2363</v>
      </c>
      <c r="G91" s="626"/>
      <c r="H91" s="626"/>
      <c r="I91" s="166">
        <f t="shared" si="18"/>
        <v>2363</v>
      </c>
      <c r="J91" s="167">
        <f t="shared" si="19"/>
        <v>4.7019149110595886E-4</v>
      </c>
      <c r="K91" s="458"/>
      <c r="L91" s="163"/>
      <c r="M91" s="163"/>
      <c r="O91" s="324">
        <f t="shared" si="20"/>
        <v>0.11373700423565652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'[18]Sch C'!D80</f>
        <v>24358</v>
      </c>
      <c r="D92" s="480">
        <f>'[18]Sch C'!F80</f>
        <v>0</v>
      </c>
      <c r="E92" s="480">
        <f>+'[18]Sch C'!H80</f>
        <v>0</v>
      </c>
      <c r="F92" s="166">
        <f t="shared" si="17"/>
        <v>24358</v>
      </c>
      <c r="G92" s="626"/>
      <c r="H92" s="626"/>
      <c r="I92" s="166">
        <f t="shared" si="18"/>
        <v>24358</v>
      </c>
      <c r="J92" s="167">
        <f t="shared" si="19"/>
        <v>4.8467728905454699E-3</v>
      </c>
      <c r="K92" s="458"/>
      <c r="L92" s="163"/>
      <c r="M92" s="163"/>
      <c r="O92" s="324">
        <f t="shared" si="20"/>
        <v>1.1724104736234116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'[18]Sch C'!D81</f>
        <v>31612</v>
      </c>
      <c r="D93" s="480">
        <f>'[18]Sch C'!F81</f>
        <v>-28692</v>
      </c>
      <c r="E93" s="480">
        <f>+'[18]Sch C'!H81</f>
        <v>0</v>
      </c>
      <c r="F93" s="166">
        <f t="shared" si="17"/>
        <v>2920</v>
      </c>
      <c r="G93" s="626"/>
      <c r="H93" s="626"/>
      <c r="I93" s="166">
        <f t="shared" si="18"/>
        <v>2920</v>
      </c>
      <c r="J93" s="167">
        <f t="shared" si="19"/>
        <v>5.8102376387194233E-4</v>
      </c>
      <c r="K93" s="458"/>
      <c r="L93" s="163"/>
      <c r="M93" s="163"/>
      <c r="O93" s="324">
        <f t="shared" si="20"/>
        <v>0.14054678475163651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'[18]Sch C'!D82</f>
        <v>0</v>
      </c>
      <c r="D94" s="480">
        <f>'[18]Sch C'!F82</f>
        <v>0</v>
      </c>
      <c r="E94" s="480">
        <f>+'[18]Sch C'!H82</f>
        <v>0</v>
      </c>
      <c r="F94" s="166">
        <f t="shared" si="17"/>
        <v>0</v>
      </c>
      <c r="G94" s="626"/>
      <c r="H94" s="62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'[18]Sch C'!D83</f>
        <v>0</v>
      </c>
      <c r="D95" s="480">
        <f>'[18]Sch C'!F83</f>
        <v>0</v>
      </c>
      <c r="E95" s="480">
        <f>+'[18]Sch C'!H83</f>
        <v>0</v>
      </c>
      <c r="F95" s="166">
        <f t="shared" si="17"/>
        <v>0</v>
      </c>
      <c r="G95" s="626"/>
      <c r="H95" s="62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'[18]Sch C'!D84</f>
        <v>61608</v>
      </c>
      <c r="D96" s="480">
        <f>'[18]Sch C'!F84</f>
        <v>0</v>
      </c>
      <c r="E96" s="480">
        <f>+'[18]Sch C'!H84</f>
        <v>0</v>
      </c>
      <c r="F96" s="166">
        <f t="shared" si="17"/>
        <v>61608</v>
      </c>
      <c r="G96" s="626">
        <v>-8023</v>
      </c>
      <c r="H96" s="626"/>
      <c r="I96" s="166">
        <f t="shared" si="18"/>
        <v>53585</v>
      </c>
      <c r="J96" s="167">
        <f t="shared" si="19"/>
        <v>1.0662383009273298E-2</v>
      </c>
      <c r="K96" s="458"/>
      <c r="L96" s="163"/>
      <c r="M96" s="163"/>
      <c r="O96" s="324">
        <f t="shared" si="20"/>
        <v>2.579177897574124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'[18]Sch C'!D85</f>
        <v>10553</v>
      </c>
      <c r="D97" s="480">
        <f>'[18]Sch C'!F85</f>
        <v>0</v>
      </c>
      <c r="E97" s="480">
        <f>+'[18]Sch C'!H85</f>
        <v>0</v>
      </c>
      <c r="F97" s="166">
        <f t="shared" si="17"/>
        <v>10553</v>
      </c>
      <c r="G97" s="626"/>
      <c r="H97" s="626"/>
      <c r="I97" s="166">
        <f t="shared" si="18"/>
        <v>10553</v>
      </c>
      <c r="J97" s="167">
        <f t="shared" si="19"/>
        <v>2.0998437603221261E-3</v>
      </c>
      <c r="K97" s="458"/>
      <c r="L97" s="163"/>
      <c r="M97" s="163"/>
      <c r="O97" s="324">
        <f t="shared" si="20"/>
        <v>0.50794185598767805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193271</v>
      </c>
      <c r="D98" s="480">
        <f t="shared" si="21"/>
        <v>-25751</v>
      </c>
      <c r="E98" s="480">
        <f t="shared" si="21"/>
        <v>0</v>
      </c>
      <c r="F98" s="166">
        <f t="shared" ref="F98:I98" si="22">SUM(F87:F97)</f>
        <v>167520</v>
      </c>
      <c r="G98" s="166">
        <f t="shared" si="22"/>
        <v>-8023</v>
      </c>
      <c r="H98" s="166">
        <f t="shared" si="22"/>
        <v>0</v>
      </c>
      <c r="I98" s="166">
        <f t="shared" si="22"/>
        <v>159497</v>
      </c>
      <c r="J98" s="167">
        <f t="shared" si="19"/>
        <v>3.1736831255576435E-2</v>
      </c>
      <c r="K98" s="458"/>
      <c r="L98" s="163"/>
      <c r="M98" s="163"/>
      <c r="O98" s="329">
        <f>I98/I$233</f>
        <v>7.6769830573738931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'[18]Sch C'!D89</f>
        <v>180175</v>
      </c>
      <c r="D101" s="480">
        <f>'[18]Sch C'!F89</f>
        <v>0</v>
      </c>
      <c r="E101" s="480">
        <f>+'[18]Sch C'!H89</f>
        <v>0</v>
      </c>
      <c r="F101" s="166">
        <f t="shared" ref="F101:F106" si="23">C101+D101+E101</f>
        <v>180175</v>
      </c>
      <c r="G101" s="626"/>
      <c r="H101" s="626"/>
      <c r="I101" s="166">
        <f t="shared" ref="I101:I106" si="24">F101+G101+H101</f>
        <v>180175</v>
      </c>
      <c r="J101" s="167">
        <f t="shared" ref="J101:J107" si="25">IF($I$213=0,0,I101/$I$213)</f>
        <v>3.5851355019050415E-2</v>
      </c>
      <c r="K101" s="458"/>
      <c r="L101" s="176">
        <v>11785</v>
      </c>
      <c r="M101" s="176">
        <v>12148</v>
      </c>
      <c r="O101" s="329">
        <f t="shared" ref="O101:O106" si="26">I101/I$233</f>
        <v>8.6722660762418169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'[18]Sch C'!D90</f>
        <v>14817</v>
      </c>
      <c r="D102" s="480">
        <f>'[18]Sch C'!F90</f>
        <v>10491</v>
      </c>
      <c r="E102" s="480">
        <f>+'[18]Sch C'!H90</f>
        <v>0</v>
      </c>
      <c r="F102" s="166">
        <f t="shared" si="23"/>
        <v>25308</v>
      </c>
      <c r="G102" s="626"/>
      <c r="H102" s="626"/>
      <c r="I102" s="166">
        <f t="shared" si="24"/>
        <v>25308</v>
      </c>
      <c r="J102" s="167">
        <f t="shared" si="25"/>
        <v>5.0358045945449034E-3</v>
      </c>
      <c r="K102" s="458"/>
      <c r="L102" s="163"/>
      <c r="M102" s="163"/>
      <c r="O102" s="329">
        <f t="shared" si="26"/>
        <v>1.2181363111282248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'[18]Sch C'!D91</f>
        <v>18438</v>
      </c>
      <c r="D103" s="480">
        <f>'[18]Sch C'!F91</f>
        <v>0</v>
      </c>
      <c r="E103" s="480">
        <f>+'[18]Sch C'!H91</f>
        <v>0</v>
      </c>
      <c r="F103" s="166">
        <f t="shared" si="23"/>
        <v>18438</v>
      </c>
      <c r="G103" s="626"/>
      <c r="H103" s="626"/>
      <c r="I103" s="166">
        <f t="shared" si="24"/>
        <v>18438</v>
      </c>
      <c r="J103" s="167">
        <f t="shared" si="25"/>
        <v>3.6688069035174225E-3</v>
      </c>
      <c r="K103" s="458"/>
      <c r="L103" s="163"/>
      <c r="M103" s="163"/>
      <c r="O103" s="329">
        <f t="shared" si="26"/>
        <v>0.88746630727762799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'[18]Sch C'!D92</f>
        <v>117235</v>
      </c>
      <c r="D104" s="480">
        <f>'[18]Sch C'!F92</f>
        <v>0</v>
      </c>
      <c r="E104" s="480">
        <f>+'[18]Sch C'!H92</f>
        <v>0</v>
      </c>
      <c r="F104" s="166">
        <f t="shared" si="23"/>
        <v>117235</v>
      </c>
      <c r="G104" s="626"/>
      <c r="H104" s="626"/>
      <c r="I104" s="166">
        <f t="shared" si="24"/>
        <v>117235</v>
      </c>
      <c r="J104" s="167">
        <f t="shared" si="25"/>
        <v>2.3327507177235331E-2</v>
      </c>
      <c r="K104" s="458"/>
      <c r="L104" s="163"/>
      <c r="M104" s="163"/>
      <c r="O104" s="329">
        <f t="shared" si="26"/>
        <v>5.6428090103966113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'[18]Sch C'!D93</f>
        <v>13054</v>
      </c>
      <c r="D105" s="480">
        <f>'[18]Sch C'!F93</f>
        <v>0</v>
      </c>
      <c r="E105" s="480">
        <f>+'[18]Sch C'!H93</f>
        <v>0</v>
      </c>
      <c r="F105" s="166">
        <f t="shared" si="23"/>
        <v>13054</v>
      </c>
      <c r="G105" s="626"/>
      <c r="H105" s="626"/>
      <c r="I105" s="166">
        <f t="shared" si="24"/>
        <v>13054</v>
      </c>
      <c r="J105" s="167">
        <f t="shared" si="25"/>
        <v>2.5974945936932657E-3</v>
      </c>
      <c r="K105" s="458"/>
      <c r="L105" s="163"/>
      <c r="M105" s="163"/>
      <c r="O105" s="329">
        <f t="shared" si="26"/>
        <v>0.62832113977666537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'[18]Sch C'!D94</f>
        <v>0</v>
      </c>
      <c r="D106" s="480">
        <f>'[18]Sch C'!F94</f>
        <v>0</v>
      </c>
      <c r="E106" s="480">
        <f>+'[18]Sch C'!H94</f>
        <v>0</v>
      </c>
      <c r="F106" s="166">
        <f t="shared" si="23"/>
        <v>0</v>
      </c>
      <c r="G106" s="626"/>
      <c r="H106" s="62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343719</v>
      </c>
      <c r="D107" s="480">
        <f t="shared" si="27"/>
        <v>10491</v>
      </c>
      <c r="E107" s="480">
        <f t="shared" si="27"/>
        <v>0</v>
      </c>
      <c r="F107" s="166">
        <f t="shared" ref="F107:I107" si="28">SUM(F101:F106)</f>
        <v>354210</v>
      </c>
      <c r="G107" s="166">
        <f t="shared" si="28"/>
        <v>0</v>
      </c>
      <c r="H107" s="166">
        <f t="shared" si="28"/>
        <v>0</v>
      </c>
      <c r="I107" s="166">
        <f t="shared" si="28"/>
        <v>354210</v>
      </c>
      <c r="J107" s="167">
        <f t="shared" si="25"/>
        <v>7.0480968288041332E-2</v>
      </c>
      <c r="K107" s="458"/>
      <c r="L107" s="163"/>
      <c r="M107" s="163"/>
      <c r="O107" s="329">
        <f>I107/I$233</f>
        <v>17.048998844820947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'[18]Sch C'!D98</f>
        <v>8750</v>
      </c>
      <c r="D110" s="480">
        <f>'[18]Sch C'!F98</f>
        <v>-8750</v>
      </c>
      <c r="E110" s="480">
        <f>+'[18]Sch C'!H98</f>
        <v>0</v>
      </c>
      <c r="F110" s="166">
        <f t="shared" ref="F110:F115" si="29">C110+D110+E110</f>
        <v>0</v>
      </c>
      <c r="G110" s="626"/>
      <c r="H110" s="62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'[18]Sch C'!D99</f>
        <v>755</v>
      </c>
      <c r="D111" s="480">
        <f>'[18]Sch C'!F99</f>
        <v>-755</v>
      </c>
      <c r="E111" s="480">
        <f>+'[18]Sch C'!H99</f>
        <v>0</v>
      </c>
      <c r="F111" s="166">
        <f t="shared" si="29"/>
        <v>0</v>
      </c>
      <c r="G111" s="626"/>
      <c r="H111" s="62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'[18]Sch C'!D100</f>
        <v>79</v>
      </c>
      <c r="D112" s="480">
        <f>'[18]Sch C'!F100</f>
        <v>0</v>
      </c>
      <c r="E112" s="480">
        <f>+'[18]Sch C'!H100</f>
        <v>0</v>
      </c>
      <c r="F112" s="166">
        <f t="shared" si="29"/>
        <v>79</v>
      </c>
      <c r="G112" s="626"/>
      <c r="H112" s="626"/>
      <c r="I112" s="166">
        <f t="shared" si="30"/>
        <v>79</v>
      </c>
      <c r="J112" s="167">
        <f t="shared" si="31"/>
        <v>1.5719478543110771E-5</v>
      </c>
      <c r="K112" s="458"/>
      <c r="L112" s="163"/>
      <c r="M112" s="163"/>
      <c r="O112" s="329">
        <f t="shared" si="32"/>
        <v>3.8024643819792067E-3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'[18]Sch C'!D101</f>
        <v>0</v>
      </c>
      <c r="D113" s="480">
        <f>'[18]Sch C'!F101</f>
        <v>0</v>
      </c>
      <c r="E113" s="480">
        <f>+'[18]Sch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'[18]Sch C'!D102</f>
        <v>2056</v>
      </c>
      <c r="D114" s="480">
        <f>'[18]Sch C'!F102</f>
        <v>0</v>
      </c>
      <c r="E114" s="480">
        <f>+'[18]Sch C'!H102</f>
        <v>0</v>
      </c>
      <c r="F114" s="166">
        <f t="shared" si="29"/>
        <v>2056</v>
      </c>
      <c r="G114" s="626"/>
      <c r="H114" s="626"/>
      <c r="I114" s="166">
        <f t="shared" si="30"/>
        <v>2056</v>
      </c>
      <c r="J114" s="167">
        <f t="shared" si="31"/>
        <v>4.0910440360298407E-4</v>
      </c>
      <c r="K114" s="458"/>
      <c r="L114" s="163"/>
      <c r="M114" s="163"/>
      <c r="O114" s="329">
        <f t="shared" si="32"/>
        <v>9.8960338852522145E-2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'[18]Sch C'!D103</f>
        <v>598</v>
      </c>
      <c r="D115" s="480">
        <f>'[18]Sch C'!F103</f>
        <v>0</v>
      </c>
      <c r="E115" s="480">
        <f>+'[18]Sch C'!H103</f>
        <v>0</v>
      </c>
      <c r="F115" s="166">
        <f t="shared" si="29"/>
        <v>598</v>
      </c>
      <c r="G115" s="626"/>
      <c r="H115" s="626"/>
      <c r="I115" s="166">
        <f t="shared" si="30"/>
        <v>598</v>
      </c>
      <c r="J115" s="167">
        <f t="shared" si="31"/>
        <v>1.1899048314911696E-4</v>
      </c>
      <c r="K115" s="458"/>
      <c r="L115" s="163"/>
      <c r="M115" s="163"/>
      <c r="O115" s="329">
        <f t="shared" si="32"/>
        <v>2.8783211397766652E-2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12238</v>
      </c>
      <c r="D116" s="480">
        <f t="shared" si="33"/>
        <v>-9505</v>
      </c>
      <c r="E116" s="480">
        <f t="shared" si="33"/>
        <v>0</v>
      </c>
      <c r="F116" s="166">
        <f t="shared" ref="F116:I116" si="34">SUM(F110:F115)</f>
        <v>2733</v>
      </c>
      <c r="G116" s="166">
        <f t="shared" si="34"/>
        <v>0</v>
      </c>
      <c r="H116" s="166">
        <f t="shared" si="34"/>
        <v>0</v>
      </c>
      <c r="I116" s="166">
        <f t="shared" si="34"/>
        <v>2733</v>
      </c>
      <c r="J116" s="167">
        <f t="shared" si="31"/>
        <v>5.4381436529521183E-4</v>
      </c>
      <c r="K116" s="458"/>
      <c r="L116" s="163"/>
      <c r="M116" s="163"/>
      <c r="O116" s="329">
        <f>I116/I$233</f>
        <v>0.131546014632268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'[18]Sch C'!D115</f>
        <v>99829</v>
      </c>
      <c r="D119" s="480">
        <f>'[18]Sch C'!F115</f>
        <v>0</v>
      </c>
      <c r="E119" s="480">
        <f>+'[18]Sch C'!H115</f>
        <v>0</v>
      </c>
      <c r="F119" s="166">
        <f t="shared" ref="F119:F123" si="35">C119+D119+E119</f>
        <v>99829</v>
      </c>
      <c r="G119" s="626"/>
      <c r="H119" s="626"/>
      <c r="I119" s="166">
        <f t="shared" ref="I119:I123" si="36">F119+G119+H119</f>
        <v>99829</v>
      </c>
      <c r="J119" s="167">
        <f t="shared" ref="J119:J124" si="37">IF($I$213=0,0,I119/$I$213)</f>
        <v>1.9864048398483606E-2</v>
      </c>
      <c r="K119" s="458"/>
      <c r="L119" s="176">
        <v>7980</v>
      </c>
      <c r="M119" s="176">
        <v>8372</v>
      </c>
      <c r="O119" s="329">
        <f t="shared" ref="O119:O124" si="38">I119/I$233</f>
        <v>4.8050154023873697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'[18]Sch C'!D116</f>
        <v>8097</v>
      </c>
      <c r="D120" s="480">
        <f>'[18]Sch C'!F116</f>
        <v>5813</v>
      </c>
      <c r="E120" s="480">
        <f>+'[18]Sch C'!H116</f>
        <v>0</v>
      </c>
      <c r="F120" s="166">
        <f t="shared" si="35"/>
        <v>13910</v>
      </c>
      <c r="G120" s="626"/>
      <c r="H120" s="626"/>
      <c r="I120" s="166">
        <f t="shared" si="36"/>
        <v>13910</v>
      </c>
      <c r="J120" s="167">
        <f t="shared" si="37"/>
        <v>2.7678221080338077E-3</v>
      </c>
      <c r="K120" s="458"/>
      <c r="L120" s="163"/>
      <c r="M120" s="163"/>
      <c r="O120" s="329">
        <f t="shared" si="38"/>
        <v>0.66952252599152873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'[18]Sch C'!D117</f>
        <v>22947</v>
      </c>
      <c r="D121" s="480">
        <f>'[18]Sch C'!F117</f>
        <v>0</v>
      </c>
      <c r="E121" s="480">
        <f>+'[18]Sch C'!H117</f>
        <v>0</v>
      </c>
      <c r="F121" s="166">
        <f t="shared" si="35"/>
        <v>22947</v>
      </c>
      <c r="G121" s="626"/>
      <c r="H121" s="626"/>
      <c r="I121" s="166">
        <f t="shared" si="36"/>
        <v>22947</v>
      </c>
      <c r="J121" s="167">
        <f t="shared" si="37"/>
        <v>4.5660110649210486E-3</v>
      </c>
      <c r="K121" s="458"/>
      <c r="L121" s="163"/>
      <c r="M121" s="163"/>
      <c r="O121" s="329">
        <f t="shared" si="38"/>
        <v>1.1044955718136311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'[18]Sch C'!D118</f>
        <v>0</v>
      </c>
      <c r="D122" s="480">
        <f>'[18]Sch C'!F118</f>
        <v>0</v>
      </c>
      <c r="E122" s="480">
        <f>+'[18]Sch C'!H118</f>
        <v>0</v>
      </c>
      <c r="F122" s="166">
        <f t="shared" si="35"/>
        <v>0</v>
      </c>
      <c r="G122" s="626"/>
      <c r="H122" s="62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'[18]Sch C'!D119</f>
        <v>0</v>
      </c>
      <c r="D123" s="480">
        <f>'[18]Sch C'!F119</f>
        <v>0</v>
      </c>
      <c r="E123" s="480">
        <f>+'[18]Sch C'!H119</f>
        <v>0</v>
      </c>
      <c r="F123" s="166">
        <f t="shared" si="35"/>
        <v>0</v>
      </c>
      <c r="G123" s="626"/>
      <c r="H123" s="62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130873</v>
      </c>
      <c r="D124" s="480">
        <f t="shared" si="39"/>
        <v>5813</v>
      </c>
      <c r="E124" s="480">
        <f t="shared" si="39"/>
        <v>0</v>
      </c>
      <c r="F124" s="166">
        <f t="shared" ref="F124:I124" si="40">SUM(F119:F123)</f>
        <v>136686</v>
      </c>
      <c r="G124" s="166">
        <f t="shared" si="40"/>
        <v>0</v>
      </c>
      <c r="H124" s="166">
        <f t="shared" si="40"/>
        <v>0</v>
      </c>
      <c r="I124" s="166">
        <f t="shared" si="40"/>
        <v>136686</v>
      </c>
      <c r="J124" s="167">
        <f t="shared" si="37"/>
        <v>2.7197881571438463E-2</v>
      </c>
      <c r="K124" s="458"/>
      <c r="L124" s="163"/>
      <c r="M124" s="163"/>
      <c r="O124" s="329">
        <f t="shared" si="38"/>
        <v>6.57903350019253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'[18]Sch C'!D124</f>
        <v>0</v>
      </c>
      <c r="D128" s="480">
        <f>'[18]Sch C'!F124</f>
        <v>0</v>
      </c>
      <c r="E128" s="480">
        <f>+'[18]Sch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'[18]Sch C'!D125</f>
        <v>156635</v>
      </c>
      <c r="D129" s="480">
        <f>'[18]Sch C'!F125</f>
        <v>72490</v>
      </c>
      <c r="E129" s="480">
        <f>+'[18]Sch C'!H125</f>
        <v>0</v>
      </c>
      <c r="F129" s="166">
        <f t="shared" si="41"/>
        <v>229125</v>
      </c>
      <c r="G129" s="626"/>
      <c r="H129" s="626"/>
      <c r="I129" s="166">
        <f t="shared" si="42"/>
        <v>229125</v>
      </c>
      <c r="J129" s="167">
        <f>IF($I$213=0,0,I129/$I$213)</f>
        <v>4.5591462293547533E-2</v>
      </c>
      <c r="K129" s="458"/>
      <c r="L129" s="176">
        <v>5431</v>
      </c>
      <c r="M129" s="176">
        <v>5920</v>
      </c>
      <c r="O129" s="329">
        <f t="shared" si="43"/>
        <v>11.028350019252985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'[18]Sch C'!D126</f>
        <v>0</v>
      </c>
      <c r="D130" s="480">
        <f>'[18]Sch C'!F126</f>
        <v>0</v>
      </c>
      <c r="E130" s="480">
        <f>+'[18]Sch C'!H126</f>
        <v>0</v>
      </c>
      <c r="F130" s="166">
        <f t="shared" si="41"/>
        <v>0</v>
      </c>
      <c r="G130" s="626"/>
      <c r="H130" s="62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'[18]Sch C'!D127</f>
        <v>0</v>
      </c>
      <c r="D131" s="480">
        <f>'[18]Sch C'!F127</f>
        <v>0</v>
      </c>
      <c r="E131" s="480">
        <f>+'[18]Sch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'[18]Sch C'!D128</f>
        <v>18448</v>
      </c>
      <c r="D132" s="480">
        <f>'[18]Sch C'!F128</f>
        <v>1408</v>
      </c>
      <c r="E132" s="480">
        <f>+'[18]Sch C'!H128</f>
        <v>0</v>
      </c>
      <c r="F132" s="166">
        <f t="shared" si="41"/>
        <v>19856</v>
      </c>
      <c r="G132" s="626"/>
      <c r="H132" s="626"/>
      <c r="I132" s="166">
        <f t="shared" si="42"/>
        <v>19856</v>
      </c>
      <c r="J132" s="167">
        <f>IF($I$213=0,0,I132/$I$213)</f>
        <v>3.9509615943292085E-3</v>
      </c>
      <c r="K132" s="458"/>
      <c r="L132" s="176">
        <v>814</v>
      </c>
      <c r="M132" s="176">
        <v>817</v>
      </c>
      <c r="O132" s="329">
        <f t="shared" si="43"/>
        <v>0.95571813631112823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'[18]Sch C'!D130</f>
        <v>0</v>
      </c>
      <c r="D134" s="480">
        <f>'[18]Sch C'!F130</f>
        <v>0</v>
      </c>
      <c r="E134" s="480">
        <f>+'[18]Sch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'[18]Sch C'!D131</f>
        <v>0</v>
      </c>
      <c r="D135" s="480">
        <f>'[18]Sch C'!F131</f>
        <v>31136</v>
      </c>
      <c r="E135" s="480">
        <f>+'[18]Sch C'!H131</f>
        <v>0</v>
      </c>
      <c r="F135" s="166">
        <f t="shared" si="44"/>
        <v>31136</v>
      </c>
      <c r="G135" s="626"/>
      <c r="H135" s="626"/>
      <c r="I135" s="166">
        <f t="shared" si="45"/>
        <v>31136</v>
      </c>
      <c r="J135" s="167">
        <f>IF($I$213=0,0,I135/$I$213)</f>
        <v>6.1954643533961634E-3</v>
      </c>
      <c r="K135" s="458"/>
      <c r="L135" s="196"/>
      <c r="M135" s="196"/>
      <c r="O135" s="329">
        <f t="shared" si="43"/>
        <v>1.4986522911051212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'[18]Sch C'!D132</f>
        <v>0</v>
      </c>
      <c r="D136" s="480">
        <f>'[18]Sch C'!F132</f>
        <v>0</v>
      </c>
      <c r="E136" s="480">
        <f>+'[18]Sch C'!H132</f>
        <v>0</v>
      </c>
      <c r="F136" s="166">
        <f t="shared" si="44"/>
        <v>0</v>
      </c>
      <c r="G136" s="626"/>
      <c r="H136" s="62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'[18]Sch C'!D133</f>
        <v>0</v>
      </c>
      <c r="D137" s="480">
        <f>'[18]Sch C'!F133</f>
        <v>0</v>
      </c>
      <c r="E137" s="480">
        <f>+'[18]Sch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'[18]Sch C'!D134</f>
        <v>0</v>
      </c>
      <c r="D138" s="480">
        <f>'[18]Sch C'!F134</f>
        <v>2812</v>
      </c>
      <c r="E138" s="480">
        <f>+'[18]Sch C'!H134</f>
        <v>0</v>
      </c>
      <c r="F138" s="166">
        <f t="shared" si="44"/>
        <v>2812</v>
      </c>
      <c r="G138" s="626"/>
      <c r="H138" s="626"/>
      <c r="I138" s="166">
        <f t="shared" si="45"/>
        <v>2812</v>
      </c>
      <c r="J138" s="167">
        <f>IF($I$213=0,0,I138/$I$213)</f>
        <v>5.5953384383832254E-4</v>
      </c>
      <c r="K138" s="458"/>
      <c r="L138" s="163"/>
      <c r="M138" s="163"/>
      <c r="O138" s="329">
        <f t="shared" si="43"/>
        <v>0.13534847901424721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'[18]Sch C'!D136</f>
        <v>429547</v>
      </c>
      <c r="D140" s="480">
        <f>'[18]Sch C'!F136</f>
        <v>-88128</v>
      </c>
      <c r="E140" s="480">
        <f>+'[18]Sch C'!H136</f>
        <v>0</v>
      </c>
      <c r="F140" s="166">
        <f t="shared" ref="F140:F143" si="46">C140+D140+E140</f>
        <v>341419</v>
      </c>
      <c r="G140" s="626"/>
      <c r="H140" s="626"/>
      <c r="I140" s="166">
        <f t="shared" ref="I140:I143" si="47">F140+G140+H140</f>
        <v>341419</v>
      </c>
      <c r="J140" s="167">
        <f>IF($I$213=0,0,I140/$I$213)</f>
        <v>6.7935805629244755E-2</v>
      </c>
      <c r="K140" s="458"/>
      <c r="L140" s="176">
        <v>12586</v>
      </c>
      <c r="M140" s="176">
        <v>13137</v>
      </c>
      <c r="O140" s="329">
        <f t="shared" si="43"/>
        <v>16.433336542164035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'[18]Sch C'!D137</f>
        <v>269401</v>
      </c>
      <c r="D141" s="480">
        <f>'[18]Sch C'!F137</f>
        <v>20563</v>
      </c>
      <c r="E141" s="480">
        <f>+'[18]Sch C'!H137</f>
        <v>0</v>
      </c>
      <c r="F141" s="166">
        <f t="shared" si="46"/>
        <v>289964</v>
      </c>
      <c r="G141" s="626"/>
      <c r="H141" s="626"/>
      <c r="I141" s="166">
        <f t="shared" si="47"/>
        <v>289964</v>
      </c>
      <c r="J141" s="167">
        <f>IF($I$213=0,0,I141/$I$213)</f>
        <v>5.769725159841229E-2</v>
      </c>
      <c r="K141" s="458"/>
      <c r="L141" s="176">
        <v>11825</v>
      </c>
      <c r="M141" s="176">
        <v>12109</v>
      </c>
      <c r="O141" s="329">
        <f t="shared" si="43"/>
        <v>13.956680785521757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'[18]Sch C'!D138</f>
        <v>642467</v>
      </c>
      <c r="D142" s="480">
        <f>'[18]Sch C'!F138</f>
        <v>0</v>
      </c>
      <c r="E142" s="480">
        <f>+'[18]Sch C'!H138</f>
        <v>0</v>
      </c>
      <c r="F142" s="166">
        <f t="shared" si="46"/>
        <v>642467</v>
      </c>
      <c r="G142" s="626"/>
      <c r="H142" s="626"/>
      <c r="I142" s="166">
        <f t="shared" si="47"/>
        <v>642467</v>
      </c>
      <c r="J142" s="167">
        <f>IF($I$213=0,0,I142/$I$213)</f>
        <v>0.12783855976147782</v>
      </c>
      <c r="K142" s="458"/>
      <c r="L142" s="176">
        <v>44702</v>
      </c>
      <c r="M142" s="176">
        <v>45857</v>
      </c>
      <c r="O142" s="329">
        <f t="shared" si="43"/>
        <v>30.923517520215633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'[18]Sch C'!D139</f>
        <v>0</v>
      </c>
      <c r="D143" s="480">
        <f>'[18]Sch C'!F139</f>
        <v>0</v>
      </c>
      <c r="E143" s="480">
        <f>+'[18]Sch C'!H139</f>
        <v>0</v>
      </c>
      <c r="F143" s="166">
        <f t="shared" si="46"/>
        <v>0</v>
      </c>
      <c r="G143" s="626"/>
      <c r="H143" s="62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'[18]Sch C'!D141</f>
        <v>70626</v>
      </c>
      <c r="D145" s="480">
        <f>'[18]Sch C'!F141</f>
        <v>-25844</v>
      </c>
      <c r="E145" s="480">
        <f>+'[18]Sch C'!H141</f>
        <v>0</v>
      </c>
      <c r="F145" s="166">
        <f t="shared" ref="F145:F148" si="48">C145+D145+E145</f>
        <v>44782</v>
      </c>
      <c r="G145" s="626"/>
      <c r="H145" s="626"/>
      <c r="I145" s="166">
        <f t="shared" ref="I145:I148" si="49">F145+G145+H145</f>
        <v>44782</v>
      </c>
      <c r="J145" s="167">
        <f>IF($I$213=0,0,I145/$I$213)</f>
        <v>8.9107555457922337E-3</v>
      </c>
      <c r="K145" s="458"/>
      <c r="L145" s="163"/>
      <c r="M145" s="163"/>
      <c r="O145" s="329">
        <f t="shared" si="43"/>
        <v>2.1554678475163649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'[18]Sch C'!D142</f>
        <v>0</v>
      </c>
      <c r="D146" s="480">
        <f>'[18]Sch C'!F142</f>
        <v>41068</v>
      </c>
      <c r="E146" s="480">
        <f>+'[18]Sch C'!H142</f>
        <v>0</v>
      </c>
      <c r="F146" s="166">
        <f t="shared" si="48"/>
        <v>41068</v>
      </c>
      <c r="G146" s="626"/>
      <c r="H146" s="626"/>
      <c r="I146" s="166">
        <f t="shared" si="49"/>
        <v>41068</v>
      </c>
      <c r="J146" s="167">
        <f>IF($I$213=0,0,I146/$I$213)</f>
        <v>8.1717410735249758E-3</v>
      </c>
      <c r="K146" s="458"/>
      <c r="L146" s="163"/>
      <c r="M146" s="163"/>
      <c r="O146" s="329">
        <f t="shared" si="43"/>
        <v>1.976703889102811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'[18]Sch C'!D143</f>
        <v>50613</v>
      </c>
      <c r="D147" s="480">
        <f>'[18]Sch C'!F143</f>
        <v>37408</v>
      </c>
      <c r="E147" s="480">
        <f>+'[18]Sch C'!H143</f>
        <v>0</v>
      </c>
      <c r="F147" s="166">
        <f t="shared" si="48"/>
        <v>88021</v>
      </c>
      <c r="G147" s="626"/>
      <c r="H147" s="626"/>
      <c r="I147" s="166">
        <f t="shared" si="49"/>
        <v>88021</v>
      </c>
      <c r="J147" s="167">
        <f>IF($I$213=0,0,I147/$I$213)</f>
        <v>1.7514483808141176E-2</v>
      </c>
      <c r="K147" s="458"/>
      <c r="L147" s="163"/>
      <c r="M147" s="163"/>
      <c r="O147" s="329">
        <f t="shared" si="43"/>
        <v>4.236667308432807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'[18]Sch C'!D144</f>
        <v>0</v>
      </c>
      <c r="D148" s="480">
        <f>'[18]Sch C'!F144</f>
        <v>0</v>
      </c>
      <c r="E148" s="480">
        <f>+'[18]Sch C'!H144</f>
        <v>0</v>
      </c>
      <c r="F148" s="166">
        <f t="shared" si="48"/>
        <v>0</v>
      </c>
      <c r="G148" s="626"/>
      <c r="H148" s="62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'[18]Sch C'!D146</f>
        <v>54000</v>
      </c>
      <c r="D150" s="480">
        <f>'[18]Sch C'!F146</f>
        <v>0</v>
      </c>
      <c r="E150" s="480">
        <f>+'[18]Sch C'!H146</f>
        <v>0</v>
      </c>
      <c r="F150" s="166">
        <f t="shared" ref="F150:F158" si="50">C150+D150+E150</f>
        <v>54000</v>
      </c>
      <c r="G150" s="626"/>
      <c r="H150" s="626"/>
      <c r="I150" s="166">
        <f t="shared" ref="I150:I158" si="51">F150+G150+H150</f>
        <v>54000</v>
      </c>
      <c r="J150" s="167">
        <f t="shared" ref="J150:J158" si="52">IF($I$213=0,0,I150/$I$213)</f>
        <v>1.0744960016809893E-2</v>
      </c>
      <c r="K150" s="458"/>
      <c r="L150" s="176">
        <v>312</v>
      </c>
      <c r="M150" s="176">
        <v>312</v>
      </c>
      <c r="O150" s="329">
        <f t="shared" si="43"/>
        <v>2.5991528686946475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'[18]Sch C'!D147</f>
        <v>4348</v>
      </c>
      <c r="D151" s="480">
        <f>'[18]Sch C'!F147</f>
        <v>0</v>
      </c>
      <c r="E151" s="480">
        <f>+'[18]Sch C'!H147</f>
        <v>0</v>
      </c>
      <c r="F151" s="166">
        <f t="shared" si="50"/>
        <v>4348</v>
      </c>
      <c r="G151" s="626"/>
      <c r="H151" s="626"/>
      <c r="I151" s="166">
        <f t="shared" si="51"/>
        <v>4348</v>
      </c>
      <c r="J151" s="167">
        <f t="shared" si="52"/>
        <v>8.6516826209424847E-4</v>
      </c>
      <c r="K151" s="458"/>
      <c r="L151" s="176">
        <v>18</v>
      </c>
      <c r="M151" s="176">
        <v>18</v>
      </c>
      <c r="O151" s="329">
        <f t="shared" si="43"/>
        <v>0.20927993839045053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'[18]Sch C'!D148</f>
        <v>0</v>
      </c>
      <c r="D152" s="480">
        <f>'[18]Sch C'!F148</f>
        <v>0</v>
      </c>
      <c r="E152" s="480">
        <f>+'[18]Sch C'!H148</f>
        <v>0</v>
      </c>
      <c r="F152" s="166">
        <f t="shared" si="50"/>
        <v>0</v>
      </c>
      <c r="G152" s="626"/>
      <c r="H152" s="62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'[18]Sch C'!D149</f>
        <v>0</v>
      </c>
      <c r="D153" s="480">
        <f>'[18]Sch C'!F149</f>
        <v>0</v>
      </c>
      <c r="E153" s="480">
        <f>+'[18]Sch C'!H149</f>
        <v>0</v>
      </c>
      <c r="F153" s="166">
        <f t="shared" si="50"/>
        <v>0</v>
      </c>
      <c r="G153" s="626"/>
      <c r="H153" s="62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'[18]Sch C'!D150</f>
        <v>6050</v>
      </c>
      <c r="D154" s="480">
        <f>'[18]Sch C'!F150</f>
        <v>0</v>
      </c>
      <c r="E154" s="480">
        <f>+'[18]Sch C'!H150</f>
        <v>0</v>
      </c>
      <c r="F154" s="166">
        <f t="shared" si="50"/>
        <v>6050</v>
      </c>
      <c r="G154" s="626"/>
      <c r="H154" s="626"/>
      <c r="I154" s="166">
        <f t="shared" si="51"/>
        <v>6050</v>
      </c>
      <c r="J154" s="167">
        <f t="shared" si="52"/>
        <v>1.203833483364812E-3</v>
      </c>
      <c r="K154" s="458"/>
      <c r="L154" s="176">
        <v>132</v>
      </c>
      <c r="M154" s="176">
        <v>132</v>
      </c>
      <c r="O154" s="329">
        <f t="shared" si="43"/>
        <v>0.2912013862148633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'[18]Sch C'!D151</f>
        <v>110223</v>
      </c>
      <c r="D155" s="480">
        <f>'[18]Sch C'!F151</f>
        <v>0</v>
      </c>
      <c r="E155" s="480">
        <f>+'[18]Sch C'!H151</f>
        <v>0</v>
      </c>
      <c r="F155" s="166">
        <f t="shared" si="50"/>
        <v>110223</v>
      </c>
      <c r="G155" s="626"/>
      <c r="H155" s="626"/>
      <c r="I155" s="166">
        <f t="shared" si="51"/>
        <v>110223</v>
      </c>
      <c r="J155" s="167">
        <f t="shared" si="52"/>
        <v>2.1932254220978459E-2</v>
      </c>
      <c r="K155" s="458"/>
      <c r="L155" s="163"/>
      <c r="M155" s="163"/>
      <c r="O155" s="329">
        <f t="shared" si="43"/>
        <v>5.3053041971505586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'[18]Sch C'!D152</f>
        <v>25204</v>
      </c>
      <c r="D156" s="480">
        <f>'[18]Sch C'!F152</f>
        <v>0</v>
      </c>
      <c r="E156" s="480">
        <f>+'[18]Sch C'!H152</f>
        <v>0</v>
      </c>
      <c r="F156" s="166">
        <f t="shared" si="50"/>
        <v>25204</v>
      </c>
      <c r="G156" s="626"/>
      <c r="H156" s="626"/>
      <c r="I156" s="166">
        <f t="shared" si="51"/>
        <v>25204</v>
      </c>
      <c r="J156" s="167">
        <f t="shared" si="52"/>
        <v>5.0151105974754915E-3</v>
      </c>
      <c r="K156" s="458"/>
      <c r="L156" s="163"/>
      <c r="M156" s="163"/>
      <c r="O156" s="329">
        <f t="shared" si="43"/>
        <v>1.2131305352329611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'[18]Sch C'!D153</f>
        <v>0</v>
      </c>
      <c r="D157" s="480">
        <f>'[18]Sch C'!F153</f>
        <v>0</v>
      </c>
      <c r="E157" s="480">
        <f>+'[18]Sch C'!H153</f>
        <v>0</v>
      </c>
      <c r="F157" s="166">
        <f t="shared" si="50"/>
        <v>0</v>
      </c>
      <c r="G157" s="626"/>
      <c r="H157" s="62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'[18]Sch C'!D154</f>
        <v>0</v>
      </c>
      <c r="D158" s="480">
        <f>'[18]Sch C'!F154</f>
        <v>0</v>
      </c>
      <c r="E158" s="480">
        <f>+'[18]Sch C'!H154</f>
        <v>0</v>
      </c>
      <c r="F158" s="166">
        <f t="shared" si="50"/>
        <v>0</v>
      </c>
      <c r="G158" s="626"/>
      <c r="H158" s="62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'[18]Sch C'!D156</f>
        <v>0</v>
      </c>
      <c r="D160" s="480">
        <f>'[18]Sch C'!F156</f>
        <v>0</v>
      </c>
      <c r="E160" s="480">
        <f>+'[18]Sch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'[18]Sch C'!D157</f>
        <v>0</v>
      </c>
      <c r="D161" s="480">
        <f>'[18]Sch C'!F157</f>
        <v>0</v>
      </c>
      <c r="E161" s="480">
        <f>+'[18]Sch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'[18]Sch C'!D158</f>
        <v>0</v>
      </c>
      <c r="D162" s="480">
        <f>'[18]Sch C'!F158</f>
        <v>0</v>
      </c>
      <c r="E162" s="480">
        <f>+'[18]Sch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'[18]Sch C'!D159</f>
        <v>0</v>
      </c>
      <c r="D163" s="480">
        <f>'[18]Sch C'!F159</f>
        <v>0</v>
      </c>
      <c r="E163" s="480">
        <f>+'[18]Sch C'!H159</f>
        <v>0</v>
      </c>
      <c r="F163" s="166">
        <f t="shared" si="53"/>
        <v>0</v>
      </c>
      <c r="G163" s="626"/>
      <c r="H163" s="62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'[18]Sch C'!D160</f>
        <v>376</v>
      </c>
      <c r="D164" s="480">
        <f>'[18]Sch C'!F160</f>
        <v>0</v>
      </c>
      <c r="E164" s="480">
        <f>+'[18]Sch C'!H160</f>
        <v>0</v>
      </c>
      <c r="F164" s="166">
        <f t="shared" si="53"/>
        <v>376</v>
      </c>
      <c r="G164" s="626"/>
      <c r="H164" s="626"/>
      <c r="I164" s="166">
        <f t="shared" si="54"/>
        <v>376</v>
      </c>
      <c r="J164" s="167">
        <f>IF($I$213=0,0,I164/$I$213)</f>
        <v>7.4816758635565185E-5</v>
      </c>
      <c r="K164" s="458"/>
      <c r="L164" s="163"/>
      <c r="M164" s="163"/>
      <c r="O164" s="329">
        <f t="shared" si="43"/>
        <v>1.8097805159799769E-2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'[18]Sch C'!D161</f>
        <v>0</v>
      </c>
      <c r="D165" s="480">
        <f>'[18]Sch C'!F161</f>
        <v>0</v>
      </c>
      <c r="E165" s="480">
        <f>+'[18]Sch C'!H161</f>
        <v>0</v>
      </c>
      <c r="F165" s="166">
        <f t="shared" si="53"/>
        <v>0</v>
      </c>
      <c r="G165" s="626"/>
      <c r="H165" s="62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1837938</v>
      </c>
      <c r="D166" s="480">
        <f t="shared" si="56"/>
        <v>92913</v>
      </c>
      <c r="E166" s="480">
        <f t="shared" si="56"/>
        <v>0</v>
      </c>
      <c r="F166" s="166">
        <f t="shared" ref="F166:I166" si="57">SUM(F128:F165)</f>
        <v>1930851</v>
      </c>
      <c r="G166" s="166">
        <f t="shared" si="57"/>
        <v>0</v>
      </c>
      <c r="H166" s="166">
        <f t="shared" si="57"/>
        <v>0</v>
      </c>
      <c r="I166" s="166">
        <f t="shared" si="57"/>
        <v>1930851</v>
      </c>
      <c r="J166" s="167">
        <f t="shared" si="55"/>
        <v>0.38420216284106296</v>
      </c>
      <c r="K166" s="458"/>
      <c r="L166" s="163"/>
      <c r="M166" s="163"/>
      <c r="O166" s="329">
        <f>I166/I$233</f>
        <v>92.936609549480167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'[18]Sch C'!D175</f>
        <v>0</v>
      </c>
      <c r="D169" s="480">
        <f>'[18]Sch C'!F175</f>
        <v>0</v>
      </c>
      <c r="E169" s="480">
        <f>+'[18]Sch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'[18]Sch C'!D176</f>
        <v>0</v>
      </c>
      <c r="D170" s="480">
        <f>'[18]Sch C'!F176</f>
        <v>0</v>
      </c>
      <c r="E170" s="480">
        <f>+'[18]Sch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469"/>
      <c r="L170" s="212"/>
      <c r="M170" s="212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'[18]Sch C'!D177</f>
        <v>0</v>
      </c>
      <c r="D171" s="480">
        <f>'[18]Sch C'!F177</f>
        <v>0</v>
      </c>
      <c r="E171" s="480">
        <f>+'[18]Sch C'!H177</f>
        <v>0</v>
      </c>
      <c r="F171" s="166">
        <f t="shared" si="58"/>
        <v>0</v>
      </c>
      <c r="G171" s="626"/>
      <c r="H171" s="62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O171" s="329">
        <f t="shared" si="61"/>
        <v>0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'[18]Sch C'!D178</f>
        <v>0</v>
      </c>
      <c r="D172" s="480">
        <f>'[18]Sch C'!F178</f>
        <v>0</v>
      </c>
      <c r="E172" s="480">
        <f>+'[18]Sch C'!H178</f>
        <v>0</v>
      </c>
      <c r="F172" s="166">
        <f t="shared" si="58"/>
        <v>0</v>
      </c>
      <c r="G172" s="626"/>
      <c r="H172" s="626"/>
      <c r="I172" s="166">
        <f t="shared" si="59"/>
        <v>0</v>
      </c>
      <c r="J172" s="167">
        <f t="shared" si="60"/>
        <v>0</v>
      </c>
      <c r="K172" s="469"/>
      <c r="L172" s="212"/>
      <c r="M172" s="212"/>
      <c r="O172" s="329">
        <f t="shared" si="61"/>
        <v>0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'[18]Sch C'!D179</f>
        <v>0</v>
      </c>
      <c r="D173" s="480">
        <f>'[18]Sch C'!F179</f>
        <v>0</v>
      </c>
      <c r="E173" s="480">
        <f>+'[18]Sch C'!H179</f>
        <v>0</v>
      </c>
      <c r="F173" s="166">
        <f t="shared" si="58"/>
        <v>0</v>
      </c>
      <c r="G173" s="626"/>
      <c r="H173" s="62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O173" s="329">
        <f t="shared" si="61"/>
        <v>0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'[18]Sch C'!D180</f>
        <v>0</v>
      </c>
      <c r="D174" s="480">
        <f>'[18]Sch C'!F180</f>
        <v>0</v>
      </c>
      <c r="E174" s="480">
        <f>+'[18]Sch C'!H180</f>
        <v>0</v>
      </c>
      <c r="F174" s="166">
        <f t="shared" si="58"/>
        <v>0</v>
      </c>
      <c r="G174" s="626"/>
      <c r="H174" s="626"/>
      <c r="I174" s="166">
        <f t="shared" si="59"/>
        <v>0</v>
      </c>
      <c r="J174" s="167">
        <f t="shared" si="60"/>
        <v>0</v>
      </c>
      <c r="K174" s="469"/>
      <c r="L174" s="212"/>
      <c r="M174" s="212"/>
      <c r="O174" s="329">
        <f t="shared" si="61"/>
        <v>0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'[18]Sch C'!D181</f>
        <v>0</v>
      </c>
      <c r="D175" s="480">
        <f>'[18]Sch C'!F181</f>
        <v>0</v>
      </c>
      <c r="E175" s="480">
        <f>+'[18]Sch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'[18]Sch C'!D182</f>
        <v>0</v>
      </c>
      <c r="D176" s="480">
        <f>'[18]Sch C'!F182</f>
        <v>0</v>
      </c>
      <c r="E176" s="480">
        <f>+'[18]Sch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469"/>
      <c r="L176" s="212"/>
      <c r="M176" s="212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'[18]Sch C'!D183</f>
        <v>0</v>
      </c>
      <c r="D177" s="480">
        <f>'[18]Sch C'!F183</f>
        <v>0</v>
      </c>
      <c r="E177" s="480">
        <f>+'[18]Sch C'!H183</f>
        <v>0</v>
      </c>
      <c r="F177" s="166">
        <f t="shared" si="58"/>
        <v>0</v>
      </c>
      <c r="G177" s="626"/>
      <c r="H177" s="62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O177" s="329">
        <f t="shared" si="61"/>
        <v>0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'[18]Sch C'!D184</f>
        <v>0</v>
      </c>
      <c r="D178" s="480">
        <f>'[18]Sch C'!F184</f>
        <v>0</v>
      </c>
      <c r="E178" s="480">
        <f>+'[18]Sch C'!H184</f>
        <v>0</v>
      </c>
      <c r="F178" s="166">
        <f t="shared" si="58"/>
        <v>0</v>
      </c>
      <c r="G178" s="626"/>
      <c r="H178" s="626"/>
      <c r="I178" s="166">
        <f t="shared" si="59"/>
        <v>0</v>
      </c>
      <c r="J178" s="167">
        <f t="shared" si="60"/>
        <v>0</v>
      </c>
      <c r="K178" s="469"/>
      <c r="L178" s="212"/>
      <c r="M178" s="212"/>
      <c r="O178" s="329">
        <f t="shared" si="61"/>
        <v>0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'[18]Sch C'!D185</f>
        <v>0</v>
      </c>
      <c r="D179" s="480">
        <f>'[18]Sch C'!F185</f>
        <v>0</v>
      </c>
      <c r="E179" s="480">
        <f>+'[18]Sch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'[18]Sch C'!D186</f>
        <v>0</v>
      </c>
      <c r="D180" s="480">
        <f>'[18]Sch C'!F186</f>
        <v>0</v>
      </c>
      <c r="E180" s="480">
        <f>+'[18]Sch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458"/>
      <c r="L180" s="213"/>
      <c r="M180" s="208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'[18]Sch C'!D187</f>
        <v>0</v>
      </c>
      <c r="D181" s="480">
        <f>'[18]Sch C'!F187</f>
        <v>0</v>
      </c>
      <c r="E181" s="480">
        <f>+'[18]Sch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458"/>
      <c r="L181" s="213"/>
      <c r="M181" s="208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'[18]Sch C'!D188</f>
        <v>0</v>
      </c>
      <c r="D182" s="480">
        <f>'[18]Sch C'!F188</f>
        <v>0</v>
      </c>
      <c r="E182" s="480">
        <f>+'[18]Sch C'!H188</f>
        <v>0</v>
      </c>
      <c r="F182" s="166">
        <f t="shared" si="58"/>
        <v>0</v>
      </c>
      <c r="G182" s="626"/>
      <c r="H182" s="626"/>
      <c r="I182" s="166">
        <f t="shared" si="59"/>
        <v>0</v>
      </c>
      <c r="J182" s="167">
        <f t="shared" si="60"/>
        <v>0</v>
      </c>
      <c r="K182" s="458"/>
      <c r="L182" s="213"/>
      <c r="M182" s="208"/>
      <c r="O182" s="329">
        <f t="shared" si="61"/>
        <v>0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'[18]Sch C'!D189</f>
        <v>0</v>
      </c>
      <c r="D183" s="480">
        <f>'[18]Sch C'!F189</f>
        <v>0</v>
      </c>
      <c r="E183" s="480">
        <f>+'[18]Sch C'!H189</f>
        <v>0</v>
      </c>
      <c r="F183" s="166">
        <f t="shared" si="58"/>
        <v>0</v>
      </c>
      <c r="G183" s="626"/>
      <c r="H183" s="626"/>
      <c r="I183" s="166">
        <f t="shared" si="59"/>
        <v>0</v>
      </c>
      <c r="J183" s="167">
        <f t="shared" si="60"/>
        <v>0</v>
      </c>
      <c r="K183" s="458"/>
      <c r="L183" s="213"/>
      <c r="M183" s="208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'[18]Sch C'!D190</f>
        <v>0</v>
      </c>
      <c r="D184" s="480">
        <f>'[18]Sch C'!F190</f>
        <v>0</v>
      </c>
      <c r="E184" s="480">
        <f>+'[18]Sch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458"/>
      <c r="L184" s="213"/>
      <c r="M184" s="208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'[18]Sch C'!D191</f>
        <v>0</v>
      </c>
      <c r="D185" s="480">
        <f>'[18]Sch C'!F191</f>
        <v>0</v>
      </c>
      <c r="E185" s="480">
        <f>+'[18]Sch C'!H191</f>
        <v>0</v>
      </c>
      <c r="F185" s="166">
        <f t="shared" si="58"/>
        <v>0</v>
      </c>
      <c r="G185" s="626"/>
      <c r="H185" s="626"/>
      <c r="I185" s="166">
        <f t="shared" si="59"/>
        <v>0</v>
      </c>
      <c r="J185" s="167">
        <f t="shared" si="60"/>
        <v>0</v>
      </c>
      <c r="K185" s="458"/>
      <c r="L185" s="213"/>
      <c r="M185" s="208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'[18]Sch C'!D192</f>
        <v>0</v>
      </c>
      <c r="D186" s="480">
        <f>'[18]Sch C'!F192</f>
        <v>0</v>
      </c>
      <c r="E186" s="480">
        <f>+'[18]Sch C'!H192</f>
        <v>0</v>
      </c>
      <c r="F186" s="166">
        <f t="shared" si="58"/>
        <v>0</v>
      </c>
      <c r="G186" s="626"/>
      <c r="H186" s="626"/>
      <c r="I186" s="166">
        <f t="shared" si="59"/>
        <v>0</v>
      </c>
      <c r="J186" s="167">
        <f t="shared" si="60"/>
        <v>0</v>
      </c>
      <c r="K186" s="458"/>
      <c r="L186" s="213"/>
      <c r="M186" s="208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'[18]Sch C'!D193</f>
        <v>0</v>
      </c>
      <c r="D187" s="480">
        <f>'[18]Sch C'!F193</f>
        <v>0</v>
      </c>
      <c r="E187" s="480">
        <f>+'[18]Sch C'!H193</f>
        <v>0</v>
      </c>
      <c r="F187" s="166">
        <f t="shared" si="58"/>
        <v>0</v>
      </c>
      <c r="G187" s="626"/>
      <c r="H187" s="626"/>
      <c r="I187" s="166">
        <f t="shared" si="59"/>
        <v>0</v>
      </c>
      <c r="J187" s="167">
        <f t="shared" si="60"/>
        <v>0</v>
      </c>
      <c r="K187" s="458"/>
      <c r="L187" s="213"/>
      <c r="M187" s="208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'[18]Sch C'!D194</f>
        <v>190710</v>
      </c>
      <c r="D188" s="480">
        <f>'[18]Sch C'!F194</f>
        <v>0</v>
      </c>
      <c r="E188" s="480">
        <f>+'[18]Sch C'!H194</f>
        <v>0</v>
      </c>
      <c r="F188" s="166">
        <f t="shared" si="58"/>
        <v>190710</v>
      </c>
      <c r="G188" s="626"/>
      <c r="H188" s="626"/>
      <c r="I188" s="166">
        <f t="shared" si="59"/>
        <v>190710</v>
      </c>
      <c r="J188" s="167">
        <f t="shared" si="60"/>
        <v>3.7947617126033603E-2</v>
      </c>
      <c r="K188" s="458"/>
      <c r="L188" s="213"/>
      <c r="M188" s="208"/>
      <c r="O188" s="329">
        <f t="shared" si="61"/>
        <v>9.1793415479399307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'[18]Sch C'!D195</f>
        <v>45996</v>
      </c>
      <c r="D189" s="480">
        <f>'[18]Sch C'!F195</f>
        <v>0</v>
      </c>
      <c r="E189" s="480">
        <f>+'[18]Sch C'!H195</f>
        <v>0</v>
      </c>
      <c r="F189" s="166">
        <f t="shared" si="58"/>
        <v>45996</v>
      </c>
      <c r="G189" s="626"/>
      <c r="H189" s="626"/>
      <c r="I189" s="166">
        <f t="shared" si="59"/>
        <v>45996</v>
      </c>
      <c r="J189" s="167">
        <f t="shared" si="60"/>
        <v>9.1523181654294041E-3</v>
      </c>
      <c r="K189" s="458"/>
      <c r="L189" s="213"/>
      <c r="M189" s="208"/>
      <c r="O189" s="329">
        <f t="shared" si="61"/>
        <v>2.213900654601463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'[18]Sch C'!D196</f>
        <v>0</v>
      </c>
      <c r="D190" s="480">
        <f>'[18]Sch C'!F196</f>
        <v>0</v>
      </c>
      <c r="E190" s="480">
        <f>+'[18]Sch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'[18]Sch C'!D197</f>
        <v>177307</v>
      </c>
      <c r="D191" s="480">
        <f>'[18]Sch C'!F197</f>
        <v>0</v>
      </c>
      <c r="E191" s="480">
        <f>+'[18]Sch C'!H197</f>
        <v>0</v>
      </c>
      <c r="F191" s="166">
        <f t="shared" si="58"/>
        <v>177307</v>
      </c>
      <c r="G191" s="626"/>
      <c r="H191" s="626"/>
      <c r="I191" s="166">
        <f t="shared" si="59"/>
        <v>177307</v>
      </c>
      <c r="J191" s="167">
        <f t="shared" si="60"/>
        <v>3.5280678253713178E-2</v>
      </c>
      <c r="K191" s="458"/>
      <c r="L191" s="213"/>
      <c r="M191" s="208"/>
      <c r="O191" s="329">
        <f t="shared" si="61"/>
        <v>8.5342221794378137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'[18]Sch C'!D198</f>
        <v>18335</v>
      </c>
      <c r="D192" s="480">
        <f>'[18]Sch C'!F198</f>
        <v>0</v>
      </c>
      <c r="E192" s="480">
        <f>+'[18]Sch C'!H198</f>
        <v>0</v>
      </c>
      <c r="F192" s="166">
        <f t="shared" si="58"/>
        <v>18335</v>
      </c>
      <c r="G192" s="626"/>
      <c r="H192" s="626"/>
      <c r="I192" s="166">
        <f t="shared" si="59"/>
        <v>18335</v>
      </c>
      <c r="J192" s="167">
        <f t="shared" si="60"/>
        <v>3.6483118871890627E-3</v>
      </c>
      <c r="K192" s="458"/>
      <c r="L192" s="213"/>
      <c r="M192" s="208"/>
      <c r="O192" s="329">
        <f t="shared" si="61"/>
        <v>0.88250866384289561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'[18]Sch C'!D199</f>
        <v>0</v>
      </c>
      <c r="D193" s="480">
        <f>'[18]Sch C'!F199</f>
        <v>0</v>
      </c>
      <c r="E193" s="480">
        <f>+'[18]Sch C'!H199</f>
        <v>0</v>
      </c>
      <c r="F193" s="166">
        <f t="shared" si="58"/>
        <v>0</v>
      </c>
      <c r="G193" s="626"/>
      <c r="H193" s="62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'[18]Sch C'!D200</f>
        <v>0</v>
      </c>
      <c r="D194" s="480">
        <f>'[18]Sch C'!F200</f>
        <v>0</v>
      </c>
      <c r="E194" s="480">
        <f>+'[18]Sch C'!H200</f>
        <v>0</v>
      </c>
      <c r="F194" s="166">
        <f t="shared" si="58"/>
        <v>0</v>
      </c>
      <c r="G194" s="626"/>
      <c r="H194" s="62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'[18]Sch C'!D201</f>
        <v>0</v>
      </c>
      <c r="D195" s="480">
        <f>'[18]Sch C'!F201</f>
        <v>0</v>
      </c>
      <c r="E195" s="480">
        <f>+'[18]Sch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'[18]Sch C'!D202</f>
        <v>0</v>
      </c>
      <c r="D196" s="480">
        <f>'[18]Sch C'!F202</f>
        <v>0</v>
      </c>
      <c r="E196" s="480">
        <f>+'[18]Sch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'[18]Sch C'!D203</f>
        <v>0</v>
      </c>
      <c r="D197" s="480">
        <f>'[18]Sch C'!F203</f>
        <v>0</v>
      </c>
      <c r="E197" s="480">
        <f>+'[18]Sch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'[18]Sch C'!D204</f>
        <v>0</v>
      </c>
      <c r="D198" s="480">
        <f>'[18]Sch C'!F204</f>
        <v>0</v>
      </c>
      <c r="E198" s="480">
        <f>+'[18]Sch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'[18]Sch C'!D205</f>
        <v>212890</v>
      </c>
      <c r="D199" s="480">
        <f>'[18]Sch C'!F205</f>
        <v>0</v>
      </c>
      <c r="E199" s="480">
        <f>+'[18]Sch C'!H205</f>
        <v>0</v>
      </c>
      <c r="F199" s="166">
        <f t="shared" si="58"/>
        <v>212890</v>
      </c>
      <c r="G199" s="626"/>
      <c r="H199" s="626"/>
      <c r="I199" s="166">
        <f t="shared" si="59"/>
        <v>212890</v>
      </c>
      <c r="J199" s="167">
        <f t="shared" si="60"/>
        <v>4.2361009962567746E-2</v>
      </c>
      <c r="K199" s="458"/>
      <c r="L199" s="213"/>
      <c r="M199" s="208"/>
      <c r="O199" s="329">
        <f t="shared" si="61"/>
        <v>10.246919522525992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'[18]Sch C'!D206</f>
        <v>0</v>
      </c>
      <c r="D200" s="480">
        <f>'[18]Sch C'!F206</f>
        <v>0</v>
      </c>
      <c r="E200" s="480">
        <f>+'[18]Sch C'!H206</f>
        <v>0</v>
      </c>
      <c r="F200" s="166">
        <f t="shared" si="58"/>
        <v>0</v>
      </c>
      <c r="G200" s="626"/>
      <c r="H200" s="62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'[18]Sch C'!D207</f>
        <v>0</v>
      </c>
      <c r="D201" s="480">
        <f>'[18]Sch C'!F207</f>
        <v>0</v>
      </c>
      <c r="E201" s="480">
        <f>+'[18]Sch C'!H207</f>
        <v>0</v>
      </c>
      <c r="F201" s="166">
        <f t="shared" si="58"/>
        <v>0</v>
      </c>
      <c r="G201" s="626"/>
      <c r="H201" s="62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645238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645238</v>
      </c>
      <c r="G202" s="166">
        <f t="shared" si="63"/>
        <v>0</v>
      </c>
      <c r="H202" s="166">
        <f t="shared" si="63"/>
        <v>0</v>
      </c>
      <c r="I202" s="166">
        <f t="shared" si="63"/>
        <v>645238</v>
      </c>
      <c r="J202" s="167">
        <f>IF($I$213=0,0,I202/$I$213)</f>
        <v>0.12838993539493299</v>
      </c>
      <c r="K202" s="458"/>
      <c r="L202" s="163"/>
      <c r="M202" s="163"/>
      <c r="O202" s="329">
        <f>I202/I$233</f>
        <v>31.056892568348093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'[18]Sch C'!D211</f>
        <v>102984</v>
      </c>
      <c r="D205" s="480">
        <f>'[18]Sch C'!F211</f>
        <v>0</v>
      </c>
      <c r="E205" s="480">
        <f>+'[18]Sch C'!H211</f>
        <v>0</v>
      </c>
      <c r="F205" s="166">
        <f t="shared" ref="F205:F210" si="64">C205+D205+E205</f>
        <v>102984</v>
      </c>
      <c r="G205" s="626"/>
      <c r="H205" s="626"/>
      <c r="I205" s="166">
        <f t="shared" ref="I205:I210" si="65">F205+G205+H205</f>
        <v>102984</v>
      </c>
      <c r="J205" s="167">
        <f t="shared" ref="J205:J211" si="66">IF($I$213=0,0,I205/$I$213)</f>
        <v>2.0491832636502779E-2</v>
      </c>
      <c r="K205" s="458"/>
      <c r="L205" s="176">
        <v>5705</v>
      </c>
      <c r="M205" s="176">
        <v>6023</v>
      </c>
      <c r="O205" s="329">
        <f t="shared" ref="O205:O210" si="67">I205/I$233</f>
        <v>4.9568733153638815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'[18]Sch C'!D212</f>
        <v>8161</v>
      </c>
      <c r="D206" s="480">
        <f>'[18]Sch C'!F212</f>
        <v>5996</v>
      </c>
      <c r="E206" s="480">
        <f>+'[18]Sch C'!H212</f>
        <v>0</v>
      </c>
      <c r="F206" s="166">
        <f t="shared" si="64"/>
        <v>14157</v>
      </c>
      <c r="G206" s="626"/>
      <c r="H206" s="626"/>
      <c r="I206" s="166">
        <f t="shared" si="65"/>
        <v>14157</v>
      </c>
      <c r="J206" s="167">
        <f t="shared" si="66"/>
        <v>2.8169703510736604E-3</v>
      </c>
      <c r="K206" s="458"/>
      <c r="L206" s="163"/>
      <c r="M206" s="163"/>
      <c r="O206" s="329">
        <f t="shared" si="67"/>
        <v>0.68141124374278017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'[18]Sch C'!D213</f>
        <v>10715</v>
      </c>
      <c r="D207" s="480">
        <f>'[18]Sch C'!F213</f>
        <v>0</v>
      </c>
      <c r="E207" s="480">
        <f>+'[18]Sch C'!H213</f>
        <v>0</v>
      </c>
      <c r="F207" s="166">
        <f t="shared" si="64"/>
        <v>10715</v>
      </c>
      <c r="G207" s="626"/>
      <c r="H207" s="626"/>
      <c r="I207" s="166">
        <f t="shared" si="65"/>
        <v>10715</v>
      </c>
      <c r="J207" s="167">
        <f t="shared" si="66"/>
        <v>2.1320786403725557E-3</v>
      </c>
      <c r="K207" s="458"/>
      <c r="L207" s="163"/>
      <c r="M207" s="163"/>
      <c r="O207" s="329">
        <f t="shared" si="67"/>
        <v>0.51573931459376199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'[18]Sch C'!D214</f>
        <v>0</v>
      </c>
      <c r="D208" s="480">
        <f>'[18]Sch C'!F214</f>
        <v>0</v>
      </c>
      <c r="E208" s="480">
        <f>+'[18]Sch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'[18]Sch C'!D215</f>
        <v>0</v>
      </c>
      <c r="D209" s="480">
        <f>'[18]Sch C'!F215</f>
        <v>0</v>
      </c>
      <c r="E209" s="480">
        <f>+'[18]Sch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'[18]Sch C'!D216</f>
        <v>5121</v>
      </c>
      <c r="D210" s="480">
        <f>'[18]Sch C'!F216</f>
        <v>0</v>
      </c>
      <c r="E210" s="480">
        <f>+'[18]Sch C'!H216</f>
        <v>0</v>
      </c>
      <c r="F210" s="166">
        <f t="shared" si="64"/>
        <v>5121</v>
      </c>
      <c r="G210" s="626"/>
      <c r="H210" s="626"/>
      <c r="I210" s="166">
        <f t="shared" si="65"/>
        <v>5121</v>
      </c>
      <c r="J210" s="167">
        <f t="shared" si="66"/>
        <v>1.0189803749274715E-3</v>
      </c>
      <c r="K210" s="458"/>
      <c r="L210" s="163"/>
      <c r="M210" s="163"/>
      <c r="O210" s="329">
        <f t="shared" si="67"/>
        <v>0.2464863303812091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126981</v>
      </c>
      <c r="D211" s="480">
        <f t="shared" si="68"/>
        <v>5996</v>
      </c>
      <c r="E211" s="480">
        <f t="shared" si="68"/>
        <v>0</v>
      </c>
      <c r="F211" s="166">
        <f t="shared" ref="F211:I211" si="69">SUM(F205:F210)</f>
        <v>132977</v>
      </c>
      <c r="G211" s="166">
        <f t="shared" si="69"/>
        <v>0</v>
      </c>
      <c r="H211" s="166">
        <f t="shared" si="69"/>
        <v>0</v>
      </c>
      <c r="I211" s="166">
        <f t="shared" si="69"/>
        <v>132977</v>
      </c>
      <c r="J211" s="167">
        <f t="shared" si="66"/>
        <v>2.6459862002876467E-2</v>
      </c>
      <c r="K211" s="458"/>
      <c r="L211" s="163"/>
      <c r="M211" s="163"/>
      <c r="O211" s="329">
        <f>I211/I$233</f>
        <v>6.4005102040816331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5796377</v>
      </c>
      <c r="D213" s="480">
        <f t="shared" si="70"/>
        <v>-184816</v>
      </c>
      <c r="E213" s="480">
        <f t="shared" si="70"/>
        <v>-575871</v>
      </c>
      <c r="F213" s="166">
        <f t="shared" ref="F213:I213" si="71">SUM(F30:F211)/2</f>
        <v>5035690</v>
      </c>
      <c r="G213" s="166">
        <f t="shared" si="71"/>
        <v>-10078</v>
      </c>
      <c r="H213" s="166">
        <f t="shared" si="71"/>
        <v>0</v>
      </c>
      <c r="I213" s="166">
        <f t="shared" si="71"/>
        <v>5025612</v>
      </c>
      <c r="J213" s="167">
        <f>IF($I$213=0,0,I213/$I$213)</f>
        <v>1</v>
      </c>
      <c r="K213" s="458"/>
      <c r="L213" s="176">
        <f>SUM(L30:L205)</f>
        <v>115425</v>
      </c>
      <c r="M213" s="176">
        <f>SUM(M30:M205)</f>
        <v>119476</v>
      </c>
      <c r="O213" s="329">
        <f>I213/I$233</f>
        <v>241.89507123604159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'[18]Sch C'!D221</f>
        <v>5796377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59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330867</v>
      </c>
      <c r="D220" s="480">
        <f t="shared" si="72"/>
        <v>1365484</v>
      </c>
      <c r="E220" s="480">
        <f t="shared" si="72"/>
        <v>575871</v>
      </c>
      <c r="F220" s="166">
        <f t="shared" ref="F220:I220" si="73">F26-F213</f>
        <v>2272222</v>
      </c>
      <c r="G220" s="166">
        <f t="shared" si="73"/>
        <v>584</v>
      </c>
      <c r="H220" s="166">
        <f t="shared" si="73"/>
        <v>0</v>
      </c>
      <c r="I220" s="166">
        <f t="shared" si="73"/>
        <v>2272806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'[18]Sch D'!C9</f>
        <v>13469</v>
      </c>
      <c r="D224" s="480"/>
      <c r="E224" s="480"/>
      <c r="F224" s="224">
        <f>C224+D224+E224</f>
        <v>13469</v>
      </c>
      <c r="G224" s="504">
        <f>-194-109+28</f>
        <v>-275</v>
      </c>
      <c r="H224" s="223"/>
      <c r="I224" s="224">
        <f>F224+G224+H224</f>
        <v>13194</v>
      </c>
      <c r="J224" s="167">
        <f t="shared" ref="J224:J233" si="74">IF($I$233=0,0,I224/$I$233)</f>
        <v>0.63505968425105896</v>
      </c>
      <c r="K224" s="162" t="s">
        <v>654</v>
      </c>
      <c r="L224" s="446"/>
      <c r="M224" s="163"/>
    </row>
    <row r="225" spans="1:13">
      <c r="A225" s="158"/>
      <c r="B225" s="165" t="s">
        <v>201</v>
      </c>
      <c r="C225" s="504">
        <f>'[18]Sch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162"/>
      <c r="L225" s="446" t="s">
        <v>655</v>
      </c>
      <c r="M225" s="163"/>
    </row>
    <row r="226" spans="1:13">
      <c r="A226" s="158"/>
      <c r="B226" s="165" t="s">
        <v>64</v>
      </c>
      <c r="C226" s="504">
        <f>'[18]Sch D'!E9</f>
        <v>1551</v>
      </c>
      <c r="D226" s="480"/>
      <c r="E226" s="480"/>
      <c r="F226" s="224">
        <f t="shared" si="75"/>
        <v>1551</v>
      </c>
      <c r="G226" s="627"/>
      <c r="H226" s="223"/>
      <c r="I226" s="224">
        <f t="shared" si="76"/>
        <v>1551</v>
      </c>
      <c r="J226" s="167">
        <f t="shared" si="74"/>
        <v>7.4653446284174044E-2</v>
      </c>
      <c r="K226" s="162"/>
      <c r="L226" s="446" t="s">
        <v>656</v>
      </c>
      <c r="M226" s="163"/>
    </row>
    <row r="227" spans="1:13">
      <c r="A227" s="158"/>
      <c r="B227" s="194" t="s">
        <v>315</v>
      </c>
      <c r="C227" s="504">
        <f>'[18]Sch D'!F9</f>
        <v>1166</v>
      </c>
      <c r="D227" s="480"/>
      <c r="E227" s="480"/>
      <c r="F227" s="224">
        <f t="shared" si="75"/>
        <v>1166</v>
      </c>
      <c r="G227" s="627"/>
      <c r="H227" s="223"/>
      <c r="I227" s="224">
        <f t="shared" si="76"/>
        <v>1166</v>
      </c>
      <c r="J227" s="167">
        <f t="shared" si="74"/>
        <v>5.6122448979591837E-2</v>
      </c>
      <c r="K227" s="458"/>
      <c r="L227" s="163"/>
      <c r="M227" s="163"/>
    </row>
    <row r="228" spans="1:13">
      <c r="A228" s="158"/>
      <c r="B228" s="165" t="s">
        <v>65</v>
      </c>
      <c r="C228" s="504">
        <f>'[18]Sch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'[18]Sch D'!H9</f>
        <v>2500</v>
      </c>
      <c r="D229" s="480"/>
      <c r="E229" s="480"/>
      <c r="F229" s="224">
        <f t="shared" si="75"/>
        <v>2500</v>
      </c>
      <c r="G229" s="627"/>
      <c r="H229" s="223"/>
      <c r="I229" s="224">
        <f t="shared" si="76"/>
        <v>2500</v>
      </c>
      <c r="J229" s="167">
        <f t="shared" si="74"/>
        <v>0.12033115132845591</v>
      </c>
      <c r="K229" s="458"/>
      <c r="L229" s="163"/>
      <c r="M229" s="163"/>
    </row>
    <row r="230" spans="1:13">
      <c r="A230" s="158"/>
      <c r="B230" s="165" t="s">
        <v>219</v>
      </c>
      <c r="C230" s="504">
        <f>'[18]Sch D'!I9</f>
        <v>2090</v>
      </c>
      <c r="D230" s="480"/>
      <c r="E230" s="480"/>
      <c r="F230" s="224">
        <f t="shared" si="75"/>
        <v>2090</v>
      </c>
      <c r="G230" s="627"/>
      <c r="H230" s="223"/>
      <c r="I230" s="224">
        <f t="shared" si="76"/>
        <v>2090</v>
      </c>
      <c r="J230" s="167">
        <f t="shared" si="74"/>
        <v>0.10059684251058915</v>
      </c>
      <c r="K230" s="458"/>
      <c r="L230" s="163"/>
      <c r="M230" s="163"/>
    </row>
    <row r="231" spans="1:13">
      <c r="A231" s="158"/>
      <c r="B231" s="165" t="s">
        <v>218</v>
      </c>
      <c r="C231" s="504">
        <f>'[18]Sch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'[18]Sch D'!K9</f>
        <v>0</v>
      </c>
      <c r="D232" s="480"/>
      <c r="E232" s="480"/>
      <c r="F232" s="224">
        <f t="shared" si="75"/>
        <v>0</v>
      </c>
      <c r="G232" s="504">
        <f>194+109-28</f>
        <v>275</v>
      </c>
      <c r="H232" s="223"/>
      <c r="I232" s="224">
        <f t="shared" si="76"/>
        <v>275</v>
      </c>
      <c r="J232" s="167">
        <f t="shared" si="74"/>
        <v>1.323642664613015E-2</v>
      </c>
      <c r="K232" s="162" t="s">
        <v>654</v>
      </c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20776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20776</v>
      </c>
      <c r="G233" s="226">
        <f t="shared" si="78"/>
        <v>0</v>
      </c>
      <c r="H233" s="226">
        <f t="shared" si="78"/>
        <v>0</v>
      </c>
      <c r="I233" s="226">
        <f t="shared" si="78"/>
        <v>20776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'[18]Sch D'!N22</f>
        <v>88</v>
      </c>
      <c r="D236" s="480"/>
      <c r="E236" s="480"/>
      <c r="F236" s="224">
        <f>C236+E236</f>
        <v>88</v>
      </c>
      <c r="G236" s="627"/>
      <c r="H236" s="224"/>
      <c r="I236" s="224">
        <f>F236+G236+H236</f>
        <v>88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'[18]Sch D'!N24</f>
        <v>88</v>
      </c>
      <c r="D237" s="480"/>
      <c r="E237" s="480"/>
      <c r="F237" s="224">
        <f>C237+E237</f>
        <v>88</v>
      </c>
      <c r="G237" s="627"/>
      <c r="H237" s="224"/>
      <c r="I237" s="224">
        <f>F237+G237+H237</f>
        <v>88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'[18]Sch D'!N28</f>
        <v>32120</v>
      </c>
      <c r="D240" s="427"/>
      <c r="E240" s="427"/>
      <c r="F240" s="223">
        <f>F236*F238</f>
        <v>32120</v>
      </c>
      <c r="G240"/>
      <c r="H240" s="228"/>
      <c r="I240" s="223">
        <f>I236*I238</f>
        <v>32120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'[18]Sch D'!N30</f>
        <v>0.64682440846824407</v>
      </c>
      <c r="D241" s="228"/>
      <c r="E241" s="228"/>
      <c r="F241" s="232">
        <f>IFERROR(F233/F240,"0")</f>
        <v>0.64682440846824407</v>
      </c>
      <c r="G241"/>
      <c r="H241" s="233"/>
      <c r="I241" s="232">
        <f>IFERROR(I233/I240,"0")</f>
        <v>0.64682440846824407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'[18]Sch D'!N32</f>
        <v>0.41933374844333748</v>
      </c>
      <c r="D242" s="228"/>
      <c r="E242" s="228"/>
      <c r="F242" s="232">
        <f>IFERROR((F224+F225)/F240,"0")</f>
        <v>0.41933374844333748</v>
      </c>
      <c r="G242"/>
      <c r="H242" s="233"/>
      <c r="I242" s="232">
        <f>IFERROR((I224+I225)/I240,"0")</f>
        <v>0.41077210460772107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'[18]Sch D'!N34</f>
        <v>0.64829611089718908</v>
      </c>
      <c r="D243" s="228"/>
      <c r="E243" s="228"/>
      <c r="F243" s="232">
        <f>IFERROR((F242/F241),"0")</f>
        <v>0.64829611089718908</v>
      </c>
      <c r="G243"/>
      <c r="H243" s="233"/>
      <c r="I243" s="232">
        <f>IFERROR((I242/I241),"0")</f>
        <v>0.63505968425105896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'[18]Sch B'!C90</f>
        <v>167.96889580093313</v>
      </c>
      <c r="K246" s="460"/>
    </row>
    <row r="247" spans="1:13">
      <c r="H247" s="140" t="s">
        <v>322</v>
      </c>
      <c r="I247" s="480">
        <f>'[18]Sch B'!E90</f>
        <v>224.28636363636363</v>
      </c>
      <c r="K247" s="460"/>
    </row>
    <row r="248" spans="1:13">
      <c r="H248" s="140" t="s">
        <v>323</v>
      </c>
      <c r="I248" s="480">
        <f>'[18]Sch B'!G90</f>
        <v>217.79303278688525</v>
      </c>
      <c r="K248" s="460"/>
    </row>
    <row r="249" spans="1:13">
      <c r="H249" s="140" t="s">
        <v>324</v>
      </c>
      <c r="I249" s="480">
        <f>'[18]Sch B'!I90</f>
        <v>263.96932515337426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E28CAB"/>
  </sheetPr>
  <dimension ref="A1:Q277"/>
  <sheetViews>
    <sheetView showGridLines="0" topLeftCell="B23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454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'[19]Sch A Pg 1'!B39</f>
        <v>42917</v>
      </c>
      <c r="D3" s="620"/>
      <c r="E3" s="142"/>
      <c r="F3" s="144"/>
      <c r="G3" s="144"/>
      <c r="H3" s="410"/>
    </row>
    <row r="4" spans="1:16">
      <c r="A4" s="143"/>
      <c r="B4" s="145" t="s">
        <v>72</v>
      </c>
      <c r="C4" s="557">
        <f>'[19]Sch A Pg 1'!G39</f>
        <v>43281</v>
      </c>
      <c r="D4" s="620"/>
      <c r="E4" s="142"/>
      <c r="F4" s="146"/>
      <c r="G4" s="146"/>
      <c r="H4" s="410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">
      <c r="A9" s="143"/>
      <c r="C9" s="148"/>
      <c r="D9" s="148"/>
      <c r="E9" s="142"/>
      <c r="H9" s="406"/>
      <c r="I9" s="142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'[19]Sch B'!E10</f>
        <v>2444853</v>
      </c>
      <c r="D12" s="480">
        <f>'[19]Sch B'!G10</f>
        <v>0</v>
      </c>
      <c r="E12" s="480"/>
      <c r="F12" s="166">
        <f>C12+D12+E12</f>
        <v>2444853</v>
      </c>
      <c r="G12" s="626"/>
      <c r="H12" s="166"/>
      <c r="I12" s="166">
        <f>F12+G12+H12</f>
        <v>2444853</v>
      </c>
      <c r="J12" s="167">
        <f>IF($I$26=0,0,I12/$I$26)</f>
        <v>0.37681575624147018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'[19]Sch B'!E12</f>
        <v>747654</v>
      </c>
      <c r="D13" s="480">
        <f>'[19]Sch B'!G12</f>
        <v>835302.06602734211</v>
      </c>
      <c r="E13" s="480"/>
      <c r="F13" s="166">
        <f t="shared" ref="F13:F25" si="0">C13+D13+E13</f>
        <v>1582956.0660273421</v>
      </c>
      <c r="G13" s="626">
        <v>73109</v>
      </c>
      <c r="H13" s="166"/>
      <c r="I13" s="166">
        <f t="shared" ref="I13:I25" si="1">F13+G13+H13</f>
        <v>1656065.0660273421</v>
      </c>
      <c r="J13" s="167">
        <f>IF($I$26=0,0,I13/$I$26)</f>
        <v>0.25524291654351949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'[19]Sch B'!E13</f>
        <v>40222</v>
      </c>
      <c r="D14" s="480">
        <f>'[19]Sch B'!G13</f>
        <v>0</v>
      </c>
      <c r="E14" s="480"/>
      <c r="F14" s="166">
        <f t="shared" si="0"/>
        <v>40222</v>
      </c>
      <c r="G14" s="626"/>
      <c r="H14" s="166"/>
      <c r="I14" s="166">
        <f t="shared" si="1"/>
        <v>40222</v>
      </c>
      <c r="J14" s="167">
        <f>IF($I$26=0,0,I14/$I$26)</f>
        <v>6.1992616110434513E-3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'[19]Sch B'!E14</f>
        <v>68056</v>
      </c>
      <c r="D15" s="480">
        <f>'[19]Sch B'!G14</f>
        <v>0</v>
      </c>
      <c r="E15" s="480"/>
      <c r="F15" s="166">
        <f t="shared" si="0"/>
        <v>68056</v>
      </c>
      <c r="G15" s="626"/>
      <c r="H15" s="166"/>
      <c r="I15" s="166">
        <f t="shared" si="1"/>
        <v>68056</v>
      </c>
      <c r="J15" s="167">
        <f>IF($I$26=0,0,I15/$I$26)</f>
        <v>1.0489208597314234E-2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'[19]Sch B'!E15</f>
        <v>3300785</v>
      </c>
      <c r="D16" s="480">
        <f>'[19]Sch B'!G15</f>
        <v>835302.06602734211</v>
      </c>
      <c r="E16" s="480"/>
      <c r="F16" s="166">
        <f t="shared" si="0"/>
        <v>4136087.0660273423</v>
      </c>
      <c r="G16" s="626"/>
      <c r="H16" s="166"/>
      <c r="I16" s="166">
        <f>SUM(I12:I15)</f>
        <v>4209196.0660273423</v>
      </c>
      <c r="J16" s="167">
        <f t="shared" ref="J16:J26" si="2">IF($I$26=0,0,I16/$I$26)</f>
        <v>0.64874714299334735</v>
      </c>
      <c r="K16" s="457"/>
      <c r="L16" s="333" t="s">
        <v>325</v>
      </c>
      <c r="M16" s="334">
        <f>I26</f>
        <v>6488192.0660273423</v>
      </c>
      <c r="O16" s="324">
        <f>IFERROR(I16/I224,0)</f>
        <v>336.11722957976065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'[19]Sch B'!E20</f>
        <v>0</v>
      </c>
      <c r="D17" s="480">
        <f>'[19]Sch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4988942.24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'[19]Sch B'!E26</f>
        <v>512852</v>
      </c>
      <c r="D18" s="480">
        <f>'[19]Sch B'!G26</f>
        <v>0</v>
      </c>
      <c r="E18" s="480"/>
      <c r="F18" s="166">
        <f t="shared" si="0"/>
        <v>512852</v>
      </c>
      <c r="G18" s="626"/>
      <c r="H18" s="166"/>
      <c r="I18" s="166">
        <f t="shared" si="1"/>
        <v>512852</v>
      </c>
      <c r="J18" s="167">
        <f t="shared" si="2"/>
        <v>7.9043899252818253E-2</v>
      </c>
      <c r="K18" s="458"/>
      <c r="L18" s="335" t="s">
        <v>327</v>
      </c>
      <c r="M18" s="336">
        <f>I233</f>
        <v>19182</v>
      </c>
      <c r="O18" s="324">
        <f t="shared" si="3"/>
        <v>594.95591647331787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'[19]Sch B'!E32</f>
        <v>806449.56437389762</v>
      </c>
      <c r="D19" s="480">
        <f>'[19]Sch B'!G32</f>
        <v>0</v>
      </c>
      <c r="E19" s="480"/>
      <c r="F19" s="166">
        <f t="shared" si="0"/>
        <v>806449.56437389762</v>
      </c>
      <c r="G19" s="626"/>
      <c r="H19" s="166"/>
      <c r="I19" s="166">
        <f t="shared" si="1"/>
        <v>806449.56437389762</v>
      </c>
      <c r="J19" s="170">
        <f t="shared" si="2"/>
        <v>0.12429495862129725</v>
      </c>
      <c r="K19" s="464"/>
      <c r="L19" s="335" t="s">
        <v>328</v>
      </c>
      <c r="M19" s="336">
        <f>I236</f>
        <v>93</v>
      </c>
      <c r="O19" s="324">
        <f t="shared" si="3"/>
        <v>443.34775391638129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'[19]Sch B'!E37</f>
        <v>0</v>
      </c>
      <c r="D20" s="480">
        <f>'[19]Sch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33945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'[19]Sch B'!E42</f>
        <v>405380</v>
      </c>
      <c r="D21" s="480">
        <f>'[19]Sch B'!G42</f>
        <v>0</v>
      </c>
      <c r="E21" s="480"/>
      <c r="F21" s="166">
        <f t="shared" si="0"/>
        <v>405380</v>
      </c>
      <c r="G21" s="626"/>
      <c r="H21" s="166"/>
      <c r="I21" s="166">
        <f t="shared" si="1"/>
        <v>405380</v>
      </c>
      <c r="J21" s="167">
        <f t="shared" si="2"/>
        <v>6.2479654713460155E-2</v>
      </c>
      <c r="K21" s="458"/>
      <c r="L21" s="337"/>
      <c r="M21" s="336"/>
      <c r="O21" s="324">
        <f t="shared" si="3"/>
        <v>228.89892715979673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'[19]Sch B'!E47</f>
        <v>342123</v>
      </c>
      <c r="D22" s="480">
        <f>'[19]Sch B'!G47</f>
        <v>0</v>
      </c>
      <c r="E22" s="480"/>
      <c r="F22" s="166">
        <f t="shared" si="0"/>
        <v>342123</v>
      </c>
      <c r="G22" s="626"/>
      <c r="H22" s="166"/>
      <c r="I22" s="166">
        <f t="shared" si="1"/>
        <v>342123</v>
      </c>
      <c r="J22" s="167">
        <f t="shared" si="2"/>
        <v>5.2730097462956059E-2</v>
      </c>
      <c r="K22" s="458"/>
      <c r="L22" s="335" t="s">
        <v>148</v>
      </c>
      <c r="M22" s="336">
        <f>L213</f>
        <v>114198</v>
      </c>
      <c r="O22" s="324">
        <f t="shared" si="3"/>
        <v>201.72346698113208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'[19]Sch B'!E52</f>
        <v>12507</v>
      </c>
      <c r="D23" s="480">
        <f>'[19]Sch B'!G52</f>
        <v>0</v>
      </c>
      <c r="E23" s="480"/>
      <c r="F23" s="166">
        <f t="shared" si="0"/>
        <v>12507</v>
      </c>
      <c r="G23" s="626"/>
      <c r="H23" s="166"/>
      <c r="I23" s="166">
        <f t="shared" si="1"/>
        <v>12507</v>
      </c>
      <c r="J23" s="167">
        <f t="shared" si="2"/>
        <v>1.927655635456229E-3</v>
      </c>
      <c r="K23" s="458"/>
      <c r="L23" s="338" t="s">
        <v>233</v>
      </c>
      <c r="M23" s="339">
        <f>M213</f>
        <v>120467</v>
      </c>
      <c r="O23" s="324">
        <f t="shared" si="3"/>
        <v>201.7258064516129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'[19]Sch B'!E57</f>
        <v>198376.43562610229</v>
      </c>
      <c r="D24" s="480">
        <f>'[19]Sch B'!G57</f>
        <v>0</v>
      </c>
      <c r="E24" s="480"/>
      <c r="F24" s="166">
        <f t="shared" si="0"/>
        <v>198376.43562610229</v>
      </c>
      <c r="G24" s="626"/>
      <c r="H24" s="166"/>
      <c r="I24" s="166">
        <f t="shared" si="1"/>
        <v>198376.43562610229</v>
      </c>
      <c r="J24" s="167">
        <f t="shared" si="2"/>
        <v>3.0574994329285673E-2</v>
      </c>
      <c r="K24" s="458"/>
      <c r="L24" s="163"/>
      <c r="M24" s="163"/>
      <c r="O24" s="324">
        <f t="shared" si="3"/>
        <v>441.81834215167549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'[19]Sch B'!E72</f>
        <v>1308</v>
      </c>
      <c r="D25" s="480">
        <f>'[19]Sch B'!G72</f>
        <v>0</v>
      </c>
      <c r="E25" s="480"/>
      <c r="F25" s="166">
        <f t="shared" si="0"/>
        <v>1308</v>
      </c>
      <c r="G25" s="626"/>
      <c r="H25" s="166"/>
      <c r="I25" s="166">
        <f t="shared" si="1"/>
        <v>1308</v>
      </c>
      <c r="J25" s="167">
        <f t="shared" si="2"/>
        <v>2.0159699137896759E-4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5579781</v>
      </c>
      <c r="D26" s="480">
        <f t="shared" ref="D26:F26" si="4">SUM(D16:D25)</f>
        <v>835302.06602734211</v>
      </c>
      <c r="E26" s="480">
        <f t="shared" si="4"/>
        <v>0</v>
      </c>
      <c r="F26" s="166">
        <f t="shared" si="4"/>
        <v>6415083.0660273423</v>
      </c>
      <c r="G26" s="166">
        <f>SUM(G12:G25)</f>
        <v>73109</v>
      </c>
      <c r="H26" s="166">
        <f>SUM(H12:H25)</f>
        <v>0</v>
      </c>
      <c r="I26" s="166">
        <f>SUM(I16:I25)</f>
        <v>6488192.0660273423</v>
      </c>
      <c r="J26" s="167">
        <f t="shared" si="2"/>
        <v>1</v>
      </c>
      <c r="K26" s="458"/>
      <c r="L26" s="163"/>
      <c r="M26" s="163"/>
      <c r="O26" s="324">
        <f>IFERROR(I26/I233,0)</f>
        <v>338.24377364338142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69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596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'[19]Sch C'!D10</f>
        <v>135312</v>
      </c>
      <c r="D30" s="480">
        <f>'[19]Sch C'!F10</f>
        <v>-46201.760000000002</v>
      </c>
      <c r="E30" s="480">
        <f>+'[19]Sch C'!H10</f>
        <v>0</v>
      </c>
      <c r="F30" s="166">
        <f t="shared" ref="F30:F65" si="5">C30+D30+E30</f>
        <v>89110.239999999991</v>
      </c>
      <c r="G30" s="626">
        <v>46202</v>
      </c>
      <c r="H30" s="166"/>
      <c r="I30" s="166">
        <f t="shared" ref="I30:I65" si="6">F30+G30+H30</f>
        <v>135312.24</v>
      </c>
      <c r="J30" s="167">
        <f>IF($I$213=0,0,I30/$I$213)</f>
        <v>2.7122430665783771E-2</v>
      </c>
      <c r="K30" s="458"/>
      <c r="L30" s="176">
        <v>2080</v>
      </c>
      <c r="M30" s="176">
        <v>2080</v>
      </c>
      <c r="O30" s="324">
        <f>I30/I$233</f>
        <v>7.0541257428839534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'[19]Sch C'!D11</f>
        <v>0</v>
      </c>
      <c r="D31" s="480">
        <f>'[19]Sch C'!F11</f>
        <v>0</v>
      </c>
      <c r="E31" s="480">
        <f>+'[19]Sch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'[19]Sch C'!D12</f>
        <v>142287</v>
      </c>
      <c r="D32" s="480">
        <f>'[19]Sch C'!F12</f>
        <v>0</v>
      </c>
      <c r="E32" s="480">
        <f>+'[19]Sch C'!H12</f>
        <v>0</v>
      </c>
      <c r="F32" s="166">
        <f t="shared" si="5"/>
        <v>142287</v>
      </c>
      <c r="G32" s="626"/>
      <c r="H32" s="166"/>
      <c r="I32" s="166">
        <f t="shared" si="6"/>
        <v>142287</v>
      </c>
      <c r="J32" s="167">
        <f t="shared" si="7"/>
        <v>2.8520474512448955E-2</v>
      </c>
      <c r="K32" s="458"/>
      <c r="L32" s="176">
        <v>5384</v>
      </c>
      <c r="M32" s="176">
        <v>5731</v>
      </c>
      <c r="O32" s="324">
        <f t="shared" si="8"/>
        <v>7.4177353769158589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'[19]Sch C'!D13</f>
        <v>176811</v>
      </c>
      <c r="D33" s="480">
        <f>'[19]Sch C'!F13</f>
        <v>-117499</v>
      </c>
      <c r="E33" s="480">
        <f>+'[19]Sch C'!H13</f>
        <v>0</v>
      </c>
      <c r="F33" s="166">
        <f t="shared" si="5"/>
        <v>59312</v>
      </c>
      <c r="G33" s="626"/>
      <c r="H33" s="166"/>
      <c r="I33" s="166">
        <f t="shared" si="6"/>
        <v>59312</v>
      </c>
      <c r="J33" s="167">
        <f t="shared" si="7"/>
        <v>1.1888692461590815E-2</v>
      </c>
      <c r="K33" s="458"/>
      <c r="L33" s="163"/>
      <c r="M33" s="163"/>
      <c r="O33" s="324">
        <f t="shared" si="8"/>
        <v>3.0920654780523407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'[19]Sch C'!D14</f>
        <v>0</v>
      </c>
      <c r="D34" s="480">
        <f>'[19]Sch C'!F14</f>
        <v>0</v>
      </c>
      <c r="E34" s="480">
        <f>+'[19]Sch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'[19]Sch C'!D15</f>
        <v>0</v>
      </c>
      <c r="D35" s="480">
        <f>'[19]Sch C'!F15</f>
        <v>0</v>
      </c>
      <c r="E35" s="480">
        <f>+'[19]Sch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'[19]Sch C'!D16</f>
        <v>278989</v>
      </c>
      <c r="D36" s="480">
        <f>'[19]Sch C'!F16</f>
        <v>0</v>
      </c>
      <c r="E36" s="480">
        <f>+'[19]Sch C'!H16</f>
        <v>-41348</v>
      </c>
      <c r="F36" s="166">
        <f t="shared" si="5"/>
        <v>237641</v>
      </c>
      <c r="G36" s="626"/>
      <c r="H36" s="480">
        <v>133975</v>
      </c>
      <c r="I36" s="166">
        <f t="shared" si="6"/>
        <v>371616</v>
      </c>
      <c r="J36" s="167">
        <f t="shared" si="7"/>
        <v>7.4487933939279272E-2</v>
      </c>
      <c r="K36" s="458"/>
      <c r="L36" s="163"/>
      <c r="M36" s="163"/>
      <c r="O36" s="324">
        <f t="shared" si="8"/>
        <v>19.373162339693462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'[19]Sch C'!D17</f>
        <v>0</v>
      </c>
      <c r="D37" s="480">
        <f>'[19]Sch C'!F17</f>
        <v>0</v>
      </c>
      <c r="E37" s="480">
        <f>+'[19]Sch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'[19]Sch C'!D18</f>
        <v>12130</v>
      </c>
      <c r="D38" s="480">
        <f>'[19]Sch C'!F18</f>
        <v>0</v>
      </c>
      <c r="E38" s="480">
        <f>+'[19]Sch C'!H18</f>
        <v>0</v>
      </c>
      <c r="F38" s="166">
        <f t="shared" si="5"/>
        <v>12130</v>
      </c>
      <c r="G38" s="626"/>
      <c r="H38" s="166"/>
      <c r="I38" s="166">
        <f t="shared" si="6"/>
        <v>12130</v>
      </c>
      <c r="J38" s="167">
        <f t="shared" si="7"/>
        <v>2.4313771169256911E-3</v>
      </c>
      <c r="K38" s="458"/>
      <c r="L38" s="163"/>
      <c r="M38" s="163"/>
      <c r="O38" s="324">
        <f t="shared" si="8"/>
        <v>0.63236367427796891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'[19]Sch C'!D19</f>
        <v>15909</v>
      </c>
      <c r="D39" s="480">
        <f>'[19]Sch C'!F19</f>
        <v>-1539</v>
      </c>
      <c r="E39" s="480">
        <f>+'[19]Sch C'!H19</f>
        <v>0</v>
      </c>
      <c r="F39" s="166">
        <f t="shared" si="5"/>
        <v>14370</v>
      </c>
      <c r="G39" s="626"/>
      <c r="H39" s="166"/>
      <c r="I39" s="166">
        <f t="shared" si="6"/>
        <v>14370</v>
      </c>
      <c r="J39" s="167">
        <f t="shared" si="7"/>
        <v>2.8803700882293636E-3</v>
      </c>
      <c r="K39" s="458"/>
      <c r="L39" s="163"/>
      <c r="M39" s="163"/>
      <c r="O39" s="324">
        <f t="shared" si="8"/>
        <v>0.74913981857991863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'[19]Sch C'!D20</f>
        <v>14544</v>
      </c>
      <c r="D40" s="480">
        <f>'[19]Sch C'!F20</f>
        <v>0</v>
      </c>
      <c r="E40" s="480">
        <f>+'[19]Sch C'!H20</f>
        <v>0</v>
      </c>
      <c r="F40" s="166">
        <f t="shared" si="5"/>
        <v>14544</v>
      </c>
      <c r="G40" s="626"/>
      <c r="H40" s="166"/>
      <c r="I40" s="166">
        <f t="shared" si="6"/>
        <v>14544</v>
      </c>
      <c r="J40" s="167">
        <f t="shared" si="7"/>
        <v>2.9152472208217027E-3</v>
      </c>
      <c r="K40" s="458"/>
      <c r="L40" s="163"/>
      <c r="M40" s="163"/>
      <c r="O40" s="324">
        <f t="shared" si="8"/>
        <v>0.75821082264623085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'[19]Sch C'!D21</f>
        <v>1307</v>
      </c>
      <c r="D41" s="480">
        <f>'[19]Sch C'!F21</f>
        <v>0</v>
      </c>
      <c r="E41" s="480">
        <f>+'[19]Sch C'!H21</f>
        <v>0</v>
      </c>
      <c r="F41" s="166">
        <f t="shared" si="5"/>
        <v>1307</v>
      </c>
      <c r="G41" s="626"/>
      <c r="H41" s="166"/>
      <c r="I41" s="166">
        <f t="shared" si="6"/>
        <v>1307</v>
      </c>
      <c r="J41" s="167">
        <f t="shared" si="7"/>
        <v>2.6197938102406253E-4</v>
      </c>
      <c r="K41" s="458"/>
      <c r="L41" s="163"/>
      <c r="M41" s="163"/>
      <c r="O41" s="324">
        <f t="shared" si="8"/>
        <v>6.8136794911896573E-2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'[19]Sch C'!D22</f>
        <v>0</v>
      </c>
      <c r="D42" s="480">
        <f>'[19]Sch C'!F22</f>
        <v>0</v>
      </c>
      <c r="E42" s="480">
        <f>+'[19]Sch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'[19]Sch C'!D23</f>
        <v>6255</v>
      </c>
      <c r="D43" s="480">
        <f>'[19]Sch C'!F23</f>
        <v>0</v>
      </c>
      <c r="E43" s="480">
        <f>+'[19]Sch C'!H23</f>
        <v>0</v>
      </c>
      <c r="F43" s="166">
        <f t="shared" si="5"/>
        <v>6255</v>
      </c>
      <c r="G43" s="626"/>
      <c r="H43" s="166"/>
      <c r="I43" s="166">
        <f t="shared" si="6"/>
        <v>6255</v>
      </c>
      <c r="J43" s="167">
        <f t="shared" si="7"/>
        <v>1.2537727837073536E-3</v>
      </c>
      <c r="K43" s="458"/>
      <c r="L43" s="163"/>
      <c r="M43" s="163"/>
      <c r="O43" s="324">
        <f t="shared" si="8"/>
        <v>0.32608695652173914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'[19]Sch C'!D24</f>
        <v>57068</v>
      </c>
      <c r="D44" s="480">
        <f>'[19]Sch C'!F24</f>
        <v>0</v>
      </c>
      <c r="E44" s="480">
        <f>+'[19]Sch C'!H24</f>
        <v>-16345</v>
      </c>
      <c r="F44" s="166">
        <f t="shared" si="5"/>
        <v>40723</v>
      </c>
      <c r="G44" s="626"/>
      <c r="H44" s="166"/>
      <c r="I44" s="166">
        <f t="shared" si="6"/>
        <v>40723</v>
      </c>
      <c r="J44" s="167">
        <f t="shared" si="7"/>
        <v>8.1626521296426155E-3</v>
      </c>
      <c r="K44" s="458"/>
      <c r="L44" s="163"/>
      <c r="M44" s="163"/>
      <c r="O44" s="324">
        <f t="shared" si="8"/>
        <v>2.1229798769679906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'[19]Sch C'!D25</f>
        <v>0</v>
      </c>
      <c r="D45" s="480">
        <f>'[19]Sch C'!F25</f>
        <v>0</v>
      </c>
      <c r="E45" s="480">
        <f>+'[19]Sch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'[19]Sch C'!D26</f>
        <v>336771</v>
      </c>
      <c r="D46" s="480">
        <f>'[19]Sch C'!F26</f>
        <v>0</v>
      </c>
      <c r="E46" s="480">
        <f>+'[19]Sch C'!H26</f>
        <v>0</v>
      </c>
      <c r="F46" s="166">
        <f t="shared" si="5"/>
        <v>336771</v>
      </c>
      <c r="G46" s="626"/>
      <c r="H46" s="166"/>
      <c r="I46" s="166">
        <f t="shared" si="6"/>
        <v>336771</v>
      </c>
      <c r="J46" s="167">
        <f t="shared" si="7"/>
        <v>6.7503487472727289E-2</v>
      </c>
      <c r="K46" s="458"/>
      <c r="L46" s="163"/>
      <c r="M46" s="163"/>
      <c r="O46" s="324">
        <f t="shared" si="8"/>
        <v>17.556615577103535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'[19]Sch C'!D27</f>
        <v>0</v>
      </c>
      <c r="D47" s="480">
        <f>'[19]Sch C'!F27</f>
        <v>0</v>
      </c>
      <c r="E47" s="480">
        <f>+'[19]Sch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'[19]Sch C'!D28</f>
        <v>0</v>
      </c>
      <c r="D48" s="480">
        <f>'[19]Sch C'!F28</f>
        <v>0</v>
      </c>
      <c r="E48" s="480">
        <f>+'[19]Sch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'[19]Sch C'!D29</f>
        <v>34074</v>
      </c>
      <c r="D49" s="480">
        <f>'[19]Sch C'!F29</f>
        <v>-34074</v>
      </c>
      <c r="E49" s="480">
        <f>+'[19]Sch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'[19]Sch C'!D30</f>
        <v>0</v>
      </c>
      <c r="D50" s="480">
        <f>'[19]Sch C'!F30</f>
        <v>0</v>
      </c>
      <c r="E50" s="480">
        <f>+'[19]Sch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'[19]Sch C'!D31</f>
        <v>55566</v>
      </c>
      <c r="D51" s="480">
        <f>'[19]Sch C'!F31</f>
        <v>0</v>
      </c>
      <c r="E51" s="480">
        <f>+'[19]Sch C'!H31</f>
        <v>-32556</v>
      </c>
      <c r="F51" s="166">
        <f t="shared" si="5"/>
        <v>23010</v>
      </c>
      <c r="G51" s="626"/>
      <c r="H51" s="166"/>
      <c r="I51" s="166">
        <f t="shared" si="6"/>
        <v>23010</v>
      </c>
      <c r="J51" s="167">
        <f t="shared" si="7"/>
        <v>4.6122001204006724E-3</v>
      </c>
      <c r="K51" s="458"/>
      <c r="L51" s="163"/>
      <c r="M51" s="163"/>
      <c r="O51" s="324">
        <f t="shared" si="8"/>
        <v>1.1995620894588677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'[19]Sch C'!D32</f>
        <v>83966</v>
      </c>
      <c r="D52" s="480">
        <f>'[19]Sch C'!F32</f>
        <v>0</v>
      </c>
      <c r="E52" s="480">
        <f>+'[19]Sch C'!H32</f>
        <v>-37785</v>
      </c>
      <c r="F52" s="166">
        <f t="shared" si="5"/>
        <v>46181</v>
      </c>
      <c r="G52" s="626"/>
      <c r="H52" s="166"/>
      <c r="I52" s="166">
        <f t="shared" si="6"/>
        <v>46181</v>
      </c>
      <c r="J52" s="167">
        <f t="shared" si="7"/>
        <v>9.2566716106137949E-3</v>
      </c>
      <c r="K52" s="458"/>
      <c r="L52" s="163"/>
      <c r="M52" s="163"/>
      <c r="O52" s="324">
        <f t="shared" si="8"/>
        <v>2.4075174642894379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'[19]Sch C'!D33</f>
        <v>0</v>
      </c>
      <c r="D53" s="480">
        <f>'[19]Sch C'!F33</f>
        <v>0</v>
      </c>
      <c r="E53" s="480">
        <f>+'[19]Sch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'[19]Sch C'!D34</f>
        <v>0</v>
      </c>
      <c r="D54" s="480">
        <f>'[19]Sch C'!F34</f>
        <v>0</v>
      </c>
      <c r="E54" s="480">
        <f>+'[19]Sch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'[19]Sch C'!D35</f>
        <v>0</v>
      </c>
      <c r="D55" s="480">
        <f>'[19]Sch C'!F35</f>
        <v>0</v>
      </c>
      <c r="E55" s="480">
        <f>+'[19]Sch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'[19]Sch C'!D36</f>
        <v>3900</v>
      </c>
      <c r="D56" s="480">
        <f>'[19]Sch C'!F36</f>
        <v>0</v>
      </c>
      <c r="E56" s="480">
        <f>+'[19]Sch C'!H36</f>
        <v>0</v>
      </c>
      <c r="F56" s="166">
        <f t="shared" si="5"/>
        <v>3900</v>
      </c>
      <c r="G56" s="626"/>
      <c r="H56" s="166"/>
      <c r="I56" s="166">
        <f t="shared" si="6"/>
        <v>3900</v>
      </c>
      <c r="J56" s="167">
        <f t="shared" si="7"/>
        <v>7.8172883396621562E-4</v>
      </c>
      <c r="K56" s="458"/>
      <c r="L56" s="176">
        <v>313</v>
      </c>
      <c r="M56" s="176">
        <v>322</v>
      </c>
      <c r="O56" s="324">
        <f t="shared" si="8"/>
        <v>0.20331560838285892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'[19]Sch C'!D37</f>
        <v>437</v>
      </c>
      <c r="D57" s="480">
        <f>'[19]Sch C'!F37</f>
        <v>235</v>
      </c>
      <c r="E57" s="480">
        <f>+'[19]Sch C'!H37</f>
        <v>0</v>
      </c>
      <c r="F57" s="166">
        <f t="shared" si="5"/>
        <v>672</v>
      </c>
      <c r="G57" s="626"/>
      <c r="H57" s="166"/>
      <c r="I57" s="166">
        <f t="shared" si="6"/>
        <v>672</v>
      </c>
      <c r="J57" s="167">
        <f t="shared" si="7"/>
        <v>1.3469789139110178E-4</v>
      </c>
      <c r="K57" s="458"/>
      <c r="L57" s="163"/>
      <c r="M57" s="163"/>
      <c r="O57" s="324">
        <f t="shared" si="8"/>
        <v>3.5032843290584925E-2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'[19]Sch C'!D38</f>
        <v>0</v>
      </c>
      <c r="D58" s="480">
        <f>'[19]Sch C'!F38</f>
        <v>0</v>
      </c>
      <c r="E58" s="480">
        <f>+'[19]Sch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'[19]Sch C'!D39</f>
        <v>16950</v>
      </c>
      <c r="D59" s="480">
        <f>'[19]Sch C'!F39</f>
        <v>0</v>
      </c>
      <c r="E59" s="480">
        <f>+'[19]Sch C'!H39</f>
        <v>0</v>
      </c>
      <c r="F59" s="166">
        <f t="shared" si="5"/>
        <v>16950</v>
      </c>
      <c r="G59" s="626"/>
      <c r="H59" s="166"/>
      <c r="I59" s="166">
        <f t="shared" si="6"/>
        <v>16950</v>
      </c>
      <c r="J59" s="167">
        <f t="shared" si="7"/>
        <v>3.3975137783916294E-3</v>
      </c>
      <c r="K59" s="458"/>
      <c r="L59" s="163"/>
      <c r="M59" s="163"/>
      <c r="O59" s="324">
        <f t="shared" si="8"/>
        <v>0.88364091335627148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'[19]Sch C'!D40</f>
        <v>17516</v>
      </c>
      <c r="D60" s="480">
        <f>'[19]Sch C'!F40</f>
        <v>0</v>
      </c>
      <c r="E60" s="480">
        <f>+'[19]Sch C'!H40</f>
        <v>0</v>
      </c>
      <c r="F60" s="166">
        <f t="shared" si="5"/>
        <v>17516</v>
      </c>
      <c r="G60" s="626"/>
      <c r="H60" s="166"/>
      <c r="I60" s="166">
        <f t="shared" si="6"/>
        <v>17516</v>
      </c>
      <c r="J60" s="167">
        <f t="shared" si="7"/>
        <v>3.510964680962111E-3</v>
      </c>
      <c r="K60" s="458"/>
      <c r="L60" s="163"/>
      <c r="M60" s="163"/>
      <c r="O60" s="324">
        <f t="shared" si="8"/>
        <v>0.91314774267542487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'[19]Sch C'!D41</f>
        <v>23319</v>
      </c>
      <c r="D61" s="480">
        <f>'[19]Sch C'!F41</f>
        <v>0</v>
      </c>
      <c r="E61" s="480">
        <f>+'[19]Sch C'!H41</f>
        <v>0</v>
      </c>
      <c r="F61" s="166">
        <f t="shared" si="5"/>
        <v>23319</v>
      </c>
      <c r="G61" s="626">
        <v>232</v>
      </c>
      <c r="H61" s="166"/>
      <c r="I61" s="166">
        <f t="shared" si="6"/>
        <v>23551</v>
      </c>
      <c r="J61" s="167">
        <f t="shared" si="7"/>
        <v>4.7206399407021399E-3</v>
      </c>
      <c r="K61" s="458"/>
      <c r="L61" s="163"/>
      <c r="M61" s="163"/>
      <c r="O61" s="324">
        <f t="shared" si="8"/>
        <v>1.2277656135960797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'[19]Sch C'!D42</f>
        <v>7891</v>
      </c>
      <c r="D62" s="480">
        <f>'[19]Sch C'!F42</f>
        <v>0</v>
      </c>
      <c r="E62" s="480">
        <f>+'[19]Sch C'!H42</f>
        <v>0</v>
      </c>
      <c r="F62" s="166">
        <f t="shared" si="5"/>
        <v>7891</v>
      </c>
      <c r="G62" s="626"/>
      <c r="H62" s="166"/>
      <c r="I62" s="166">
        <f t="shared" si="6"/>
        <v>7891</v>
      </c>
      <c r="J62" s="167">
        <f t="shared" si="7"/>
        <v>1.5816980073916429E-3</v>
      </c>
      <c r="K62" s="458"/>
      <c r="L62" s="163"/>
      <c r="M62" s="163"/>
      <c r="O62" s="324">
        <f t="shared" si="8"/>
        <v>0.41137524762798455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'[19]Sch C'!D43</f>
        <v>9988</v>
      </c>
      <c r="D63" s="480">
        <f>'[19]Sch C'!F43</f>
        <v>0</v>
      </c>
      <c r="E63" s="480">
        <f>+'[19]Sch C'!H43</f>
        <v>0</v>
      </c>
      <c r="F63" s="166">
        <f t="shared" si="5"/>
        <v>9988</v>
      </c>
      <c r="G63" s="626">
        <v>-9888</v>
      </c>
      <c r="H63" s="166"/>
      <c r="I63" s="166">
        <f t="shared" si="6"/>
        <v>100</v>
      </c>
      <c r="J63" s="167">
        <f t="shared" si="7"/>
        <v>2.0044329076056809E-5</v>
      </c>
      <c r="K63" s="458" t="s">
        <v>714</v>
      </c>
      <c r="L63" s="163"/>
      <c r="M63" s="163"/>
      <c r="O63" s="324">
        <f t="shared" si="8"/>
        <v>5.2132207277656136E-3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'[19]Sch C'!D44</f>
        <v>15</v>
      </c>
      <c r="D64" s="480">
        <f>'[19]Sch C'!F44</f>
        <v>0</v>
      </c>
      <c r="E64" s="480">
        <f>+'[19]Sch C'!H44</f>
        <v>0</v>
      </c>
      <c r="F64" s="166">
        <f t="shared" si="5"/>
        <v>15</v>
      </c>
      <c r="G64" s="626"/>
      <c r="H64" s="166"/>
      <c r="I64" s="166">
        <f t="shared" si="6"/>
        <v>15</v>
      </c>
      <c r="J64" s="167">
        <f t="shared" si="7"/>
        <v>3.0066493614085214E-6</v>
      </c>
      <c r="K64" s="458"/>
      <c r="L64" s="163"/>
      <c r="M64" s="163"/>
      <c r="O64" s="324">
        <f t="shared" si="8"/>
        <v>7.8198310916484208E-4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'[19]Sch C'!D45</f>
        <v>1631</v>
      </c>
      <c r="D65" s="480">
        <f>'[19]Sch C'!F45</f>
        <v>-1303</v>
      </c>
      <c r="E65" s="480">
        <f>+'[19]Sch C'!H45</f>
        <v>0</v>
      </c>
      <c r="F65" s="166">
        <f t="shared" si="5"/>
        <v>328</v>
      </c>
      <c r="G65" s="626">
        <v>44393</v>
      </c>
      <c r="H65" s="166"/>
      <c r="I65" s="166">
        <f t="shared" si="6"/>
        <v>44721</v>
      </c>
      <c r="J65" s="167">
        <f t="shared" si="7"/>
        <v>8.9640244061033655E-3</v>
      </c>
      <c r="K65" s="458" t="s">
        <v>495</v>
      </c>
      <c r="L65" s="163"/>
      <c r="M65" s="163"/>
      <c r="O65" s="324">
        <f t="shared" si="8"/>
        <v>2.33140444166406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1432636</v>
      </c>
      <c r="D66" s="480">
        <f t="shared" si="9"/>
        <v>-200381.76</v>
      </c>
      <c r="E66" s="480">
        <f t="shared" si="9"/>
        <v>-128034</v>
      </c>
      <c r="F66" s="166">
        <f t="shared" ref="F66:I66" si="10">SUM(F30:F65)</f>
        <v>1104220.24</v>
      </c>
      <c r="G66" s="166">
        <f t="shared" si="10"/>
        <v>80939</v>
      </c>
      <c r="H66" s="166">
        <f t="shared" si="10"/>
        <v>133975</v>
      </c>
      <c r="I66" s="166">
        <f t="shared" si="10"/>
        <v>1319134.24</v>
      </c>
      <c r="J66" s="178">
        <f t="shared" si="7"/>
        <v>0.26441160802054103</v>
      </c>
      <c r="K66" s="465"/>
      <c r="L66" s="163"/>
      <c r="M66" s="163"/>
      <c r="O66" s="329">
        <f>I66/I$233</f>
        <v>68.769379626733397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'[19]Sch C'!D57</f>
        <v>433441</v>
      </c>
      <c r="D69" s="480">
        <f>'[19]Sch C'!F57+433441</f>
        <v>0</v>
      </c>
      <c r="E69" s="480">
        <f>+'[19]Sch C'!H57</f>
        <v>0</v>
      </c>
      <c r="F69" s="166">
        <f>C69+D69+E69</f>
        <v>433441</v>
      </c>
      <c r="G69" s="626"/>
      <c r="H69" s="480">
        <v>-433441</v>
      </c>
      <c r="I69" s="166">
        <f>F69+G69+H69</f>
        <v>0</v>
      </c>
      <c r="J69" s="167">
        <f t="shared" ref="J69:J84" si="11">IF($I$213=0,0,I69/$I$213)</f>
        <v>0</v>
      </c>
      <c r="K69" s="458" t="s">
        <v>494</v>
      </c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'[19]Sch C'!D58</f>
        <v>201247</v>
      </c>
      <c r="D70" s="480">
        <f>'[19]Sch C'!F58-103140</f>
        <v>0</v>
      </c>
      <c r="E70" s="480">
        <f>+'[19]Sch C'!H58</f>
        <v>0</v>
      </c>
      <c r="F70" s="166">
        <f t="shared" ref="F70:F83" si="13">C70+D70+E70</f>
        <v>201247</v>
      </c>
      <c r="G70" s="626"/>
      <c r="H70" s="480">
        <v>103140</v>
      </c>
      <c r="I70" s="166">
        <f t="shared" ref="I70:I83" si="14">F70+G70+H70</f>
        <v>304387</v>
      </c>
      <c r="J70" s="167">
        <f t="shared" si="11"/>
        <v>6.1012331944737042E-2</v>
      </c>
      <c r="K70" s="458" t="s">
        <v>494</v>
      </c>
      <c r="L70" s="182"/>
      <c r="M70" s="163"/>
      <c r="O70" s="324">
        <f t="shared" si="12"/>
        <v>15.868366176623919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'[19]Sch C'!D59</f>
        <v>0</v>
      </c>
      <c r="D71" s="480">
        <f>'[19]Sch C'!F59</f>
        <v>0</v>
      </c>
      <c r="E71" s="480">
        <f>+'[19]Sch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'[19]Sch C'!D60</f>
        <v>25541</v>
      </c>
      <c r="D72" s="480">
        <f>'[19]Sch C'!F60</f>
        <v>0</v>
      </c>
      <c r="E72" s="480">
        <f>+'[19]Sch C'!H60</f>
        <v>0</v>
      </c>
      <c r="F72" s="166">
        <f t="shared" si="13"/>
        <v>25541</v>
      </c>
      <c r="G72" s="626"/>
      <c r="H72" s="166"/>
      <c r="I72" s="166">
        <f t="shared" si="14"/>
        <v>25541</v>
      </c>
      <c r="J72" s="167">
        <f t="shared" si="11"/>
        <v>5.1195220893156699E-3</v>
      </c>
      <c r="K72" s="458"/>
      <c r="L72" s="185"/>
      <c r="M72" s="163"/>
      <c r="O72" s="324">
        <f t="shared" si="12"/>
        <v>1.3315087060786153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'[19]Sch C'!D61</f>
        <v>10394</v>
      </c>
      <c r="D73" s="480">
        <f>'[19]Sch C'!F61</f>
        <v>0</v>
      </c>
      <c r="E73" s="480">
        <f>+'[19]Sch C'!H61</f>
        <v>0</v>
      </c>
      <c r="F73" s="166">
        <f t="shared" si="13"/>
        <v>10394</v>
      </c>
      <c r="G73" s="626"/>
      <c r="H73" s="166"/>
      <c r="I73" s="166">
        <f t="shared" si="14"/>
        <v>10394</v>
      </c>
      <c r="J73" s="167">
        <f t="shared" si="11"/>
        <v>2.0834075641653449E-3</v>
      </c>
      <c r="K73" s="458"/>
      <c r="L73" s="185"/>
      <c r="M73" s="163"/>
      <c r="O73" s="324">
        <f t="shared" si="12"/>
        <v>0.54186216244395791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'[19]Sch C'!D62</f>
        <v>9888</v>
      </c>
      <c r="D74" s="480">
        <f>'[19]Sch C'!F62</f>
        <v>0</v>
      </c>
      <c r="E74" s="480">
        <f>+'[19]Sch C'!H62</f>
        <v>0</v>
      </c>
      <c r="F74" s="166">
        <f t="shared" si="13"/>
        <v>9888</v>
      </c>
      <c r="G74" s="626"/>
      <c r="H74" s="166"/>
      <c r="I74" s="166">
        <f t="shared" si="14"/>
        <v>9888</v>
      </c>
      <c r="J74" s="167">
        <f t="shared" si="11"/>
        <v>1.9819832590404975E-3</v>
      </c>
      <c r="K74" s="458"/>
      <c r="L74" s="187"/>
      <c r="M74" s="163"/>
      <c r="O74" s="324">
        <f t="shared" si="12"/>
        <v>0.51548326556146384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'[19]Sch C'!D63</f>
        <v>0</v>
      </c>
      <c r="D75" s="480">
        <f>'[19]Sch C'!F63</f>
        <v>0</v>
      </c>
      <c r="E75" s="480">
        <f>+'[19]Sch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'[19]Sch C'!D64</f>
        <v>0</v>
      </c>
      <c r="D76" s="480">
        <f>'[19]Sch C'!F64</f>
        <v>0</v>
      </c>
      <c r="E76" s="480">
        <f>+'[19]Sch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'[19]Sch C'!D65</f>
        <v>5425</v>
      </c>
      <c r="D77" s="480">
        <f>'[19]Sch C'!F65</f>
        <v>0</v>
      </c>
      <c r="E77" s="480">
        <f>+'[19]Sch C'!H65</f>
        <v>0</v>
      </c>
      <c r="F77" s="166">
        <f t="shared" si="13"/>
        <v>5425</v>
      </c>
      <c r="G77" s="626"/>
      <c r="H77" s="166"/>
      <c r="I77" s="166">
        <f t="shared" si="14"/>
        <v>5425</v>
      </c>
      <c r="J77" s="167">
        <f t="shared" si="11"/>
        <v>1.087404852376082E-3</v>
      </c>
      <c r="K77" s="458"/>
      <c r="L77" s="187"/>
      <c r="M77" s="163"/>
      <c r="O77" s="324">
        <f t="shared" si="12"/>
        <v>0.28281722448128455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'[19]Sch C'!D66</f>
        <v>7654</v>
      </c>
      <c r="D78" s="480">
        <f>'[19]Sch C'!F66</f>
        <v>0</v>
      </c>
      <c r="E78" s="480">
        <f>+'[19]Sch C'!H66</f>
        <v>0</v>
      </c>
      <c r="F78" s="166">
        <f t="shared" si="13"/>
        <v>7654</v>
      </c>
      <c r="G78" s="626">
        <v>2080</v>
      </c>
      <c r="H78" s="166"/>
      <c r="I78" s="166">
        <f t="shared" si="14"/>
        <v>9734</v>
      </c>
      <c r="J78" s="167">
        <f t="shared" si="11"/>
        <v>1.9511149922633699E-3</v>
      </c>
      <c r="K78" s="458"/>
      <c r="L78" s="187"/>
      <c r="M78" s="163"/>
      <c r="O78" s="324">
        <f t="shared" si="12"/>
        <v>0.50745490564070483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'[19]Sch C'!D67</f>
        <v>83342</v>
      </c>
      <c r="D79" s="480">
        <f>'[19]Sch C'!F67</f>
        <v>-6298</v>
      </c>
      <c r="E79" s="480">
        <f>+'[19]Sch C'!H67</f>
        <v>0</v>
      </c>
      <c r="F79" s="166">
        <f t="shared" si="13"/>
        <v>77044</v>
      </c>
      <c r="G79" s="626"/>
      <c r="H79" s="166"/>
      <c r="I79" s="166">
        <f t="shared" si="14"/>
        <v>77044</v>
      </c>
      <c r="J79" s="167">
        <f t="shared" si="11"/>
        <v>1.5442952893357209E-2</v>
      </c>
      <c r="K79" s="458"/>
      <c r="L79" s="187"/>
      <c r="M79" s="163"/>
      <c r="O79" s="324">
        <f t="shared" si="12"/>
        <v>4.0164737774997397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'[19]Sch C'!D68</f>
        <v>0</v>
      </c>
      <c r="D80" s="480">
        <f>'[19]Sch C'!F68</f>
        <v>0</v>
      </c>
      <c r="E80" s="480">
        <f>+'[19]Sch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'[19]Sch C'!D69</f>
        <v>5342</v>
      </c>
      <c r="D81" s="480">
        <f>'[19]Sch C'!F69</f>
        <v>0</v>
      </c>
      <c r="E81" s="480">
        <f>+'[19]Sch C'!H69</f>
        <v>0</v>
      </c>
      <c r="F81" s="166">
        <f t="shared" si="13"/>
        <v>5342</v>
      </c>
      <c r="G81" s="626"/>
      <c r="H81" s="166"/>
      <c r="I81" s="166">
        <f t="shared" si="14"/>
        <v>5342</v>
      </c>
      <c r="J81" s="167">
        <f t="shared" si="11"/>
        <v>1.0707680592429549E-3</v>
      </c>
      <c r="K81" s="458"/>
      <c r="L81" s="187"/>
      <c r="M81" s="163"/>
      <c r="O81" s="324">
        <f t="shared" si="12"/>
        <v>0.27849025127723909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'[19]Sch C'!D70</f>
        <v>0</v>
      </c>
      <c r="D82" s="480">
        <f>'[19]Sch C'!F70</f>
        <v>0</v>
      </c>
      <c r="E82" s="480">
        <f>+'[19]Sch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'[19]Sch C'!D71</f>
        <v>0</v>
      </c>
      <c r="D83" s="480">
        <f>'[19]Sch C'!F71</f>
        <v>0</v>
      </c>
      <c r="E83" s="480">
        <f>+'[19]Sch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782274</v>
      </c>
      <c r="D84" s="480">
        <f t="shared" si="15"/>
        <v>-6298</v>
      </c>
      <c r="E84" s="480">
        <f t="shared" si="15"/>
        <v>0</v>
      </c>
      <c r="F84" s="166">
        <f t="shared" ref="F84:I84" si="16">SUM(F69:F83)</f>
        <v>775976</v>
      </c>
      <c r="G84" s="166">
        <f t="shared" si="16"/>
        <v>2080</v>
      </c>
      <c r="H84" s="166">
        <f t="shared" si="16"/>
        <v>-330301</v>
      </c>
      <c r="I84" s="166">
        <f t="shared" si="16"/>
        <v>447755</v>
      </c>
      <c r="J84" s="167">
        <f t="shared" si="11"/>
        <v>8.9749485654498168E-2</v>
      </c>
      <c r="K84" s="458"/>
      <c r="L84" s="187"/>
      <c r="M84" s="163"/>
      <c r="O84" s="324">
        <f t="shared" si="12"/>
        <v>23.342456469606923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'[19]Sch C'!D75</f>
        <v>48553</v>
      </c>
      <c r="D87" s="480">
        <f>'[19]Sch C'!F75</f>
        <v>0</v>
      </c>
      <c r="E87" s="480">
        <f>+'[19]Sch C'!H75</f>
        <v>0</v>
      </c>
      <c r="F87" s="166">
        <f t="shared" ref="F87:F97" si="17">C87+D87+E87</f>
        <v>48553</v>
      </c>
      <c r="G87" s="626"/>
      <c r="H87" s="166"/>
      <c r="I87" s="166">
        <f t="shared" ref="I87:I97" si="18">F87+G87+H87</f>
        <v>48553</v>
      </c>
      <c r="J87" s="167">
        <f t="shared" ref="J87:J98" si="19">IF($I$213=0,0,I87/$I$213)</f>
        <v>9.7321230962978626E-3</v>
      </c>
      <c r="K87" s="458"/>
      <c r="L87" s="176">
        <v>2568</v>
      </c>
      <c r="M87" s="176">
        <v>2743</v>
      </c>
      <c r="O87" s="324">
        <f t="shared" ref="O87:O97" si="20">I87/I$233</f>
        <v>2.5311750599520382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'[19]Sch C'!D76</f>
        <v>7704</v>
      </c>
      <c r="D88" s="480">
        <f>'[19]Sch C'!F76</f>
        <v>2924</v>
      </c>
      <c r="E88" s="480">
        <f>+'[19]Sch C'!H76</f>
        <v>0</v>
      </c>
      <c r="F88" s="166">
        <f t="shared" si="17"/>
        <v>10628</v>
      </c>
      <c r="G88" s="626"/>
      <c r="H88" s="166"/>
      <c r="I88" s="166">
        <f t="shared" si="18"/>
        <v>10628</v>
      </c>
      <c r="J88" s="167">
        <f t="shared" si="19"/>
        <v>2.1303112942033177E-3</v>
      </c>
      <c r="K88" s="458"/>
      <c r="L88" s="163"/>
      <c r="M88" s="163"/>
      <c r="O88" s="324">
        <f t="shared" si="20"/>
        <v>0.55406109894692945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'[19]Sch C'!D77</f>
        <v>11422</v>
      </c>
      <c r="D89" s="480">
        <f>'[19]Sch C'!F77</f>
        <v>0</v>
      </c>
      <c r="E89" s="480">
        <f>+'[19]Sch C'!H77</f>
        <v>0</v>
      </c>
      <c r="F89" s="166">
        <f t="shared" si="17"/>
        <v>11422</v>
      </c>
      <c r="G89" s="626"/>
      <c r="H89" s="166"/>
      <c r="I89" s="166">
        <f t="shared" si="18"/>
        <v>11422</v>
      </c>
      <c r="J89" s="167">
        <f t="shared" si="19"/>
        <v>2.2894632670672089E-3</v>
      </c>
      <c r="K89" s="458"/>
      <c r="L89" s="163"/>
      <c r="M89" s="163"/>
      <c r="O89" s="324">
        <f t="shared" si="20"/>
        <v>0.59545407152538843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'[19]Sch C'!D78</f>
        <v>0</v>
      </c>
      <c r="D90" s="480">
        <f>'[19]Sch C'!F78</f>
        <v>0</v>
      </c>
      <c r="E90" s="480">
        <f>+'[19]Sch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'[19]Sch C'!D79</f>
        <v>10003</v>
      </c>
      <c r="D91" s="480">
        <f>'[19]Sch C'!F79</f>
        <v>3086</v>
      </c>
      <c r="E91" s="480">
        <f>+'[19]Sch C'!H79</f>
        <v>0</v>
      </c>
      <c r="F91" s="166">
        <f t="shared" si="17"/>
        <v>13089</v>
      </c>
      <c r="G91" s="626">
        <v>-1634</v>
      </c>
      <c r="H91" s="166"/>
      <c r="I91" s="166">
        <f t="shared" si="18"/>
        <v>11455</v>
      </c>
      <c r="J91" s="167">
        <f t="shared" si="19"/>
        <v>2.2960778956623079E-3</v>
      </c>
      <c r="K91" s="458"/>
      <c r="L91" s="163"/>
      <c r="M91" s="163"/>
      <c r="O91" s="324">
        <f t="shared" si="20"/>
        <v>0.59717443436555107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'[19]Sch C'!D80</f>
        <v>22925</v>
      </c>
      <c r="D92" s="480">
        <f>'[19]Sch C'!F80</f>
        <v>0</v>
      </c>
      <c r="E92" s="480">
        <f>+'[19]Sch C'!H80</f>
        <v>0</v>
      </c>
      <c r="F92" s="166">
        <f t="shared" si="17"/>
        <v>22925</v>
      </c>
      <c r="G92" s="626"/>
      <c r="H92" s="166"/>
      <c r="I92" s="166">
        <f t="shared" si="18"/>
        <v>22925</v>
      </c>
      <c r="J92" s="167">
        <f t="shared" si="19"/>
        <v>4.595162440686024E-3</v>
      </c>
      <c r="K92" s="458"/>
      <c r="L92" s="163"/>
      <c r="M92" s="163"/>
      <c r="O92" s="324">
        <f t="shared" si="20"/>
        <v>1.195130851840267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'[19]Sch C'!D81</f>
        <v>9591</v>
      </c>
      <c r="D93" s="480">
        <f>'[19]Sch C'!F81</f>
        <v>0</v>
      </c>
      <c r="E93" s="480">
        <f>+'[19]Sch C'!H81</f>
        <v>0</v>
      </c>
      <c r="F93" s="166">
        <f t="shared" si="17"/>
        <v>9591</v>
      </c>
      <c r="G93" s="626"/>
      <c r="H93" s="166"/>
      <c r="I93" s="166">
        <f t="shared" si="18"/>
        <v>9591</v>
      </c>
      <c r="J93" s="167">
        <f t="shared" si="19"/>
        <v>1.9224516016846088E-3</v>
      </c>
      <c r="K93" s="458"/>
      <c r="L93" s="163"/>
      <c r="M93" s="163"/>
      <c r="O93" s="324">
        <f t="shared" si="20"/>
        <v>0.5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'[19]Sch C'!D82</f>
        <v>2880</v>
      </c>
      <c r="D94" s="480">
        <f>'[19]Sch C'!F82</f>
        <v>0</v>
      </c>
      <c r="E94" s="480">
        <f>+'[19]Sch C'!H82</f>
        <v>0</v>
      </c>
      <c r="F94" s="166">
        <f t="shared" si="17"/>
        <v>2880</v>
      </c>
      <c r="G94" s="626"/>
      <c r="H94" s="166"/>
      <c r="I94" s="166">
        <f t="shared" si="18"/>
        <v>2880</v>
      </c>
      <c r="J94" s="167">
        <f t="shared" si="19"/>
        <v>5.7727667739043611E-4</v>
      </c>
      <c r="K94" s="458"/>
      <c r="L94" s="163"/>
      <c r="M94" s="163"/>
      <c r="O94" s="324">
        <f t="shared" si="20"/>
        <v>0.15014075695964968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'[19]Sch C'!D83</f>
        <v>2128</v>
      </c>
      <c r="D95" s="480">
        <f>'[19]Sch C'!F83</f>
        <v>0</v>
      </c>
      <c r="E95" s="480">
        <f>+'[19]Sch C'!H83</f>
        <v>0</v>
      </c>
      <c r="F95" s="166">
        <f t="shared" si="17"/>
        <v>2128</v>
      </c>
      <c r="G95" s="626"/>
      <c r="H95" s="166"/>
      <c r="I95" s="166">
        <f t="shared" si="18"/>
        <v>2128</v>
      </c>
      <c r="J95" s="167">
        <f t="shared" si="19"/>
        <v>4.2654332273848891E-4</v>
      </c>
      <c r="K95" s="458"/>
      <c r="L95" s="163"/>
      <c r="M95" s="163"/>
      <c r="O95" s="324">
        <f t="shared" si="20"/>
        <v>0.11093733708685226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'[19]Sch C'!D84</f>
        <v>71984</v>
      </c>
      <c r="D96" s="480">
        <f>'[19]Sch C'!F84</f>
        <v>0</v>
      </c>
      <c r="E96" s="480">
        <f>+'[19]Sch C'!H84</f>
        <v>0</v>
      </c>
      <c r="F96" s="166">
        <f t="shared" si="17"/>
        <v>71984</v>
      </c>
      <c r="G96" s="626"/>
      <c r="H96" s="166"/>
      <c r="I96" s="166">
        <f t="shared" si="18"/>
        <v>71984</v>
      </c>
      <c r="J96" s="167">
        <f t="shared" si="19"/>
        <v>1.4428709842108735E-2</v>
      </c>
      <c r="K96" s="458"/>
      <c r="L96" s="163"/>
      <c r="M96" s="163"/>
      <c r="O96" s="324">
        <f t="shared" si="20"/>
        <v>3.7526848086747995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'[19]Sch C'!D85</f>
        <v>-465</v>
      </c>
      <c r="D97" s="480">
        <f>'[19]Sch C'!F85</f>
        <v>0</v>
      </c>
      <c r="E97" s="480">
        <f>+'[19]Sch C'!H85</f>
        <v>0</v>
      </c>
      <c r="F97" s="166">
        <f t="shared" si="17"/>
        <v>-465</v>
      </c>
      <c r="G97" s="626"/>
      <c r="H97" s="166"/>
      <c r="I97" s="166">
        <f t="shared" si="18"/>
        <v>-465</v>
      </c>
      <c r="J97" s="167">
        <f t="shared" si="19"/>
        <v>-9.3206130203664163E-5</v>
      </c>
      <c r="K97" s="458"/>
      <c r="L97" s="163"/>
      <c r="M97" s="163"/>
      <c r="O97" s="324">
        <f t="shared" si="20"/>
        <v>-2.4241476384110103E-2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186725</v>
      </c>
      <c r="D98" s="480">
        <f t="shared" si="21"/>
        <v>6010</v>
      </c>
      <c r="E98" s="480">
        <f t="shared" si="21"/>
        <v>0</v>
      </c>
      <c r="F98" s="166">
        <f t="shared" ref="F98:I98" si="22">SUM(F87:F97)</f>
        <v>192735</v>
      </c>
      <c r="G98" s="166">
        <f t="shared" si="22"/>
        <v>-1634</v>
      </c>
      <c r="H98" s="166">
        <f t="shared" si="22"/>
        <v>0</v>
      </c>
      <c r="I98" s="166">
        <f t="shared" si="22"/>
        <v>191101</v>
      </c>
      <c r="J98" s="167">
        <f t="shared" si="19"/>
        <v>3.8304913307635323E-2</v>
      </c>
      <c r="K98" s="458"/>
      <c r="L98" s="163"/>
      <c r="M98" s="163"/>
      <c r="O98" s="329">
        <f>I98/I$233</f>
        <v>9.9625169429673655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'[19]Sch C'!D89</f>
        <v>141182</v>
      </c>
      <c r="D101" s="480">
        <f>'[19]Sch C'!F89</f>
        <v>0</v>
      </c>
      <c r="E101" s="480">
        <f>+'[19]Sch C'!H89</f>
        <v>0</v>
      </c>
      <c r="F101" s="166">
        <f t="shared" ref="F101:F106" si="23">C101+D101+E101</f>
        <v>141182</v>
      </c>
      <c r="G101" s="626"/>
      <c r="H101" s="166"/>
      <c r="I101" s="166">
        <f t="shared" ref="I101:I106" si="24">F101+G101+H101</f>
        <v>141182</v>
      </c>
      <c r="J101" s="167">
        <f t="shared" ref="J101:J107" si="25">IF($I$213=0,0,I101/$I$213)</f>
        <v>2.8298984676158528E-2</v>
      </c>
      <c r="K101" s="458"/>
      <c r="L101" s="176">
        <v>9546</v>
      </c>
      <c r="M101" s="176">
        <v>10225</v>
      </c>
      <c r="O101" s="329">
        <f t="shared" ref="O101:O106" si="26">I101/I$233</f>
        <v>7.3601292878740487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'[19]Sch C'!D90</f>
        <v>21950</v>
      </c>
      <c r="D102" s="480">
        <f>'[19]Sch C'!F90</f>
        <v>8502</v>
      </c>
      <c r="E102" s="480">
        <f>+'[19]Sch C'!H90</f>
        <v>0</v>
      </c>
      <c r="F102" s="166">
        <f t="shared" si="23"/>
        <v>30452</v>
      </c>
      <c r="G102" s="626"/>
      <c r="H102" s="166"/>
      <c r="I102" s="166">
        <f t="shared" si="24"/>
        <v>30452</v>
      </c>
      <c r="J102" s="167">
        <f t="shared" si="25"/>
        <v>6.1038990902408203E-3</v>
      </c>
      <c r="K102" s="458"/>
      <c r="L102" s="163"/>
      <c r="M102" s="163"/>
      <c r="O102" s="329">
        <f t="shared" si="26"/>
        <v>1.5875299760191846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'[19]Sch C'!D91</f>
        <v>16806</v>
      </c>
      <c r="D103" s="480">
        <f>'[19]Sch C'!F91</f>
        <v>0</v>
      </c>
      <c r="E103" s="480">
        <f>+'[19]Sch C'!H91</f>
        <v>0</v>
      </c>
      <c r="F103" s="166">
        <f t="shared" si="23"/>
        <v>16806</v>
      </c>
      <c r="G103" s="626"/>
      <c r="H103" s="166"/>
      <c r="I103" s="166">
        <f t="shared" si="24"/>
        <v>16806</v>
      </c>
      <c r="J103" s="167">
        <f t="shared" si="25"/>
        <v>3.3686499445221077E-3</v>
      </c>
      <c r="K103" s="458"/>
      <c r="L103" s="163"/>
      <c r="M103" s="163"/>
      <c r="O103" s="329">
        <f t="shared" si="26"/>
        <v>0.87613387550828903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'[19]Sch C'!D92</f>
        <v>134943</v>
      </c>
      <c r="D104" s="480">
        <f>'[19]Sch C'!F92</f>
        <v>0</v>
      </c>
      <c r="E104" s="480">
        <f>+'[19]Sch C'!H92</f>
        <v>0</v>
      </c>
      <c r="F104" s="166">
        <f t="shared" si="23"/>
        <v>134943</v>
      </c>
      <c r="G104" s="626"/>
      <c r="H104" s="166"/>
      <c r="I104" s="166">
        <f t="shared" si="24"/>
        <v>134943</v>
      </c>
      <c r="J104" s="167">
        <f t="shared" si="25"/>
        <v>2.704841898510334E-2</v>
      </c>
      <c r="K104" s="458"/>
      <c r="L104" s="163"/>
      <c r="M104" s="163"/>
      <c r="O104" s="329">
        <f t="shared" si="26"/>
        <v>7.0348764466687523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'[19]Sch C'!D93</f>
        <v>14317</v>
      </c>
      <c r="D105" s="480">
        <f>'[19]Sch C'!F93</f>
        <v>0</v>
      </c>
      <c r="E105" s="480">
        <f>+'[19]Sch C'!H93</f>
        <v>0</v>
      </c>
      <c r="F105" s="166">
        <f t="shared" si="23"/>
        <v>14317</v>
      </c>
      <c r="G105" s="626"/>
      <c r="H105" s="166"/>
      <c r="I105" s="166">
        <f t="shared" si="24"/>
        <v>14317</v>
      </c>
      <c r="J105" s="167">
        <f t="shared" si="25"/>
        <v>2.8697465938190537E-3</v>
      </c>
      <c r="K105" s="458"/>
      <c r="L105" s="163"/>
      <c r="M105" s="163"/>
      <c r="O105" s="329">
        <f t="shared" si="26"/>
        <v>0.74637681159420288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'[19]Sch C'!D94</f>
        <v>108</v>
      </c>
      <c r="D106" s="480">
        <f>'[19]Sch C'!F94</f>
        <v>0</v>
      </c>
      <c r="E106" s="480">
        <f>+'[19]Sch C'!H94</f>
        <v>0</v>
      </c>
      <c r="F106" s="166">
        <f t="shared" si="23"/>
        <v>108</v>
      </c>
      <c r="G106" s="626"/>
      <c r="H106" s="166"/>
      <c r="I106" s="166">
        <f t="shared" si="24"/>
        <v>108</v>
      </c>
      <c r="J106" s="167">
        <f t="shared" si="25"/>
        <v>2.1647875402141355E-5</v>
      </c>
      <c r="K106" s="458"/>
      <c r="L106" s="163"/>
      <c r="M106" s="163"/>
      <c r="O106" s="329">
        <f t="shared" si="26"/>
        <v>5.630278385986863E-3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329306</v>
      </c>
      <c r="D107" s="480">
        <f t="shared" si="27"/>
        <v>8502</v>
      </c>
      <c r="E107" s="480">
        <f t="shared" si="27"/>
        <v>0</v>
      </c>
      <c r="F107" s="166">
        <f t="shared" ref="F107:I107" si="28">SUM(F101:F106)</f>
        <v>337808</v>
      </c>
      <c r="G107" s="166">
        <f t="shared" si="28"/>
        <v>0</v>
      </c>
      <c r="H107" s="166">
        <f t="shared" si="28"/>
        <v>0</v>
      </c>
      <c r="I107" s="166">
        <f t="shared" si="28"/>
        <v>337808</v>
      </c>
      <c r="J107" s="167">
        <f t="shared" si="25"/>
        <v>6.7711347165245989E-2</v>
      </c>
      <c r="K107" s="458"/>
      <c r="L107" s="163"/>
      <c r="M107" s="163"/>
      <c r="O107" s="329">
        <f>I107/I$233</f>
        <v>17.610676676050463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'[19]Sch C'!D98</f>
        <v>37469</v>
      </c>
      <c r="D110" s="480">
        <f>'[19]Sch C'!F98</f>
        <v>0</v>
      </c>
      <c r="E110" s="480">
        <f>+'[19]Sch C'!H98</f>
        <v>0</v>
      </c>
      <c r="F110" s="166">
        <f t="shared" ref="F110:F115" si="29">C110+D110+E110</f>
        <v>37469</v>
      </c>
      <c r="G110" s="626"/>
      <c r="H110" s="166"/>
      <c r="I110" s="166">
        <f t="shared" ref="I110:I115" si="30">F110+G110+H110</f>
        <v>37469</v>
      </c>
      <c r="J110" s="167">
        <f t="shared" ref="J110:J116" si="31">IF($I$213=0,0,I110/$I$213)</f>
        <v>7.5104096615077262E-3</v>
      </c>
      <c r="K110" s="458"/>
      <c r="L110" s="176">
        <v>3301</v>
      </c>
      <c r="M110" s="176">
        <v>3565</v>
      </c>
      <c r="O110" s="329">
        <f t="shared" ref="O110:O115" si="32">I110/I$233</f>
        <v>1.9533416744864978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'[19]Sch C'!D99</f>
        <v>6221</v>
      </c>
      <c r="D111" s="480">
        <f>'[19]Sch C'!F99</f>
        <v>2256</v>
      </c>
      <c r="E111" s="480">
        <f>+'[19]Sch C'!H99</f>
        <v>0</v>
      </c>
      <c r="F111" s="166">
        <f t="shared" si="29"/>
        <v>8477</v>
      </c>
      <c r="G111" s="626"/>
      <c r="H111" s="166"/>
      <c r="I111" s="166">
        <f t="shared" si="30"/>
        <v>8477</v>
      </c>
      <c r="J111" s="167">
        <f t="shared" si="31"/>
        <v>1.6991577757773358E-3</v>
      </c>
      <c r="K111" s="458"/>
      <c r="L111" s="163"/>
      <c r="M111" s="163"/>
      <c r="O111" s="329">
        <f t="shared" si="32"/>
        <v>0.44192472109269104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'[19]Sch C'!D100</f>
        <v>7103</v>
      </c>
      <c r="D112" s="480">
        <f>'[19]Sch C'!F100</f>
        <v>0</v>
      </c>
      <c r="E112" s="480">
        <f>+'[19]Sch C'!H100</f>
        <v>0</v>
      </c>
      <c r="F112" s="166">
        <f t="shared" si="29"/>
        <v>7103</v>
      </c>
      <c r="G112" s="626"/>
      <c r="H112" s="166"/>
      <c r="I112" s="166">
        <f t="shared" si="30"/>
        <v>7103</v>
      </c>
      <c r="J112" s="167">
        <f t="shared" si="31"/>
        <v>1.4237486942723153E-3</v>
      </c>
      <c r="K112" s="458"/>
      <c r="L112" s="163"/>
      <c r="M112" s="163"/>
      <c r="O112" s="329">
        <f t="shared" si="32"/>
        <v>0.37029506829319153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'[19]Sch C'!D101</f>
        <v>0</v>
      </c>
      <c r="D113" s="480">
        <f>'[19]Sch C'!F101</f>
        <v>0</v>
      </c>
      <c r="E113" s="480">
        <f>+'[19]Sch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'[19]Sch C'!D102</f>
        <v>1943</v>
      </c>
      <c r="D114" s="480">
        <f>'[19]Sch C'!F102</f>
        <v>0</v>
      </c>
      <c r="E114" s="480">
        <f>+'[19]Sch C'!H102</f>
        <v>0</v>
      </c>
      <c r="F114" s="166">
        <f t="shared" si="29"/>
        <v>1943</v>
      </c>
      <c r="G114" s="626"/>
      <c r="H114" s="166"/>
      <c r="I114" s="166">
        <f t="shared" si="30"/>
        <v>1943</v>
      </c>
      <c r="J114" s="167">
        <f t="shared" si="31"/>
        <v>3.8946131394778386E-4</v>
      </c>
      <c r="K114" s="458"/>
      <c r="L114" s="163"/>
      <c r="M114" s="163"/>
      <c r="O114" s="329">
        <f t="shared" si="32"/>
        <v>0.10129287874048587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'[19]Sch C'!D103</f>
        <v>0</v>
      </c>
      <c r="D115" s="480">
        <f>'[19]Sch C'!F103</f>
        <v>0</v>
      </c>
      <c r="E115" s="480">
        <f>+'[19]Sch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52736</v>
      </c>
      <c r="D116" s="480">
        <f t="shared" si="33"/>
        <v>2256</v>
      </c>
      <c r="E116" s="480">
        <f t="shared" si="33"/>
        <v>0</v>
      </c>
      <c r="F116" s="166">
        <f t="shared" ref="F116:I116" si="34">SUM(F110:F115)</f>
        <v>54992</v>
      </c>
      <c r="G116" s="166">
        <f t="shared" si="34"/>
        <v>0</v>
      </c>
      <c r="H116" s="166">
        <f t="shared" si="34"/>
        <v>0</v>
      </c>
      <c r="I116" s="166">
        <f t="shared" si="34"/>
        <v>54992</v>
      </c>
      <c r="J116" s="167">
        <f t="shared" si="31"/>
        <v>1.1022777445505162E-2</v>
      </c>
      <c r="K116" s="458"/>
      <c r="L116" s="163"/>
      <c r="M116" s="163"/>
      <c r="O116" s="329">
        <f>I116/I$233</f>
        <v>2.8668543426128661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'[19]Sch C'!D115</f>
        <v>90603</v>
      </c>
      <c r="D119" s="480">
        <f>'[19]Sch C'!F115</f>
        <v>0</v>
      </c>
      <c r="E119" s="480">
        <f>+'[19]Sch C'!H115</f>
        <v>0</v>
      </c>
      <c r="F119" s="166">
        <f t="shared" ref="F119:F123" si="35">C119+D119+E119</f>
        <v>90603</v>
      </c>
      <c r="G119" s="626"/>
      <c r="H119" s="166"/>
      <c r="I119" s="166">
        <f t="shared" ref="I119:I123" si="36">F119+G119+H119</f>
        <v>90603</v>
      </c>
      <c r="J119" s="167">
        <f t="shared" ref="J119:J124" si="37">IF($I$213=0,0,I119/$I$213)</f>
        <v>1.8160763472779753E-2</v>
      </c>
      <c r="K119" s="458"/>
      <c r="L119" s="176">
        <v>8110</v>
      </c>
      <c r="M119" s="176">
        <v>8707</v>
      </c>
      <c r="O119" s="329">
        <f t="shared" ref="O119:O124" si="38">I119/I$233</f>
        <v>4.7233343759774788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'[19]Sch C'!D116</f>
        <v>14053</v>
      </c>
      <c r="D120" s="480">
        <f>'[19]Sch C'!F116</f>
        <v>5456</v>
      </c>
      <c r="E120" s="480">
        <f>+'[19]Sch C'!H116</f>
        <v>0</v>
      </c>
      <c r="F120" s="166">
        <f t="shared" si="35"/>
        <v>19509</v>
      </c>
      <c r="G120" s="626"/>
      <c r="H120" s="166"/>
      <c r="I120" s="166">
        <f t="shared" si="36"/>
        <v>19509</v>
      </c>
      <c r="J120" s="167">
        <f t="shared" si="37"/>
        <v>3.9104481594479231E-3</v>
      </c>
      <c r="K120" s="458"/>
      <c r="L120" s="163"/>
      <c r="M120" s="163"/>
      <c r="O120" s="329">
        <f t="shared" si="38"/>
        <v>1.0170472317797936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'[19]Sch C'!D117</f>
        <v>20107</v>
      </c>
      <c r="D121" s="480">
        <f>'[19]Sch C'!F117</f>
        <v>0</v>
      </c>
      <c r="E121" s="480">
        <f>+'[19]Sch C'!H117</f>
        <v>0</v>
      </c>
      <c r="F121" s="166">
        <f t="shared" si="35"/>
        <v>20107</v>
      </c>
      <c r="G121" s="626"/>
      <c r="H121" s="166"/>
      <c r="I121" s="166">
        <f t="shared" si="36"/>
        <v>20107</v>
      </c>
      <c r="J121" s="167">
        <f t="shared" si="37"/>
        <v>4.0303132473227428E-3</v>
      </c>
      <c r="K121" s="458"/>
      <c r="L121" s="163"/>
      <c r="M121" s="163"/>
      <c r="O121" s="329">
        <f t="shared" si="38"/>
        <v>1.048222291731832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'[19]Sch C'!D118</f>
        <v>2130</v>
      </c>
      <c r="D122" s="480">
        <f>'[19]Sch C'!F118</f>
        <v>0</v>
      </c>
      <c r="E122" s="480">
        <f>+'[19]Sch C'!H118</f>
        <v>0</v>
      </c>
      <c r="F122" s="166">
        <f t="shared" si="35"/>
        <v>2130</v>
      </c>
      <c r="G122" s="626"/>
      <c r="H122" s="166"/>
      <c r="I122" s="166">
        <f t="shared" si="36"/>
        <v>2130</v>
      </c>
      <c r="J122" s="167">
        <f t="shared" si="37"/>
        <v>4.2694420932001007E-4</v>
      </c>
      <c r="K122" s="458"/>
      <c r="L122" s="163"/>
      <c r="M122" s="163"/>
      <c r="O122" s="329">
        <f t="shared" si="38"/>
        <v>0.11104160150140757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'[19]Sch C'!D119</f>
        <v>0</v>
      </c>
      <c r="D123" s="480">
        <f>'[19]Sch C'!F119</f>
        <v>0</v>
      </c>
      <c r="E123" s="480">
        <f>+'[19]Sch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126893</v>
      </c>
      <c r="D124" s="480">
        <f t="shared" si="39"/>
        <v>5456</v>
      </c>
      <c r="E124" s="480">
        <f t="shared" si="39"/>
        <v>0</v>
      </c>
      <c r="F124" s="166">
        <f t="shared" ref="F124:I124" si="40">SUM(F119:F123)</f>
        <v>132349</v>
      </c>
      <c r="G124" s="166">
        <f t="shared" si="40"/>
        <v>0</v>
      </c>
      <c r="H124" s="166">
        <f t="shared" si="40"/>
        <v>0</v>
      </c>
      <c r="I124" s="166">
        <f t="shared" si="40"/>
        <v>132349</v>
      </c>
      <c r="J124" s="167">
        <f t="shared" si="37"/>
        <v>2.6528469088870427E-2</v>
      </c>
      <c r="K124" s="458"/>
      <c r="L124" s="163"/>
      <c r="M124" s="163"/>
      <c r="O124" s="329">
        <f t="shared" si="38"/>
        <v>6.8996455009905118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'[19]Sch C'!D124</f>
        <v>0</v>
      </c>
      <c r="D128" s="480">
        <f>'[19]Sch C'!F124</f>
        <v>0</v>
      </c>
      <c r="E128" s="480">
        <f>+'[19]Sch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'[19]Sch C'!D125</f>
        <v>145449</v>
      </c>
      <c r="D129" s="480">
        <f>'[19]Sch C'!F125</f>
        <v>0</v>
      </c>
      <c r="E129" s="480">
        <f>+'[19]Sch C'!H125</f>
        <v>37206</v>
      </c>
      <c r="F129" s="166">
        <f t="shared" si="41"/>
        <v>182655</v>
      </c>
      <c r="G129" s="626"/>
      <c r="H129" s="166"/>
      <c r="I129" s="166">
        <f t="shared" si="42"/>
        <v>182655</v>
      </c>
      <c r="J129" s="167">
        <f>IF($I$213=0,0,I129/$I$213)</f>
        <v>3.6611969273871565E-2</v>
      </c>
      <c r="K129" s="458"/>
      <c r="L129" s="176">
        <v>4034</v>
      </c>
      <c r="M129" s="176">
        <v>4414</v>
      </c>
      <c r="O129" s="329">
        <f t="shared" si="43"/>
        <v>9.5222083203002814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'[19]Sch C'!D126</f>
        <v>71664</v>
      </c>
      <c r="D130" s="480">
        <f>'[19]Sch C'!F126</f>
        <v>0</v>
      </c>
      <c r="E130" s="480">
        <f>+'[19]Sch C'!H126</f>
        <v>0</v>
      </c>
      <c r="F130" s="166">
        <f t="shared" si="41"/>
        <v>71664</v>
      </c>
      <c r="G130" s="626"/>
      <c r="H130" s="166"/>
      <c r="I130" s="166">
        <f t="shared" si="42"/>
        <v>71664</v>
      </c>
      <c r="J130" s="167">
        <f>IF($I$213=0,0,I130/$I$213)</f>
        <v>1.4364567989065352E-2</v>
      </c>
      <c r="K130" s="458"/>
      <c r="L130" s="176">
        <v>1936</v>
      </c>
      <c r="M130" s="176">
        <v>2068</v>
      </c>
      <c r="O130" s="329">
        <f t="shared" si="43"/>
        <v>3.7360025023459493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'[19]Sch C'!D127</f>
        <v>0</v>
      </c>
      <c r="D131" s="480">
        <f>'[19]Sch C'!F127</f>
        <v>0</v>
      </c>
      <c r="E131" s="480">
        <f>+'[19]Sch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'[19]Sch C'!D128</f>
        <v>13138</v>
      </c>
      <c r="D132" s="480">
        <f>'[19]Sch C'!F128</f>
        <v>0</v>
      </c>
      <c r="E132" s="480">
        <f>+'[19]Sch C'!H128</f>
        <v>0</v>
      </c>
      <c r="F132" s="166">
        <f t="shared" si="41"/>
        <v>13138</v>
      </c>
      <c r="G132" s="626"/>
      <c r="H132" s="166"/>
      <c r="I132" s="166">
        <f t="shared" si="42"/>
        <v>13138</v>
      </c>
      <c r="J132" s="167">
        <f>IF($I$213=0,0,I132/$I$213)</f>
        <v>2.6334239540123437E-3</v>
      </c>
      <c r="K132" s="458"/>
      <c r="L132" s="176">
        <v>924</v>
      </c>
      <c r="M132" s="176">
        <v>1142</v>
      </c>
      <c r="O132" s="329">
        <f t="shared" si="43"/>
        <v>0.68491293921384633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551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'[19]Sch C'!D130</f>
        <v>0</v>
      </c>
      <c r="D134" s="480">
        <f>'[19]Sch C'!F130</f>
        <v>0</v>
      </c>
      <c r="E134" s="480">
        <f>+'[19]Sch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'[19]Sch C'!D131</f>
        <v>0</v>
      </c>
      <c r="D135" s="480">
        <f>'[19]Sch C'!F131</f>
        <v>8759</v>
      </c>
      <c r="E135" s="480">
        <f>+'[19]Sch C'!H131</f>
        <v>4142</v>
      </c>
      <c r="F135" s="166">
        <f t="shared" si="44"/>
        <v>12901</v>
      </c>
      <c r="G135" s="626">
        <v>27014</v>
      </c>
      <c r="H135" s="166"/>
      <c r="I135" s="166">
        <f t="shared" si="45"/>
        <v>39915</v>
      </c>
      <c r="J135" s="167">
        <f>IF($I$213=0,0,I135/$I$213)</f>
        <v>8.0006939507080762E-3</v>
      </c>
      <c r="K135" s="458"/>
      <c r="L135" s="196"/>
      <c r="M135" s="196"/>
      <c r="O135" s="329">
        <f t="shared" si="43"/>
        <v>2.0808570534876445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'[19]Sch C'!D132</f>
        <v>0</v>
      </c>
      <c r="D136" s="480">
        <f>'[19]Sch C'!F132</f>
        <v>4316</v>
      </c>
      <c r="E136" s="480">
        <f>+'[19]Sch C'!H132</f>
        <v>0</v>
      </c>
      <c r="F136" s="166">
        <f t="shared" si="44"/>
        <v>4316</v>
      </c>
      <c r="G136" s="626">
        <v>10634</v>
      </c>
      <c r="H136" s="166"/>
      <c r="I136" s="166">
        <f t="shared" si="45"/>
        <v>14950</v>
      </c>
      <c r="J136" s="167">
        <f>IF($I$213=0,0,I136/$I$213)</f>
        <v>2.9966271968704934E-3</v>
      </c>
      <c r="K136" s="458"/>
      <c r="L136" s="163"/>
      <c r="M136" s="163"/>
      <c r="O136" s="329">
        <f t="shared" si="43"/>
        <v>0.77937649880095927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'[19]Sch C'!D133</f>
        <v>0</v>
      </c>
      <c r="D137" s="480">
        <f>'[19]Sch C'!F133</f>
        <v>0</v>
      </c>
      <c r="E137" s="480">
        <f>+'[19]Sch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'[19]Sch C'!D134</f>
        <v>0</v>
      </c>
      <c r="D138" s="480">
        <f>'[19]Sch C'!F134</f>
        <v>791</v>
      </c>
      <c r="E138" s="480">
        <f>+'[19]Sch C'!H134</f>
        <v>0</v>
      </c>
      <c r="F138" s="166">
        <f t="shared" si="44"/>
        <v>791</v>
      </c>
      <c r="G138" s="626">
        <v>1950</v>
      </c>
      <c r="H138" s="166"/>
      <c r="I138" s="166">
        <f t="shared" si="45"/>
        <v>2741</v>
      </c>
      <c r="J138" s="167">
        <f>IF($I$213=0,0,I138/$I$213)</f>
        <v>5.4941505997471718E-4</v>
      </c>
      <c r="K138" s="458"/>
      <c r="L138" s="163"/>
      <c r="M138" s="163"/>
      <c r="O138" s="329">
        <f t="shared" si="43"/>
        <v>0.14289438014805547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'[19]Sch C'!D136</f>
        <v>440719</v>
      </c>
      <c r="D140" s="480">
        <f>'[19]Sch C'!F136</f>
        <v>0</v>
      </c>
      <c r="E140" s="480">
        <f>+'[19]Sch C'!H136</f>
        <v>0</v>
      </c>
      <c r="F140" s="166">
        <f t="shared" ref="F140:F143" si="46">C140+D140+E140</f>
        <v>440719</v>
      </c>
      <c r="G140" s="626"/>
      <c r="H140" s="166"/>
      <c r="I140" s="166">
        <f t="shared" ref="I140:I143" si="47">F140+G140+H140</f>
        <v>440719</v>
      </c>
      <c r="J140" s="167">
        <f>IF($I$213=0,0,I140/$I$213)</f>
        <v>8.8339166660706819E-2</v>
      </c>
      <c r="K140" s="458"/>
      <c r="L140" s="176">
        <v>13633</v>
      </c>
      <c r="M140" s="176">
        <v>14678</v>
      </c>
      <c r="O140" s="329">
        <f t="shared" si="43"/>
        <v>22.975654259201335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'[19]Sch C'!D137</f>
        <v>115874</v>
      </c>
      <c r="D141" s="480">
        <f>'[19]Sch C'!F137</f>
        <v>0</v>
      </c>
      <c r="E141" s="480">
        <f>+'[19]Sch C'!H137</f>
        <v>0</v>
      </c>
      <c r="F141" s="166">
        <f t="shared" si="46"/>
        <v>115874</v>
      </c>
      <c r="G141" s="626"/>
      <c r="H141" s="166"/>
      <c r="I141" s="166">
        <f t="shared" si="47"/>
        <v>115874</v>
      </c>
      <c r="J141" s="167">
        <f>IF($I$213=0,0,I141/$I$213)</f>
        <v>2.3226165873590068E-2</v>
      </c>
      <c r="K141" s="458"/>
      <c r="L141" s="176">
        <v>4579</v>
      </c>
      <c r="M141" s="176">
        <v>4733</v>
      </c>
      <c r="O141" s="329">
        <f t="shared" si="43"/>
        <v>6.0407673860911268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'[19]Sch C'!D138</f>
        <v>427124</v>
      </c>
      <c r="D142" s="480">
        <f>'[19]Sch C'!F138</f>
        <v>0</v>
      </c>
      <c r="E142" s="480">
        <f>+'[19]Sch C'!H138</f>
        <v>0</v>
      </c>
      <c r="F142" s="166">
        <f t="shared" si="46"/>
        <v>427124</v>
      </c>
      <c r="G142" s="626"/>
      <c r="H142" s="166"/>
      <c r="I142" s="166">
        <f t="shared" si="47"/>
        <v>427124</v>
      </c>
      <c r="J142" s="167">
        <f>IF($I$213=0,0,I142/$I$213)</f>
        <v>8.5614140122816887E-2</v>
      </c>
      <c r="K142" s="458"/>
      <c r="L142" s="176">
        <v>29049</v>
      </c>
      <c r="M142" s="176">
        <v>30169</v>
      </c>
      <c r="O142" s="329">
        <f t="shared" si="43"/>
        <v>22.266916901261599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'[19]Sch C'!D139</f>
        <v>140958</v>
      </c>
      <c r="D143" s="480">
        <f>'[19]Sch C'!F139</f>
        <v>0</v>
      </c>
      <c r="E143" s="480">
        <f>+'[19]Sch C'!H139</f>
        <v>0</v>
      </c>
      <c r="F143" s="166">
        <f t="shared" si="46"/>
        <v>140958</v>
      </c>
      <c r="G143" s="626"/>
      <c r="H143" s="166"/>
      <c r="I143" s="166">
        <f t="shared" si="47"/>
        <v>140958</v>
      </c>
      <c r="J143" s="167">
        <f>IF($I$213=0,0,I143/$I$213)</f>
        <v>2.8254085379028158E-2</v>
      </c>
      <c r="K143" s="458"/>
      <c r="L143" s="176">
        <v>12051</v>
      </c>
      <c r="M143" s="176">
        <v>12409</v>
      </c>
      <c r="O143" s="329">
        <f t="shared" si="43"/>
        <v>7.3484516734438534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'[19]Sch C'!D141</f>
        <v>0</v>
      </c>
      <c r="D145" s="480">
        <f>'[19]Sch C'!F141</f>
        <v>26541</v>
      </c>
      <c r="E145" s="480">
        <f>+'[19]Sch C'!H141</f>
        <v>0</v>
      </c>
      <c r="F145" s="166">
        <f t="shared" ref="F145:F148" si="48">C145+D145+E145</f>
        <v>26541</v>
      </c>
      <c r="G145" s="626">
        <v>65399</v>
      </c>
      <c r="H145" s="166"/>
      <c r="I145" s="166">
        <f t="shared" ref="I145:I148" si="49">F145+G145+H145</f>
        <v>91940</v>
      </c>
      <c r="J145" s="167">
        <f>IF($I$213=0,0,I145/$I$213)</f>
        <v>1.8428756152526631E-2</v>
      </c>
      <c r="K145" s="458"/>
      <c r="L145" s="163"/>
      <c r="M145" s="163"/>
      <c r="O145" s="329">
        <f t="shared" si="43"/>
        <v>4.7930351371077053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'[19]Sch C'!D142</f>
        <v>0</v>
      </c>
      <c r="D146" s="480">
        <f>'[19]Sch C'!F142</f>
        <v>6978</v>
      </c>
      <c r="E146" s="480">
        <f>+'[19]Sch C'!H142</f>
        <v>0</v>
      </c>
      <c r="F146" s="166">
        <f t="shared" si="48"/>
        <v>6978</v>
      </c>
      <c r="G146" s="626">
        <v>17195</v>
      </c>
      <c r="H146" s="166"/>
      <c r="I146" s="166">
        <f t="shared" si="49"/>
        <v>24173</v>
      </c>
      <c r="J146" s="167">
        <f>IF($I$213=0,0,I146/$I$213)</f>
        <v>4.8453156675552127E-3</v>
      </c>
      <c r="K146" s="458"/>
      <c r="L146" s="163"/>
      <c r="M146" s="163"/>
      <c r="O146" s="329">
        <f t="shared" si="43"/>
        <v>1.2601918465227817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'[19]Sch C'!D143</f>
        <v>0</v>
      </c>
      <c r="D147" s="480">
        <f>'[19]Sch C'!F143</f>
        <v>25722</v>
      </c>
      <c r="E147" s="480">
        <f>+'[19]Sch C'!H143</f>
        <v>0</v>
      </c>
      <c r="F147" s="166">
        <f t="shared" si="48"/>
        <v>25722</v>
      </c>
      <c r="G147" s="626">
        <v>63381</v>
      </c>
      <c r="H147" s="166"/>
      <c r="I147" s="166">
        <f t="shared" si="49"/>
        <v>89103</v>
      </c>
      <c r="J147" s="167">
        <f>IF($I$213=0,0,I147/$I$213)</f>
        <v>1.7860098536638901E-2</v>
      </c>
      <c r="K147" s="458"/>
      <c r="L147" s="163"/>
      <c r="M147" s="163"/>
      <c r="O147" s="329">
        <f t="shared" si="43"/>
        <v>4.6451360650609947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'[19]Sch C'!D144</f>
        <v>206580</v>
      </c>
      <c r="D148" s="480">
        <f>'[19]Sch C'!F144</f>
        <v>8489</v>
      </c>
      <c r="E148" s="480">
        <f>+'[19]Sch C'!H144</f>
        <v>0</v>
      </c>
      <c r="F148" s="166">
        <f t="shared" si="48"/>
        <v>215069</v>
      </c>
      <c r="G148" s="626">
        <v>-185663</v>
      </c>
      <c r="H148" s="166"/>
      <c r="I148" s="166">
        <f t="shared" si="49"/>
        <v>29406</v>
      </c>
      <c r="J148" s="167">
        <f>IF($I$213=0,0,I148/$I$213)</f>
        <v>5.894235408105266E-3</v>
      </c>
      <c r="K148" s="458"/>
      <c r="L148" s="163"/>
      <c r="M148" s="163"/>
      <c r="O148" s="329">
        <f t="shared" si="43"/>
        <v>1.5329996872067564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'[19]Sch C'!D146</f>
        <v>23125</v>
      </c>
      <c r="D150" s="480">
        <f>'[19]Sch C'!F146</f>
        <v>0</v>
      </c>
      <c r="E150" s="480">
        <f>+'[19]Sch C'!H146</f>
        <v>0</v>
      </c>
      <c r="F150" s="166">
        <f t="shared" ref="F150:F158" si="50">C150+D150+E150</f>
        <v>23125</v>
      </c>
      <c r="G150" s="626"/>
      <c r="H150" s="166"/>
      <c r="I150" s="166">
        <f t="shared" ref="I150:I158" si="51">F150+G150+H150</f>
        <v>23125</v>
      </c>
      <c r="J150" s="167">
        <f t="shared" ref="J150:J158" si="52">IF($I$213=0,0,I150/$I$213)</f>
        <v>4.6352510988381373E-3</v>
      </c>
      <c r="K150" s="458"/>
      <c r="L150" s="176">
        <v>144</v>
      </c>
      <c r="M150" s="176">
        <v>144</v>
      </c>
      <c r="O150" s="329">
        <f t="shared" si="43"/>
        <v>1.2055572932957981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'[19]Sch C'!D147</f>
        <v>2813</v>
      </c>
      <c r="D151" s="480">
        <f>'[19]Sch C'!F147</f>
        <v>0</v>
      </c>
      <c r="E151" s="480">
        <f>+'[19]Sch C'!H147</f>
        <v>0</v>
      </c>
      <c r="F151" s="166">
        <f t="shared" si="50"/>
        <v>2813</v>
      </c>
      <c r="G151" s="626"/>
      <c r="H151" s="166"/>
      <c r="I151" s="166">
        <f t="shared" si="51"/>
        <v>2813</v>
      </c>
      <c r="J151" s="167">
        <f t="shared" si="52"/>
        <v>5.6384697690947813E-4</v>
      </c>
      <c r="K151" s="458"/>
      <c r="L151" s="176">
        <v>17</v>
      </c>
      <c r="M151" s="176">
        <v>17</v>
      </c>
      <c r="O151" s="329">
        <f t="shared" si="43"/>
        <v>0.1466478990720467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'[19]Sch C'!D148</f>
        <v>0</v>
      </c>
      <c r="D152" s="480">
        <f>'[19]Sch C'!F148</f>
        <v>0</v>
      </c>
      <c r="E152" s="480">
        <f>+'[19]Sch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'[19]Sch C'!D149</f>
        <v>69646</v>
      </c>
      <c r="D153" s="480">
        <f>'[19]Sch C'!F149</f>
        <v>0</v>
      </c>
      <c r="E153" s="480">
        <f>+'[19]Sch C'!H149</f>
        <v>0</v>
      </c>
      <c r="F153" s="166">
        <f t="shared" si="50"/>
        <v>69646</v>
      </c>
      <c r="G153" s="626"/>
      <c r="H153" s="166"/>
      <c r="I153" s="166">
        <f t="shared" si="51"/>
        <v>69646</v>
      </c>
      <c r="J153" s="167">
        <f t="shared" si="52"/>
        <v>1.3960073428310526E-2</v>
      </c>
      <c r="K153" s="458"/>
      <c r="L153" s="176">
        <v>2786</v>
      </c>
      <c r="M153" s="176">
        <v>2786</v>
      </c>
      <c r="O153" s="329">
        <f t="shared" si="43"/>
        <v>3.630799708059639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'[19]Sch C'!D150</f>
        <v>18260</v>
      </c>
      <c r="D154" s="480">
        <f>'[19]Sch C'!F150</f>
        <v>0</v>
      </c>
      <c r="E154" s="480">
        <f>+'[19]Sch C'!H150</f>
        <v>0</v>
      </c>
      <c r="F154" s="166">
        <f t="shared" si="50"/>
        <v>18260</v>
      </c>
      <c r="G154" s="626">
        <v>-232</v>
      </c>
      <c r="H154" s="166"/>
      <c r="I154" s="166">
        <f t="shared" si="51"/>
        <v>18028</v>
      </c>
      <c r="J154" s="167">
        <f t="shared" si="52"/>
        <v>3.6135916458315217E-3</v>
      </c>
      <c r="K154" s="458"/>
      <c r="L154" s="176">
        <v>50</v>
      </c>
      <c r="M154" s="176">
        <v>50</v>
      </c>
      <c r="O154" s="329">
        <f t="shared" si="43"/>
        <v>0.93983943280158477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'[19]Sch C'!D151</f>
        <v>65352</v>
      </c>
      <c r="D155" s="480">
        <f>'[19]Sch C'!F151</f>
        <v>2677</v>
      </c>
      <c r="E155" s="480">
        <f>+'[19]Sch C'!H151</f>
        <v>0</v>
      </c>
      <c r="F155" s="166">
        <f t="shared" si="50"/>
        <v>68029</v>
      </c>
      <c r="G155" s="626"/>
      <c r="H155" s="166"/>
      <c r="I155" s="166">
        <f t="shared" si="51"/>
        <v>68029</v>
      </c>
      <c r="J155" s="167">
        <f t="shared" si="52"/>
        <v>1.3635956627150688E-2</v>
      </c>
      <c r="K155" s="458"/>
      <c r="L155" s="163"/>
      <c r="M155" s="163"/>
      <c r="O155" s="329">
        <f t="shared" si="43"/>
        <v>3.5465019288916695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'[19]Sch C'!D152</f>
        <v>5438</v>
      </c>
      <c r="D156" s="480">
        <f>'[19]Sch C'!F152</f>
        <v>0</v>
      </c>
      <c r="E156" s="480">
        <f>+'[19]Sch C'!H152</f>
        <v>0</v>
      </c>
      <c r="F156" s="166">
        <f t="shared" si="50"/>
        <v>5438</v>
      </c>
      <c r="G156" s="626">
        <f>-74-154</f>
        <v>-228</v>
      </c>
      <c r="H156" s="166"/>
      <c r="I156" s="166">
        <f t="shared" si="51"/>
        <v>5210</v>
      </c>
      <c r="J156" s="167">
        <f t="shared" si="52"/>
        <v>1.0443095448625598E-3</v>
      </c>
      <c r="K156" s="458"/>
      <c r="L156" s="163"/>
      <c r="M156" s="163"/>
      <c r="O156" s="329">
        <f t="shared" si="43"/>
        <v>0.27160879991658848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'[19]Sch C'!D153</f>
        <v>176</v>
      </c>
      <c r="D157" s="480">
        <f>'[19]Sch C'!F153</f>
        <v>0</v>
      </c>
      <c r="E157" s="480">
        <f>+'[19]Sch C'!H153</f>
        <v>0</v>
      </c>
      <c r="F157" s="166">
        <f t="shared" si="50"/>
        <v>176</v>
      </c>
      <c r="G157" s="626"/>
      <c r="H157" s="166"/>
      <c r="I157" s="166">
        <f t="shared" si="51"/>
        <v>176</v>
      </c>
      <c r="J157" s="167">
        <f t="shared" si="52"/>
        <v>3.5278019173859986E-5</v>
      </c>
      <c r="K157" s="458"/>
      <c r="L157" s="163"/>
      <c r="M157" s="163"/>
      <c r="O157" s="329">
        <f t="shared" si="43"/>
        <v>9.1752684808674798E-3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'[19]Sch C'!D154</f>
        <v>0</v>
      </c>
      <c r="D158" s="480">
        <f>'[19]Sch C'!F154</f>
        <v>0</v>
      </c>
      <c r="E158" s="480">
        <f>+'[19]Sch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'[19]Sch C'!D156</f>
        <v>0</v>
      </c>
      <c r="D160" s="480">
        <f>'[19]Sch C'!F156</f>
        <v>0</v>
      </c>
      <c r="E160" s="480">
        <f>+'[19]Sch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'[19]Sch C'!D157</f>
        <v>0</v>
      </c>
      <c r="D161" s="480">
        <f>'[19]Sch C'!F157</f>
        <v>0</v>
      </c>
      <c r="E161" s="480">
        <f>+'[19]Sch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'[19]Sch C'!D158</f>
        <v>0</v>
      </c>
      <c r="D162" s="480">
        <f>'[19]Sch C'!F158</f>
        <v>0</v>
      </c>
      <c r="E162" s="480">
        <f>+'[19]Sch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'[19]Sch C'!D159</f>
        <v>0</v>
      </c>
      <c r="D163" s="480">
        <f>'[19]Sch C'!F159</f>
        <v>0</v>
      </c>
      <c r="E163" s="480">
        <f>+'[19]Sch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'[19]Sch C'!D160</f>
        <v>0</v>
      </c>
      <c r="D164" s="480">
        <f>'[19]Sch C'!F160</f>
        <v>0</v>
      </c>
      <c r="E164" s="480">
        <f>+'[19]Sch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'[19]Sch C'!D161</f>
        <v>3142</v>
      </c>
      <c r="D165" s="480">
        <f>'[19]Sch C'!F161</f>
        <v>0</v>
      </c>
      <c r="E165" s="480">
        <f>+'[19]Sch C'!H161</f>
        <v>0</v>
      </c>
      <c r="F165" s="166">
        <f t="shared" si="53"/>
        <v>3142</v>
      </c>
      <c r="G165" s="626">
        <v>-2080</v>
      </c>
      <c r="H165" s="166"/>
      <c r="I165" s="166">
        <f t="shared" si="54"/>
        <v>1062</v>
      </c>
      <c r="J165" s="167">
        <f t="shared" si="55"/>
        <v>2.1287077478772333E-4</v>
      </c>
      <c r="K165" s="458"/>
      <c r="L165" s="163"/>
      <c r="M165" s="163"/>
      <c r="O165" s="329">
        <f t="shared" si="43"/>
        <v>5.5364404128870816E-2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1749458</v>
      </c>
      <c r="D166" s="480">
        <f t="shared" si="56"/>
        <v>84273</v>
      </c>
      <c r="E166" s="480">
        <f t="shared" si="56"/>
        <v>41348</v>
      </c>
      <c r="F166" s="166">
        <f t="shared" ref="F166:I166" si="57">SUM(F128:F165)</f>
        <v>1875079</v>
      </c>
      <c r="G166" s="166">
        <f t="shared" si="57"/>
        <v>-2630</v>
      </c>
      <c r="H166" s="166">
        <f t="shared" si="57"/>
        <v>0</v>
      </c>
      <c r="I166" s="166">
        <f t="shared" si="57"/>
        <v>1872449</v>
      </c>
      <c r="J166" s="167">
        <f t="shared" si="55"/>
        <v>0.375319839341335</v>
      </c>
      <c r="K166" s="458"/>
      <c r="L166" s="163"/>
      <c r="M166" s="163"/>
      <c r="O166" s="329">
        <f>I166/I$233</f>
        <v>97.614899384839958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'[19]Sch C'!D175</f>
        <v>0</v>
      </c>
      <c r="D169" s="480">
        <f>'[19]Sch C'!F175</f>
        <v>0</v>
      </c>
      <c r="E169" s="480">
        <f>+'[19]Sch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'[19]Sch C'!D176</f>
        <v>0</v>
      </c>
      <c r="D170" s="480">
        <f>'[19]Sch C'!F176</f>
        <v>0</v>
      </c>
      <c r="E170" s="480">
        <f>+'[19]Sch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'[19]Sch C'!D177</f>
        <v>109371</v>
      </c>
      <c r="D171" s="480">
        <f>'[19]Sch C'!F177</f>
        <v>0</v>
      </c>
      <c r="E171" s="480">
        <f>+'[19]Sch C'!H177</f>
        <v>0</v>
      </c>
      <c r="F171" s="166">
        <f t="shared" si="58"/>
        <v>109371</v>
      </c>
      <c r="G171" s="626"/>
      <c r="H171" s="166"/>
      <c r="I171" s="166">
        <f t="shared" si="59"/>
        <v>109371</v>
      </c>
      <c r="J171" s="167">
        <f t="shared" si="60"/>
        <v>2.1922683153774096E-2</v>
      </c>
      <c r="K171" s="468"/>
      <c r="L171" s="176">
        <v>3354</v>
      </c>
      <c r="M171" s="176">
        <v>3627</v>
      </c>
      <c r="N171" s="208"/>
      <c r="O171" s="329">
        <f t="shared" si="61"/>
        <v>5.7017516421645293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'[19]Sch C'!D178</f>
        <v>18045</v>
      </c>
      <c r="D172" s="480">
        <f>'[19]Sch C'!F178</f>
        <v>6586</v>
      </c>
      <c r="E172" s="480">
        <f>+'[19]Sch C'!H178</f>
        <v>0</v>
      </c>
      <c r="F172" s="166">
        <f t="shared" si="58"/>
        <v>24631</v>
      </c>
      <c r="G172" s="626"/>
      <c r="H172" s="166"/>
      <c r="I172" s="166">
        <f t="shared" si="59"/>
        <v>24631</v>
      </c>
      <c r="J172" s="167">
        <f t="shared" si="60"/>
        <v>4.9371186947235529E-3</v>
      </c>
      <c r="K172" s="469"/>
      <c r="L172" s="212"/>
      <c r="M172" s="212"/>
      <c r="N172" s="208"/>
      <c r="O172" s="329">
        <f t="shared" si="61"/>
        <v>1.2840683974559484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'[19]Sch C'!D179</f>
        <v>32922</v>
      </c>
      <c r="D173" s="480">
        <f>'[19]Sch C'!F179</f>
        <v>0</v>
      </c>
      <c r="E173" s="480">
        <f>+'[19]Sch C'!H179</f>
        <v>0</v>
      </c>
      <c r="F173" s="166">
        <f t="shared" si="58"/>
        <v>32922</v>
      </c>
      <c r="G173" s="626"/>
      <c r="H173" s="166"/>
      <c r="I173" s="166">
        <f t="shared" si="59"/>
        <v>32922</v>
      </c>
      <c r="J173" s="167">
        <f t="shared" si="60"/>
        <v>6.5989940184194235E-3</v>
      </c>
      <c r="K173" s="468"/>
      <c r="L173" s="176">
        <v>833</v>
      </c>
      <c r="M173" s="176">
        <v>862</v>
      </c>
      <c r="N173" s="208"/>
      <c r="O173" s="329">
        <f t="shared" si="61"/>
        <v>1.7162965279949953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'[19]Sch C'!D180</f>
        <v>3742</v>
      </c>
      <c r="D174" s="480">
        <f>'[19]Sch C'!F180</f>
        <v>1983</v>
      </c>
      <c r="E174" s="480">
        <f>+'[19]Sch C'!H180</f>
        <v>0</v>
      </c>
      <c r="F174" s="166">
        <f t="shared" si="58"/>
        <v>5725</v>
      </c>
      <c r="G174" s="626"/>
      <c r="H174" s="166"/>
      <c r="I174" s="166">
        <f t="shared" si="59"/>
        <v>5725</v>
      </c>
      <c r="J174" s="167">
        <f t="shared" si="60"/>
        <v>1.1475378396042523E-3</v>
      </c>
      <c r="K174" s="469"/>
      <c r="L174" s="212"/>
      <c r="M174" s="212"/>
      <c r="N174" s="208"/>
      <c r="O174" s="329">
        <f t="shared" si="61"/>
        <v>0.29845688666458137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'[19]Sch C'!D181</f>
        <v>0</v>
      </c>
      <c r="D175" s="480">
        <f>'[19]Sch C'!F181</f>
        <v>0</v>
      </c>
      <c r="E175" s="480">
        <f>+'[19]Sch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'[19]Sch C'!D182</f>
        <v>0</v>
      </c>
      <c r="D176" s="480">
        <f>'[19]Sch C'!F182</f>
        <v>0</v>
      </c>
      <c r="E176" s="480">
        <f>+'[19]Sch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'[19]Sch C'!D183</f>
        <v>142766</v>
      </c>
      <c r="D177" s="480">
        <f>'[19]Sch C'!F183</f>
        <v>0</v>
      </c>
      <c r="E177" s="480">
        <f>+'[19]Sch C'!H183</f>
        <v>0</v>
      </c>
      <c r="F177" s="166">
        <f t="shared" si="58"/>
        <v>142766</v>
      </c>
      <c r="G177" s="626"/>
      <c r="H177" s="166"/>
      <c r="I177" s="166">
        <f t="shared" si="59"/>
        <v>142766</v>
      </c>
      <c r="J177" s="167">
        <f t="shared" si="60"/>
        <v>2.8616486848723265E-2</v>
      </c>
      <c r="K177" s="468"/>
      <c r="L177" s="176">
        <v>3836</v>
      </c>
      <c r="M177" s="176">
        <v>3977</v>
      </c>
      <c r="N177" s="208"/>
      <c r="O177" s="329">
        <f t="shared" si="61"/>
        <v>7.4427067042018562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'[19]Sch C'!D184</f>
        <v>17441</v>
      </c>
      <c r="D178" s="480">
        <f>'[19]Sch C'!F184</f>
        <v>8598</v>
      </c>
      <c r="E178" s="480">
        <f>+'[19]Sch C'!H184</f>
        <v>0</v>
      </c>
      <c r="F178" s="166">
        <f t="shared" si="58"/>
        <v>26039</v>
      </c>
      <c r="G178" s="626"/>
      <c r="H178" s="166"/>
      <c r="I178" s="166">
        <f t="shared" si="59"/>
        <v>26039</v>
      </c>
      <c r="J178" s="167">
        <f t="shared" si="60"/>
        <v>5.2193428481144329E-3</v>
      </c>
      <c r="K178" s="469"/>
      <c r="L178" s="212"/>
      <c r="M178" s="212"/>
      <c r="N178" s="208"/>
      <c r="O178" s="329">
        <f t="shared" si="61"/>
        <v>1.3574705453028881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'[19]Sch C'!D185</f>
        <v>0</v>
      </c>
      <c r="D179" s="480">
        <f>'[19]Sch C'!F185</f>
        <v>0</v>
      </c>
      <c r="E179" s="480">
        <f>+'[19]Sch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'[19]Sch C'!D186</f>
        <v>0</v>
      </c>
      <c r="D180" s="480">
        <f>'[19]Sch C'!F186</f>
        <v>0</v>
      </c>
      <c r="E180" s="480">
        <f>+'[19]Sch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'[19]Sch C'!D187</f>
        <v>0</v>
      </c>
      <c r="D181" s="480">
        <f>'[19]Sch C'!F187</f>
        <v>0</v>
      </c>
      <c r="E181" s="480">
        <f>+'[19]Sch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'[19]Sch C'!D188</f>
        <v>321</v>
      </c>
      <c r="D182" s="480">
        <f>'[19]Sch C'!F188</f>
        <v>0</v>
      </c>
      <c r="E182" s="480">
        <f>+'[19]Sch C'!H188</f>
        <v>0</v>
      </c>
      <c r="F182" s="166">
        <f t="shared" si="58"/>
        <v>321</v>
      </c>
      <c r="G182" s="626"/>
      <c r="H182" s="166"/>
      <c r="I182" s="166">
        <f t="shared" si="59"/>
        <v>321</v>
      </c>
      <c r="J182" s="167">
        <f t="shared" si="60"/>
        <v>6.4342296334142366E-5</v>
      </c>
      <c r="K182" s="458"/>
      <c r="L182" s="213"/>
      <c r="M182" s="208"/>
      <c r="N182" s="210"/>
      <c r="O182" s="329">
        <f t="shared" si="61"/>
        <v>1.6734438536127619E-2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'[19]Sch C'!D189</f>
        <v>0</v>
      </c>
      <c r="D183" s="480">
        <f>'[19]Sch C'!F189</f>
        <v>0</v>
      </c>
      <c r="E183" s="480">
        <f>+'[19]Sch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'[19]Sch C'!D190</f>
        <v>0</v>
      </c>
      <c r="D184" s="480">
        <f>'[19]Sch C'!F190</f>
        <v>0</v>
      </c>
      <c r="E184" s="480">
        <f>+'[19]Sch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'[19]Sch C'!D191</f>
        <v>569</v>
      </c>
      <c r="D185" s="480">
        <f>'[19]Sch C'!F191</f>
        <v>0</v>
      </c>
      <c r="E185" s="480">
        <f>+'[19]Sch C'!H191</f>
        <v>0</v>
      </c>
      <c r="F185" s="166">
        <f t="shared" si="58"/>
        <v>569</v>
      </c>
      <c r="G185" s="626"/>
      <c r="H185" s="166"/>
      <c r="I185" s="166">
        <f t="shared" si="59"/>
        <v>569</v>
      </c>
      <c r="J185" s="167">
        <f t="shared" si="60"/>
        <v>1.1405223244276325E-4</v>
      </c>
      <c r="K185" s="458"/>
      <c r="L185" s="213"/>
      <c r="M185" s="208"/>
      <c r="N185" s="210"/>
      <c r="O185" s="329">
        <f t="shared" si="61"/>
        <v>2.9663225940986342E-2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'[19]Sch C'!D192</f>
        <v>0</v>
      </c>
      <c r="D186" s="480">
        <f>'[19]Sch C'!F192</f>
        <v>0</v>
      </c>
      <c r="E186" s="480">
        <f>+'[19]Sch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'[19]Sch C'!D193</f>
        <v>0</v>
      </c>
      <c r="D187" s="480">
        <f>'[19]Sch C'!F193</f>
        <v>0</v>
      </c>
      <c r="E187" s="480">
        <f>+'[19]Sch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'[19]Sch C'!D194</f>
        <v>0</v>
      </c>
      <c r="D188" s="480">
        <f>'[19]Sch C'!F194</f>
        <v>0</v>
      </c>
      <c r="E188" s="480">
        <f>+'[19]Sch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'[19]Sch C'!D195</f>
        <v>1990</v>
      </c>
      <c r="D189" s="480">
        <f>'[19]Sch C'!F195</f>
        <v>0</v>
      </c>
      <c r="E189" s="480">
        <f>+'[19]Sch C'!H195</f>
        <v>0</v>
      </c>
      <c r="F189" s="166">
        <f t="shared" si="58"/>
        <v>1990</v>
      </c>
      <c r="G189" s="626"/>
      <c r="H189" s="166"/>
      <c r="I189" s="166">
        <f t="shared" si="59"/>
        <v>1990</v>
      </c>
      <c r="J189" s="167">
        <f t="shared" si="60"/>
        <v>3.9888214861353053E-4</v>
      </c>
      <c r="K189" s="458"/>
      <c r="L189" s="213"/>
      <c r="M189" s="208"/>
      <c r="O189" s="329">
        <f t="shared" si="61"/>
        <v>0.10374309248253571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'[19]Sch C'!D196</f>
        <v>0</v>
      </c>
      <c r="D190" s="480">
        <f>'[19]Sch C'!F196</f>
        <v>0</v>
      </c>
      <c r="E190" s="480">
        <f>+'[19]Sch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'[19]Sch C'!D197</f>
        <v>0</v>
      </c>
      <c r="D191" s="480">
        <f>'[19]Sch C'!F197</f>
        <v>0</v>
      </c>
      <c r="E191" s="480">
        <f>+'[19]Sch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'[19]Sch C'!D198</f>
        <v>21173</v>
      </c>
      <c r="D192" s="480">
        <f>'[19]Sch C'!F198</f>
        <v>0</v>
      </c>
      <c r="E192" s="480">
        <f>+'[19]Sch C'!H198</f>
        <v>-583</v>
      </c>
      <c r="F192" s="166">
        <f t="shared" si="58"/>
        <v>20590</v>
      </c>
      <c r="G192" s="626"/>
      <c r="H192" s="166"/>
      <c r="I192" s="166">
        <f t="shared" si="59"/>
        <v>20590</v>
      </c>
      <c r="J192" s="167">
        <f t="shared" si="60"/>
        <v>4.1271273567600976E-3</v>
      </c>
      <c r="K192" s="458"/>
      <c r="L192" s="213"/>
      <c r="M192" s="208"/>
      <c r="O192" s="329">
        <f t="shared" si="61"/>
        <v>1.0734021478469398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'[19]Sch C'!D199</f>
        <v>0</v>
      </c>
      <c r="D193" s="480">
        <f>'[19]Sch C'!F199</f>
        <v>0</v>
      </c>
      <c r="E193" s="480">
        <f>+'[19]Sch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'[19]Sch C'!D200</f>
        <v>0</v>
      </c>
      <c r="D194" s="480">
        <f>'[19]Sch C'!F200</f>
        <v>0</v>
      </c>
      <c r="E194" s="480">
        <f>+'[19]Sch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'[19]Sch C'!D201</f>
        <v>0</v>
      </c>
      <c r="D195" s="480">
        <f>'[19]Sch C'!F201</f>
        <v>0</v>
      </c>
      <c r="E195" s="480">
        <f>+'[19]Sch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'[19]Sch C'!D202</f>
        <v>0</v>
      </c>
      <c r="D196" s="480">
        <f>'[19]Sch C'!F202</f>
        <v>0</v>
      </c>
      <c r="E196" s="480">
        <f>+'[19]Sch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'[19]Sch C'!D203</f>
        <v>0</v>
      </c>
      <c r="D197" s="480">
        <f>'[19]Sch C'!F203</f>
        <v>0</v>
      </c>
      <c r="E197" s="480">
        <f>+'[19]Sch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'[19]Sch C'!D204</f>
        <v>0</v>
      </c>
      <c r="D198" s="480">
        <f>'[19]Sch C'!F204</f>
        <v>0</v>
      </c>
      <c r="E198" s="480">
        <f>+'[19]Sch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'[19]Sch C'!D205</f>
        <v>93126</v>
      </c>
      <c r="D199" s="480">
        <f>'[19]Sch C'!F205</f>
        <v>-1332</v>
      </c>
      <c r="E199" s="480">
        <f>+'[19]Sch C'!H205</f>
        <v>0</v>
      </c>
      <c r="F199" s="166">
        <f t="shared" si="58"/>
        <v>91794</v>
      </c>
      <c r="G199" s="626"/>
      <c r="H199" s="166"/>
      <c r="I199" s="166">
        <f t="shared" si="59"/>
        <v>91794</v>
      </c>
      <c r="J199" s="167">
        <f t="shared" si="60"/>
        <v>1.8399491432075588E-2</v>
      </c>
      <c r="K199" s="458"/>
      <c r="L199" s="213"/>
      <c r="M199" s="208"/>
      <c r="O199" s="329">
        <f t="shared" si="61"/>
        <v>4.785423834845167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'[19]Sch C'!D206</f>
        <v>-2325</v>
      </c>
      <c r="D200" s="480">
        <f>'[19]Sch C'!F206</f>
        <v>0</v>
      </c>
      <c r="E200" s="480">
        <f>+'[19]Sch C'!H206</f>
        <v>0</v>
      </c>
      <c r="F200" s="166">
        <f t="shared" si="58"/>
        <v>-2325</v>
      </c>
      <c r="G200" s="626"/>
      <c r="H200" s="166"/>
      <c r="I200" s="166">
        <f t="shared" si="59"/>
        <v>-2325</v>
      </c>
      <c r="J200" s="167">
        <f t="shared" si="60"/>
        <v>-4.6603065101832083E-4</v>
      </c>
      <c r="K200" s="458"/>
      <c r="L200" s="213"/>
      <c r="M200" s="208"/>
      <c r="O200" s="329">
        <f t="shared" si="61"/>
        <v>-0.12120738192055051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'[19]Sch C'!D207</f>
        <v>2531</v>
      </c>
      <c r="D201" s="678">
        <f>-2112+2112</f>
        <v>0</v>
      </c>
      <c r="E201" s="480">
        <f>+'[19]Sch C'!H207</f>
        <v>0</v>
      </c>
      <c r="F201" s="166">
        <f t="shared" si="58"/>
        <v>2531</v>
      </c>
      <c r="G201" s="679"/>
      <c r="H201" s="484">
        <v>-2112</v>
      </c>
      <c r="I201" s="166">
        <f t="shared" si="59"/>
        <v>419</v>
      </c>
      <c r="J201" s="167">
        <f t="shared" si="60"/>
        <v>8.3985738828678037E-5</v>
      </c>
      <c r="K201" s="457" t="s">
        <v>607</v>
      </c>
      <c r="L201" s="213"/>
      <c r="M201" s="208"/>
      <c r="O201" s="329">
        <f t="shared" si="61"/>
        <v>2.1843394849337922E-2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441672</v>
      </c>
      <c r="D202" s="480">
        <f t="shared" si="62"/>
        <v>15835</v>
      </c>
      <c r="E202" s="480">
        <f t="shared" si="62"/>
        <v>-583</v>
      </c>
      <c r="F202" s="166">
        <f t="shared" ref="F202:I202" si="63">SUM(F169:F201)</f>
        <v>456924</v>
      </c>
      <c r="G202" s="166">
        <f t="shared" si="63"/>
        <v>0</v>
      </c>
      <c r="H202" s="166">
        <f t="shared" si="63"/>
        <v>-2112</v>
      </c>
      <c r="I202" s="166">
        <f t="shared" si="63"/>
        <v>454812</v>
      </c>
      <c r="J202" s="167">
        <f>IF($I$213=0,0,I202/$I$213)</f>
        <v>9.1164013957395498E-2</v>
      </c>
      <c r="K202" s="458"/>
      <c r="L202" s="163"/>
      <c r="M202" s="163"/>
      <c r="O202" s="329">
        <f>I202/I$233</f>
        <v>23.710353456365343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'[19]Sch C'!D211</f>
        <v>126906</v>
      </c>
      <c r="D205" s="480">
        <f>'[19]Sch C'!F211</f>
        <v>0</v>
      </c>
      <c r="E205" s="480">
        <f>+'[19]Sch C'!H211</f>
        <v>0</v>
      </c>
      <c r="F205" s="166">
        <f t="shared" ref="F205:F210" si="64">C205+D205+E205</f>
        <v>126906</v>
      </c>
      <c r="G205" s="626"/>
      <c r="H205" s="166"/>
      <c r="I205" s="166">
        <f t="shared" ref="I205:I210" si="65">F205+G205+H205</f>
        <v>126906</v>
      </c>
      <c r="J205" s="167">
        <f t="shared" ref="J205:J211" si="66">IF($I$213=0,0,I205/$I$213)</f>
        <v>2.5437456257260658E-2</v>
      </c>
      <c r="K205" s="458"/>
      <c r="L205" s="176">
        <v>5670</v>
      </c>
      <c r="M205" s="176">
        <v>6018</v>
      </c>
      <c r="O205" s="329">
        <f t="shared" ref="O205:O210" si="67">I205/I$233</f>
        <v>6.6158898967782296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'[19]Sch C'!D212</f>
        <v>30247</v>
      </c>
      <c r="D206" s="480">
        <f>'[19]Sch C'!F212</f>
        <v>7642</v>
      </c>
      <c r="E206" s="480">
        <f>+'[19]Sch C'!H212</f>
        <v>0</v>
      </c>
      <c r="F206" s="166">
        <f t="shared" si="64"/>
        <v>37889</v>
      </c>
      <c r="G206" s="626"/>
      <c r="H206" s="166"/>
      <c r="I206" s="166">
        <f t="shared" si="65"/>
        <v>37889</v>
      </c>
      <c r="J206" s="167">
        <f t="shared" si="66"/>
        <v>7.5945958436271646E-3</v>
      </c>
      <c r="K206" s="458"/>
      <c r="L206" s="163"/>
      <c r="M206" s="163"/>
      <c r="O206" s="329">
        <f t="shared" si="67"/>
        <v>1.9752372015431134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'[19]Sch C'!D213</f>
        <v>2998</v>
      </c>
      <c r="D207" s="480">
        <f>'[19]Sch C'!F213</f>
        <v>0</v>
      </c>
      <c r="E207" s="480">
        <f>+'[19]Sch C'!H213</f>
        <v>0</v>
      </c>
      <c r="F207" s="166">
        <f t="shared" si="64"/>
        <v>2998</v>
      </c>
      <c r="G207" s="626"/>
      <c r="H207" s="166"/>
      <c r="I207" s="166">
        <f t="shared" si="65"/>
        <v>2998</v>
      </c>
      <c r="J207" s="167">
        <f t="shared" si="66"/>
        <v>6.0092898570018318E-4</v>
      </c>
      <c r="K207" s="458"/>
      <c r="L207" s="163"/>
      <c r="M207" s="163"/>
      <c r="O207" s="329">
        <f t="shared" si="67"/>
        <v>0.1562923574184131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'[19]Sch C'!D214</f>
        <v>0</v>
      </c>
      <c r="D208" s="480">
        <f>'[19]Sch C'!F214</f>
        <v>0</v>
      </c>
      <c r="E208" s="480">
        <f>+'[19]Sch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'[19]Sch C'!D215</f>
        <v>0</v>
      </c>
      <c r="D209" s="480">
        <f>'[19]Sch C'!F215</f>
        <v>0</v>
      </c>
      <c r="E209" s="480">
        <f>+'[19]Sch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'[19]Sch C'!D216</f>
        <v>57370</v>
      </c>
      <c r="D210" s="480">
        <f>'[19]Sch C'!F216</f>
        <v>0</v>
      </c>
      <c r="E210" s="480">
        <f>+'[19]Sch C'!H216</f>
        <v>-1332</v>
      </c>
      <c r="F210" s="166">
        <f t="shared" si="64"/>
        <v>56038</v>
      </c>
      <c r="G210" s="626">
        <f>-1050-44393+154</f>
        <v>-45289</v>
      </c>
      <c r="H210" s="166"/>
      <c r="I210" s="166">
        <f t="shared" si="65"/>
        <v>10749</v>
      </c>
      <c r="J210" s="167">
        <f t="shared" si="66"/>
        <v>2.1545649323853468E-3</v>
      </c>
      <c r="K210" s="458" t="s">
        <v>716</v>
      </c>
      <c r="L210" s="163"/>
      <c r="M210" s="163"/>
      <c r="O210" s="329">
        <f t="shared" si="67"/>
        <v>0.56036909602752583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217521</v>
      </c>
      <c r="D211" s="480">
        <f t="shared" si="68"/>
        <v>7642</v>
      </c>
      <c r="E211" s="480">
        <f t="shared" si="68"/>
        <v>-1332</v>
      </c>
      <c r="F211" s="166">
        <f t="shared" ref="F211:I211" si="69">SUM(F205:F210)</f>
        <v>223831</v>
      </c>
      <c r="G211" s="166">
        <f t="shared" si="69"/>
        <v>-45289</v>
      </c>
      <c r="H211" s="166">
        <f t="shared" si="69"/>
        <v>0</v>
      </c>
      <c r="I211" s="166">
        <f t="shared" si="69"/>
        <v>178542</v>
      </c>
      <c r="J211" s="167">
        <f t="shared" si="66"/>
        <v>3.5787546018973354E-2</v>
      </c>
      <c r="K211" s="458"/>
      <c r="L211" s="163"/>
      <c r="M211" s="163"/>
      <c r="O211" s="329">
        <f>I211/I$233</f>
        <v>9.3077885517672811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5319221</v>
      </c>
      <c r="D213" s="480">
        <f t="shared" si="70"/>
        <v>-76705.760000000009</v>
      </c>
      <c r="E213" s="480">
        <f t="shared" si="70"/>
        <v>-88601</v>
      </c>
      <c r="F213" s="166">
        <f t="shared" ref="F213:I213" si="71">SUM(F30:F211)/2</f>
        <v>5153914.24</v>
      </c>
      <c r="G213" s="166">
        <f t="shared" si="71"/>
        <v>33466</v>
      </c>
      <c r="H213" s="166">
        <f t="shared" si="71"/>
        <v>-198438</v>
      </c>
      <c r="I213" s="166">
        <f t="shared" si="71"/>
        <v>4988942.24</v>
      </c>
      <c r="J213" s="167">
        <f>IF($I$213=0,0,I213/$I$213)</f>
        <v>1</v>
      </c>
      <c r="K213" s="458"/>
      <c r="L213" s="176">
        <f>SUM(L30:L205)</f>
        <v>114198</v>
      </c>
      <c r="M213" s="176">
        <f>SUM(M30:M205)</f>
        <v>120467</v>
      </c>
      <c r="O213" s="329">
        <f>I213/I$233</f>
        <v>260.0845709519341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138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'[19]Sch C'!D221</f>
        <v>5319221</v>
      </c>
      <c r="D216" s="188"/>
      <c r="E216" s="188"/>
      <c r="F216" s="160"/>
      <c r="G216" s="160"/>
      <c r="H216" s="410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10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260560</v>
      </c>
      <c r="D220" s="480">
        <f t="shared" si="72"/>
        <v>912007.82602734212</v>
      </c>
      <c r="E220" s="480">
        <f t="shared" si="72"/>
        <v>88601</v>
      </c>
      <c r="F220" s="166">
        <f t="shared" ref="F220:I220" si="73">F26-F213</f>
        <v>1261168.8260273421</v>
      </c>
      <c r="G220" s="166">
        <f t="shared" si="73"/>
        <v>39643</v>
      </c>
      <c r="H220" s="166">
        <f t="shared" si="73"/>
        <v>198438</v>
      </c>
      <c r="I220" s="166">
        <f t="shared" si="73"/>
        <v>1499249.8260273421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'[19]Sch D'!C9</f>
        <v>12523</v>
      </c>
      <c r="D224" s="480"/>
      <c r="E224" s="480"/>
      <c r="F224" s="224">
        <f>C224+D224+E224</f>
        <v>12523</v>
      </c>
      <c r="G224" s="627"/>
      <c r="H224" s="224"/>
      <c r="I224" s="224">
        <f>F224+G224+H224</f>
        <v>12523</v>
      </c>
      <c r="J224" s="167">
        <f t="shared" ref="J224:J233" si="74">IF($I$233=0,0,I224/$I$233)</f>
        <v>0.6528516317380878</v>
      </c>
      <c r="K224" s="458"/>
      <c r="L224" s="163"/>
      <c r="M224" s="163"/>
    </row>
    <row r="225" spans="1:13">
      <c r="A225" s="158"/>
      <c r="B225" s="165" t="s">
        <v>201</v>
      </c>
      <c r="C225" s="504">
        <f>'[19]Sch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'[19]Sch D'!E9</f>
        <v>862</v>
      </c>
      <c r="D226" s="480"/>
      <c r="E226" s="480"/>
      <c r="F226" s="224">
        <f t="shared" si="75"/>
        <v>862</v>
      </c>
      <c r="G226" s="627"/>
      <c r="H226" s="224"/>
      <c r="I226" s="224">
        <f t="shared" si="76"/>
        <v>862</v>
      </c>
      <c r="J226" s="167">
        <f t="shared" si="74"/>
        <v>4.493796267333959E-2</v>
      </c>
      <c r="K226" s="458"/>
      <c r="L226" s="163"/>
      <c r="M226" s="163"/>
    </row>
    <row r="227" spans="1:13">
      <c r="A227" s="158"/>
      <c r="B227" s="194" t="s">
        <v>315</v>
      </c>
      <c r="C227" s="504">
        <f>'[19]Sch D'!F9</f>
        <v>1819</v>
      </c>
      <c r="D227" s="480"/>
      <c r="E227" s="480"/>
      <c r="F227" s="224">
        <f t="shared" si="75"/>
        <v>1819</v>
      </c>
      <c r="G227" s="627"/>
      <c r="H227" s="224"/>
      <c r="I227" s="224">
        <f t="shared" si="76"/>
        <v>1819</v>
      </c>
      <c r="J227" s="167">
        <f t="shared" si="74"/>
        <v>9.4828485038056506E-2</v>
      </c>
      <c r="K227" s="458"/>
      <c r="L227" s="163"/>
      <c r="M227" s="163"/>
    </row>
    <row r="228" spans="1:13">
      <c r="A228" s="158"/>
      <c r="B228" s="165" t="s">
        <v>65</v>
      </c>
      <c r="C228" s="504">
        <f>'[19]Sch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'[19]Sch D'!H9</f>
        <v>1771</v>
      </c>
      <c r="D229" s="480"/>
      <c r="E229" s="480"/>
      <c r="F229" s="224">
        <f t="shared" si="75"/>
        <v>1771</v>
      </c>
      <c r="G229" s="627"/>
      <c r="H229" s="224"/>
      <c r="I229" s="224">
        <f t="shared" si="76"/>
        <v>1771</v>
      </c>
      <c r="J229" s="167">
        <f t="shared" si="74"/>
        <v>9.2326139088729012E-2</v>
      </c>
      <c r="K229" s="458"/>
      <c r="L229" s="163"/>
      <c r="M229" s="163"/>
    </row>
    <row r="230" spans="1:13">
      <c r="A230" s="158"/>
      <c r="B230" s="165" t="s">
        <v>219</v>
      </c>
      <c r="C230" s="504">
        <f>'[19]Sch D'!I9</f>
        <v>1696</v>
      </c>
      <c r="D230" s="480"/>
      <c r="E230" s="480"/>
      <c r="F230" s="224">
        <f t="shared" si="75"/>
        <v>1696</v>
      </c>
      <c r="G230" s="627"/>
      <c r="H230" s="224"/>
      <c r="I230" s="224">
        <f t="shared" si="76"/>
        <v>1696</v>
      </c>
      <c r="J230" s="167">
        <f t="shared" si="74"/>
        <v>8.8416223542904807E-2</v>
      </c>
      <c r="K230" s="458"/>
      <c r="L230" s="163"/>
      <c r="M230" s="163"/>
    </row>
    <row r="231" spans="1:13">
      <c r="A231" s="158"/>
      <c r="B231" s="165" t="s">
        <v>218</v>
      </c>
      <c r="C231" s="504">
        <f>'[19]Sch D'!J9</f>
        <v>62</v>
      </c>
      <c r="D231" s="480"/>
      <c r="E231" s="480"/>
      <c r="F231" s="224">
        <f t="shared" si="75"/>
        <v>62</v>
      </c>
      <c r="G231" s="627"/>
      <c r="H231" s="224"/>
      <c r="I231" s="224">
        <f t="shared" si="76"/>
        <v>62</v>
      </c>
      <c r="J231" s="167">
        <f>IF($I$233=0,0,I231/$I$233)</f>
        <v>3.2321968512146805E-3</v>
      </c>
      <c r="K231" s="458"/>
      <c r="L231" s="163"/>
      <c r="M231" s="163"/>
    </row>
    <row r="232" spans="1:13">
      <c r="A232" s="158"/>
      <c r="B232" s="165" t="s">
        <v>170</v>
      </c>
      <c r="C232" s="504">
        <f>'[19]Sch D'!K9</f>
        <v>449</v>
      </c>
      <c r="D232" s="480"/>
      <c r="E232" s="480"/>
      <c r="F232" s="224">
        <f t="shared" si="75"/>
        <v>449</v>
      </c>
      <c r="G232" s="627"/>
      <c r="H232" s="224"/>
      <c r="I232" s="224">
        <f t="shared" si="76"/>
        <v>449</v>
      </c>
      <c r="J232" s="167">
        <f t="shared" si="74"/>
        <v>2.3407361067667606E-2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19182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19182</v>
      </c>
      <c r="G233" s="226">
        <f t="shared" si="78"/>
        <v>0</v>
      </c>
      <c r="H233" s="226">
        <f t="shared" si="78"/>
        <v>0</v>
      </c>
      <c r="I233" s="226">
        <f t="shared" si="78"/>
        <v>19182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'[19]Sch D'!N22</f>
        <v>93</v>
      </c>
      <c r="D236" s="480"/>
      <c r="E236" s="480"/>
      <c r="F236" s="224">
        <f>C236+E236</f>
        <v>93</v>
      </c>
      <c r="G236" s="627"/>
      <c r="H236" s="224"/>
      <c r="I236" s="224">
        <f>F236+G236+H236</f>
        <v>93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'[19]Sch D'!N24</f>
        <v>93</v>
      </c>
      <c r="D237" s="480"/>
      <c r="E237" s="480"/>
      <c r="F237" s="224">
        <f>C237+E237</f>
        <v>93</v>
      </c>
      <c r="G237" s="627"/>
      <c r="H237" s="224"/>
      <c r="I237" s="224">
        <f>F237+G237+H237</f>
        <v>93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'[19]Sch D'!N28</f>
        <v>33945</v>
      </c>
      <c r="D240" s="427"/>
      <c r="E240" s="427"/>
      <c r="F240" s="223">
        <f>F236*F238</f>
        <v>33945</v>
      </c>
      <c r="G240"/>
      <c r="H240" s="228"/>
      <c r="I240" s="223">
        <f>I236*I238</f>
        <v>33945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'[19]Sch D'!N30</f>
        <v>0.56509058771542198</v>
      </c>
      <c r="D241" s="228"/>
      <c r="E241" s="228"/>
      <c r="F241" s="232">
        <f>F233/F240</f>
        <v>0.56509058771542198</v>
      </c>
      <c r="G241"/>
      <c r="H241" s="233"/>
      <c r="I241" s="232">
        <f>I233/I240</f>
        <v>0.56509058771542198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'[19]Sch D'!N32</f>
        <v>0.36892031226984828</v>
      </c>
      <c r="D242" s="228"/>
      <c r="E242" s="228"/>
      <c r="F242" s="232">
        <f>(F224+F225)/F240</f>
        <v>0.36892031226984828</v>
      </c>
      <c r="G242"/>
      <c r="H242" s="233"/>
      <c r="I242" s="232">
        <f>(I224+I225)/I240</f>
        <v>0.36892031226984828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'[19]Sch D'!N34</f>
        <v>0.6528516317380878</v>
      </c>
      <c r="D243" s="228"/>
      <c r="E243" s="228"/>
      <c r="F243" s="232">
        <f>(F242/F241)</f>
        <v>0.6528516317380878</v>
      </c>
      <c r="G243"/>
      <c r="H243" s="233"/>
      <c r="I243" s="232">
        <f>(I242/I241)</f>
        <v>0.6528516317380878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'[19]Sch B'!C90</f>
        <v>278.74029126213594</v>
      </c>
      <c r="K246" s="460"/>
    </row>
    <row r="247" spans="1:13">
      <c r="H247" s="140" t="s">
        <v>322</v>
      </c>
      <c r="I247" s="480">
        <f>'[19]Sch B'!E90</f>
        <v>205.57468354430381</v>
      </c>
      <c r="K247" s="460"/>
    </row>
    <row r="248" spans="1:13">
      <c r="H248" s="140" t="s">
        <v>323</v>
      </c>
      <c r="I248" s="480">
        <f>'[19]Sch B'!G90</f>
        <v>196.30023640661938</v>
      </c>
      <c r="K248" s="460"/>
    </row>
    <row r="249" spans="1:13">
      <c r="H249" s="140" t="s">
        <v>324</v>
      </c>
      <c r="I249" s="480">
        <f>'[19]Sch B'!I90</f>
        <v>233.46025878003698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3"/>
  <headerFooter alignWithMargins="0">
    <oddFooter>&amp;R&amp;D
&amp;T
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E28CAB"/>
  </sheetPr>
  <dimension ref="A1:Q277"/>
  <sheetViews>
    <sheetView showGridLines="0" topLeftCell="A3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59"/>
    </row>
    <row r="2" spans="1:16" ht="23">
      <c r="B2" s="141" t="s">
        <v>178</v>
      </c>
      <c r="C2" s="234" t="s">
        <v>345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'[20]Sch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'[20]Sch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'[20]Sch B'!E10</f>
        <v>688124.42999999993</v>
      </c>
      <c r="D12" s="480">
        <f>'[20]Sch B'!G10</f>
        <v>0</v>
      </c>
      <c r="E12" s="480"/>
      <c r="F12" s="166">
        <f>C12+D12+E12</f>
        <v>688124.42999999993</v>
      </c>
      <c r="G12" s="626"/>
      <c r="H12" s="166"/>
      <c r="I12" s="166">
        <f>F12+G12+H12</f>
        <v>688124.42999999993</v>
      </c>
      <c r="J12" s="167">
        <f>IF($I$26=0,0,I12/$I$26)</f>
        <v>0.26340751183379679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'[20]Sch B'!E12</f>
        <v>366197.75</v>
      </c>
      <c r="D13" s="480">
        <f>'[20]Sch B'!G12</f>
        <v>0</v>
      </c>
      <c r="E13" s="480"/>
      <c r="F13" s="166">
        <f t="shared" ref="F13:F25" si="0">C13+D13+E13</f>
        <v>366197.75</v>
      </c>
      <c r="G13" s="626"/>
      <c r="H13" s="166"/>
      <c r="I13" s="166">
        <f t="shared" ref="I13:I25" si="1">F13+G13+H13</f>
        <v>366197.75</v>
      </c>
      <c r="J13" s="167">
        <f>IF($I$26=0,0,I13/$I$26)</f>
        <v>0.14017702898098644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'[20]Sch B'!E13</f>
        <v>0</v>
      </c>
      <c r="D14" s="480">
        <f>'[20]Sch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'[20]Sch B'!E14</f>
        <v>14102.94</v>
      </c>
      <c r="D15" s="480">
        <f>'[20]Sch B'!G14</f>
        <v>0</v>
      </c>
      <c r="E15" s="480"/>
      <c r="F15" s="166">
        <f t="shared" si="0"/>
        <v>14102.94</v>
      </c>
      <c r="G15" s="626"/>
      <c r="H15" s="166"/>
      <c r="I15" s="166">
        <f t="shared" si="1"/>
        <v>14102.94</v>
      </c>
      <c r="J15" s="167">
        <f>IF($I$26=0,0,I15/$I$26)</f>
        <v>5.3984718068232612E-3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'[20]Sch B'!E15</f>
        <v>1068425.1199999999</v>
      </c>
      <c r="D16" s="480">
        <f>'[20]Sch B'!G15</f>
        <v>0</v>
      </c>
      <c r="E16" s="480"/>
      <c r="F16" s="166">
        <f t="shared" si="0"/>
        <v>1068425.1199999999</v>
      </c>
      <c r="G16" s="626"/>
      <c r="H16" s="166"/>
      <c r="I16" s="166">
        <f>SUM(I12:I15)</f>
        <v>1068425.1199999999</v>
      </c>
      <c r="J16" s="167">
        <f t="shared" ref="J16:J26" si="2">IF($I$26=0,0,I16/$I$26)</f>
        <v>0.40898301262160647</v>
      </c>
      <c r="K16" s="458" t="s">
        <v>498</v>
      </c>
      <c r="L16" s="333" t="s">
        <v>325</v>
      </c>
      <c r="M16" s="334">
        <f>I26</f>
        <v>2612394.86</v>
      </c>
      <c r="O16" s="324">
        <f>IFERROR(I16/I224,0)</f>
        <v>270.28209461168728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'[20]Sch B'!E20</f>
        <v>0</v>
      </c>
      <c r="D17" s="480">
        <f>'[20]Sch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2384184.0399999996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'[20]Sch B'!E26</f>
        <v>1038882.1499999999</v>
      </c>
      <c r="D18" s="480">
        <f>'[20]Sch B'!G26</f>
        <v>0</v>
      </c>
      <c r="E18" s="480"/>
      <c r="F18" s="166">
        <f t="shared" si="0"/>
        <v>1038882.1499999999</v>
      </c>
      <c r="G18" s="626"/>
      <c r="H18" s="166"/>
      <c r="I18" s="166">
        <f t="shared" si="1"/>
        <v>1038882.1499999999</v>
      </c>
      <c r="J18" s="167">
        <f t="shared" si="2"/>
        <v>0.39767424362487069</v>
      </c>
      <c r="K18" s="458"/>
      <c r="L18" s="335" t="s">
        <v>327</v>
      </c>
      <c r="M18" s="336">
        <f>I233</f>
        <v>9322</v>
      </c>
      <c r="O18" s="324">
        <f t="shared" si="3"/>
        <v>517.62937219730941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'[20]Sch B'!E32</f>
        <v>0</v>
      </c>
      <c r="D19" s="480">
        <f>'[20]Sch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51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'[20]Sch B'!E37</f>
        <v>0</v>
      </c>
      <c r="D20" s="480">
        <f>'[20]Sch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18615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'[20]Sch B'!E42</f>
        <v>282861.62</v>
      </c>
      <c r="D21" s="480">
        <f>'[20]Sch B'!G42</f>
        <v>0</v>
      </c>
      <c r="E21" s="480"/>
      <c r="F21" s="166">
        <f t="shared" si="0"/>
        <v>282861.62</v>
      </c>
      <c r="G21" s="626"/>
      <c r="H21" s="166"/>
      <c r="I21" s="166">
        <f t="shared" si="1"/>
        <v>282861.62</v>
      </c>
      <c r="J21" s="167">
        <f t="shared" si="2"/>
        <v>0.10827674802575596</v>
      </c>
      <c r="K21" s="458"/>
      <c r="L21" s="337"/>
      <c r="M21" s="336"/>
      <c r="O21" s="324">
        <f t="shared" si="3"/>
        <v>127.35777577667717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'[20]Sch B'!E47</f>
        <v>174117.2</v>
      </c>
      <c r="D22" s="480">
        <f>'[20]Sch B'!G47</f>
        <v>0</v>
      </c>
      <c r="E22" s="480"/>
      <c r="F22" s="166">
        <f t="shared" si="0"/>
        <v>174117.2</v>
      </c>
      <c r="G22" s="626"/>
      <c r="H22" s="166"/>
      <c r="I22" s="166">
        <f t="shared" si="1"/>
        <v>174117.2</v>
      </c>
      <c r="J22" s="167">
        <f t="shared" si="2"/>
        <v>6.6650414401749361E-2</v>
      </c>
      <c r="K22" s="458"/>
      <c r="L22" s="335" t="s">
        <v>148</v>
      </c>
      <c r="M22" s="336">
        <f>L213</f>
        <v>62759.520000000004</v>
      </c>
      <c r="O22" s="324">
        <f t="shared" si="3"/>
        <v>153.40722466960352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'[20]Sch B'!E52</f>
        <v>0</v>
      </c>
      <c r="D23" s="480">
        <f>'[20]Sch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65214.9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'[20]Sch B'!E57</f>
        <v>0</v>
      </c>
      <c r="D24" s="480">
        <f>'[20]Sch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'[20]Sch B'!E72</f>
        <v>59372.770000000004</v>
      </c>
      <c r="D25" s="480">
        <f>'[20]Sch B'!G72</f>
        <v>0</v>
      </c>
      <c r="E25" s="480"/>
      <c r="F25" s="166">
        <f t="shared" si="0"/>
        <v>59372.770000000004</v>
      </c>
      <c r="G25" s="626">
        <f>-7852-3412</f>
        <v>-11264</v>
      </c>
      <c r="H25" s="166"/>
      <c r="I25" s="166">
        <f t="shared" si="1"/>
        <v>48108.770000000004</v>
      </c>
      <c r="J25" s="167">
        <f t="shared" si="2"/>
        <v>1.8415581326017463E-2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2623658.86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2623658.86</v>
      </c>
      <c r="G26" s="166">
        <f>SUM(G12:G25)</f>
        <v>-11264</v>
      </c>
      <c r="H26" s="166">
        <f>SUM(H12:H25)</f>
        <v>0</v>
      </c>
      <c r="I26" s="166">
        <f>SUM(I16:I25)</f>
        <v>2612394.86</v>
      </c>
      <c r="J26" s="167">
        <f t="shared" si="2"/>
        <v>1</v>
      </c>
      <c r="K26" s="458"/>
      <c r="L26" s="163"/>
      <c r="M26" s="163"/>
      <c r="O26" s="324">
        <f>IFERROR(I26/I233,0)</f>
        <v>280.23974039905596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'[20]Sch C'!D10</f>
        <v>68854.039999999994</v>
      </c>
      <c r="D30" s="480">
        <f>'[20]Sch C'!F10</f>
        <v>0</v>
      </c>
      <c r="E30" s="480">
        <f>+'[20]Sch C'!H10</f>
        <v>0</v>
      </c>
      <c r="F30" s="166">
        <f t="shared" ref="F30:F65" si="5">C30+D30+E30</f>
        <v>68854.039999999994</v>
      </c>
      <c r="G30" s="626"/>
      <c r="H30" s="166"/>
      <c r="I30" s="166">
        <f t="shared" ref="I30:I65" si="6">F30+G30+H30</f>
        <v>68854.039999999994</v>
      </c>
      <c r="J30" s="167">
        <f>IF($I$213=0,0,I30/$I$213)</f>
        <v>2.8879498748762705E-2</v>
      </c>
      <c r="K30" s="458"/>
      <c r="L30" s="176">
        <v>2064.08</v>
      </c>
      <c r="M30" s="176">
        <v>2168.08</v>
      </c>
      <c r="O30" s="324">
        <f>I30/I$233</f>
        <v>7.3861875134091388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'[20]Sch C'!D11</f>
        <v>0</v>
      </c>
      <c r="D31" s="480">
        <f>'[20]Sch C'!F11</f>
        <v>0</v>
      </c>
      <c r="E31" s="480">
        <f>+'[20]Sch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'[20]Sch C'!D12</f>
        <v>33851.35</v>
      </c>
      <c r="D32" s="480">
        <f>'[20]Sch C'!F12</f>
        <v>0</v>
      </c>
      <c r="E32" s="480">
        <f>+'[20]Sch C'!H12</f>
        <v>0</v>
      </c>
      <c r="F32" s="166">
        <f t="shared" si="5"/>
        <v>33851.35</v>
      </c>
      <c r="G32" s="626"/>
      <c r="H32" s="166"/>
      <c r="I32" s="166">
        <f t="shared" si="6"/>
        <v>33851.35</v>
      </c>
      <c r="J32" s="167">
        <f t="shared" si="7"/>
        <v>1.4198295698682726E-2</v>
      </c>
      <c r="K32" s="458"/>
      <c r="L32" s="176">
        <v>1915.16</v>
      </c>
      <c r="M32" s="176">
        <v>2066.08</v>
      </c>
      <c r="O32" s="324">
        <f t="shared" si="8"/>
        <v>3.631339841235786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'[20]Sch C'!D13</f>
        <v>253840</v>
      </c>
      <c r="D33" s="480">
        <f>'[20]Sch C'!F13</f>
        <v>-225521.53491001143</v>
      </c>
      <c r="E33" s="480">
        <f>+'[20]Sch C'!H13</f>
        <v>0</v>
      </c>
      <c r="F33" s="166">
        <f t="shared" si="5"/>
        <v>28318.465089988575</v>
      </c>
      <c r="G33" s="626"/>
      <c r="H33" s="166"/>
      <c r="I33" s="166">
        <f t="shared" si="6"/>
        <v>28318.465089988575</v>
      </c>
      <c r="J33" s="167">
        <f t="shared" si="7"/>
        <v>1.1877633863360892E-2</v>
      </c>
      <c r="K33" s="458"/>
      <c r="L33" s="163"/>
      <c r="M33" s="163"/>
      <c r="O33" s="324">
        <f t="shared" si="8"/>
        <v>3.0378100289625158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'[20]Sch C'!D14</f>
        <v>3600</v>
      </c>
      <c r="D34" s="480">
        <f>'[20]Sch C'!F14</f>
        <v>0</v>
      </c>
      <c r="E34" s="480">
        <f>+'[20]Sch C'!H14</f>
        <v>0</v>
      </c>
      <c r="F34" s="166">
        <f t="shared" si="5"/>
        <v>3600</v>
      </c>
      <c r="G34" s="626"/>
      <c r="H34" s="166"/>
      <c r="I34" s="166">
        <f t="shared" si="6"/>
        <v>3600</v>
      </c>
      <c r="J34" s="167">
        <f t="shared" si="7"/>
        <v>1.5099505489517499E-3</v>
      </c>
      <c r="K34" s="458"/>
      <c r="L34" s="163"/>
      <c r="M34" s="163"/>
      <c r="O34" s="324">
        <f t="shared" si="8"/>
        <v>0.38618322248444542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'[20]Sch C'!D15</f>
        <v>38400</v>
      </c>
      <c r="D35" s="480">
        <f>'[20]Sch C'!F15</f>
        <v>0</v>
      </c>
      <c r="E35" s="480">
        <f>+'[20]Sch C'!H15</f>
        <v>-38400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'[20]Sch C'!D16</f>
        <v>0</v>
      </c>
      <c r="D36" s="480">
        <f>'[20]Sch C'!F16</f>
        <v>0</v>
      </c>
      <c r="E36" s="480">
        <f>+'[20]Sch C'!H16</f>
        <v>110931</v>
      </c>
      <c r="F36" s="166">
        <f t="shared" si="5"/>
        <v>110931</v>
      </c>
      <c r="G36" s="626"/>
      <c r="H36" s="166"/>
      <c r="I36" s="166">
        <f t="shared" si="6"/>
        <v>110931</v>
      </c>
      <c r="J36" s="167">
        <f t="shared" si="7"/>
        <v>4.6527867873824041E-2</v>
      </c>
      <c r="K36" s="458"/>
      <c r="L36" s="163"/>
      <c r="M36" s="163"/>
      <c r="O36" s="324">
        <f t="shared" si="8"/>
        <v>11.899914181506114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'[20]Sch C'!D17</f>
        <v>7682.35</v>
      </c>
      <c r="D37" s="480">
        <f>'[20]Sch C'!F17</f>
        <v>-7682.35</v>
      </c>
      <c r="E37" s="480">
        <f>+'[20]Sch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'[20]Sch C'!D18</f>
        <v>17559.07</v>
      </c>
      <c r="D38" s="480">
        <f>'[20]Sch C'!F18</f>
        <v>0</v>
      </c>
      <c r="E38" s="480">
        <f>+'[20]Sch C'!H18</f>
        <v>0</v>
      </c>
      <c r="F38" s="166">
        <f t="shared" si="5"/>
        <v>17559.07</v>
      </c>
      <c r="G38" s="626"/>
      <c r="H38" s="166"/>
      <c r="I38" s="166">
        <f t="shared" si="6"/>
        <v>17559.07</v>
      </c>
      <c r="J38" s="167">
        <f t="shared" si="7"/>
        <v>7.3648131626617222E-3</v>
      </c>
      <c r="K38" s="458"/>
      <c r="L38" s="163"/>
      <c r="M38" s="163"/>
      <c r="O38" s="324">
        <f t="shared" si="8"/>
        <v>1.8836161767860973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'[20]Sch C'!D19</f>
        <v>8159.98</v>
      </c>
      <c r="D39" s="480">
        <f>'[20]Sch C'!F19</f>
        <v>0</v>
      </c>
      <c r="E39" s="480">
        <f>+'[20]Sch C'!H19</f>
        <v>0</v>
      </c>
      <c r="F39" s="166">
        <f t="shared" si="5"/>
        <v>8159.98</v>
      </c>
      <c r="G39" s="626"/>
      <c r="H39" s="166"/>
      <c r="I39" s="166">
        <f t="shared" si="6"/>
        <v>8159.98</v>
      </c>
      <c r="J39" s="167">
        <f t="shared" si="7"/>
        <v>3.422546189009805E-3</v>
      </c>
      <c r="K39" s="458"/>
      <c r="L39" s="163"/>
      <c r="M39" s="163"/>
      <c r="O39" s="324">
        <f t="shared" si="8"/>
        <v>0.87534649216906235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'[20]Sch C'!D20</f>
        <v>8334</v>
      </c>
      <c r="D40" s="480">
        <f>'[20]Sch C'!F20</f>
        <v>0</v>
      </c>
      <c r="E40" s="480">
        <f>+'[20]Sch C'!H20</f>
        <v>0</v>
      </c>
      <c r="F40" s="166">
        <f t="shared" si="5"/>
        <v>8334</v>
      </c>
      <c r="G40" s="626"/>
      <c r="H40" s="166"/>
      <c r="I40" s="166">
        <f t="shared" si="6"/>
        <v>8334</v>
      </c>
      <c r="J40" s="167">
        <f t="shared" si="7"/>
        <v>3.4955355208233009E-3</v>
      </c>
      <c r="K40" s="458"/>
      <c r="L40" s="163"/>
      <c r="M40" s="163"/>
      <c r="O40" s="324">
        <f t="shared" si="8"/>
        <v>0.89401416005149115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'[20]Sch C'!D21</f>
        <v>25990.28</v>
      </c>
      <c r="D41" s="480">
        <f>'[20]Sch C'!F21</f>
        <v>0</v>
      </c>
      <c r="E41" s="480">
        <f>+'[20]Sch C'!H21</f>
        <v>0</v>
      </c>
      <c r="F41" s="166">
        <f t="shared" si="5"/>
        <v>25990.28</v>
      </c>
      <c r="G41" s="626"/>
      <c r="H41" s="166"/>
      <c r="I41" s="166">
        <f t="shared" si="6"/>
        <v>25990.28</v>
      </c>
      <c r="J41" s="167">
        <f t="shared" si="7"/>
        <v>1.0901121542613801E-2</v>
      </c>
      <c r="K41" s="458"/>
      <c r="L41" s="163"/>
      <c r="M41" s="163"/>
      <c r="O41" s="324">
        <f t="shared" si="8"/>
        <v>2.7880583565758421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'[20]Sch C'!D22</f>
        <v>0</v>
      </c>
      <c r="D42" s="480">
        <f>'[20]Sch C'!F22</f>
        <v>0</v>
      </c>
      <c r="E42" s="480">
        <f>+'[20]Sch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'[20]Sch C'!D23</f>
        <v>5060.0600000000004</v>
      </c>
      <c r="D43" s="480">
        <f>'[20]Sch C'!F23</f>
        <v>0</v>
      </c>
      <c r="E43" s="480">
        <f>+'[20]Sch C'!H23</f>
        <v>0</v>
      </c>
      <c r="F43" s="166">
        <f t="shared" si="5"/>
        <v>5060.0600000000004</v>
      </c>
      <c r="G43" s="626"/>
      <c r="H43" s="166"/>
      <c r="I43" s="166">
        <f t="shared" si="6"/>
        <v>5060.0600000000004</v>
      </c>
      <c r="J43" s="167">
        <f t="shared" si="7"/>
        <v>2.1223445485357754E-3</v>
      </c>
      <c r="K43" s="458"/>
      <c r="L43" s="163"/>
      <c r="M43" s="163"/>
      <c r="O43" s="324">
        <f t="shared" si="8"/>
        <v>0.54280841021240078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'[20]Sch C'!D24</f>
        <v>29759.53</v>
      </c>
      <c r="D44" s="480">
        <f>'[20]Sch C'!F24</f>
        <v>0</v>
      </c>
      <c r="E44" s="480">
        <f>+'[20]Sch C'!H24</f>
        <v>-29760</v>
      </c>
      <c r="F44" s="166">
        <f t="shared" si="5"/>
        <v>-0.47000000000116415</v>
      </c>
      <c r="G44" s="626"/>
      <c r="H44" s="166"/>
      <c r="I44" s="166">
        <f t="shared" si="6"/>
        <v>-0.47000000000116415</v>
      </c>
      <c r="J44" s="167">
        <f t="shared" si="7"/>
        <v>-1.9713243278030007E-7</v>
      </c>
      <c r="K44" s="458"/>
      <c r="L44" s="163"/>
      <c r="M44" s="163"/>
      <c r="O44" s="324">
        <f t="shared" si="8"/>
        <v>-5.0418365157816362E-5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'[20]Sch C'!D25</f>
        <v>0</v>
      </c>
      <c r="D45" s="480">
        <f>'[20]Sch C'!F25</f>
        <v>0</v>
      </c>
      <c r="E45" s="480">
        <f>+'[20]Sch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'[20]Sch C'!D26</f>
        <v>153342.79999999999</v>
      </c>
      <c r="D46" s="480">
        <f>'[20]Sch C'!F26</f>
        <v>0</v>
      </c>
      <c r="E46" s="480">
        <f>+'[20]Sch C'!H26</f>
        <v>0</v>
      </c>
      <c r="F46" s="166">
        <f t="shared" si="5"/>
        <v>153342.79999999999</v>
      </c>
      <c r="G46" s="626"/>
      <c r="H46" s="166"/>
      <c r="I46" s="166">
        <f t="shared" si="6"/>
        <v>153342.79999999999</v>
      </c>
      <c r="J46" s="167">
        <f t="shared" si="7"/>
        <v>6.4316679177166214E-2</v>
      </c>
      <c r="K46" s="458"/>
      <c r="L46" s="163"/>
      <c r="M46" s="163"/>
      <c r="O46" s="324">
        <f t="shared" si="8"/>
        <v>16.449560180218835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'[20]Sch C'!D27</f>
        <v>0</v>
      </c>
      <c r="D47" s="480">
        <f>'[20]Sch C'!F27</f>
        <v>0</v>
      </c>
      <c r="E47" s="480">
        <f>+'[20]Sch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'[20]Sch C'!D28</f>
        <v>0</v>
      </c>
      <c r="D48" s="480">
        <f>'[20]Sch C'!F28</f>
        <v>0</v>
      </c>
      <c r="E48" s="480">
        <f>+'[20]Sch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'[20]Sch C'!D29</f>
        <v>4172.33</v>
      </c>
      <c r="D49" s="480">
        <f>'[20]Sch C'!F29</f>
        <v>-4172.33</v>
      </c>
      <c r="E49" s="480">
        <f>+'[20]Sch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'[20]Sch C'!D30</f>
        <v>210.71</v>
      </c>
      <c r="D50" s="480">
        <f>'[20]Sch C'!F30</f>
        <v>-210.71</v>
      </c>
      <c r="E50" s="480">
        <f>+'[20]Sch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'[20]Sch C'!D31</f>
        <v>33437.49</v>
      </c>
      <c r="D51" s="480">
        <f>'[20]Sch C'!F31</f>
        <v>0</v>
      </c>
      <c r="E51" s="480">
        <f>+'[20]Sch C'!H31</f>
        <v>0</v>
      </c>
      <c r="F51" s="166">
        <f t="shared" si="5"/>
        <v>33437.49</v>
      </c>
      <c r="G51" s="626"/>
      <c r="H51" s="166"/>
      <c r="I51" s="166">
        <f t="shared" si="6"/>
        <v>33437.49</v>
      </c>
      <c r="J51" s="167">
        <f t="shared" si="7"/>
        <v>1.4024710105852401E-2</v>
      </c>
      <c r="K51" s="458"/>
      <c r="L51" s="163"/>
      <c r="M51" s="163"/>
      <c r="O51" s="324">
        <f t="shared" si="8"/>
        <v>3.5869437888865048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'[20]Sch C'!D32</f>
        <v>12904</v>
      </c>
      <c r="D52" s="480">
        <f>'[20]Sch C'!F32</f>
        <v>0</v>
      </c>
      <c r="E52" s="480">
        <f>+'[20]Sch C'!H32</f>
        <v>0</v>
      </c>
      <c r="F52" s="166">
        <f t="shared" si="5"/>
        <v>12904</v>
      </c>
      <c r="G52" s="626"/>
      <c r="H52" s="166"/>
      <c r="I52" s="166">
        <f t="shared" si="6"/>
        <v>12904</v>
      </c>
      <c r="J52" s="167">
        <f t="shared" si="7"/>
        <v>5.4123338565759387E-3</v>
      </c>
      <c r="K52" s="458"/>
      <c r="L52" s="163"/>
      <c r="M52" s="163"/>
      <c r="O52" s="324">
        <f t="shared" si="8"/>
        <v>1.3842523063720231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'[20]Sch C'!D33</f>
        <v>0</v>
      </c>
      <c r="D53" s="480">
        <f>'[20]Sch C'!F33</f>
        <v>0</v>
      </c>
      <c r="E53" s="480">
        <f>+'[20]Sch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'[20]Sch C'!D34</f>
        <v>0</v>
      </c>
      <c r="D54" s="480">
        <f>'[20]Sch C'!F34</f>
        <v>0</v>
      </c>
      <c r="E54" s="480">
        <f>+'[20]Sch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'[20]Sch C'!D35</f>
        <v>0</v>
      </c>
      <c r="D55" s="480">
        <f>'[20]Sch C'!F35</f>
        <v>0</v>
      </c>
      <c r="E55" s="480">
        <f>+'[20]Sch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'[20]Sch C'!D36</f>
        <v>0</v>
      </c>
      <c r="D56" s="480">
        <f>'[20]Sch C'!F36</f>
        <v>0</v>
      </c>
      <c r="E56" s="480">
        <f>+'[20]Sch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'[20]Sch C'!D37</f>
        <v>0</v>
      </c>
      <c r="D57" s="480">
        <f>'[20]Sch C'!F37</f>
        <v>0</v>
      </c>
      <c r="E57" s="480">
        <f>+'[20]Sch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'[20]Sch C'!D38</f>
        <v>877.47</v>
      </c>
      <c r="D58" s="480">
        <f>'[20]Sch C'!F38</f>
        <v>0</v>
      </c>
      <c r="E58" s="480">
        <f>+'[20]Sch C'!H38</f>
        <v>0</v>
      </c>
      <c r="F58" s="166">
        <f t="shared" si="5"/>
        <v>877.47</v>
      </c>
      <c r="G58" s="626"/>
      <c r="H58" s="166"/>
      <c r="I58" s="166">
        <f t="shared" si="6"/>
        <v>877.47</v>
      </c>
      <c r="J58" s="167">
        <f t="shared" si="7"/>
        <v>3.6803786338574776E-4</v>
      </c>
      <c r="K58" s="458"/>
      <c r="L58" s="163"/>
      <c r="M58" s="163"/>
      <c r="O58" s="324">
        <f t="shared" si="8"/>
        <v>9.4128942287062867E-2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'[20]Sch C'!D39</f>
        <v>1791.92</v>
      </c>
      <c r="D59" s="480">
        <f>'[20]Sch C'!F39</f>
        <v>0</v>
      </c>
      <c r="E59" s="480">
        <f>+'[20]Sch C'!H39</f>
        <v>0</v>
      </c>
      <c r="F59" s="166">
        <f t="shared" si="5"/>
        <v>1791.92</v>
      </c>
      <c r="G59" s="626"/>
      <c r="H59" s="166"/>
      <c r="I59" s="166">
        <f t="shared" si="6"/>
        <v>1791.92</v>
      </c>
      <c r="J59" s="167">
        <f t="shared" si="7"/>
        <v>7.5158627435489432E-4</v>
      </c>
      <c r="K59" s="458"/>
      <c r="L59" s="163"/>
      <c r="M59" s="163"/>
      <c r="O59" s="324">
        <f t="shared" si="8"/>
        <v>0.19222484445397983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'[20]Sch C'!D40</f>
        <v>8286.08</v>
      </c>
      <c r="D60" s="480">
        <f>'[20]Sch C'!F40</f>
        <v>-8286.08</v>
      </c>
      <c r="E60" s="480">
        <f>+'[20]Sch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'[20]Sch C'!D41</f>
        <v>0</v>
      </c>
      <c r="D61" s="480">
        <f>'[20]Sch C'!F41</f>
        <v>0</v>
      </c>
      <c r="E61" s="480">
        <f>+'[20]Sch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'[20]Sch C'!D42</f>
        <v>1155</v>
      </c>
      <c r="D62" s="480">
        <f>'[20]Sch C'!F42</f>
        <v>0</v>
      </c>
      <c r="E62" s="480">
        <f>+'[20]Sch C'!H42</f>
        <v>0</v>
      </c>
      <c r="F62" s="166">
        <f t="shared" si="5"/>
        <v>1155</v>
      </c>
      <c r="G62" s="626"/>
      <c r="H62" s="166"/>
      <c r="I62" s="166">
        <f t="shared" si="6"/>
        <v>1155</v>
      </c>
      <c r="J62" s="167">
        <f t="shared" si="7"/>
        <v>4.8444246778868639E-4</v>
      </c>
      <c r="K62" s="458"/>
      <c r="L62" s="163"/>
      <c r="M62" s="163"/>
      <c r="O62" s="324">
        <f t="shared" si="8"/>
        <v>0.12390045054709289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'[20]Sch C'!D43</f>
        <v>0</v>
      </c>
      <c r="D63" s="480">
        <f>'[20]Sch C'!F43</f>
        <v>0</v>
      </c>
      <c r="E63" s="480">
        <f>+'[20]Sch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'[20]Sch C'!D44</f>
        <v>0</v>
      </c>
      <c r="D64" s="480">
        <f>'[20]Sch C'!F44</f>
        <v>0</v>
      </c>
      <c r="E64" s="480">
        <f>+'[20]Sch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'[20]Sch C'!D45</f>
        <v>120614.16</v>
      </c>
      <c r="D65" s="480">
        <f>'[20]Sch C'!F45</f>
        <v>0</v>
      </c>
      <c r="E65" s="480">
        <f>+'[20]Sch C'!H45</f>
        <v>0</v>
      </c>
      <c r="F65" s="166">
        <f t="shared" si="5"/>
        <v>120614.16</v>
      </c>
      <c r="G65" s="626">
        <f>-120184-7852-3412</f>
        <v>-131448</v>
      </c>
      <c r="H65" s="166"/>
      <c r="I65" s="166">
        <f t="shared" si="6"/>
        <v>-10833.839999999997</v>
      </c>
      <c r="J65" s="167">
        <f t="shared" si="7"/>
        <v>-4.5440451820153941E-3</v>
      </c>
      <c r="K65" s="458"/>
      <c r="L65" s="163"/>
      <c r="M65" s="163"/>
      <c r="O65" s="324">
        <f t="shared" si="8"/>
        <v>-1.1621797897446895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837882.61999999988</v>
      </c>
      <c r="D66" s="480">
        <f t="shared" si="9"/>
        <v>-245873.0049100114</v>
      </c>
      <c r="E66" s="480">
        <f t="shared" si="9"/>
        <v>42771</v>
      </c>
      <c r="F66" s="166">
        <f t="shared" ref="F66:I66" si="10">SUM(F30:F65)</f>
        <v>634780.61508998845</v>
      </c>
      <c r="G66" s="166">
        <f t="shared" si="10"/>
        <v>-131448</v>
      </c>
      <c r="H66" s="166">
        <f t="shared" si="10"/>
        <v>0</v>
      </c>
      <c r="I66" s="166">
        <f t="shared" si="10"/>
        <v>503332.61508998845</v>
      </c>
      <c r="J66" s="178">
        <f t="shared" si="7"/>
        <v>0.21111315512790219</v>
      </c>
      <c r="K66" s="465"/>
      <c r="L66" s="163"/>
      <c r="M66" s="163"/>
      <c r="O66" s="329">
        <f>I66/I$233</f>
        <v>53.994058688048533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'[20]Sch C'!D57</f>
        <v>42000</v>
      </c>
      <c r="D69" s="480">
        <f>'[20]Sch C'!F57</f>
        <v>0</v>
      </c>
      <c r="E69" s="480">
        <f>+'[20]Sch C'!H57</f>
        <v>-42000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'[20]Sch C'!D58</f>
        <v>112478.93</v>
      </c>
      <c r="D70" s="480">
        <f>'[20]Sch C'!F58</f>
        <v>0</v>
      </c>
      <c r="E70" s="480">
        <f>+'[20]Sch C'!H58</f>
        <v>0</v>
      </c>
      <c r="F70" s="166">
        <f t="shared" ref="F70:F83" si="13">C70+D70+E70</f>
        <v>112478.93</v>
      </c>
      <c r="G70" s="626"/>
      <c r="H70" s="166"/>
      <c r="I70" s="166">
        <f t="shared" ref="I70:I83" si="14">F70+G70+H70</f>
        <v>112478.93</v>
      </c>
      <c r="J70" s="167">
        <f t="shared" si="11"/>
        <v>4.7177117249723732E-2</v>
      </c>
      <c r="K70" s="458"/>
      <c r="L70" s="182"/>
      <c r="M70" s="163"/>
      <c r="O70" s="324">
        <f t="shared" si="12"/>
        <v>12.06596545805621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'[20]Sch C'!D59</f>
        <v>0</v>
      </c>
      <c r="D71" s="480">
        <f>'[20]Sch C'!F59</f>
        <v>0</v>
      </c>
      <c r="E71" s="480">
        <f>+'[20]Sch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'[20]Sch C'!D60</f>
        <v>0</v>
      </c>
      <c r="D72" s="480">
        <f>'[20]Sch C'!F60</f>
        <v>0</v>
      </c>
      <c r="E72" s="480">
        <f>+'[20]Sch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'[20]Sch C'!D61</f>
        <v>12762</v>
      </c>
      <c r="D73" s="480">
        <f>'[20]Sch C'!F61</f>
        <v>0</v>
      </c>
      <c r="E73" s="480">
        <f>+'[20]Sch C'!H61</f>
        <v>0</v>
      </c>
      <c r="F73" s="166">
        <f t="shared" si="13"/>
        <v>12762</v>
      </c>
      <c r="G73" s="626"/>
      <c r="H73" s="166"/>
      <c r="I73" s="166">
        <f t="shared" si="14"/>
        <v>12762</v>
      </c>
      <c r="J73" s="167">
        <f t="shared" si="11"/>
        <v>5.3527746960339529E-3</v>
      </c>
      <c r="K73" s="458"/>
      <c r="L73" s="185"/>
      <c r="M73" s="163"/>
      <c r="O73" s="324">
        <f t="shared" si="12"/>
        <v>1.369019523707359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'[20]Sch C'!D62</f>
        <v>6100.82</v>
      </c>
      <c r="D74" s="480">
        <f>'[20]Sch C'!F62</f>
        <v>0</v>
      </c>
      <c r="E74" s="480">
        <f>+'[20]Sch C'!H62</f>
        <v>0</v>
      </c>
      <c r="F74" s="166">
        <f t="shared" si="13"/>
        <v>6100.82</v>
      </c>
      <c r="G74" s="626"/>
      <c r="H74" s="166"/>
      <c r="I74" s="166">
        <f t="shared" si="14"/>
        <v>6100.82</v>
      </c>
      <c r="J74" s="167">
        <f t="shared" si="11"/>
        <v>2.5588712522377263E-3</v>
      </c>
      <c r="K74" s="458"/>
      <c r="L74" s="187"/>
      <c r="M74" s="163"/>
      <c r="O74" s="324">
        <f t="shared" si="12"/>
        <v>0.65445397983265385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'[20]Sch C'!D63</f>
        <v>0</v>
      </c>
      <c r="D75" s="480">
        <f>'[20]Sch C'!F63</f>
        <v>0</v>
      </c>
      <c r="E75" s="480">
        <f>+'[20]Sch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'[20]Sch C'!D64</f>
        <v>0</v>
      </c>
      <c r="D76" s="480">
        <f>'[20]Sch C'!F64</f>
        <v>0</v>
      </c>
      <c r="E76" s="480">
        <f>+'[20]Sch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'[20]Sch C'!D65</f>
        <v>3140.61</v>
      </c>
      <c r="D77" s="480">
        <f>'[20]Sch C'!F65</f>
        <v>0</v>
      </c>
      <c r="E77" s="480">
        <f>+'[20]Sch C'!H65</f>
        <v>0</v>
      </c>
      <c r="F77" s="166">
        <f t="shared" si="13"/>
        <v>3140.61</v>
      </c>
      <c r="G77" s="626"/>
      <c r="H77" s="166"/>
      <c r="I77" s="166">
        <f t="shared" si="14"/>
        <v>3140.61</v>
      </c>
      <c r="J77" s="167">
        <f t="shared" si="11"/>
        <v>1.3172682759842653E-3</v>
      </c>
      <c r="K77" s="458"/>
      <c r="L77" s="187"/>
      <c r="M77" s="163"/>
      <c r="O77" s="324">
        <f t="shared" si="12"/>
        <v>0.33690302510190945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'[20]Sch C'!D66</f>
        <v>23886.080000000002</v>
      </c>
      <c r="D78" s="480">
        <f>'[20]Sch C'!F66</f>
        <v>0</v>
      </c>
      <c r="E78" s="480">
        <f>+'[20]Sch C'!H66</f>
        <v>0</v>
      </c>
      <c r="F78" s="166">
        <f t="shared" si="13"/>
        <v>23886.080000000002</v>
      </c>
      <c r="G78" s="626"/>
      <c r="H78" s="166"/>
      <c r="I78" s="166">
        <f t="shared" si="14"/>
        <v>23886.080000000002</v>
      </c>
      <c r="J78" s="167">
        <f t="shared" si="11"/>
        <v>1.0018555446751504E-2</v>
      </c>
      <c r="K78" s="458"/>
      <c r="L78" s="187"/>
      <c r="M78" s="163"/>
      <c r="O78" s="324">
        <f t="shared" si="12"/>
        <v>2.5623342630336841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'[20]Sch C'!D67</f>
        <v>12060.17</v>
      </c>
      <c r="D79" s="480">
        <f>'[20]Sch C'!F67</f>
        <v>0</v>
      </c>
      <c r="E79" s="480">
        <f>+'[20]Sch C'!H67</f>
        <v>0</v>
      </c>
      <c r="F79" s="166">
        <f t="shared" si="13"/>
        <v>12060.17</v>
      </c>
      <c r="G79" s="626"/>
      <c r="H79" s="166"/>
      <c r="I79" s="166">
        <f t="shared" si="14"/>
        <v>12060.17</v>
      </c>
      <c r="J79" s="167">
        <f t="shared" si="11"/>
        <v>5.0584056422087291E-3</v>
      </c>
      <c r="K79" s="458"/>
      <c r="L79" s="187"/>
      <c r="M79" s="163"/>
      <c r="O79" s="324">
        <f t="shared" si="12"/>
        <v>1.2937320317528427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'[20]Sch C'!D68</f>
        <v>0</v>
      </c>
      <c r="D80" s="480">
        <f>'[20]Sch C'!F68</f>
        <v>0</v>
      </c>
      <c r="E80" s="480">
        <f>+'[20]Sch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'[20]Sch C'!D69</f>
        <v>0</v>
      </c>
      <c r="D81" s="480">
        <f>'[20]Sch C'!F69</f>
        <v>0</v>
      </c>
      <c r="E81" s="480">
        <f>+'[20]Sch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'[20]Sch C'!D70</f>
        <v>-500</v>
      </c>
      <c r="D82" s="480">
        <f>'[20]Sch C'!F70</f>
        <v>0</v>
      </c>
      <c r="E82" s="480">
        <f>+'[20]Sch C'!H70</f>
        <v>0</v>
      </c>
      <c r="F82" s="166">
        <f t="shared" si="13"/>
        <v>-500</v>
      </c>
      <c r="G82" s="626"/>
      <c r="H82" s="166"/>
      <c r="I82" s="166">
        <f t="shared" si="14"/>
        <v>-500</v>
      </c>
      <c r="J82" s="167">
        <f t="shared" si="11"/>
        <v>-2.0971535402107636E-4</v>
      </c>
      <c r="K82" s="458"/>
      <c r="L82" s="187"/>
      <c r="M82" s="163"/>
      <c r="O82" s="324">
        <f t="shared" si="12"/>
        <v>-5.3636558678395195E-2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'[20]Sch C'!D71</f>
        <v>0</v>
      </c>
      <c r="D83" s="480">
        <f>'[20]Sch C'!F71</f>
        <v>0</v>
      </c>
      <c r="E83" s="480">
        <f>+'[20]Sch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211928.61000000002</v>
      </c>
      <c r="D84" s="480">
        <f t="shared" si="15"/>
        <v>0</v>
      </c>
      <c r="E84" s="480">
        <f t="shared" si="15"/>
        <v>-42000</v>
      </c>
      <c r="F84" s="166">
        <f t="shared" ref="F84:I84" si="16">SUM(F69:F83)</f>
        <v>169928.61000000002</v>
      </c>
      <c r="G84" s="166">
        <f t="shared" si="16"/>
        <v>0</v>
      </c>
      <c r="H84" s="166">
        <f t="shared" si="16"/>
        <v>0</v>
      </c>
      <c r="I84" s="166">
        <f t="shared" si="16"/>
        <v>169928.61000000002</v>
      </c>
      <c r="J84" s="167">
        <f t="shared" si="11"/>
        <v>7.1273277208918837E-2</v>
      </c>
      <c r="K84" s="458"/>
      <c r="L84" s="187"/>
      <c r="M84" s="163"/>
      <c r="O84" s="324">
        <f t="shared" si="12"/>
        <v>18.228771722806265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'[20]Sch C'!D75</f>
        <v>28910.89</v>
      </c>
      <c r="D87" s="480">
        <f>'[20]Sch C'!F75</f>
        <v>0</v>
      </c>
      <c r="E87" s="480">
        <f>+'[20]Sch C'!H75</f>
        <v>0</v>
      </c>
      <c r="F87" s="166">
        <f t="shared" ref="F87:F97" si="17">C87+D87+E87</f>
        <v>28910.89</v>
      </c>
      <c r="G87" s="626"/>
      <c r="H87" s="166"/>
      <c r="I87" s="166">
        <f t="shared" ref="I87:I97" si="18">F87+G87+H87</f>
        <v>28910.89</v>
      </c>
      <c r="J87" s="167">
        <f t="shared" ref="J87:J98" si="19">IF($I$213=0,0,I87/$I$213)</f>
        <v>1.2126115062828792E-2</v>
      </c>
      <c r="K87" s="458"/>
      <c r="L87" s="176">
        <v>1858.31</v>
      </c>
      <c r="M87" s="176">
        <v>1943.61</v>
      </c>
      <c r="O87" s="324">
        <f t="shared" ref="O87:O97" si="20">I87/I$233</f>
        <v>3.1013612958592578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'[20]Sch C'!D76</f>
        <v>0</v>
      </c>
      <c r="D88" s="480">
        <f>'[20]Sch C'!F76</f>
        <v>7971.4611782838292</v>
      </c>
      <c r="E88" s="480">
        <f>+'[20]Sch C'!H76</f>
        <v>0</v>
      </c>
      <c r="F88" s="166">
        <f t="shared" si="17"/>
        <v>7971.4611782838292</v>
      </c>
      <c r="G88" s="626"/>
      <c r="H88" s="166"/>
      <c r="I88" s="166">
        <f t="shared" si="18"/>
        <v>7971.4611782838292</v>
      </c>
      <c r="J88" s="167">
        <f t="shared" si="19"/>
        <v>3.3434756061381196E-3</v>
      </c>
      <c r="K88" s="458"/>
      <c r="L88" s="163"/>
      <c r="M88" s="163"/>
      <c r="O88" s="324">
        <f t="shared" si="20"/>
        <v>0.85512349048313985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'[20]Sch C'!D77</f>
        <v>286.98</v>
      </c>
      <c r="D89" s="480">
        <f>'[20]Sch C'!F77</f>
        <v>0</v>
      </c>
      <c r="E89" s="480">
        <f>+'[20]Sch C'!H77</f>
        <v>0</v>
      </c>
      <c r="F89" s="166">
        <f t="shared" si="17"/>
        <v>286.98</v>
      </c>
      <c r="G89" s="626"/>
      <c r="H89" s="166"/>
      <c r="I89" s="166">
        <f t="shared" si="18"/>
        <v>286.98</v>
      </c>
      <c r="J89" s="167">
        <f t="shared" si="19"/>
        <v>1.2036822459393699E-4</v>
      </c>
      <c r="K89" s="458"/>
      <c r="L89" s="163"/>
      <c r="M89" s="163"/>
      <c r="O89" s="324">
        <f t="shared" si="20"/>
        <v>3.0785239219051706E-2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'[20]Sch C'!D78</f>
        <v>106.99</v>
      </c>
      <c r="D90" s="480">
        <f>'[20]Sch C'!F78</f>
        <v>0</v>
      </c>
      <c r="E90" s="480">
        <f>+'[20]Sch C'!H78</f>
        <v>0</v>
      </c>
      <c r="F90" s="166">
        <f t="shared" si="17"/>
        <v>106.99</v>
      </c>
      <c r="G90" s="626"/>
      <c r="H90" s="166"/>
      <c r="I90" s="166">
        <f t="shared" si="18"/>
        <v>106.99</v>
      </c>
      <c r="J90" s="167">
        <f t="shared" si="19"/>
        <v>4.4874891453429918E-5</v>
      </c>
      <c r="K90" s="458"/>
      <c r="L90" s="163"/>
      <c r="M90" s="163"/>
      <c r="O90" s="324">
        <f t="shared" si="20"/>
        <v>1.1477150826003002E-2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'[20]Sch C'!D79</f>
        <v>6378.56</v>
      </c>
      <c r="D91" s="480">
        <f>'[20]Sch C'!F79</f>
        <v>0</v>
      </c>
      <c r="E91" s="480">
        <f>+'[20]Sch C'!H79</f>
        <v>0</v>
      </c>
      <c r="F91" s="166">
        <f t="shared" si="17"/>
        <v>6378.56</v>
      </c>
      <c r="G91" s="626"/>
      <c r="H91" s="166"/>
      <c r="I91" s="166">
        <f t="shared" si="18"/>
        <v>6378.56</v>
      </c>
      <c r="J91" s="167">
        <f t="shared" si="19"/>
        <v>2.6753639370893541E-3</v>
      </c>
      <c r="K91" s="458"/>
      <c r="L91" s="163"/>
      <c r="M91" s="163"/>
      <c r="O91" s="324">
        <f t="shared" si="20"/>
        <v>0.68424801544732894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'[20]Sch C'!D80</f>
        <v>37060.03</v>
      </c>
      <c r="D92" s="480">
        <f>'[20]Sch C'!F80</f>
        <v>0</v>
      </c>
      <c r="E92" s="480">
        <f>+'[20]Sch C'!H80</f>
        <v>0</v>
      </c>
      <c r="F92" s="166">
        <f t="shared" si="17"/>
        <v>37060.03</v>
      </c>
      <c r="G92" s="626">
        <v>-4139</v>
      </c>
      <c r="H92" s="166"/>
      <c r="I92" s="166">
        <f t="shared" si="18"/>
        <v>32921.03</v>
      </c>
      <c r="J92" s="167">
        <f t="shared" si="19"/>
        <v>1.3808090922376951E-2</v>
      </c>
      <c r="K92" s="458"/>
      <c r="L92" s="163"/>
      <c r="M92" s="163"/>
      <c r="O92" s="324">
        <f t="shared" si="20"/>
        <v>3.5315415146964169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'[20]Sch C'!D81</f>
        <v>29298.71</v>
      </c>
      <c r="D93" s="480">
        <f>'[20]Sch C'!F81</f>
        <v>0</v>
      </c>
      <c r="E93" s="480">
        <f>+'[20]Sch C'!H81</f>
        <v>0</v>
      </c>
      <c r="F93" s="166">
        <f t="shared" si="17"/>
        <v>29298.71</v>
      </c>
      <c r="G93" s="626">
        <v>-3155</v>
      </c>
      <c r="H93" s="166"/>
      <c r="I93" s="166">
        <f t="shared" si="18"/>
        <v>26143.71</v>
      </c>
      <c r="J93" s="167">
        <f t="shared" si="19"/>
        <v>1.0965474796148709E-2</v>
      </c>
      <c r="K93" s="458"/>
      <c r="L93" s="163"/>
      <c r="M93" s="163"/>
      <c r="O93" s="324">
        <f t="shared" si="20"/>
        <v>2.8045172709718944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'[20]Sch C'!D82</f>
        <v>1108.55</v>
      </c>
      <c r="D94" s="480">
        <f>'[20]Sch C'!F82</f>
        <v>0</v>
      </c>
      <c r="E94" s="480">
        <f>+'[20]Sch C'!H82</f>
        <v>0</v>
      </c>
      <c r="F94" s="166">
        <f t="shared" si="17"/>
        <v>1108.55</v>
      </c>
      <c r="G94" s="626"/>
      <c r="H94" s="166"/>
      <c r="I94" s="166">
        <f t="shared" si="18"/>
        <v>1108.55</v>
      </c>
      <c r="J94" s="167">
        <f t="shared" si="19"/>
        <v>4.6495991140012841E-4</v>
      </c>
      <c r="K94" s="458"/>
      <c r="L94" s="163"/>
      <c r="M94" s="163"/>
      <c r="O94" s="324">
        <f t="shared" si="20"/>
        <v>0.11891761424586998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'[20]Sch C'!D83</f>
        <v>5020.24</v>
      </c>
      <c r="D95" s="480">
        <f>'[20]Sch C'!F83</f>
        <v>0</v>
      </c>
      <c r="E95" s="480">
        <f>+'[20]Sch C'!H83</f>
        <v>0</v>
      </c>
      <c r="F95" s="166">
        <f t="shared" si="17"/>
        <v>5020.24</v>
      </c>
      <c r="G95" s="626"/>
      <c r="H95" s="166"/>
      <c r="I95" s="166">
        <f t="shared" si="18"/>
        <v>5020.24</v>
      </c>
      <c r="J95" s="167">
        <f t="shared" si="19"/>
        <v>2.1056428177415368E-3</v>
      </c>
      <c r="K95" s="458"/>
      <c r="L95" s="163"/>
      <c r="M95" s="163"/>
      <c r="O95" s="324">
        <f t="shared" si="20"/>
        <v>0.53853679467925331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'[20]Sch C'!D84</f>
        <v>57816.959999999999</v>
      </c>
      <c r="D96" s="480">
        <f>'[20]Sch C'!F84</f>
        <v>0</v>
      </c>
      <c r="E96" s="480">
        <f>+'[20]Sch C'!H84</f>
        <v>0</v>
      </c>
      <c r="F96" s="166">
        <f t="shared" si="17"/>
        <v>57816.959999999999</v>
      </c>
      <c r="G96" s="626"/>
      <c r="H96" s="166"/>
      <c r="I96" s="166">
        <f t="shared" si="18"/>
        <v>57816.959999999999</v>
      </c>
      <c r="J96" s="167">
        <f t="shared" si="19"/>
        <v>2.4250208469644822E-2</v>
      </c>
      <c r="K96" s="458"/>
      <c r="L96" s="163"/>
      <c r="M96" s="163"/>
      <c r="O96" s="324">
        <f t="shared" si="20"/>
        <v>6.2022055352928556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'[20]Sch C'!D85</f>
        <v>0</v>
      </c>
      <c r="D97" s="480">
        <f>'[20]Sch C'!F85</f>
        <v>0</v>
      </c>
      <c r="E97" s="480">
        <f>+'[20]Sch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165987.91</v>
      </c>
      <c r="D98" s="480">
        <f t="shared" si="21"/>
        <v>7971.4611782838292</v>
      </c>
      <c r="E98" s="480">
        <f t="shared" si="21"/>
        <v>0</v>
      </c>
      <c r="F98" s="166">
        <f t="shared" ref="F98:I98" si="22">SUM(F87:F97)</f>
        <v>173959.37117828382</v>
      </c>
      <c r="G98" s="166">
        <f t="shared" si="22"/>
        <v>-7294</v>
      </c>
      <c r="H98" s="166">
        <f t="shared" si="22"/>
        <v>0</v>
      </c>
      <c r="I98" s="166">
        <f t="shared" si="22"/>
        <v>166665.37117828382</v>
      </c>
      <c r="J98" s="167">
        <f t="shared" si="19"/>
        <v>6.9904574639415781E-2</v>
      </c>
      <c r="K98" s="458"/>
      <c r="L98" s="163"/>
      <c r="M98" s="163"/>
      <c r="O98" s="329">
        <f>I98/I$233</f>
        <v>17.878713921721072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'[20]Sch C'!D89</f>
        <v>99854.29</v>
      </c>
      <c r="D101" s="480">
        <f>'[20]Sch C'!F89</f>
        <v>0</v>
      </c>
      <c r="E101" s="480">
        <f>+'[20]Sch C'!H89</f>
        <v>0</v>
      </c>
      <c r="F101" s="166">
        <f t="shared" ref="F101:F106" si="23">C101+D101+E101</f>
        <v>99854.29</v>
      </c>
      <c r="G101" s="626"/>
      <c r="H101" s="166"/>
      <c r="I101" s="166">
        <f t="shared" ref="I101:I106" si="24">F101+G101+H101</f>
        <v>99854.29</v>
      </c>
      <c r="J101" s="167">
        <f t="shared" ref="J101:J107" si="25">IF($I$213=0,0,I101/$I$213)</f>
        <v>4.1881955555746447E-2</v>
      </c>
      <c r="K101" s="458"/>
      <c r="L101" s="176">
        <v>10083.18</v>
      </c>
      <c r="M101" s="176">
        <v>10344.68</v>
      </c>
      <c r="O101" s="329">
        <f t="shared" ref="O101:O106" si="26">I101/I$233</f>
        <v>10.711680969748981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'[20]Sch C'!D90</f>
        <v>0</v>
      </c>
      <c r="D102" s="480">
        <f>'[20]Sch C'!F90</f>
        <v>27532.344947529982</v>
      </c>
      <c r="E102" s="480">
        <f>+'[20]Sch C'!H90</f>
        <v>0</v>
      </c>
      <c r="F102" s="166">
        <f t="shared" si="23"/>
        <v>27532.344947529982</v>
      </c>
      <c r="G102" s="626"/>
      <c r="H102" s="166"/>
      <c r="I102" s="166">
        <f t="shared" si="24"/>
        <v>27532.344947529982</v>
      </c>
      <c r="J102" s="167">
        <f t="shared" si="25"/>
        <v>1.1547910935403286E-2</v>
      </c>
      <c r="K102" s="458"/>
      <c r="L102" s="163"/>
      <c r="M102" s="163"/>
      <c r="O102" s="329">
        <f t="shared" si="26"/>
        <v>2.9534804706640188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'[20]Sch C'!D91</f>
        <v>8312.36</v>
      </c>
      <c r="D103" s="480">
        <f>'[20]Sch C'!F91</f>
        <v>0</v>
      </c>
      <c r="E103" s="480">
        <f>+'[20]Sch C'!H91</f>
        <v>0</v>
      </c>
      <c r="F103" s="166">
        <f t="shared" si="23"/>
        <v>8312.36</v>
      </c>
      <c r="G103" s="626"/>
      <c r="H103" s="166"/>
      <c r="I103" s="166">
        <f t="shared" si="24"/>
        <v>8312.36</v>
      </c>
      <c r="J103" s="167">
        <f t="shared" si="25"/>
        <v>3.4864590403012687E-3</v>
      </c>
      <c r="K103" s="458"/>
      <c r="L103" s="163"/>
      <c r="M103" s="163"/>
      <c r="O103" s="329">
        <f t="shared" si="26"/>
        <v>0.89169276979189016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'[20]Sch C'!D92</f>
        <v>75903.960000000006</v>
      </c>
      <c r="D104" s="480">
        <f>'[20]Sch C'!F92</f>
        <v>0</v>
      </c>
      <c r="E104" s="480">
        <f>+'[20]Sch C'!H92</f>
        <v>0</v>
      </c>
      <c r="F104" s="166">
        <f t="shared" si="23"/>
        <v>75903.960000000006</v>
      </c>
      <c r="G104" s="626">
        <v>-11264</v>
      </c>
      <c r="H104" s="166"/>
      <c r="I104" s="166">
        <f t="shared" si="24"/>
        <v>64639.960000000006</v>
      </c>
      <c r="J104" s="167">
        <f t="shared" si="25"/>
        <v>2.7111984190616435E-2</v>
      </c>
      <c r="K104" s="458"/>
      <c r="L104" s="163"/>
      <c r="M104" s="163"/>
      <c r="O104" s="329">
        <f t="shared" si="26"/>
        <v>6.934130015018237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'[20]Sch C'!D93</f>
        <v>14356.77</v>
      </c>
      <c r="D105" s="480">
        <f>'[20]Sch C'!F93</f>
        <v>0</v>
      </c>
      <c r="E105" s="480">
        <f>+'[20]Sch C'!H93</f>
        <v>0</v>
      </c>
      <c r="F105" s="166">
        <f t="shared" si="23"/>
        <v>14356.77</v>
      </c>
      <c r="G105" s="626">
        <v>-843</v>
      </c>
      <c r="H105" s="166"/>
      <c r="I105" s="166">
        <f t="shared" si="24"/>
        <v>13513.77</v>
      </c>
      <c r="J105" s="167">
        <f t="shared" si="25"/>
        <v>5.6680901194188027E-3</v>
      </c>
      <c r="K105" s="458"/>
      <c r="L105" s="163"/>
      <c r="M105" s="163"/>
      <c r="O105" s="329">
        <f t="shared" si="26"/>
        <v>1.4496642351426734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'[20]Sch C'!D94</f>
        <v>0</v>
      </c>
      <c r="D106" s="480">
        <f>'[20]Sch C'!F94</f>
        <v>0</v>
      </c>
      <c r="E106" s="480">
        <f>+'[20]Sch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198427.37999999998</v>
      </c>
      <c r="D107" s="480">
        <f t="shared" si="27"/>
        <v>27532.344947529982</v>
      </c>
      <c r="E107" s="480">
        <f t="shared" si="27"/>
        <v>0</v>
      </c>
      <c r="F107" s="166">
        <f t="shared" ref="F107:I107" si="28">SUM(F101:F106)</f>
        <v>225959.72494752999</v>
      </c>
      <c r="G107" s="166">
        <f t="shared" si="28"/>
        <v>-12107</v>
      </c>
      <c r="H107" s="166">
        <f t="shared" si="28"/>
        <v>0</v>
      </c>
      <c r="I107" s="166">
        <f t="shared" si="28"/>
        <v>213852.72494752999</v>
      </c>
      <c r="J107" s="167">
        <f t="shared" si="25"/>
        <v>8.9696399841486238E-2</v>
      </c>
      <c r="K107" s="458"/>
      <c r="L107" s="163"/>
      <c r="M107" s="163"/>
      <c r="O107" s="329">
        <f>I107/I$233</f>
        <v>22.9406484603658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'[20]Sch C'!D98</f>
        <v>23499.39</v>
      </c>
      <c r="D110" s="480">
        <f>'[20]Sch C'!F98</f>
        <v>0</v>
      </c>
      <c r="E110" s="480">
        <f>+'[20]Sch C'!H98</f>
        <v>0</v>
      </c>
      <c r="F110" s="166">
        <f t="shared" ref="F110:F115" si="29">C110+D110+E110</f>
        <v>23499.39</v>
      </c>
      <c r="G110" s="626"/>
      <c r="H110" s="166"/>
      <c r="I110" s="166">
        <f t="shared" ref="I110:I115" si="30">F110+G110+H110</f>
        <v>23499.39</v>
      </c>
      <c r="J110" s="167">
        <f t="shared" ref="J110:J116" si="31">IF($I$213=0,0,I110/$I$213)</f>
        <v>9.8563657862586838E-3</v>
      </c>
      <c r="K110" s="458"/>
      <c r="L110" s="176">
        <v>2620.37</v>
      </c>
      <c r="M110" s="176">
        <v>2620.37</v>
      </c>
      <c r="O110" s="329">
        <f t="shared" ref="O110:O115" si="32">I110/I$233</f>
        <v>2.5208528212829866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'[20]Sch C'!D99</f>
        <v>0</v>
      </c>
      <c r="D111" s="480">
        <f>'[20]Sch C'!F99</f>
        <v>6479.3742115289851</v>
      </c>
      <c r="E111" s="480">
        <f>+'[20]Sch C'!H99</f>
        <v>0</v>
      </c>
      <c r="F111" s="166">
        <f t="shared" si="29"/>
        <v>6479.3742115289851</v>
      </c>
      <c r="G111" s="626"/>
      <c r="H111" s="166"/>
      <c r="I111" s="166">
        <f t="shared" si="30"/>
        <v>6479.3742115289851</v>
      </c>
      <c r="J111" s="167">
        <f t="shared" si="31"/>
        <v>2.7176485132116672E-3</v>
      </c>
      <c r="K111" s="458"/>
      <c r="L111" s="163"/>
      <c r="M111" s="163"/>
      <c r="O111" s="329">
        <f t="shared" si="32"/>
        <v>0.69506267019191004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'[20]Sch C'!D100</f>
        <v>5493.79</v>
      </c>
      <c r="D112" s="480">
        <f>'[20]Sch C'!F100</f>
        <v>0</v>
      </c>
      <c r="E112" s="480">
        <f>+'[20]Sch C'!H100</f>
        <v>0</v>
      </c>
      <c r="F112" s="166">
        <f t="shared" si="29"/>
        <v>5493.79</v>
      </c>
      <c r="G112" s="626"/>
      <c r="H112" s="166"/>
      <c r="I112" s="166">
        <f t="shared" si="30"/>
        <v>5493.79</v>
      </c>
      <c r="J112" s="167">
        <f t="shared" si="31"/>
        <v>2.3042642295348983E-3</v>
      </c>
      <c r="K112" s="458"/>
      <c r="L112" s="163"/>
      <c r="M112" s="163"/>
      <c r="O112" s="329">
        <f t="shared" si="32"/>
        <v>0.58933597940356142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'[20]Sch C'!D101</f>
        <v>0</v>
      </c>
      <c r="D113" s="480">
        <f>'[20]Sch C'!F101</f>
        <v>0</v>
      </c>
      <c r="E113" s="480">
        <f>+'[20]Sch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'[20]Sch C'!D102</f>
        <v>4649.32</v>
      </c>
      <c r="D114" s="480">
        <f>'[20]Sch C'!F102</f>
        <v>0</v>
      </c>
      <c r="E114" s="480">
        <f>+'[20]Sch C'!H102</f>
        <v>0</v>
      </c>
      <c r="F114" s="166">
        <f t="shared" si="29"/>
        <v>4649.32</v>
      </c>
      <c r="G114" s="626"/>
      <c r="H114" s="166"/>
      <c r="I114" s="166">
        <f t="shared" si="30"/>
        <v>4649.32</v>
      </c>
      <c r="J114" s="167">
        <f t="shared" si="31"/>
        <v>1.9500675795145414E-3</v>
      </c>
      <c r="K114" s="458"/>
      <c r="L114" s="163"/>
      <c r="M114" s="163"/>
      <c r="O114" s="329">
        <f t="shared" si="32"/>
        <v>0.49874704998927266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'[20]Sch C'!D103</f>
        <v>0</v>
      </c>
      <c r="D115" s="480">
        <f>'[20]Sch C'!F103</f>
        <v>0</v>
      </c>
      <c r="E115" s="480">
        <f>+'[20]Sch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33642.5</v>
      </c>
      <c r="D116" s="480">
        <f t="shared" si="33"/>
        <v>6479.3742115289851</v>
      </c>
      <c r="E116" s="480">
        <f t="shared" si="33"/>
        <v>0</v>
      </c>
      <c r="F116" s="166">
        <f t="shared" ref="F116:I116" si="34">SUM(F110:F115)</f>
        <v>40121.874211528986</v>
      </c>
      <c r="G116" s="166">
        <f t="shared" si="34"/>
        <v>0</v>
      </c>
      <c r="H116" s="166">
        <f t="shared" si="34"/>
        <v>0</v>
      </c>
      <c r="I116" s="166">
        <f t="shared" si="34"/>
        <v>40121.874211528986</v>
      </c>
      <c r="J116" s="167">
        <f t="shared" si="31"/>
        <v>1.6828346108519791E-2</v>
      </c>
      <c r="K116" s="458"/>
      <c r="L116" s="163"/>
      <c r="M116" s="163"/>
      <c r="O116" s="329">
        <f>I116/I$233</f>
        <v>4.3039985208677312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'[20]Sch C'!D115</f>
        <v>27101.7</v>
      </c>
      <c r="D119" s="480">
        <f>'[20]Sch C'!F115</f>
        <v>0</v>
      </c>
      <c r="E119" s="480">
        <f>+'[20]Sch C'!H115</f>
        <v>0</v>
      </c>
      <c r="F119" s="166">
        <f t="shared" ref="F119:F123" si="35">C119+D119+E119</f>
        <v>27101.7</v>
      </c>
      <c r="G119" s="626"/>
      <c r="H119" s="166"/>
      <c r="I119" s="166">
        <f t="shared" ref="I119:I123" si="36">F119+G119+H119</f>
        <v>27101.7</v>
      </c>
      <c r="J119" s="167">
        <f t="shared" ref="J119:J124" si="37">IF($I$213=0,0,I119/$I$213)</f>
        <v>1.136728522014601E-2</v>
      </c>
      <c r="K119" s="458"/>
      <c r="L119" s="176">
        <v>2690.67</v>
      </c>
      <c r="M119" s="176">
        <v>2857.66</v>
      </c>
      <c r="O119" s="329">
        <f t="shared" ref="O119:O124" si="38">I119/I$233</f>
        <v>2.9072838446685263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'[20]Sch C'!D116</f>
        <v>0</v>
      </c>
      <c r="D120" s="480">
        <f>'[20]Sch C'!F116</f>
        <v>7472.621887997735</v>
      </c>
      <c r="E120" s="480">
        <f>+'[20]Sch C'!H116</f>
        <v>0</v>
      </c>
      <c r="F120" s="166">
        <f t="shared" si="35"/>
        <v>7472.621887997735</v>
      </c>
      <c r="G120" s="626"/>
      <c r="H120" s="166"/>
      <c r="I120" s="166">
        <f t="shared" si="36"/>
        <v>7472.621887997735</v>
      </c>
      <c r="J120" s="167">
        <f t="shared" si="37"/>
        <v>3.134247089414178E-3</v>
      </c>
      <c r="K120" s="458"/>
      <c r="L120" s="163"/>
      <c r="M120" s="163"/>
      <c r="O120" s="329">
        <f t="shared" si="38"/>
        <v>0.80161144475410162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'[20]Sch C'!D117</f>
        <v>7084.13</v>
      </c>
      <c r="D121" s="480">
        <f>'[20]Sch C'!F117</f>
        <v>0</v>
      </c>
      <c r="E121" s="480">
        <f>+'[20]Sch C'!H117</f>
        <v>0</v>
      </c>
      <c r="F121" s="166">
        <f t="shared" si="35"/>
        <v>7084.13</v>
      </c>
      <c r="G121" s="626"/>
      <c r="H121" s="166"/>
      <c r="I121" s="166">
        <f t="shared" si="36"/>
        <v>7084.13</v>
      </c>
      <c r="J121" s="167">
        <f t="shared" si="37"/>
        <v>2.9713016617626555E-3</v>
      </c>
      <c r="K121" s="458"/>
      <c r="L121" s="163"/>
      <c r="M121" s="163"/>
      <c r="O121" s="329">
        <f t="shared" si="38"/>
        <v>0.75993670886075948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'[20]Sch C'!D118</f>
        <v>0</v>
      </c>
      <c r="D122" s="480">
        <f>'[20]Sch C'!F118</f>
        <v>0</v>
      </c>
      <c r="E122" s="480">
        <f>+'[20]Sch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'[20]Sch C'!D119</f>
        <v>0</v>
      </c>
      <c r="D123" s="480">
        <f>'[20]Sch C'!F119</f>
        <v>0</v>
      </c>
      <c r="E123" s="480">
        <f>+'[20]Sch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34185.83</v>
      </c>
      <c r="D124" s="480">
        <f t="shared" si="39"/>
        <v>7472.621887997735</v>
      </c>
      <c r="E124" s="480">
        <f t="shared" si="39"/>
        <v>0</v>
      </c>
      <c r="F124" s="166">
        <f t="shared" ref="F124:I124" si="40">SUM(F119:F123)</f>
        <v>41658.451887997733</v>
      </c>
      <c r="G124" s="166">
        <f t="shared" si="40"/>
        <v>0</v>
      </c>
      <c r="H124" s="166">
        <f t="shared" si="40"/>
        <v>0</v>
      </c>
      <c r="I124" s="166">
        <f t="shared" si="40"/>
        <v>41658.451887997733</v>
      </c>
      <c r="J124" s="167">
        <f t="shared" si="37"/>
        <v>1.7472833971322842E-2</v>
      </c>
      <c r="K124" s="458"/>
      <c r="L124" s="163"/>
      <c r="M124" s="163"/>
      <c r="O124" s="329">
        <f t="shared" si="38"/>
        <v>4.4688319982833873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'[20]Sch C'!D124</f>
        <v>0</v>
      </c>
      <c r="D128" s="480">
        <f>'[20]Sch C'!F124</f>
        <v>0</v>
      </c>
      <c r="E128" s="480">
        <f>+'[20]Sch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'[20]Sch C'!D125</f>
        <v>69347.59</v>
      </c>
      <c r="D129" s="480">
        <f>'[20]Sch C'!F125</f>
        <v>0</v>
      </c>
      <c r="E129" s="480">
        <f>+'[20]Sch C'!H125</f>
        <v>0</v>
      </c>
      <c r="F129" s="166">
        <f t="shared" si="41"/>
        <v>69347.59</v>
      </c>
      <c r="G129" s="626"/>
      <c r="H129" s="166"/>
      <c r="I129" s="166">
        <f t="shared" si="42"/>
        <v>69347.59</v>
      </c>
      <c r="J129" s="167">
        <f>IF($I$213=0,0,I129/$I$213)</f>
        <v>2.9086508774716909E-2</v>
      </c>
      <c r="K129" s="458"/>
      <c r="L129" s="176">
        <v>2034.08</v>
      </c>
      <c r="M129" s="176">
        <v>2102.5700000000002</v>
      </c>
      <c r="O129" s="329">
        <f t="shared" si="43"/>
        <v>7.4391321604805833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'[20]Sch C'!D126</f>
        <v>0</v>
      </c>
      <c r="D130" s="480">
        <f>'[20]Sch C'!F126</f>
        <v>0</v>
      </c>
      <c r="E130" s="480">
        <f>+'[20]Sch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'[20]Sch C'!D127</f>
        <v>0</v>
      </c>
      <c r="D131" s="480">
        <f>'[20]Sch C'!F127</f>
        <v>0</v>
      </c>
      <c r="E131" s="480">
        <f>+'[20]Sch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'[20]Sch C'!D128</f>
        <v>22127.49</v>
      </c>
      <c r="D132" s="480">
        <f>'[20]Sch C'!F128</f>
        <v>0</v>
      </c>
      <c r="E132" s="480">
        <f>+'[20]Sch C'!H128</f>
        <v>0</v>
      </c>
      <c r="F132" s="166">
        <f t="shared" si="41"/>
        <v>22127.49</v>
      </c>
      <c r="G132" s="626"/>
      <c r="H132" s="166"/>
      <c r="I132" s="166">
        <f t="shared" si="42"/>
        <v>22127.49</v>
      </c>
      <c r="J132" s="167">
        <f>IF($I$213=0,0,I132/$I$213)</f>
        <v>9.2809487978956547E-3</v>
      </c>
      <c r="K132" s="458"/>
      <c r="L132" s="176">
        <v>1739.68</v>
      </c>
      <c r="M132" s="176">
        <v>1873.65</v>
      </c>
      <c r="O132" s="329">
        <f t="shared" si="43"/>
        <v>2.373684831581206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'[20]Sch C'!D130</f>
        <v>0</v>
      </c>
      <c r="D134" s="480">
        <f>'[20]Sch C'!F130</f>
        <v>0</v>
      </c>
      <c r="E134" s="480">
        <f>+'[20]Sch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'[20]Sch C'!D131</f>
        <v>0</v>
      </c>
      <c r="D135" s="480">
        <f>'[20]Sch C'!F131</f>
        <v>19120.878723987531</v>
      </c>
      <c r="E135" s="480">
        <f>+'[20]Sch C'!H131</f>
        <v>0</v>
      </c>
      <c r="F135" s="166">
        <f t="shared" si="44"/>
        <v>19120.878723987531</v>
      </c>
      <c r="G135" s="626"/>
      <c r="H135" s="166"/>
      <c r="I135" s="166">
        <f t="shared" si="45"/>
        <v>19120.878723987531</v>
      </c>
      <c r="J135" s="167">
        <f>IF($I$213=0,0,I135/$I$213)</f>
        <v>8.0198837015902236E-3</v>
      </c>
      <c r="K135" s="458"/>
      <c r="L135" s="196"/>
      <c r="M135" s="196"/>
      <c r="O135" s="329">
        <f t="shared" si="43"/>
        <v>2.0511562673232708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'[20]Sch C'!D132</f>
        <v>0</v>
      </c>
      <c r="D136" s="480">
        <f>'[20]Sch C'!F132</f>
        <v>0</v>
      </c>
      <c r="E136" s="480">
        <f>+'[20]Sch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'[20]Sch C'!D133</f>
        <v>0</v>
      </c>
      <c r="D137" s="480">
        <f>'[20]Sch C'!F133</f>
        <v>0</v>
      </c>
      <c r="E137" s="480">
        <f>+'[20]Sch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7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'[20]Sch C'!D134</f>
        <v>0</v>
      </c>
      <c r="D138" s="480">
        <f>'[20]Sch C'!F134</f>
        <v>6101.1067977451976</v>
      </c>
      <c r="E138" s="480">
        <f>+'[20]Sch C'!H134</f>
        <v>0</v>
      </c>
      <c r="F138" s="166">
        <f t="shared" si="44"/>
        <v>6101.1067977451976</v>
      </c>
      <c r="G138" s="626"/>
      <c r="H138" s="166"/>
      <c r="I138" s="166">
        <f t="shared" si="45"/>
        <v>6101.1067977451976</v>
      </c>
      <c r="J138" s="167">
        <f>IF($I$213=0,0,I138/$I$213)</f>
        <v>2.5589915440190594E-3</v>
      </c>
      <c r="K138" s="457"/>
      <c r="L138" s="163"/>
      <c r="M138" s="163"/>
      <c r="O138" s="329">
        <f t="shared" si="43"/>
        <v>0.65448474552083213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'[20]Sch C'!D136</f>
        <v>115282.18</v>
      </c>
      <c r="D140" s="480">
        <f>'[20]Sch C'!F136</f>
        <v>0</v>
      </c>
      <c r="E140" s="480">
        <f>+'[20]Sch C'!H136</f>
        <v>0</v>
      </c>
      <c r="F140" s="166">
        <f t="shared" ref="F140:F143" si="46">C140+D140+E140</f>
        <v>115282.18</v>
      </c>
      <c r="G140" s="626"/>
      <c r="H140" s="166"/>
      <c r="I140" s="166">
        <f t="shared" ref="I140:I143" si="47">F140+G140+H140</f>
        <v>115282.18</v>
      </c>
      <c r="J140" s="167">
        <f>IF($I$213=0,0,I140/$I$213)</f>
        <v>4.8352886382042895E-2</v>
      </c>
      <c r="K140" s="458"/>
      <c r="L140" s="176">
        <v>4196.96</v>
      </c>
      <c r="M140" s="176">
        <v>4312.93</v>
      </c>
      <c r="O140" s="329">
        <f t="shared" si="43"/>
        <v>12.366678824286634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'[20]Sch C'!D137</f>
        <v>135850.21</v>
      </c>
      <c r="D141" s="480">
        <f>'[20]Sch C'!F137</f>
        <v>0</v>
      </c>
      <c r="E141" s="480">
        <f>+'[20]Sch C'!H137</f>
        <v>0</v>
      </c>
      <c r="F141" s="166">
        <f t="shared" si="46"/>
        <v>135850.21</v>
      </c>
      <c r="G141" s="626"/>
      <c r="H141" s="166"/>
      <c r="I141" s="166">
        <f t="shared" si="47"/>
        <v>135850.21</v>
      </c>
      <c r="J141" s="167">
        <f>IF($I$213=0,0,I141/$I$213)</f>
        <v>5.6979749767975131E-2</v>
      </c>
      <c r="K141" s="458"/>
      <c r="L141" s="176">
        <v>6455.36</v>
      </c>
      <c r="M141" s="176">
        <v>6919.06</v>
      </c>
      <c r="O141" s="329">
        <f t="shared" si="43"/>
        <v>14.573075520274619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'[20]Sch C'!D138</f>
        <v>254415.45</v>
      </c>
      <c r="D142" s="480">
        <f>'[20]Sch C'!F138</f>
        <v>0</v>
      </c>
      <c r="E142" s="480">
        <f>+'[20]Sch C'!H138</f>
        <v>0</v>
      </c>
      <c r="F142" s="166">
        <f t="shared" si="46"/>
        <v>254415.45</v>
      </c>
      <c r="G142" s="626"/>
      <c r="H142" s="166"/>
      <c r="I142" s="166">
        <f t="shared" si="47"/>
        <v>254415.45</v>
      </c>
      <c r="J142" s="167">
        <f>IF($I$213=0,0,I142/$I$213)</f>
        <v>0.10670965233036291</v>
      </c>
      <c r="K142" s="458"/>
      <c r="L142" s="176">
        <v>23726.09</v>
      </c>
      <c r="M142" s="176">
        <v>24438.84</v>
      </c>
      <c r="O142" s="329">
        <f t="shared" si="43"/>
        <v>27.29193842523064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'[20]Sch C'!D139</f>
        <v>0</v>
      </c>
      <c r="D143" s="480">
        <f>'[20]Sch C'!F139</f>
        <v>0</v>
      </c>
      <c r="E143" s="480">
        <f>+'[20]Sch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'[20]Sch C'!D141</f>
        <v>0</v>
      </c>
      <c r="D145" s="480">
        <f>'[20]Sch C'!F141</f>
        <v>31786.203137223671</v>
      </c>
      <c r="E145" s="480">
        <f>+'[20]Sch C'!H141</f>
        <v>0</v>
      </c>
      <c r="F145" s="166">
        <f t="shared" ref="F145:F148" si="48">C145+D145+E145</f>
        <v>31786.203137223671</v>
      </c>
      <c r="G145" s="626"/>
      <c r="H145" s="166"/>
      <c r="I145" s="166">
        <f t="shared" ref="I145:I148" si="49">F145+G145+H145</f>
        <v>31786.203137223671</v>
      </c>
      <c r="J145" s="167">
        <f>IF($I$213=0,0,I145/$I$213)</f>
        <v>1.3332109687817421E-2</v>
      </c>
      <c r="K145" s="458"/>
      <c r="L145" s="163"/>
      <c r="M145" s="163"/>
      <c r="O145" s="329">
        <f t="shared" si="43"/>
        <v>3.4098050994661735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'[20]Sch C'!D142</f>
        <v>0</v>
      </c>
      <c r="D146" s="480">
        <f>'[20]Sch C'!F142</f>
        <v>37457.327501045642</v>
      </c>
      <c r="E146" s="480">
        <f>+'[20]Sch C'!H142</f>
        <v>0</v>
      </c>
      <c r="F146" s="166">
        <f t="shared" si="48"/>
        <v>37457.327501045642</v>
      </c>
      <c r="G146" s="626"/>
      <c r="H146" s="166"/>
      <c r="I146" s="166">
        <f t="shared" si="49"/>
        <v>37457.327501045642</v>
      </c>
      <c r="J146" s="167">
        <f>IF($I$213=0,0,I146/$I$213)</f>
        <v>1.5710753395130374E-2</v>
      </c>
      <c r="K146" s="458"/>
      <c r="L146" s="163"/>
      <c r="M146" s="163"/>
      <c r="O146" s="329">
        <f t="shared" si="43"/>
        <v>4.0181642888914011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'[20]Sch C'!D143</f>
        <v>0</v>
      </c>
      <c r="D147" s="480">
        <f>'[20]Sch C'!F143</f>
        <v>70148.753041867982</v>
      </c>
      <c r="E147" s="480">
        <f>+'[20]Sch C'!H143</f>
        <v>0</v>
      </c>
      <c r="F147" s="166">
        <f t="shared" si="48"/>
        <v>70148.753041867982</v>
      </c>
      <c r="G147" s="626"/>
      <c r="H147" s="166"/>
      <c r="I147" s="166">
        <f t="shared" si="49"/>
        <v>70148.753041867982</v>
      </c>
      <c r="J147" s="167">
        <f>IF($I$213=0,0,I147/$I$213)</f>
        <v>2.9422541156624803E-2</v>
      </c>
      <c r="K147" s="458"/>
      <c r="L147" s="163"/>
      <c r="M147" s="163"/>
      <c r="O147" s="329">
        <f t="shared" si="43"/>
        <v>7.5250754174928112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'[20]Sch C'!D144</f>
        <v>0</v>
      </c>
      <c r="D148" s="480">
        <f>'[20]Sch C'!F144</f>
        <v>0</v>
      </c>
      <c r="E148" s="480">
        <f>+'[20]Sch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'[20]Sch C'!D146</f>
        <v>35566</v>
      </c>
      <c r="D150" s="480">
        <f>'[20]Sch C'!F146</f>
        <v>0</v>
      </c>
      <c r="E150" s="480">
        <f>+'[20]Sch C'!H146</f>
        <v>0</v>
      </c>
      <c r="F150" s="166">
        <f t="shared" ref="F150:F158" si="50">C150+D150+E150</f>
        <v>35566</v>
      </c>
      <c r="G150" s="626"/>
      <c r="H150" s="166"/>
      <c r="I150" s="166">
        <f t="shared" ref="I150:I158" si="51">F150+G150+H150</f>
        <v>35566</v>
      </c>
      <c r="J150" s="167">
        <f t="shared" ref="J150:J158" si="52">IF($I$213=0,0,I150/$I$213)</f>
        <v>1.4917472562227203E-2</v>
      </c>
      <c r="K150" s="458"/>
      <c r="L150" s="176">
        <v>0</v>
      </c>
      <c r="M150" s="176">
        <v>0</v>
      </c>
      <c r="O150" s="329">
        <f t="shared" si="43"/>
        <v>3.8152756919116069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'[20]Sch C'!D147</f>
        <v>0</v>
      </c>
      <c r="D151" s="480">
        <f>'[20]Sch C'!F147</f>
        <v>0</v>
      </c>
      <c r="E151" s="480">
        <f>+'[20]Sch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'[20]Sch C'!D148</f>
        <v>0</v>
      </c>
      <c r="D152" s="480">
        <f>'[20]Sch C'!F148</f>
        <v>0</v>
      </c>
      <c r="E152" s="480">
        <f>+'[20]Sch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'[20]Sch C'!D149</f>
        <v>0</v>
      </c>
      <c r="D153" s="480">
        <f>'[20]Sch C'!F149</f>
        <v>0</v>
      </c>
      <c r="E153" s="480">
        <f>+'[20]Sch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'[20]Sch C'!D150</f>
        <v>4543.67</v>
      </c>
      <c r="D154" s="480">
        <f>'[20]Sch C'!F150</f>
        <v>0</v>
      </c>
      <c r="E154" s="480">
        <f>+'[20]Sch C'!H150</f>
        <v>0</v>
      </c>
      <c r="F154" s="166">
        <f t="shared" si="50"/>
        <v>4543.67</v>
      </c>
      <c r="G154" s="626"/>
      <c r="H154" s="166"/>
      <c r="I154" s="166">
        <f t="shared" si="51"/>
        <v>4543.67</v>
      </c>
      <c r="J154" s="167">
        <f t="shared" si="52"/>
        <v>1.9057547252098882E-3</v>
      </c>
      <c r="K154" s="458"/>
      <c r="L154" s="176">
        <v>0</v>
      </c>
      <c r="M154" s="176">
        <v>0</v>
      </c>
      <c r="O154" s="329">
        <f t="shared" si="43"/>
        <v>0.48741364514052782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'[20]Sch C'!D151</f>
        <v>40795.26</v>
      </c>
      <c r="D155" s="480">
        <f>'[20]Sch C'!F151</f>
        <v>0</v>
      </c>
      <c r="E155" s="480">
        <f>+'[20]Sch C'!H151</f>
        <v>0</v>
      </c>
      <c r="F155" s="166">
        <f t="shared" si="50"/>
        <v>40795.26</v>
      </c>
      <c r="G155" s="626"/>
      <c r="H155" s="166"/>
      <c r="I155" s="166">
        <f t="shared" si="51"/>
        <v>40795.26</v>
      </c>
      <c r="J155" s="167">
        <f t="shared" si="52"/>
        <v>1.7110784786563714E-2</v>
      </c>
      <c r="K155" s="457"/>
      <c r="L155" s="163"/>
      <c r="M155" s="163"/>
      <c r="O155" s="329">
        <f t="shared" si="43"/>
        <v>4.3762347135807769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'[20]Sch C'!D152</f>
        <v>568.34</v>
      </c>
      <c r="D156" s="480">
        <f>'[20]Sch C'!F152</f>
        <v>0</v>
      </c>
      <c r="E156" s="480">
        <f>+'[20]Sch C'!H152</f>
        <v>0</v>
      </c>
      <c r="F156" s="166">
        <f t="shared" si="50"/>
        <v>568.34</v>
      </c>
      <c r="G156" s="626"/>
      <c r="H156" s="166"/>
      <c r="I156" s="166">
        <f t="shared" si="51"/>
        <v>568.34</v>
      </c>
      <c r="J156" s="167">
        <f t="shared" si="52"/>
        <v>2.3837924860867709E-4</v>
      </c>
      <c r="K156" s="458"/>
      <c r="L156" s="163"/>
      <c r="M156" s="163"/>
      <c r="O156" s="329">
        <f t="shared" si="43"/>
        <v>6.0967603518558254E-2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'[20]Sch C'!D153</f>
        <v>2212.9499999999998</v>
      </c>
      <c r="D157" s="480">
        <f>'[20]Sch C'!F153</f>
        <v>0</v>
      </c>
      <c r="E157" s="480">
        <f>+'[20]Sch C'!H153</f>
        <v>0</v>
      </c>
      <c r="F157" s="166">
        <f t="shared" si="50"/>
        <v>2212.9499999999998</v>
      </c>
      <c r="G157" s="626"/>
      <c r="H157" s="166"/>
      <c r="I157" s="166">
        <f t="shared" si="51"/>
        <v>2212.9499999999998</v>
      </c>
      <c r="J157" s="167">
        <f t="shared" si="52"/>
        <v>9.2817918536188177E-4</v>
      </c>
      <c r="K157" s="458"/>
      <c r="L157" s="163"/>
      <c r="M157" s="163"/>
      <c r="O157" s="329">
        <f t="shared" si="43"/>
        <v>0.23739004505470926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'[20]Sch C'!D154</f>
        <v>0</v>
      </c>
      <c r="D158" s="480">
        <f>'[20]Sch C'!F154</f>
        <v>0</v>
      </c>
      <c r="E158" s="480">
        <f>+'[20]Sch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'[20]Sch C'!D156</f>
        <v>0</v>
      </c>
      <c r="D160" s="480">
        <f>'[20]Sch C'!F156</f>
        <v>0</v>
      </c>
      <c r="E160" s="480">
        <f>+'[20]Sch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'[20]Sch C'!D157</f>
        <v>0</v>
      </c>
      <c r="D161" s="480">
        <f>'[20]Sch C'!F157</f>
        <v>0</v>
      </c>
      <c r="E161" s="480">
        <f>+'[20]Sch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'[20]Sch C'!D158</f>
        <v>0</v>
      </c>
      <c r="D162" s="480">
        <f>'[20]Sch C'!F158</f>
        <v>0</v>
      </c>
      <c r="E162" s="480">
        <f>+'[20]Sch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'[20]Sch C'!D159</f>
        <v>1150</v>
      </c>
      <c r="D163" s="480">
        <f>'[20]Sch C'!F159</f>
        <v>0</v>
      </c>
      <c r="E163" s="480">
        <f>+'[20]Sch C'!H159</f>
        <v>0</v>
      </c>
      <c r="F163" s="166">
        <f t="shared" si="53"/>
        <v>1150</v>
      </c>
      <c r="G163" s="626"/>
      <c r="H163" s="166"/>
      <c r="I163" s="166">
        <f t="shared" si="54"/>
        <v>1150</v>
      </c>
      <c r="J163" s="167">
        <f t="shared" si="55"/>
        <v>4.8234531424847562E-4</v>
      </c>
      <c r="K163" s="458"/>
      <c r="L163" s="163"/>
      <c r="M163" s="163"/>
      <c r="O163" s="329">
        <f t="shared" si="43"/>
        <v>0.12336408496030894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'[20]Sch C'!D160</f>
        <v>0</v>
      </c>
      <c r="D164" s="480">
        <f>'[20]Sch C'!F160</f>
        <v>0</v>
      </c>
      <c r="E164" s="480">
        <f>+'[20]Sch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'[20]Sch C'!D161</f>
        <v>0</v>
      </c>
      <c r="D165" s="480">
        <f>'[20]Sch C'!F161</f>
        <v>0</v>
      </c>
      <c r="E165" s="480">
        <f>+'[20]Sch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681859.1399999999</v>
      </c>
      <c r="D166" s="480">
        <f t="shared" si="56"/>
        <v>164614.26920187002</v>
      </c>
      <c r="E166" s="480">
        <f t="shared" si="56"/>
        <v>0</v>
      </c>
      <c r="F166" s="166">
        <f t="shared" ref="F166:I166" si="57">SUM(F128:F165)</f>
        <v>846473.40920187009</v>
      </c>
      <c r="G166" s="166">
        <f t="shared" si="57"/>
        <v>0</v>
      </c>
      <c r="H166" s="166">
        <f t="shared" si="57"/>
        <v>0</v>
      </c>
      <c r="I166" s="166">
        <f t="shared" si="57"/>
        <v>846473.40920187009</v>
      </c>
      <c r="J166" s="167">
        <f t="shared" si="55"/>
        <v>0.35503694136039526</v>
      </c>
      <c r="K166" s="458"/>
      <c r="L166" s="163"/>
      <c r="M166" s="163"/>
      <c r="O166" s="329">
        <f>I166/I$233</f>
        <v>90.803841364714657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'[20]Sch C'!D175</f>
        <v>0</v>
      </c>
      <c r="D169" s="480">
        <f>'[20]Sch C'!F175</f>
        <v>0</v>
      </c>
      <c r="E169" s="480">
        <f>+'[20]Sch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'[20]Sch C'!D176</f>
        <v>0</v>
      </c>
      <c r="D170" s="480">
        <f>'[20]Sch C'!F176</f>
        <v>0</v>
      </c>
      <c r="E170" s="480">
        <f>+'[20]Sch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'[20]Sch C'!D177</f>
        <v>0</v>
      </c>
      <c r="D171" s="480">
        <f>'[20]Sch C'!F177</f>
        <v>0</v>
      </c>
      <c r="E171" s="480">
        <f>+'[20]Sch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'[20]Sch C'!D178</f>
        <v>0</v>
      </c>
      <c r="D172" s="480">
        <f>'[20]Sch C'!F178</f>
        <v>0</v>
      </c>
      <c r="E172" s="480">
        <f>+'[20]Sch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'[20]Sch C'!D179</f>
        <v>0</v>
      </c>
      <c r="D173" s="480">
        <f>'[20]Sch C'!F179</f>
        <v>0</v>
      </c>
      <c r="E173" s="480">
        <f>+'[20]Sch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'[20]Sch C'!D180</f>
        <v>0</v>
      </c>
      <c r="D174" s="480">
        <f>'[20]Sch C'!F180</f>
        <v>0</v>
      </c>
      <c r="E174" s="480">
        <f>+'[20]Sch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'[20]Sch C'!D181</f>
        <v>0</v>
      </c>
      <c r="D175" s="480">
        <f>'[20]Sch C'!F181</f>
        <v>0</v>
      </c>
      <c r="E175" s="480">
        <f>+'[20]Sch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'[20]Sch C'!D182</f>
        <v>0</v>
      </c>
      <c r="D176" s="480">
        <f>'[20]Sch C'!F182</f>
        <v>0</v>
      </c>
      <c r="E176" s="480">
        <f>+'[20]Sch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'[20]Sch C'!D183</f>
        <v>519.6</v>
      </c>
      <c r="D177" s="480">
        <f>'[20]Sch C'!F183</f>
        <v>0</v>
      </c>
      <c r="E177" s="480">
        <f>+'[20]Sch C'!H183</f>
        <v>0</v>
      </c>
      <c r="F177" s="166">
        <f t="shared" si="58"/>
        <v>519.6</v>
      </c>
      <c r="G177" s="626"/>
      <c r="H177" s="166"/>
      <c r="I177" s="166">
        <f t="shared" si="59"/>
        <v>519.6</v>
      </c>
      <c r="J177" s="167">
        <f t="shared" si="60"/>
        <v>2.1793619589870257E-4</v>
      </c>
      <c r="K177" s="468"/>
      <c r="L177" s="176">
        <v>13</v>
      </c>
      <c r="M177" s="176">
        <v>13</v>
      </c>
      <c r="N177" s="208"/>
      <c r="O177" s="329">
        <f t="shared" si="61"/>
        <v>5.5739111778588285E-2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'[20]Sch C'!D184</f>
        <v>0</v>
      </c>
      <c r="D178" s="480">
        <f>'[20]Sch C'!F184</f>
        <v>143.26681842849797</v>
      </c>
      <c r="E178" s="480">
        <f>+'[20]Sch C'!H184</f>
        <v>0</v>
      </c>
      <c r="F178" s="166">
        <f t="shared" si="58"/>
        <v>143.26681842849797</v>
      </c>
      <c r="G178" s="626"/>
      <c r="H178" s="166"/>
      <c r="I178" s="166">
        <f t="shared" si="59"/>
        <v>143.26681842849797</v>
      </c>
      <c r="J178" s="167">
        <f t="shared" si="60"/>
        <v>6.0090503092411435E-5</v>
      </c>
      <c r="K178" s="469"/>
      <c r="L178" s="212"/>
      <c r="M178" s="212"/>
      <c r="N178" s="208"/>
      <c r="O178" s="329">
        <f t="shared" si="61"/>
        <v>1.5368678226614243E-2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'[20]Sch C'!D185</f>
        <v>0</v>
      </c>
      <c r="D179" s="480">
        <f>'[20]Sch C'!F185</f>
        <v>0</v>
      </c>
      <c r="E179" s="480">
        <f>+'[20]Sch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'[20]Sch C'!D186</f>
        <v>0</v>
      </c>
      <c r="D180" s="480">
        <f>'[20]Sch C'!F186</f>
        <v>0</v>
      </c>
      <c r="E180" s="480">
        <f>+'[20]Sch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'[20]Sch C'!D187</f>
        <v>0</v>
      </c>
      <c r="D181" s="480">
        <f>'[20]Sch C'!F187</f>
        <v>0</v>
      </c>
      <c r="E181" s="480">
        <f>+'[20]Sch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'[20]Sch C'!D188</f>
        <v>0</v>
      </c>
      <c r="D182" s="480">
        <f>'[20]Sch C'!F188</f>
        <v>0</v>
      </c>
      <c r="E182" s="480">
        <f>+'[20]Sch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'[20]Sch C'!D189</f>
        <v>0</v>
      </c>
      <c r="D183" s="480">
        <f>'[20]Sch C'!F189</f>
        <v>0</v>
      </c>
      <c r="E183" s="480">
        <f>+'[20]Sch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'[20]Sch C'!D190</f>
        <v>0</v>
      </c>
      <c r="D184" s="480">
        <f>'[20]Sch C'!F190</f>
        <v>0</v>
      </c>
      <c r="E184" s="480">
        <f>+'[20]Sch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'[20]Sch C'!D191</f>
        <v>0</v>
      </c>
      <c r="D185" s="480">
        <f>'[20]Sch C'!F191</f>
        <v>0</v>
      </c>
      <c r="E185" s="480">
        <f>+'[20]Sch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'[20]Sch C'!D192</f>
        <v>0</v>
      </c>
      <c r="D186" s="480">
        <f>'[20]Sch C'!F192</f>
        <v>0</v>
      </c>
      <c r="E186" s="480">
        <f>+'[20]Sch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'[20]Sch C'!D193</f>
        <v>0</v>
      </c>
      <c r="D187" s="480">
        <f>'[20]Sch C'!F193</f>
        <v>0</v>
      </c>
      <c r="E187" s="480">
        <f>+'[20]Sch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'[20]Sch C'!D194</f>
        <v>106448.79</v>
      </c>
      <c r="D188" s="480">
        <f>'[20]Sch C'!F194</f>
        <v>0</v>
      </c>
      <c r="E188" s="480">
        <f>+'[20]Sch C'!H194</f>
        <v>0</v>
      </c>
      <c r="F188" s="166">
        <f t="shared" si="58"/>
        <v>106448.79</v>
      </c>
      <c r="G188" s="626"/>
      <c r="H188" s="166"/>
      <c r="I188" s="166">
        <f t="shared" si="59"/>
        <v>106448.79</v>
      </c>
      <c r="J188" s="167">
        <f t="shared" si="60"/>
        <v>4.4647891359930421E-2</v>
      </c>
      <c r="K188" s="458"/>
      <c r="L188" s="213"/>
      <c r="M188" s="208"/>
      <c r="O188" s="329">
        <f t="shared" si="61"/>
        <v>11.419093542158334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'[20]Sch C'!D195</f>
        <v>659.8</v>
      </c>
      <c r="D189" s="480">
        <f>'[20]Sch C'!F195</f>
        <v>0</v>
      </c>
      <c r="E189" s="480">
        <f>+'[20]Sch C'!H195</f>
        <v>0</v>
      </c>
      <c r="F189" s="166">
        <f t="shared" si="58"/>
        <v>659.8</v>
      </c>
      <c r="G189" s="626"/>
      <c r="H189" s="166"/>
      <c r="I189" s="166">
        <f t="shared" si="59"/>
        <v>659.8</v>
      </c>
      <c r="J189" s="167">
        <f t="shared" si="60"/>
        <v>2.7674038116621235E-4</v>
      </c>
      <c r="K189" s="458"/>
      <c r="L189" s="213"/>
      <c r="M189" s="208"/>
      <c r="O189" s="329">
        <f t="shared" si="61"/>
        <v>7.0778802832010296E-2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'[20]Sch C'!D196</f>
        <v>0</v>
      </c>
      <c r="D190" s="480">
        <f>'[20]Sch C'!F196</f>
        <v>0</v>
      </c>
      <c r="E190" s="480">
        <f>+'[20]Sch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'[20]Sch C'!D197</f>
        <v>116986.76</v>
      </c>
      <c r="D191" s="480">
        <f>'[20]Sch C'!F197</f>
        <v>0</v>
      </c>
      <c r="E191" s="480">
        <f>+'[20]Sch C'!H197</f>
        <v>0</v>
      </c>
      <c r="F191" s="166">
        <f t="shared" si="58"/>
        <v>116986.76</v>
      </c>
      <c r="G191" s="626"/>
      <c r="H191" s="166"/>
      <c r="I191" s="166">
        <f t="shared" si="59"/>
        <v>116986.76</v>
      </c>
      <c r="J191" s="167">
        <f t="shared" si="60"/>
        <v>4.9067839578357392E-2</v>
      </c>
      <c r="K191" s="458"/>
      <c r="L191" s="213"/>
      <c r="M191" s="208"/>
      <c r="O191" s="329">
        <f t="shared" si="61"/>
        <v>12.549534434670671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'[20]Sch C'!D198</f>
        <v>10361.83</v>
      </c>
      <c r="D192" s="480">
        <f>'[20]Sch C'!F198</f>
        <v>0</v>
      </c>
      <c r="E192" s="480">
        <f>+'[20]Sch C'!H198</f>
        <v>0</v>
      </c>
      <c r="F192" s="166">
        <f t="shared" si="58"/>
        <v>10361.83</v>
      </c>
      <c r="G192" s="626"/>
      <c r="H192" s="166"/>
      <c r="I192" s="166">
        <f t="shared" si="59"/>
        <v>10361.83</v>
      </c>
      <c r="J192" s="167">
        <f t="shared" si="60"/>
        <v>4.3460696935124195E-3</v>
      </c>
      <c r="K192" s="458"/>
      <c r="L192" s="213"/>
      <c r="M192" s="208"/>
      <c r="O192" s="329">
        <f t="shared" si="61"/>
        <v>1.1115458056211114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'[20]Sch C'!D199</f>
        <v>0</v>
      </c>
      <c r="D193" s="480">
        <f>'[20]Sch C'!F199</f>
        <v>0</v>
      </c>
      <c r="E193" s="480">
        <f>+'[20]Sch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'[20]Sch C'!D200</f>
        <v>0</v>
      </c>
      <c r="D194" s="480">
        <f>'[20]Sch C'!F200</f>
        <v>0</v>
      </c>
      <c r="E194" s="480">
        <f>+'[20]Sch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'[20]Sch C'!D201</f>
        <v>0</v>
      </c>
      <c r="D195" s="480">
        <f>'[20]Sch C'!F201</f>
        <v>0</v>
      </c>
      <c r="E195" s="480">
        <f>+'[20]Sch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'[20]Sch C'!D202</f>
        <v>0</v>
      </c>
      <c r="D196" s="480">
        <f>'[20]Sch C'!F202</f>
        <v>0</v>
      </c>
      <c r="E196" s="480">
        <f>+'[20]Sch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'[20]Sch C'!D203</f>
        <v>0</v>
      </c>
      <c r="D197" s="480">
        <f>'[20]Sch C'!F203</f>
        <v>0</v>
      </c>
      <c r="E197" s="480">
        <f>+'[20]Sch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'[20]Sch C'!D204</f>
        <v>0</v>
      </c>
      <c r="D198" s="480">
        <f>'[20]Sch C'!F204</f>
        <v>0</v>
      </c>
      <c r="E198" s="480">
        <f>+'[20]Sch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'[20]Sch C'!D205</f>
        <v>84737.67</v>
      </c>
      <c r="D199" s="480">
        <f>'[20]Sch C'!F205</f>
        <v>0</v>
      </c>
      <c r="E199" s="480">
        <f>+'[20]Sch C'!H205</f>
        <v>0</v>
      </c>
      <c r="F199" s="166">
        <f t="shared" si="58"/>
        <v>84737.67</v>
      </c>
      <c r="G199" s="626"/>
      <c r="H199" s="166"/>
      <c r="I199" s="166">
        <f t="shared" si="59"/>
        <v>84737.67</v>
      </c>
      <c r="J199" s="167">
        <f t="shared" si="60"/>
        <v>3.5541580925942284E-2</v>
      </c>
      <c r="K199" s="458"/>
      <c r="L199" s="213"/>
      <c r="M199" s="208"/>
      <c r="O199" s="329">
        <f t="shared" si="61"/>
        <v>9.0900740184509754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'[20]Sch C'!D206</f>
        <v>9728.32</v>
      </c>
      <c r="D200" s="480">
        <f>'[20]Sch C'!F206</f>
        <v>0</v>
      </c>
      <c r="E200" s="480">
        <f>+'[20]Sch C'!H206</f>
        <v>0</v>
      </c>
      <c r="F200" s="166">
        <f t="shared" si="58"/>
        <v>9728.32</v>
      </c>
      <c r="G200" s="626"/>
      <c r="H200" s="166"/>
      <c r="I200" s="166">
        <f t="shared" si="59"/>
        <v>9728.32</v>
      </c>
      <c r="J200" s="167">
        <f t="shared" si="60"/>
        <v>4.0803561456606349E-3</v>
      </c>
      <c r="K200" s="458"/>
      <c r="L200" s="213"/>
      <c r="M200" s="208"/>
      <c r="O200" s="329">
        <f t="shared" si="61"/>
        <v>1.043587213044411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'[20]Sch C'!D207</f>
        <v>0</v>
      </c>
      <c r="D201" s="480">
        <f>'[20]Sch C'!F207</f>
        <v>0</v>
      </c>
      <c r="E201" s="480">
        <f>+'[20]Sch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329442.77</v>
      </c>
      <c r="D202" s="480">
        <f t="shared" si="62"/>
        <v>143.26681842849797</v>
      </c>
      <c r="E202" s="480">
        <f t="shared" si="62"/>
        <v>0</v>
      </c>
      <c r="F202" s="166">
        <f t="shared" ref="F202:I202" si="63">SUM(F169:F201)</f>
        <v>329586.03681842849</v>
      </c>
      <c r="G202" s="166">
        <f t="shared" si="63"/>
        <v>0</v>
      </c>
      <c r="H202" s="166">
        <f t="shared" si="63"/>
        <v>0</v>
      </c>
      <c r="I202" s="166">
        <f t="shared" si="63"/>
        <v>329586.03681842849</v>
      </c>
      <c r="J202" s="167">
        <f>IF($I$213=0,0,I202/$I$213)</f>
        <v>0.13823850478356048</v>
      </c>
      <c r="K202" s="458"/>
      <c r="L202" s="163"/>
      <c r="M202" s="163"/>
      <c r="O202" s="329">
        <f>I202/I$233</f>
        <v>35.355721606782716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'[20]Sch C'!D211</f>
        <v>41012.559999999998</v>
      </c>
      <c r="D205" s="480">
        <f>'[20]Sch C'!F211</f>
        <v>0</v>
      </c>
      <c r="E205" s="480">
        <f>+'[20]Sch C'!H211</f>
        <v>0</v>
      </c>
      <c r="F205" s="166">
        <f t="shared" ref="F205:F210" si="64">C205+D205+E205</f>
        <v>41012.559999999998</v>
      </c>
      <c r="G205" s="626"/>
      <c r="H205" s="166"/>
      <c r="I205" s="166">
        <f t="shared" ref="I205:I210" si="65">F205+G205+H205</f>
        <v>41012.559999999998</v>
      </c>
      <c r="J205" s="167">
        <f t="shared" ref="J205:J211" si="66">IF($I$213=0,0,I205/$I$213)</f>
        <v>1.720192707942127E-2</v>
      </c>
      <c r="K205" s="458"/>
      <c r="L205" s="176">
        <v>3362.58</v>
      </c>
      <c r="M205" s="176">
        <v>3554.37</v>
      </c>
      <c r="O205" s="329">
        <f t="shared" ref="O205:O210" si="67">I205/I$233</f>
        <v>4.3995451619824069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'[20]Sch C'!D212</f>
        <v>0</v>
      </c>
      <c r="D206" s="480">
        <f>'[20]Sch C'!F212</f>
        <v>11308.196664372359</v>
      </c>
      <c r="E206" s="480">
        <f>+'[20]Sch C'!H212</f>
        <v>0</v>
      </c>
      <c r="F206" s="166">
        <f t="shared" si="64"/>
        <v>11308.196664372359</v>
      </c>
      <c r="G206" s="626"/>
      <c r="H206" s="166"/>
      <c r="I206" s="166">
        <f t="shared" si="65"/>
        <v>11308.196664372359</v>
      </c>
      <c r="J206" s="167">
        <f t="shared" si="66"/>
        <v>4.743004933617608E-3</v>
      </c>
      <c r="K206" s="458"/>
      <c r="L206" s="163"/>
      <c r="M206" s="163"/>
      <c r="O206" s="329">
        <f t="shared" si="67"/>
        <v>1.2130655078708816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'[20]Sch C'!D213</f>
        <v>12884.02</v>
      </c>
      <c r="D207" s="480">
        <f>'[20]Sch C'!F213</f>
        <v>0</v>
      </c>
      <c r="E207" s="480">
        <f>+'[20]Sch C'!H213</f>
        <v>0</v>
      </c>
      <c r="F207" s="166">
        <f t="shared" si="64"/>
        <v>12884.02</v>
      </c>
      <c r="G207" s="626"/>
      <c r="H207" s="166"/>
      <c r="I207" s="166">
        <f t="shared" si="65"/>
        <v>12884.02</v>
      </c>
      <c r="J207" s="167">
        <f t="shared" si="66"/>
        <v>5.403953631029257E-3</v>
      </c>
      <c r="K207" s="458"/>
      <c r="L207" s="163"/>
      <c r="M207" s="163"/>
      <c r="O207" s="329">
        <f t="shared" si="67"/>
        <v>1.3821089894872345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'[20]Sch C'!D214</f>
        <v>4688.54</v>
      </c>
      <c r="D208" s="480">
        <f>'[20]Sch C'!F214</f>
        <v>0</v>
      </c>
      <c r="E208" s="480">
        <f>+'[20]Sch C'!H214</f>
        <v>0</v>
      </c>
      <c r="F208" s="166">
        <f t="shared" si="64"/>
        <v>4688.54</v>
      </c>
      <c r="G208" s="626"/>
      <c r="H208" s="166"/>
      <c r="I208" s="166">
        <f t="shared" si="65"/>
        <v>4688.54</v>
      </c>
      <c r="J208" s="167">
        <f t="shared" si="66"/>
        <v>1.9665176518839549E-3</v>
      </c>
      <c r="K208" s="458"/>
      <c r="L208" s="163"/>
      <c r="M208" s="163"/>
      <c r="O208" s="329">
        <f t="shared" si="67"/>
        <v>0.50295430165200605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'[20]Sch C'!D215</f>
        <v>0</v>
      </c>
      <c r="D209" s="480">
        <f>'[20]Sch C'!F215</f>
        <v>0</v>
      </c>
      <c r="E209" s="480">
        <f>+'[20]Sch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'[20]Sch C'!D216</f>
        <v>2671.63</v>
      </c>
      <c r="D210" s="480">
        <f>'[20]Sch C'!F216</f>
        <v>0</v>
      </c>
      <c r="E210" s="480">
        <f>+'[20]Sch C'!H216</f>
        <v>0</v>
      </c>
      <c r="F210" s="166">
        <f t="shared" si="64"/>
        <v>2671.63</v>
      </c>
      <c r="G210" s="626"/>
      <c r="H210" s="166"/>
      <c r="I210" s="166">
        <f t="shared" si="65"/>
        <v>2671.63</v>
      </c>
      <c r="J210" s="167">
        <f t="shared" si="66"/>
        <v>1.1205636625266566E-3</v>
      </c>
      <c r="K210" s="457"/>
      <c r="L210" s="163"/>
      <c r="M210" s="163"/>
      <c r="O210" s="329">
        <f t="shared" si="67"/>
        <v>0.28659407852392194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61256.75</v>
      </c>
      <c r="D211" s="480">
        <f t="shared" si="68"/>
        <v>11308.196664372359</v>
      </c>
      <c r="E211" s="480">
        <f t="shared" si="68"/>
        <v>0</v>
      </c>
      <c r="F211" s="166">
        <f t="shared" ref="F211:I211" si="69">SUM(F205:F210)</f>
        <v>72564.946664372357</v>
      </c>
      <c r="G211" s="166">
        <f t="shared" si="69"/>
        <v>0</v>
      </c>
      <c r="H211" s="166">
        <f t="shared" si="69"/>
        <v>0</v>
      </c>
      <c r="I211" s="166">
        <f t="shared" si="69"/>
        <v>72564.946664372357</v>
      </c>
      <c r="J211" s="167">
        <f t="shared" si="66"/>
        <v>3.0435966958478746E-2</v>
      </c>
      <c r="K211" s="458"/>
      <c r="L211" s="163"/>
      <c r="M211" s="163"/>
      <c r="O211" s="329">
        <f>I211/I$233</f>
        <v>7.7842680395164514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2554613.5099999993</v>
      </c>
      <c r="D213" s="480">
        <f t="shared" si="70"/>
        <v>-20351.469999999987</v>
      </c>
      <c r="E213" s="480">
        <f t="shared" si="70"/>
        <v>771</v>
      </c>
      <c r="F213" s="166">
        <f t="shared" ref="F213:I213" si="71">SUM(F30:F211)/2</f>
        <v>2535033.0399999991</v>
      </c>
      <c r="G213" s="166">
        <f t="shared" si="71"/>
        <v>-150849</v>
      </c>
      <c r="H213" s="166">
        <f t="shared" si="71"/>
        <v>0</v>
      </c>
      <c r="I213" s="166">
        <f t="shared" si="71"/>
        <v>2384184.0399999996</v>
      </c>
      <c r="J213" s="167">
        <f>IF($I$213=0,0,I213/$I$213)</f>
        <v>1</v>
      </c>
      <c r="K213" s="458"/>
      <c r="L213" s="176">
        <f>SUM(L30:L205)</f>
        <v>62759.520000000004</v>
      </c>
      <c r="M213" s="176">
        <f>SUM(M30:M205)</f>
        <v>65214.9</v>
      </c>
      <c r="O213" s="329">
        <f>I213/I$233</f>
        <v>255.75885432310659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'[20]Sch C'!D221</f>
        <v>2554613.48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2.9999999329447746E-2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69045.350000000559</v>
      </c>
      <c r="D220" s="480">
        <f t="shared" si="72"/>
        <v>20351.469999999987</v>
      </c>
      <c r="E220" s="480">
        <f t="shared" si="72"/>
        <v>-771</v>
      </c>
      <c r="F220" s="166">
        <f t="shared" ref="F220:I220" si="73">F26-F213</f>
        <v>88625.820000000764</v>
      </c>
      <c r="G220" s="166">
        <f t="shared" si="73"/>
        <v>139585</v>
      </c>
      <c r="H220" s="166">
        <f t="shared" si="73"/>
        <v>0</v>
      </c>
      <c r="I220" s="166">
        <f t="shared" si="73"/>
        <v>228210.8200000003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'[20]Sch D'!C9</f>
        <v>3953</v>
      </c>
      <c r="D224" s="480"/>
      <c r="E224" s="480"/>
      <c r="F224" s="224">
        <f>C224+D224+E224</f>
        <v>3953</v>
      </c>
      <c r="G224" s="627"/>
      <c r="H224" s="223"/>
      <c r="I224" s="224">
        <f>F224+G224+H224</f>
        <v>3953</v>
      </c>
      <c r="J224" s="167">
        <f t="shared" ref="J224:J233" si="74">IF($I$233=0,0,I224/$I$233)</f>
        <v>0.42405063291139239</v>
      </c>
      <c r="K224" s="458"/>
      <c r="L224" s="163"/>
      <c r="M224" s="163"/>
    </row>
    <row r="225" spans="1:13">
      <c r="A225" s="158"/>
      <c r="B225" s="165" t="s">
        <v>201</v>
      </c>
      <c r="C225" s="504">
        <f>'[20]Sch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'[20]Sch D'!E9</f>
        <v>2007</v>
      </c>
      <c r="D226" s="480"/>
      <c r="E226" s="480"/>
      <c r="F226" s="224">
        <f t="shared" si="75"/>
        <v>2007</v>
      </c>
      <c r="G226" s="627"/>
      <c r="H226" s="223"/>
      <c r="I226" s="224">
        <f t="shared" si="76"/>
        <v>2007</v>
      </c>
      <c r="J226" s="167">
        <f t="shared" si="74"/>
        <v>0.21529714653507831</v>
      </c>
      <c r="K226" s="458"/>
      <c r="L226" s="163"/>
      <c r="M226" s="163"/>
    </row>
    <row r="227" spans="1:13">
      <c r="A227" s="158"/>
      <c r="B227" s="194" t="s">
        <v>315</v>
      </c>
      <c r="C227" s="504">
        <f>'[20]Sch D'!F9</f>
        <v>6</v>
      </c>
      <c r="D227" s="480"/>
      <c r="E227" s="480"/>
      <c r="F227" s="224">
        <f t="shared" si="75"/>
        <v>6</v>
      </c>
      <c r="G227" s="627"/>
      <c r="H227" s="223"/>
      <c r="I227" s="224">
        <f t="shared" si="76"/>
        <v>6</v>
      </c>
      <c r="J227" s="167">
        <f t="shared" si="74"/>
        <v>6.4363870414074233E-4</v>
      </c>
      <c r="K227" s="458"/>
      <c r="L227" s="163"/>
      <c r="M227" s="163"/>
    </row>
    <row r="228" spans="1:13">
      <c r="A228" s="158"/>
      <c r="B228" s="165" t="s">
        <v>65</v>
      </c>
      <c r="C228" s="504">
        <f>'[20]Sch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'[20]Sch D'!H9</f>
        <v>2221</v>
      </c>
      <c r="D229" s="480"/>
      <c r="E229" s="480"/>
      <c r="F229" s="224">
        <f t="shared" si="75"/>
        <v>2221</v>
      </c>
      <c r="G229" s="627"/>
      <c r="H229" s="223"/>
      <c r="I229" s="224">
        <f t="shared" si="76"/>
        <v>2221</v>
      </c>
      <c r="J229" s="167">
        <f t="shared" si="74"/>
        <v>0.23825359364943144</v>
      </c>
      <c r="K229" s="458"/>
      <c r="L229" s="163"/>
      <c r="M229" s="163"/>
    </row>
    <row r="230" spans="1:13">
      <c r="A230" s="158"/>
      <c r="B230" s="165" t="s">
        <v>219</v>
      </c>
      <c r="C230" s="504">
        <f>'[20]Sch D'!I9</f>
        <v>1135</v>
      </c>
      <c r="D230" s="480"/>
      <c r="E230" s="480"/>
      <c r="F230" s="224">
        <f t="shared" si="75"/>
        <v>1135</v>
      </c>
      <c r="G230" s="627"/>
      <c r="H230" s="223"/>
      <c r="I230" s="224">
        <f t="shared" si="76"/>
        <v>1135</v>
      </c>
      <c r="J230" s="167">
        <f t="shared" si="74"/>
        <v>0.12175498819995709</v>
      </c>
      <c r="K230" s="458"/>
      <c r="L230" s="163"/>
      <c r="M230" s="163"/>
    </row>
    <row r="231" spans="1:13">
      <c r="A231" s="158"/>
      <c r="B231" s="165" t="s">
        <v>218</v>
      </c>
      <c r="C231" s="504">
        <f>'[20]Sch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'[20]Sch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9322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9322</v>
      </c>
      <c r="G233" s="226">
        <f t="shared" si="78"/>
        <v>0</v>
      </c>
      <c r="H233" s="226">
        <f t="shared" si="78"/>
        <v>0</v>
      </c>
      <c r="I233" s="226">
        <f t="shared" si="78"/>
        <v>9322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L235" s="163"/>
      <c r="M235" s="163"/>
    </row>
    <row r="236" spans="1:13">
      <c r="A236" s="158"/>
      <c r="B236" s="194" t="s">
        <v>203</v>
      </c>
      <c r="C236" s="504">
        <f>'[20]Sch D'!N22</f>
        <v>51</v>
      </c>
      <c r="D236" s="480"/>
      <c r="E236" s="480"/>
      <c r="F236" s="224">
        <f>C236+E236</f>
        <v>51</v>
      </c>
      <c r="G236" s="627"/>
      <c r="H236" s="224"/>
      <c r="I236" s="224">
        <f>F236+G236+H236</f>
        <v>51</v>
      </c>
      <c r="J236" s="162"/>
      <c r="L236" s="163"/>
      <c r="M236" s="163"/>
    </row>
    <row r="237" spans="1:13">
      <c r="A237" s="158"/>
      <c r="B237" s="194" t="s">
        <v>271</v>
      </c>
      <c r="C237" s="504">
        <f>'[20]Sch D'!N24</f>
        <v>51</v>
      </c>
      <c r="D237" s="480"/>
      <c r="E237" s="480"/>
      <c r="F237" s="224">
        <f>C237+E237</f>
        <v>51</v>
      </c>
      <c r="G237" s="627"/>
      <c r="H237" s="224"/>
      <c r="I237" s="224">
        <f>F237+G237+H237</f>
        <v>51</v>
      </c>
      <c r="J237" s="162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'[20]Sch D'!N28</f>
        <v>18615</v>
      </c>
      <c r="D240" s="427"/>
      <c r="E240" s="427"/>
      <c r="F240" s="223">
        <f>F236*F238</f>
        <v>18615</v>
      </c>
      <c r="G240"/>
      <c r="H240" s="228"/>
      <c r="I240" s="223">
        <f>I236*I238</f>
        <v>18615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'[20]Sch D'!N30</f>
        <v>0.50077894171367177</v>
      </c>
      <c r="D241" s="228"/>
      <c r="E241" s="228"/>
      <c r="F241" s="232">
        <f>F233/F240</f>
        <v>0.50077894171367177</v>
      </c>
      <c r="G241"/>
      <c r="H241" s="233"/>
      <c r="I241" s="232">
        <f>I233/I240</f>
        <v>0.50077894171367177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'[20]Sch D'!N32</f>
        <v>0.2123556271823798</v>
      </c>
      <c r="D242" s="228"/>
      <c r="E242" s="228"/>
      <c r="F242" s="232">
        <f>(F224+F225)/F240</f>
        <v>0.2123556271823798</v>
      </c>
      <c r="G242"/>
      <c r="H242" s="233"/>
      <c r="I242" s="232">
        <f>(I224+I225)/I240</f>
        <v>0.2123556271823798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'[20]Sch D'!N34</f>
        <v>0.42405063291139239</v>
      </c>
      <c r="D243" s="228"/>
      <c r="E243" s="228"/>
      <c r="F243" s="232">
        <f>(F242/F241)</f>
        <v>0.42405063291139239</v>
      </c>
      <c r="G243"/>
      <c r="H243" s="233"/>
      <c r="I243" s="232">
        <f>(I242/I241)</f>
        <v>0.42405063291139239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>
        <f>'[20]Sch B'!C90</f>
        <v>125.08320000000001</v>
      </c>
    </row>
    <row r="247" spans="1:13">
      <c r="H247" s="140" t="s">
        <v>322</v>
      </c>
      <c r="I247" s="480">
        <f>'[20]Sch B'!E90</f>
        <v>124.1590054249548</v>
      </c>
    </row>
    <row r="248" spans="1:13">
      <c r="B248" s="407"/>
      <c r="H248" s="140" t="s">
        <v>323</v>
      </c>
      <c r="I248" s="480">
        <f>'[20]Sch B'!G90</f>
        <v>98.418600000000012</v>
      </c>
    </row>
    <row r="249" spans="1:13" ht="16.5">
      <c r="B249" s="470"/>
      <c r="H249" s="140" t="s">
        <v>324</v>
      </c>
      <c r="I249" s="480">
        <f>'[20]Sch B'!I90</f>
        <v>161.55974903474902</v>
      </c>
    </row>
    <row r="250" spans="1:13" ht="16.5">
      <c r="B250" s="470"/>
      <c r="H250" s="140"/>
    </row>
    <row r="251" spans="1:13" ht="16.5">
      <c r="B251" s="470"/>
    </row>
    <row r="252" spans="1:13" ht="16.5">
      <c r="B252" s="47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3" sqref="F13"/>
      <pageMargins left="0" right="0" top="0.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368</v>
      </c>
      <c r="D2" s="426"/>
      <c r="E2" s="142"/>
    </row>
    <row r="3" spans="1:16">
      <c r="A3" s="143"/>
      <c r="B3" s="138" t="s">
        <v>71</v>
      </c>
      <c r="C3" s="557">
        <f>'[3]Sch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'[3]Sch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'[3]Sch B'!E10</f>
        <v>2928752</v>
      </c>
      <c r="D12" s="480">
        <f>'[3]Sch B'!G10</f>
        <v>0</v>
      </c>
      <c r="E12" s="480"/>
      <c r="F12" s="166">
        <f>C12+D12+E12</f>
        <v>2928752</v>
      </c>
      <c r="G12" s="626"/>
      <c r="H12" s="166"/>
      <c r="I12" s="166">
        <f>F12+G12+H12</f>
        <v>2928752</v>
      </c>
      <c r="J12" s="167">
        <f>IF($I$26=0,0,I12/$I$26)</f>
        <v>0.43944322674969932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'[3]Sch B'!E12</f>
        <v>0</v>
      </c>
      <c r="D13" s="480">
        <f>'[3]Sch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'[3]Sch B'!E13</f>
        <v>109625</v>
      </c>
      <c r="D14" s="480">
        <f>'[3]Sch B'!G13</f>
        <v>0</v>
      </c>
      <c r="E14" s="480"/>
      <c r="F14" s="166">
        <f t="shared" si="0"/>
        <v>109625</v>
      </c>
      <c r="G14" s="626"/>
      <c r="H14" s="166"/>
      <c r="I14" s="166">
        <f t="shared" si="1"/>
        <v>109625</v>
      </c>
      <c r="J14" s="167">
        <f>IF($I$26=0,0,I14/$I$26)</f>
        <v>1.6448631953963937E-2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'[3]Sch B'!E14</f>
        <v>0</v>
      </c>
      <c r="D15" s="480">
        <f>'[3]Sch B'!G14</f>
        <v>0</v>
      </c>
      <c r="E15" s="480"/>
      <c r="F15" s="166">
        <f t="shared" si="0"/>
        <v>0</v>
      </c>
      <c r="G15" s="626">
        <v>71775.039999999994</v>
      </c>
      <c r="H15" s="166"/>
      <c r="I15" s="166">
        <f t="shared" si="1"/>
        <v>71775.039999999994</v>
      </c>
      <c r="J15" s="167">
        <f>IF($I$26=0,0,I15/$I$26)</f>
        <v>1.0769452373464444E-2</v>
      </c>
      <c r="K15" s="162" t="s">
        <v>646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'[3]Sch B'!E15</f>
        <v>3038377</v>
      </c>
      <c r="D16" s="480">
        <f>'[3]Sch B'!G15</f>
        <v>0</v>
      </c>
      <c r="E16" s="480"/>
      <c r="F16" s="166">
        <f t="shared" si="0"/>
        <v>3038377</v>
      </c>
      <c r="G16" s="626"/>
      <c r="H16" s="166"/>
      <c r="I16" s="166">
        <f>SUM(I12:I15)</f>
        <v>3110152.04</v>
      </c>
      <c r="J16" s="167">
        <f t="shared" ref="J16:J26" si="2">IF($I$26=0,0,I16/$I$26)</f>
        <v>0.46666131107712772</v>
      </c>
      <c r="K16" s="458"/>
      <c r="L16" s="333" t="s">
        <v>325</v>
      </c>
      <c r="M16" s="334">
        <f>I26</f>
        <v>6664688</v>
      </c>
      <c r="O16" s="324">
        <f>IFERROR(I16/I224,0)</f>
        <v>189.08998297665369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'[3]Sch B'!E20</f>
        <v>0</v>
      </c>
      <c r="D17" s="480">
        <f>'[3]Sch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7142933.3700000001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'[3]Sch B'!E26</f>
        <v>2066715</v>
      </c>
      <c r="D18" s="480">
        <f>'[3]Sch B'!G26</f>
        <v>0</v>
      </c>
      <c r="E18" s="480"/>
      <c r="F18" s="166">
        <f t="shared" si="0"/>
        <v>2066715</v>
      </c>
      <c r="G18" s="626"/>
      <c r="H18" s="166"/>
      <c r="I18" s="166">
        <f t="shared" si="1"/>
        <v>2066715</v>
      </c>
      <c r="J18" s="167">
        <f t="shared" si="2"/>
        <v>0.31009928746852067</v>
      </c>
      <c r="K18" s="458"/>
      <c r="L18" s="335" t="s">
        <v>327</v>
      </c>
      <c r="M18" s="336">
        <f>I233</f>
        <v>26120</v>
      </c>
      <c r="O18" s="324">
        <f t="shared" si="3"/>
        <v>546.75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'[3]Sch B'!E32</f>
        <v>385200</v>
      </c>
      <c r="D19" s="480">
        <f>'[3]Sch B'!G32</f>
        <v>0</v>
      </c>
      <c r="E19" s="480"/>
      <c r="F19" s="166">
        <f t="shared" si="0"/>
        <v>385200</v>
      </c>
      <c r="G19" s="626"/>
      <c r="H19" s="166"/>
      <c r="I19" s="166">
        <f t="shared" si="1"/>
        <v>385200</v>
      </c>
      <c r="J19" s="170">
        <f t="shared" si="2"/>
        <v>5.7797154195365186E-2</v>
      </c>
      <c r="K19" s="464"/>
      <c r="L19" s="335" t="s">
        <v>328</v>
      </c>
      <c r="M19" s="336">
        <f>I236</f>
        <v>122</v>
      </c>
      <c r="O19" s="324">
        <f t="shared" si="3"/>
        <v>450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'[3]Sch B'!E37</f>
        <v>0</v>
      </c>
      <c r="D20" s="480">
        <f>'[3]Sch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44530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'[3]Sch B'!E42</f>
        <v>553068</v>
      </c>
      <c r="D21" s="480">
        <f>'[3]Sch B'!G42</f>
        <v>0</v>
      </c>
      <c r="E21" s="480"/>
      <c r="F21" s="166">
        <f t="shared" si="0"/>
        <v>553068</v>
      </c>
      <c r="G21" s="626"/>
      <c r="H21" s="166"/>
      <c r="I21" s="166">
        <f t="shared" si="1"/>
        <v>553068</v>
      </c>
      <c r="J21" s="167">
        <f t="shared" si="2"/>
        <v>8.2984829897513587E-2</v>
      </c>
      <c r="K21" s="458"/>
      <c r="L21" s="337"/>
      <c r="M21" s="336"/>
      <c r="O21" s="324">
        <f t="shared" si="3"/>
        <v>216.63454759106932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'[3]Sch B'!E47</f>
        <v>332516</v>
      </c>
      <c r="D22" s="480">
        <f>'[3]Sch B'!G47</f>
        <v>0</v>
      </c>
      <c r="E22" s="480"/>
      <c r="F22" s="166">
        <f t="shared" si="0"/>
        <v>332516</v>
      </c>
      <c r="G22" s="626"/>
      <c r="H22" s="166"/>
      <c r="I22" s="166">
        <f t="shared" si="1"/>
        <v>332516</v>
      </c>
      <c r="J22" s="167">
        <f t="shared" si="2"/>
        <v>4.9892208007336576E-2</v>
      </c>
      <c r="K22" s="458"/>
      <c r="L22" s="335" t="s">
        <v>148</v>
      </c>
      <c r="M22" s="336">
        <f>L213</f>
        <v>123676</v>
      </c>
      <c r="O22" s="324">
        <f t="shared" si="3"/>
        <v>183.20440771349863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'[3]Sch B'!E52</f>
        <v>0</v>
      </c>
      <c r="D23" s="480">
        <f>'[3]Sch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130666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'[3]Sch B'!E57</f>
        <v>216257</v>
      </c>
      <c r="D24" s="480">
        <f>'[3]Sch B'!G57</f>
        <v>0</v>
      </c>
      <c r="E24" s="480"/>
      <c r="F24" s="166">
        <f t="shared" si="0"/>
        <v>216257</v>
      </c>
      <c r="G24" s="626"/>
      <c r="H24" s="166"/>
      <c r="I24" s="166">
        <f t="shared" si="1"/>
        <v>216257</v>
      </c>
      <c r="J24" s="167">
        <f t="shared" si="2"/>
        <v>3.2448180620008017E-2</v>
      </c>
      <c r="K24" s="458"/>
      <c r="L24" s="163"/>
      <c r="M24" s="163"/>
      <c r="O24" s="324">
        <f t="shared" si="3"/>
        <v>323.73802395209583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'[3]Sch B'!E72</f>
        <v>87559</v>
      </c>
      <c r="D25" s="480">
        <f>'[3]Sch B'!G72</f>
        <v>-15004</v>
      </c>
      <c r="E25" s="480"/>
      <c r="F25" s="166">
        <f t="shared" si="0"/>
        <v>72555</v>
      </c>
      <c r="G25" s="626">
        <f>-71775.04</f>
        <v>-71775.039999999994</v>
      </c>
      <c r="H25" s="166"/>
      <c r="I25" s="166">
        <f t="shared" si="1"/>
        <v>779.9600000000064</v>
      </c>
      <c r="J25" s="167">
        <f t="shared" si="2"/>
        <v>1.1702873412829024E-4</v>
      </c>
      <c r="K25" s="162" t="s">
        <v>646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6679692</v>
      </c>
      <c r="D26" s="480">
        <f t="shared" ref="D26:F26" si="4">SUM(D16:D25)</f>
        <v>-15004</v>
      </c>
      <c r="E26" s="480">
        <f t="shared" si="4"/>
        <v>0</v>
      </c>
      <c r="F26" s="166">
        <f t="shared" si="4"/>
        <v>6664688</v>
      </c>
      <c r="G26" s="166">
        <f>SUM(G12:G25)</f>
        <v>0</v>
      </c>
      <c r="H26" s="166">
        <f>SUM(H12:H25)</f>
        <v>0</v>
      </c>
      <c r="I26" s="166">
        <f>SUM(I16:I25)</f>
        <v>6664688</v>
      </c>
      <c r="J26" s="167">
        <f t="shared" si="2"/>
        <v>1</v>
      </c>
      <c r="K26" s="458"/>
      <c r="L26" s="163"/>
      <c r="M26" s="163"/>
      <c r="O26" s="324">
        <f>IFERROR(I26/I233,0)</f>
        <v>255.15650842266461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'[3]Sch C'!D10</f>
        <v>0</v>
      </c>
      <c r="D30" s="480">
        <f>'[3]Sch C'!F10</f>
        <v>130158</v>
      </c>
      <c r="E30" s="480">
        <f>+'[3]Sch C'!H10</f>
        <v>0</v>
      </c>
      <c r="F30" s="166">
        <f t="shared" ref="F30:F65" si="5">C30+D30+E30</f>
        <v>130158</v>
      </c>
      <c r="G30" s="626"/>
      <c r="H30" s="166"/>
      <c r="I30" s="166">
        <f t="shared" ref="I30:I64" si="6">F30+G30+H30</f>
        <v>130158</v>
      </c>
      <c r="J30" s="167">
        <f>IF($I$213=0,0,I30/$I$213)</f>
        <v>1.8221925539255029E-2</v>
      </c>
      <c r="K30" s="520"/>
      <c r="L30" s="176">
        <v>1928</v>
      </c>
      <c r="M30" s="176">
        <v>2080</v>
      </c>
      <c r="O30" s="324">
        <f>I30/I$233</f>
        <v>4.9830781010719756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'[3]Sch C'!D11</f>
        <v>0</v>
      </c>
      <c r="D31" s="480">
        <f>'[3]Sch C'!F11</f>
        <v>0</v>
      </c>
      <c r="E31" s="480">
        <f>+'[3]Sch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520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'[3]Sch C'!D12</f>
        <v>271057</v>
      </c>
      <c r="D32" s="480">
        <f>'[3]Sch C'!F12</f>
        <v>-130158</v>
      </c>
      <c r="E32" s="480">
        <f>+'[3]Sch C'!H12</f>
        <v>0</v>
      </c>
      <c r="F32" s="166">
        <f t="shared" si="5"/>
        <v>140899</v>
      </c>
      <c r="G32" s="626"/>
      <c r="H32" s="166"/>
      <c r="I32" s="166">
        <f t="shared" si="6"/>
        <v>140899</v>
      </c>
      <c r="J32" s="167">
        <f t="shared" si="7"/>
        <v>1.9725649491813754E-2</v>
      </c>
      <c r="K32" s="520"/>
      <c r="L32" s="176">
        <v>6119</v>
      </c>
      <c r="M32" s="176">
        <v>6516</v>
      </c>
      <c r="O32" s="324">
        <f t="shared" si="8"/>
        <v>5.3942955589586523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'[3]Sch C'!D13</f>
        <v>66815</v>
      </c>
      <c r="D33" s="480">
        <f>'[3]Sch C'!F13</f>
        <v>0</v>
      </c>
      <c r="E33" s="480">
        <f>+'[3]Sch C'!H13</f>
        <v>0</v>
      </c>
      <c r="F33" s="166">
        <f t="shared" si="5"/>
        <v>66815</v>
      </c>
      <c r="G33" s="626"/>
      <c r="H33" s="166"/>
      <c r="I33" s="166">
        <f t="shared" si="6"/>
        <v>66815</v>
      </c>
      <c r="J33" s="167">
        <f t="shared" si="7"/>
        <v>9.354000175980922E-3</v>
      </c>
      <c r="K33" s="520"/>
      <c r="L33" s="163"/>
      <c r="M33" s="163"/>
      <c r="O33" s="324">
        <f t="shared" si="8"/>
        <v>2.5580015313935682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'[3]Sch C'!D14</f>
        <v>0</v>
      </c>
      <c r="D34" s="480">
        <f>'[3]Sch C'!F14</f>
        <v>0</v>
      </c>
      <c r="E34" s="480">
        <f>+'[3]Sch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520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'[3]Sch C'!D15</f>
        <v>0</v>
      </c>
      <c r="D35" s="480">
        <f>'[3]Sch C'!F15</f>
        <v>0</v>
      </c>
      <c r="E35" s="480">
        <f>+'[3]Sch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520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'[3]Sch C'!D16</f>
        <v>333961</v>
      </c>
      <c r="D36" s="480">
        <f>'[3]Sch C'!F16</f>
        <v>0</v>
      </c>
      <c r="E36" s="480">
        <f>+'[3]Sch C'!H16</f>
        <v>20380</v>
      </c>
      <c r="F36" s="166">
        <f t="shared" si="5"/>
        <v>354341</v>
      </c>
      <c r="G36" s="626"/>
      <c r="H36" s="166"/>
      <c r="I36" s="166">
        <f t="shared" si="6"/>
        <v>354341</v>
      </c>
      <c r="J36" s="167">
        <f t="shared" si="7"/>
        <v>4.9607210601769897E-2</v>
      </c>
      <c r="K36" s="520"/>
      <c r="L36" s="163"/>
      <c r="M36" s="163"/>
      <c r="O36" s="324">
        <f t="shared" si="8"/>
        <v>13.565888208269525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'[3]Sch C'!D17</f>
        <v>351</v>
      </c>
      <c r="D37" s="480">
        <f>'[3]Sch C'!F17</f>
        <v>-351</v>
      </c>
      <c r="E37" s="480">
        <f>+'[3]Sch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520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'[3]Sch C'!D18</f>
        <v>16284</v>
      </c>
      <c r="D38" s="480">
        <f>'[3]Sch C'!F18</f>
        <v>0</v>
      </c>
      <c r="E38" s="480">
        <f>+'[3]Sch C'!H18</f>
        <v>0</v>
      </c>
      <c r="F38" s="166">
        <f t="shared" si="5"/>
        <v>16284</v>
      </c>
      <c r="G38" s="626"/>
      <c r="H38" s="166"/>
      <c r="I38" s="166">
        <f t="shared" si="6"/>
        <v>16284</v>
      </c>
      <c r="J38" s="167">
        <f t="shared" si="7"/>
        <v>2.279735671116865E-3</v>
      </c>
      <c r="K38" s="520"/>
      <c r="L38" s="163"/>
      <c r="M38" s="163"/>
      <c r="O38" s="324">
        <f t="shared" si="8"/>
        <v>0.62343032159264933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'[3]Sch C'!D19</f>
        <v>13726</v>
      </c>
      <c r="D39" s="480">
        <f>'[3]Sch C'!F19</f>
        <v>0</v>
      </c>
      <c r="E39" s="480">
        <f>+'[3]Sch C'!H19</f>
        <v>0</v>
      </c>
      <c r="F39" s="166">
        <f t="shared" si="5"/>
        <v>13726</v>
      </c>
      <c r="G39" s="626"/>
      <c r="H39" s="166"/>
      <c r="I39" s="166">
        <f t="shared" si="6"/>
        <v>13726</v>
      </c>
      <c r="J39" s="167">
        <f t="shared" si="7"/>
        <v>1.921619492861096E-3</v>
      </c>
      <c r="K39" s="520"/>
      <c r="L39" s="163"/>
      <c r="M39" s="163"/>
      <c r="O39" s="324">
        <f t="shared" si="8"/>
        <v>0.52549770290964781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'[3]Sch C'!D20</f>
        <v>16831</v>
      </c>
      <c r="D40" s="480">
        <f>'[3]Sch C'!F20</f>
        <v>0</v>
      </c>
      <c r="E40" s="480">
        <f>+'[3]Sch C'!H20</f>
        <v>0</v>
      </c>
      <c r="F40" s="166">
        <f t="shared" si="5"/>
        <v>16831</v>
      </c>
      <c r="G40" s="626"/>
      <c r="H40" s="166"/>
      <c r="I40" s="166">
        <f t="shared" si="6"/>
        <v>16831</v>
      </c>
      <c r="J40" s="167">
        <f t="shared" si="7"/>
        <v>2.3563148538791423E-3</v>
      </c>
      <c r="K40" s="520"/>
      <c r="L40" s="163"/>
      <c r="M40" s="163"/>
      <c r="O40" s="324">
        <f t="shared" si="8"/>
        <v>0.64437212863705973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'[3]Sch C'!D21</f>
        <v>20700</v>
      </c>
      <c r="D41" s="480">
        <f>'[3]Sch C'!F21</f>
        <v>0</v>
      </c>
      <c r="E41" s="480">
        <f>+'[3]Sch C'!H21</f>
        <v>0</v>
      </c>
      <c r="F41" s="166">
        <f t="shared" si="5"/>
        <v>20700</v>
      </c>
      <c r="G41" s="626"/>
      <c r="H41" s="166"/>
      <c r="I41" s="166">
        <f t="shared" si="6"/>
        <v>20700</v>
      </c>
      <c r="J41" s="167">
        <f t="shared" si="7"/>
        <v>2.8979690734536418E-3</v>
      </c>
      <c r="K41" s="520"/>
      <c r="L41" s="163"/>
      <c r="M41" s="163"/>
      <c r="O41" s="324">
        <f t="shared" si="8"/>
        <v>0.79249617151607965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'[3]Sch C'!D22</f>
        <v>0</v>
      </c>
      <c r="D42" s="480">
        <f>'[3]Sch C'!F22</f>
        <v>0</v>
      </c>
      <c r="E42" s="480">
        <f>+'[3]Sch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520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'[3]Sch C'!D23</f>
        <v>1471</v>
      </c>
      <c r="D43" s="480">
        <f>'[3]Sch C'!F23</f>
        <v>0</v>
      </c>
      <c r="E43" s="480">
        <f>+'[3]Sch C'!H23</f>
        <v>0</v>
      </c>
      <c r="F43" s="166">
        <f t="shared" si="5"/>
        <v>1471</v>
      </c>
      <c r="G43" s="626"/>
      <c r="H43" s="166"/>
      <c r="I43" s="166">
        <f t="shared" si="6"/>
        <v>1471</v>
      </c>
      <c r="J43" s="167">
        <f t="shared" si="7"/>
        <v>2.0593780227296169E-4</v>
      </c>
      <c r="K43" s="520"/>
      <c r="L43" s="163"/>
      <c r="M43" s="163"/>
      <c r="O43" s="324">
        <f t="shared" si="8"/>
        <v>5.6316998468606431E-2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'[3]Sch C'!D24</f>
        <v>1340</v>
      </c>
      <c r="D44" s="480">
        <f>'[3]Sch C'!F24</f>
        <v>0</v>
      </c>
      <c r="E44" s="480">
        <f>+'[3]Sch C'!H24</f>
        <v>0</v>
      </c>
      <c r="F44" s="166">
        <f t="shared" si="5"/>
        <v>1340</v>
      </c>
      <c r="G44" s="626"/>
      <c r="H44" s="166"/>
      <c r="I44" s="166">
        <f t="shared" si="6"/>
        <v>1340</v>
      </c>
      <c r="J44" s="167">
        <f t="shared" si="7"/>
        <v>1.8759799799168502E-4</v>
      </c>
      <c r="K44" s="520"/>
      <c r="L44" s="163"/>
      <c r="M44" s="163"/>
      <c r="O44" s="324">
        <f t="shared" si="8"/>
        <v>5.1301684532924961E-2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'[3]Sch C'!D25</f>
        <v>15315</v>
      </c>
      <c r="D45" s="480">
        <f>'[3]Sch C'!F25</f>
        <v>0</v>
      </c>
      <c r="E45" s="480">
        <f>+'[3]Sch C'!H25</f>
        <v>0</v>
      </c>
      <c r="F45" s="166">
        <f t="shared" si="5"/>
        <v>15315</v>
      </c>
      <c r="G45" s="626"/>
      <c r="H45" s="166"/>
      <c r="I45" s="166">
        <f t="shared" si="6"/>
        <v>15315</v>
      </c>
      <c r="J45" s="167">
        <f t="shared" si="7"/>
        <v>2.1440771188378032E-3</v>
      </c>
      <c r="K45" s="520"/>
      <c r="L45" s="163"/>
      <c r="M45" s="163"/>
      <c r="O45" s="324">
        <f t="shared" si="8"/>
        <v>0.58633231240428785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'[3]Sch C'!D26</f>
        <v>450629</v>
      </c>
      <c r="D46" s="480">
        <f>'[3]Sch C'!F26</f>
        <v>0</v>
      </c>
      <c r="E46" s="480">
        <f>+'[3]Sch C'!H26</f>
        <v>0</v>
      </c>
      <c r="F46" s="166">
        <f t="shared" si="5"/>
        <v>450629</v>
      </c>
      <c r="G46" s="626"/>
      <c r="H46" s="166"/>
      <c r="I46" s="166">
        <f t="shared" si="6"/>
        <v>450629</v>
      </c>
      <c r="J46" s="167">
        <f t="shared" si="7"/>
        <v>6.3087386744026142E-2</v>
      </c>
      <c r="K46" s="520"/>
      <c r="L46" s="163"/>
      <c r="M46" s="163"/>
      <c r="O46" s="324">
        <f t="shared" si="8"/>
        <v>17.252258805513016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'[3]Sch C'!D27</f>
        <v>33655</v>
      </c>
      <c r="D47" s="480">
        <f>'[3]Sch C'!F27</f>
        <v>-1550</v>
      </c>
      <c r="E47" s="480">
        <f>+'[3]Sch C'!H27</f>
        <v>0</v>
      </c>
      <c r="F47" s="166">
        <f t="shared" si="5"/>
        <v>32105</v>
      </c>
      <c r="G47" s="626"/>
      <c r="H47" s="166"/>
      <c r="I47" s="166">
        <f t="shared" si="6"/>
        <v>32105</v>
      </c>
      <c r="J47" s="167">
        <f t="shared" si="7"/>
        <v>4.4946520339724239E-3</v>
      </c>
      <c r="K47" s="520"/>
      <c r="L47" s="163"/>
      <c r="M47" s="163"/>
      <c r="O47" s="324">
        <f t="shared" si="8"/>
        <v>1.229134762633997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'[3]Sch C'!D28</f>
        <v>0</v>
      </c>
      <c r="D48" s="480">
        <f>'[3]Sch C'!F28</f>
        <v>0</v>
      </c>
      <c r="E48" s="480">
        <f>+'[3]Sch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520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'[3]Sch C'!D29</f>
        <v>109478</v>
      </c>
      <c r="D49" s="480">
        <f>'[3]Sch C'!F29</f>
        <v>-109478</v>
      </c>
      <c r="E49" s="480">
        <f>+'[3]Sch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520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'[3]Sch C'!D30</f>
        <v>0</v>
      </c>
      <c r="D50" s="480">
        <f>'[3]Sch C'!F30</f>
        <v>0</v>
      </c>
      <c r="E50" s="480">
        <f>+'[3]Sch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520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'[3]Sch C'!D31</f>
        <v>0</v>
      </c>
      <c r="D51" s="480">
        <f>'[3]Sch C'!F31</f>
        <v>0</v>
      </c>
      <c r="E51" s="480">
        <f>+'[3]Sch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520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'[3]Sch C'!D32</f>
        <v>65360</v>
      </c>
      <c r="D52" s="480">
        <f>'[3]Sch C'!F32</f>
        <v>0</v>
      </c>
      <c r="E52" s="480">
        <f>+'[3]Sch C'!H32</f>
        <v>0</v>
      </c>
      <c r="F52" s="166">
        <f t="shared" si="5"/>
        <v>65360</v>
      </c>
      <c r="G52" s="626"/>
      <c r="H52" s="166"/>
      <c r="I52" s="166">
        <f t="shared" si="6"/>
        <v>65360</v>
      </c>
      <c r="J52" s="167">
        <f t="shared" si="7"/>
        <v>9.1503023498033832E-3</v>
      </c>
      <c r="K52" s="520"/>
      <c r="L52" s="163"/>
      <c r="M52" s="163"/>
      <c r="O52" s="324">
        <f t="shared" si="8"/>
        <v>2.5022970903522204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'[3]Sch C'!D33</f>
        <v>0</v>
      </c>
      <c r="D53" s="480">
        <f>'[3]Sch C'!F33</f>
        <v>0</v>
      </c>
      <c r="E53" s="480">
        <f>+'[3]Sch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520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'[3]Sch C'!D34</f>
        <v>59</v>
      </c>
      <c r="D54" s="480">
        <f>'[3]Sch C'!F34</f>
        <v>0</v>
      </c>
      <c r="E54" s="480">
        <f>+'[3]Sch C'!H34</f>
        <v>0</v>
      </c>
      <c r="F54" s="166">
        <f t="shared" si="5"/>
        <v>59</v>
      </c>
      <c r="G54" s="626"/>
      <c r="H54" s="166"/>
      <c r="I54" s="166">
        <f t="shared" si="6"/>
        <v>59</v>
      </c>
      <c r="J54" s="167">
        <f t="shared" si="7"/>
        <v>8.2599118518726991E-6</v>
      </c>
      <c r="K54" s="520"/>
      <c r="L54" s="163"/>
      <c r="M54" s="163"/>
      <c r="O54" s="324">
        <f t="shared" si="8"/>
        <v>2.2588055130168452E-3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'[3]Sch C'!D35</f>
        <v>0</v>
      </c>
      <c r="D55" s="480">
        <f>'[3]Sch C'!F35</f>
        <v>0</v>
      </c>
      <c r="E55" s="480">
        <f>+'[3]Sch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520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'[3]Sch C'!D36</f>
        <v>0</v>
      </c>
      <c r="D56" s="480">
        <f>'[3]Sch C'!F36</f>
        <v>0</v>
      </c>
      <c r="E56" s="480">
        <f>+'[3]Sch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520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'[3]Sch C'!D37</f>
        <v>0</v>
      </c>
      <c r="D57" s="480">
        <f>'[3]Sch C'!F37</f>
        <v>0</v>
      </c>
      <c r="E57" s="480">
        <f>+'[3]Sch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520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'[3]Sch C'!D38</f>
        <v>0</v>
      </c>
      <c r="D58" s="480">
        <f>'[3]Sch C'!F38</f>
        <v>0</v>
      </c>
      <c r="E58" s="480">
        <f>+'[3]Sch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520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'[3]Sch C'!D39</f>
        <v>2544</v>
      </c>
      <c r="D59" s="480">
        <f>'[3]Sch C'!F39</f>
        <v>0</v>
      </c>
      <c r="E59" s="480">
        <f>+'[3]Sch C'!H39</f>
        <v>0</v>
      </c>
      <c r="F59" s="166">
        <f t="shared" si="5"/>
        <v>2544</v>
      </c>
      <c r="G59" s="626"/>
      <c r="H59" s="166"/>
      <c r="I59" s="166">
        <f t="shared" si="6"/>
        <v>2544</v>
      </c>
      <c r="J59" s="167">
        <f t="shared" si="7"/>
        <v>3.5615619917227367E-4</v>
      </c>
      <c r="K59" s="520"/>
      <c r="L59" s="163"/>
      <c r="M59" s="163"/>
      <c r="O59" s="324">
        <f t="shared" si="8"/>
        <v>9.7396630934150075E-2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'[3]Sch C'!D40</f>
        <v>1189</v>
      </c>
      <c r="D60" s="480">
        <f>'[3]Sch C'!F40</f>
        <v>-1189</v>
      </c>
      <c r="E60" s="480">
        <f>+'[3]Sch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520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'[3]Sch C'!D41</f>
        <v>213007</v>
      </c>
      <c r="D61" s="480">
        <f>'[3]Sch C'!F41</f>
        <v>0</v>
      </c>
      <c r="E61" s="480">
        <f>+'[3]Sch C'!H41</f>
        <v>-5904</v>
      </c>
      <c r="F61" s="166">
        <f t="shared" si="5"/>
        <v>207103</v>
      </c>
      <c r="G61" s="626"/>
      <c r="H61" s="166"/>
      <c r="I61" s="166">
        <f t="shared" si="6"/>
        <v>207103</v>
      </c>
      <c r="J61" s="167">
        <f t="shared" si="7"/>
        <v>2.8994110580650705E-2</v>
      </c>
      <c r="K61" s="520"/>
      <c r="L61" s="163"/>
      <c r="M61" s="163"/>
      <c r="O61" s="324">
        <f t="shared" si="8"/>
        <v>7.9289050535987746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'[3]Sch C'!D42</f>
        <v>0</v>
      </c>
      <c r="D62" s="480">
        <f>'[3]Sch C'!F42</f>
        <v>0</v>
      </c>
      <c r="E62" s="480">
        <f>+'[3]Sch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520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'[3]Sch C'!D43</f>
        <v>9505</v>
      </c>
      <c r="D63" s="480">
        <f>'[3]Sch C'!F43</f>
        <v>-9505</v>
      </c>
      <c r="E63" s="480">
        <f>+'[3]Sch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520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'[3]Sch C'!D44</f>
        <v>0</v>
      </c>
      <c r="D64" s="480">
        <f>'[3]Sch C'!F44</f>
        <v>0</v>
      </c>
      <c r="E64" s="480">
        <f>+'[3]Sch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520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'[3]Sch C'!D45</f>
        <v>8851</v>
      </c>
      <c r="D65" s="480">
        <f>'[3]Sch C'!F45</f>
        <v>-13596</v>
      </c>
      <c r="E65" s="480">
        <f>+'[3]Sch C'!H45</f>
        <v>0</v>
      </c>
      <c r="F65" s="166">
        <f t="shared" si="5"/>
        <v>-4745</v>
      </c>
      <c r="G65" s="166">
        <f>-2420.38-444.25</f>
        <v>-2864.63</v>
      </c>
      <c r="H65" s="166"/>
      <c r="I65" s="166">
        <f>F65+G65+H65</f>
        <v>-7609.63</v>
      </c>
      <c r="J65" s="167">
        <f t="shared" si="7"/>
        <v>-1.0653368309384076E-3</v>
      </c>
      <c r="K65" s="520" t="s">
        <v>579</v>
      </c>
      <c r="L65" s="163"/>
      <c r="M65" s="163"/>
      <c r="O65" s="324">
        <f t="shared" si="8"/>
        <v>-0.291333460949464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1652128</v>
      </c>
      <c r="D66" s="480">
        <f t="shared" si="9"/>
        <v>-135669</v>
      </c>
      <c r="E66" s="480">
        <f t="shared" si="9"/>
        <v>14476</v>
      </c>
      <c r="F66" s="166">
        <f t="shared" ref="F66:I66" si="10">SUM(F30:F65)</f>
        <v>1530935</v>
      </c>
      <c r="G66" s="166">
        <f>SUM(G30:G65)</f>
        <v>-2864.63</v>
      </c>
      <c r="H66" s="166">
        <f t="shared" si="10"/>
        <v>0</v>
      </c>
      <c r="I66" s="166">
        <f t="shared" si="10"/>
        <v>1528070.37</v>
      </c>
      <c r="J66" s="178">
        <f t="shared" si="7"/>
        <v>0.2139275688077712</v>
      </c>
      <c r="K66" s="520"/>
      <c r="L66" s="163"/>
      <c r="M66" s="163"/>
      <c r="O66" s="329">
        <f>I66/I$233</f>
        <v>58.501928407350697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520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520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'[3]Sch C'!D57</f>
        <v>0</v>
      </c>
      <c r="D69" s="480">
        <f>'[3]Sch C'!F57</f>
        <v>0</v>
      </c>
      <c r="E69" s="480">
        <f>+'[3]Sch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520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'[3]Sch C'!D58</f>
        <v>168050</v>
      </c>
      <c r="D70" s="480">
        <f>'[3]Sch C'!F58</f>
        <v>0</v>
      </c>
      <c r="E70" s="480">
        <f>+'[3]Sch C'!H58</f>
        <v>0</v>
      </c>
      <c r="F70" s="166">
        <f t="shared" ref="F70:F83" si="13">C70+D70+E70</f>
        <v>168050</v>
      </c>
      <c r="G70" s="626"/>
      <c r="H70" s="166"/>
      <c r="I70" s="166">
        <f t="shared" ref="I70:I83" si="14">F70+G70+H70</f>
        <v>168050</v>
      </c>
      <c r="J70" s="167">
        <f t="shared" si="11"/>
        <v>2.3526748927240798E-2</v>
      </c>
      <c r="K70" s="520"/>
      <c r="L70" s="182"/>
      <c r="M70" s="163"/>
      <c r="O70" s="324">
        <f t="shared" si="12"/>
        <v>6.4337672281776417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'[3]Sch C'!D59</f>
        <v>242277</v>
      </c>
      <c r="D71" s="480">
        <f>'[3]Sch C'!F59</f>
        <v>0</v>
      </c>
      <c r="E71" s="480">
        <f>+'[3]Sch C'!H59</f>
        <v>0</v>
      </c>
      <c r="F71" s="166">
        <f t="shared" si="13"/>
        <v>242277</v>
      </c>
      <c r="G71" s="626"/>
      <c r="H71" s="166"/>
      <c r="I71" s="166">
        <f t="shared" si="14"/>
        <v>242277</v>
      </c>
      <c r="J71" s="167">
        <f t="shared" si="11"/>
        <v>3.3918418029426474E-2</v>
      </c>
      <c r="K71" s="520"/>
      <c r="L71" s="182"/>
      <c r="M71" s="163"/>
      <c r="O71" s="324">
        <f t="shared" si="12"/>
        <v>9.2755359877488512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'[3]Sch C'!D60</f>
        <v>33876</v>
      </c>
      <c r="D72" s="480">
        <f>'[3]Sch C'!F60</f>
        <v>0</v>
      </c>
      <c r="E72" s="480">
        <f>+'[3]Sch C'!H60</f>
        <v>0</v>
      </c>
      <c r="F72" s="166">
        <f t="shared" si="13"/>
        <v>33876</v>
      </c>
      <c r="G72" s="626"/>
      <c r="H72" s="166"/>
      <c r="I72" s="166">
        <f t="shared" si="14"/>
        <v>33876</v>
      </c>
      <c r="J72" s="167">
        <f t="shared" si="11"/>
        <v>4.7425893880345691E-3</v>
      </c>
      <c r="K72" s="520"/>
      <c r="L72" s="185"/>
      <c r="M72" s="163"/>
      <c r="O72" s="324">
        <f t="shared" si="12"/>
        <v>1.296937212863706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'[3]Sch C'!D61</f>
        <v>38674</v>
      </c>
      <c r="D73" s="480">
        <f>'[3]Sch C'!F61</f>
        <v>0</v>
      </c>
      <c r="E73" s="480">
        <f>+'[3]Sch C'!H61</f>
        <v>0</v>
      </c>
      <c r="F73" s="166">
        <f t="shared" si="13"/>
        <v>38674</v>
      </c>
      <c r="G73" s="626"/>
      <c r="H73" s="166"/>
      <c r="I73" s="166">
        <f t="shared" si="14"/>
        <v>38674</v>
      </c>
      <c r="J73" s="167">
        <f t="shared" si="11"/>
        <v>5.4143022196495721E-3</v>
      </c>
      <c r="K73" s="520"/>
      <c r="L73" s="185"/>
      <c r="M73" s="163"/>
      <c r="O73" s="324">
        <f t="shared" si="12"/>
        <v>1.4806278713629404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'[3]Sch C'!D62</f>
        <v>0</v>
      </c>
      <c r="D74" s="480">
        <f>'[3]Sch C'!F62</f>
        <v>0</v>
      </c>
      <c r="E74" s="480">
        <f>+'[3]Sch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520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'[3]Sch C'!D63</f>
        <v>0</v>
      </c>
      <c r="D75" s="480">
        <f>'[3]Sch C'!F63</f>
        <v>0</v>
      </c>
      <c r="E75" s="480">
        <f>+'[3]Sch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520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'[3]Sch C'!D64</f>
        <v>0</v>
      </c>
      <c r="D76" s="480">
        <f>'[3]Sch C'!F64</f>
        <v>0</v>
      </c>
      <c r="E76" s="480">
        <f>+'[3]Sch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520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'[3]Sch C'!D65</f>
        <v>0</v>
      </c>
      <c r="D77" s="480">
        <f>'[3]Sch C'!F65</f>
        <v>0</v>
      </c>
      <c r="E77" s="480">
        <f>+'[3]Sch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520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'[3]Sch C'!D66</f>
        <v>44664</v>
      </c>
      <c r="D78" s="480">
        <f>'[3]Sch C'!F66</f>
        <v>0</v>
      </c>
      <c r="E78" s="480">
        <f>+'[3]Sch C'!H66</f>
        <v>-502</v>
      </c>
      <c r="F78" s="166">
        <f t="shared" si="13"/>
        <v>44162</v>
      </c>
      <c r="G78" s="626"/>
      <c r="H78" s="166"/>
      <c r="I78" s="166">
        <f t="shared" si="14"/>
        <v>44162</v>
      </c>
      <c r="J78" s="167">
        <f t="shared" si="11"/>
        <v>6.1826140203796974E-3</v>
      </c>
      <c r="K78" s="520"/>
      <c r="L78" s="187"/>
      <c r="M78" s="163"/>
      <c r="O78" s="324">
        <f t="shared" si="12"/>
        <v>1.6907350689127105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'[3]Sch C'!D67</f>
        <v>60049</v>
      </c>
      <c r="D79" s="480">
        <f>'[3]Sch C'!F67</f>
        <v>0</v>
      </c>
      <c r="E79" s="480">
        <f>+'[3]Sch C'!H67</f>
        <v>0</v>
      </c>
      <c r="F79" s="166">
        <f t="shared" si="13"/>
        <v>60049</v>
      </c>
      <c r="G79" s="626"/>
      <c r="H79" s="166"/>
      <c r="I79" s="166">
        <f t="shared" si="14"/>
        <v>60049</v>
      </c>
      <c r="J79" s="167">
        <f t="shared" si="11"/>
        <v>8.4067702846288769E-3</v>
      </c>
      <c r="K79" s="520"/>
      <c r="L79" s="187"/>
      <c r="M79" s="163"/>
      <c r="O79" s="324">
        <f t="shared" si="12"/>
        <v>2.2989663093415009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'[3]Sch C'!D68</f>
        <v>0</v>
      </c>
      <c r="D80" s="480">
        <f>'[3]Sch C'!F68</f>
        <v>0</v>
      </c>
      <c r="E80" s="480">
        <f>+'[3]Sch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520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'[3]Sch C'!D69</f>
        <v>5420</v>
      </c>
      <c r="D81" s="480">
        <f>'[3]Sch C'!F69</f>
        <v>0</v>
      </c>
      <c r="E81" s="480">
        <f>+'[3]Sch C'!H69</f>
        <v>0</v>
      </c>
      <c r="F81" s="166">
        <f t="shared" si="13"/>
        <v>5420</v>
      </c>
      <c r="G81" s="626"/>
      <c r="H81" s="166"/>
      <c r="I81" s="166">
        <f t="shared" si="14"/>
        <v>5420</v>
      </c>
      <c r="J81" s="167">
        <f t="shared" si="11"/>
        <v>7.587919023245768E-4</v>
      </c>
      <c r="K81" s="520"/>
      <c r="L81" s="187"/>
      <c r="M81" s="163"/>
      <c r="O81" s="324">
        <f t="shared" si="12"/>
        <v>0.20750382848392038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'[3]Sch C'!D70</f>
        <v>-287</v>
      </c>
      <c r="D82" s="480">
        <f>'[3]Sch C'!F70</f>
        <v>0</v>
      </c>
      <c r="E82" s="480">
        <f>+'[3]Sch C'!H70</f>
        <v>0</v>
      </c>
      <c r="F82" s="166">
        <f t="shared" si="13"/>
        <v>-287</v>
      </c>
      <c r="G82" s="626"/>
      <c r="H82" s="166"/>
      <c r="I82" s="166">
        <f t="shared" si="14"/>
        <v>-287</v>
      </c>
      <c r="J82" s="167">
        <f t="shared" si="11"/>
        <v>-4.0179571211651942E-5</v>
      </c>
      <c r="K82" s="520"/>
      <c r="L82" s="187"/>
      <c r="M82" s="163"/>
      <c r="O82" s="324">
        <f t="shared" si="12"/>
        <v>-1.0987748851454824E-2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'[3]Sch C'!D71</f>
        <v>0</v>
      </c>
      <c r="D83" s="480">
        <f>'[3]Sch C'!F71</f>
        <v>0</v>
      </c>
      <c r="E83" s="480">
        <f>+'[3]Sch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520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592723</v>
      </c>
      <c r="D84" s="480">
        <f t="shared" si="15"/>
        <v>0</v>
      </c>
      <c r="E84" s="480">
        <f t="shared" si="15"/>
        <v>-502</v>
      </c>
      <c r="F84" s="166">
        <f t="shared" ref="F84:I84" si="16">SUM(F69:F83)</f>
        <v>592221</v>
      </c>
      <c r="G84" s="166">
        <f t="shared" si="16"/>
        <v>0</v>
      </c>
      <c r="H84" s="166">
        <f t="shared" si="16"/>
        <v>0</v>
      </c>
      <c r="I84" s="166">
        <f t="shared" si="16"/>
        <v>592221</v>
      </c>
      <c r="J84" s="167">
        <f t="shared" si="11"/>
        <v>8.2910055200472912E-2</v>
      </c>
      <c r="K84" s="520"/>
      <c r="L84" s="187"/>
      <c r="M84" s="163"/>
      <c r="O84" s="324">
        <f t="shared" si="12"/>
        <v>22.673085758039818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520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52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'[3]Sch C'!D75</f>
        <v>39935</v>
      </c>
      <c r="D87" s="480">
        <f>'[3]Sch C'!F75</f>
        <v>0</v>
      </c>
      <c r="E87" s="480">
        <f>+'[3]Sch C'!H75</f>
        <v>0</v>
      </c>
      <c r="F87" s="166">
        <f t="shared" ref="F87:F97" si="17">C87+D87+E87</f>
        <v>39935</v>
      </c>
      <c r="G87" s="626"/>
      <c r="H87" s="166"/>
      <c r="I87" s="166">
        <f t="shared" ref="I87:I97" si="18">F87+G87+H87</f>
        <v>39935</v>
      </c>
      <c r="J87" s="167">
        <f t="shared" ref="J87:J98" si="19">IF($I$213=0,0,I87/$I$213)</f>
        <v>5.590840335670106E-3</v>
      </c>
      <c r="K87" s="520"/>
      <c r="L87" s="176">
        <v>1967</v>
      </c>
      <c r="M87" s="176">
        <v>2129</v>
      </c>
      <c r="O87" s="324">
        <f t="shared" ref="O87:O97" si="20">I87/I$233</f>
        <v>1.5289050535987749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'[3]Sch C'!D76</f>
        <v>7523</v>
      </c>
      <c r="D88" s="480">
        <f>'[3]Sch C'!F76</f>
        <v>0</v>
      </c>
      <c r="E88" s="480">
        <f>+'[3]Sch C'!H76</f>
        <v>0</v>
      </c>
      <c r="F88" s="166">
        <f t="shared" si="17"/>
        <v>7523</v>
      </c>
      <c r="G88" s="626"/>
      <c r="H88" s="166"/>
      <c r="I88" s="166">
        <f t="shared" si="18"/>
        <v>7523</v>
      </c>
      <c r="J88" s="167">
        <f t="shared" si="19"/>
        <v>1.053208760366751E-3</v>
      </c>
      <c r="K88" s="520"/>
      <c r="L88" s="163"/>
      <c r="M88" s="163"/>
      <c r="O88" s="324">
        <f t="shared" si="20"/>
        <v>0.28801684532924959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'[3]Sch C'!D77</f>
        <v>10729</v>
      </c>
      <c r="D89" s="480">
        <f>'[3]Sch C'!F77</f>
        <v>0</v>
      </c>
      <c r="E89" s="480">
        <f>+'[3]Sch C'!H77</f>
        <v>0</v>
      </c>
      <c r="F89" s="166">
        <f t="shared" si="17"/>
        <v>10729</v>
      </c>
      <c r="G89" s="626"/>
      <c r="H89" s="166"/>
      <c r="I89" s="166">
        <f t="shared" si="18"/>
        <v>10729</v>
      </c>
      <c r="J89" s="167">
        <f t="shared" si="19"/>
        <v>1.5020439704871557E-3</v>
      </c>
      <c r="K89" s="520"/>
      <c r="L89" s="163"/>
      <c r="M89" s="163"/>
      <c r="O89" s="324">
        <f t="shared" si="20"/>
        <v>0.41075803981623277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'[3]Sch C'!D78</f>
        <v>0</v>
      </c>
      <c r="D90" s="480">
        <f>'[3]Sch C'!F78</f>
        <v>0</v>
      </c>
      <c r="E90" s="480">
        <f>+'[3]Sch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520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'[3]Sch C'!D79</f>
        <v>8442</v>
      </c>
      <c r="D91" s="480">
        <f>'[3]Sch C'!F79</f>
        <v>0</v>
      </c>
      <c r="E91" s="480">
        <f>+'[3]Sch C'!H79</f>
        <v>0</v>
      </c>
      <c r="F91" s="166">
        <f t="shared" si="17"/>
        <v>8442</v>
      </c>
      <c r="G91" s="626"/>
      <c r="H91" s="166"/>
      <c r="I91" s="166">
        <f t="shared" si="18"/>
        <v>8442</v>
      </c>
      <c r="J91" s="167">
        <f t="shared" si="19"/>
        <v>1.1818673873476156E-3</v>
      </c>
      <c r="K91" s="520"/>
      <c r="L91" s="163"/>
      <c r="M91" s="163"/>
      <c r="O91" s="324">
        <f t="shared" si="20"/>
        <v>0.32320061255742727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'[3]Sch C'!D80</f>
        <v>35845</v>
      </c>
      <c r="D92" s="480">
        <f>'[3]Sch C'!F80</f>
        <v>0</v>
      </c>
      <c r="E92" s="480">
        <f>+'[3]Sch C'!H80</f>
        <v>0</v>
      </c>
      <c r="F92" s="166">
        <f t="shared" si="17"/>
        <v>35845</v>
      </c>
      <c r="G92" s="626"/>
      <c r="H92" s="166"/>
      <c r="I92" s="166">
        <f t="shared" si="18"/>
        <v>35845</v>
      </c>
      <c r="J92" s="167">
        <f t="shared" si="19"/>
        <v>5.0182464462775744E-3</v>
      </c>
      <c r="K92" s="520"/>
      <c r="L92" s="163"/>
      <c r="M92" s="163"/>
      <c r="O92" s="324">
        <f t="shared" si="20"/>
        <v>1.3723200612557427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'[3]Sch C'!D81</f>
        <v>34707</v>
      </c>
      <c r="D93" s="480">
        <f>'[3]Sch C'!F81</f>
        <v>0</v>
      </c>
      <c r="E93" s="480">
        <f>+'[3]Sch C'!H81</f>
        <v>0</v>
      </c>
      <c r="F93" s="166">
        <f t="shared" si="17"/>
        <v>34707</v>
      </c>
      <c r="G93" s="626"/>
      <c r="H93" s="166"/>
      <c r="I93" s="166">
        <f t="shared" si="18"/>
        <v>34707</v>
      </c>
      <c r="J93" s="167">
        <f t="shared" si="19"/>
        <v>4.8589281464906063E-3</v>
      </c>
      <c r="K93" s="520"/>
      <c r="L93" s="163"/>
      <c r="M93" s="163"/>
      <c r="O93" s="324">
        <f t="shared" si="20"/>
        <v>1.3287519142419602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'[3]Sch C'!D82</f>
        <v>18428</v>
      </c>
      <c r="D94" s="480">
        <f>'[3]Sch C'!F82</f>
        <v>0</v>
      </c>
      <c r="E94" s="480">
        <f>+'[3]Sch C'!H82</f>
        <v>0</v>
      </c>
      <c r="F94" s="166">
        <f t="shared" si="17"/>
        <v>18428</v>
      </c>
      <c r="G94" s="626"/>
      <c r="H94" s="166"/>
      <c r="I94" s="166">
        <f t="shared" si="18"/>
        <v>18428</v>
      </c>
      <c r="J94" s="167">
        <f t="shared" si="19"/>
        <v>2.5798924679035608E-3</v>
      </c>
      <c r="K94" s="520"/>
      <c r="L94" s="163"/>
      <c r="M94" s="163"/>
      <c r="O94" s="324">
        <f t="shared" si="20"/>
        <v>0.7055130168453293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'[3]Sch C'!D83</f>
        <v>1009</v>
      </c>
      <c r="D95" s="480">
        <f>'[3]Sch C'!F83</f>
        <v>0</v>
      </c>
      <c r="E95" s="480">
        <f>+'[3]Sch C'!H83</f>
        <v>0</v>
      </c>
      <c r="F95" s="166">
        <f t="shared" si="17"/>
        <v>1009</v>
      </c>
      <c r="G95" s="626"/>
      <c r="H95" s="166"/>
      <c r="I95" s="166">
        <f t="shared" si="18"/>
        <v>1009</v>
      </c>
      <c r="J95" s="167">
        <f t="shared" si="19"/>
        <v>1.4125849251761955E-4</v>
      </c>
      <c r="K95" s="520"/>
      <c r="L95" s="163"/>
      <c r="M95" s="163"/>
      <c r="O95" s="324">
        <f t="shared" si="20"/>
        <v>3.8629402756508426E-2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'[3]Sch C'!D84</f>
        <v>89499</v>
      </c>
      <c r="D96" s="480">
        <f>'[3]Sch C'!F84</f>
        <v>0</v>
      </c>
      <c r="E96" s="480">
        <f>+'[3]Sch C'!H84</f>
        <v>0</v>
      </c>
      <c r="F96" s="166">
        <f t="shared" si="17"/>
        <v>89499</v>
      </c>
      <c r="G96" s="626"/>
      <c r="H96" s="166"/>
      <c r="I96" s="166">
        <f t="shared" si="18"/>
        <v>89499</v>
      </c>
      <c r="J96" s="167">
        <f t="shared" si="19"/>
        <v>1.2529726285267028E-2</v>
      </c>
      <c r="K96" s="520"/>
      <c r="L96" s="163"/>
      <c r="M96" s="163"/>
      <c r="O96" s="324">
        <f t="shared" si="20"/>
        <v>3.4264548238897397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'[3]Sch C'!D85</f>
        <v>0</v>
      </c>
      <c r="D97" s="480">
        <f>'[3]Sch C'!F85</f>
        <v>0</v>
      </c>
      <c r="E97" s="480">
        <f>+'[3]Sch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520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246117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246117</v>
      </c>
      <c r="G98" s="166">
        <f t="shared" si="22"/>
        <v>0</v>
      </c>
      <c r="H98" s="166">
        <f t="shared" si="22"/>
        <v>0</v>
      </c>
      <c r="I98" s="166">
        <f t="shared" si="22"/>
        <v>246117</v>
      </c>
      <c r="J98" s="167">
        <f t="shared" si="19"/>
        <v>3.4456012292328017E-2</v>
      </c>
      <c r="K98" s="520"/>
      <c r="L98" s="163"/>
      <c r="M98" s="163"/>
      <c r="O98" s="329">
        <f>I98/I$233</f>
        <v>9.4225497702909653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52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52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'[3]Sch C'!D89</f>
        <v>0</v>
      </c>
      <c r="D101" s="480">
        <f>'[3]Sch C'!F89</f>
        <v>0</v>
      </c>
      <c r="E101" s="480">
        <f>+'[3]Sch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520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'[3]Sch C'!D90</f>
        <v>0</v>
      </c>
      <c r="D102" s="480">
        <f>'[3]Sch C'!F90</f>
        <v>0</v>
      </c>
      <c r="E102" s="480">
        <f>+'[3]Sch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520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'[3]Sch C'!D91</f>
        <v>461817</v>
      </c>
      <c r="D103" s="480">
        <f>'[3]Sch C'!F91</f>
        <v>0</v>
      </c>
      <c r="E103" s="480">
        <f>+'[3]Sch C'!H91</f>
        <v>0</v>
      </c>
      <c r="F103" s="166">
        <f t="shared" si="23"/>
        <v>461817</v>
      </c>
      <c r="G103" s="626"/>
      <c r="H103" s="166"/>
      <c r="I103" s="166">
        <f t="shared" si="24"/>
        <v>461817</v>
      </c>
      <c r="J103" s="167">
        <f t="shared" si="25"/>
        <v>6.4653690028750752E-2</v>
      </c>
      <c r="K103" s="520"/>
      <c r="L103" s="163"/>
      <c r="M103" s="163"/>
      <c r="O103" s="329">
        <f t="shared" si="26"/>
        <v>17.680589586523737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'[3]Sch C'!D92</f>
        <v>4972</v>
      </c>
      <c r="D104" s="480">
        <f>'[3]Sch C'!F92</f>
        <v>142</v>
      </c>
      <c r="E104" s="480">
        <f>+'[3]Sch C'!H92</f>
        <v>0</v>
      </c>
      <c r="F104" s="166">
        <f t="shared" si="23"/>
        <v>5114</v>
      </c>
      <c r="G104" s="626"/>
      <c r="H104" s="166"/>
      <c r="I104" s="166">
        <f t="shared" si="24"/>
        <v>5114</v>
      </c>
      <c r="J104" s="167">
        <f t="shared" si="25"/>
        <v>7.1595235949960983E-4</v>
      </c>
      <c r="K104" s="520"/>
      <c r="L104" s="163"/>
      <c r="M104" s="163"/>
      <c r="O104" s="329">
        <f t="shared" si="26"/>
        <v>0.1957886676875957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'[3]Sch C'!D93</f>
        <v>4663</v>
      </c>
      <c r="D105" s="480">
        <f>'[3]Sch C'!F93</f>
        <v>0</v>
      </c>
      <c r="E105" s="480">
        <f>+'[3]Sch C'!H93</f>
        <v>0</v>
      </c>
      <c r="F105" s="166">
        <f t="shared" si="23"/>
        <v>4663</v>
      </c>
      <c r="G105" s="626"/>
      <c r="H105" s="166"/>
      <c r="I105" s="166">
        <f t="shared" si="24"/>
        <v>4663</v>
      </c>
      <c r="J105" s="167">
        <f t="shared" si="25"/>
        <v>6.5281303330987116E-4</v>
      </c>
      <c r="K105" s="520"/>
      <c r="L105" s="163"/>
      <c r="M105" s="163"/>
      <c r="O105" s="329">
        <f t="shared" si="26"/>
        <v>0.17852220520673814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'[3]Sch C'!D94</f>
        <v>0</v>
      </c>
      <c r="D106" s="480">
        <f>'[3]Sch C'!F94</f>
        <v>0</v>
      </c>
      <c r="E106" s="480">
        <f>+'[3]Sch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520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471452</v>
      </c>
      <c r="D107" s="480">
        <f t="shared" si="27"/>
        <v>142</v>
      </c>
      <c r="E107" s="480">
        <f t="shared" si="27"/>
        <v>0</v>
      </c>
      <c r="F107" s="166">
        <f t="shared" ref="F107:I107" si="28">SUM(F101:F106)</f>
        <v>471594</v>
      </c>
      <c r="G107" s="166">
        <f t="shared" si="28"/>
        <v>0</v>
      </c>
      <c r="H107" s="166">
        <f t="shared" si="28"/>
        <v>0</v>
      </c>
      <c r="I107" s="166">
        <f t="shared" si="28"/>
        <v>471594</v>
      </c>
      <c r="J107" s="167">
        <f t="shared" si="25"/>
        <v>6.6022455421560225E-2</v>
      </c>
      <c r="K107" s="520"/>
      <c r="L107" s="163"/>
      <c r="M107" s="163"/>
      <c r="O107" s="329">
        <f>I107/I$233</f>
        <v>18.054900459418072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52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52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'[3]Sch C'!D98</f>
        <v>0</v>
      </c>
      <c r="D110" s="480">
        <f>'[3]Sch C'!F98</f>
        <v>0</v>
      </c>
      <c r="E110" s="480">
        <f>+'[3]Sch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520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'[3]Sch C'!D99</f>
        <v>0</v>
      </c>
      <c r="D111" s="480">
        <f>'[3]Sch C'!F99</f>
        <v>0</v>
      </c>
      <c r="E111" s="480">
        <f>+'[3]Sch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520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'[3]Sch C'!D100</f>
        <v>7</v>
      </c>
      <c r="D112" s="480">
        <f>'[3]Sch C'!F100</f>
        <v>0</v>
      </c>
      <c r="E112" s="480">
        <f>+'[3]Sch C'!H100</f>
        <v>0</v>
      </c>
      <c r="F112" s="166">
        <f t="shared" si="29"/>
        <v>7</v>
      </c>
      <c r="G112" s="626"/>
      <c r="H112" s="166"/>
      <c r="I112" s="166">
        <f t="shared" si="30"/>
        <v>7</v>
      </c>
      <c r="J112" s="167">
        <f t="shared" si="31"/>
        <v>9.7998954174760844E-7</v>
      </c>
      <c r="K112" s="520"/>
      <c r="L112" s="163"/>
      <c r="M112" s="163"/>
      <c r="O112" s="329">
        <f t="shared" si="32"/>
        <v>2.6799387442572742E-4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'[3]Sch C'!D101</f>
        <v>77002</v>
      </c>
      <c r="D113" s="480">
        <f>'[3]Sch C'!F101</f>
        <v>0</v>
      </c>
      <c r="E113" s="480">
        <f>+'[3]Sch C'!H101</f>
        <v>0</v>
      </c>
      <c r="F113" s="166">
        <f t="shared" si="29"/>
        <v>77002</v>
      </c>
      <c r="G113" s="626"/>
      <c r="H113" s="166"/>
      <c r="I113" s="166">
        <f t="shared" si="30"/>
        <v>77002</v>
      </c>
      <c r="J113" s="167">
        <f t="shared" si="31"/>
        <v>1.078016495623562E-2</v>
      </c>
      <c r="K113" s="520"/>
      <c r="L113" s="163"/>
      <c r="M113" s="163"/>
      <c r="O113" s="329">
        <f t="shared" si="32"/>
        <v>2.948009188361409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'[3]Sch C'!D102</f>
        <v>4053</v>
      </c>
      <c r="D114" s="480">
        <f>'[3]Sch C'!F102</f>
        <v>0</v>
      </c>
      <c r="E114" s="480">
        <f>+'[3]Sch C'!H102</f>
        <v>0</v>
      </c>
      <c r="F114" s="166">
        <f t="shared" si="29"/>
        <v>4053</v>
      </c>
      <c r="G114" s="626"/>
      <c r="H114" s="166"/>
      <c r="I114" s="166">
        <f t="shared" si="30"/>
        <v>4053</v>
      </c>
      <c r="J114" s="167">
        <f t="shared" si="31"/>
        <v>5.6741394467186527E-4</v>
      </c>
      <c r="K114" s="520"/>
      <c r="L114" s="163"/>
      <c r="M114" s="163"/>
      <c r="O114" s="329">
        <f t="shared" si="32"/>
        <v>0.15516845329249618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'[3]Sch C'!D103</f>
        <v>0</v>
      </c>
      <c r="D115" s="480">
        <f>'[3]Sch C'!F103</f>
        <v>0</v>
      </c>
      <c r="E115" s="480">
        <f>+'[3]Sch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520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81062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81062</v>
      </c>
      <c r="G116" s="166">
        <f t="shared" si="34"/>
        <v>0</v>
      </c>
      <c r="H116" s="166">
        <f t="shared" si="34"/>
        <v>0</v>
      </c>
      <c r="I116" s="166">
        <f t="shared" si="34"/>
        <v>81062</v>
      </c>
      <c r="J116" s="167">
        <f t="shared" si="31"/>
        <v>1.1348558890449233E-2</v>
      </c>
      <c r="K116" s="520"/>
      <c r="L116" s="163"/>
      <c r="M116" s="163"/>
      <c r="O116" s="329">
        <f>I116/I$233</f>
        <v>3.1034456355283306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52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52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'[3]Sch C'!D115</f>
        <v>0</v>
      </c>
      <c r="D119" s="480">
        <f>'[3]Sch C'!F115</f>
        <v>0</v>
      </c>
      <c r="E119" s="480">
        <f>+'[3]Sch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520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'[3]Sch C'!D116</f>
        <v>0</v>
      </c>
      <c r="D120" s="480">
        <f>'[3]Sch C'!F116</f>
        <v>0</v>
      </c>
      <c r="E120" s="480">
        <f>+'[3]Sch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520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'[3]Sch C'!D117</f>
        <v>8084</v>
      </c>
      <c r="D121" s="480">
        <f>'[3]Sch C'!F117</f>
        <v>0</v>
      </c>
      <c r="E121" s="480">
        <f>+'[3]Sch C'!H117</f>
        <v>0</v>
      </c>
      <c r="F121" s="166">
        <f t="shared" si="35"/>
        <v>8084</v>
      </c>
      <c r="G121" s="626"/>
      <c r="H121" s="166"/>
      <c r="I121" s="166">
        <f t="shared" si="36"/>
        <v>8084</v>
      </c>
      <c r="J121" s="167">
        <f t="shared" si="37"/>
        <v>1.1317479222125238E-3</v>
      </c>
      <c r="K121" s="520"/>
      <c r="L121" s="163"/>
      <c r="M121" s="163"/>
      <c r="O121" s="329">
        <f t="shared" si="38"/>
        <v>0.30949464012251149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'[3]Sch C'!D118</f>
        <v>116133</v>
      </c>
      <c r="D122" s="480">
        <f>'[3]Sch C'!F118</f>
        <v>0</v>
      </c>
      <c r="E122" s="480">
        <f>+'[3]Sch C'!H118</f>
        <v>0</v>
      </c>
      <c r="F122" s="166">
        <f t="shared" si="35"/>
        <v>116133</v>
      </c>
      <c r="G122" s="626"/>
      <c r="H122" s="166"/>
      <c r="I122" s="166">
        <f t="shared" si="36"/>
        <v>116133</v>
      </c>
      <c r="J122" s="167">
        <f t="shared" si="37"/>
        <v>1.6258446493110715E-2</v>
      </c>
      <c r="K122" s="520"/>
      <c r="L122" s="163"/>
      <c r="M122" s="163"/>
      <c r="O122" s="329">
        <f t="shared" si="38"/>
        <v>4.4461332312404291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'[3]Sch C'!D119</f>
        <v>0</v>
      </c>
      <c r="D123" s="480">
        <f>'[3]Sch C'!F119</f>
        <v>0</v>
      </c>
      <c r="E123" s="480">
        <f>+'[3]Sch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520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124217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124217</v>
      </c>
      <c r="G124" s="166">
        <f t="shared" si="40"/>
        <v>0</v>
      </c>
      <c r="H124" s="166">
        <f t="shared" si="40"/>
        <v>0</v>
      </c>
      <c r="I124" s="166">
        <f t="shared" si="40"/>
        <v>124217</v>
      </c>
      <c r="J124" s="167">
        <f t="shared" si="37"/>
        <v>1.7390194415323239E-2</v>
      </c>
      <c r="K124" s="520"/>
      <c r="L124" s="163"/>
      <c r="M124" s="163"/>
      <c r="O124" s="329">
        <f t="shared" si="38"/>
        <v>4.7556278713629405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520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52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520"/>
      <c r="L127" s="196"/>
      <c r="M127" s="196"/>
      <c r="O127" s="324"/>
      <c r="P127" s="324"/>
    </row>
    <row r="128" spans="1:16" s="162" customFormat="1">
      <c r="B128" s="257" t="s">
        <v>407</v>
      </c>
      <c r="C128" s="480">
        <f>'[3]Sch C'!D124</f>
        <v>0</v>
      </c>
      <c r="D128" s="480">
        <f>'[3]Sch C'!F124</f>
        <v>0</v>
      </c>
      <c r="E128" s="480">
        <f>+'[3]Sch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520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257" t="s">
        <v>408</v>
      </c>
      <c r="C129" s="480">
        <f>'[3]Sch C'!D125</f>
        <v>162882</v>
      </c>
      <c r="D129" s="480">
        <f>'[3]Sch C'!F125</f>
        <v>0</v>
      </c>
      <c r="E129" s="480">
        <f>+'[3]Sch C'!H125</f>
        <v>0</v>
      </c>
      <c r="F129" s="166">
        <f t="shared" si="41"/>
        <v>162882</v>
      </c>
      <c r="G129" s="626"/>
      <c r="H129" s="166"/>
      <c r="I129" s="166">
        <f t="shared" si="42"/>
        <v>162882</v>
      </c>
      <c r="J129" s="167">
        <f>IF($I$213=0,0,I129/$I$213)</f>
        <v>2.2803236648419135E-2</v>
      </c>
      <c r="K129" s="520"/>
      <c r="L129" s="176">
        <v>6044</v>
      </c>
      <c r="M129" s="176">
        <v>6276</v>
      </c>
      <c r="O129" s="329">
        <f t="shared" si="43"/>
        <v>6.2359111791730477</v>
      </c>
      <c r="P129" s="324">
        <f>SUMMARY!L131</f>
        <v>9.5410604060393975</v>
      </c>
    </row>
    <row r="130" spans="1:16" s="162" customFormat="1">
      <c r="A130" s="158" t="s">
        <v>182</v>
      </c>
      <c r="B130" s="257" t="s">
        <v>409</v>
      </c>
      <c r="C130" s="480">
        <f>'[3]Sch C'!D126</f>
        <v>0</v>
      </c>
      <c r="D130" s="480">
        <f>'[3]Sch C'!F126</f>
        <v>0</v>
      </c>
      <c r="E130" s="480">
        <f>+'[3]Sch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520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158" t="s">
        <v>675</v>
      </c>
      <c r="C131" s="480">
        <f>'[3]Sch C'!D127</f>
        <v>0</v>
      </c>
      <c r="D131" s="480">
        <f>'[3]Sch C'!F127</f>
        <v>0</v>
      </c>
      <c r="E131" s="480">
        <f>+'[3]Sch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520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158" t="s">
        <v>677</v>
      </c>
      <c r="C132" s="480">
        <f>'[3]Sch C'!D128</f>
        <v>69126</v>
      </c>
      <c r="D132" s="480">
        <f>'[3]Sch C'!F128</f>
        <v>0</v>
      </c>
      <c r="E132" s="480">
        <f>+'[3]Sch C'!H128</f>
        <v>0</v>
      </c>
      <c r="F132" s="166">
        <f t="shared" si="41"/>
        <v>69126</v>
      </c>
      <c r="G132" s="626"/>
      <c r="H132" s="166"/>
      <c r="I132" s="166">
        <f t="shared" si="42"/>
        <v>69126</v>
      </c>
      <c r="J132" s="167">
        <f>IF($I$213=0,0,I132/$I$213)</f>
        <v>9.6775367232635971E-3</v>
      </c>
      <c r="K132" s="520"/>
      <c r="L132" s="176">
        <v>4040</v>
      </c>
      <c r="M132" s="176">
        <v>4362</v>
      </c>
      <c r="O132" s="329">
        <f t="shared" si="43"/>
        <v>2.6464777947932618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573"/>
      <c r="L133" s="199"/>
      <c r="M133" s="199"/>
      <c r="O133" s="329"/>
      <c r="P133" s="324"/>
    </row>
    <row r="134" spans="1:16" s="162" customFormat="1">
      <c r="A134" s="164"/>
      <c r="B134" s="158" t="s">
        <v>679</v>
      </c>
      <c r="C134" s="480">
        <f>'[3]Sch C'!D130</f>
        <v>0</v>
      </c>
      <c r="D134" s="480">
        <f>'[3]Sch C'!F130</f>
        <v>0</v>
      </c>
      <c r="E134" s="480">
        <f>+'[3]Sch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520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257" t="s">
        <v>408</v>
      </c>
      <c r="C135" s="480">
        <f>'[3]Sch C'!D131</f>
        <v>11407</v>
      </c>
      <c r="D135" s="480">
        <f>'[3]Sch C'!F131</f>
        <v>0</v>
      </c>
      <c r="E135" s="480">
        <f>+'[3]Sch C'!H131</f>
        <v>0</v>
      </c>
      <c r="F135" s="166">
        <f t="shared" si="44"/>
        <v>11407</v>
      </c>
      <c r="G135" s="626"/>
      <c r="H135" s="166"/>
      <c r="I135" s="166">
        <f t="shared" si="45"/>
        <v>11407</v>
      </c>
      <c r="J135" s="167">
        <f>IF($I$213=0,0,I135/$I$213)</f>
        <v>1.5969629575307098E-3</v>
      </c>
      <c r="K135" s="520"/>
      <c r="L135" s="196"/>
      <c r="M135" s="196"/>
      <c r="O135" s="329">
        <f t="shared" si="43"/>
        <v>0.43671516079632466</v>
      </c>
      <c r="P135" s="324">
        <f>SUMMARY!L137</f>
        <v>1.7172183827658836</v>
      </c>
    </row>
    <row r="136" spans="1:16" s="162" customFormat="1">
      <c r="B136" s="257" t="s">
        <v>409</v>
      </c>
      <c r="C136" s="480">
        <f>'[3]Sch C'!D132</f>
        <v>0</v>
      </c>
      <c r="D136" s="480">
        <f>'[3]Sch C'!F132</f>
        <v>0</v>
      </c>
      <c r="E136" s="480">
        <f>+'[3]Sch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520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257" t="s">
        <v>682</v>
      </c>
      <c r="C137" s="480">
        <f>'[3]Sch C'!D133</f>
        <v>0</v>
      </c>
      <c r="D137" s="480">
        <f>'[3]Sch C'!F133</f>
        <v>0</v>
      </c>
      <c r="E137" s="480">
        <f>+'[3]Sch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520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257" t="s">
        <v>410</v>
      </c>
      <c r="C138" s="480">
        <f>'[3]Sch C'!D134</f>
        <v>26688</v>
      </c>
      <c r="D138" s="480">
        <f>'[3]Sch C'!F134</f>
        <v>0</v>
      </c>
      <c r="E138" s="480">
        <f>+'[3]Sch C'!H134</f>
        <v>0</v>
      </c>
      <c r="F138" s="166">
        <f t="shared" si="44"/>
        <v>26688</v>
      </c>
      <c r="G138" s="626"/>
      <c r="H138" s="166"/>
      <c r="I138" s="166">
        <f t="shared" si="45"/>
        <v>26688</v>
      </c>
      <c r="J138" s="167">
        <f>IF($I$213=0,0,I138/$I$213)</f>
        <v>3.7362801271657387E-3</v>
      </c>
      <c r="K138" s="520"/>
      <c r="L138" s="163"/>
      <c r="M138" s="163"/>
      <c r="O138" s="329">
        <f t="shared" si="43"/>
        <v>1.0217457886676875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574"/>
      <c r="L139" s="196"/>
      <c r="M139" s="196"/>
      <c r="O139" s="329"/>
      <c r="P139" s="324"/>
    </row>
    <row r="140" spans="1:16" s="162" customFormat="1">
      <c r="A140" s="164"/>
      <c r="B140" s="257" t="s">
        <v>685</v>
      </c>
      <c r="C140" s="480">
        <f>'[3]Sch C'!D136</f>
        <v>872097</v>
      </c>
      <c r="D140" s="480">
        <f>'[3]Sch C'!F136</f>
        <v>0</v>
      </c>
      <c r="E140" s="480">
        <f>+'[3]Sch C'!H136</f>
        <v>0</v>
      </c>
      <c r="F140" s="166">
        <f t="shared" ref="F140:F143" si="46">C140+D140+E140</f>
        <v>872097</v>
      </c>
      <c r="G140" s="626"/>
      <c r="H140" s="166"/>
      <c r="I140" s="166">
        <f t="shared" ref="I140:I143" si="47">F140+G140+H140</f>
        <v>872097</v>
      </c>
      <c r="J140" s="167">
        <f>IF($I$213=0,0,I140/$I$213)</f>
        <v>0.12209227705563772</v>
      </c>
      <c r="K140" s="520"/>
      <c r="L140" s="176">
        <v>23730</v>
      </c>
      <c r="M140" s="176">
        <v>25416</v>
      </c>
      <c r="O140" s="329">
        <f t="shared" si="43"/>
        <v>33.38809341500766</v>
      </c>
      <c r="P140" s="324">
        <f>SUMMARY!L142</f>
        <v>23.522763912591504</v>
      </c>
    </row>
    <row r="141" spans="1:16" s="162" customFormat="1">
      <c r="A141" s="164"/>
      <c r="B141" s="257" t="s">
        <v>687</v>
      </c>
      <c r="C141" s="480">
        <f>'[3]Sch C'!D137</f>
        <v>254656</v>
      </c>
      <c r="D141" s="480">
        <f>'[3]Sch C'!F137</f>
        <v>0</v>
      </c>
      <c r="E141" s="480">
        <f>+'[3]Sch C'!H137</f>
        <v>0</v>
      </c>
      <c r="F141" s="166">
        <f t="shared" si="46"/>
        <v>254656</v>
      </c>
      <c r="G141" s="626"/>
      <c r="H141" s="166"/>
      <c r="I141" s="166">
        <f t="shared" si="47"/>
        <v>254656</v>
      </c>
      <c r="J141" s="167">
        <f>IF($I$213=0,0,I141/$I$213)</f>
        <v>3.5651459534754133E-2</v>
      </c>
      <c r="K141" s="520"/>
      <c r="L141" s="176">
        <v>9743</v>
      </c>
      <c r="M141" s="176">
        <v>10221</v>
      </c>
      <c r="O141" s="329">
        <f t="shared" si="43"/>
        <v>9.7494640122511491</v>
      </c>
      <c r="P141" s="324">
        <f>SUMMARY!L143</f>
        <v>13.698966340347111</v>
      </c>
    </row>
    <row r="142" spans="1:16" s="162" customFormat="1">
      <c r="A142" s="164"/>
      <c r="B142" s="257" t="s">
        <v>689</v>
      </c>
      <c r="C142" s="480">
        <f>'[3]Sch C'!D138</f>
        <v>626189</v>
      </c>
      <c r="D142" s="480">
        <f>'[3]Sch C'!F138</f>
        <v>90173</v>
      </c>
      <c r="E142" s="480">
        <f>+'[3]Sch C'!H138</f>
        <v>0</v>
      </c>
      <c r="F142" s="166">
        <f t="shared" si="46"/>
        <v>716362</v>
      </c>
      <c r="G142" s="626"/>
      <c r="H142" s="166"/>
      <c r="I142" s="166">
        <f t="shared" si="47"/>
        <v>716362</v>
      </c>
      <c r="J142" s="167">
        <f>IF($I$213=0,0,I142/$I$213)</f>
        <v>0.10028960972934289</v>
      </c>
      <c r="K142" s="520"/>
      <c r="L142" s="176">
        <v>50963</v>
      </c>
      <c r="M142" s="176">
        <v>54158</v>
      </c>
      <c r="O142" s="329">
        <f t="shared" si="43"/>
        <v>27.425803981623279</v>
      </c>
      <c r="P142" s="324">
        <f>SUMMARY!L144</f>
        <v>32.258417105951196</v>
      </c>
    </row>
    <row r="143" spans="1:16" s="162" customFormat="1">
      <c r="A143" s="164"/>
      <c r="B143" s="257" t="s">
        <v>691</v>
      </c>
      <c r="C143" s="480">
        <f>'[3]Sch C'!D139</f>
        <v>90173</v>
      </c>
      <c r="D143" s="480">
        <f>'[3]Sch C'!F139</f>
        <v>-90173</v>
      </c>
      <c r="E143" s="480">
        <f>+'[3]Sch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520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574"/>
      <c r="L144" s="365"/>
      <c r="M144" s="365"/>
      <c r="O144" s="329"/>
      <c r="P144" s="324"/>
    </row>
    <row r="145" spans="1:16" s="162" customFormat="1">
      <c r="A145" s="164"/>
      <c r="B145" s="257" t="s">
        <v>411</v>
      </c>
      <c r="C145" s="480">
        <f>'[3]Sch C'!D141</f>
        <v>303439</v>
      </c>
      <c r="D145" s="480">
        <f>'[3]Sch C'!F141</f>
        <v>-159862</v>
      </c>
      <c r="E145" s="480">
        <f>+'[3]Sch C'!H141</f>
        <v>0</v>
      </c>
      <c r="F145" s="166">
        <f t="shared" ref="F145:F148" si="48">C145+D145+E145</f>
        <v>143577</v>
      </c>
      <c r="G145" s="626"/>
      <c r="H145" s="166"/>
      <c r="I145" s="166">
        <f t="shared" ref="I145:I148" si="49">F145+G145+H145</f>
        <v>143577</v>
      </c>
      <c r="J145" s="167">
        <f>IF($I$213=0,0,I145/$I$213)</f>
        <v>2.0100565490785195E-2</v>
      </c>
      <c r="K145" s="520"/>
      <c r="L145" s="163"/>
      <c r="M145" s="163"/>
      <c r="O145" s="329">
        <f t="shared" si="43"/>
        <v>5.4968223583460949</v>
      </c>
      <c r="P145" s="324">
        <f>SUMMARY!L147</f>
        <v>4.4613578559170044</v>
      </c>
    </row>
    <row r="146" spans="1:16" s="162" customFormat="1">
      <c r="A146" s="164"/>
      <c r="B146" s="257" t="s">
        <v>687</v>
      </c>
      <c r="C146" s="480">
        <f>'[3]Sch C'!D142</f>
        <v>0</v>
      </c>
      <c r="D146" s="480">
        <f>'[3]Sch C'!F142</f>
        <v>41925</v>
      </c>
      <c r="E146" s="480">
        <f>+'[3]Sch C'!H142</f>
        <v>0</v>
      </c>
      <c r="F146" s="166">
        <f t="shared" si="48"/>
        <v>41925</v>
      </c>
      <c r="G146" s="626"/>
      <c r="H146" s="166"/>
      <c r="I146" s="166">
        <f t="shared" si="49"/>
        <v>41925</v>
      </c>
      <c r="J146" s="167">
        <f>IF($I$213=0,0,I146/$I$213)</f>
        <v>5.8694373625383543E-3</v>
      </c>
      <c r="K146" s="520"/>
      <c r="L146" s="163"/>
      <c r="M146" s="163"/>
      <c r="O146" s="329">
        <f t="shared" si="43"/>
        <v>1.6050918836140888</v>
      </c>
      <c r="P146" s="324">
        <f>SUMMARY!L148</f>
        <v>2.5881018642050413</v>
      </c>
    </row>
    <row r="147" spans="1:16" s="162" customFormat="1">
      <c r="A147" s="164"/>
      <c r="B147" s="257" t="s">
        <v>689</v>
      </c>
      <c r="C147" s="480">
        <f>'[3]Sch C'!D143</f>
        <v>0</v>
      </c>
      <c r="D147" s="480">
        <f>'[3]Sch C'!F143</f>
        <v>117937</v>
      </c>
      <c r="E147" s="480">
        <f>+'[3]Sch C'!H143</f>
        <v>0</v>
      </c>
      <c r="F147" s="166">
        <f t="shared" si="48"/>
        <v>117937</v>
      </c>
      <c r="G147" s="626"/>
      <c r="H147" s="166"/>
      <c r="I147" s="166">
        <f t="shared" si="49"/>
        <v>117937</v>
      </c>
      <c r="J147" s="167">
        <f>IF($I$213=0,0,I147/$I$213)</f>
        <v>1.6511003797869669E-2</v>
      </c>
      <c r="K147" s="520"/>
      <c r="L147" s="163"/>
      <c r="M147" s="163"/>
      <c r="O147" s="329">
        <f t="shared" si="43"/>
        <v>4.5151990811638587</v>
      </c>
      <c r="P147" s="324">
        <f>SUMMARY!L149</f>
        <v>5.926405773153995</v>
      </c>
    </row>
    <row r="148" spans="1:16" s="162" customFormat="1">
      <c r="A148" s="164"/>
      <c r="B148" s="257" t="s">
        <v>691</v>
      </c>
      <c r="C148" s="480">
        <f>'[3]Sch C'!D144</f>
        <v>0</v>
      </c>
      <c r="D148" s="480">
        <f>'[3]Sch C'!F144</f>
        <v>0</v>
      </c>
      <c r="E148" s="480">
        <f>+'[3]Sch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520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574"/>
      <c r="L149" s="196"/>
      <c r="M149" s="196"/>
      <c r="O149" s="329"/>
      <c r="P149" s="324"/>
    </row>
    <row r="150" spans="1:16" s="162" customFormat="1">
      <c r="A150" s="164"/>
      <c r="B150" s="257" t="s">
        <v>693</v>
      </c>
      <c r="C150" s="480">
        <f>'[3]Sch C'!D146</f>
        <v>40825</v>
      </c>
      <c r="D150" s="480">
        <f>'[3]Sch C'!F146</f>
        <v>0</v>
      </c>
      <c r="E150" s="480">
        <f>+'[3]Sch C'!H146</f>
        <v>0</v>
      </c>
      <c r="F150" s="166">
        <f t="shared" ref="F150:F158" si="50">C150+D150+E150</f>
        <v>40825</v>
      </c>
      <c r="G150" s="626"/>
      <c r="H150" s="166"/>
      <c r="I150" s="166">
        <f t="shared" ref="I150:I158" si="51">F150+G150+H150</f>
        <v>40825</v>
      </c>
      <c r="J150" s="167">
        <f t="shared" ref="J150:J158" si="52">IF($I$213=0,0,I150/$I$213)</f>
        <v>5.7154390059780159E-3</v>
      </c>
      <c r="K150" s="520"/>
      <c r="L150" s="176">
        <v>191</v>
      </c>
      <c r="M150" s="176">
        <v>191</v>
      </c>
      <c r="O150" s="329">
        <f t="shared" si="43"/>
        <v>1.5629785604900459</v>
      </c>
      <c r="P150" s="324">
        <f>SUMMARY!L152</f>
        <v>1.8353464912966555</v>
      </c>
    </row>
    <row r="151" spans="1:16" s="162" customFormat="1">
      <c r="A151" s="164"/>
      <c r="B151" s="257" t="s">
        <v>695</v>
      </c>
      <c r="C151" s="480">
        <f>'[3]Sch C'!D147</f>
        <v>131922</v>
      </c>
      <c r="D151" s="480">
        <f>'[3]Sch C'!F147</f>
        <v>0</v>
      </c>
      <c r="E151" s="480">
        <f>+'[3]Sch C'!H147</f>
        <v>0</v>
      </c>
      <c r="F151" s="166">
        <f t="shared" si="50"/>
        <v>131922</v>
      </c>
      <c r="G151" s="626"/>
      <c r="H151" s="166"/>
      <c r="I151" s="166">
        <f t="shared" si="51"/>
        <v>131922</v>
      </c>
      <c r="J151" s="167">
        <f t="shared" si="52"/>
        <v>1.8468882903775428E-2</v>
      </c>
      <c r="K151" s="520"/>
      <c r="L151" s="176">
        <v>2226</v>
      </c>
      <c r="M151" s="176">
        <v>2226</v>
      </c>
      <c r="O151" s="329">
        <f t="shared" si="43"/>
        <v>5.0506125574272591</v>
      </c>
      <c r="P151" s="324">
        <f>SUMMARY!L153</f>
        <v>1.6124946612088766</v>
      </c>
    </row>
    <row r="152" spans="1:16" s="162" customFormat="1">
      <c r="A152" s="164"/>
      <c r="B152" s="257" t="s">
        <v>697</v>
      </c>
      <c r="C152" s="480">
        <f>'[3]Sch C'!D148</f>
        <v>34802</v>
      </c>
      <c r="D152" s="480">
        <f>'[3]Sch C'!F148</f>
        <v>0</v>
      </c>
      <c r="E152" s="480">
        <f>+'[3]Sch C'!H148</f>
        <v>0</v>
      </c>
      <c r="F152" s="166">
        <f t="shared" si="50"/>
        <v>34802</v>
      </c>
      <c r="G152" s="626"/>
      <c r="H152" s="166"/>
      <c r="I152" s="166">
        <f t="shared" si="51"/>
        <v>34802</v>
      </c>
      <c r="J152" s="167">
        <f t="shared" si="52"/>
        <v>4.8722280045571812E-3</v>
      </c>
      <c r="K152" s="520"/>
      <c r="L152" s="176">
        <v>682</v>
      </c>
      <c r="M152" s="176">
        <v>682</v>
      </c>
      <c r="O152" s="329">
        <f t="shared" si="43"/>
        <v>1.3323889739663093</v>
      </c>
      <c r="P152" s="324">
        <f>SUMMARY!L154</f>
        <v>0.75115383579892336</v>
      </c>
    </row>
    <row r="153" spans="1:16" s="162" customFormat="1">
      <c r="A153" s="164"/>
      <c r="B153" s="257" t="s">
        <v>682</v>
      </c>
      <c r="C153" s="480">
        <f>'[3]Sch C'!D149</f>
        <v>230918</v>
      </c>
      <c r="D153" s="480">
        <f>'[3]Sch C'!F149</f>
        <v>0</v>
      </c>
      <c r="E153" s="480">
        <f>+'[3]Sch C'!H149</f>
        <v>0</v>
      </c>
      <c r="F153" s="166">
        <f t="shared" si="50"/>
        <v>230918</v>
      </c>
      <c r="G153" s="626"/>
      <c r="H153" s="166"/>
      <c r="I153" s="166">
        <f t="shared" si="51"/>
        <v>230918</v>
      </c>
      <c r="J153" s="167">
        <f t="shared" si="52"/>
        <v>3.2328175000182036E-2</v>
      </c>
      <c r="K153" s="520"/>
      <c r="L153" s="176">
        <v>9186</v>
      </c>
      <c r="M153" s="176">
        <v>9186</v>
      </c>
      <c r="O153" s="329">
        <f t="shared" si="43"/>
        <v>8.8406584992343031</v>
      </c>
      <c r="P153" s="324">
        <f>SUMMARY!L155</f>
        <v>2.153048452423644</v>
      </c>
    </row>
    <row r="154" spans="1:16" s="162" customFormat="1">
      <c r="A154" s="164"/>
      <c r="B154" s="257" t="s">
        <v>699</v>
      </c>
      <c r="C154" s="480">
        <f>'[3]Sch C'!D150</f>
        <v>6040</v>
      </c>
      <c r="D154" s="480">
        <f>'[3]Sch C'!F150</f>
        <v>0</v>
      </c>
      <c r="E154" s="480">
        <f>+'[3]Sch C'!H150</f>
        <v>0</v>
      </c>
      <c r="F154" s="166">
        <f t="shared" si="50"/>
        <v>6040</v>
      </c>
      <c r="G154" s="626"/>
      <c r="H154" s="166"/>
      <c r="I154" s="166">
        <f t="shared" si="51"/>
        <v>6040</v>
      </c>
      <c r="J154" s="167">
        <f t="shared" si="52"/>
        <v>8.4559097602222204E-4</v>
      </c>
      <c r="K154" s="520"/>
      <c r="L154" s="176">
        <v>0</v>
      </c>
      <c r="M154" s="176">
        <v>0</v>
      </c>
      <c r="O154" s="329">
        <f t="shared" si="43"/>
        <v>0.23124042879019907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'[3]Sch C'!D151</f>
        <v>131013</v>
      </c>
      <c r="D155" s="480">
        <f>'[3]Sch C'!F151</f>
        <v>0</v>
      </c>
      <c r="E155" s="480">
        <f>+'[3]Sch C'!H151</f>
        <v>0</v>
      </c>
      <c r="F155" s="166">
        <f t="shared" si="50"/>
        <v>131013</v>
      </c>
      <c r="G155" s="626"/>
      <c r="H155" s="166"/>
      <c r="I155" s="166">
        <f t="shared" si="51"/>
        <v>131013</v>
      </c>
      <c r="J155" s="167">
        <f t="shared" si="52"/>
        <v>1.8341624261854202E-2</v>
      </c>
      <c r="K155" s="520"/>
      <c r="L155" s="163"/>
      <c r="M155" s="163"/>
      <c r="O155" s="329">
        <f t="shared" si="43"/>
        <v>5.015811638591118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'[3]Sch C'!D152</f>
        <v>5169</v>
      </c>
      <c r="D156" s="480">
        <f>'[3]Sch C'!F152</f>
        <v>0</v>
      </c>
      <c r="E156" s="480">
        <f>+'[3]Sch C'!H152</f>
        <v>0</v>
      </c>
      <c r="F156" s="166">
        <f t="shared" si="50"/>
        <v>5169</v>
      </c>
      <c r="G156" s="626"/>
      <c r="H156" s="166"/>
      <c r="I156" s="166">
        <f t="shared" si="51"/>
        <v>5169</v>
      </c>
      <c r="J156" s="167">
        <f t="shared" si="52"/>
        <v>7.2365227732762677E-4</v>
      </c>
      <c r="K156" s="520"/>
      <c r="L156" s="163"/>
      <c r="M156" s="163"/>
      <c r="O156" s="329">
        <f t="shared" si="43"/>
        <v>0.19789433384379784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'[3]Sch C'!D153</f>
        <v>0</v>
      </c>
      <c r="D157" s="480">
        <f>'[3]Sch C'!F153</f>
        <v>0</v>
      </c>
      <c r="E157" s="480">
        <f>+'[3]Sch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520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'[3]Sch C'!D154</f>
        <v>0</v>
      </c>
      <c r="D158" s="480">
        <f>'[3]Sch C'!F154</f>
        <v>0</v>
      </c>
      <c r="E158" s="480">
        <f>+'[3]Sch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520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520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'[3]Sch C'!D156</f>
        <v>0</v>
      </c>
      <c r="D160" s="480">
        <f>'[3]Sch C'!F156</f>
        <v>0</v>
      </c>
      <c r="E160" s="480">
        <f>+'[3]Sch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520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'[3]Sch C'!D157</f>
        <v>0</v>
      </c>
      <c r="D161" s="480">
        <f>'[3]Sch C'!F157</f>
        <v>0</v>
      </c>
      <c r="E161" s="480">
        <f>+'[3]Sch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520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'[3]Sch C'!D158</f>
        <v>0</v>
      </c>
      <c r="D162" s="480">
        <f>'[3]Sch C'!F158</f>
        <v>0</v>
      </c>
      <c r="E162" s="480">
        <f>+'[3]Sch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520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'[3]Sch C'!D159</f>
        <v>0</v>
      </c>
      <c r="D163" s="480">
        <f>'[3]Sch C'!F159</f>
        <v>0</v>
      </c>
      <c r="E163" s="480">
        <f>+'[3]Sch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520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'[3]Sch C'!D160</f>
        <v>0</v>
      </c>
      <c r="D164" s="480">
        <f>'[3]Sch C'!F160</f>
        <v>0</v>
      </c>
      <c r="E164" s="480">
        <f>+'[3]Sch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520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'[3]Sch C'!D161</f>
        <v>9286</v>
      </c>
      <c r="D165" s="480">
        <f>'[3]Sch C'!F161</f>
        <v>0</v>
      </c>
      <c r="E165" s="480">
        <f>+'[3]Sch C'!H161</f>
        <v>0</v>
      </c>
      <c r="F165" s="166">
        <f t="shared" si="53"/>
        <v>9286</v>
      </c>
      <c r="G165" s="626"/>
      <c r="H165" s="166"/>
      <c r="I165" s="166">
        <f t="shared" si="54"/>
        <v>9286</v>
      </c>
      <c r="J165" s="167">
        <f t="shared" si="55"/>
        <v>1.3000261263811845E-3</v>
      </c>
      <c r="K165" s="520"/>
      <c r="L165" s="163"/>
      <c r="M165" s="163"/>
      <c r="O165" s="329">
        <f t="shared" si="43"/>
        <v>0.35551301684532927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3006632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3006632</v>
      </c>
      <c r="G166" s="166">
        <f t="shared" si="57"/>
        <v>0</v>
      </c>
      <c r="H166" s="166">
        <f t="shared" si="57"/>
        <v>0</v>
      </c>
      <c r="I166" s="166">
        <f t="shared" si="57"/>
        <v>3006632</v>
      </c>
      <c r="J166" s="167">
        <f t="shared" si="55"/>
        <v>0.42092398798338504</v>
      </c>
      <c r="K166" s="520"/>
      <c r="L166" s="163"/>
      <c r="M166" s="163"/>
      <c r="O166" s="329">
        <f>I166/I$233</f>
        <v>115.10842266462481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520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520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'[3]Sch C'!D175</f>
        <v>0</v>
      </c>
      <c r="D169" s="480">
        <f>'[3]Sch C'!F175</f>
        <v>0</v>
      </c>
      <c r="E169" s="480">
        <f>+'[3]Sch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575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'[3]Sch C'!D176</f>
        <v>0</v>
      </c>
      <c r="D170" s="480">
        <f>'[3]Sch C'!F176</f>
        <v>0</v>
      </c>
      <c r="E170" s="480">
        <f>+'[3]Sch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576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'[3]Sch C'!D177</f>
        <v>0</v>
      </c>
      <c r="D171" s="480">
        <f>'[3]Sch C'!F177</f>
        <v>0</v>
      </c>
      <c r="E171" s="480">
        <f>+'[3]Sch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575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'[3]Sch C'!D178</f>
        <v>0</v>
      </c>
      <c r="D172" s="480">
        <f>'[3]Sch C'!F178</f>
        <v>0</v>
      </c>
      <c r="E172" s="480">
        <f>+'[3]Sch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576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'[3]Sch C'!D179</f>
        <v>0</v>
      </c>
      <c r="D173" s="480">
        <f>'[3]Sch C'!F179</f>
        <v>0</v>
      </c>
      <c r="E173" s="480">
        <f>+'[3]Sch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575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'[3]Sch C'!D180</f>
        <v>0</v>
      </c>
      <c r="D174" s="480">
        <f>'[3]Sch C'!F180</f>
        <v>0</v>
      </c>
      <c r="E174" s="480">
        <f>+'[3]Sch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576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'[3]Sch C'!D181</f>
        <v>0</v>
      </c>
      <c r="D175" s="480">
        <f>'[3]Sch C'!F181</f>
        <v>0</v>
      </c>
      <c r="E175" s="480">
        <f>+'[3]Sch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575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'[3]Sch C'!D182</f>
        <v>0</v>
      </c>
      <c r="D176" s="480">
        <f>'[3]Sch C'!F182</f>
        <v>0</v>
      </c>
      <c r="E176" s="480">
        <f>+'[3]Sch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576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'[3]Sch C'!D183</f>
        <v>0</v>
      </c>
      <c r="D177" s="480">
        <f>'[3]Sch C'!F183</f>
        <v>0</v>
      </c>
      <c r="E177" s="480">
        <f>+'[3]Sch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575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'[3]Sch C'!D184</f>
        <v>0</v>
      </c>
      <c r="D178" s="480">
        <f>'[3]Sch C'!F184</f>
        <v>0</v>
      </c>
      <c r="E178" s="480">
        <f>+'[3]Sch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576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'[3]Sch C'!D185</f>
        <v>0</v>
      </c>
      <c r="D179" s="480">
        <f>'[3]Sch C'!F185</f>
        <v>0</v>
      </c>
      <c r="E179" s="480">
        <f>+'[3]Sch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575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'[3]Sch C'!D186</f>
        <v>0</v>
      </c>
      <c r="D180" s="480">
        <f>'[3]Sch C'!F186</f>
        <v>0</v>
      </c>
      <c r="E180" s="480">
        <f>+'[3]Sch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577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'[3]Sch C'!D187</f>
        <v>0</v>
      </c>
      <c r="D181" s="480">
        <f>'[3]Sch C'!F187</f>
        <v>0</v>
      </c>
      <c r="E181" s="480">
        <f>+'[3]Sch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577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'[3]Sch C'!D188</f>
        <v>0</v>
      </c>
      <c r="D182" s="480">
        <f>'[3]Sch C'!F188</f>
        <v>0</v>
      </c>
      <c r="E182" s="480">
        <f>+'[3]Sch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577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'[3]Sch C'!D189</f>
        <v>0</v>
      </c>
      <c r="D183" s="480">
        <f>'[3]Sch C'!F189</f>
        <v>0</v>
      </c>
      <c r="E183" s="480">
        <f>+'[3]Sch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577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'[3]Sch C'!D190</f>
        <v>0</v>
      </c>
      <c r="D184" s="480">
        <f>'[3]Sch C'!F190</f>
        <v>0</v>
      </c>
      <c r="E184" s="480">
        <f>+'[3]Sch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577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'[3]Sch C'!D191</f>
        <v>0</v>
      </c>
      <c r="D185" s="480">
        <f>'[3]Sch C'!F191</f>
        <v>0</v>
      </c>
      <c r="E185" s="480">
        <f>+'[3]Sch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577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'[3]Sch C'!D192</f>
        <v>0</v>
      </c>
      <c r="D186" s="480">
        <f>'[3]Sch C'!F192</f>
        <v>0</v>
      </c>
      <c r="E186" s="480">
        <f>+'[3]Sch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577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'[3]Sch C'!D193</f>
        <v>113</v>
      </c>
      <c r="D187" s="480">
        <f>'[3]Sch C'!F193</f>
        <v>0</v>
      </c>
      <c r="E187" s="480">
        <f>+'[3]Sch C'!H193</f>
        <v>0</v>
      </c>
      <c r="F187" s="166">
        <f t="shared" si="58"/>
        <v>113</v>
      </c>
      <c r="G187" s="626"/>
      <c r="H187" s="166"/>
      <c r="I187" s="166">
        <f t="shared" si="59"/>
        <v>113</v>
      </c>
      <c r="J187" s="167">
        <f t="shared" si="60"/>
        <v>1.5819831173925678E-5</v>
      </c>
      <c r="K187" s="577"/>
      <c r="L187" s="213"/>
      <c r="M187" s="208"/>
      <c r="N187" s="210"/>
      <c r="O187" s="329">
        <f t="shared" si="61"/>
        <v>4.3261868300153135E-3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'[3]Sch C'!D194</f>
        <v>282507</v>
      </c>
      <c r="D188" s="480">
        <f>'[3]Sch C'!F194</f>
        <v>0</v>
      </c>
      <c r="E188" s="480">
        <f>+'[3]Sch C'!H194</f>
        <v>4944</v>
      </c>
      <c r="F188" s="166">
        <f t="shared" si="58"/>
        <v>287451</v>
      </c>
      <c r="G188" s="626"/>
      <c r="H188" s="166"/>
      <c r="I188" s="166">
        <f t="shared" si="59"/>
        <v>287451</v>
      </c>
      <c r="J188" s="167">
        <f t="shared" si="60"/>
        <v>4.0242710537841682E-2</v>
      </c>
      <c r="K188" s="577"/>
      <c r="L188" s="213"/>
      <c r="M188" s="208"/>
      <c r="O188" s="329">
        <f t="shared" si="61"/>
        <v>11.005015313935681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'[3]Sch C'!D195</f>
        <v>113277</v>
      </c>
      <c r="D189" s="480">
        <f>'[3]Sch C'!F195</f>
        <v>0</v>
      </c>
      <c r="E189" s="480">
        <f>+'[3]Sch C'!H195</f>
        <v>1982</v>
      </c>
      <c r="F189" s="166">
        <f t="shared" si="58"/>
        <v>115259</v>
      </c>
      <c r="G189" s="626"/>
      <c r="H189" s="166"/>
      <c r="I189" s="166">
        <f t="shared" si="59"/>
        <v>115259</v>
      </c>
      <c r="J189" s="167">
        <f t="shared" si="60"/>
        <v>1.6136087798898229E-2</v>
      </c>
      <c r="K189" s="577"/>
      <c r="L189" s="213"/>
      <c r="M189" s="208"/>
      <c r="O189" s="329">
        <f t="shared" si="61"/>
        <v>4.4126722817764161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'[3]Sch C'!D196</f>
        <v>0</v>
      </c>
      <c r="D190" s="480">
        <f>'[3]Sch C'!F196</f>
        <v>0</v>
      </c>
      <c r="E190" s="480">
        <f>+'[3]Sch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577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'[3]Sch C'!D197</f>
        <v>297642</v>
      </c>
      <c r="D191" s="480">
        <f>'[3]Sch C'!F197</f>
        <v>0</v>
      </c>
      <c r="E191" s="480">
        <f>+'[3]Sch C'!H197</f>
        <v>5209</v>
      </c>
      <c r="F191" s="166">
        <f t="shared" si="58"/>
        <v>302851</v>
      </c>
      <c r="G191" s="626"/>
      <c r="H191" s="166"/>
      <c r="I191" s="166">
        <f t="shared" si="59"/>
        <v>302851</v>
      </c>
      <c r="J191" s="167">
        <f t="shared" si="60"/>
        <v>4.2398687529686417E-2</v>
      </c>
      <c r="K191" s="577"/>
      <c r="L191" s="213"/>
      <c r="M191" s="208"/>
      <c r="O191" s="329">
        <f t="shared" si="61"/>
        <v>11.594601837672283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'[3]Sch C'!D198</f>
        <v>39291</v>
      </c>
      <c r="D192" s="480">
        <f>'[3]Sch C'!F198</f>
        <v>0</v>
      </c>
      <c r="E192" s="480">
        <f>+'[3]Sch C'!H198</f>
        <v>0</v>
      </c>
      <c r="F192" s="166">
        <f t="shared" si="58"/>
        <v>39291</v>
      </c>
      <c r="G192" s="626"/>
      <c r="H192" s="166"/>
      <c r="I192" s="166">
        <f t="shared" si="59"/>
        <v>39291</v>
      </c>
      <c r="J192" s="167">
        <f t="shared" si="60"/>
        <v>5.5006812978293258E-3</v>
      </c>
      <c r="K192" s="577"/>
      <c r="L192" s="213"/>
      <c r="M192" s="208"/>
      <c r="O192" s="329">
        <f t="shared" si="61"/>
        <v>1.504249617151608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'[3]Sch C'!D199</f>
        <v>0</v>
      </c>
      <c r="D193" s="480">
        <f>'[3]Sch C'!F199</f>
        <v>0</v>
      </c>
      <c r="E193" s="480">
        <f>+'[3]Sch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577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'[3]Sch C'!D200</f>
        <v>0</v>
      </c>
      <c r="D194" s="480">
        <f>'[3]Sch C'!F200</f>
        <v>0</v>
      </c>
      <c r="E194" s="480">
        <f>+'[3]Sch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577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'[3]Sch C'!D201</f>
        <v>0</v>
      </c>
      <c r="D195" s="480">
        <f>'[3]Sch C'!F201</f>
        <v>0</v>
      </c>
      <c r="E195" s="480">
        <f>+'[3]Sch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577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'[3]Sch C'!D202</f>
        <v>0</v>
      </c>
      <c r="D196" s="480">
        <f>'[3]Sch C'!F202</f>
        <v>0</v>
      </c>
      <c r="E196" s="480">
        <f>+'[3]Sch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577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'[3]Sch C'!D203</f>
        <v>0</v>
      </c>
      <c r="D197" s="480">
        <f>'[3]Sch C'!F203</f>
        <v>0</v>
      </c>
      <c r="E197" s="480">
        <f>+'[3]Sch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577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'[3]Sch C'!D204</f>
        <v>0</v>
      </c>
      <c r="D198" s="480">
        <f>'[3]Sch C'!F204</f>
        <v>0</v>
      </c>
      <c r="E198" s="480">
        <f>+'[3]Sch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577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'[3]Sch C'!D205</f>
        <v>161897</v>
      </c>
      <c r="D199" s="480">
        <f>'[3]Sch C'!F205</f>
        <v>0</v>
      </c>
      <c r="E199" s="480">
        <f>+'[3]Sch C'!H205</f>
        <v>0</v>
      </c>
      <c r="F199" s="166">
        <f t="shared" si="58"/>
        <v>161897</v>
      </c>
      <c r="G199" s="626"/>
      <c r="H199" s="166"/>
      <c r="I199" s="166">
        <f t="shared" si="59"/>
        <v>161897</v>
      </c>
      <c r="J199" s="167">
        <f t="shared" si="60"/>
        <v>2.2665338120044651E-2</v>
      </c>
      <c r="K199" s="577"/>
      <c r="L199" s="213"/>
      <c r="M199" s="208"/>
      <c r="O199" s="329">
        <f t="shared" si="61"/>
        <v>6.1982006125574269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'[3]Sch C'!D206</f>
        <v>7697</v>
      </c>
      <c r="D200" s="480">
        <f>'[3]Sch C'!F206</f>
        <v>0</v>
      </c>
      <c r="E200" s="480">
        <f>+'[3]Sch C'!H206</f>
        <v>0</v>
      </c>
      <c r="F200" s="166">
        <f t="shared" si="58"/>
        <v>7697</v>
      </c>
      <c r="G200" s="626"/>
      <c r="H200" s="166"/>
      <c r="I200" s="166">
        <f t="shared" si="59"/>
        <v>7697</v>
      </c>
      <c r="J200" s="167">
        <f t="shared" si="60"/>
        <v>1.0775685004044773E-3</v>
      </c>
      <c r="K200" s="577"/>
      <c r="L200" s="213"/>
      <c r="M200" s="208"/>
      <c r="O200" s="329">
        <f t="shared" si="61"/>
        <v>0.29467840735068912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'[3]Sch C'!D207</f>
        <v>0</v>
      </c>
      <c r="D201" s="480">
        <f>'[3]Sch C'!F207</f>
        <v>0</v>
      </c>
      <c r="E201" s="480">
        <f>+'[3]Sch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577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902424</v>
      </c>
      <c r="D202" s="480">
        <f t="shared" si="62"/>
        <v>0</v>
      </c>
      <c r="E202" s="480">
        <f t="shared" si="62"/>
        <v>12135</v>
      </c>
      <c r="F202" s="166">
        <f t="shared" ref="F202:I202" si="63">SUM(F169:F201)</f>
        <v>914559</v>
      </c>
      <c r="G202" s="166">
        <f t="shared" si="63"/>
        <v>0</v>
      </c>
      <c r="H202" s="166">
        <f t="shared" si="63"/>
        <v>0</v>
      </c>
      <c r="I202" s="166">
        <f t="shared" si="63"/>
        <v>914559</v>
      </c>
      <c r="J202" s="167">
        <f>IF($I$213=0,0,I202/$I$213)</f>
        <v>0.12803689361587872</v>
      </c>
      <c r="K202" s="520"/>
      <c r="L202" s="163"/>
      <c r="M202" s="163"/>
      <c r="O202" s="329">
        <f>I202/I$233</f>
        <v>35.013744257274119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52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52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'[3]Sch C'!D211</f>
        <v>123191</v>
      </c>
      <c r="D205" s="480">
        <f>'[3]Sch C'!F211</f>
        <v>0</v>
      </c>
      <c r="E205" s="480">
        <f>+'[3]Sch C'!H211</f>
        <v>0</v>
      </c>
      <c r="F205" s="166">
        <f t="shared" ref="F205:F210" si="64">C205+D205+E205</f>
        <v>123191</v>
      </c>
      <c r="G205" s="626"/>
      <c r="H205" s="166"/>
      <c r="I205" s="166">
        <f t="shared" ref="I205:I210" si="65">F205+G205+H205</f>
        <v>123191</v>
      </c>
      <c r="J205" s="167">
        <f t="shared" ref="J205:J211" si="66">IF($I$213=0,0,I205/$I$213)</f>
        <v>1.7246555948204231E-2</v>
      </c>
      <c r="K205" s="520"/>
      <c r="L205" s="176">
        <v>6857</v>
      </c>
      <c r="M205" s="176">
        <v>7223</v>
      </c>
      <c r="O205" s="329">
        <f t="shared" ref="O205:O210" si="67">I205/I$233</f>
        <v>4.7163476263399691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'[3]Sch C'!D212</f>
        <v>44229</v>
      </c>
      <c r="D206" s="480">
        <f>'[3]Sch C'!F212</f>
        <v>0</v>
      </c>
      <c r="E206" s="480">
        <f>+'[3]Sch C'!H212</f>
        <v>0</v>
      </c>
      <c r="F206" s="166">
        <f t="shared" si="64"/>
        <v>44229</v>
      </c>
      <c r="G206" s="626"/>
      <c r="H206" s="166"/>
      <c r="I206" s="166">
        <f t="shared" si="65"/>
        <v>44229</v>
      </c>
      <c r="J206" s="167">
        <f t="shared" si="66"/>
        <v>6.1919939202792814E-3</v>
      </c>
      <c r="K206" s="520"/>
      <c r="L206" s="163"/>
      <c r="M206" s="163"/>
      <c r="O206" s="329">
        <f t="shared" si="67"/>
        <v>1.6933001531393568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'[3]Sch C'!D213</f>
        <v>7571</v>
      </c>
      <c r="D207" s="480">
        <f>'[3]Sch C'!F213</f>
        <v>0</v>
      </c>
      <c r="E207" s="480">
        <f>+'[3]Sch C'!H213</f>
        <v>0</v>
      </c>
      <c r="F207" s="166">
        <f t="shared" si="64"/>
        <v>7571</v>
      </c>
      <c r="G207" s="626"/>
      <c r="H207" s="166"/>
      <c r="I207" s="166">
        <f t="shared" si="65"/>
        <v>7571</v>
      </c>
      <c r="J207" s="167">
        <f t="shared" si="66"/>
        <v>1.0599286886530204E-3</v>
      </c>
      <c r="K207" s="520"/>
      <c r="L207" s="163"/>
      <c r="M207" s="163"/>
      <c r="O207" s="329">
        <f t="shared" si="67"/>
        <v>0.28985451761102604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'[3]Sch C'!D214</f>
        <v>0</v>
      </c>
      <c r="D208" s="480">
        <f>'[3]Sch C'!F214</f>
        <v>0</v>
      </c>
      <c r="E208" s="480">
        <f>+'[3]Sch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520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'[3]Sch C'!D215</f>
        <v>0</v>
      </c>
      <c r="D209" s="480">
        <f>'[3]Sch C'!F215</f>
        <v>0</v>
      </c>
      <c r="E209" s="480">
        <f>+'[3]Sch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520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'[3]Sch C'!D216</f>
        <v>3470</v>
      </c>
      <c r="D210" s="480">
        <f>'[3]Sch C'!F216</f>
        <v>0</v>
      </c>
      <c r="E210" s="480">
        <f>+'[3]Sch C'!H216</f>
        <v>0</v>
      </c>
      <c r="F210" s="166">
        <f t="shared" si="64"/>
        <v>3470</v>
      </c>
      <c r="G210" s="626"/>
      <c r="H210" s="166"/>
      <c r="I210" s="166">
        <f t="shared" si="65"/>
        <v>3470</v>
      </c>
      <c r="J210" s="167">
        <f t="shared" si="66"/>
        <v>4.8579481569488588E-4</v>
      </c>
      <c r="K210" s="520"/>
      <c r="L210" s="163"/>
      <c r="M210" s="163"/>
      <c r="O210" s="329">
        <f t="shared" si="67"/>
        <v>0.13284839203675344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178461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178461</v>
      </c>
      <c r="G211" s="166">
        <f t="shared" si="69"/>
        <v>0</v>
      </c>
      <c r="H211" s="166">
        <f t="shared" si="69"/>
        <v>0</v>
      </c>
      <c r="I211" s="166">
        <f t="shared" si="69"/>
        <v>178461</v>
      </c>
      <c r="J211" s="167">
        <f t="shared" si="66"/>
        <v>2.498427337283142E-2</v>
      </c>
      <c r="K211" s="520"/>
      <c r="L211" s="163"/>
      <c r="M211" s="163"/>
      <c r="O211" s="329">
        <f>I211/I$233</f>
        <v>6.8323506891271055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52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7255216</v>
      </c>
      <c r="D213" s="480">
        <f t="shared" si="70"/>
        <v>-135527</v>
      </c>
      <c r="E213" s="480">
        <f t="shared" si="70"/>
        <v>26109</v>
      </c>
      <c r="F213" s="166">
        <f t="shared" ref="F213:I213" si="71">SUM(F30:F211)/2</f>
        <v>7145798</v>
      </c>
      <c r="G213" s="166">
        <f t="shared" si="71"/>
        <v>-2864.63</v>
      </c>
      <c r="H213" s="166">
        <f t="shared" si="71"/>
        <v>0</v>
      </c>
      <c r="I213" s="166">
        <f t="shared" si="71"/>
        <v>7142933.3700000001</v>
      </c>
      <c r="J213" s="167">
        <f>IF($I$213=0,0,I213/$I$213)</f>
        <v>1</v>
      </c>
      <c r="K213" s="520"/>
      <c r="L213" s="176">
        <f>SUM(L30:L205)</f>
        <v>123676</v>
      </c>
      <c r="M213" s="176">
        <f>SUM(M30:M205)</f>
        <v>130666</v>
      </c>
      <c r="O213" s="329">
        <f>I213/I$233</f>
        <v>273.46605551301684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52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520"/>
      <c r="L215" s="163"/>
      <c r="M215" s="163"/>
    </row>
    <row r="216" spans="1:16" s="162" customFormat="1" ht="15.5">
      <c r="A216" s="158"/>
      <c r="B216" s="218" t="s">
        <v>172</v>
      </c>
      <c r="C216" s="480">
        <f>'[3]Sch C'!D221</f>
        <v>7255216</v>
      </c>
      <c r="D216" s="188"/>
      <c r="E216" s="188"/>
      <c r="F216" s="160"/>
      <c r="G216" s="160"/>
      <c r="H216"/>
      <c r="I216"/>
      <c r="K216" s="52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52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520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52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-575524</v>
      </c>
      <c r="D220" s="480">
        <f t="shared" si="72"/>
        <v>120523</v>
      </c>
      <c r="E220" s="480">
        <f t="shared" si="72"/>
        <v>-26109</v>
      </c>
      <c r="F220" s="166">
        <f t="shared" ref="F220:I220" si="73">F26-F213</f>
        <v>-481110</v>
      </c>
      <c r="G220" s="166">
        <f t="shared" si="73"/>
        <v>2864.63</v>
      </c>
      <c r="H220" s="166">
        <f t="shared" si="73"/>
        <v>0</v>
      </c>
      <c r="I220" s="166">
        <f t="shared" si="73"/>
        <v>-478245.37000000011</v>
      </c>
      <c r="K220" s="52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52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52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520"/>
      <c r="L223" s="163"/>
      <c r="M223" s="163"/>
    </row>
    <row r="224" spans="1:16">
      <c r="A224" s="158"/>
      <c r="B224" s="165" t="s">
        <v>202</v>
      </c>
      <c r="C224" s="504">
        <f>'[3]Sch D'!C9</f>
        <v>16448</v>
      </c>
      <c r="D224" s="480"/>
      <c r="E224" s="480"/>
      <c r="F224" s="224">
        <f>C224+D224+E224</f>
        <v>16448</v>
      </c>
      <c r="G224" s="627"/>
      <c r="H224" s="223"/>
      <c r="I224" s="224">
        <f>F224+G224+H224</f>
        <v>16448</v>
      </c>
      <c r="J224" s="167">
        <f t="shared" ref="J224:J233" si="74">IF($I$233=0,0,I224/$I$233)</f>
        <v>0.62970903522205202</v>
      </c>
      <c r="K224" s="520"/>
      <c r="L224" s="163"/>
      <c r="M224" s="163"/>
    </row>
    <row r="225" spans="1:13">
      <c r="A225" s="158"/>
      <c r="B225" s="165" t="s">
        <v>201</v>
      </c>
      <c r="C225" s="504">
        <f>'[3]Sch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520"/>
      <c r="L225" s="163"/>
      <c r="M225" s="163"/>
    </row>
    <row r="226" spans="1:13">
      <c r="A226" s="158"/>
      <c r="B226" s="165" t="s">
        <v>64</v>
      </c>
      <c r="C226" s="504">
        <f>'[3]Sch D'!E9</f>
        <v>3780</v>
      </c>
      <c r="D226" s="480"/>
      <c r="E226" s="480"/>
      <c r="F226" s="224">
        <f t="shared" si="75"/>
        <v>3780</v>
      </c>
      <c r="G226" s="627"/>
      <c r="H226" s="223"/>
      <c r="I226" s="224">
        <f t="shared" si="76"/>
        <v>3780</v>
      </c>
      <c r="J226" s="167">
        <f t="shared" si="74"/>
        <v>0.1447166921898928</v>
      </c>
      <c r="K226" s="520"/>
      <c r="L226" s="163"/>
      <c r="M226" s="163"/>
    </row>
    <row r="227" spans="1:13">
      <c r="A227" s="158"/>
      <c r="B227" s="194" t="s">
        <v>315</v>
      </c>
      <c r="C227" s="504">
        <f>'[3]Sch D'!F9</f>
        <v>856</v>
      </c>
      <c r="D227" s="480"/>
      <c r="E227" s="480"/>
      <c r="F227" s="224">
        <f t="shared" si="75"/>
        <v>856</v>
      </c>
      <c r="G227" s="627"/>
      <c r="H227" s="223"/>
      <c r="I227" s="224">
        <f t="shared" si="76"/>
        <v>856</v>
      </c>
      <c r="J227" s="167">
        <f t="shared" si="74"/>
        <v>3.2771822358346095E-2</v>
      </c>
      <c r="K227" s="520"/>
      <c r="L227" s="163"/>
      <c r="M227" s="163"/>
    </row>
    <row r="228" spans="1:13">
      <c r="A228" s="158"/>
      <c r="B228" s="165" t="s">
        <v>65</v>
      </c>
      <c r="C228" s="504">
        <f>'[3]Sch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520"/>
      <c r="L228" s="163"/>
      <c r="M228" s="163"/>
    </row>
    <row r="229" spans="1:13">
      <c r="A229" s="158"/>
      <c r="B229" s="165" t="s">
        <v>66</v>
      </c>
      <c r="C229" s="504">
        <f>'[3]Sch D'!H9</f>
        <v>2553</v>
      </c>
      <c r="D229" s="480"/>
      <c r="E229" s="480"/>
      <c r="F229" s="224">
        <f t="shared" si="75"/>
        <v>2553</v>
      </c>
      <c r="G229" s="627"/>
      <c r="H229" s="223"/>
      <c r="I229" s="224">
        <f t="shared" si="76"/>
        <v>2553</v>
      </c>
      <c r="J229" s="167">
        <f t="shared" si="74"/>
        <v>9.7741194486983152E-2</v>
      </c>
      <c r="K229" s="520"/>
      <c r="L229" s="163"/>
      <c r="M229" s="163"/>
    </row>
    <row r="230" spans="1:13">
      <c r="A230" s="158"/>
      <c r="B230" s="165" t="s">
        <v>219</v>
      </c>
      <c r="C230" s="504">
        <f>'[3]Sch D'!I9</f>
        <v>1815</v>
      </c>
      <c r="D230" s="480"/>
      <c r="E230" s="480"/>
      <c r="F230" s="224">
        <f t="shared" si="75"/>
        <v>1815</v>
      </c>
      <c r="G230" s="627"/>
      <c r="H230" s="223"/>
      <c r="I230" s="224">
        <f t="shared" si="76"/>
        <v>1815</v>
      </c>
      <c r="J230" s="167">
        <f t="shared" si="74"/>
        <v>6.9486983154670751E-2</v>
      </c>
      <c r="K230" s="520"/>
      <c r="L230" s="163"/>
      <c r="M230" s="163"/>
    </row>
    <row r="231" spans="1:13">
      <c r="A231" s="158"/>
      <c r="B231" s="165" t="s">
        <v>218</v>
      </c>
      <c r="C231" s="504">
        <f>'[3]Sch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520"/>
      <c r="L231" s="163"/>
      <c r="M231" s="163"/>
    </row>
    <row r="232" spans="1:13">
      <c r="A232" s="158"/>
      <c r="B232" s="165" t="s">
        <v>170</v>
      </c>
      <c r="C232" s="504">
        <f>'[3]Sch D'!K9</f>
        <v>668</v>
      </c>
      <c r="D232" s="480"/>
      <c r="E232" s="480"/>
      <c r="F232" s="224">
        <f t="shared" si="75"/>
        <v>668</v>
      </c>
      <c r="G232" s="627"/>
      <c r="H232" s="223"/>
      <c r="I232" s="224">
        <f t="shared" si="76"/>
        <v>668</v>
      </c>
      <c r="J232" s="167">
        <f t="shared" si="74"/>
        <v>2.5574272588055131E-2</v>
      </c>
      <c r="K232" s="520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26120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26120</v>
      </c>
      <c r="G233" s="226">
        <f t="shared" si="78"/>
        <v>0</v>
      </c>
      <c r="H233" s="226">
        <f t="shared" si="78"/>
        <v>0</v>
      </c>
      <c r="I233" s="226">
        <f t="shared" si="78"/>
        <v>26120</v>
      </c>
      <c r="J233" s="167">
        <f t="shared" si="74"/>
        <v>1</v>
      </c>
      <c r="K233" s="520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52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520"/>
      <c r="L235" s="163"/>
      <c r="M235" s="163"/>
    </row>
    <row r="236" spans="1:13">
      <c r="A236" s="158"/>
      <c r="B236" s="194" t="s">
        <v>203</v>
      </c>
      <c r="C236" s="504">
        <f>'[3]Sch D'!N22</f>
        <v>122</v>
      </c>
      <c r="D236" s="480"/>
      <c r="E236" s="480"/>
      <c r="F236" s="224">
        <f>C236+E236</f>
        <v>122</v>
      </c>
      <c r="G236" s="627"/>
      <c r="H236" s="224"/>
      <c r="I236" s="224">
        <f>F236+G236+H236</f>
        <v>122</v>
      </c>
      <c r="J236" s="162"/>
      <c r="K236" s="520"/>
      <c r="L236" s="163"/>
      <c r="M236" s="163"/>
    </row>
    <row r="237" spans="1:13">
      <c r="A237" s="158"/>
      <c r="B237" s="194" t="s">
        <v>271</v>
      </c>
      <c r="C237" s="504">
        <f>'[3]Sch D'!N24</f>
        <v>122</v>
      </c>
      <c r="D237" s="480"/>
      <c r="E237" s="480"/>
      <c r="F237" s="224">
        <f>C237+E237</f>
        <v>122</v>
      </c>
      <c r="G237" s="627"/>
      <c r="H237" s="224"/>
      <c r="I237" s="224">
        <f>F237+G237+H237</f>
        <v>122</v>
      </c>
      <c r="J237" s="162"/>
      <c r="K237" s="52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52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520"/>
      <c r="L239" s="163"/>
      <c r="M239" s="163"/>
    </row>
    <row r="240" spans="1:13" ht="26.5">
      <c r="A240" s="158"/>
      <c r="B240" s="231" t="s">
        <v>316</v>
      </c>
      <c r="C240" s="504">
        <f>'[3]Sch D'!N28</f>
        <v>44530</v>
      </c>
      <c r="D240" s="427"/>
      <c r="E240" s="427"/>
      <c r="F240" s="223">
        <f>F236*F238</f>
        <v>44530</v>
      </c>
      <c r="G240"/>
      <c r="H240" s="228"/>
      <c r="I240" s="223">
        <f>I236*I238</f>
        <v>44530</v>
      </c>
      <c r="J240" s="162"/>
      <c r="K240" s="520"/>
      <c r="L240" s="163"/>
      <c r="M240" s="163"/>
    </row>
    <row r="241" spans="1:13" ht="26.5">
      <c r="A241" s="158"/>
      <c r="B241" s="231" t="s">
        <v>317</v>
      </c>
      <c r="C241" s="505">
        <f>'[3]Sch D'!N30</f>
        <v>0.58657085111161011</v>
      </c>
      <c r="D241" s="228"/>
      <c r="E241" s="228"/>
      <c r="F241" s="232">
        <f>IFERROR(F233/F240,"0")</f>
        <v>0.58657085111161011</v>
      </c>
      <c r="G241"/>
      <c r="H241" s="233"/>
      <c r="I241" s="232">
        <f>IFERROR(I233/I240,"0")</f>
        <v>0.58657085111161011</v>
      </c>
      <c r="J241" s="162"/>
      <c r="K241" s="520"/>
      <c r="L241" s="163"/>
      <c r="M241" s="163"/>
    </row>
    <row r="242" spans="1:13" ht="26.5">
      <c r="A242" s="158"/>
      <c r="B242" s="231" t="s">
        <v>318</v>
      </c>
      <c r="C242" s="505">
        <f>'[3]Sch D'!N32</f>
        <v>0.36936896474286995</v>
      </c>
      <c r="D242" s="228"/>
      <c r="E242" s="228"/>
      <c r="F242" s="232">
        <f>IFERROR((F224+F225)/F240,"0")</f>
        <v>0.36936896474286995</v>
      </c>
      <c r="G242"/>
      <c r="H242" s="233"/>
      <c r="I242" s="232">
        <f>IFERROR((I224+I225)/I240,"0")</f>
        <v>0.36936896474286995</v>
      </c>
      <c r="J242" s="162"/>
      <c r="K242" s="520"/>
      <c r="L242" s="163"/>
      <c r="M242" s="163"/>
    </row>
    <row r="243" spans="1:13" ht="26.5">
      <c r="A243" s="158"/>
      <c r="B243" s="231" t="s">
        <v>319</v>
      </c>
      <c r="C243" s="505">
        <f>'[3]Sch D'!N34</f>
        <v>0.62970903522205202</v>
      </c>
      <c r="D243" s="228"/>
      <c r="E243" s="228"/>
      <c r="F243" s="232">
        <f>IFERROR((F242/F241),"0")</f>
        <v>0.62970903522205202</v>
      </c>
      <c r="G243"/>
      <c r="H243" s="233"/>
      <c r="I243" s="232">
        <f>IFERROR((I242/I241),"0")</f>
        <v>0.62970903522205202</v>
      </c>
      <c r="J243" s="162"/>
      <c r="K243" s="520"/>
      <c r="L243" s="163"/>
      <c r="M243" s="163"/>
    </row>
    <row r="244" spans="1:13">
      <c r="K244" s="519"/>
    </row>
    <row r="245" spans="1:13">
      <c r="K245" s="519"/>
    </row>
    <row r="246" spans="1:13">
      <c r="B246" s="145" t="s">
        <v>320</v>
      </c>
      <c r="H246" s="140" t="s">
        <v>321</v>
      </c>
      <c r="I246" s="480">
        <f>'[3]Sch B'!C90</f>
        <v>216.63499245852188</v>
      </c>
      <c r="K246" s="519"/>
    </row>
    <row r="247" spans="1:13">
      <c r="H247" s="140" t="s">
        <v>322</v>
      </c>
      <c r="I247" s="480">
        <f>'[3]Sch B'!E90</f>
        <v>216.63529411764705</v>
      </c>
      <c r="K247" s="519"/>
    </row>
    <row r="248" spans="1:13">
      <c r="H248" s="140" t="s">
        <v>323</v>
      </c>
      <c r="I248" s="480">
        <f>'[3]Sch B'!G90</f>
        <v>216.634691195795</v>
      </c>
      <c r="K248" s="519"/>
    </row>
    <row r="249" spans="1:13">
      <c r="H249" s="140" t="s">
        <v>324</v>
      </c>
      <c r="I249" s="480">
        <f>'[3]Sch B'!I90</f>
        <v>216.63295880149812</v>
      </c>
      <c r="K249" s="519"/>
    </row>
    <row r="250" spans="1:13">
      <c r="H250" s="140"/>
      <c r="K250" s="519"/>
    </row>
    <row r="251" spans="1:13">
      <c r="K251" s="519"/>
    </row>
    <row r="252" spans="1:13">
      <c r="K252" s="138"/>
    </row>
    <row r="253" spans="1:13">
      <c r="K253" s="138"/>
    </row>
    <row r="254" spans="1:13">
      <c r="K254" s="138"/>
    </row>
    <row r="277" spans="2:2">
      <c r="B277" s="138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>
    <tabColor rgb="FFE28CAB"/>
  </sheetPr>
  <dimension ref="A1:Q277"/>
  <sheetViews>
    <sheetView showGridLines="0" topLeftCell="C5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35" t="s">
        <v>364</v>
      </c>
      <c r="D2" s="435"/>
      <c r="E2" s="234"/>
      <c r="F2" s="142"/>
      <c r="G2" s="142"/>
    </row>
    <row r="3" spans="1:16" ht="23">
      <c r="A3" s="143"/>
      <c r="B3" s="138" t="s">
        <v>71</v>
      </c>
      <c r="C3" s="557">
        <f>'[21]Sch A Pg 1'!B39</f>
        <v>42917</v>
      </c>
      <c r="D3" s="620"/>
      <c r="E3"/>
      <c r="F3" s="435"/>
      <c r="G3" s="435"/>
    </row>
    <row r="4" spans="1:16" ht="15.5">
      <c r="A4" s="143"/>
      <c r="B4" s="145" t="s">
        <v>72</v>
      </c>
      <c r="C4" s="557">
        <f>'[21]Sch A Pg 1'!G39</f>
        <v>43281</v>
      </c>
      <c r="D4" s="620"/>
      <c r="E4"/>
      <c r="F4" s="146"/>
      <c r="G4" s="146"/>
      <c r="I4" s="147"/>
    </row>
    <row r="5" spans="1:16">
      <c r="A5" s="143"/>
      <c r="B5" s="145"/>
      <c r="C5" s="148"/>
      <c r="D5" s="148"/>
      <c r="E5" s="436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/>
      <c r="J9"/>
      <c r="K9" s="570"/>
      <c r="L9"/>
      <c r="M9"/>
    </row>
    <row r="10" spans="1:16" s="162" customFormat="1" ht="15.5">
      <c r="A10" s="158" t="s">
        <v>228</v>
      </c>
      <c r="B10" s="159" t="s">
        <v>229</v>
      </c>
      <c r="C10" s="438"/>
      <c r="D10" s="438"/>
      <c r="E10" s="160"/>
      <c r="F10" s="160"/>
      <c r="G10" s="160"/>
      <c r="H10"/>
      <c r="I10"/>
      <c r="J10"/>
      <c r="K10" s="570"/>
      <c r="L10"/>
      <c r="M10"/>
    </row>
    <row r="11" spans="1:16" s="162" customFormat="1" ht="15.5">
      <c r="A11" s="158"/>
      <c r="B11" s="615" t="s">
        <v>511</v>
      </c>
      <c r="C11" s="438"/>
      <c r="D11" s="438"/>
      <c r="E11" s="160"/>
      <c r="F11" s="160"/>
      <c r="G11" s="492"/>
      <c r="H11"/>
      <c r="I11"/>
      <c r="J11"/>
      <c r="L11"/>
      <c r="M11"/>
    </row>
    <row r="12" spans="1:16" s="162" customFormat="1" ht="15.5">
      <c r="A12" s="158"/>
      <c r="B12" s="160" t="s">
        <v>512</v>
      </c>
      <c r="C12" s="480">
        <f>'[21]Sch B'!E10</f>
        <v>2197240.86</v>
      </c>
      <c r="D12" s="480">
        <f>'[21]Sch B'!G10</f>
        <v>0</v>
      </c>
      <c r="E12" s="480"/>
      <c r="F12" s="166">
        <f>C12+D12+E12</f>
        <v>2197240.86</v>
      </c>
      <c r="G12" s="626"/>
      <c r="H12" s="166"/>
      <c r="I12" s="166">
        <f>F12+G12+H12</f>
        <v>2197240.86</v>
      </c>
      <c r="J12" s="167">
        <f>IF($I$26=0,0,I12/$I$26)</f>
        <v>0.89584098999074901</v>
      </c>
      <c r="K12" s="570"/>
      <c r="L12"/>
      <c r="M12"/>
    </row>
    <row r="13" spans="1:16" s="162" customFormat="1" ht="15.5">
      <c r="A13" s="158"/>
      <c r="B13" s="160" t="s">
        <v>513</v>
      </c>
      <c r="C13" s="480">
        <f>'[21]Sch B'!E12</f>
        <v>0</v>
      </c>
      <c r="D13" s="480">
        <f>'[21]Sch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570"/>
      <c r="L13"/>
      <c r="M13"/>
    </row>
    <row r="14" spans="1:16" s="162" customFormat="1" ht="15.5">
      <c r="A14" s="158"/>
      <c r="B14" s="160" t="s">
        <v>514</v>
      </c>
      <c r="C14" s="480">
        <f>'[21]Sch B'!E13</f>
        <v>0</v>
      </c>
      <c r="D14" s="480">
        <f>'[21]Sch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570"/>
      <c r="L14"/>
      <c r="M14"/>
    </row>
    <row r="15" spans="1:16" s="162" customFormat="1" ht="16" thickBot="1">
      <c r="A15" s="158"/>
      <c r="B15" s="160" t="s">
        <v>515</v>
      </c>
      <c r="C15" s="480">
        <f>'[21]Sch B'!E14</f>
        <v>0</v>
      </c>
      <c r="D15" s="480">
        <f>'[21]Sch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570"/>
      <c r="L15"/>
      <c r="M15"/>
    </row>
    <row r="16" spans="1:16" s="162" customFormat="1">
      <c r="A16" s="164" t="s">
        <v>9</v>
      </c>
      <c r="B16" s="165" t="s">
        <v>197</v>
      </c>
      <c r="C16" s="480">
        <f>'[21]Sch B'!E15</f>
        <v>2197240.86</v>
      </c>
      <c r="D16" s="480">
        <f>'[21]Sch B'!G15</f>
        <v>0</v>
      </c>
      <c r="E16" s="480"/>
      <c r="F16" s="166">
        <f t="shared" si="0"/>
        <v>2197240.86</v>
      </c>
      <c r="G16" s="626"/>
      <c r="H16" s="166"/>
      <c r="I16" s="166">
        <f>SUM(I12:I15)</f>
        <v>2197240.86</v>
      </c>
      <c r="J16" s="167">
        <f t="shared" ref="J16:J26" si="2">IF($I$26=0,0,I16/$I$26)</f>
        <v>0.89584098999074901</v>
      </c>
      <c r="K16" s="458"/>
      <c r="L16" s="333" t="s">
        <v>325</v>
      </c>
      <c r="M16" s="334">
        <f>I26</f>
        <v>2452713.02</v>
      </c>
      <c r="O16" s="324">
        <f>IFERROR(I16/I224,0)</f>
        <v>187.35000511596178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'[21]Sch B'!E20</f>
        <v>0</v>
      </c>
      <c r="D17" s="480">
        <f>'[21]Sch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2405152.4499999993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'[21]Sch B'!E26</f>
        <v>0</v>
      </c>
      <c r="D18" s="480">
        <f>'[21]Sch B'!G26</f>
        <v>0</v>
      </c>
      <c r="E18" s="480"/>
      <c r="F18" s="166">
        <f t="shared" si="0"/>
        <v>0</v>
      </c>
      <c r="G18" s="626"/>
      <c r="H18" s="166"/>
      <c r="I18" s="166">
        <f t="shared" si="1"/>
        <v>0</v>
      </c>
      <c r="J18" s="167">
        <f t="shared" si="2"/>
        <v>0</v>
      </c>
      <c r="K18" s="458"/>
      <c r="L18" s="335" t="s">
        <v>327</v>
      </c>
      <c r="M18" s="336">
        <f>I233</f>
        <v>12820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'[21]Sch B'!E32</f>
        <v>0</v>
      </c>
      <c r="D19" s="480">
        <f>'[21]Sch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36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'[21]Sch B'!E37</f>
        <v>0</v>
      </c>
      <c r="D20" s="480">
        <f>'[21]Sch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13140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'[21]Sch B'!E42</f>
        <v>90541.62</v>
      </c>
      <c r="D21" s="480">
        <f>'[21]Sch B'!G42</f>
        <v>0</v>
      </c>
      <c r="E21" s="480"/>
      <c r="F21" s="166">
        <f t="shared" si="0"/>
        <v>90541.62</v>
      </c>
      <c r="G21" s="626"/>
      <c r="H21" s="166"/>
      <c r="I21" s="166">
        <f t="shared" si="1"/>
        <v>90541.62</v>
      </c>
      <c r="J21" s="167">
        <f t="shared" si="2"/>
        <v>3.6914885378640828E-2</v>
      </c>
      <c r="K21" s="458"/>
      <c r="L21" s="337"/>
      <c r="M21" s="336"/>
      <c r="O21" s="324">
        <f t="shared" si="3"/>
        <v>198.1217067833698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'[21]Sch B'!E47</f>
        <v>121035.48</v>
      </c>
      <c r="D22" s="480">
        <f>'[21]Sch B'!G47</f>
        <v>0</v>
      </c>
      <c r="E22" s="480"/>
      <c r="F22" s="166">
        <f t="shared" si="0"/>
        <v>121035.48</v>
      </c>
      <c r="G22" s="626"/>
      <c r="H22" s="166"/>
      <c r="I22" s="166">
        <f t="shared" si="1"/>
        <v>121035.48</v>
      </c>
      <c r="J22" s="167">
        <f t="shared" si="2"/>
        <v>4.9347591427553149E-2</v>
      </c>
      <c r="K22" s="458"/>
      <c r="L22" s="335" t="s">
        <v>148</v>
      </c>
      <c r="M22" s="336">
        <f>L213</f>
        <v>67917.540000000008</v>
      </c>
      <c r="O22" s="324">
        <f t="shared" si="3"/>
        <v>190.60705511811022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'[21]Sch B'!E52</f>
        <v>0</v>
      </c>
      <c r="D23" s="480">
        <f>'[21]Sch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77117.540000000008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'[21]Sch B'!E57</f>
        <v>0</v>
      </c>
      <c r="D24" s="480">
        <f>'[21]Sch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'[21]Sch B'!E72</f>
        <v>43895.06</v>
      </c>
      <c r="D25" s="480">
        <f>'[21]Sch B'!G72</f>
        <v>0</v>
      </c>
      <c r="E25" s="480"/>
      <c r="F25" s="166">
        <f t="shared" si="0"/>
        <v>43895.06</v>
      </c>
      <c r="G25" s="626"/>
      <c r="H25" s="166"/>
      <c r="I25" s="166">
        <f t="shared" si="1"/>
        <v>43895.06</v>
      </c>
      <c r="J25" s="167">
        <f t="shared" si="2"/>
        <v>1.7896533203056914E-2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2452713.02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2452713.02</v>
      </c>
      <c r="G26" s="166">
        <f>SUM(G12:G25)</f>
        <v>0</v>
      </c>
      <c r="H26" s="166">
        <f>SUM(H12:H25)</f>
        <v>0</v>
      </c>
      <c r="I26" s="166">
        <f>SUM(I16:I25)</f>
        <v>2452713.02</v>
      </c>
      <c r="J26" s="167">
        <f t="shared" si="2"/>
        <v>1</v>
      </c>
      <c r="K26" s="458"/>
      <c r="L26" s="163"/>
      <c r="M26" s="163"/>
      <c r="O26" s="324">
        <f>IFERROR(I26/I233,0)</f>
        <v>191.31926833073322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60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 ht="15">
      <c r="A29" s="175" t="s">
        <v>153</v>
      </c>
      <c r="B29" s="145" t="s">
        <v>8</v>
      </c>
      <c r="K29" s="675" t="s">
        <v>603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'[21]Sch C'!D10</f>
        <v>67030.539999999994</v>
      </c>
      <c r="D30" s="480">
        <f>'[21]Sch C'!F10</f>
        <v>0</v>
      </c>
      <c r="E30" s="480">
        <f>+'[21]Sch C'!H10</f>
        <v>0</v>
      </c>
      <c r="F30" s="166">
        <f t="shared" ref="F30:F65" si="5">C30+D30+E30</f>
        <v>67030.539999999994</v>
      </c>
      <c r="G30" s="626"/>
      <c r="H30" s="166"/>
      <c r="I30" s="166">
        <f t="shared" ref="I30:I65" si="6">F30+G30+H30</f>
        <v>67030.539999999994</v>
      </c>
      <c r="J30" s="167">
        <f>IF($I$213=0,0,I30/$I$213)</f>
        <v>2.7869559786116681E-2</v>
      </c>
      <c r="K30" s="458"/>
      <c r="L30" s="176">
        <v>1675.14</v>
      </c>
      <c r="M30" s="176">
        <v>1763.14</v>
      </c>
      <c r="O30" s="324">
        <f>I30/I$233</f>
        <v>5.2285912636505456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'[21]Sch C'!D11</f>
        <v>13800</v>
      </c>
      <c r="D31" s="480">
        <f>'[21]Sch C'!F11</f>
        <v>0</v>
      </c>
      <c r="E31" s="480">
        <f>+'[21]Sch C'!H11</f>
        <v>0</v>
      </c>
      <c r="F31" s="166">
        <f t="shared" si="5"/>
        <v>13800</v>
      </c>
      <c r="G31" s="626"/>
      <c r="H31" s="166"/>
      <c r="I31" s="166">
        <f t="shared" si="6"/>
        <v>13800</v>
      </c>
      <c r="J31" s="177">
        <f t="shared" ref="J31:J66" si="7">IF($I$213=0,0,I31/$I$213)</f>
        <v>5.7376820334195467E-3</v>
      </c>
      <c r="K31" s="458"/>
      <c r="L31" s="176">
        <v>441.6</v>
      </c>
      <c r="M31" s="176">
        <v>441.6</v>
      </c>
      <c r="O31" s="324">
        <f t="shared" ref="O31:O65" si="8">I31/I$233</f>
        <v>1.076443057722309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'[21]Sch C'!D12</f>
        <v>48945.34</v>
      </c>
      <c r="D32" s="480">
        <f>'[21]Sch C'!F12</f>
        <v>0</v>
      </c>
      <c r="E32" s="480">
        <f>+'[21]Sch C'!H12</f>
        <v>0</v>
      </c>
      <c r="F32" s="166">
        <f t="shared" si="5"/>
        <v>48945.34</v>
      </c>
      <c r="G32" s="626">
        <v>-13800</v>
      </c>
      <c r="H32" s="166"/>
      <c r="I32" s="166">
        <f t="shared" si="6"/>
        <v>35145.339999999997</v>
      </c>
      <c r="J32" s="167">
        <f t="shared" si="7"/>
        <v>1.4612520715682703E-2</v>
      </c>
      <c r="K32" s="457" t="s">
        <v>374</v>
      </c>
      <c r="L32" s="176">
        <v>840</v>
      </c>
      <c r="M32" s="176">
        <v>840</v>
      </c>
      <c r="O32" s="324">
        <f t="shared" si="8"/>
        <v>2.7414461778471138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'[21]Sch C'!D13</f>
        <v>23677.88</v>
      </c>
      <c r="D33" s="480">
        <f>'[21]Sch C'!F13</f>
        <v>0</v>
      </c>
      <c r="E33" s="480">
        <f>+'[21]Sch C'!H13</f>
        <v>0</v>
      </c>
      <c r="F33" s="166">
        <f t="shared" si="5"/>
        <v>23677.88</v>
      </c>
      <c r="G33" s="626"/>
      <c r="H33" s="166"/>
      <c r="I33" s="166">
        <f t="shared" si="6"/>
        <v>23677.88</v>
      </c>
      <c r="J33" s="167">
        <f t="shared" si="7"/>
        <v>9.8446483090915953E-3</v>
      </c>
      <c r="K33" s="458"/>
      <c r="L33" s="163"/>
      <c r="M33" s="163"/>
      <c r="O33" s="324">
        <f t="shared" si="8"/>
        <v>1.8469485179407177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'[21]Sch C'!D14</f>
        <v>0</v>
      </c>
      <c r="D34" s="480">
        <f>'[21]Sch C'!F14</f>
        <v>0</v>
      </c>
      <c r="E34" s="480">
        <f>+'[21]Sch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'[21]Sch C'!D15</f>
        <v>0</v>
      </c>
      <c r="D35" s="480">
        <f>'[21]Sch C'!F15</f>
        <v>0</v>
      </c>
      <c r="E35" s="480">
        <f>+'[21]Sch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'[21]Sch C'!D16</f>
        <v>0</v>
      </c>
      <c r="D36" s="480">
        <f>'[21]Sch C'!F16</f>
        <v>0</v>
      </c>
      <c r="E36" s="480">
        <f>+'[21]Sch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'[21]Sch C'!D17</f>
        <v>3360.29</v>
      </c>
      <c r="D37" s="480">
        <f>'[21]Sch C'!F17</f>
        <v>0</v>
      </c>
      <c r="E37" s="480">
        <f>+'[21]Sch C'!H17</f>
        <v>0</v>
      </c>
      <c r="F37" s="166">
        <f t="shared" si="5"/>
        <v>3360.29</v>
      </c>
      <c r="G37" s="626"/>
      <c r="H37" s="166"/>
      <c r="I37" s="166">
        <f t="shared" si="6"/>
        <v>3360.29</v>
      </c>
      <c r="J37" s="167">
        <f t="shared" si="7"/>
        <v>1.3971214173970556E-3</v>
      </c>
      <c r="K37" s="458"/>
      <c r="L37" s="163"/>
      <c r="M37" s="163"/>
      <c r="O37" s="324">
        <f t="shared" si="8"/>
        <v>0.26211310452418096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'[21]Sch C'!D18</f>
        <v>4403.3599999999997</v>
      </c>
      <c r="D38" s="480">
        <f>'[21]Sch C'!F18</f>
        <v>0</v>
      </c>
      <c r="E38" s="480">
        <f>+'[21]Sch C'!H18</f>
        <v>0</v>
      </c>
      <c r="F38" s="166">
        <f t="shared" si="5"/>
        <v>4403.3599999999997</v>
      </c>
      <c r="G38" s="626"/>
      <c r="H38" s="166"/>
      <c r="I38" s="166">
        <f t="shared" si="6"/>
        <v>4403.3599999999997</v>
      </c>
      <c r="J38" s="167">
        <f t="shared" si="7"/>
        <v>1.8308028665708909E-3</v>
      </c>
      <c r="K38" s="458"/>
      <c r="L38" s="163"/>
      <c r="M38" s="163"/>
      <c r="O38" s="324">
        <f t="shared" si="8"/>
        <v>0.34347581903276131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'[21]Sch C'!D19</f>
        <v>3990.84</v>
      </c>
      <c r="D39" s="480">
        <f>'[21]Sch C'!F19</f>
        <v>0</v>
      </c>
      <c r="E39" s="480">
        <f>+'[21]Sch C'!H19</f>
        <v>0</v>
      </c>
      <c r="F39" s="166">
        <f t="shared" si="5"/>
        <v>3990.84</v>
      </c>
      <c r="G39" s="626"/>
      <c r="H39" s="166"/>
      <c r="I39" s="166">
        <f t="shared" si="6"/>
        <v>3990.84</v>
      </c>
      <c r="J39" s="167">
        <f t="shared" si="7"/>
        <v>1.6592877511776858E-3</v>
      </c>
      <c r="K39" s="458"/>
      <c r="L39" s="163"/>
      <c r="M39" s="163"/>
      <c r="O39" s="324">
        <f t="shared" si="8"/>
        <v>0.31129797191887676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'[21]Sch C'!D20</f>
        <v>19447.77</v>
      </c>
      <c r="D40" s="480">
        <f>'[21]Sch C'!F20</f>
        <v>0</v>
      </c>
      <c r="E40" s="480">
        <f>+'[21]Sch C'!H20</f>
        <v>0</v>
      </c>
      <c r="F40" s="166">
        <f t="shared" si="5"/>
        <v>19447.77</v>
      </c>
      <c r="G40" s="626">
        <v>-3746</v>
      </c>
      <c r="H40" s="166"/>
      <c r="I40" s="166">
        <f t="shared" si="6"/>
        <v>15701.77</v>
      </c>
      <c r="J40" s="167">
        <f t="shared" si="7"/>
        <v>6.5283886682526117E-3</v>
      </c>
      <c r="K40" s="457" t="s">
        <v>598</v>
      </c>
      <c r="L40" s="163"/>
      <c r="M40" s="163"/>
      <c r="O40" s="324">
        <f t="shared" si="8"/>
        <v>1.2247870514820594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'[21]Sch C'!D21</f>
        <v>645</v>
      </c>
      <c r="D41" s="480">
        <f>'[21]Sch C'!F21</f>
        <v>0</v>
      </c>
      <c r="E41" s="480">
        <f>+'[21]Sch C'!H21</f>
        <v>0</v>
      </c>
      <c r="F41" s="166">
        <f t="shared" si="5"/>
        <v>645</v>
      </c>
      <c r="G41" s="626"/>
      <c r="H41" s="166"/>
      <c r="I41" s="166">
        <f t="shared" si="6"/>
        <v>645</v>
      </c>
      <c r="J41" s="167">
        <f t="shared" si="7"/>
        <v>2.6817426895330487E-4</v>
      </c>
      <c r="K41" s="458"/>
      <c r="L41" s="163"/>
      <c r="M41" s="163"/>
      <c r="O41" s="324">
        <f t="shared" si="8"/>
        <v>5.031201248049922E-2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'[21]Sch C'!D22</f>
        <v>0</v>
      </c>
      <c r="D42" s="480">
        <f>'[21]Sch C'!F22</f>
        <v>0</v>
      </c>
      <c r="E42" s="480">
        <f>+'[21]Sch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'[21]Sch C'!D23</f>
        <v>5404.56</v>
      </c>
      <c r="D43" s="480">
        <f>'[21]Sch C'!F23</f>
        <v>0</v>
      </c>
      <c r="E43" s="480">
        <f>+'[21]Sch C'!H23</f>
        <v>-2390</v>
      </c>
      <c r="F43" s="166">
        <f t="shared" si="5"/>
        <v>3014.5600000000004</v>
      </c>
      <c r="G43" s="626"/>
      <c r="H43" s="166"/>
      <c r="I43" s="166">
        <f t="shared" si="6"/>
        <v>3014.5600000000004</v>
      </c>
      <c r="J43" s="167">
        <f t="shared" si="7"/>
        <v>1.2533758514974805E-3</v>
      </c>
      <c r="K43" s="458"/>
      <c r="L43" s="163"/>
      <c r="M43" s="163"/>
      <c r="O43" s="324">
        <f t="shared" si="8"/>
        <v>0.23514508580343216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'[21]Sch C'!D24</f>
        <v>0</v>
      </c>
      <c r="D44" s="480">
        <f>'[21]Sch C'!F24</f>
        <v>0</v>
      </c>
      <c r="E44" s="480">
        <f>+'[21]Sch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'[21]Sch C'!D25</f>
        <v>0</v>
      </c>
      <c r="D45" s="480">
        <f>'[21]Sch C'!F25</f>
        <v>0</v>
      </c>
      <c r="E45" s="480">
        <f>+'[21]Sch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'[21]Sch C'!D26</f>
        <v>272544.15999999997</v>
      </c>
      <c r="D46" s="480">
        <f>'[21]Sch C'!F26</f>
        <v>0</v>
      </c>
      <c r="E46" s="480">
        <f>+'[21]Sch C'!H26</f>
        <v>0</v>
      </c>
      <c r="F46" s="166">
        <f t="shared" si="5"/>
        <v>272544.15999999997</v>
      </c>
      <c r="G46" s="626"/>
      <c r="H46" s="166"/>
      <c r="I46" s="166">
        <f t="shared" si="6"/>
        <v>272544.15999999997</v>
      </c>
      <c r="J46" s="167">
        <f t="shared" si="7"/>
        <v>0.11331679203952334</v>
      </c>
      <c r="K46" s="458"/>
      <c r="L46" s="163"/>
      <c r="M46" s="163"/>
      <c r="O46" s="324">
        <f t="shared" si="8"/>
        <v>21.259294851794071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'[21]Sch C'!D27</f>
        <v>34664.07</v>
      </c>
      <c r="D47" s="480">
        <f>'[21]Sch C'!F27</f>
        <v>0</v>
      </c>
      <c r="E47" s="480">
        <f>+'[21]Sch C'!H27</f>
        <v>0</v>
      </c>
      <c r="F47" s="166">
        <f t="shared" si="5"/>
        <v>34664.07</v>
      </c>
      <c r="G47" s="626"/>
      <c r="H47" s="166"/>
      <c r="I47" s="166">
        <f t="shared" si="6"/>
        <v>34664.07</v>
      </c>
      <c r="J47" s="167">
        <f t="shared" si="7"/>
        <v>1.44124211336375E-2</v>
      </c>
      <c r="K47" s="458"/>
      <c r="L47" s="163"/>
      <c r="M47" s="163"/>
      <c r="O47" s="324">
        <f t="shared" si="8"/>
        <v>2.7039056162246489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'[21]Sch C'!D28</f>
        <v>0</v>
      </c>
      <c r="D48" s="480">
        <f>'[21]Sch C'!F28</f>
        <v>0</v>
      </c>
      <c r="E48" s="480">
        <f>+'[21]Sch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'[21]Sch C'!D29</f>
        <v>5761.59</v>
      </c>
      <c r="D49" s="480">
        <f>'[21]Sch C'!F29</f>
        <v>-5761.59</v>
      </c>
      <c r="E49" s="480">
        <f>+'[21]Sch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'[21]Sch C'!D30</f>
        <v>0</v>
      </c>
      <c r="D50" s="480">
        <f>'[21]Sch C'!F30</f>
        <v>0</v>
      </c>
      <c r="E50" s="480">
        <f>+'[21]Sch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'[21]Sch C'!D31</f>
        <v>17676.169999999998</v>
      </c>
      <c r="D51" s="480">
        <f>'[21]Sch C'!F31</f>
        <v>0</v>
      </c>
      <c r="E51" s="480">
        <f>+'[21]Sch C'!H31</f>
        <v>0</v>
      </c>
      <c r="F51" s="166">
        <f t="shared" si="5"/>
        <v>17676.169999999998</v>
      </c>
      <c r="G51" s="626"/>
      <c r="H51" s="166"/>
      <c r="I51" s="166">
        <f t="shared" si="6"/>
        <v>17676.169999999998</v>
      </c>
      <c r="J51" s="167">
        <f t="shared" si="7"/>
        <v>7.3492929730919979E-3</v>
      </c>
      <c r="K51" s="458"/>
      <c r="L51" s="163"/>
      <c r="M51" s="163"/>
      <c r="O51" s="324">
        <f t="shared" si="8"/>
        <v>1.3787964118564742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'[21]Sch C'!D32</f>
        <v>21645.03</v>
      </c>
      <c r="D52" s="480">
        <f>'[21]Sch C'!F32</f>
        <v>0</v>
      </c>
      <c r="E52" s="480">
        <f>+'[21]Sch C'!H32</f>
        <v>0</v>
      </c>
      <c r="F52" s="166">
        <f t="shared" si="5"/>
        <v>21645.03</v>
      </c>
      <c r="G52" s="626"/>
      <c r="H52" s="166"/>
      <c r="I52" s="166">
        <f t="shared" si="6"/>
        <v>21645.03</v>
      </c>
      <c r="J52" s="167">
        <f t="shared" si="7"/>
        <v>8.9994420104222515E-3</v>
      </c>
      <c r="K52" s="458"/>
      <c r="L52" s="163"/>
      <c r="M52" s="163"/>
      <c r="O52" s="324">
        <f t="shared" si="8"/>
        <v>1.6883798751950077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'[21]Sch C'!D33</f>
        <v>0</v>
      </c>
      <c r="D53" s="480">
        <f>'[21]Sch C'!F33</f>
        <v>0</v>
      </c>
      <c r="E53" s="480">
        <f>+'[21]Sch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'[21]Sch C'!D34</f>
        <v>0</v>
      </c>
      <c r="D54" s="480">
        <f>'[21]Sch C'!F34</f>
        <v>0</v>
      </c>
      <c r="E54" s="480">
        <f>+'[21]Sch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'[21]Sch C'!D35</f>
        <v>0</v>
      </c>
      <c r="D55" s="480">
        <f>'[21]Sch C'!F35</f>
        <v>0</v>
      </c>
      <c r="E55" s="480">
        <f>+'[21]Sch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'[21]Sch C'!D36</f>
        <v>0</v>
      </c>
      <c r="D56" s="480">
        <f>'[21]Sch C'!F36</f>
        <v>0</v>
      </c>
      <c r="E56" s="480">
        <f>+'[21]Sch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'[21]Sch C'!D37</f>
        <v>0</v>
      </c>
      <c r="D57" s="480">
        <f>'[21]Sch C'!F37</f>
        <v>0</v>
      </c>
      <c r="E57" s="480">
        <f>+'[21]Sch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'[21]Sch C'!D38</f>
        <v>0</v>
      </c>
      <c r="D58" s="480">
        <f>'[21]Sch C'!F38</f>
        <v>0</v>
      </c>
      <c r="E58" s="480">
        <f>+'[21]Sch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'[21]Sch C'!D39</f>
        <v>2310.0300000000002</v>
      </c>
      <c r="D59" s="480">
        <f>'[21]Sch C'!F39</f>
        <v>0</v>
      </c>
      <c r="E59" s="480">
        <f>+'[21]Sch C'!H39</f>
        <v>0</v>
      </c>
      <c r="F59" s="166">
        <f t="shared" si="5"/>
        <v>2310.0300000000002</v>
      </c>
      <c r="G59" s="626"/>
      <c r="H59" s="166"/>
      <c r="I59" s="166">
        <f t="shared" si="6"/>
        <v>2310.0300000000002</v>
      </c>
      <c r="J59" s="167">
        <f t="shared" si="7"/>
        <v>9.6045055272899686E-4</v>
      </c>
      <c r="K59" s="458"/>
      <c r="L59" s="163"/>
      <c r="M59" s="163"/>
      <c r="O59" s="324">
        <f t="shared" si="8"/>
        <v>0.18018954758190328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'[21]Sch C'!D40</f>
        <v>500</v>
      </c>
      <c r="D60" s="480">
        <f>'[21]Sch C'!F40</f>
        <v>0</v>
      </c>
      <c r="E60" s="480">
        <f>+'[21]Sch C'!H40</f>
        <v>0</v>
      </c>
      <c r="F60" s="166">
        <f t="shared" si="5"/>
        <v>500</v>
      </c>
      <c r="G60" s="626"/>
      <c r="H60" s="166"/>
      <c r="I60" s="166">
        <f t="shared" si="6"/>
        <v>500</v>
      </c>
      <c r="J60" s="167">
        <f t="shared" si="7"/>
        <v>2.0788703019636038E-4</v>
      </c>
      <c r="K60" s="458"/>
      <c r="L60" s="163"/>
      <c r="M60" s="163"/>
      <c r="O60" s="324">
        <f t="shared" si="8"/>
        <v>3.9001560062402497E-2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'[21]Sch C'!D41</f>
        <v>6486</v>
      </c>
      <c r="D61" s="480">
        <f>'[21]Sch C'!F41</f>
        <v>0</v>
      </c>
      <c r="E61" s="480">
        <f>+'[21]Sch C'!H41</f>
        <v>0</v>
      </c>
      <c r="F61" s="166">
        <f t="shared" si="5"/>
        <v>6486</v>
      </c>
      <c r="G61" s="626"/>
      <c r="H61" s="166"/>
      <c r="I61" s="166">
        <f t="shared" si="6"/>
        <v>6486</v>
      </c>
      <c r="J61" s="167">
        <f t="shared" si="7"/>
        <v>2.696710555707187E-3</v>
      </c>
      <c r="K61" s="458"/>
      <c r="L61" s="163"/>
      <c r="M61" s="163"/>
      <c r="O61" s="324">
        <f t="shared" si="8"/>
        <v>0.5059282371294852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'[21]Sch C'!D42</f>
        <v>0</v>
      </c>
      <c r="D62" s="480">
        <f>'[21]Sch C'!F42</f>
        <v>0</v>
      </c>
      <c r="E62" s="480">
        <f>+'[21]Sch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'[21]Sch C'!D43</f>
        <v>0</v>
      </c>
      <c r="D63" s="480">
        <f>'[21]Sch C'!F43</f>
        <v>0</v>
      </c>
      <c r="E63" s="480">
        <f>+'[21]Sch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'[21]Sch C'!D44</f>
        <v>0</v>
      </c>
      <c r="D64" s="480">
        <f>'[21]Sch C'!F44</f>
        <v>0</v>
      </c>
      <c r="E64" s="480">
        <f>+'[21]Sch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'[21]Sch C'!D45</f>
        <v>0</v>
      </c>
      <c r="D65" s="480">
        <f>'[21]Sch C'!F45</f>
        <v>0</v>
      </c>
      <c r="E65" s="480">
        <f>+'[21]Sch C'!H45</f>
        <v>0</v>
      </c>
      <c r="F65" s="166">
        <f t="shared" si="5"/>
        <v>0</v>
      </c>
      <c r="G65" s="626"/>
      <c r="H65" s="166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552292.63</v>
      </c>
      <c r="D66" s="480">
        <f t="shared" si="9"/>
        <v>-5761.59</v>
      </c>
      <c r="E66" s="480">
        <f t="shared" si="9"/>
        <v>-2390</v>
      </c>
      <c r="F66" s="166">
        <f t="shared" ref="F66:I66" si="10">SUM(F30:F65)</f>
        <v>544141.03999999992</v>
      </c>
      <c r="G66" s="166">
        <f t="shared" si="10"/>
        <v>-17546</v>
      </c>
      <c r="H66" s="166">
        <f t="shared" si="10"/>
        <v>0</v>
      </c>
      <c r="I66" s="166">
        <f t="shared" si="10"/>
        <v>526595.03999999992</v>
      </c>
      <c r="J66" s="178">
        <f t="shared" si="7"/>
        <v>0.21894455796346718</v>
      </c>
      <c r="K66" s="465"/>
      <c r="L66" s="163"/>
      <c r="M66" s="163"/>
      <c r="O66" s="329">
        <f>I66/I$233</f>
        <v>41.076056162246481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'[21]Sch C'!D57</f>
        <v>100368</v>
      </c>
      <c r="D69" s="480">
        <f>'[21]Sch C'!F57</f>
        <v>0</v>
      </c>
      <c r="E69" s="480">
        <f>+'[21]Sch C'!H57</f>
        <v>-100368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'[21]Sch C'!D58</f>
        <v>822</v>
      </c>
      <c r="D70" s="480">
        <f>'[21]Sch C'!F58</f>
        <v>0</v>
      </c>
      <c r="E70" s="480">
        <f>+'[21]Sch C'!H58</f>
        <v>10897</v>
      </c>
      <c r="F70" s="166">
        <f t="shared" ref="F70:F83" si="13">C70+D70+E70</f>
        <v>11719</v>
      </c>
      <c r="G70" s="626"/>
      <c r="H70" s="166"/>
      <c r="I70" s="166">
        <f t="shared" ref="I70:I83" si="14">F70+G70+H70</f>
        <v>11719</v>
      </c>
      <c r="J70" s="167">
        <f t="shared" si="11"/>
        <v>4.8724562137422945E-3</v>
      </c>
      <c r="K70" s="458"/>
      <c r="L70" s="182"/>
      <c r="M70" s="163"/>
      <c r="O70" s="324">
        <f t="shared" si="12"/>
        <v>0.91411856474258968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'[21]Sch C'!D59</f>
        <v>0</v>
      </c>
      <c r="D71" s="480">
        <f>'[21]Sch C'!F59</f>
        <v>0</v>
      </c>
      <c r="E71" s="480">
        <f>+'[21]Sch C'!H59</f>
        <v>56111.03</v>
      </c>
      <c r="F71" s="166">
        <f t="shared" si="13"/>
        <v>56111.03</v>
      </c>
      <c r="G71" s="626"/>
      <c r="H71" s="166"/>
      <c r="I71" s="166">
        <f t="shared" si="14"/>
        <v>56111.03</v>
      </c>
      <c r="J71" s="167">
        <f t="shared" si="11"/>
        <v>2.3329510775917765E-2</v>
      </c>
      <c r="K71" s="458"/>
      <c r="L71" s="182"/>
      <c r="M71" s="163"/>
      <c r="O71" s="324">
        <f t="shared" si="12"/>
        <v>4.3768354134165364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'[21]Sch C'!D60</f>
        <v>0</v>
      </c>
      <c r="D72" s="480">
        <f>'[21]Sch C'!F60</f>
        <v>0</v>
      </c>
      <c r="E72" s="480">
        <f>+'[21]Sch C'!H60</f>
        <v>9098.44</v>
      </c>
      <c r="F72" s="166">
        <f t="shared" si="13"/>
        <v>9098.44</v>
      </c>
      <c r="G72" s="626"/>
      <c r="H72" s="166"/>
      <c r="I72" s="166">
        <f t="shared" si="14"/>
        <v>9098.44</v>
      </c>
      <c r="J72" s="167">
        <f t="shared" si="11"/>
        <v>3.7828953420395465E-3</v>
      </c>
      <c r="K72" s="458"/>
      <c r="L72" s="185"/>
      <c r="M72" s="163"/>
      <c r="O72" s="324">
        <f t="shared" si="12"/>
        <v>0.70970670826833082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'[21]Sch C'!D61</f>
        <v>0</v>
      </c>
      <c r="D73" s="480">
        <f>'[21]Sch C'!F61</f>
        <v>0</v>
      </c>
      <c r="E73" s="480">
        <f>+'[21]Sch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'[21]Sch C'!D62</f>
        <v>1451</v>
      </c>
      <c r="D74" s="480">
        <f>'[21]Sch C'!F62</f>
        <v>0</v>
      </c>
      <c r="E74" s="480">
        <f>+'[21]Sch C'!H62</f>
        <v>0</v>
      </c>
      <c r="F74" s="166">
        <f t="shared" si="13"/>
        <v>1451</v>
      </c>
      <c r="G74" s="626"/>
      <c r="H74" s="166"/>
      <c r="I74" s="166">
        <f t="shared" si="14"/>
        <v>1451</v>
      </c>
      <c r="J74" s="167">
        <f t="shared" si="11"/>
        <v>6.0328816162983788E-4</v>
      </c>
      <c r="K74" s="458"/>
      <c r="L74" s="187"/>
      <c r="M74" s="163"/>
      <c r="O74" s="324">
        <f t="shared" si="12"/>
        <v>0.11318252730109205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'[21]Sch C'!D63</f>
        <v>0</v>
      </c>
      <c r="D75" s="480">
        <f>'[21]Sch C'!F63</f>
        <v>0</v>
      </c>
      <c r="E75" s="480">
        <f>+'[21]Sch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'[21]Sch C'!D64</f>
        <v>0</v>
      </c>
      <c r="D76" s="480">
        <f>'[21]Sch C'!F64</f>
        <v>0</v>
      </c>
      <c r="E76" s="480">
        <f>+'[21]Sch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'[21]Sch C'!D65</f>
        <v>4555.12</v>
      </c>
      <c r="D77" s="480">
        <f>'[21]Sch C'!F65</f>
        <v>0</v>
      </c>
      <c r="E77" s="480">
        <f>+'[21]Sch C'!H65</f>
        <v>0</v>
      </c>
      <c r="F77" s="166">
        <f t="shared" si="13"/>
        <v>4555.12</v>
      </c>
      <c r="G77" s="626"/>
      <c r="H77" s="166"/>
      <c r="I77" s="166">
        <f t="shared" si="14"/>
        <v>4555.12</v>
      </c>
      <c r="J77" s="167">
        <f t="shared" si="11"/>
        <v>1.8939007379760902E-3</v>
      </c>
      <c r="K77" s="458"/>
      <c r="L77" s="187"/>
      <c r="M77" s="163"/>
      <c r="O77" s="324">
        <f t="shared" si="12"/>
        <v>0.35531357254290169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'[21]Sch C'!D66</f>
        <v>0</v>
      </c>
      <c r="D78" s="480">
        <f>'[21]Sch C'!F66</f>
        <v>0</v>
      </c>
      <c r="E78" s="480">
        <f>+'[21]Sch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'[21]Sch C'!D67</f>
        <v>27680</v>
      </c>
      <c r="D79" s="480">
        <f>'[21]Sch C'!F67</f>
        <v>0</v>
      </c>
      <c r="E79" s="480">
        <f>+'[21]Sch C'!H67</f>
        <v>0</v>
      </c>
      <c r="F79" s="166">
        <f t="shared" si="13"/>
        <v>27680</v>
      </c>
      <c r="G79" s="626"/>
      <c r="H79" s="166"/>
      <c r="I79" s="166">
        <f t="shared" si="14"/>
        <v>27680</v>
      </c>
      <c r="J79" s="167">
        <f t="shared" si="11"/>
        <v>1.1508625991670511E-2</v>
      </c>
      <c r="K79" s="458"/>
      <c r="L79" s="187"/>
      <c r="M79" s="163"/>
      <c r="O79" s="324">
        <f t="shared" si="12"/>
        <v>2.1591263650546022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'[21]Sch C'!D68</f>
        <v>18901.11</v>
      </c>
      <c r="D80" s="480">
        <f>'[21]Sch C'!F68</f>
        <v>0</v>
      </c>
      <c r="E80" s="480">
        <f>+'[21]Sch C'!H68</f>
        <v>-18901</v>
      </c>
      <c r="F80" s="166">
        <f t="shared" si="13"/>
        <v>0.11000000000058208</v>
      </c>
      <c r="G80" s="626"/>
      <c r="H80" s="166"/>
      <c r="I80" s="166">
        <f t="shared" si="14"/>
        <v>0.11000000000058208</v>
      </c>
      <c r="J80" s="167">
        <f t="shared" si="11"/>
        <v>4.5735146643441298E-8</v>
      </c>
      <c r="K80" s="458"/>
      <c r="L80" s="187"/>
      <c r="M80" s="163"/>
      <c r="O80" s="324">
        <f t="shared" si="12"/>
        <v>8.5803432137739524E-6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'[21]Sch C'!D69</f>
        <v>421.27</v>
      </c>
      <c r="D81" s="480">
        <f>'[21]Sch C'!F69</f>
        <v>0</v>
      </c>
      <c r="E81" s="480">
        <f>+'[21]Sch C'!H69</f>
        <v>0</v>
      </c>
      <c r="F81" s="166">
        <f t="shared" si="13"/>
        <v>421.27</v>
      </c>
      <c r="G81" s="626"/>
      <c r="H81" s="166"/>
      <c r="I81" s="166">
        <f t="shared" si="14"/>
        <v>421.27</v>
      </c>
      <c r="J81" s="167">
        <f t="shared" si="11"/>
        <v>1.7515313842164147E-4</v>
      </c>
      <c r="K81" s="458"/>
      <c r="L81" s="187"/>
      <c r="M81" s="163"/>
      <c r="O81" s="324">
        <f t="shared" si="12"/>
        <v>3.2860374414976599E-2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'[21]Sch C'!D70</f>
        <v>0</v>
      </c>
      <c r="D82" s="480">
        <f>'[21]Sch C'!F70</f>
        <v>0</v>
      </c>
      <c r="E82" s="480">
        <f>+'[21]Sch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'[21]Sch C'!D71</f>
        <v>0</v>
      </c>
      <c r="D83" s="480">
        <f>'[21]Sch C'!F71</f>
        <v>0</v>
      </c>
      <c r="E83" s="480">
        <f>+'[21]Sch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154198.49999999997</v>
      </c>
      <c r="D84" s="480">
        <f t="shared" si="15"/>
        <v>0</v>
      </c>
      <c r="E84" s="480">
        <f t="shared" si="15"/>
        <v>-43162.53</v>
      </c>
      <c r="F84" s="166">
        <f t="shared" ref="F84:I84" si="16">SUM(F69:F83)</f>
        <v>111035.97</v>
      </c>
      <c r="G84" s="166">
        <f t="shared" si="16"/>
        <v>0</v>
      </c>
      <c r="H84" s="166">
        <f t="shared" si="16"/>
        <v>0</v>
      </c>
      <c r="I84" s="166">
        <f t="shared" si="16"/>
        <v>111035.97</v>
      </c>
      <c r="J84" s="167">
        <f t="shared" si="11"/>
        <v>4.616587609654433E-2</v>
      </c>
      <c r="K84" s="458"/>
      <c r="L84" s="187"/>
      <c r="M84" s="163"/>
      <c r="O84" s="324">
        <f t="shared" si="12"/>
        <v>8.6611521060842431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'[21]Sch C'!D75</f>
        <v>59707</v>
      </c>
      <c r="D87" s="480">
        <f>'[21]Sch C'!F75</f>
        <v>0</v>
      </c>
      <c r="E87" s="480">
        <f>+'[21]Sch C'!H75</f>
        <v>0</v>
      </c>
      <c r="F87" s="166">
        <f t="shared" ref="F87:F97" si="17">C87+D87+E87</f>
        <v>59707</v>
      </c>
      <c r="G87" s="626"/>
      <c r="H87" s="166"/>
      <c r="I87" s="166">
        <f t="shared" ref="I87:I97" si="18">F87+G87+H87</f>
        <v>59707</v>
      </c>
      <c r="J87" s="167">
        <f t="shared" ref="J87:J98" si="19">IF($I$213=0,0,I87/$I$213)</f>
        <v>2.482462182386818E-2</v>
      </c>
      <c r="K87" s="458"/>
      <c r="L87" s="176">
        <v>2771.45</v>
      </c>
      <c r="M87" s="176">
        <v>2963.45</v>
      </c>
      <c r="O87" s="324">
        <f t="shared" ref="O87:O97" si="20">I87/I$233</f>
        <v>4.6573322932917316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'[21]Sch C'!D76</f>
        <v>7004.85</v>
      </c>
      <c r="D88" s="480">
        <f>'[21]Sch C'!F76</f>
        <v>0</v>
      </c>
      <c r="E88" s="480">
        <f>+'[21]Sch C'!H76</f>
        <v>0</v>
      </c>
      <c r="F88" s="166">
        <f t="shared" si="17"/>
        <v>7004.85</v>
      </c>
      <c r="G88" s="626"/>
      <c r="H88" s="166"/>
      <c r="I88" s="166">
        <f t="shared" si="18"/>
        <v>7004.85</v>
      </c>
      <c r="J88" s="167">
        <f t="shared" si="19"/>
        <v>2.91243492694195E-3</v>
      </c>
      <c r="K88" s="458"/>
      <c r="L88" s="163"/>
      <c r="M88" s="163"/>
      <c r="O88" s="324">
        <f t="shared" si="20"/>
        <v>0.54640015600624026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'[21]Sch C'!D77</f>
        <v>6644.99</v>
      </c>
      <c r="D89" s="480">
        <f>'[21]Sch C'!F77</f>
        <v>0</v>
      </c>
      <c r="E89" s="480">
        <f>+'[21]Sch C'!H77</f>
        <v>0</v>
      </c>
      <c r="F89" s="166">
        <f t="shared" si="17"/>
        <v>6644.99</v>
      </c>
      <c r="G89" s="626"/>
      <c r="H89" s="166"/>
      <c r="I89" s="166">
        <f t="shared" si="18"/>
        <v>6644.99</v>
      </c>
      <c r="J89" s="167">
        <f t="shared" si="19"/>
        <v>2.7628144735690253E-3</v>
      </c>
      <c r="K89" s="458"/>
      <c r="L89" s="163"/>
      <c r="M89" s="163"/>
      <c r="O89" s="324">
        <f t="shared" si="20"/>
        <v>0.51832995319812791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'[21]Sch C'!D78</f>
        <v>5709.67</v>
      </c>
      <c r="D90" s="480">
        <f>'[21]Sch C'!F78</f>
        <v>0</v>
      </c>
      <c r="E90" s="480">
        <f>+'[21]Sch C'!H78</f>
        <v>0</v>
      </c>
      <c r="F90" s="166">
        <f t="shared" si="17"/>
        <v>5709.67</v>
      </c>
      <c r="G90" s="626"/>
      <c r="H90" s="166"/>
      <c r="I90" s="166">
        <f t="shared" si="18"/>
        <v>5709.67</v>
      </c>
      <c r="J90" s="167">
        <f t="shared" si="19"/>
        <v>2.3739326794025061E-3</v>
      </c>
      <c r="K90" s="458"/>
      <c r="L90" s="163"/>
      <c r="M90" s="163"/>
      <c r="O90" s="324">
        <f t="shared" si="20"/>
        <v>0.44537207488299535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'[21]Sch C'!D79</f>
        <v>0</v>
      </c>
      <c r="D91" s="480">
        <f>'[21]Sch C'!F79</f>
        <v>0</v>
      </c>
      <c r="E91" s="480">
        <f>+'[21]Sch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'[21]Sch C'!D80</f>
        <v>6541.57</v>
      </c>
      <c r="D92" s="480">
        <f>'[21]Sch C'!F80</f>
        <v>0</v>
      </c>
      <c r="E92" s="480">
        <f>+'[21]Sch C'!H80</f>
        <v>0</v>
      </c>
      <c r="F92" s="166">
        <f t="shared" si="17"/>
        <v>6541.57</v>
      </c>
      <c r="G92" s="626"/>
      <c r="H92" s="166"/>
      <c r="I92" s="166">
        <f t="shared" si="18"/>
        <v>6541.57</v>
      </c>
      <c r="J92" s="167">
        <f t="shared" si="19"/>
        <v>2.7198151202432103E-3</v>
      </c>
      <c r="K92" s="458"/>
      <c r="L92" s="163"/>
      <c r="M92" s="163"/>
      <c r="O92" s="324">
        <f t="shared" si="20"/>
        <v>0.51026287051482055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'[21]Sch C'!D81</f>
        <v>0</v>
      </c>
      <c r="D93" s="480">
        <f>'[21]Sch C'!F81</f>
        <v>0</v>
      </c>
      <c r="E93" s="480">
        <f>+'[21]Sch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'[21]Sch C'!D82</f>
        <v>0</v>
      </c>
      <c r="D94" s="480">
        <f>'[21]Sch C'!F82</f>
        <v>0</v>
      </c>
      <c r="E94" s="480">
        <f>+'[21]Sch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'[21]Sch C'!D83</f>
        <v>5900.39</v>
      </c>
      <c r="D95" s="480">
        <f>'[21]Sch C'!F83</f>
        <v>0</v>
      </c>
      <c r="E95" s="480">
        <f>+'[21]Sch C'!H83</f>
        <v>0</v>
      </c>
      <c r="F95" s="166">
        <f t="shared" si="17"/>
        <v>5900.39</v>
      </c>
      <c r="G95" s="626"/>
      <c r="H95" s="166"/>
      <c r="I95" s="166">
        <f t="shared" si="18"/>
        <v>5900.39</v>
      </c>
      <c r="J95" s="167">
        <f t="shared" si="19"/>
        <v>2.4532291082006059E-3</v>
      </c>
      <c r="K95" s="458"/>
      <c r="L95" s="163"/>
      <c r="M95" s="163"/>
      <c r="O95" s="324">
        <f t="shared" si="20"/>
        <v>0.46024882995319816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'[21]Sch C'!D84</f>
        <v>39334.699999999997</v>
      </c>
      <c r="D96" s="480">
        <f>'[21]Sch C'!F84</f>
        <v>0</v>
      </c>
      <c r="E96" s="480">
        <f>+'[21]Sch C'!H84</f>
        <v>0</v>
      </c>
      <c r="F96" s="166">
        <f t="shared" si="17"/>
        <v>39334.699999999997</v>
      </c>
      <c r="G96" s="626"/>
      <c r="H96" s="166"/>
      <c r="I96" s="166">
        <f t="shared" si="18"/>
        <v>39334.699999999997</v>
      </c>
      <c r="J96" s="167">
        <f t="shared" si="19"/>
        <v>1.6354347933329551E-2</v>
      </c>
      <c r="K96" s="458"/>
      <c r="L96" s="163"/>
      <c r="M96" s="163"/>
      <c r="O96" s="324">
        <f t="shared" si="20"/>
        <v>3.0682293291731666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'[21]Sch C'!D85</f>
        <v>0</v>
      </c>
      <c r="D97" s="480">
        <f>'[21]Sch C'!F85</f>
        <v>0</v>
      </c>
      <c r="E97" s="480">
        <f>+'[21]Sch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130843.17000000001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130843.17000000001</v>
      </c>
      <c r="G98" s="166">
        <f t="shared" si="22"/>
        <v>0</v>
      </c>
      <c r="H98" s="166">
        <f t="shared" si="22"/>
        <v>0</v>
      </c>
      <c r="I98" s="166">
        <f t="shared" si="22"/>
        <v>130843.17000000001</v>
      </c>
      <c r="J98" s="167">
        <f t="shared" si="19"/>
        <v>5.4401196065555033E-2</v>
      </c>
      <c r="K98" s="458"/>
      <c r="L98" s="163"/>
      <c r="M98" s="163"/>
      <c r="O98" s="329">
        <f>I98/I$233</f>
        <v>10.206175507020282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'[21]Sch C'!D89</f>
        <v>149329.92000000001</v>
      </c>
      <c r="D101" s="480">
        <f>'[21]Sch C'!F89</f>
        <v>0</v>
      </c>
      <c r="E101" s="480">
        <f>+'[21]Sch C'!H89</f>
        <v>0</v>
      </c>
      <c r="F101" s="166">
        <f t="shared" ref="F101:F106" si="23">C101+D101+E101</f>
        <v>149329.92000000001</v>
      </c>
      <c r="G101" s="626"/>
      <c r="H101" s="166"/>
      <c r="I101" s="166">
        <f t="shared" ref="I101:I106" si="24">F101+G101+H101</f>
        <v>149329.92000000001</v>
      </c>
      <c r="J101" s="167">
        <f t="shared" ref="J101:J107" si="25">IF($I$213=0,0,I101/$I$213)</f>
        <v>6.2087507176520167E-2</v>
      </c>
      <c r="K101" s="458"/>
      <c r="L101" s="176">
        <v>9528.1299999999992</v>
      </c>
      <c r="M101" s="176">
        <v>11256.13</v>
      </c>
      <c r="O101" s="329">
        <f t="shared" ref="O101:O106" si="26">I101/I$233</f>
        <v>11.648199687987521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'[21]Sch C'!D90</f>
        <v>19062.54</v>
      </c>
      <c r="D102" s="480">
        <f>'[21]Sch C'!F90</f>
        <v>0</v>
      </c>
      <c r="E102" s="480">
        <f>+'[21]Sch C'!H90</f>
        <v>0</v>
      </c>
      <c r="F102" s="166">
        <f t="shared" si="23"/>
        <v>19062.54</v>
      </c>
      <c r="G102" s="626"/>
      <c r="H102" s="166"/>
      <c r="I102" s="166">
        <f t="shared" si="24"/>
        <v>19062.54</v>
      </c>
      <c r="J102" s="167">
        <f t="shared" si="25"/>
        <v>7.9257096571986561E-3</v>
      </c>
      <c r="K102" s="458"/>
      <c r="L102" s="163"/>
      <c r="M102" s="163"/>
      <c r="O102" s="329">
        <f t="shared" si="26"/>
        <v>1.4869375975039003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'[21]Sch C'!D91</f>
        <v>6581.25</v>
      </c>
      <c r="D103" s="480">
        <f>'[21]Sch C'!F91</f>
        <v>0</v>
      </c>
      <c r="E103" s="480">
        <f>+'[21]Sch C'!H91</f>
        <v>0</v>
      </c>
      <c r="F103" s="166">
        <f t="shared" si="23"/>
        <v>6581.25</v>
      </c>
      <c r="G103" s="626"/>
      <c r="H103" s="166"/>
      <c r="I103" s="166">
        <f t="shared" si="24"/>
        <v>6581.25</v>
      </c>
      <c r="J103" s="167">
        <f t="shared" si="25"/>
        <v>2.7363130349595936E-3</v>
      </c>
      <c r="K103" s="458"/>
      <c r="L103" s="163"/>
      <c r="M103" s="163"/>
      <c r="O103" s="329">
        <f t="shared" si="26"/>
        <v>0.51335803432137284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'[21]Sch C'!D92</f>
        <v>129970.34</v>
      </c>
      <c r="D104" s="480">
        <f>'[21]Sch C'!F92</f>
        <v>0</v>
      </c>
      <c r="E104" s="480">
        <f>+'[21]Sch C'!H92</f>
        <v>0</v>
      </c>
      <c r="F104" s="166">
        <f t="shared" si="23"/>
        <v>129970.34</v>
      </c>
      <c r="G104" s="626"/>
      <c r="H104" s="166"/>
      <c r="I104" s="166">
        <f t="shared" si="24"/>
        <v>129970.34</v>
      </c>
      <c r="J104" s="167">
        <f t="shared" si="25"/>
        <v>5.403829599242245E-2</v>
      </c>
      <c r="K104" s="458"/>
      <c r="L104" s="163"/>
      <c r="M104" s="163"/>
      <c r="O104" s="329">
        <f t="shared" si="26"/>
        <v>10.138092043681747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'[21]Sch C'!D93</f>
        <v>13960.08</v>
      </c>
      <c r="D105" s="480">
        <f>'[21]Sch C'!F93</f>
        <v>0</v>
      </c>
      <c r="E105" s="480">
        <f>+'[21]Sch C'!H93</f>
        <v>0</v>
      </c>
      <c r="F105" s="166">
        <f t="shared" si="23"/>
        <v>13960.08</v>
      </c>
      <c r="G105" s="626"/>
      <c r="H105" s="166"/>
      <c r="I105" s="166">
        <f t="shared" si="24"/>
        <v>13960.08</v>
      </c>
      <c r="J105" s="167">
        <f t="shared" si="25"/>
        <v>5.8042391450072129E-3</v>
      </c>
      <c r="K105" s="458"/>
      <c r="L105" s="163"/>
      <c r="M105" s="163"/>
      <c r="O105" s="329">
        <f t="shared" si="26"/>
        <v>1.0889297971918876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'[21]Sch C'!D94</f>
        <v>0</v>
      </c>
      <c r="D106" s="480">
        <f>'[21]Sch C'!F94</f>
        <v>0</v>
      </c>
      <c r="E106" s="480">
        <f>+'[21]Sch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318904.13000000006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318904.13000000006</v>
      </c>
      <c r="G107" s="166">
        <f t="shared" si="28"/>
        <v>0</v>
      </c>
      <c r="H107" s="166">
        <f t="shared" si="28"/>
        <v>0</v>
      </c>
      <c r="I107" s="166">
        <f t="shared" si="28"/>
        <v>318904.13000000006</v>
      </c>
      <c r="J107" s="167">
        <f t="shared" si="25"/>
        <v>0.1325920650061081</v>
      </c>
      <c r="K107" s="458"/>
      <c r="L107" s="163"/>
      <c r="M107" s="163"/>
      <c r="O107" s="329">
        <f>I107/I$233</f>
        <v>24.875517160686432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'[21]Sch C'!D98</f>
        <v>22455.46</v>
      </c>
      <c r="D110" s="480">
        <f>'[21]Sch C'!F98</f>
        <v>0</v>
      </c>
      <c r="E110" s="480">
        <f>+'[21]Sch C'!H98</f>
        <v>0</v>
      </c>
      <c r="F110" s="166">
        <f t="shared" ref="F110:F115" si="29">C110+D110+E110</f>
        <v>22455.46</v>
      </c>
      <c r="G110" s="626"/>
      <c r="H110" s="166"/>
      <c r="I110" s="166">
        <f t="shared" ref="I110:I115" si="30">F110+G110+H110</f>
        <v>22455.46</v>
      </c>
      <c r="J110" s="167">
        <f t="shared" ref="J110:J116" si="31">IF($I$213=0,0,I110/$I$213)</f>
        <v>9.3363977821863259E-3</v>
      </c>
      <c r="K110" s="458"/>
      <c r="L110" s="176">
        <v>2125.41</v>
      </c>
      <c r="M110" s="176">
        <v>2317.41</v>
      </c>
      <c r="O110" s="329">
        <f t="shared" ref="O110:O115" si="32">I110/I$233</f>
        <v>1.7515959438377535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'[21]Sch C'!D99</f>
        <v>2001.42</v>
      </c>
      <c r="D111" s="480">
        <f>'[21]Sch C'!F99</f>
        <v>0</v>
      </c>
      <c r="E111" s="480">
        <f>+'[21]Sch C'!H99</f>
        <v>0</v>
      </c>
      <c r="F111" s="166">
        <f t="shared" si="29"/>
        <v>2001.42</v>
      </c>
      <c r="G111" s="626"/>
      <c r="H111" s="166"/>
      <c r="I111" s="166">
        <f t="shared" si="30"/>
        <v>2001.42</v>
      </c>
      <c r="J111" s="167">
        <f t="shared" si="31"/>
        <v>8.3213851995119924E-4</v>
      </c>
      <c r="K111" s="458"/>
      <c r="L111" s="163"/>
      <c r="M111" s="163"/>
      <c r="O111" s="329">
        <f t="shared" si="32"/>
        <v>0.15611700468018722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'[21]Sch C'!D100</f>
        <v>998.48</v>
      </c>
      <c r="D112" s="480">
        <f>'[21]Sch C'!F100</f>
        <v>0</v>
      </c>
      <c r="E112" s="480">
        <f>+'[21]Sch C'!H100</f>
        <v>0</v>
      </c>
      <c r="F112" s="166">
        <f t="shared" si="29"/>
        <v>998.48</v>
      </c>
      <c r="G112" s="626"/>
      <c r="H112" s="166"/>
      <c r="I112" s="166">
        <f t="shared" si="30"/>
        <v>998.48</v>
      </c>
      <c r="J112" s="167">
        <f t="shared" si="31"/>
        <v>4.1514208382092385E-4</v>
      </c>
      <c r="K112" s="458"/>
      <c r="L112" s="163"/>
      <c r="M112" s="163"/>
      <c r="O112" s="329">
        <f t="shared" si="32"/>
        <v>7.7884555382215295E-2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'[21]Sch C'!D101</f>
        <v>0</v>
      </c>
      <c r="D113" s="480">
        <f>'[21]Sch C'!F101</f>
        <v>0</v>
      </c>
      <c r="E113" s="480">
        <f>+'[21]Sch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'[21]Sch C'!D102</f>
        <v>0</v>
      </c>
      <c r="D114" s="480">
        <f>'[21]Sch C'!F102</f>
        <v>0</v>
      </c>
      <c r="E114" s="480">
        <f>+'[21]Sch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'[21]Sch C'!D103</f>
        <v>0</v>
      </c>
      <c r="D115" s="480">
        <f>'[21]Sch C'!F103</f>
        <v>0</v>
      </c>
      <c r="E115" s="480">
        <f>+'[21]Sch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25455.359999999997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25455.359999999997</v>
      </c>
      <c r="G116" s="166">
        <f t="shared" si="34"/>
        <v>0</v>
      </c>
      <c r="H116" s="166">
        <f t="shared" si="34"/>
        <v>0</v>
      </c>
      <c r="I116" s="166">
        <f t="shared" si="34"/>
        <v>25455.359999999997</v>
      </c>
      <c r="J116" s="167">
        <f t="shared" si="31"/>
        <v>1.0583678385958447E-2</v>
      </c>
      <c r="K116" s="458"/>
      <c r="L116" s="163"/>
      <c r="M116" s="163"/>
      <c r="O116" s="329">
        <f>I116/I$233</f>
        <v>1.9855975039001557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'[21]Sch C'!D115</f>
        <v>29493.35</v>
      </c>
      <c r="D119" s="480">
        <f>'[21]Sch C'!F115</f>
        <v>0</v>
      </c>
      <c r="E119" s="480">
        <f>+'[21]Sch C'!H115</f>
        <v>0</v>
      </c>
      <c r="F119" s="166">
        <f t="shared" ref="F119:F123" si="35">C119+D119+E119</f>
        <v>29493.35</v>
      </c>
      <c r="G119" s="626"/>
      <c r="H119" s="166"/>
      <c r="I119" s="166">
        <f t="shared" ref="I119:I123" si="36">F119+G119+H119</f>
        <v>29493.35</v>
      </c>
      <c r="J119" s="167">
        <f t="shared" ref="J119:J124" si="37">IF($I$213=0,0,I119/$I$213)</f>
        <v>1.2262569884083651E-2</v>
      </c>
      <c r="K119" s="458"/>
      <c r="L119" s="176">
        <v>8230.25</v>
      </c>
      <c r="M119" s="176">
        <v>8998.25</v>
      </c>
      <c r="O119" s="329">
        <f t="shared" ref="O119:O124" si="38">I119/I$233</f>
        <v>2.3005733229329173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'[21]Sch C'!D116</f>
        <v>11851.48</v>
      </c>
      <c r="D120" s="480">
        <f>'[21]Sch C'!F116</f>
        <v>0</v>
      </c>
      <c r="E120" s="480">
        <f>+'[21]Sch C'!H116</f>
        <v>0</v>
      </c>
      <c r="F120" s="166">
        <f t="shared" si="35"/>
        <v>11851.48</v>
      </c>
      <c r="G120" s="626"/>
      <c r="H120" s="166"/>
      <c r="I120" s="166">
        <f t="shared" si="36"/>
        <v>11851.48</v>
      </c>
      <c r="J120" s="167">
        <f t="shared" si="37"/>
        <v>4.9275379612631221E-3</v>
      </c>
      <c r="K120" s="458"/>
      <c r="L120" s="163"/>
      <c r="M120" s="163"/>
      <c r="O120" s="329">
        <f t="shared" si="38"/>
        <v>0.92445241809672385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'[21]Sch C'!D117</f>
        <v>25009.38</v>
      </c>
      <c r="D121" s="480">
        <f>'[21]Sch C'!F117</f>
        <v>0</v>
      </c>
      <c r="E121" s="480">
        <f>+'[21]Sch C'!H117</f>
        <v>0</v>
      </c>
      <c r="F121" s="166">
        <f t="shared" si="35"/>
        <v>25009.38</v>
      </c>
      <c r="G121" s="626"/>
      <c r="H121" s="166"/>
      <c r="I121" s="166">
        <f t="shared" si="36"/>
        <v>25009.38</v>
      </c>
      <c r="J121" s="167">
        <f t="shared" si="37"/>
        <v>1.0398251470504504E-2</v>
      </c>
      <c r="K121" s="458"/>
      <c r="L121" s="163"/>
      <c r="M121" s="163"/>
      <c r="O121" s="329">
        <f t="shared" si="38"/>
        <v>1.9508096723868955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'[21]Sch C'!D118</f>
        <v>0</v>
      </c>
      <c r="D122" s="480">
        <f>'[21]Sch C'!F118</f>
        <v>0</v>
      </c>
      <c r="E122" s="480">
        <f>+'[21]Sch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'[21]Sch C'!D119</f>
        <v>0</v>
      </c>
      <c r="D123" s="480">
        <f>'[21]Sch C'!F119</f>
        <v>0</v>
      </c>
      <c r="E123" s="480">
        <f>+'[21]Sch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66354.210000000006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66354.210000000006</v>
      </c>
      <c r="G124" s="166">
        <f t="shared" si="40"/>
        <v>0</v>
      </c>
      <c r="H124" s="166">
        <f t="shared" si="40"/>
        <v>0</v>
      </c>
      <c r="I124" s="166">
        <f t="shared" si="40"/>
        <v>66354.210000000006</v>
      </c>
      <c r="J124" s="167">
        <f t="shared" si="37"/>
        <v>2.7588359315851279E-2</v>
      </c>
      <c r="K124" s="458"/>
      <c r="L124" s="163"/>
      <c r="M124" s="163"/>
      <c r="O124" s="329">
        <f t="shared" si="38"/>
        <v>5.1758354134165367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588" t="s">
        <v>600</v>
      </c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'[21]Sch C'!D124</f>
        <v>0</v>
      </c>
      <c r="D128" s="480">
        <f>'[21]Sch C'!F124</f>
        <v>0</v>
      </c>
      <c r="E128" s="480">
        <f>+'[21]Sch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'[21]Sch C'!D125</f>
        <v>98001.41</v>
      </c>
      <c r="D129" s="480">
        <f>'[21]Sch C'!F125</f>
        <v>0</v>
      </c>
      <c r="E129" s="480">
        <f>+'[21]Sch C'!H125</f>
        <v>0</v>
      </c>
      <c r="F129" s="166">
        <f t="shared" si="41"/>
        <v>98001.41</v>
      </c>
      <c r="G129" s="626">
        <v>-4441</v>
      </c>
      <c r="H129" s="166"/>
      <c r="I129" s="166">
        <f t="shared" si="42"/>
        <v>93560.41</v>
      </c>
      <c r="J129" s="167">
        <f>IF($I$213=0,0,I129/$I$213)</f>
        <v>3.8899991557707715E-2</v>
      </c>
      <c r="K129" s="457" t="s">
        <v>599</v>
      </c>
      <c r="L129" s="176">
        <v>2273.54</v>
      </c>
      <c r="M129" s="176">
        <v>2361.54</v>
      </c>
      <c r="O129" s="329">
        <f t="shared" si="43"/>
        <v>7.2980039001560062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'[21]Sch C'!D126</f>
        <v>0</v>
      </c>
      <c r="D130" s="480">
        <f>'[21]Sch C'!F126</f>
        <v>0</v>
      </c>
      <c r="E130" s="480">
        <f>+'[21]Sch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'[21]Sch C'!D127</f>
        <v>0</v>
      </c>
      <c r="D131" s="480">
        <f>'[21]Sch C'!F127</f>
        <v>0</v>
      </c>
      <c r="E131" s="480">
        <f>+'[21]Sch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'[21]Sch C'!D128</f>
        <v>77881.710000000006</v>
      </c>
      <c r="D132" s="480">
        <f>'[21]Sch C'!F128</f>
        <v>0</v>
      </c>
      <c r="E132" s="480">
        <f>+'[21]Sch C'!H128</f>
        <v>0</v>
      </c>
      <c r="F132" s="166">
        <f t="shared" si="41"/>
        <v>77881.710000000006</v>
      </c>
      <c r="G132" s="626"/>
      <c r="H132" s="166"/>
      <c r="I132" s="166">
        <f t="shared" si="42"/>
        <v>77881.710000000006</v>
      </c>
      <c r="J132" s="167">
        <f>IF($I$213=0,0,I132/$I$213)</f>
        <v>3.2381194797028369E-2</v>
      </c>
      <c r="K132" s="458"/>
      <c r="L132" s="176">
        <v>3279.19</v>
      </c>
      <c r="M132" s="176">
        <v>3855.19</v>
      </c>
      <c r="O132" s="329">
        <f t="shared" si="43"/>
        <v>6.0750163806552271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'[21]Sch C'!D130</f>
        <v>0</v>
      </c>
      <c r="D134" s="480">
        <f>'[21]Sch C'!F130</f>
        <v>0</v>
      </c>
      <c r="E134" s="480">
        <f>+'[21]Sch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'[21]Sch C'!D131</f>
        <v>16398.849999999999</v>
      </c>
      <c r="D135" s="480">
        <f>'[21]Sch C'!F131</f>
        <v>0</v>
      </c>
      <c r="E135" s="480">
        <f>+'[21]Sch C'!H131</f>
        <v>0</v>
      </c>
      <c r="F135" s="166">
        <f t="shared" si="44"/>
        <v>16398.849999999999</v>
      </c>
      <c r="G135" s="626"/>
      <c r="H135" s="166"/>
      <c r="I135" s="166">
        <f t="shared" si="45"/>
        <v>16398.849999999999</v>
      </c>
      <c r="J135" s="167">
        <f>IF($I$213=0,0,I135/$I$213)</f>
        <v>6.8182164502711686E-3</v>
      </c>
      <c r="K135" s="458"/>
      <c r="L135" s="196"/>
      <c r="M135" s="196"/>
      <c r="O135" s="329">
        <f t="shared" si="43"/>
        <v>1.2791614664586581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'[21]Sch C'!D132</f>
        <v>0</v>
      </c>
      <c r="D136" s="480">
        <f>'[21]Sch C'!F132</f>
        <v>0</v>
      </c>
      <c r="E136" s="480">
        <f>+'[21]Sch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'[21]Sch C'!D133</f>
        <v>0</v>
      </c>
      <c r="D137" s="480">
        <f>'[21]Sch C'!F133</f>
        <v>0</v>
      </c>
      <c r="E137" s="480">
        <f>+'[21]Sch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'[21]Sch C'!D134</f>
        <v>8865.48</v>
      </c>
      <c r="D138" s="480">
        <f>'[21]Sch C'!F134</f>
        <v>0</v>
      </c>
      <c r="E138" s="480">
        <f>+'[21]Sch C'!H134</f>
        <v>0</v>
      </c>
      <c r="F138" s="166">
        <f t="shared" si="44"/>
        <v>8865.48</v>
      </c>
      <c r="G138" s="626"/>
      <c r="H138" s="166"/>
      <c r="I138" s="166">
        <f t="shared" si="45"/>
        <v>8865.48</v>
      </c>
      <c r="J138" s="167">
        <f>IF($I$213=0,0,I138/$I$213)</f>
        <v>3.6860366169304578E-3</v>
      </c>
      <c r="K138" s="457" t="s">
        <v>602</v>
      </c>
      <c r="L138" s="163"/>
      <c r="M138" s="163"/>
      <c r="O138" s="329">
        <f t="shared" si="43"/>
        <v>0.69153510140405616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7" t="s">
        <v>601</v>
      </c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'[21]Sch C'!D136</f>
        <v>91916.57</v>
      </c>
      <c r="D140" s="480">
        <f>'[21]Sch C'!F136</f>
        <v>0</v>
      </c>
      <c r="E140" s="480">
        <f>+'[21]Sch C'!H136</f>
        <v>0</v>
      </c>
      <c r="F140" s="166">
        <f t="shared" ref="F140:F143" si="46">C140+D140+E140</f>
        <v>91916.57</v>
      </c>
      <c r="G140" s="626">
        <v>35229</v>
      </c>
      <c r="H140" s="166"/>
      <c r="I140" s="166">
        <f t="shared" ref="I140:I143" si="47">F140+G140+H140</f>
        <v>127145.57</v>
      </c>
      <c r="J140" s="167">
        <f>IF($I$213=0,0,I140/$I$213)</f>
        <v>5.2863829899846906E-2</v>
      </c>
      <c r="K140" s="457" t="s">
        <v>596</v>
      </c>
      <c r="L140" s="176">
        <v>2602.73</v>
      </c>
      <c r="M140" s="176">
        <v>3178.73</v>
      </c>
      <c r="O140" s="329">
        <f t="shared" si="43"/>
        <v>9.9177511700468024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'[21]Sch C'!D137</f>
        <v>145311.26</v>
      </c>
      <c r="D141" s="480">
        <f>'[21]Sch C'!F137</f>
        <v>0</v>
      </c>
      <c r="E141" s="480">
        <f>+'[21]Sch C'!H137</f>
        <v>0</v>
      </c>
      <c r="F141" s="166">
        <f t="shared" si="46"/>
        <v>145311.26</v>
      </c>
      <c r="G141" s="626"/>
      <c r="H141" s="166"/>
      <c r="I141" s="166">
        <f t="shared" si="47"/>
        <v>145311.26</v>
      </c>
      <c r="J141" s="167">
        <f>IF($I$213=0,0,I141/$I$213)</f>
        <v>6.0416652590982355E-2</v>
      </c>
      <c r="K141" s="458"/>
      <c r="L141" s="176">
        <v>5844.52</v>
      </c>
      <c r="M141" s="176">
        <v>6804.52</v>
      </c>
      <c r="O141" s="329">
        <f t="shared" si="43"/>
        <v>11.334731669266771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'[21]Sch C'!D138</f>
        <v>482177</v>
      </c>
      <c r="D142" s="480">
        <f>'[21]Sch C'!F138</f>
        <v>0</v>
      </c>
      <c r="E142" s="480">
        <f>+'[21]Sch C'!H138</f>
        <v>0</v>
      </c>
      <c r="F142" s="166">
        <f t="shared" si="46"/>
        <v>482177</v>
      </c>
      <c r="G142" s="626">
        <v>-5007</v>
      </c>
      <c r="H142" s="166"/>
      <c r="I142" s="166">
        <f t="shared" si="47"/>
        <v>477170</v>
      </c>
      <c r="J142" s="167">
        <f>IF($I$213=0,0,I142/$I$213)</f>
        <v>0.19839490839759458</v>
      </c>
      <c r="K142" s="457" t="s">
        <v>597</v>
      </c>
      <c r="L142" s="176">
        <v>24128.67</v>
      </c>
      <c r="M142" s="176">
        <v>27776.67</v>
      </c>
      <c r="O142" s="329">
        <f t="shared" si="43"/>
        <v>37.220748829953202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'[21]Sch C'!D139</f>
        <v>0</v>
      </c>
      <c r="D143" s="480">
        <f>'[21]Sch C'!F139</f>
        <v>0</v>
      </c>
      <c r="E143" s="480">
        <f>+'[21]Sch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'[21]Sch C'!D141</f>
        <v>13164.33</v>
      </c>
      <c r="D145" s="480">
        <f>'[21]Sch C'!F141</f>
        <v>0</v>
      </c>
      <c r="E145" s="480">
        <f>+'[21]Sch C'!H141</f>
        <v>0</v>
      </c>
      <c r="F145" s="166">
        <f t="shared" ref="F145:F148" si="48">C145+D145+E145</f>
        <v>13164.33</v>
      </c>
      <c r="G145" s="626"/>
      <c r="H145" s="166"/>
      <c r="I145" s="166">
        <f t="shared" ref="I145:I148" si="49">F145+G145+H145</f>
        <v>13164.33</v>
      </c>
      <c r="J145" s="167">
        <f>IF($I$213=0,0,I145/$I$213)</f>
        <v>5.4733869364497053E-3</v>
      </c>
      <c r="K145" s="458"/>
      <c r="L145" s="163"/>
      <c r="M145" s="163"/>
      <c r="O145" s="329">
        <f t="shared" si="43"/>
        <v>1.0268588143525741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'[21]Sch C'!D142</f>
        <v>19417.97</v>
      </c>
      <c r="D146" s="480">
        <f>'[21]Sch C'!F142</f>
        <v>0</v>
      </c>
      <c r="E146" s="480">
        <f>+'[21]Sch C'!H142</f>
        <v>0</v>
      </c>
      <c r="F146" s="166">
        <f t="shared" si="48"/>
        <v>19417.97</v>
      </c>
      <c r="G146" s="626"/>
      <c r="H146" s="166"/>
      <c r="I146" s="166">
        <f t="shared" si="49"/>
        <v>19417.97</v>
      </c>
      <c r="J146" s="167">
        <f>IF($I$213=0,0,I146/$I$213)</f>
        <v>8.0734882314840405E-3</v>
      </c>
      <c r="K146" s="458"/>
      <c r="L146" s="163"/>
      <c r="M146" s="163"/>
      <c r="O146" s="329">
        <f t="shared" si="43"/>
        <v>1.5146622464898596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'[21]Sch C'!D143</f>
        <v>44453.09</v>
      </c>
      <c r="D147" s="480">
        <f>'[21]Sch C'!F143</f>
        <v>0</v>
      </c>
      <c r="E147" s="480">
        <f>+'[21]Sch C'!H143</f>
        <v>0</v>
      </c>
      <c r="F147" s="166">
        <f t="shared" si="48"/>
        <v>44453.09</v>
      </c>
      <c r="G147" s="626"/>
      <c r="H147" s="166"/>
      <c r="I147" s="166">
        <f t="shared" si="49"/>
        <v>44453.09</v>
      </c>
      <c r="J147" s="167">
        <f>IF($I$213=0,0,I147/$I$213)</f>
        <v>1.8482441726303051E-2</v>
      </c>
      <c r="K147" s="458"/>
      <c r="L147" s="163"/>
      <c r="M147" s="163"/>
      <c r="O147" s="329">
        <f t="shared" si="43"/>
        <v>3.4674797191887672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'[21]Sch C'!D144</f>
        <v>0</v>
      </c>
      <c r="D148" s="480">
        <f>'[21]Sch C'!F144</f>
        <v>0</v>
      </c>
      <c r="E148" s="480">
        <f>+'[21]Sch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'[21]Sch C'!D146</f>
        <v>21337.29</v>
      </c>
      <c r="D150" s="480">
        <f>'[21]Sch C'!F146</f>
        <v>0</v>
      </c>
      <c r="E150" s="480">
        <f>+'[21]Sch C'!H146</f>
        <v>0</v>
      </c>
      <c r="F150" s="166">
        <f t="shared" ref="F150:F158" si="50">C150+D150+E150</f>
        <v>21337.29</v>
      </c>
      <c r="G150" s="626"/>
      <c r="H150" s="166"/>
      <c r="I150" s="166">
        <f t="shared" ref="I150:I158" si="51">F150+G150+H150</f>
        <v>21337.29</v>
      </c>
      <c r="J150" s="167">
        <f t="shared" ref="J150:J158" si="52">IF($I$213=0,0,I150/$I$213)</f>
        <v>8.8714917010769972E-3</v>
      </c>
      <c r="K150" s="458"/>
      <c r="L150" s="176">
        <v>208</v>
      </c>
      <c r="M150" s="176">
        <v>208</v>
      </c>
      <c r="O150" s="329">
        <f t="shared" si="43"/>
        <v>1.6643751950078003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'[21]Sch C'!D147</f>
        <v>0</v>
      </c>
      <c r="D151" s="480">
        <f>'[21]Sch C'!F147</f>
        <v>0</v>
      </c>
      <c r="E151" s="480">
        <f>+'[21]Sch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'[21]Sch C'!D148</f>
        <v>0</v>
      </c>
      <c r="D152" s="480">
        <f>'[21]Sch C'!F148</f>
        <v>0</v>
      </c>
      <c r="E152" s="480">
        <f>+'[21]Sch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'[21]Sch C'!D149</f>
        <v>0</v>
      </c>
      <c r="D153" s="480">
        <f>'[21]Sch C'!F149</f>
        <v>0</v>
      </c>
      <c r="E153" s="480">
        <f>+'[21]Sch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'[21]Sch C'!D150</f>
        <v>5156</v>
      </c>
      <c r="D154" s="480">
        <f>'[21]Sch C'!F150</f>
        <v>0</v>
      </c>
      <c r="E154" s="480">
        <f>+'[21]Sch C'!H150</f>
        <v>0</v>
      </c>
      <c r="F154" s="166">
        <f t="shared" si="50"/>
        <v>5156</v>
      </c>
      <c r="G154" s="626"/>
      <c r="H154" s="166"/>
      <c r="I154" s="166">
        <f t="shared" si="51"/>
        <v>5156</v>
      </c>
      <c r="J154" s="167">
        <f t="shared" si="52"/>
        <v>2.1437310553848684E-3</v>
      </c>
      <c r="K154" s="458"/>
      <c r="L154" s="176">
        <v>165</v>
      </c>
      <c r="M154" s="176">
        <v>165</v>
      </c>
      <c r="O154" s="329">
        <f t="shared" si="43"/>
        <v>0.40218408736349454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'[21]Sch C'!D151</f>
        <v>41991.57</v>
      </c>
      <c r="D155" s="480">
        <f>'[21]Sch C'!F151</f>
        <v>0</v>
      </c>
      <c r="E155" s="480">
        <f>+'[21]Sch C'!H151</f>
        <v>0</v>
      </c>
      <c r="F155" s="166">
        <f t="shared" si="50"/>
        <v>41991.57</v>
      </c>
      <c r="G155" s="626"/>
      <c r="H155" s="166"/>
      <c r="I155" s="166">
        <f t="shared" si="51"/>
        <v>41991.57</v>
      </c>
      <c r="J155" s="167">
        <f t="shared" si="52"/>
        <v>1.7459005561165163E-2</v>
      </c>
      <c r="K155" s="458"/>
      <c r="L155" s="163"/>
      <c r="M155" s="163"/>
      <c r="O155" s="329">
        <f t="shared" si="43"/>
        <v>3.2754734789391575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'[21]Sch C'!D152</f>
        <v>121.47</v>
      </c>
      <c r="D156" s="480">
        <f>'[21]Sch C'!F152</f>
        <v>0</v>
      </c>
      <c r="E156" s="480">
        <f>+'[21]Sch C'!H152</f>
        <v>0</v>
      </c>
      <c r="F156" s="166">
        <f t="shared" si="50"/>
        <v>121.47</v>
      </c>
      <c r="G156" s="626"/>
      <c r="H156" s="166"/>
      <c r="I156" s="166">
        <f t="shared" si="51"/>
        <v>121.47</v>
      </c>
      <c r="J156" s="167">
        <f t="shared" si="52"/>
        <v>5.0504075115903789E-5</v>
      </c>
      <c r="K156" s="458"/>
      <c r="L156" s="163"/>
      <c r="M156" s="163"/>
      <c r="O156" s="329">
        <f t="shared" si="43"/>
        <v>9.4750390015600622E-3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'[21]Sch C'!D153</f>
        <v>0</v>
      </c>
      <c r="D157" s="480">
        <f>'[21]Sch C'!F153</f>
        <v>0</v>
      </c>
      <c r="E157" s="480">
        <f>+'[21]Sch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'[21]Sch C'!D154</f>
        <v>0</v>
      </c>
      <c r="D158" s="480">
        <f>'[21]Sch C'!F154</f>
        <v>0</v>
      </c>
      <c r="E158" s="480">
        <f>+'[21]Sch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'[21]Sch C'!D156</f>
        <v>0</v>
      </c>
      <c r="D160" s="480">
        <f>'[21]Sch C'!F156</f>
        <v>0</v>
      </c>
      <c r="E160" s="480">
        <f>+'[21]Sch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'[21]Sch C'!D157</f>
        <v>0</v>
      </c>
      <c r="D161" s="480">
        <f>'[21]Sch C'!F157</f>
        <v>0</v>
      </c>
      <c r="E161" s="480">
        <f>+'[21]Sch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'[21]Sch C'!D158</f>
        <v>0</v>
      </c>
      <c r="D162" s="480">
        <f>'[21]Sch C'!F158</f>
        <v>0</v>
      </c>
      <c r="E162" s="480">
        <f>+'[21]Sch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'[21]Sch C'!D159</f>
        <v>0</v>
      </c>
      <c r="D163" s="480">
        <f>'[21]Sch C'!F159</f>
        <v>0</v>
      </c>
      <c r="E163" s="480">
        <f>+'[21]Sch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'[21]Sch C'!D160</f>
        <v>0</v>
      </c>
      <c r="D164" s="480">
        <f>'[21]Sch C'!F160</f>
        <v>0</v>
      </c>
      <c r="E164" s="480">
        <f>+'[21]Sch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'[21]Sch C'!D161</f>
        <v>0</v>
      </c>
      <c r="D165" s="480">
        <f>'[21]Sch C'!F161</f>
        <v>0</v>
      </c>
      <c r="E165" s="480">
        <f>+'[21]Sch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1066194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1066194</v>
      </c>
      <c r="G166" s="166">
        <f t="shared" si="57"/>
        <v>25781</v>
      </c>
      <c r="H166" s="166">
        <f t="shared" si="57"/>
        <v>0</v>
      </c>
      <c r="I166" s="166">
        <f t="shared" si="57"/>
        <v>1091975</v>
      </c>
      <c r="J166" s="167">
        <f t="shared" si="55"/>
        <v>0.45401487959734127</v>
      </c>
      <c r="K166" s="458"/>
      <c r="L166" s="163"/>
      <c r="M166" s="163"/>
      <c r="O166" s="329">
        <f>I166/I$233</f>
        <v>85.177457098283938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'[21]Sch C'!D175</f>
        <v>0</v>
      </c>
      <c r="D169" s="480">
        <f>'[21]Sch C'!F175</f>
        <v>0</v>
      </c>
      <c r="E169" s="480">
        <f>+'[21]Sch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'[21]Sch C'!D176</f>
        <v>0</v>
      </c>
      <c r="D170" s="480">
        <f>'[21]Sch C'!F176</f>
        <v>0</v>
      </c>
      <c r="E170" s="480">
        <f>+'[21]Sch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'[21]Sch C'!D177</f>
        <v>0</v>
      </c>
      <c r="D171" s="480">
        <f>'[21]Sch C'!F177</f>
        <v>0</v>
      </c>
      <c r="E171" s="480">
        <f>+'[21]Sch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'[21]Sch C'!D178</f>
        <v>0</v>
      </c>
      <c r="D172" s="480">
        <f>'[21]Sch C'!F178</f>
        <v>0</v>
      </c>
      <c r="E172" s="480">
        <f>+'[21]Sch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'[21]Sch C'!D179</f>
        <v>0</v>
      </c>
      <c r="D173" s="480">
        <f>'[21]Sch C'!F179</f>
        <v>0</v>
      </c>
      <c r="E173" s="480">
        <f>+'[21]Sch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'[21]Sch C'!D180</f>
        <v>0</v>
      </c>
      <c r="D174" s="480">
        <f>'[21]Sch C'!F180</f>
        <v>0</v>
      </c>
      <c r="E174" s="480">
        <f>+'[21]Sch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'[21]Sch C'!D181</f>
        <v>0</v>
      </c>
      <c r="D175" s="480">
        <f>'[21]Sch C'!F181</f>
        <v>0</v>
      </c>
      <c r="E175" s="480">
        <f>+'[21]Sch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'[21]Sch C'!D182</f>
        <v>0</v>
      </c>
      <c r="D176" s="480">
        <f>'[21]Sch C'!F182</f>
        <v>0</v>
      </c>
      <c r="E176" s="480">
        <f>+'[21]Sch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'[21]Sch C'!D183</f>
        <v>0</v>
      </c>
      <c r="D177" s="480">
        <f>'[21]Sch C'!F183</f>
        <v>0</v>
      </c>
      <c r="E177" s="480">
        <f>+'[21]Sch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'[21]Sch C'!D184</f>
        <v>0</v>
      </c>
      <c r="D178" s="480">
        <f>'[21]Sch C'!F184</f>
        <v>0</v>
      </c>
      <c r="E178" s="480">
        <f>+'[21]Sch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'[21]Sch C'!D185</f>
        <v>0</v>
      </c>
      <c r="D179" s="480">
        <f>'[21]Sch C'!F185</f>
        <v>0</v>
      </c>
      <c r="E179" s="480">
        <f>+'[21]Sch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'[21]Sch C'!D186</f>
        <v>0</v>
      </c>
      <c r="D180" s="480">
        <f>'[21]Sch C'!F186</f>
        <v>0</v>
      </c>
      <c r="E180" s="480">
        <f>+'[21]Sch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'[21]Sch C'!D187</f>
        <v>0</v>
      </c>
      <c r="D181" s="480">
        <f>'[21]Sch C'!F187</f>
        <v>0</v>
      </c>
      <c r="E181" s="480">
        <f>+'[21]Sch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'[21]Sch C'!D188</f>
        <v>0</v>
      </c>
      <c r="D182" s="480">
        <f>'[21]Sch C'!F188</f>
        <v>0</v>
      </c>
      <c r="E182" s="480">
        <f>+'[21]Sch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'[21]Sch C'!D189</f>
        <v>0</v>
      </c>
      <c r="D183" s="480">
        <f>'[21]Sch C'!F189</f>
        <v>0</v>
      </c>
      <c r="E183" s="480">
        <f>+'[21]Sch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'[21]Sch C'!D190</f>
        <v>0</v>
      </c>
      <c r="D184" s="480">
        <f>'[21]Sch C'!F190</f>
        <v>0</v>
      </c>
      <c r="E184" s="480">
        <f>+'[21]Sch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'[21]Sch C'!D191</f>
        <v>0</v>
      </c>
      <c r="D185" s="480">
        <f>'[21]Sch C'!F191</f>
        <v>0</v>
      </c>
      <c r="E185" s="480">
        <f>+'[21]Sch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'[21]Sch C'!D192</f>
        <v>0</v>
      </c>
      <c r="D186" s="480">
        <f>'[21]Sch C'!F192</f>
        <v>0</v>
      </c>
      <c r="E186" s="480">
        <f>+'[21]Sch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'[21]Sch C'!D193</f>
        <v>0</v>
      </c>
      <c r="D187" s="480">
        <f>'[21]Sch C'!F193</f>
        <v>0</v>
      </c>
      <c r="E187" s="480">
        <f>+'[21]Sch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'[21]Sch C'!D194</f>
        <v>0</v>
      </c>
      <c r="D188" s="480">
        <f>'[21]Sch C'!F194</f>
        <v>0</v>
      </c>
      <c r="E188" s="480">
        <f>+'[21]Sch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'[21]Sch C'!D195</f>
        <v>0</v>
      </c>
      <c r="D189" s="480">
        <f>'[21]Sch C'!F195</f>
        <v>0</v>
      </c>
      <c r="E189" s="480">
        <f>+'[21]Sch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'[21]Sch C'!D196</f>
        <v>0</v>
      </c>
      <c r="D190" s="480">
        <f>'[21]Sch C'!F196</f>
        <v>0</v>
      </c>
      <c r="E190" s="480">
        <f>+'[21]Sch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'[21]Sch C'!D197</f>
        <v>0</v>
      </c>
      <c r="D191" s="480">
        <f>'[21]Sch C'!F197</f>
        <v>0</v>
      </c>
      <c r="E191" s="480">
        <f>+'[21]Sch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'[21]Sch C'!D198</f>
        <v>3463.06</v>
      </c>
      <c r="D192" s="480">
        <f>'[21]Sch C'!F198</f>
        <v>0</v>
      </c>
      <c r="E192" s="480">
        <f>+'[21]Sch C'!H198</f>
        <v>0</v>
      </c>
      <c r="F192" s="166">
        <f t="shared" si="58"/>
        <v>3463.06</v>
      </c>
      <c r="G192" s="626"/>
      <c r="H192" s="166"/>
      <c r="I192" s="166">
        <f t="shared" si="59"/>
        <v>3463.06</v>
      </c>
      <c r="J192" s="167">
        <f t="shared" si="60"/>
        <v>1.4398505175836156E-3</v>
      </c>
      <c r="K192" s="458"/>
      <c r="L192" s="213"/>
      <c r="M192" s="208"/>
      <c r="O192" s="329">
        <f t="shared" si="61"/>
        <v>0.27012948517940716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'[21]Sch C'!D199</f>
        <v>0</v>
      </c>
      <c r="D193" s="480">
        <f>'[21]Sch C'!F199</f>
        <v>0</v>
      </c>
      <c r="E193" s="480">
        <f>+'[21]Sch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'[21]Sch C'!D200</f>
        <v>0</v>
      </c>
      <c r="D194" s="480">
        <f>'[21]Sch C'!F200</f>
        <v>0</v>
      </c>
      <c r="E194" s="480">
        <f>+'[21]Sch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'[21]Sch C'!D201</f>
        <v>0</v>
      </c>
      <c r="D195" s="480">
        <f>'[21]Sch C'!F201</f>
        <v>0</v>
      </c>
      <c r="E195" s="480">
        <f>+'[21]Sch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'[21]Sch C'!D202</f>
        <v>0</v>
      </c>
      <c r="D196" s="480">
        <f>'[21]Sch C'!F202</f>
        <v>0</v>
      </c>
      <c r="E196" s="480">
        <f>+'[21]Sch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'[21]Sch C'!D203</f>
        <v>0</v>
      </c>
      <c r="D197" s="480">
        <f>'[21]Sch C'!F203</f>
        <v>0</v>
      </c>
      <c r="E197" s="480">
        <f>+'[21]Sch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'[21]Sch C'!D204</f>
        <v>0</v>
      </c>
      <c r="D198" s="480">
        <f>'[21]Sch C'!F204</f>
        <v>0</v>
      </c>
      <c r="E198" s="480">
        <f>+'[21]Sch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'[21]Sch C'!D205</f>
        <v>15012.67</v>
      </c>
      <c r="D199" s="480">
        <f>'[21]Sch C'!F205</f>
        <v>0</v>
      </c>
      <c r="E199" s="480">
        <f>+'[21]Sch C'!H205</f>
        <v>0</v>
      </c>
      <c r="F199" s="166">
        <f t="shared" si="58"/>
        <v>15012.67</v>
      </c>
      <c r="G199" s="626"/>
      <c r="H199" s="166"/>
      <c r="I199" s="166">
        <f t="shared" si="59"/>
        <v>15012.67</v>
      </c>
      <c r="J199" s="167">
        <f t="shared" si="60"/>
        <v>6.2418787632359876E-3</v>
      </c>
      <c r="K199" s="458"/>
      <c r="L199" s="213"/>
      <c r="M199" s="208"/>
      <c r="O199" s="329">
        <f t="shared" si="61"/>
        <v>1.1710351014040561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'[21]Sch C'!D206</f>
        <v>71.64</v>
      </c>
      <c r="D200" s="480">
        <f>'[21]Sch C'!F206</f>
        <v>0</v>
      </c>
      <c r="E200" s="480">
        <f>+'[21]Sch C'!H206</f>
        <v>0</v>
      </c>
      <c r="F200" s="166">
        <f t="shared" si="58"/>
        <v>71.64</v>
      </c>
      <c r="G200" s="626"/>
      <c r="H200" s="166"/>
      <c r="I200" s="166">
        <f t="shared" si="59"/>
        <v>71.64</v>
      </c>
      <c r="J200" s="167">
        <f t="shared" si="60"/>
        <v>2.9786053686534516E-5</v>
      </c>
      <c r="K200" s="458"/>
      <c r="L200" s="213"/>
      <c r="M200" s="208"/>
      <c r="O200" s="329">
        <f t="shared" si="61"/>
        <v>5.58814352574103E-3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'[21]Sch C'!D207</f>
        <v>0</v>
      </c>
      <c r="D201" s="480">
        <f>'[21]Sch C'!F207</f>
        <v>0</v>
      </c>
      <c r="E201" s="480">
        <f>+'[21]Sch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18547.37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18547.37</v>
      </c>
      <c r="G202" s="166">
        <f t="shared" si="63"/>
        <v>0</v>
      </c>
      <c r="H202" s="166">
        <f t="shared" si="63"/>
        <v>0</v>
      </c>
      <c r="I202" s="166">
        <f t="shared" si="63"/>
        <v>18547.37</v>
      </c>
      <c r="J202" s="167">
        <f>IF($I$213=0,0,I202/$I$213)</f>
        <v>7.7115153345061367E-3</v>
      </c>
      <c r="K202" s="458"/>
      <c r="L202" s="163"/>
      <c r="M202" s="163"/>
      <c r="O202" s="329">
        <f>I202/I$233</f>
        <v>1.4467527301092042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'[21]Sch C'!D211</f>
        <v>68905.55</v>
      </c>
      <c r="D205" s="480">
        <f>'[21]Sch C'!F211</f>
        <v>0</v>
      </c>
      <c r="E205" s="480">
        <f>+'[21]Sch C'!H211</f>
        <v>0</v>
      </c>
      <c r="F205" s="166">
        <f t="shared" ref="F205:F210" si="64">C205+D205+E205</f>
        <v>68905.55</v>
      </c>
      <c r="G205" s="626"/>
      <c r="H205" s="166"/>
      <c r="I205" s="166">
        <f t="shared" ref="I205:I210" si="65">F205+G205+H205</f>
        <v>68905.55</v>
      </c>
      <c r="J205" s="167">
        <f t="shared" ref="J205:J211" si="66">IF($I$213=0,0,I205/$I$213)</f>
        <v>2.8649140307093642E-2</v>
      </c>
      <c r="K205" s="458"/>
      <c r="L205" s="176">
        <v>3803.91</v>
      </c>
      <c r="M205" s="176">
        <v>4187.91</v>
      </c>
      <c r="O205" s="329">
        <f t="shared" ref="O205:O210" si="67">I205/I$233</f>
        <v>5.3748478939157565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'[21]Sch C'!D212</f>
        <v>11228.27</v>
      </c>
      <c r="D206" s="480">
        <f>'[21]Sch C'!F212</f>
        <v>0</v>
      </c>
      <c r="E206" s="480">
        <f>+'[21]Sch C'!H212</f>
        <v>0</v>
      </c>
      <c r="F206" s="166">
        <f t="shared" si="64"/>
        <v>11228.27</v>
      </c>
      <c r="G206" s="626"/>
      <c r="H206" s="166"/>
      <c r="I206" s="166">
        <f t="shared" si="65"/>
        <v>11228.27</v>
      </c>
      <c r="J206" s="167">
        <f t="shared" si="66"/>
        <v>4.6684234090857753E-3</v>
      </c>
      <c r="K206" s="458"/>
      <c r="L206" s="163"/>
      <c r="M206" s="163"/>
      <c r="O206" s="329">
        <f t="shared" si="67"/>
        <v>0.87584009360374415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'[21]Sch C'!D213</f>
        <v>17829.740000000002</v>
      </c>
      <c r="D207" s="480">
        <f>'[21]Sch C'!F213</f>
        <v>0</v>
      </c>
      <c r="E207" s="480">
        <f>+'[21]Sch C'!H213</f>
        <v>0</v>
      </c>
      <c r="F207" s="166">
        <f t="shared" si="64"/>
        <v>17829.740000000002</v>
      </c>
      <c r="G207" s="626"/>
      <c r="H207" s="166"/>
      <c r="I207" s="166">
        <f t="shared" si="65"/>
        <v>17829.740000000002</v>
      </c>
      <c r="J207" s="167">
        <f t="shared" si="66"/>
        <v>7.4131433955465101E-3</v>
      </c>
      <c r="K207" s="458"/>
      <c r="L207" s="163"/>
      <c r="M207" s="163"/>
      <c r="O207" s="329">
        <f t="shared" si="67"/>
        <v>1.3907753510140406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'[21]Sch C'!D214</f>
        <v>0</v>
      </c>
      <c r="D208" s="480">
        <f>'[21]Sch C'!F214</f>
        <v>0</v>
      </c>
      <c r="E208" s="480">
        <f>+'[21]Sch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'[21]Sch C'!D215</f>
        <v>0</v>
      </c>
      <c r="D209" s="480">
        <f>'[21]Sch C'!F215</f>
        <v>0</v>
      </c>
      <c r="E209" s="480">
        <f>+'[21]Sch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ROUND('[21]Sch C'!D216,0)</f>
        <v>130830</v>
      </c>
      <c r="D210" s="480">
        <f>'[21]Sch C'!F216</f>
        <v>-11312.36</v>
      </c>
      <c r="E210" s="480">
        <f>+'[21]Sch C'!H216</f>
        <v>-101606</v>
      </c>
      <c r="F210" s="166">
        <f t="shared" si="64"/>
        <v>17911.64</v>
      </c>
      <c r="G210" s="626">
        <v>-433</v>
      </c>
      <c r="H210" s="166"/>
      <c r="I210" s="166">
        <f t="shared" si="65"/>
        <v>17478.64</v>
      </c>
      <c r="J210" s="167">
        <f t="shared" si="66"/>
        <v>7.2671651229426247E-3</v>
      </c>
      <c r="K210" s="457" t="s">
        <v>717</v>
      </c>
      <c r="L210" s="163"/>
      <c r="M210" s="163"/>
      <c r="O210" s="329">
        <f t="shared" si="67"/>
        <v>1.3633884555382214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228793.56</v>
      </c>
      <c r="D211" s="480">
        <f t="shared" si="68"/>
        <v>-11312.36</v>
      </c>
      <c r="E211" s="480">
        <f t="shared" si="68"/>
        <v>-101606</v>
      </c>
      <c r="F211" s="166">
        <f t="shared" ref="F211:I211" si="69">SUM(F205:F210)</f>
        <v>115875.20000000001</v>
      </c>
      <c r="G211" s="166">
        <f t="shared" si="69"/>
        <v>-433</v>
      </c>
      <c r="H211" s="166">
        <f t="shared" si="69"/>
        <v>0</v>
      </c>
      <c r="I211" s="166">
        <f t="shared" si="69"/>
        <v>115442.20000000001</v>
      </c>
      <c r="J211" s="167">
        <f t="shared" si="66"/>
        <v>4.7997872234668552E-2</v>
      </c>
      <c r="K211" s="458"/>
      <c r="L211" s="163"/>
      <c r="M211" s="163"/>
      <c r="O211" s="329">
        <f>I211/I$233</f>
        <v>9.0048517940717634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2561582.9299999992</v>
      </c>
      <c r="D213" s="480">
        <f t="shared" si="70"/>
        <v>-17073.95</v>
      </c>
      <c r="E213" s="480">
        <f t="shared" si="70"/>
        <v>-147158.53</v>
      </c>
      <c r="F213" s="166">
        <f t="shared" ref="F213:I213" si="71">SUM(F30:F211)/2</f>
        <v>2397350.4499999993</v>
      </c>
      <c r="G213" s="166">
        <f t="shared" si="71"/>
        <v>7802</v>
      </c>
      <c r="H213" s="166">
        <f t="shared" si="71"/>
        <v>0</v>
      </c>
      <c r="I213" s="166">
        <f t="shared" si="71"/>
        <v>2405152.4499999993</v>
      </c>
      <c r="J213" s="167">
        <f>IF($I$213=0,0,I213/$I$213)</f>
        <v>1</v>
      </c>
      <c r="K213" s="458"/>
      <c r="L213" s="176">
        <f>SUM(L30:L205)</f>
        <v>67917.540000000008</v>
      </c>
      <c r="M213" s="176">
        <f>SUM(M30:M205)</f>
        <v>77117.540000000008</v>
      </c>
      <c r="O213" s="329">
        <f>I213/I$233</f>
        <v>187.60939547581899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439"/>
      <c r="G214" s="439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 t="s">
        <v>182</v>
      </c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'[21]Sch C'!D221</f>
        <v>2561582.2799999998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0.64999999944120646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-108869.90999999922</v>
      </c>
      <c r="D220" s="480">
        <f t="shared" si="72"/>
        <v>17073.95</v>
      </c>
      <c r="E220" s="480">
        <f t="shared" si="72"/>
        <v>147158.53</v>
      </c>
      <c r="F220" s="166">
        <f t="shared" ref="F220:I220" si="73">F26-F213</f>
        <v>55362.570000000764</v>
      </c>
      <c r="G220" s="166">
        <f t="shared" si="73"/>
        <v>-7802</v>
      </c>
      <c r="H220" s="166">
        <f t="shared" si="73"/>
        <v>0</v>
      </c>
      <c r="I220" s="166">
        <f t="shared" si="73"/>
        <v>47560.570000000764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'[21]Sch D'!C9</f>
        <v>11728</v>
      </c>
      <c r="D224" s="480"/>
      <c r="E224" s="480"/>
      <c r="F224" s="224">
        <f>C224+D224+E224</f>
        <v>11728</v>
      </c>
      <c r="G224" s="627"/>
      <c r="H224" s="224"/>
      <c r="I224" s="224">
        <f>F224+G224+H224</f>
        <v>11728</v>
      </c>
      <c r="J224" s="167">
        <f t="shared" ref="J224:J233" si="74">IF($I$233=0,0,I224/$I$233)</f>
        <v>0.91482059282371297</v>
      </c>
      <c r="K224" s="458"/>
      <c r="L224" s="163"/>
      <c r="M224" s="163"/>
    </row>
    <row r="225" spans="1:13">
      <c r="A225" s="158"/>
      <c r="B225" s="165" t="s">
        <v>201</v>
      </c>
      <c r="C225" s="504">
        <f>'[21]Sch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'[21]Sch D'!E9</f>
        <v>0</v>
      </c>
      <c r="D226" s="480"/>
      <c r="E226" s="480"/>
      <c r="F226" s="224">
        <f t="shared" si="75"/>
        <v>0</v>
      </c>
      <c r="G226" s="627"/>
      <c r="H226" s="224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'[21]Sch D'!F9</f>
        <v>0</v>
      </c>
      <c r="D227" s="480"/>
      <c r="E227" s="480"/>
      <c r="F227" s="224">
        <f t="shared" si="75"/>
        <v>0</v>
      </c>
      <c r="G227" s="627"/>
      <c r="H227" s="224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'[21]Sch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'[21]Sch D'!H9</f>
        <v>457</v>
      </c>
      <c r="D229" s="480"/>
      <c r="E229" s="480"/>
      <c r="F229" s="224">
        <f t="shared" si="75"/>
        <v>457</v>
      </c>
      <c r="G229" s="627"/>
      <c r="H229" s="224"/>
      <c r="I229" s="224">
        <f t="shared" si="76"/>
        <v>457</v>
      </c>
      <c r="J229" s="167">
        <f t="shared" si="74"/>
        <v>3.564742589703588E-2</v>
      </c>
      <c r="K229" s="458"/>
      <c r="L229" s="163"/>
      <c r="M229" s="163"/>
    </row>
    <row r="230" spans="1:13">
      <c r="A230" s="158"/>
      <c r="B230" s="165" t="s">
        <v>219</v>
      </c>
      <c r="C230" s="504">
        <f>'[21]Sch D'!I9</f>
        <v>635</v>
      </c>
      <c r="D230" s="480"/>
      <c r="E230" s="480"/>
      <c r="F230" s="224">
        <f t="shared" si="75"/>
        <v>635</v>
      </c>
      <c r="G230" s="627"/>
      <c r="H230" s="224"/>
      <c r="I230" s="224">
        <f t="shared" si="76"/>
        <v>635</v>
      </c>
      <c r="J230" s="167">
        <f t="shared" si="74"/>
        <v>4.9531981279251174E-2</v>
      </c>
      <c r="K230" s="458"/>
      <c r="L230" s="163"/>
      <c r="M230" s="163"/>
    </row>
    <row r="231" spans="1:13">
      <c r="A231" s="158"/>
      <c r="B231" s="165" t="s">
        <v>218</v>
      </c>
      <c r="C231" s="504">
        <f>'[21]Sch D'!J9</f>
        <v>0</v>
      </c>
      <c r="D231" s="480"/>
      <c r="E231" s="480"/>
      <c r="F231" s="224">
        <f t="shared" si="75"/>
        <v>0</v>
      </c>
      <c r="G231" s="627"/>
      <c r="H231" s="224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'[21]Sch D'!K9</f>
        <v>0</v>
      </c>
      <c r="D232" s="480"/>
      <c r="E232" s="480"/>
      <c r="F232" s="224">
        <f t="shared" si="75"/>
        <v>0</v>
      </c>
      <c r="G232" s="627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12820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12820</v>
      </c>
      <c r="G233" s="500">
        <f t="shared" si="78"/>
        <v>0</v>
      </c>
      <c r="H233" s="500">
        <f t="shared" si="78"/>
        <v>0</v>
      </c>
      <c r="I233" s="226">
        <f t="shared" si="78"/>
        <v>12820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'[21]Sch D'!N22</f>
        <v>36</v>
      </c>
      <c r="D236" s="480"/>
      <c r="E236" s="480"/>
      <c r="F236" s="224">
        <f>C236+E236</f>
        <v>36</v>
      </c>
      <c r="G236" s="627"/>
      <c r="H236" s="166"/>
      <c r="I236" s="224">
        <f>F236+G236+H236</f>
        <v>36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'[21]Sch D'!N24</f>
        <v>36</v>
      </c>
      <c r="D237" s="480"/>
      <c r="E237" s="480"/>
      <c r="F237" s="224">
        <f>C237+E237</f>
        <v>36</v>
      </c>
      <c r="G237" s="627"/>
      <c r="H237" s="166"/>
      <c r="I237" s="224">
        <f>F237+G237+H237</f>
        <v>36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166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'[21]Sch D'!N28</f>
        <v>13140</v>
      </c>
      <c r="D240" s="427"/>
      <c r="E240" s="427"/>
      <c r="F240" s="223">
        <f>F236*F238</f>
        <v>13140</v>
      </c>
      <c r="G240"/>
      <c r="H240" s="228"/>
      <c r="I240" s="223">
        <f>I236*I238</f>
        <v>13140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'[21]Sch D'!N30</f>
        <v>0.9756468797564688</v>
      </c>
      <c r="D241" s="228"/>
      <c r="E241" s="228"/>
      <c r="F241" s="232">
        <f>F233/F240</f>
        <v>0.9756468797564688</v>
      </c>
      <c r="G241"/>
      <c r="H241" s="233"/>
      <c r="I241" s="232">
        <f>I233/I240</f>
        <v>0.9756468797564688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'[21]Sch D'!N32</f>
        <v>0.89254185692541854</v>
      </c>
      <c r="D242" s="228"/>
      <c r="E242" s="228"/>
      <c r="F242" s="232">
        <f>(F224+F225)/F240</f>
        <v>0.89254185692541854</v>
      </c>
      <c r="G242"/>
      <c r="H242" s="233"/>
      <c r="I242" s="232">
        <f>(I224+I225)/I240</f>
        <v>0.89254185692541854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'[21]Sch D'!N34</f>
        <v>0.91482059282371297</v>
      </c>
      <c r="D243" s="228"/>
      <c r="E243" s="228"/>
      <c r="F243" s="232">
        <f>(F242/F241)</f>
        <v>0.91482059282371297</v>
      </c>
      <c r="G243"/>
      <c r="H243" s="233"/>
      <c r="I243" s="232">
        <f>(I242/I241)</f>
        <v>0.91482059282371297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'[21]Sch B'!C90</f>
        <v>185.32608695652175</v>
      </c>
      <c r="K246" s="460"/>
    </row>
    <row r="247" spans="1:13">
      <c r="H247" s="140" t="s">
        <v>322</v>
      </c>
      <c r="I247" s="480">
        <f>'[21]Sch B'!E90</f>
        <v>202.40891304347824</v>
      </c>
      <c r="K247" s="460"/>
    </row>
    <row r="248" spans="1:13">
      <c r="H248" s="140" t="s">
        <v>323</v>
      </c>
      <c r="I248" s="480">
        <f>'[21]Sch B'!G90</f>
        <v>207.88888888888889</v>
      </c>
      <c r="K248" s="460"/>
    </row>
    <row r="249" spans="1:13">
      <c r="H249" s="140" t="s">
        <v>324</v>
      </c>
      <c r="I249" s="480">
        <f>'[21]Sch B'!I90</f>
        <v>210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388"/>
      <c r="G1" s="388"/>
      <c r="H1" s="389"/>
      <c r="I1" s="389"/>
      <c r="J1" s="419"/>
      <c r="K1" s="420"/>
    </row>
    <row r="2" spans="1:16" ht="23">
      <c r="B2" s="141" t="s">
        <v>178</v>
      </c>
      <c r="C2" s="234" t="s">
        <v>404</v>
      </c>
      <c r="D2" s="234"/>
      <c r="E2" s="234"/>
      <c r="F2" s="389"/>
      <c r="G2" s="389"/>
      <c r="H2" s="389"/>
      <c r="I2" s="389"/>
    </row>
    <row r="3" spans="1:16" ht="15.5">
      <c r="A3" s="143"/>
      <c r="B3" s="138" t="s">
        <v>71</v>
      </c>
      <c r="C3" s="557">
        <f>'[22]Sch A Pg 1'!B39</f>
        <v>42917</v>
      </c>
      <c r="D3" s="620"/>
      <c r="E3"/>
      <c r="F3" s="389"/>
      <c r="G3" s="389"/>
      <c r="H3"/>
      <c r="I3" s="389"/>
    </row>
    <row r="4" spans="1:16" ht="15.5">
      <c r="A4" s="143"/>
      <c r="B4" s="145" t="s">
        <v>72</v>
      </c>
      <c r="C4" s="557">
        <f>'[22]Sch A Pg 1'!G39</f>
        <v>43281</v>
      </c>
      <c r="D4" s="620"/>
      <c r="E4"/>
      <c r="F4" s="389"/>
      <c r="G4" s="389"/>
      <c r="H4"/>
      <c r="I4" s="389"/>
    </row>
    <row r="5" spans="1:16" ht="15.5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'[22]Sch B'!E10</f>
        <v>2478858.7599999998</v>
      </c>
      <c r="D12" s="480">
        <f>'[22]Sch B'!G10</f>
        <v>0</v>
      </c>
      <c r="E12" s="480"/>
      <c r="F12" s="166">
        <f>C12+D12+E12</f>
        <v>2478858.7599999998</v>
      </c>
      <c r="G12" s="626"/>
      <c r="H12" s="166"/>
      <c r="I12" s="166">
        <f>F12+G12+H12</f>
        <v>2478858.7599999998</v>
      </c>
      <c r="J12" s="167">
        <f>IF($I$26=0,0,I12/$I$26)</f>
        <v>0.42711590236370872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'[22]Sch B'!E12</f>
        <v>963037.03</v>
      </c>
      <c r="D13" s="480">
        <f>'[22]Sch B'!G12</f>
        <v>619714.57999999996</v>
      </c>
      <c r="E13" s="480"/>
      <c r="F13" s="166">
        <f t="shared" ref="F13:F25" si="0">C13+D13+E13</f>
        <v>1582751.6099999999</v>
      </c>
      <c r="G13" s="626"/>
      <c r="H13" s="166"/>
      <c r="I13" s="166">
        <f t="shared" ref="I13:I25" si="1">F13+G13+H13</f>
        <v>1582751.6099999999</v>
      </c>
      <c r="J13" s="167">
        <f>IF($I$26=0,0,I13/$I$26)</f>
        <v>0.27271355392703484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'[22]Sch B'!E13</f>
        <v>150067.63</v>
      </c>
      <c r="D14" s="480">
        <f>'[22]Sch B'!G13</f>
        <v>0</v>
      </c>
      <c r="E14" s="480"/>
      <c r="F14" s="166">
        <f t="shared" si="0"/>
        <v>150067.63</v>
      </c>
      <c r="G14" s="626"/>
      <c r="H14" s="166"/>
      <c r="I14" s="166">
        <f t="shared" si="1"/>
        <v>150067.63</v>
      </c>
      <c r="J14" s="167">
        <f>IF($I$26=0,0,I14/$I$26)</f>
        <v>2.5857169531931366E-2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'[22]Sch B'!E14</f>
        <v>16004.67</v>
      </c>
      <c r="D15" s="480">
        <f>'[22]Sch B'!G14</f>
        <v>0</v>
      </c>
      <c r="E15" s="480"/>
      <c r="F15" s="166">
        <f t="shared" si="0"/>
        <v>16004.67</v>
      </c>
      <c r="G15" s="626"/>
      <c r="H15" s="166"/>
      <c r="I15" s="166">
        <f t="shared" si="1"/>
        <v>16004.67</v>
      </c>
      <c r="J15" s="167">
        <f>IF($I$26=0,0,I15/$I$26)</f>
        <v>2.7576597664174213E-3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'[22]Sch B'!E15</f>
        <v>3607968.09</v>
      </c>
      <c r="D16" s="480">
        <f>'[22]Sch B'!G15</f>
        <v>619714.57999999996</v>
      </c>
      <c r="E16" s="480"/>
      <c r="F16" s="166">
        <f t="shared" si="0"/>
        <v>4227682.67</v>
      </c>
      <c r="G16" s="626"/>
      <c r="H16" s="166"/>
      <c r="I16" s="166">
        <f>SUM(I12:I15)</f>
        <v>4227682.67</v>
      </c>
      <c r="J16" s="167">
        <f t="shared" ref="J16:J26" si="2">IF($I$26=0,0,I16/$I$26)</f>
        <v>0.72844428558909236</v>
      </c>
      <c r="K16" s="458" t="s">
        <v>498</v>
      </c>
      <c r="L16" s="333" t="s">
        <v>325</v>
      </c>
      <c r="M16" s="334">
        <f>I26</f>
        <v>5803714.5100000007</v>
      </c>
      <c r="O16" s="324">
        <f>IFERROR(I16/I224,0)</f>
        <v>268.202922667005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'[22]Sch B'!E20</f>
        <v>605503.69000000006</v>
      </c>
      <c r="D17" s="480">
        <f>'[22]Sch B'!G20</f>
        <v>0</v>
      </c>
      <c r="E17" s="480"/>
      <c r="F17" s="166">
        <f t="shared" si="0"/>
        <v>605503.69000000006</v>
      </c>
      <c r="G17" s="626"/>
      <c r="H17" s="166"/>
      <c r="I17" s="166">
        <f t="shared" si="1"/>
        <v>605503.69000000006</v>
      </c>
      <c r="J17" s="167">
        <f t="shared" si="2"/>
        <v>0.10433037134350703</v>
      </c>
      <c r="K17" s="458"/>
      <c r="L17" s="335" t="s">
        <v>326</v>
      </c>
      <c r="M17" s="336">
        <f>I213</f>
        <v>4203759.0600000005</v>
      </c>
      <c r="O17" s="324">
        <f t="shared" ref="O17:O24" si="3">IFERROR(I17/I225,0)</f>
        <v>166.3471675824176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'[22]Sch B'!E26</f>
        <v>788655.54</v>
      </c>
      <c r="D18" s="480">
        <f>'[22]Sch B'!G26</f>
        <v>0</v>
      </c>
      <c r="E18" s="480"/>
      <c r="F18" s="166">
        <f t="shared" si="0"/>
        <v>788655.54</v>
      </c>
      <c r="G18" s="626"/>
      <c r="H18" s="166"/>
      <c r="I18" s="166">
        <f t="shared" si="1"/>
        <v>788655.54</v>
      </c>
      <c r="J18" s="167">
        <f t="shared" si="2"/>
        <v>0.13588806593451819</v>
      </c>
      <c r="K18" s="458"/>
      <c r="L18" s="335" t="s">
        <v>327</v>
      </c>
      <c r="M18" s="336">
        <f>I233</f>
        <v>22061</v>
      </c>
      <c r="O18" s="324">
        <f t="shared" si="3"/>
        <v>517.49051181102368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'[22]Sch B'!E32</f>
        <v>0</v>
      </c>
      <c r="D19" s="480">
        <f>'[22]Sch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104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'[22]Sch B'!E37</f>
        <v>0</v>
      </c>
      <c r="D20" s="480">
        <f>'[22]Sch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37960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'[22]Sch B'!E42</f>
        <v>160824.57</v>
      </c>
      <c r="D21" s="480">
        <f>'[22]Sch B'!G42</f>
        <v>0</v>
      </c>
      <c r="E21" s="480"/>
      <c r="F21" s="166">
        <f t="shared" si="0"/>
        <v>160824.57</v>
      </c>
      <c r="G21" s="626"/>
      <c r="H21" s="166"/>
      <c r="I21" s="166">
        <f t="shared" si="1"/>
        <v>160824.57</v>
      </c>
      <c r="J21" s="167">
        <f t="shared" si="2"/>
        <v>2.7710627344417735E-2</v>
      </c>
      <c r="K21" s="458"/>
      <c r="L21" s="337"/>
      <c r="M21" s="336"/>
      <c r="O21" s="324">
        <f t="shared" si="3"/>
        <v>159.54818452380954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'[22]Sch B'!E47</f>
        <v>19368.09</v>
      </c>
      <c r="D22" s="480">
        <f>'[22]Sch B'!G47</f>
        <v>0</v>
      </c>
      <c r="E22" s="480"/>
      <c r="F22" s="166">
        <f t="shared" si="0"/>
        <v>19368.09</v>
      </c>
      <c r="G22" s="626"/>
      <c r="H22" s="166"/>
      <c r="I22" s="166">
        <f t="shared" si="1"/>
        <v>19368.09</v>
      </c>
      <c r="J22" s="167">
        <f t="shared" si="2"/>
        <v>3.3371886171568417E-3</v>
      </c>
      <c r="K22" s="458"/>
      <c r="L22" s="335" t="s">
        <v>148</v>
      </c>
      <c r="M22" s="336">
        <f>L213</f>
        <v>117758.51000000001</v>
      </c>
      <c r="O22" s="324">
        <f t="shared" si="3"/>
        <v>166.96629310344827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'[22]Sch B'!E52</f>
        <v>1679.9499999999998</v>
      </c>
      <c r="D23" s="480">
        <f>'[22]Sch B'!G52</f>
        <v>0</v>
      </c>
      <c r="E23" s="480"/>
      <c r="F23" s="166">
        <f t="shared" si="0"/>
        <v>1679.9499999999998</v>
      </c>
      <c r="G23" s="626"/>
      <c r="H23" s="166"/>
      <c r="I23" s="166">
        <f t="shared" si="1"/>
        <v>1679.9499999999998</v>
      </c>
      <c r="J23" s="167">
        <f t="shared" si="2"/>
        <v>2.8946117130768372E-4</v>
      </c>
      <c r="K23" s="458"/>
      <c r="L23" s="338" t="s">
        <v>233</v>
      </c>
      <c r="M23" s="339">
        <f>M213</f>
        <v>123985.5</v>
      </c>
      <c r="O23" s="324">
        <f t="shared" si="3"/>
        <v>167.99499999999998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'[22]Sch B'!E57</f>
        <v>0</v>
      </c>
      <c r="D24" s="480">
        <f>'[22]Sch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'[22]Sch B'!E72</f>
        <v>189.16999999999996</v>
      </c>
      <c r="D25" s="480">
        <f>'[22]Sch B'!G72</f>
        <v>-189.16999999999996</v>
      </c>
      <c r="E25" s="480"/>
      <c r="F25" s="166">
        <f t="shared" si="0"/>
        <v>0</v>
      </c>
      <c r="G25" s="626"/>
      <c r="H25" s="166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5184189.1000000006</v>
      </c>
      <c r="D26" s="480">
        <f t="shared" ref="D26:F26" si="4">SUM(D16:D25)</f>
        <v>619525.40999999992</v>
      </c>
      <c r="E26" s="480">
        <f t="shared" si="4"/>
        <v>0</v>
      </c>
      <c r="F26" s="166">
        <f t="shared" si="4"/>
        <v>5803714.5100000007</v>
      </c>
      <c r="G26" s="166">
        <f>SUM(G12:G25)</f>
        <v>0</v>
      </c>
      <c r="H26" s="166">
        <f>SUM(H12:H25)</f>
        <v>0</v>
      </c>
      <c r="I26" s="166">
        <f>SUM(I16:I25)</f>
        <v>5803714.5100000007</v>
      </c>
      <c r="J26" s="167">
        <f t="shared" si="2"/>
        <v>1</v>
      </c>
      <c r="K26" s="458"/>
      <c r="L26" s="163"/>
      <c r="M26" s="163"/>
      <c r="O26" s="324">
        <f>IFERROR(I26/I233,0)</f>
        <v>263.07576764425914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/>
      <c r="I27" s="142"/>
      <c r="K27" s="460"/>
      <c r="L27"/>
      <c r="M27"/>
      <c r="N27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L28"/>
      <c r="M28"/>
      <c r="N28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L29"/>
      <c r="M29"/>
      <c r="N2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'[22]Sch C'!D10</f>
        <v>171272.28</v>
      </c>
      <c r="D30" s="480">
        <f>'[22]Sch C'!F10</f>
        <v>2628</v>
      </c>
      <c r="E30" s="480">
        <f>+'[22]Sch C'!H10</f>
        <v>0</v>
      </c>
      <c r="F30" s="166">
        <f t="shared" ref="F30:F65" si="5">C30+D30+E30</f>
        <v>173900.28</v>
      </c>
      <c r="G30" s="626"/>
      <c r="H30" s="166"/>
      <c r="I30" s="166">
        <f t="shared" ref="I30:I65" si="6">F30+G30+H30</f>
        <v>173900.28</v>
      </c>
      <c r="J30" s="167">
        <f>IF($I$213=0,0,I30/$I$213)</f>
        <v>4.1367803796062468E-2</v>
      </c>
      <c r="K30" s="458"/>
      <c r="L30" s="176">
        <v>2082</v>
      </c>
      <c r="M30" s="176">
        <v>2082</v>
      </c>
      <c r="O30" s="324">
        <f>I30/I$233</f>
        <v>7.8827016001087893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'[22]Sch C'!D11</f>
        <v>0</v>
      </c>
      <c r="D31" s="480">
        <f>'[22]Sch C'!F11</f>
        <v>0</v>
      </c>
      <c r="E31" s="480">
        <f>+'[22]Sch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'[22]Sch C'!D12</f>
        <v>86852.34</v>
      </c>
      <c r="D32" s="480">
        <f>'[22]Sch C'!F12</f>
        <v>-18190</v>
      </c>
      <c r="E32" s="480">
        <f>+'[22]Sch C'!H12</f>
        <v>0</v>
      </c>
      <c r="F32" s="166">
        <f t="shared" si="5"/>
        <v>68662.34</v>
      </c>
      <c r="G32" s="626"/>
      <c r="H32" s="166"/>
      <c r="I32" s="166">
        <f t="shared" si="6"/>
        <v>68662.34</v>
      </c>
      <c r="J32" s="167">
        <f t="shared" si="7"/>
        <v>1.6333557423245847E-2</v>
      </c>
      <c r="K32" s="458"/>
      <c r="L32" s="176">
        <v>5229.3900000000003</v>
      </c>
      <c r="M32" s="176">
        <v>5864.39</v>
      </c>
      <c r="O32" s="324">
        <f t="shared" si="8"/>
        <v>3.1123856579484155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'[22]Sch C'!D13</f>
        <v>73126.429999999993</v>
      </c>
      <c r="D33" s="480">
        <f>'[22]Sch C'!F13</f>
        <v>0</v>
      </c>
      <c r="E33" s="480">
        <f>+'[22]Sch C'!H13</f>
        <v>0</v>
      </c>
      <c r="F33" s="166">
        <f t="shared" si="5"/>
        <v>73126.429999999993</v>
      </c>
      <c r="G33" s="626">
        <v>-3980</v>
      </c>
      <c r="H33" s="166"/>
      <c r="I33" s="166">
        <f t="shared" si="6"/>
        <v>69146.429999999993</v>
      </c>
      <c r="J33" s="167">
        <f t="shared" si="7"/>
        <v>1.6448713880381143E-2</v>
      </c>
      <c r="K33" s="458"/>
      <c r="L33" s="163"/>
      <c r="M33" s="163"/>
      <c r="O33" s="324">
        <f t="shared" si="8"/>
        <v>3.1343289062145865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'[22]Sch C'!D14</f>
        <v>0</v>
      </c>
      <c r="D34" s="480">
        <f>'[22]Sch C'!F14</f>
        <v>0</v>
      </c>
      <c r="E34" s="480">
        <f>+'[22]Sch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'[22]Sch C'!D15</f>
        <v>359359.16</v>
      </c>
      <c r="D35" s="480">
        <f>'[22]Sch C'!F15+359359.16</f>
        <v>0</v>
      </c>
      <c r="E35" s="480">
        <f>+'[22]Sch C'!H15</f>
        <v>0</v>
      </c>
      <c r="F35" s="166">
        <f t="shared" si="5"/>
        <v>359359.16</v>
      </c>
      <c r="G35" s="626"/>
      <c r="H35" s="480">
        <v>-359359.16000000003</v>
      </c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'[22]Sch C'!D16</f>
        <v>0</v>
      </c>
      <c r="D36" s="480">
        <f>'[22]Sch C'!F16-165161</f>
        <v>0</v>
      </c>
      <c r="E36" s="480">
        <f>+'[22]Sch C'!H16</f>
        <v>0</v>
      </c>
      <c r="F36" s="166">
        <f t="shared" si="5"/>
        <v>0</v>
      </c>
      <c r="G36" s="626"/>
      <c r="H36" s="480">
        <v>165161</v>
      </c>
      <c r="I36" s="166">
        <f t="shared" si="6"/>
        <v>165161</v>
      </c>
      <c r="J36" s="167">
        <f t="shared" si="7"/>
        <v>3.9288883507039053E-2</v>
      </c>
      <c r="K36" s="458"/>
      <c r="L36" s="163"/>
      <c r="M36" s="163"/>
      <c r="O36" s="324">
        <f t="shared" si="8"/>
        <v>7.4865599927473818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'[22]Sch C'!D17</f>
        <v>0</v>
      </c>
      <c r="D37" s="480">
        <f>'[22]Sch C'!F17</f>
        <v>0</v>
      </c>
      <c r="E37" s="480">
        <f>+'[22]Sch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'[22]Sch C'!D18</f>
        <v>13869.43</v>
      </c>
      <c r="D38" s="480">
        <f>'[22]Sch C'!F18</f>
        <v>0</v>
      </c>
      <c r="E38" s="480">
        <f>+'[22]Sch C'!H18</f>
        <v>0</v>
      </c>
      <c r="F38" s="166">
        <f t="shared" si="5"/>
        <v>13869.43</v>
      </c>
      <c r="G38" s="626"/>
      <c r="H38" s="166"/>
      <c r="I38" s="166">
        <f t="shared" si="6"/>
        <v>13869.43</v>
      </c>
      <c r="J38" s="167">
        <f t="shared" si="7"/>
        <v>3.2992923243322131E-3</v>
      </c>
      <c r="K38" s="458"/>
      <c r="L38" s="163"/>
      <c r="M38" s="163"/>
      <c r="O38" s="324">
        <f t="shared" si="8"/>
        <v>0.62868546303431394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'[22]Sch C'!D19</f>
        <v>23854.560000000001</v>
      </c>
      <c r="D39" s="480">
        <f>'[22]Sch C'!F19-1676</f>
        <v>0</v>
      </c>
      <c r="E39" s="480">
        <f>+'[22]Sch C'!H19</f>
        <v>0</v>
      </c>
      <c r="F39" s="166">
        <f t="shared" si="5"/>
        <v>23854.560000000001</v>
      </c>
      <c r="G39" s="626"/>
      <c r="H39" s="480">
        <v>1676</v>
      </c>
      <c r="I39" s="166">
        <f t="shared" si="6"/>
        <v>25530.560000000001</v>
      </c>
      <c r="J39" s="167">
        <f t="shared" si="7"/>
        <v>6.0732690992999008E-3</v>
      </c>
      <c r="K39" s="458"/>
      <c r="L39" s="163"/>
      <c r="M39" s="163"/>
      <c r="O39" s="324">
        <f t="shared" si="8"/>
        <v>1.1572712025746794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'[22]Sch C'!D20</f>
        <v>12577.61</v>
      </c>
      <c r="D40" s="480">
        <f>'[22]Sch C'!F20+4084</f>
        <v>0</v>
      </c>
      <c r="E40" s="480">
        <f>+'[22]Sch C'!H20</f>
        <v>0</v>
      </c>
      <c r="F40" s="166">
        <f t="shared" si="5"/>
        <v>12577.61</v>
      </c>
      <c r="G40" s="626"/>
      <c r="H40" s="480">
        <v>-4084</v>
      </c>
      <c r="I40" s="166">
        <f t="shared" si="6"/>
        <v>8493.61</v>
      </c>
      <c r="J40" s="167">
        <f t="shared" si="7"/>
        <v>2.0204797370094755E-3</v>
      </c>
      <c r="K40" s="458"/>
      <c r="L40" s="163"/>
      <c r="M40" s="163"/>
      <c r="O40" s="324">
        <f t="shared" si="8"/>
        <v>0.38500566610761072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'[22]Sch C'!D21</f>
        <v>11777.23</v>
      </c>
      <c r="D41" s="480">
        <f>'[22]Sch C'!F21-3750-7083</f>
        <v>0</v>
      </c>
      <c r="E41" s="480">
        <f>+'[22]Sch C'!H21</f>
        <v>0</v>
      </c>
      <c r="F41" s="166">
        <f t="shared" si="5"/>
        <v>11777.23</v>
      </c>
      <c r="G41" s="626"/>
      <c r="H41" s="480">
        <f>3750+7083</f>
        <v>10833</v>
      </c>
      <c r="I41" s="166">
        <f t="shared" si="6"/>
        <v>22610.23</v>
      </c>
      <c r="J41" s="167">
        <f t="shared" si="7"/>
        <v>5.3785741944972452E-3</v>
      </c>
      <c r="K41" s="458"/>
      <c r="L41" s="163"/>
      <c r="M41" s="163"/>
      <c r="O41" s="324">
        <f t="shared" si="8"/>
        <v>1.0248959702642673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'[22]Sch C'!D22</f>
        <v>0</v>
      </c>
      <c r="D42" s="480">
        <f>'[22]Sch C'!F22</f>
        <v>0</v>
      </c>
      <c r="E42" s="480">
        <f>+'[22]Sch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'[22]Sch C'!D23</f>
        <v>26958.54</v>
      </c>
      <c r="D43" s="480">
        <f>'[22]Sch C'!F23-18564</f>
        <v>0</v>
      </c>
      <c r="E43" s="480">
        <f>+'[22]Sch C'!H23</f>
        <v>0</v>
      </c>
      <c r="F43" s="166">
        <f t="shared" si="5"/>
        <v>26958.54</v>
      </c>
      <c r="G43" s="626"/>
      <c r="H43" s="480">
        <v>18564</v>
      </c>
      <c r="I43" s="166">
        <f t="shared" si="6"/>
        <v>45522.54</v>
      </c>
      <c r="J43" s="167">
        <f t="shared" si="7"/>
        <v>1.0829007883244382E-2</v>
      </c>
      <c r="K43" s="458"/>
      <c r="L43" s="163"/>
      <c r="M43" s="163"/>
      <c r="O43" s="324">
        <f t="shared" si="8"/>
        <v>2.0634848828248948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'[22]Sch C'!D24</f>
        <v>45814.78</v>
      </c>
      <c r="D44" s="480">
        <f>'[22]Sch C'!F24</f>
        <v>0</v>
      </c>
      <c r="E44" s="480">
        <f>+'[22]Sch C'!H24</f>
        <v>0</v>
      </c>
      <c r="F44" s="166">
        <f t="shared" si="5"/>
        <v>45814.78</v>
      </c>
      <c r="G44" s="626"/>
      <c r="H44" s="166"/>
      <c r="I44" s="166">
        <f t="shared" si="6"/>
        <v>45814.78</v>
      </c>
      <c r="J44" s="167">
        <f t="shared" si="7"/>
        <v>1.0898526615366959E-2</v>
      </c>
      <c r="K44" s="458"/>
      <c r="L44" s="163"/>
      <c r="M44" s="163"/>
      <c r="O44" s="324">
        <f t="shared" si="8"/>
        <v>2.0767317891301391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'[22]Sch C'!D25</f>
        <v>0</v>
      </c>
      <c r="D45" s="480">
        <f>'[22]Sch C'!F25</f>
        <v>0</v>
      </c>
      <c r="E45" s="480">
        <f>+'[22]Sch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'[22]Sch C'!D26</f>
        <v>430866.26</v>
      </c>
      <c r="D46" s="480">
        <f>'[22]Sch C'!F26</f>
        <v>0</v>
      </c>
      <c r="E46" s="480">
        <f>+'[22]Sch C'!H26</f>
        <v>0</v>
      </c>
      <c r="F46" s="166">
        <f t="shared" si="5"/>
        <v>430866.26</v>
      </c>
      <c r="G46" s="626"/>
      <c r="H46" s="166"/>
      <c r="I46" s="166">
        <f t="shared" si="6"/>
        <v>430866.26</v>
      </c>
      <c r="J46" s="167">
        <f t="shared" si="7"/>
        <v>0.10249546985216607</v>
      </c>
      <c r="K46" s="458"/>
      <c r="L46" s="163"/>
      <c r="M46" s="163"/>
      <c r="O46" s="324">
        <f t="shared" si="8"/>
        <v>19.530676759893023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'[22]Sch C'!D27</f>
        <v>0</v>
      </c>
      <c r="D47" s="480">
        <f>'[22]Sch C'!F27-9763</f>
        <v>0.45999999999912689</v>
      </c>
      <c r="E47" s="480">
        <f>+'[22]Sch C'!H27</f>
        <v>0</v>
      </c>
      <c r="F47" s="166">
        <f t="shared" si="5"/>
        <v>0.45999999999912689</v>
      </c>
      <c r="G47" s="626"/>
      <c r="H47" s="480">
        <v>9763.4599999999991</v>
      </c>
      <c r="I47" s="166">
        <f t="shared" si="6"/>
        <v>9763.9199999999983</v>
      </c>
      <c r="J47" s="167">
        <f t="shared" si="7"/>
        <v>2.3226640396464579E-3</v>
      </c>
      <c r="K47" s="458"/>
      <c r="L47" s="163"/>
      <c r="M47" s="163"/>
      <c r="O47" s="324">
        <f t="shared" si="8"/>
        <v>0.44258737137935716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'[22]Sch C'!D28</f>
        <v>0</v>
      </c>
      <c r="D48" s="480">
        <f>'[22]Sch C'!F28</f>
        <v>0</v>
      </c>
      <c r="E48" s="480">
        <f>+'[22]Sch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'[22]Sch C'!D29</f>
        <v>69466.36</v>
      </c>
      <c r="D49" s="480">
        <f>'[22]Sch C'!F29</f>
        <v>-69466.36</v>
      </c>
      <c r="E49" s="480">
        <f>+'[22]Sch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'[22]Sch C'!D30</f>
        <v>240</v>
      </c>
      <c r="D50" s="480">
        <f>'[22]Sch C'!F30</f>
        <v>-240</v>
      </c>
      <c r="E50" s="480">
        <f>+'[22]Sch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'[22]Sch C'!D31</f>
        <v>0</v>
      </c>
      <c r="D51" s="480">
        <f>'[22]Sch C'!F31</f>
        <v>0</v>
      </c>
      <c r="E51" s="480">
        <f>+'[22]Sch C'!H31</f>
        <v>0</v>
      </c>
      <c r="F51" s="166">
        <f t="shared" si="5"/>
        <v>0</v>
      </c>
      <c r="G51" s="626">
        <v>31387</v>
      </c>
      <c r="H51" s="166"/>
      <c r="I51" s="166">
        <f t="shared" si="6"/>
        <v>31387</v>
      </c>
      <c r="J51" s="167">
        <f t="shared" si="7"/>
        <v>7.4664126920727936E-3</v>
      </c>
      <c r="K51" s="458"/>
      <c r="L51" s="163"/>
      <c r="M51" s="163"/>
      <c r="O51" s="324">
        <f t="shared" si="8"/>
        <v>1.4227369566202801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'[22]Sch C'!D32</f>
        <v>114822.78</v>
      </c>
      <c r="D52" s="480">
        <f>'[22]Sch C'!F32-3839</f>
        <v>0</v>
      </c>
      <c r="E52" s="480">
        <f>+'[22]Sch C'!H32</f>
        <v>0</v>
      </c>
      <c r="F52" s="166">
        <f t="shared" si="5"/>
        <v>114822.78</v>
      </c>
      <c r="G52" s="626"/>
      <c r="H52" s="480">
        <v>3839</v>
      </c>
      <c r="I52" s="166">
        <f t="shared" si="6"/>
        <v>118661.78</v>
      </c>
      <c r="J52" s="167">
        <f t="shared" si="7"/>
        <v>2.8227540709718977E-2</v>
      </c>
      <c r="K52" s="458"/>
      <c r="L52" s="163"/>
      <c r="M52" s="163"/>
      <c r="O52" s="324">
        <f t="shared" si="8"/>
        <v>5.3788033180726167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'[22]Sch C'!D33</f>
        <v>0</v>
      </c>
      <c r="D53" s="480">
        <f>'[22]Sch C'!F33</f>
        <v>0</v>
      </c>
      <c r="E53" s="480">
        <f>+'[22]Sch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'[22]Sch C'!D34</f>
        <v>0</v>
      </c>
      <c r="D54" s="480">
        <f>'[22]Sch C'!F34</f>
        <v>0</v>
      </c>
      <c r="E54" s="480">
        <f>+'[22]Sch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'[22]Sch C'!D35</f>
        <v>0</v>
      </c>
      <c r="D55" s="480">
        <f>'[22]Sch C'!F35</f>
        <v>0</v>
      </c>
      <c r="E55" s="480">
        <f>+'[22]Sch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'[22]Sch C'!D36</f>
        <v>0</v>
      </c>
      <c r="D56" s="480">
        <f>'[22]Sch C'!F36</f>
        <v>0</v>
      </c>
      <c r="E56" s="480">
        <f>+'[22]Sch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'[22]Sch C'!D37</f>
        <v>0</v>
      </c>
      <c r="D57" s="480">
        <f>'[22]Sch C'!F37</f>
        <v>0</v>
      </c>
      <c r="E57" s="480">
        <f>+'[22]Sch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'[22]Sch C'!D38</f>
        <v>0</v>
      </c>
      <c r="D58" s="480">
        <f>'[22]Sch C'!F38</f>
        <v>0</v>
      </c>
      <c r="E58" s="480">
        <f>+'[22]Sch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'[22]Sch C'!D39</f>
        <v>9999.82</v>
      </c>
      <c r="D59" s="480">
        <f>'[22]Sch C'!F39-2737</f>
        <v>0</v>
      </c>
      <c r="E59" s="480">
        <f>+'[22]Sch C'!H39</f>
        <v>0</v>
      </c>
      <c r="F59" s="166">
        <f t="shared" si="5"/>
        <v>9999.82</v>
      </c>
      <c r="G59" s="626"/>
      <c r="H59" s="480">
        <v>2737</v>
      </c>
      <c r="I59" s="166">
        <f t="shared" si="6"/>
        <v>12736.82</v>
      </c>
      <c r="J59" s="167">
        <f t="shared" si="7"/>
        <v>3.0298644185378213E-3</v>
      </c>
      <c r="K59" s="458"/>
      <c r="L59" s="163"/>
      <c r="M59" s="163"/>
      <c r="O59" s="324">
        <f t="shared" si="8"/>
        <v>0.57734554190653187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'[22]Sch C'!D40</f>
        <v>2623.03</v>
      </c>
      <c r="D60" s="480">
        <f>'[22]Sch C'!F40</f>
        <v>-2623.03</v>
      </c>
      <c r="E60" s="480">
        <f>+'[22]Sch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'[22]Sch C'!D41</f>
        <v>14053.33</v>
      </c>
      <c r="D61" s="480">
        <f>'[22]Sch C'!F41-32030</f>
        <v>0</v>
      </c>
      <c r="E61" s="480">
        <f>+'[22]Sch C'!H41</f>
        <v>0</v>
      </c>
      <c r="F61" s="166">
        <f t="shared" si="5"/>
        <v>14053.33</v>
      </c>
      <c r="G61" s="626"/>
      <c r="H61" s="480">
        <v>32030</v>
      </c>
      <c r="I61" s="166">
        <f t="shared" si="6"/>
        <v>46083.33</v>
      </c>
      <c r="J61" s="167">
        <f t="shared" si="7"/>
        <v>1.0962409915091564E-2</v>
      </c>
      <c r="K61" s="458"/>
      <c r="L61" s="163"/>
      <c r="M61" s="163"/>
      <c r="O61" s="324">
        <f t="shared" si="8"/>
        <v>2.088904854721001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'[22]Sch C'!D42</f>
        <v>25.5</v>
      </c>
      <c r="D62" s="480">
        <f>'[22]Sch C'!F42-1859</f>
        <v>0</v>
      </c>
      <c r="E62" s="480">
        <f>+'[22]Sch C'!H42</f>
        <v>0</v>
      </c>
      <c r="F62" s="166">
        <f t="shared" si="5"/>
        <v>25.5</v>
      </c>
      <c r="G62" s="626">
        <v>126</v>
      </c>
      <c r="H62" s="480">
        <v>1859</v>
      </c>
      <c r="I62" s="166">
        <f t="shared" si="6"/>
        <v>2010.5</v>
      </c>
      <c r="J62" s="167">
        <f t="shared" si="7"/>
        <v>4.782624244882388E-4</v>
      </c>
      <c r="K62" s="458"/>
      <c r="L62" s="163"/>
      <c r="M62" s="163"/>
      <c r="O62" s="324">
        <f t="shared" si="8"/>
        <v>9.1133674810752005E-2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'[22]Sch C'!D43</f>
        <v>0</v>
      </c>
      <c r="D63" s="480">
        <f>'[22]Sch C'!F43</f>
        <v>0</v>
      </c>
      <c r="E63" s="480">
        <f>+'[22]Sch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'[22]Sch C'!D44</f>
        <v>0</v>
      </c>
      <c r="D64" s="480">
        <f>'[22]Sch C'!F44</f>
        <v>0</v>
      </c>
      <c r="E64" s="480">
        <f>+'[22]Sch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'[22]Sch C'!D45</f>
        <v>8419.59</v>
      </c>
      <c r="D65" s="480">
        <f>'[22]Sch C'!F45-287</f>
        <v>339.37</v>
      </c>
      <c r="E65" s="480">
        <f>+'[22]Sch C'!H45</f>
        <v>0</v>
      </c>
      <c r="F65" s="166">
        <f t="shared" si="5"/>
        <v>8758.9600000000009</v>
      </c>
      <c r="G65" s="626">
        <v>164</v>
      </c>
      <c r="H65" s="480">
        <v>287</v>
      </c>
      <c r="I65" s="166">
        <f t="shared" si="6"/>
        <v>9209.9600000000009</v>
      </c>
      <c r="J65" s="167">
        <f t="shared" si="7"/>
        <v>2.1908867441132558E-3</v>
      </c>
      <c r="K65" s="458" t="s">
        <v>479</v>
      </c>
      <c r="L65" s="163"/>
      <c r="M65" s="163"/>
      <c r="O65" s="324">
        <f t="shared" si="8"/>
        <v>0.41747699560310053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1475979.0300000005</v>
      </c>
      <c r="D66" s="480">
        <f t="shared" si="9"/>
        <v>-87551.56</v>
      </c>
      <c r="E66" s="480">
        <f t="shared" si="9"/>
        <v>0</v>
      </c>
      <c r="F66" s="166">
        <f t="shared" ref="F66:I66" si="10">SUM(F30:F65)</f>
        <v>1388427.4700000002</v>
      </c>
      <c r="G66" s="166">
        <f t="shared" si="10"/>
        <v>27697</v>
      </c>
      <c r="H66" s="166">
        <f t="shared" si="10"/>
        <v>-116693.70000000004</v>
      </c>
      <c r="I66" s="166">
        <f t="shared" si="10"/>
        <v>1299430.77</v>
      </c>
      <c r="J66" s="178">
        <f t="shared" si="7"/>
        <v>0.30911161925631386</v>
      </c>
      <c r="K66" s="465"/>
      <c r="L66" s="163"/>
      <c r="M66" s="163"/>
      <c r="O66" s="329">
        <f>I66/I$233</f>
        <v>58.901716603961745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'[22]Sch C'!D57</f>
        <v>911040</v>
      </c>
      <c r="D69" s="480">
        <f>'[22]Sch C'!F57</f>
        <v>0</v>
      </c>
      <c r="E69" s="480">
        <f>+'[22]Sch C'!H57</f>
        <v>-911040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'[22]Sch C'!D58</f>
        <v>3636.84</v>
      </c>
      <c r="D70" s="480">
        <f>'[22]Sch C'!F58-4886</f>
        <v>0</v>
      </c>
      <c r="E70" s="480">
        <f>+'[22]Sch C'!H58</f>
        <v>52568.959999999999</v>
      </c>
      <c r="F70" s="166">
        <f t="shared" ref="F70:F83" si="13">C70+D70+E70</f>
        <v>56205.8</v>
      </c>
      <c r="G70" s="626"/>
      <c r="H70" s="480">
        <v>4886</v>
      </c>
      <c r="I70" s="166">
        <f t="shared" ref="I70:I83" si="14">F70+G70+H70</f>
        <v>61091.8</v>
      </c>
      <c r="J70" s="167">
        <f t="shared" si="11"/>
        <v>1.4532659728600144E-2</v>
      </c>
      <c r="K70" s="458"/>
      <c r="L70" s="182"/>
      <c r="M70" s="163"/>
      <c r="O70" s="324">
        <f t="shared" si="12"/>
        <v>2.7692217034585922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'[22]Sch C'!D59</f>
        <v>0</v>
      </c>
      <c r="D71" s="480">
        <f>'[22]Sch C'!F59</f>
        <v>0</v>
      </c>
      <c r="E71" s="480">
        <f>+'[22]Sch C'!H59</f>
        <v>149470.14000000001</v>
      </c>
      <c r="F71" s="166">
        <f t="shared" si="13"/>
        <v>149470.14000000001</v>
      </c>
      <c r="G71" s="626"/>
      <c r="H71" s="166"/>
      <c r="I71" s="166">
        <f t="shared" si="14"/>
        <v>149470.14000000001</v>
      </c>
      <c r="J71" s="167">
        <f t="shared" si="11"/>
        <v>3.5556305170353887E-2</v>
      </c>
      <c r="K71" s="458"/>
      <c r="L71" s="182"/>
      <c r="M71" s="163"/>
      <c r="O71" s="324">
        <f t="shared" si="12"/>
        <v>6.7753111826299808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'[22]Sch C'!D60</f>
        <v>29251.66</v>
      </c>
      <c r="D72" s="480">
        <f>'[22]Sch C'!F60</f>
        <v>1249.44</v>
      </c>
      <c r="E72" s="480">
        <f>+'[22]Sch C'!H60</f>
        <v>0</v>
      </c>
      <c r="F72" s="166">
        <f t="shared" si="13"/>
        <v>30501.1</v>
      </c>
      <c r="G72" s="626"/>
      <c r="H72" s="166"/>
      <c r="I72" s="166">
        <f t="shared" si="14"/>
        <v>30501.1</v>
      </c>
      <c r="J72" s="167">
        <f t="shared" si="11"/>
        <v>7.2556727359155537E-3</v>
      </c>
      <c r="K72" s="458"/>
      <c r="L72" s="185"/>
      <c r="M72" s="163"/>
      <c r="O72" s="324">
        <f t="shared" si="12"/>
        <v>1.3825801187616154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'[22]Sch C'!D61</f>
        <v>10219.049999999999</v>
      </c>
      <c r="D73" s="480">
        <f>'[22]Sch C'!F61-1097</f>
        <v>0</v>
      </c>
      <c r="E73" s="480">
        <f>+'[22]Sch C'!H61</f>
        <v>0</v>
      </c>
      <c r="F73" s="166">
        <f t="shared" si="13"/>
        <v>10219.049999999999</v>
      </c>
      <c r="G73" s="626"/>
      <c r="H73" s="480">
        <v>1097</v>
      </c>
      <c r="I73" s="166">
        <f t="shared" si="14"/>
        <v>11316.05</v>
      </c>
      <c r="J73" s="167">
        <f t="shared" si="11"/>
        <v>2.691888340527299E-3</v>
      </c>
      <c r="K73" s="458"/>
      <c r="L73" s="185"/>
      <c r="M73" s="163"/>
      <c r="O73" s="324">
        <f t="shared" si="12"/>
        <v>0.51294365622591898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'[22]Sch C'!D62</f>
        <v>9488.14</v>
      </c>
      <c r="D74" s="480">
        <f>'[22]Sch C'!F62</f>
        <v>0</v>
      </c>
      <c r="E74" s="480">
        <f>+'[22]Sch C'!H62</f>
        <v>0</v>
      </c>
      <c r="F74" s="166">
        <f t="shared" si="13"/>
        <v>9488.14</v>
      </c>
      <c r="G74" s="626"/>
      <c r="H74" s="166"/>
      <c r="I74" s="166">
        <f t="shared" si="14"/>
        <v>9488.14</v>
      </c>
      <c r="J74" s="167">
        <f t="shared" si="11"/>
        <v>2.2570608506758704E-3</v>
      </c>
      <c r="K74" s="458"/>
      <c r="L74" s="187"/>
      <c r="M74" s="163"/>
      <c r="O74" s="324">
        <f t="shared" si="12"/>
        <v>0.43008657812429169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'[22]Sch C'!D63</f>
        <v>0</v>
      </c>
      <c r="D75" s="480">
        <f>'[22]Sch C'!F63</f>
        <v>0</v>
      </c>
      <c r="E75" s="480">
        <f>+'[22]Sch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'[22]Sch C'!D64</f>
        <v>0</v>
      </c>
      <c r="D76" s="480">
        <f>'[22]Sch C'!F64</f>
        <v>0</v>
      </c>
      <c r="E76" s="480">
        <f>+'[22]Sch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'[22]Sch C'!D65</f>
        <v>0</v>
      </c>
      <c r="D77" s="480">
        <f>'[22]Sch C'!F65</f>
        <v>0</v>
      </c>
      <c r="E77" s="480">
        <f>+'[22]Sch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'[22]Sch C'!D66</f>
        <v>0</v>
      </c>
      <c r="D78" s="480">
        <f>'[22]Sch C'!F66</f>
        <v>0</v>
      </c>
      <c r="E78" s="480">
        <f>+'[22]Sch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'[22]Sch C'!D67</f>
        <v>6702.82</v>
      </c>
      <c r="D79" s="480">
        <f>'[22]Sch C'!F67-15766</f>
        <v>0</v>
      </c>
      <c r="E79" s="480">
        <f>+'[22]Sch C'!H67</f>
        <v>250.48</v>
      </c>
      <c r="F79" s="166">
        <f t="shared" si="13"/>
        <v>6953.2999999999993</v>
      </c>
      <c r="G79" s="626"/>
      <c r="H79" s="480">
        <v>15766</v>
      </c>
      <c r="I79" s="166">
        <f t="shared" si="14"/>
        <v>22719.3</v>
      </c>
      <c r="J79" s="167">
        <f t="shared" si="11"/>
        <v>5.4045200202316058E-3</v>
      </c>
      <c r="K79" s="458"/>
      <c r="L79" s="187"/>
      <c r="M79" s="163"/>
      <c r="O79" s="324">
        <f t="shared" si="12"/>
        <v>1.0298399891210734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'[22]Sch C'!D68</f>
        <v>0</v>
      </c>
      <c r="D80" s="480">
        <f>'[22]Sch C'!F68</f>
        <v>0</v>
      </c>
      <c r="E80" s="480">
        <f>+'[22]Sch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'[22]Sch C'!D69</f>
        <v>3583.47</v>
      </c>
      <c r="D81" s="480">
        <f>'[22]Sch C'!F69</f>
        <v>-2.81</v>
      </c>
      <c r="E81" s="480">
        <f>+'[22]Sch C'!H69</f>
        <v>0</v>
      </c>
      <c r="F81" s="166">
        <f t="shared" si="13"/>
        <v>3580.66</v>
      </c>
      <c r="G81" s="626"/>
      <c r="H81" s="166"/>
      <c r="I81" s="166">
        <f t="shared" si="14"/>
        <v>3580.66</v>
      </c>
      <c r="J81" s="167">
        <f t="shared" si="11"/>
        <v>8.517757437791878E-4</v>
      </c>
      <c r="K81" s="458"/>
      <c r="L81" s="187"/>
      <c r="M81" s="163"/>
      <c r="O81" s="324">
        <f t="shared" si="12"/>
        <v>0.16230723901908345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'[22]Sch C'!D70</f>
        <v>0</v>
      </c>
      <c r="D82" s="480">
        <f>'[22]Sch C'!F70</f>
        <v>0</v>
      </c>
      <c r="E82" s="480">
        <f>+'[22]Sch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'[22]Sch C'!D71</f>
        <v>0</v>
      </c>
      <c r="D83" s="480">
        <f>'[22]Sch C'!F71</f>
        <v>0</v>
      </c>
      <c r="E83" s="480">
        <f>+'[22]Sch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973921.98</v>
      </c>
      <c r="D84" s="480">
        <f t="shared" si="15"/>
        <v>1246.6300000000001</v>
      </c>
      <c r="E84" s="480">
        <f t="shared" si="15"/>
        <v>-708750.42</v>
      </c>
      <c r="F84" s="166">
        <f t="shared" ref="F84:I84" si="16">SUM(F69:F83)</f>
        <v>266418.18999999994</v>
      </c>
      <c r="G84" s="166">
        <f t="shared" si="16"/>
        <v>0</v>
      </c>
      <c r="H84" s="166">
        <f t="shared" si="16"/>
        <v>21749</v>
      </c>
      <c r="I84" s="166">
        <f t="shared" si="16"/>
        <v>288167.18999999994</v>
      </c>
      <c r="J84" s="167">
        <f t="shared" si="11"/>
        <v>6.854988259008353E-2</v>
      </c>
      <c r="K84" s="458"/>
      <c r="L84" s="187"/>
      <c r="M84" s="163"/>
      <c r="O84" s="324">
        <f t="shared" si="12"/>
        <v>13.062290467340553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'[22]Sch C'!D75</f>
        <v>61728.94</v>
      </c>
      <c r="D87" s="480">
        <f>'[22]Sch C'!F75</f>
        <v>0</v>
      </c>
      <c r="E87" s="480">
        <f>+'[22]Sch C'!H75</f>
        <v>0</v>
      </c>
      <c r="F87" s="166">
        <f t="shared" ref="F87:F97" si="17">C87+D87+E87</f>
        <v>61728.94</v>
      </c>
      <c r="G87" s="626"/>
      <c r="H87" s="166"/>
      <c r="I87" s="166">
        <f t="shared" ref="I87:I97" si="18">F87+G87+H87</f>
        <v>61728.94</v>
      </c>
      <c r="J87" s="167">
        <f t="shared" ref="J87:J98" si="19">IF($I$213=0,0,I87/$I$213)</f>
        <v>1.4684224076343708E-2</v>
      </c>
      <c r="K87" s="458"/>
      <c r="L87" s="176">
        <v>4204.79</v>
      </c>
      <c r="M87" s="176">
        <v>4515.29</v>
      </c>
      <c r="O87" s="324">
        <f t="shared" ref="O87:O97" si="20">I87/I$233</f>
        <v>2.7981025338833234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'[22]Sch C'!D76</f>
        <v>22264.55</v>
      </c>
      <c r="D88" s="480">
        <f>'[22]Sch C'!F76</f>
        <v>0</v>
      </c>
      <c r="E88" s="480">
        <f>+'[22]Sch C'!H76</f>
        <v>0</v>
      </c>
      <c r="F88" s="166">
        <f t="shared" si="17"/>
        <v>22264.55</v>
      </c>
      <c r="G88" s="626">
        <v>-1181</v>
      </c>
      <c r="H88" s="166"/>
      <c r="I88" s="166">
        <f t="shared" si="18"/>
        <v>21083.55</v>
      </c>
      <c r="J88" s="167">
        <f t="shared" si="19"/>
        <v>5.0154039989151987E-3</v>
      </c>
      <c r="K88" s="458"/>
      <c r="L88" s="163"/>
      <c r="M88" s="163"/>
      <c r="O88" s="324">
        <f t="shared" si="20"/>
        <v>0.95569330492724713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'[22]Sch C'!D77</f>
        <v>12147.52</v>
      </c>
      <c r="D89" s="480">
        <f>'[22]Sch C'!F77</f>
        <v>0</v>
      </c>
      <c r="E89" s="480">
        <f>+'[22]Sch C'!H77</f>
        <v>0</v>
      </c>
      <c r="F89" s="166">
        <f t="shared" si="17"/>
        <v>12147.52</v>
      </c>
      <c r="G89" s="626">
        <v>-683</v>
      </c>
      <c r="H89" s="166"/>
      <c r="I89" s="166">
        <f t="shared" si="18"/>
        <v>11464.52</v>
      </c>
      <c r="J89" s="167">
        <f t="shared" si="19"/>
        <v>2.7272067300641153E-3</v>
      </c>
      <c r="K89" s="458"/>
      <c r="L89" s="163"/>
      <c r="M89" s="163"/>
      <c r="O89" s="324">
        <f t="shared" si="20"/>
        <v>0.51967363220162277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'[22]Sch C'!D78</f>
        <v>4227.96</v>
      </c>
      <c r="D90" s="480">
        <f>'[22]Sch C'!F78-1089</f>
        <v>0</v>
      </c>
      <c r="E90" s="480">
        <f>+'[22]Sch C'!H78</f>
        <v>0</v>
      </c>
      <c r="F90" s="166">
        <f t="shared" si="17"/>
        <v>4227.96</v>
      </c>
      <c r="G90" s="626"/>
      <c r="H90" s="480">
        <v>1089</v>
      </c>
      <c r="I90" s="166">
        <f t="shared" si="18"/>
        <v>5316.96</v>
      </c>
      <c r="J90" s="167">
        <f t="shared" si="19"/>
        <v>1.2648108333782574E-3</v>
      </c>
      <c r="K90" s="458"/>
      <c r="L90" s="163"/>
      <c r="M90" s="163"/>
      <c r="O90" s="324">
        <f t="shared" si="20"/>
        <v>0.2410117401749694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'[22]Sch C'!D79</f>
        <v>15122.35</v>
      </c>
      <c r="D91" s="480">
        <f>'[22]Sch C'!F79</f>
        <v>0</v>
      </c>
      <c r="E91" s="480">
        <f>+'[22]Sch C'!H79</f>
        <v>0</v>
      </c>
      <c r="F91" s="166">
        <f t="shared" si="17"/>
        <v>15122.35</v>
      </c>
      <c r="G91" s="626"/>
      <c r="H91" s="166"/>
      <c r="I91" s="166">
        <f t="shared" si="18"/>
        <v>15122.35</v>
      </c>
      <c r="J91" s="167">
        <f t="shared" si="19"/>
        <v>3.5973398532502953E-3</v>
      </c>
      <c r="K91" s="458"/>
      <c r="L91" s="163"/>
      <c r="M91" s="163"/>
      <c r="O91" s="324">
        <f t="shared" si="20"/>
        <v>0.68547889941525775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'[22]Sch C'!D80</f>
        <v>17333.419999999998</v>
      </c>
      <c r="D92" s="480">
        <f>'[22]Sch C'!F80</f>
        <v>0</v>
      </c>
      <c r="E92" s="480">
        <f>+'[22]Sch C'!H80</f>
        <v>0</v>
      </c>
      <c r="F92" s="166">
        <f t="shared" si="17"/>
        <v>17333.419999999998</v>
      </c>
      <c r="G92" s="626">
        <v>-729</v>
      </c>
      <c r="H92" s="166"/>
      <c r="I92" s="166">
        <f t="shared" si="18"/>
        <v>16604.419999999998</v>
      </c>
      <c r="J92" s="167">
        <f t="shared" si="19"/>
        <v>3.9498981180905255E-3</v>
      </c>
      <c r="K92" s="458"/>
      <c r="L92" s="163"/>
      <c r="M92" s="163"/>
      <c r="O92" s="324">
        <f t="shared" si="20"/>
        <v>0.75265944426816545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'[22]Sch C'!D81</f>
        <v>2304.29</v>
      </c>
      <c r="D93" s="480">
        <f>'[22]Sch C'!F81</f>
        <v>0</v>
      </c>
      <c r="E93" s="480">
        <f>+'[22]Sch C'!H81</f>
        <v>0</v>
      </c>
      <c r="F93" s="166">
        <f t="shared" si="17"/>
        <v>2304.29</v>
      </c>
      <c r="G93" s="626"/>
      <c r="H93" s="166"/>
      <c r="I93" s="166">
        <f t="shared" si="18"/>
        <v>2304.29</v>
      </c>
      <c r="J93" s="167">
        <f t="shared" si="19"/>
        <v>5.4814987422233466E-4</v>
      </c>
      <c r="K93" s="458"/>
      <c r="L93" s="163"/>
      <c r="M93" s="163"/>
      <c r="O93" s="324">
        <f t="shared" si="20"/>
        <v>0.10445084085036943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'[22]Sch C'!D82</f>
        <v>0</v>
      </c>
      <c r="D94" s="480">
        <f>'[22]Sch C'!F82</f>
        <v>0</v>
      </c>
      <c r="E94" s="480">
        <f>+'[22]Sch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'[22]Sch C'!D83</f>
        <v>0</v>
      </c>
      <c r="D95" s="480">
        <f>'[22]Sch C'!F83</f>
        <v>0</v>
      </c>
      <c r="E95" s="480">
        <f>+'[22]Sch C'!H83</f>
        <v>0</v>
      </c>
      <c r="F95" s="166">
        <f t="shared" si="17"/>
        <v>0</v>
      </c>
      <c r="G95" s="626">
        <v>1412</v>
      </c>
      <c r="H95" s="166"/>
      <c r="I95" s="166">
        <f t="shared" si="18"/>
        <v>1412</v>
      </c>
      <c r="J95" s="167">
        <f t="shared" si="19"/>
        <v>3.358898499763209E-4</v>
      </c>
      <c r="K95" s="458"/>
      <c r="L95" s="163"/>
      <c r="M95" s="163"/>
      <c r="O95" s="324">
        <f t="shared" si="20"/>
        <v>6.4004351570645032E-2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'[22]Sch C'!D84</f>
        <v>125367.67999999999</v>
      </c>
      <c r="D96" s="480">
        <f>'[22]Sch C'!F84-525</f>
        <v>0</v>
      </c>
      <c r="E96" s="480">
        <f>+'[22]Sch C'!H84</f>
        <v>0</v>
      </c>
      <c r="F96" s="166">
        <f t="shared" si="17"/>
        <v>125367.67999999999</v>
      </c>
      <c r="G96" s="626"/>
      <c r="H96" s="480">
        <v>525</v>
      </c>
      <c r="I96" s="166">
        <f t="shared" si="18"/>
        <v>125892.68</v>
      </c>
      <c r="J96" s="167">
        <f t="shared" si="19"/>
        <v>2.9947644049799556E-2</v>
      </c>
      <c r="K96" s="458"/>
      <c r="L96" s="163"/>
      <c r="M96" s="163"/>
      <c r="O96" s="324">
        <f t="shared" si="20"/>
        <v>5.7065717782512122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'[22]Sch C'!D85</f>
        <v>0</v>
      </c>
      <c r="D97" s="480">
        <f>'[22]Sch C'!F85</f>
        <v>0</v>
      </c>
      <c r="E97" s="480">
        <f>+'[22]Sch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260496.71000000002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260496.71000000002</v>
      </c>
      <c r="G98" s="166">
        <f t="shared" si="22"/>
        <v>-1181</v>
      </c>
      <c r="H98" s="166">
        <f t="shared" si="22"/>
        <v>1614</v>
      </c>
      <c r="I98" s="166">
        <f t="shared" si="22"/>
        <v>260929.71000000002</v>
      </c>
      <c r="J98" s="167">
        <f t="shared" si="19"/>
        <v>6.207056738404032E-2</v>
      </c>
      <c r="K98" s="458"/>
      <c r="L98" s="163"/>
      <c r="M98" s="163"/>
      <c r="O98" s="329">
        <f>I98/I$233</f>
        <v>11.827646525542814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'[22]Sch C'!D89</f>
        <v>149438.71</v>
      </c>
      <c r="D101" s="480">
        <f>'[22]Sch C'!F89</f>
        <v>0</v>
      </c>
      <c r="E101" s="480">
        <f>+'[22]Sch C'!H89</f>
        <v>0</v>
      </c>
      <c r="F101" s="166">
        <f t="shared" ref="F101:F106" si="23">C101+D101+E101</f>
        <v>149438.71</v>
      </c>
      <c r="G101" s="626"/>
      <c r="H101" s="166"/>
      <c r="I101" s="166">
        <f t="shared" ref="I101:I106" si="24">F101+G101+H101</f>
        <v>149438.71</v>
      </c>
      <c r="J101" s="167">
        <f t="shared" ref="J101:J107" si="25">IF($I$213=0,0,I101/$I$213)</f>
        <v>3.554882852872162E-2</v>
      </c>
      <c r="K101" s="458"/>
      <c r="L101" s="176">
        <v>17051.64</v>
      </c>
      <c r="M101" s="176">
        <v>17964.64</v>
      </c>
      <c r="O101" s="329">
        <f t="shared" ref="O101:O106" si="26">I101/I$233</f>
        <v>6.7738864965323415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'[22]Sch C'!D90</f>
        <v>34868.949999999997</v>
      </c>
      <c r="D102" s="480">
        <f>'[22]Sch C'!F90</f>
        <v>0</v>
      </c>
      <c r="E102" s="480">
        <f>+'[22]Sch C'!H90</f>
        <v>0</v>
      </c>
      <c r="F102" s="166">
        <f t="shared" si="23"/>
        <v>34868.949999999997</v>
      </c>
      <c r="G102" s="626">
        <v>-2860</v>
      </c>
      <c r="H102" s="166"/>
      <c r="I102" s="166">
        <f t="shared" si="24"/>
        <v>32008.949999999997</v>
      </c>
      <c r="J102" s="167">
        <f t="shared" si="25"/>
        <v>7.6143636072234814E-3</v>
      </c>
      <c r="K102" s="458"/>
      <c r="L102" s="163"/>
      <c r="M102" s="163"/>
      <c r="O102" s="329">
        <f t="shared" si="26"/>
        <v>1.4509292416481572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'[22]Sch C'!D91</f>
        <v>19570</v>
      </c>
      <c r="D103" s="480">
        <f>'[22]Sch C'!F91</f>
        <v>0</v>
      </c>
      <c r="E103" s="480">
        <f>+'[22]Sch C'!H91</f>
        <v>0</v>
      </c>
      <c r="F103" s="166">
        <f t="shared" si="23"/>
        <v>19570</v>
      </c>
      <c r="G103" s="626">
        <v>240</v>
      </c>
      <c r="H103" s="166"/>
      <c r="I103" s="166">
        <f t="shared" si="24"/>
        <v>19810</v>
      </c>
      <c r="J103" s="167">
        <f t="shared" si="25"/>
        <v>4.7124489575289781E-3</v>
      </c>
      <c r="K103" s="458"/>
      <c r="L103" s="163"/>
      <c r="M103" s="163"/>
      <c r="O103" s="329">
        <f t="shared" si="26"/>
        <v>0.8979647341462309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'[22]Sch C'!D92</f>
        <v>178893.94</v>
      </c>
      <c r="D104" s="480">
        <f>'[22]Sch C'!F92</f>
        <v>0</v>
      </c>
      <c r="E104" s="480">
        <f>+'[22]Sch C'!H92</f>
        <v>0</v>
      </c>
      <c r="F104" s="166">
        <f t="shared" si="23"/>
        <v>178893.94</v>
      </c>
      <c r="G104" s="626"/>
      <c r="H104" s="166"/>
      <c r="I104" s="166">
        <f t="shared" si="24"/>
        <v>178893.94</v>
      </c>
      <c r="J104" s="167">
        <f t="shared" si="25"/>
        <v>4.2555707272147983E-2</v>
      </c>
      <c r="K104" s="458"/>
      <c r="L104" s="163"/>
      <c r="M104" s="163"/>
      <c r="O104" s="329">
        <f t="shared" si="26"/>
        <v>8.1090585195594027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'[22]Sch C'!D93</f>
        <v>7311.29</v>
      </c>
      <c r="D105" s="480">
        <f>'[22]Sch C'!F93</f>
        <v>0</v>
      </c>
      <c r="E105" s="480">
        <f>+'[22]Sch C'!H93</f>
        <v>0</v>
      </c>
      <c r="F105" s="166">
        <f t="shared" si="23"/>
        <v>7311.29</v>
      </c>
      <c r="G105" s="626">
        <v>714</v>
      </c>
      <c r="H105" s="166"/>
      <c r="I105" s="166">
        <f t="shared" si="24"/>
        <v>8025.29</v>
      </c>
      <c r="J105" s="167">
        <f t="shared" si="25"/>
        <v>1.909074684218462E-3</v>
      </c>
      <c r="K105" s="458"/>
      <c r="L105" s="163"/>
      <c r="M105" s="163"/>
      <c r="O105" s="329">
        <f t="shared" si="26"/>
        <v>0.36377725397760752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'[22]Sch C'!D94</f>
        <v>11349.49</v>
      </c>
      <c r="D106" s="480">
        <f>'[22]Sch C'!F94</f>
        <v>0</v>
      </c>
      <c r="E106" s="480">
        <f>+'[22]Sch C'!H94</f>
        <v>0</v>
      </c>
      <c r="F106" s="166">
        <f t="shared" si="23"/>
        <v>11349.49</v>
      </c>
      <c r="G106" s="626">
        <f>-126-240-714</f>
        <v>-1080</v>
      </c>
      <c r="H106" s="166"/>
      <c r="I106" s="166">
        <f t="shared" si="24"/>
        <v>10269.49</v>
      </c>
      <c r="J106" s="167">
        <f t="shared" si="25"/>
        <v>2.4429302092304019E-3</v>
      </c>
      <c r="K106" s="458"/>
      <c r="L106" s="163"/>
      <c r="M106" s="163"/>
      <c r="O106" s="329">
        <f t="shared" si="26"/>
        <v>0.46550428357735368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401432.37999999995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401432.37999999995</v>
      </c>
      <c r="G107" s="166">
        <f t="shared" si="28"/>
        <v>-2986</v>
      </c>
      <c r="H107" s="166">
        <f t="shared" si="28"/>
        <v>0</v>
      </c>
      <c r="I107" s="166">
        <f t="shared" si="28"/>
        <v>398446.37999999995</v>
      </c>
      <c r="J107" s="167">
        <f t="shared" si="25"/>
        <v>9.4783353259070918E-2</v>
      </c>
      <c r="K107" s="458"/>
      <c r="L107" s="163"/>
      <c r="M107" s="163"/>
      <c r="O107" s="329">
        <f>I107/I$233</f>
        <v>18.061120529441094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'[22]Sch C'!D98</f>
        <v>36553.379999999997</v>
      </c>
      <c r="D110" s="480">
        <f>'[22]Sch C'!F98</f>
        <v>0</v>
      </c>
      <c r="E110" s="480">
        <f>+'[22]Sch C'!H98</f>
        <v>0</v>
      </c>
      <c r="F110" s="166">
        <f t="shared" ref="F110:F115" si="29">C110+D110+E110</f>
        <v>36553.379999999997</v>
      </c>
      <c r="G110" s="626"/>
      <c r="H110" s="166"/>
      <c r="I110" s="166">
        <f t="shared" ref="I110:I115" si="30">F110+G110+H110</f>
        <v>36553.379999999997</v>
      </c>
      <c r="J110" s="167">
        <f t="shared" ref="J110:J116" si="31">IF($I$213=0,0,I110/$I$213)</f>
        <v>8.6954032041979094E-3</v>
      </c>
      <c r="K110" s="458"/>
      <c r="L110" s="176">
        <v>3647.95</v>
      </c>
      <c r="M110" s="176">
        <v>4095.94</v>
      </c>
      <c r="O110" s="329">
        <f t="shared" ref="O110:O115" si="32">I110/I$233</f>
        <v>1.6569230769230767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'[22]Sch C'!D99</f>
        <v>15407.63</v>
      </c>
      <c r="D111" s="480">
        <f>'[22]Sch C'!F99</f>
        <v>0</v>
      </c>
      <c r="E111" s="480">
        <f>+'[22]Sch C'!H99</f>
        <v>0</v>
      </c>
      <c r="F111" s="166">
        <f t="shared" si="29"/>
        <v>15407.63</v>
      </c>
      <c r="G111" s="626">
        <v>-696</v>
      </c>
      <c r="H111" s="166"/>
      <c r="I111" s="166">
        <f t="shared" si="30"/>
        <v>14711.63</v>
      </c>
      <c r="J111" s="167">
        <f t="shared" si="31"/>
        <v>3.4996368226679476E-3</v>
      </c>
      <c r="K111" s="458"/>
      <c r="L111" s="163"/>
      <c r="M111" s="163"/>
      <c r="O111" s="329">
        <f t="shared" si="32"/>
        <v>0.66686142967227235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'[22]Sch C'!D100</f>
        <v>10084.030000000001</v>
      </c>
      <c r="D112" s="480">
        <f>'[22]Sch C'!F100</f>
        <v>0</v>
      </c>
      <c r="E112" s="480">
        <f>+'[22]Sch C'!H100</f>
        <v>0</v>
      </c>
      <c r="F112" s="166">
        <f t="shared" si="29"/>
        <v>10084.030000000001</v>
      </c>
      <c r="G112" s="626"/>
      <c r="H112" s="166"/>
      <c r="I112" s="166">
        <f t="shared" si="30"/>
        <v>10084.030000000001</v>
      </c>
      <c r="J112" s="167">
        <f t="shared" si="31"/>
        <v>2.3988125523064585E-3</v>
      </c>
      <c r="K112" s="458"/>
      <c r="L112" s="163"/>
      <c r="M112" s="163"/>
      <c r="O112" s="329">
        <f t="shared" si="32"/>
        <v>0.45709759303748698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'[22]Sch C'!D101</f>
        <v>0</v>
      </c>
      <c r="D113" s="480">
        <f>'[22]Sch C'!F101</f>
        <v>0</v>
      </c>
      <c r="E113" s="480">
        <f>+'[22]Sch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'[22]Sch C'!D102</f>
        <v>2704.02</v>
      </c>
      <c r="D114" s="480">
        <f>'[22]Sch C'!F102</f>
        <v>0</v>
      </c>
      <c r="E114" s="480">
        <f>+'[22]Sch C'!H102</f>
        <v>0</v>
      </c>
      <c r="F114" s="166">
        <f t="shared" si="29"/>
        <v>2704.02</v>
      </c>
      <c r="G114" s="626"/>
      <c r="H114" s="166"/>
      <c r="I114" s="166">
        <f t="shared" si="30"/>
        <v>2704.02</v>
      </c>
      <c r="J114" s="167">
        <f t="shared" si="31"/>
        <v>6.4323857799785506E-4</v>
      </c>
      <c r="K114" s="458"/>
      <c r="L114" s="163"/>
      <c r="M114" s="163"/>
      <c r="O114" s="329">
        <f t="shared" si="32"/>
        <v>0.12257014641222067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'[22]Sch C'!D103</f>
        <v>0</v>
      </c>
      <c r="D115" s="480">
        <f>'[22]Sch C'!F103</f>
        <v>0</v>
      </c>
      <c r="E115" s="480">
        <f>+'[22]Sch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64749.05999999999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64749.05999999999</v>
      </c>
      <c r="G116" s="166">
        <f t="shared" si="34"/>
        <v>-696</v>
      </c>
      <c r="H116" s="166">
        <f t="shared" si="34"/>
        <v>0</v>
      </c>
      <c r="I116" s="166">
        <f t="shared" si="34"/>
        <v>64053.05999999999</v>
      </c>
      <c r="J116" s="167">
        <f t="shared" si="31"/>
        <v>1.5237091157170169E-2</v>
      </c>
      <c r="K116" s="458"/>
      <c r="L116" s="163"/>
      <c r="M116" s="163"/>
      <c r="O116" s="329">
        <f>I116/I$233</f>
        <v>2.9034522460450565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'[22]Sch C'!D115</f>
        <v>87299.26</v>
      </c>
      <c r="D119" s="480">
        <f>'[22]Sch C'!F115</f>
        <v>0</v>
      </c>
      <c r="E119" s="480">
        <f>+'[22]Sch C'!H115</f>
        <v>0</v>
      </c>
      <c r="F119" s="166">
        <f t="shared" ref="F119:F123" si="35">C119+D119+E119</f>
        <v>87299.26</v>
      </c>
      <c r="G119" s="626"/>
      <c r="H119" s="166"/>
      <c r="I119" s="166">
        <f t="shared" ref="I119:I123" si="36">F119+G119+H119</f>
        <v>87299.26</v>
      </c>
      <c r="J119" s="167">
        <f t="shared" ref="J119:J124" si="37">IF($I$213=0,0,I119/$I$213)</f>
        <v>2.0766951377084866E-2</v>
      </c>
      <c r="K119" s="458"/>
      <c r="L119" s="176">
        <v>10694.17</v>
      </c>
      <c r="M119" s="176">
        <v>11468.8</v>
      </c>
      <c r="O119" s="329">
        <f t="shared" ref="O119:O124" si="38">I119/I$233</f>
        <v>3.9571760119668191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'[22]Sch C'!D116</f>
        <v>26642.55</v>
      </c>
      <c r="D120" s="480">
        <f>'[22]Sch C'!F116</f>
        <v>0</v>
      </c>
      <c r="E120" s="480">
        <f>+'[22]Sch C'!H116</f>
        <v>0</v>
      </c>
      <c r="F120" s="166">
        <f t="shared" si="35"/>
        <v>26642.55</v>
      </c>
      <c r="G120" s="626">
        <v>-1675</v>
      </c>
      <c r="H120" s="166"/>
      <c r="I120" s="166">
        <f t="shared" si="36"/>
        <v>24967.55</v>
      </c>
      <c r="J120" s="167">
        <f t="shared" si="37"/>
        <v>5.9393389686800925E-3</v>
      </c>
      <c r="K120" s="458"/>
      <c r="L120" s="163"/>
      <c r="M120" s="163"/>
      <c r="O120" s="329">
        <f t="shared" si="38"/>
        <v>1.1317506006074067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'[22]Sch C'!D117</f>
        <v>18350.46</v>
      </c>
      <c r="D121" s="480">
        <f>'[22]Sch C'!F117</f>
        <v>0</v>
      </c>
      <c r="E121" s="480">
        <f>+'[22]Sch C'!H117</f>
        <v>0</v>
      </c>
      <c r="F121" s="166">
        <f t="shared" si="35"/>
        <v>18350.46</v>
      </c>
      <c r="G121" s="626"/>
      <c r="H121" s="166"/>
      <c r="I121" s="166">
        <f t="shared" si="36"/>
        <v>18350.46</v>
      </c>
      <c r="J121" s="167">
        <f t="shared" si="37"/>
        <v>4.3652501815839078E-3</v>
      </c>
      <c r="K121" s="458"/>
      <c r="L121" s="163"/>
      <c r="M121" s="163"/>
      <c r="O121" s="329">
        <f t="shared" si="38"/>
        <v>0.83180544852907845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'[22]Sch C'!D118</f>
        <v>780.5</v>
      </c>
      <c r="D122" s="480">
        <f>'[22]Sch C'!F118</f>
        <v>0</v>
      </c>
      <c r="E122" s="480">
        <f>+'[22]Sch C'!H118</f>
        <v>0</v>
      </c>
      <c r="F122" s="166">
        <f t="shared" si="35"/>
        <v>780.5</v>
      </c>
      <c r="G122" s="626"/>
      <c r="H122" s="166"/>
      <c r="I122" s="166">
        <f t="shared" si="36"/>
        <v>780.5</v>
      </c>
      <c r="J122" s="167">
        <f t="shared" si="37"/>
        <v>1.8566715857402157E-4</v>
      </c>
      <c r="K122" s="458"/>
      <c r="L122" s="163"/>
      <c r="M122" s="163"/>
      <c r="O122" s="329">
        <f t="shared" si="38"/>
        <v>3.5379175921309097E-2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'[22]Sch C'!D119</f>
        <v>30.1</v>
      </c>
      <c r="D123" s="480">
        <f>'[22]Sch C'!F119</f>
        <v>0</v>
      </c>
      <c r="E123" s="480">
        <f>+'[22]Sch C'!H119</f>
        <v>0</v>
      </c>
      <c r="F123" s="166">
        <f t="shared" si="35"/>
        <v>30.1</v>
      </c>
      <c r="G123" s="626"/>
      <c r="H123" s="166"/>
      <c r="I123" s="166">
        <f t="shared" si="36"/>
        <v>30.1</v>
      </c>
      <c r="J123" s="167">
        <f t="shared" si="37"/>
        <v>7.1602581333479174E-6</v>
      </c>
      <c r="K123" s="458"/>
      <c r="L123" s="163"/>
      <c r="M123" s="163"/>
      <c r="O123" s="329">
        <f t="shared" si="38"/>
        <v>1.3643987126603508E-3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133102.87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133102.87</v>
      </c>
      <c r="G124" s="166">
        <f t="shared" si="40"/>
        <v>-1675</v>
      </c>
      <c r="H124" s="166">
        <f t="shared" si="40"/>
        <v>0</v>
      </c>
      <c r="I124" s="166">
        <f t="shared" si="40"/>
        <v>131427.87</v>
      </c>
      <c r="J124" s="167">
        <f t="shared" si="37"/>
        <v>3.1264367944056237E-2</v>
      </c>
      <c r="K124" s="458"/>
      <c r="L124" s="163"/>
      <c r="M124" s="163"/>
      <c r="O124" s="329">
        <f t="shared" si="38"/>
        <v>5.957475635737274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'[22]Sch C'!D124</f>
        <v>107516.93</v>
      </c>
      <c r="D128" s="480">
        <f>'[22]Sch C'!F124</f>
        <v>0</v>
      </c>
      <c r="E128" s="480">
        <f>+'[22]Sch C'!H124</f>
        <v>0</v>
      </c>
      <c r="F128" s="166">
        <f t="shared" ref="F128:F132" si="41">C128+D128+E128</f>
        <v>107516.93</v>
      </c>
      <c r="G128" s="626"/>
      <c r="H128" s="166"/>
      <c r="I128" s="166">
        <f t="shared" ref="I128:I132" si="42">F128+G128+H128</f>
        <v>107516.93</v>
      </c>
      <c r="J128" s="167">
        <f>IF($I$213=0,0,I128/$I$213)</f>
        <v>2.5576377824089655E-2</v>
      </c>
      <c r="K128" s="458"/>
      <c r="L128" s="176">
        <v>2678.95</v>
      </c>
      <c r="M128" s="176">
        <v>2678.95</v>
      </c>
      <c r="O128" s="329">
        <f t="shared" ref="O128:O165" si="43">I128/I$233</f>
        <v>4.8736199628303334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'[22]Sch C'!D125</f>
        <v>39885.78</v>
      </c>
      <c r="D129" s="480">
        <f>'[22]Sch C'!F125</f>
        <v>0</v>
      </c>
      <c r="E129" s="480">
        <f>+'[22]Sch C'!H125</f>
        <v>0</v>
      </c>
      <c r="F129" s="166">
        <f t="shared" si="41"/>
        <v>39885.78</v>
      </c>
      <c r="G129" s="626"/>
      <c r="H129" s="166"/>
      <c r="I129" s="166">
        <f t="shared" si="42"/>
        <v>39885.78</v>
      </c>
      <c r="J129" s="167">
        <f>IF($I$213=0,0,I129/$I$213)</f>
        <v>9.4881222807284282E-3</v>
      </c>
      <c r="K129" s="458"/>
      <c r="L129" s="176">
        <v>1816.23</v>
      </c>
      <c r="M129" s="176">
        <v>2028.08</v>
      </c>
      <c r="O129" s="329">
        <f t="shared" si="43"/>
        <v>1.8079769729386701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'[22]Sch C'!D126</f>
        <v>0</v>
      </c>
      <c r="D130" s="480">
        <f>'[22]Sch C'!F126</f>
        <v>0</v>
      </c>
      <c r="E130" s="480">
        <f>+'[22]Sch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'[22]Sch C'!D127</f>
        <v>0</v>
      </c>
      <c r="D131" s="480">
        <f>'[22]Sch C'!F127</f>
        <v>0</v>
      </c>
      <c r="E131" s="480">
        <f>+'[22]Sch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'[22]Sch C'!D128</f>
        <v>51444.82</v>
      </c>
      <c r="D132" s="480">
        <f>'[22]Sch C'!F128-29214</f>
        <v>0</v>
      </c>
      <c r="E132" s="480">
        <f>+'[22]Sch C'!H128</f>
        <v>0</v>
      </c>
      <c r="F132" s="166">
        <f t="shared" si="41"/>
        <v>51444.82</v>
      </c>
      <c r="G132" s="626"/>
      <c r="H132" s="480">
        <v>29214</v>
      </c>
      <c r="I132" s="166">
        <f t="shared" si="42"/>
        <v>80658.820000000007</v>
      </c>
      <c r="J132" s="167">
        <f>IF($I$213=0,0,I132/$I$213)</f>
        <v>1.9187308037582916E-2</v>
      </c>
      <c r="K132" s="458"/>
      <c r="L132" s="176">
        <v>3925.52</v>
      </c>
      <c r="M132" s="176">
        <v>4246.66</v>
      </c>
      <c r="O132" s="329">
        <f t="shared" si="43"/>
        <v>3.6561724309868096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'[22]Sch C'!D130</f>
        <v>21351.67</v>
      </c>
      <c r="D134" s="480">
        <f>'[22]Sch C'!F130</f>
        <v>0</v>
      </c>
      <c r="E134" s="480">
        <f>+'[22]Sch C'!H130</f>
        <v>0</v>
      </c>
      <c r="F134" s="166">
        <f t="shared" ref="F134:F138" si="44">C134+D134+E134</f>
        <v>21351.67</v>
      </c>
      <c r="G134" s="626">
        <v>-2039</v>
      </c>
      <c r="H134" s="166"/>
      <c r="I134" s="166">
        <f t="shared" ref="I134:I138" si="45">F134+G134+H134</f>
        <v>19312.669999999998</v>
      </c>
      <c r="J134" s="167">
        <f>IF($I$213=0,0,I134/$I$213)</f>
        <v>4.5941429383443292E-3</v>
      </c>
      <c r="K134" s="458"/>
      <c r="L134" s="196"/>
      <c r="M134" s="196"/>
      <c r="O134" s="329">
        <f t="shared" si="43"/>
        <v>0.87542133176193271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'[22]Sch C'!D131</f>
        <v>7920.87</v>
      </c>
      <c r="D135" s="480">
        <f>'[22]Sch C'!F131</f>
        <v>0</v>
      </c>
      <c r="E135" s="480">
        <f>+'[22]Sch C'!H131</f>
        <v>0</v>
      </c>
      <c r="F135" s="166">
        <f t="shared" si="44"/>
        <v>7920.87</v>
      </c>
      <c r="G135" s="626">
        <v>-757</v>
      </c>
      <c r="H135" s="166"/>
      <c r="I135" s="166">
        <f>F135+G135+H135</f>
        <v>7163.87</v>
      </c>
      <c r="J135" s="167">
        <f>IF($I$213=0,0,I135/$I$213)</f>
        <v>1.7041580874999052E-3</v>
      </c>
      <c r="K135" s="458"/>
      <c r="L135" s="196"/>
      <c r="M135" s="196"/>
      <c r="O135" s="329">
        <f t="shared" si="43"/>
        <v>0.32473006663342552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'[22]Sch C'!D132</f>
        <v>0</v>
      </c>
      <c r="D136" s="480">
        <f>'[22]Sch C'!F132</f>
        <v>0</v>
      </c>
      <c r="E136" s="480">
        <f>+'[22]Sch C'!H132</f>
        <v>0</v>
      </c>
      <c r="F136" s="166">
        <f t="shared" si="44"/>
        <v>0</v>
      </c>
      <c r="G136" s="626"/>
      <c r="H136" s="166"/>
      <c r="I136" s="166">
        <f>F136+G136+H136</f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'[22]Sch C'!D133</f>
        <v>0</v>
      </c>
      <c r="D137" s="480">
        <f>'[22]Sch C'!F133</f>
        <v>0</v>
      </c>
      <c r="E137" s="480">
        <f>+'[22]Sch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'[22]Sch C'!D134</f>
        <v>9861.27</v>
      </c>
      <c r="D138" s="480">
        <f>'[22]Sch C'!F134</f>
        <v>0</v>
      </c>
      <c r="E138" s="480">
        <f>+'[22]Sch C'!H134</f>
        <v>0</v>
      </c>
      <c r="F138" s="166">
        <f t="shared" si="44"/>
        <v>9861.27</v>
      </c>
      <c r="G138" s="626">
        <v>-987</v>
      </c>
      <c r="H138" s="166"/>
      <c r="I138" s="166">
        <f t="shared" si="45"/>
        <v>8874.27</v>
      </c>
      <c r="J138" s="167">
        <f>IF($I$213=0,0,I138/$I$213)</f>
        <v>2.1110320247516752E-3</v>
      </c>
      <c r="K138" s="458"/>
      <c r="L138" s="163"/>
      <c r="M138" s="163"/>
      <c r="O138" s="329">
        <f t="shared" si="43"/>
        <v>0.40226055029237118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'[22]Sch C'!D136</f>
        <v>234150.16</v>
      </c>
      <c r="D140" s="480">
        <f>'[22]Sch C'!F136</f>
        <v>0</v>
      </c>
      <c r="E140" s="480">
        <f>+'[22]Sch C'!H136</f>
        <v>0</v>
      </c>
      <c r="F140" s="166">
        <f t="shared" ref="F140:F143" si="46">C140+D140+E140</f>
        <v>234150.16</v>
      </c>
      <c r="G140" s="626"/>
      <c r="H140" s="166"/>
      <c r="I140" s="166">
        <f t="shared" ref="I140:I143" si="47">F140+G140+H140</f>
        <v>234150.16</v>
      </c>
      <c r="J140" s="167">
        <f>IF($I$213=0,0,I140/$I$213)</f>
        <v>5.5700185633379279E-2</v>
      </c>
      <c r="K140" s="458"/>
      <c r="L140" s="176">
        <v>9425.08</v>
      </c>
      <c r="M140" s="176">
        <v>10013.08</v>
      </c>
      <c r="O140" s="329">
        <f t="shared" si="43"/>
        <v>10.613760029010471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'[22]Sch C'!D137</f>
        <v>122985.96</v>
      </c>
      <c r="D141" s="480">
        <f>'[22]Sch C'!F137</f>
        <v>0</v>
      </c>
      <c r="E141" s="480">
        <f>+'[22]Sch C'!H137</f>
        <v>0</v>
      </c>
      <c r="F141" s="166">
        <f t="shared" si="46"/>
        <v>122985.96</v>
      </c>
      <c r="G141" s="626"/>
      <c r="H141" s="166"/>
      <c r="I141" s="166">
        <f t="shared" si="47"/>
        <v>122985.96</v>
      </c>
      <c r="J141" s="167">
        <f>IF($I$213=0,0,I141/$I$213)</f>
        <v>2.9256186723508361E-2</v>
      </c>
      <c r="K141" s="458"/>
      <c r="L141" s="176">
        <v>6153.38</v>
      </c>
      <c r="M141" s="176">
        <v>6321.38</v>
      </c>
      <c r="O141" s="329">
        <f t="shared" si="43"/>
        <v>5.5748134717374551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'[22]Sch C'!D138</f>
        <v>373719.66</v>
      </c>
      <c r="D142" s="480">
        <f>'[22]Sch C'!F138</f>
        <v>0</v>
      </c>
      <c r="E142" s="480">
        <f>+'[22]Sch C'!H138</f>
        <v>0</v>
      </c>
      <c r="F142" s="166">
        <f t="shared" si="46"/>
        <v>373719.66</v>
      </c>
      <c r="G142" s="626"/>
      <c r="H142" s="166"/>
      <c r="I142" s="166">
        <f t="shared" si="47"/>
        <v>373719.66</v>
      </c>
      <c r="J142" s="167">
        <f>IF($I$213=0,0,I142/$I$213)</f>
        <v>8.8901303491927514E-2</v>
      </c>
      <c r="K142" s="458"/>
      <c r="L142" s="176">
        <v>34986.94</v>
      </c>
      <c r="M142" s="176">
        <v>36222.32</v>
      </c>
      <c r="O142" s="329">
        <f t="shared" si="43"/>
        <v>16.940286478400797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'[22]Sch C'!D139</f>
        <v>103642.65</v>
      </c>
      <c r="D143" s="480">
        <f>'[22]Sch C'!F139</f>
        <v>0</v>
      </c>
      <c r="E143" s="480">
        <f>+'[22]Sch C'!H139</f>
        <v>0</v>
      </c>
      <c r="F143" s="166">
        <f t="shared" si="46"/>
        <v>103642.65</v>
      </c>
      <c r="G143" s="626"/>
      <c r="H143" s="166"/>
      <c r="I143" s="166">
        <f t="shared" si="47"/>
        <v>103642.65</v>
      </c>
      <c r="J143" s="167">
        <f>IF($I$213=0,0,I143/$I$213)</f>
        <v>2.4654755070572475E-2</v>
      </c>
      <c r="K143" s="458"/>
      <c r="L143" s="176">
        <v>9666.64</v>
      </c>
      <c r="M143" s="176">
        <v>9874.64</v>
      </c>
      <c r="O143" s="329">
        <f t="shared" si="43"/>
        <v>4.6980032636779834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'[22]Sch C'!D141</f>
        <v>46499.62</v>
      </c>
      <c r="D145" s="480">
        <f>'[22]Sch C'!F141</f>
        <v>0</v>
      </c>
      <c r="E145" s="480">
        <f>+'[22]Sch C'!H141</f>
        <v>0</v>
      </c>
      <c r="F145" s="166">
        <f t="shared" ref="F145:F148" si="48">C145+D145+E145</f>
        <v>46499.62</v>
      </c>
      <c r="G145" s="626">
        <v>-4441</v>
      </c>
      <c r="H145" s="166"/>
      <c r="I145" s="166">
        <f t="shared" ref="I145:I148" si="49">F145+G145+H145</f>
        <v>42058.62</v>
      </c>
      <c r="J145" s="167">
        <f>IF($I$213=0,0,I145/$I$213)</f>
        <v>1.0005002522670744E-2</v>
      </c>
      <c r="K145" s="458"/>
      <c r="L145" s="163"/>
      <c r="M145" s="163"/>
      <c r="O145" s="329">
        <f t="shared" si="43"/>
        <v>1.906469335025611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'[22]Sch C'!D142</f>
        <v>24423.65</v>
      </c>
      <c r="D146" s="480">
        <f>'[22]Sch C'!F142</f>
        <v>0</v>
      </c>
      <c r="E146" s="480">
        <f>+'[22]Sch C'!H142</f>
        <v>0</v>
      </c>
      <c r="F146" s="166">
        <f t="shared" si="48"/>
        <v>24423.65</v>
      </c>
      <c r="G146" s="626">
        <v>-2333</v>
      </c>
      <c r="H146" s="166"/>
      <c r="I146" s="166">
        <f t="shared" si="49"/>
        <v>22090.65</v>
      </c>
      <c r="J146" s="167">
        <f>IF($I$213=0,0,I146/$I$213)</f>
        <v>5.2549752934698398E-3</v>
      </c>
      <c r="K146" s="458"/>
      <c r="L146" s="163"/>
      <c r="M146" s="163"/>
      <c r="O146" s="329">
        <f t="shared" si="43"/>
        <v>1.0013440007252619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'[22]Sch C'!D143</f>
        <v>74216.58</v>
      </c>
      <c r="D147" s="480">
        <f>'[22]Sch C'!F143</f>
        <v>0</v>
      </c>
      <c r="E147" s="480">
        <f>+'[22]Sch C'!H143</f>
        <v>0</v>
      </c>
      <c r="F147" s="166">
        <f t="shared" si="48"/>
        <v>74216.58</v>
      </c>
      <c r="G147" s="626">
        <v>-7089</v>
      </c>
      <c r="H147" s="166"/>
      <c r="I147" s="166">
        <f t="shared" si="49"/>
        <v>67127.58</v>
      </c>
      <c r="J147" s="167">
        <f>IF($I$213=0,0,I147/$I$213)</f>
        <v>1.5968465138437308E-2</v>
      </c>
      <c r="K147" s="458"/>
      <c r="L147" s="163"/>
      <c r="M147" s="163"/>
      <c r="O147" s="329">
        <f t="shared" si="43"/>
        <v>3.042816735415439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'[22]Sch C'!D144</f>
        <v>20582.28</v>
      </c>
      <c r="D148" s="480">
        <f>'[22]Sch C'!F144</f>
        <v>0</v>
      </c>
      <c r="E148" s="480">
        <f>+'[22]Sch C'!H144</f>
        <v>0</v>
      </c>
      <c r="F148" s="166">
        <f t="shared" si="48"/>
        <v>20582.28</v>
      </c>
      <c r="G148" s="626">
        <v>-1966</v>
      </c>
      <c r="H148" s="166"/>
      <c r="I148" s="166">
        <f t="shared" si="49"/>
        <v>18616.28</v>
      </c>
      <c r="J148" s="167">
        <f>IF($I$213=0,0,I148/$I$213)</f>
        <v>4.4284840625475799E-3</v>
      </c>
      <c r="K148" s="458"/>
      <c r="L148" s="163"/>
      <c r="M148" s="163"/>
      <c r="O148" s="329">
        <f t="shared" si="43"/>
        <v>0.84385476632972212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4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'[22]Sch C'!D146</f>
        <v>17982.88</v>
      </c>
      <c r="D150" s="480">
        <f>'[22]Sch C'!F146</f>
        <v>0</v>
      </c>
      <c r="E150" s="480">
        <f>+'[22]Sch C'!H146</f>
        <v>0</v>
      </c>
      <c r="F150" s="166">
        <f t="shared" ref="F150:F158" si="50">C150+D150+E150</f>
        <v>17982.88</v>
      </c>
      <c r="G150" s="626"/>
      <c r="H150" s="166"/>
      <c r="I150" s="166">
        <f t="shared" ref="I150:I158" si="51">F150+G150+H150</f>
        <v>17982.88</v>
      </c>
      <c r="J150" s="167">
        <f t="shared" ref="J150:J158" si="52">IF($I$213=0,0,I150/$I$213)</f>
        <v>4.2778093947182594E-3</v>
      </c>
      <c r="K150" s="458"/>
      <c r="L150" s="176" t="s">
        <v>359</v>
      </c>
      <c r="M150" s="176" t="s">
        <v>359</v>
      </c>
      <c r="O150" s="329">
        <f t="shared" si="43"/>
        <v>0.81514346584470332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'[22]Sch C'!D147</f>
        <v>0</v>
      </c>
      <c r="D151" s="480">
        <f>'[22]Sch C'!F147</f>
        <v>0</v>
      </c>
      <c r="E151" s="480">
        <f>+'[22]Sch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'[22]Sch C'!D148</f>
        <v>0</v>
      </c>
      <c r="D152" s="480">
        <f>'[22]Sch C'!F148</f>
        <v>0</v>
      </c>
      <c r="E152" s="480">
        <f>+'[22]Sch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'[22]Sch C'!D149</f>
        <v>0</v>
      </c>
      <c r="D153" s="480">
        <f>'[22]Sch C'!F149</f>
        <v>0</v>
      </c>
      <c r="E153" s="480">
        <f>+'[22]Sch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'[22]Sch C'!D150</f>
        <v>13726.8</v>
      </c>
      <c r="D154" s="480">
        <f>'[22]Sch C'!F150</f>
        <v>0</v>
      </c>
      <c r="E154" s="480">
        <f>+'[22]Sch C'!H150</f>
        <v>0</v>
      </c>
      <c r="F154" s="166">
        <f t="shared" si="50"/>
        <v>13726.8</v>
      </c>
      <c r="G154" s="626"/>
      <c r="H154" s="166"/>
      <c r="I154" s="166">
        <f t="shared" si="51"/>
        <v>13726.8</v>
      </c>
      <c r="J154" s="167">
        <f t="shared" si="52"/>
        <v>3.2653631676026642E-3</v>
      </c>
      <c r="K154" s="458"/>
      <c r="L154" s="176" t="s">
        <v>397</v>
      </c>
      <c r="M154" s="176" t="s">
        <v>397</v>
      </c>
      <c r="O154" s="329">
        <f t="shared" si="43"/>
        <v>0.6222202076061828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'[22]Sch C'!D151</f>
        <v>61500.47</v>
      </c>
      <c r="D155" s="480">
        <f>'[22]Sch C'!F151</f>
        <v>0</v>
      </c>
      <c r="E155" s="480">
        <f>+'[22]Sch C'!H151</f>
        <v>0</v>
      </c>
      <c r="F155" s="166">
        <f t="shared" si="50"/>
        <v>61500.47</v>
      </c>
      <c r="G155" s="626"/>
      <c r="H155" s="166"/>
      <c r="I155" s="166">
        <f t="shared" si="51"/>
        <v>61500.47</v>
      </c>
      <c r="J155" s="167">
        <f t="shared" si="52"/>
        <v>1.4629875100405967E-2</v>
      </c>
      <c r="K155" s="458"/>
      <c r="L155" s="497"/>
      <c r="M155" s="163"/>
      <c r="O155" s="329">
        <f t="shared" si="43"/>
        <v>2.7877462490367617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'[22]Sch C'!D152</f>
        <v>9365.14</v>
      </c>
      <c r="D156" s="480">
        <f>'[22]Sch C'!F152</f>
        <v>0</v>
      </c>
      <c r="E156" s="480">
        <f>+'[22]Sch C'!H152</f>
        <v>0</v>
      </c>
      <c r="F156" s="166">
        <f t="shared" si="50"/>
        <v>9365.14</v>
      </c>
      <c r="G156" s="626"/>
      <c r="H156" s="166"/>
      <c r="I156" s="166">
        <f t="shared" si="51"/>
        <v>9365.14</v>
      </c>
      <c r="J156" s="167">
        <f t="shared" si="52"/>
        <v>2.2278013240844487E-3</v>
      </c>
      <c r="K156" s="458"/>
      <c r="L156" s="163"/>
      <c r="M156" s="163"/>
      <c r="O156" s="329">
        <f t="shared" si="43"/>
        <v>0.42451112823534742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'[22]Sch C'!D153</f>
        <v>0</v>
      </c>
      <c r="D157" s="480">
        <f>'[22]Sch C'!F153</f>
        <v>0</v>
      </c>
      <c r="E157" s="480">
        <f>+'[22]Sch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'[22]Sch C'!D154</f>
        <v>0</v>
      </c>
      <c r="D158" s="480">
        <f>'[22]Sch C'!F154</f>
        <v>0</v>
      </c>
      <c r="E158" s="480">
        <f>+'[22]Sch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'[22]Sch C'!D156</f>
        <v>0</v>
      </c>
      <c r="D160" s="480">
        <f>'[22]Sch C'!F156</f>
        <v>0</v>
      </c>
      <c r="E160" s="480">
        <f>+'[22]Sch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'[22]Sch C'!D157</f>
        <v>0</v>
      </c>
      <c r="D161" s="480">
        <f>'[22]Sch C'!F157</f>
        <v>0</v>
      </c>
      <c r="E161" s="480">
        <f>+'[22]Sch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'[22]Sch C'!D158</f>
        <v>0</v>
      </c>
      <c r="D162" s="480">
        <f>'[22]Sch C'!F158</f>
        <v>0</v>
      </c>
      <c r="E162" s="480">
        <f>+'[22]Sch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'[22]Sch C'!D159</f>
        <v>0</v>
      </c>
      <c r="D163" s="480">
        <f>'[22]Sch C'!F159</f>
        <v>0</v>
      </c>
      <c r="E163" s="480">
        <f>+'[22]Sch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'[22]Sch C'!D160</f>
        <v>0</v>
      </c>
      <c r="D164" s="480">
        <f>'[22]Sch C'!F160</f>
        <v>0</v>
      </c>
      <c r="E164" s="480">
        <f>+'[22]Sch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'[22]Sch C'!D161</f>
        <v>4020.86</v>
      </c>
      <c r="D165" s="480">
        <f>'[22]Sch C'!F161</f>
        <v>0</v>
      </c>
      <c r="E165" s="480">
        <f>+'[22]Sch C'!H161</f>
        <v>0</v>
      </c>
      <c r="F165" s="166">
        <f t="shared" si="53"/>
        <v>4020.86</v>
      </c>
      <c r="G165" s="626"/>
      <c r="H165" s="166"/>
      <c r="I165" s="166">
        <f t="shared" si="54"/>
        <v>4020.86</v>
      </c>
      <c r="J165" s="167">
        <f t="shared" si="55"/>
        <v>9.5649154545027605E-4</v>
      </c>
      <c r="K165" s="458"/>
      <c r="L165" s="163"/>
      <c r="M165" s="163"/>
      <c r="O165" s="329">
        <f t="shared" si="43"/>
        <v>0.18226100358098002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1344798.0499999998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1344798.0499999998</v>
      </c>
      <c r="G166" s="166">
        <f t="shared" si="57"/>
        <v>-19612</v>
      </c>
      <c r="H166" s="166">
        <f t="shared" si="57"/>
        <v>29214</v>
      </c>
      <c r="I166" s="166">
        <f t="shared" si="57"/>
        <v>1354400.0499999998</v>
      </c>
      <c r="J166" s="167">
        <f t="shared" si="55"/>
        <v>0.32218783966177161</v>
      </c>
      <c r="K166" s="458"/>
      <c r="L166" s="163"/>
      <c r="M166" s="163"/>
      <c r="O166" s="329">
        <f>I166/I$233</f>
        <v>61.393411450070253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'[22]Sch C'!D175</f>
        <v>0</v>
      </c>
      <c r="D169" s="480">
        <f>'[22]Sch C'!F175</f>
        <v>0</v>
      </c>
      <c r="E169" s="480">
        <f>+'[22]Sch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'[22]Sch C'!D176</f>
        <v>0</v>
      </c>
      <c r="D170" s="480">
        <f>'[22]Sch C'!F176</f>
        <v>0</v>
      </c>
      <c r="E170" s="480">
        <f>+'[22]Sch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'[22]Sch C'!D177</f>
        <v>0</v>
      </c>
      <c r="D171" s="480">
        <f>'[22]Sch C'!F177-9044</f>
        <v>0</v>
      </c>
      <c r="E171" s="480">
        <f>+'[22]Sch C'!H177</f>
        <v>0</v>
      </c>
      <c r="F171" s="166">
        <f t="shared" si="58"/>
        <v>0</v>
      </c>
      <c r="G171" s="626"/>
      <c r="H171" s="480">
        <v>9044</v>
      </c>
      <c r="I171" s="166">
        <f t="shared" si="59"/>
        <v>9044</v>
      </c>
      <c r="J171" s="167">
        <f t="shared" si="60"/>
        <v>2.1514077926245369E-3</v>
      </c>
      <c r="K171" s="468"/>
      <c r="L171" s="176">
        <v>0</v>
      </c>
      <c r="M171" s="176">
        <v>0</v>
      </c>
      <c r="N171" s="208"/>
      <c r="O171" s="329">
        <f t="shared" si="61"/>
        <v>0.4099542178505054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'[22]Sch C'!D178</f>
        <v>0</v>
      </c>
      <c r="D172" s="480">
        <f>'[22]Sch C'!F178</f>
        <v>0</v>
      </c>
      <c r="E172" s="480">
        <f>+'[22]Sch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'[22]Sch C'!D179</f>
        <v>0</v>
      </c>
      <c r="D173" s="480">
        <f>'[22]Sch C'!F179</f>
        <v>0</v>
      </c>
      <c r="E173" s="480">
        <f>+'[22]Sch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'[22]Sch C'!D180</f>
        <v>0</v>
      </c>
      <c r="D174" s="480">
        <f>'[22]Sch C'!F180</f>
        <v>0</v>
      </c>
      <c r="E174" s="480">
        <f>+'[22]Sch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'[22]Sch C'!D181</f>
        <v>0</v>
      </c>
      <c r="D175" s="480">
        <f>'[22]Sch C'!F181</f>
        <v>0</v>
      </c>
      <c r="E175" s="480">
        <f>+'[22]Sch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'[22]Sch C'!D182</f>
        <v>0</v>
      </c>
      <c r="D176" s="480">
        <f>'[22]Sch C'!F182</f>
        <v>0</v>
      </c>
      <c r="E176" s="480">
        <f>+'[22]Sch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'[22]Sch C'!D183</f>
        <v>0</v>
      </c>
      <c r="D177" s="480">
        <f>'[22]Sch C'!F183</f>
        <v>0</v>
      </c>
      <c r="E177" s="480">
        <f>+'[22]Sch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'[22]Sch C'!D184</f>
        <v>0</v>
      </c>
      <c r="D178" s="480">
        <f>'[22]Sch C'!F184</f>
        <v>0</v>
      </c>
      <c r="E178" s="480">
        <f>+'[22]Sch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'[22]Sch C'!D185</f>
        <v>0</v>
      </c>
      <c r="D179" s="480">
        <f>'[22]Sch C'!F185</f>
        <v>0</v>
      </c>
      <c r="E179" s="480">
        <f>+'[22]Sch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'[22]Sch C'!D186</f>
        <v>0</v>
      </c>
      <c r="D180" s="480">
        <f>'[22]Sch C'!F186</f>
        <v>0</v>
      </c>
      <c r="E180" s="480">
        <f>+'[22]Sch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'[22]Sch C'!D187</f>
        <v>0</v>
      </c>
      <c r="D181" s="480">
        <f>'[22]Sch C'!F187</f>
        <v>0</v>
      </c>
      <c r="E181" s="480">
        <f>+'[22]Sch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'[22]Sch C'!D188</f>
        <v>0</v>
      </c>
      <c r="D182" s="480">
        <f>'[22]Sch C'!F188</f>
        <v>0</v>
      </c>
      <c r="E182" s="480">
        <f>+'[22]Sch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'[22]Sch C'!D189</f>
        <v>0</v>
      </c>
      <c r="D183" s="480">
        <f>'[22]Sch C'!F189</f>
        <v>0</v>
      </c>
      <c r="E183" s="480">
        <f>+'[22]Sch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'[22]Sch C'!D190</f>
        <v>0</v>
      </c>
      <c r="D184" s="480">
        <f>'[22]Sch C'!F190</f>
        <v>0</v>
      </c>
      <c r="E184" s="480">
        <f>+'[22]Sch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'[22]Sch C'!D191</f>
        <v>209.33</v>
      </c>
      <c r="D185" s="480">
        <f>'[22]Sch C'!F191</f>
        <v>0</v>
      </c>
      <c r="E185" s="480">
        <f>+'[22]Sch C'!H191</f>
        <v>0</v>
      </c>
      <c r="F185" s="166">
        <f t="shared" si="58"/>
        <v>209.33</v>
      </c>
      <c r="G185" s="626"/>
      <c r="H185" s="166"/>
      <c r="I185" s="166">
        <f t="shared" si="59"/>
        <v>209.33</v>
      </c>
      <c r="J185" s="167">
        <f t="shared" si="60"/>
        <v>4.9795908141319591E-5</v>
      </c>
      <c r="K185" s="458"/>
      <c r="L185" s="213"/>
      <c r="M185" s="208"/>
      <c r="N185" s="210"/>
      <c r="O185" s="329">
        <f t="shared" si="61"/>
        <v>9.4886904492090113E-3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'[22]Sch C'!D192</f>
        <v>3171.88</v>
      </c>
      <c r="D186" s="480">
        <f>'[22]Sch C'!F192</f>
        <v>0</v>
      </c>
      <c r="E186" s="480">
        <f>+'[22]Sch C'!H192</f>
        <v>0</v>
      </c>
      <c r="F186" s="166">
        <f t="shared" si="58"/>
        <v>3171.88</v>
      </c>
      <c r="G186" s="626"/>
      <c r="H186" s="166"/>
      <c r="I186" s="166">
        <f t="shared" si="59"/>
        <v>3171.88</v>
      </c>
      <c r="J186" s="167">
        <f t="shared" si="60"/>
        <v>7.5453420491706287E-4</v>
      </c>
      <c r="K186" s="458"/>
      <c r="L186" s="213"/>
      <c r="M186" s="208"/>
      <c r="N186" s="210"/>
      <c r="O186" s="329">
        <f t="shared" si="61"/>
        <v>0.14377770726621641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'[22]Sch C'!D193</f>
        <v>0</v>
      </c>
      <c r="D187" s="480">
        <f>'[22]Sch C'!F193</f>
        <v>0</v>
      </c>
      <c r="E187" s="480">
        <f>+'[22]Sch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'[22]Sch C'!D194</f>
        <v>247756.7</v>
      </c>
      <c r="D188" s="480">
        <f>'[22]Sch C'!F194</f>
        <v>0</v>
      </c>
      <c r="E188" s="480">
        <f>+'[22]Sch C'!H194</f>
        <v>0</v>
      </c>
      <c r="F188" s="166">
        <f t="shared" si="58"/>
        <v>247756.7</v>
      </c>
      <c r="G188" s="626"/>
      <c r="H188" s="166"/>
      <c r="I188" s="166">
        <f t="shared" si="59"/>
        <v>247756.7</v>
      </c>
      <c r="J188" s="167">
        <f t="shared" si="60"/>
        <v>5.8936941071974752E-2</v>
      </c>
      <c r="K188" s="458"/>
      <c r="L188" s="213"/>
      <c r="M188" s="208"/>
      <c r="O188" s="329">
        <f t="shared" si="61"/>
        <v>11.230528987806537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'[22]Sch C'!D195</f>
        <v>0</v>
      </c>
      <c r="D189" s="480">
        <f>'[22]Sch C'!F195</f>
        <v>0</v>
      </c>
      <c r="E189" s="480">
        <f>+'[22]Sch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'[22]Sch C'!D196</f>
        <v>0</v>
      </c>
      <c r="D190" s="480">
        <f>'[22]Sch C'!F196</f>
        <v>0</v>
      </c>
      <c r="E190" s="480">
        <f>+'[22]Sch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'[22]Sch C'!D197</f>
        <v>0</v>
      </c>
      <c r="D191" s="480">
        <f>'[22]Sch C'!F197</f>
        <v>0</v>
      </c>
      <c r="E191" s="480">
        <f>+'[22]Sch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'[22]Sch C'!D198</f>
        <v>0</v>
      </c>
      <c r="D192" s="480">
        <f>'[22]Sch C'!F198</f>
        <v>0</v>
      </c>
      <c r="E192" s="480">
        <f>+'[22]Sch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'[22]Sch C'!D199</f>
        <v>0</v>
      </c>
      <c r="D193" s="480">
        <f>'[22]Sch C'!F199</f>
        <v>0</v>
      </c>
      <c r="E193" s="480">
        <f>+'[22]Sch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'[22]Sch C'!D200</f>
        <v>0</v>
      </c>
      <c r="D194" s="480">
        <f>'[22]Sch C'!F200</f>
        <v>0</v>
      </c>
      <c r="E194" s="480">
        <f>+'[22]Sch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'[22]Sch C'!D201</f>
        <v>0</v>
      </c>
      <c r="D195" s="480">
        <f>'[22]Sch C'!F201</f>
        <v>0</v>
      </c>
      <c r="E195" s="480">
        <f>+'[22]Sch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'[22]Sch C'!D202</f>
        <v>0</v>
      </c>
      <c r="D196" s="480">
        <f>'[22]Sch C'!F202</f>
        <v>0</v>
      </c>
      <c r="E196" s="480">
        <f>+'[22]Sch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'[22]Sch C'!D203</f>
        <v>0</v>
      </c>
      <c r="D197" s="480">
        <f>'[22]Sch C'!F203</f>
        <v>0</v>
      </c>
      <c r="E197" s="480">
        <f>+'[22]Sch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'[22]Sch C'!D204</f>
        <v>0</v>
      </c>
      <c r="D198" s="480">
        <f>'[22]Sch C'!F204</f>
        <v>0</v>
      </c>
      <c r="E198" s="480">
        <f>+'[22]Sch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'[22]Sch C'!D205</f>
        <v>28761.65</v>
      </c>
      <c r="D199" s="480">
        <f>'[22]Sch C'!F205</f>
        <v>0</v>
      </c>
      <c r="E199" s="480">
        <f>+'[22]Sch C'!H205</f>
        <v>0</v>
      </c>
      <c r="F199" s="166">
        <f t="shared" si="58"/>
        <v>28761.65</v>
      </c>
      <c r="G199" s="626"/>
      <c r="H199" s="166"/>
      <c r="I199" s="166">
        <f t="shared" si="59"/>
        <v>28761.65</v>
      </c>
      <c r="J199" s="167">
        <f t="shared" si="60"/>
        <v>6.8418883169769481E-3</v>
      </c>
      <c r="K199" s="458"/>
      <c r="L199" s="213"/>
      <c r="M199" s="208"/>
      <c r="O199" s="329">
        <f t="shared" si="61"/>
        <v>1.3037328316939396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'[22]Sch C'!D206</f>
        <v>0</v>
      </c>
      <c r="D200" s="480">
        <f>'[22]Sch C'!F206</f>
        <v>0</v>
      </c>
      <c r="E200" s="480">
        <f>+'[22]Sch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'[22]Sch C'!D207</f>
        <v>10008.299999999999</v>
      </c>
      <c r="D201" s="480">
        <f>'[22]Sch C'!F207</f>
        <v>0</v>
      </c>
      <c r="E201" s="480">
        <f>+'[22]Sch C'!H207</f>
        <v>0</v>
      </c>
      <c r="F201" s="166">
        <f t="shared" si="58"/>
        <v>10008.299999999999</v>
      </c>
      <c r="G201" s="626"/>
      <c r="H201" s="166"/>
      <c r="I201" s="166">
        <f t="shared" si="59"/>
        <v>10008.299999999999</v>
      </c>
      <c r="J201" s="167">
        <f t="shared" si="60"/>
        <v>2.3807977234546829E-3</v>
      </c>
      <c r="K201" s="458"/>
      <c r="L201" s="213"/>
      <c r="M201" s="208"/>
      <c r="O201" s="329">
        <f t="shared" si="61"/>
        <v>0.4536648384026109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289907.86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289907.86</v>
      </c>
      <c r="G202" s="166">
        <f t="shared" si="63"/>
        <v>0</v>
      </c>
      <c r="H202" s="166">
        <f t="shared" si="63"/>
        <v>9044</v>
      </c>
      <c r="I202" s="166">
        <f t="shared" si="63"/>
        <v>298951.86</v>
      </c>
      <c r="J202" s="167">
        <f>IF($I$213=0,0,I202/$I$213)</f>
        <v>7.1115365018089294E-2</v>
      </c>
      <c r="K202" s="458"/>
      <c r="L202" s="163"/>
      <c r="M202" s="163"/>
      <c r="O202" s="329">
        <f>I202/I$233</f>
        <v>13.551147273469017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'[22]Sch C'!D211</f>
        <v>72186.63</v>
      </c>
      <c r="D205" s="480">
        <f>'[22]Sch C'!F211</f>
        <v>0</v>
      </c>
      <c r="E205" s="480">
        <f>+'[22]Sch C'!H211</f>
        <v>0</v>
      </c>
      <c r="F205" s="166">
        <f t="shared" ref="F205:F210" si="64">C205+D205+E205</f>
        <v>72186.63</v>
      </c>
      <c r="G205" s="626"/>
      <c r="H205" s="166"/>
      <c r="I205" s="166">
        <f t="shared" ref="I205:I210" si="65">F205+G205+H205</f>
        <v>72186.63</v>
      </c>
      <c r="J205" s="167">
        <f t="shared" ref="J205:J211" si="66">IF($I$213=0,0,I205/$I$213)</f>
        <v>1.7171923740082286E-2</v>
      </c>
      <c r="K205" s="458"/>
      <c r="L205" s="176">
        <v>6195.83</v>
      </c>
      <c r="M205" s="176">
        <v>6609.33</v>
      </c>
      <c r="O205" s="329">
        <f t="shared" ref="O205:O210" si="67">I205/I$233</f>
        <v>3.2721377090793711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'[22]Sch C'!D212</f>
        <v>13343.79</v>
      </c>
      <c r="D206" s="480">
        <f>'[22]Sch C'!F212</f>
        <v>0</v>
      </c>
      <c r="E206" s="480">
        <f>+'[22]Sch C'!H212</f>
        <v>0</v>
      </c>
      <c r="F206" s="166">
        <f t="shared" si="64"/>
        <v>13343.79</v>
      </c>
      <c r="G206" s="626">
        <v>-1383</v>
      </c>
      <c r="H206" s="166"/>
      <c r="I206" s="166">
        <f t="shared" si="65"/>
        <v>11960.79</v>
      </c>
      <c r="J206" s="167">
        <f t="shared" si="66"/>
        <v>2.8452605939789516E-3</v>
      </c>
      <c r="K206" s="458"/>
      <c r="L206" s="163"/>
      <c r="M206" s="163"/>
      <c r="O206" s="329">
        <f t="shared" si="67"/>
        <v>0.54216898599338204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'[22]Sch C'!D213</f>
        <v>12056</v>
      </c>
      <c r="D207" s="480">
        <f>'[22]Sch C'!F213</f>
        <v>0</v>
      </c>
      <c r="E207" s="480">
        <f>+'[22]Sch C'!H213</f>
        <v>0</v>
      </c>
      <c r="F207" s="166">
        <f t="shared" si="64"/>
        <v>12056</v>
      </c>
      <c r="G207" s="626"/>
      <c r="H207" s="166"/>
      <c r="I207" s="166">
        <f t="shared" si="65"/>
        <v>12056</v>
      </c>
      <c r="J207" s="167">
        <f t="shared" si="66"/>
        <v>2.8679093706193521E-3</v>
      </c>
      <c r="K207" s="458"/>
      <c r="L207" s="163"/>
      <c r="M207" s="163"/>
      <c r="O207" s="329">
        <f t="shared" si="67"/>
        <v>0.54648474683831194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'[22]Sch C'!D214</f>
        <v>0</v>
      </c>
      <c r="D208" s="480">
        <f>'[22]Sch C'!F214</f>
        <v>0</v>
      </c>
      <c r="E208" s="480">
        <f>+'[22]Sch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'[22]Sch C'!D215</f>
        <v>0</v>
      </c>
      <c r="D209" s="480">
        <f>'[22]Sch C'!F215</f>
        <v>0</v>
      </c>
      <c r="E209" s="480">
        <f>+'[22]Sch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'[22]Sch C'!D216</f>
        <v>11912.75</v>
      </c>
      <c r="D210" s="480">
        <f>'[22]Sch C'!F216</f>
        <v>0</v>
      </c>
      <c r="E210" s="480">
        <f>+'[22]Sch C'!H216</f>
        <v>0</v>
      </c>
      <c r="F210" s="166">
        <f t="shared" si="64"/>
        <v>11912.75</v>
      </c>
      <c r="G210" s="626">
        <v>-164</v>
      </c>
      <c r="H210" s="166"/>
      <c r="I210" s="166">
        <f t="shared" si="65"/>
        <v>11748.75</v>
      </c>
      <c r="J210" s="167">
        <f t="shared" si="66"/>
        <v>2.7948200247233006E-3</v>
      </c>
      <c r="K210" s="458"/>
      <c r="L210" s="163"/>
      <c r="M210" s="163"/>
      <c r="O210" s="329">
        <f t="shared" si="67"/>
        <v>0.53255745433117263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109499.17000000001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109499.17000000001</v>
      </c>
      <c r="G211" s="166">
        <f t="shared" si="69"/>
        <v>-1547</v>
      </c>
      <c r="H211" s="166">
        <f t="shared" si="69"/>
        <v>0</v>
      </c>
      <c r="I211" s="166">
        <f t="shared" si="69"/>
        <v>107952.17000000001</v>
      </c>
      <c r="J211" s="167">
        <f t="shared" si="66"/>
        <v>2.5679913729403894E-2</v>
      </c>
      <c r="K211" s="458"/>
      <c r="L211" s="163"/>
      <c r="M211" s="163"/>
      <c r="O211" s="329">
        <f>I211/I$233</f>
        <v>4.8933488962422382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5053887.1100000003</v>
      </c>
      <c r="D213" s="480">
        <f t="shared" si="70"/>
        <v>-86304.93</v>
      </c>
      <c r="E213" s="480">
        <f t="shared" si="70"/>
        <v>-708750.42</v>
      </c>
      <c r="F213" s="166">
        <f t="shared" ref="F213:I213" si="71">SUM(F30:F211)/2</f>
        <v>4258831.7600000007</v>
      </c>
      <c r="G213" s="166">
        <f t="shared" si="71"/>
        <v>0</v>
      </c>
      <c r="H213" s="166">
        <f t="shared" si="71"/>
        <v>-55072.700000000041</v>
      </c>
      <c r="I213" s="166">
        <f t="shared" si="71"/>
        <v>4203759.0600000005</v>
      </c>
      <c r="J213" s="167">
        <f>IF($I$213=0,0,I213/$I$213)</f>
        <v>1</v>
      </c>
      <c r="K213" s="458"/>
      <c r="L213" s="176">
        <f>SUM(L30:L205)</f>
        <v>117758.51000000001</v>
      </c>
      <c r="M213" s="176">
        <f>SUM(M30:M205)</f>
        <v>123985.5</v>
      </c>
      <c r="O213" s="329">
        <f>I213/I$233</f>
        <v>190.55160962785007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'[22]Sch C'!D221</f>
        <v>5053887.1100000003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130301.99000000022</v>
      </c>
      <c r="D220" s="480">
        <f t="shared" si="72"/>
        <v>705830.33999999985</v>
      </c>
      <c r="E220" s="480">
        <f t="shared" si="72"/>
        <v>708750.42</v>
      </c>
      <c r="F220" s="166">
        <f t="shared" ref="F220:I220" si="73">F26-F213</f>
        <v>1544882.75</v>
      </c>
      <c r="G220" s="166">
        <f t="shared" si="73"/>
        <v>0</v>
      </c>
      <c r="H220" s="166">
        <f t="shared" si="73"/>
        <v>55072.700000000041</v>
      </c>
      <c r="I220" s="166">
        <f t="shared" si="73"/>
        <v>1599955.4500000002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438"/>
      <c r="I223" s="160"/>
      <c r="J223" s="161"/>
      <c r="K223" s="463"/>
      <c r="L223" s="163"/>
      <c r="M223" s="163"/>
    </row>
    <row r="224" spans="1:16">
      <c r="A224" s="158"/>
      <c r="B224" s="165" t="s">
        <v>395</v>
      </c>
      <c r="C224" s="504">
        <f>'[22]Sch D'!C9</f>
        <v>15763</v>
      </c>
      <c r="D224" s="480"/>
      <c r="E224" s="480"/>
      <c r="F224" s="224">
        <f>C224+D224+E224</f>
        <v>15763</v>
      </c>
      <c r="G224" s="627"/>
      <c r="H224" s="223"/>
      <c r="I224" s="224">
        <f>F224+G224+H224</f>
        <v>15763</v>
      </c>
      <c r="J224" s="167">
        <f t="shared" ref="J224:J233" si="74">IF($I$233=0,0,I224/$I$233)</f>
        <v>0.71451883414169803</v>
      </c>
      <c r="K224" s="458"/>
      <c r="L224" s="163"/>
      <c r="M224" s="163"/>
    </row>
    <row r="225" spans="1:13">
      <c r="A225" s="158"/>
      <c r="B225" s="165" t="s">
        <v>201</v>
      </c>
      <c r="C225" s="504">
        <f>'[22]Sch D'!D9</f>
        <v>3640</v>
      </c>
      <c r="D225" s="480"/>
      <c r="E225" s="480"/>
      <c r="F225" s="224">
        <f t="shared" ref="F225:F232" si="75">C225+D225+E225</f>
        <v>3640</v>
      </c>
      <c r="G225" s="627"/>
      <c r="H225" s="223"/>
      <c r="I225" s="224">
        <f t="shared" ref="I225:I232" si="76">F225+G225+H225</f>
        <v>3640</v>
      </c>
      <c r="J225" s="167">
        <f t="shared" si="74"/>
        <v>0.16499705362404243</v>
      </c>
      <c r="K225" s="458"/>
      <c r="L225" s="163"/>
      <c r="M225" s="163"/>
    </row>
    <row r="226" spans="1:13">
      <c r="A226" s="158"/>
      <c r="B226" s="165" t="s">
        <v>64</v>
      </c>
      <c r="C226" s="504">
        <f>'[22]Sch D'!E9</f>
        <v>1524</v>
      </c>
      <c r="D226" s="480"/>
      <c r="E226" s="480"/>
      <c r="F226" s="224">
        <f t="shared" si="75"/>
        <v>1524</v>
      </c>
      <c r="G226" s="627"/>
      <c r="H226" s="223"/>
      <c r="I226" s="224">
        <f t="shared" si="76"/>
        <v>1524</v>
      </c>
      <c r="J226" s="167">
        <f t="shared" si="74"/>
        <v>6.9081183989846334E-2</v>
      </c>
      <c r="K226" s="458"/>
      <c r="L226" s="163"/>
      <c r="M226" s="163"/>
    </row>
    <row r="227" spans="1:13">
      <c r="A227" s="158"/>
      <c r="B227" s="194" t="s">
        <v>396</v>
      </c>
      <c r="C227" s="504">
        <f>'[22]Sch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'[22]Sch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'[22]Sch D'!H9</f>
        <v>1008</v>
      </c>
      <c r="D229" s="480"/>
      <c r="E229" s="480"/>
      <c r="F229" s="224">
        <f t="shared" si="75"/>
        <v>1008</v>
      </c>
      <c r="G229" s="627"/>
      <c r="H229" s="223"/>
      <c r="I229" s="224">
        <f t="shared" si="76"/>
        <v>1008</v>
      </c>
      <c r="J229" s="167">
        <f t="shared" si="74"/>
        <v>4.5691491772811746E-2</v>
      </c>
      <c r="K229" s="458"/>
      <c r="L229" s="163"/>
      <c r="M229" s="163"/>
    </row>
    <row r="230" spans="1:13">
      <c r="A230" s="158"/>
      <c r="B230" s="165" t="s">
        <v>219</v>
      </c>
      <c r="C230" s="504">
        <f>'[22]Sch D'!I9</f>
        <v>116</v>
      </c>
      <c r="D230" s="480"/>
      <c r="E230" s="480"/>
      <c r="F230" s="224">
        <f t="shared" si="75"/>
        <v>116</v>
      </c>
      <c r="G230" s="627"/>
      <c r="H230" s="223"/>
      <c r="I230" s="224">
        <f t="shared" si="76"/>
        <v>116</v>
      </c>
      <c r="J230" s="167">
        <f t="shared" si="74"/>
        <v>5.2581478627442089E-3</v>
      </c>
      <c r="K230" s="458"/>
      <c r="L230" s="163"/>
      <c r="M230" s="163"/>
    </row>
    <row r="231" spans="1:13">
      <c r="A231" s="158"/>
      <c r="B231" s="165" t="s">
        <v>218</v>
      </c>
      <c r="C231" s="504">
        <f>'[22]Sch D'!J9</f>
        <v>10</v>
      </c>
      <c r="D231" s="480"/>
      <c r="E231" s="480"/>
      <c r="F231" s="224">
        <f t="shared" si="75"/>
        <v>10</v>
      </c>
      <c r="G231" s="627"/>
      <c r="H231" s="223"/>
      <c r="I231" s="224">
        <f t="shared" si="76"/>
        <v>10</v>
      </c>
      <c r="J231" s="167">
        <f>IF($I$233=0,0,I231/$I$233)</f>
        <v>4.5328860885725941E-4</v>
      </c>
      <c r="K231" s="458"/>
      <c r="L231" s="163"/>
      <c r="M231" s="163"/>
    </row>
    <row r="232" spans="1:13">
      <c r="A232" s="158"/>
      <c r="B232" s="165" t="s">
        <v>170</v>
      </c>
      <c r="C232" s="504">
        <f>'[22]Sch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 t="s">
        <v>182</v>
      </c>
      <c r="B233" s="225" t="s">
        <v>67</v>
      </c>
      <c r="C233" s="504">
        <f t="shared" ref="C233:E233" si="77">SUM(C224:C232)</f>
        <v>22061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22061</v>
      </c>
      <c r="G233" s="226">
        <f t="shared" si="78"/>
        <v>0</v>
      </c>
      <c r="H233" s="226">
        <f t="shared" si="78"/>
        <v>0</v>
      </c>
      <c r="I233" s="226">
        <f t="shared" si="78"/>
        <v>22061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 ht="15.5">
      <c r="A235" s="158"/>
      <c r="B235" s="222" t="s">
        <v>152</v>
      </c>
      <c r="C235" s="548"/>
      <c r="D235" s="221"/>
      <c r="E235" s="221"/>
      <c r="F235" s="221"/>
      <c r="G235" s="221"/>
      <c r="H235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'[22]Sch D'!N22</f>
        <v>104</v>
      </c>
      <c r="D236" s="480"/>
      <c r="E236" s="480"/>
      <c r="F236" s="224">
        <f>C236+E236</f>
        <v>104</v>
      </c>
      <c r="G236" s="627"/>
      <c r="H236" s="224"/>
      <c r="I236" s="224">
        <f>F236+G236+H236</f>
        <v>104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'[22]Sch D'!N24</f>
        <v>104</v>
      </c>
      <c r="D237" s="480"/>
      <c r="E237" s="480"/>
      <c r="F237" s="224">
        <f>C237+E237</f>
        <v>104</v>
      </c>
      <c r="G237" s="627"/>
      <c r="H237" s="224"/>
      <c r="I237" s="224">
        <f>F237+G237+H237</f>
        <v>104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'[22]Sch D'!N28</f>
        <v>37960</v>
      </c>
      <c r="D240" s="427"/>
      <c r="E240" s="427"/>
      <c r="F240" s="223">
        <f>F236*F238</f>
        <v>37960</v>
      </c>
      <c r="G240"/>
      <c r="H240" s="228"/>
      <c r="I240" s="223">
        <f>I236*I238</f>
        <v>37960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'[22]Sch D'!N30</f>
        <v>0.58116438356164379</v>
      </c>
      <c r="D241" s="228"/>
      <c r="E241" s="228"/>
      <c r="F241" s="232">
        <f>F233/F240</f>
        <v>0.58116438356164379</v>
      </c>
      <c r="G241"/>
      <c r="H241" s="233"/>
      <c r="I241" s="232">
        <f>I233/I240</f>
        <v>0.58116438356164379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'[22]Sch D'!N32</f>
        <v>0.51114330874604852</v>
      </c>
      <c r="D242" s="228"/>
      <c r="E242" s="228"/>
      <c r="F242" s="232">
        <f>(F224+F225)/F240</f>
        <v>0.51114330874604852</v>
      </c>
      <c r="G242"/>
      <c r="H242" s="233"/>
      <c r="I242" s="232">
        <f>(I224+I225)/I240</f>
        <v>0.51114330874604852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'[22]Sch D'!N34</f>
        <v>0.87951588776574063</v>
      </c>
      <c r="D243" s="228"/>
      <c r="E243" s="228"/>
      <c r="F243" s="232">
        <f>(F242/F241)</f>
        <v>0.87951588776574063</v>
      </c>
      <c r="G243"/>
      <c r="H243" s="233"/>
      <c r="I243" s="232">
        <f>(I242/I241)</f>
        <v>0.87951588776574063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H247" s="140" t="s">
        <v>322</v>
      </c>
      <c r="I247" s="480"/>
      <c r="K247" s="460"/>
    </row>
    <row r="248" spans="1:13">
      <c r="H248" s="140" t="s">
        <v>323</v>
      </c>
      <c r="I248" s="480"/>
      <c r="K248" s="460"/>
    </row>
    <row r="249" spans="1:13">
      <c r="H249" s="140" t="s">
        <v>324</v>
      </c>
      <c r="I249" s="480"/>
      <c r="K249" s="460"/>
    </row>
    <row r="250" spans="1:13">
      <c r="H250" s="140"/>
      <c r="K250" s="460"/>
    </row>
    <row r="251" spans="1:13" ht="15">
      <c r="B251" s="409"/>
      <c r="K251" s="460"/>
    </row>
    <row r="252" spans="1:13" ht="15">
      <c r="B252" s="409"/>
    </row>
    <row r="253" spans="1:13" ht="15">
      <c r="B253" s="409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2" sqref="A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>
    <tabColor rgb="FFE28CAB"/>
  </sheetPr>
  <dimension ref="A1:Q277"/>
  <sheetViews>
    <sheetView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439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'[23]Sch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'[23]Sch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'[23]Sch B'!E10</f>
        <v>1162763.8899999999</v>
      </c>
      <c r="D12" s="480">
        <f>'[23]Sch B'!G10</f>
        <v>508.1200000000008</v>
      </c>
      <c r="E12" s="480"/>
      <c r="F12" s="166">
        <f>C12+D12+E12</f>
        <v>1163272.01</v>
      </c>
      <c r="G12" s="626"/>
      <c r="H12" s="166"/>
      <c r="I12" s="166">
        <f>F12+G12+H12</f>
        <v>1163272.01</v>
      </c>
      <c r="J12" s="167">
        <f>IF($I$26=0,0,I12/$I$26)</f>
        <v>0.94619730680535585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'[23]Sch B'!E12</f>
        <v>0</v>
      </c>
      <c r="D13" s="480">
        <f>'[23]Sch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'[23]Sch B'!E13</f>
        <v>0</v>
      </c>
      <c r="D14" s="480">
        <f>'[23]Sch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'[23]Sch B'!E14</f>
        <v>0</v>
      </c>
      <c r="D15" s="480">
        <f>'[23]Sch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'[23]Sch B'!E15</f>
        <v>1162763.8899999999</v>
      </c>
      <c r="D16" s="480">
        <f>'[23]Sch B'!G15</f>
        <v>508.1200000000008</v>
      </c>
      <c r="E16" s="480"/>
      <c r="F16" s="166">
        <f t="shared" si="0"/>
        <v>1163272.01</v>
      </c>
      <c r="G16" s="626"/>
      <c r="H16" s="166"/>
      <c r="I16" s="166">
        <f>SUM(I12:I15)</f>
        <v>1163272.01</v>
      </c>
      <c r="J16" s="167">
        <f t="shared" ref="J16:J26" si="2">IF($I$26=0,0,I16/$I$26)</f>
        <v>0.94619730680535585</v>
      </c>
      <c r="K16" s="458"/>
      <c r="L16" s="333" t="s">
        <v>325</v>
      </c>
      <c r="M16" s="334">
        <f>I26</f>
        <v>1229418.01</v>
      </c>
      <c r="O16" s="324">
        <f>IFERROR(I16/I224,0)</f>
        <v>190.07712581699346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'[23]Sch B'!E20</f>
        <v>0</v>
      </c>
      <c r="D17" s="480">
        <f>'[23]Sch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2460198.9000000004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'[23]Sch B'!E26</f>
        <v>-131452.34999999998</v>
      </c>
      <c r="D18" s="480">
        <f>'[23]Sch B'!G26</f>
        <v>131452.35</v>
      </c>
      <c r="E18" s="480"/>
      <c r="F18" s="166">
        <f t="shared" si="0"/>
        <v>2.9103830456733704E-11</v>
      </c>
      <c r="G18" s="626"/>
      <c r="H18" s="166"/>
      <c r="I18" s="166">
        <f t="shared" si="1"/>
        <v>2.9103830456733704E-11</v>
      </c>
      <c r="J18" s="167">
        <f t="shared" si="2"/>
        <v>2.3672851886018574E-17</v>
      </c>
      <c r="K18" s="458"/>
      <c r="L18" s="335" t="s">
        <v>327</v>
      </c>
      <c r="M18" s="336">
        <f>I233</f>
        <v>6462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'[23]Sch B'!E32</f>
        <v>0</v>
      </c>
      <c r="D19" s="480">
        <f>'[23]Sch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21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'[23]Sch B'!E37</f>
        <v>0</v>
      </c>
      <c r="D20" s="480">
        <f>'[23]Sch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7665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'[23]Sch B'!E42</f>
        <v>59446.85</v>
      </c>
      <c r="D21" s="480">
        <f>'[23]Sch B'!G42</f>
        <v>1433.15</v>
      </c>
      <c r="E21" s="480"/>
      <c r="F21" s="166">
        <f t="shared" si="0"/>
        <v>60880</v>
      </c>
      <c r="G21" s="626"/>
      <c r="H21" s="166"/>
      <c r="I21" s="166">
        <f t="shared" si="1"/>
        <v>60880</v>
      </c>
      <c r="J21" s="167">
        <f t="shared" si="2"/>
        <v>4.9519365671241468E-2</v>
      </c>
      <c r="K21" s="458"/>
      <c r="L21" s="337"/>
      <c r="M21" s="336"/>
      <c r="O21" s="324">
        <f t="shared" si="3"/>
        <v>193.26984126984127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'[23]Sch B'!E47</f>
        <v>0</v>
      </c>
      <c r="D22" s="480">
        <f>'[23]Sch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39870.54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'[23]Sch B'!E52</f>
        <v>5266</v>
      </c>
      <c r="D23" s="480">
        <f>'[23]Sch B'!G52</f>
        <v>0</v>
      </c>
      <c r="E23" s="480"/>
      <c r="F23" s="166">
        <f t="shared" si="0"/>
        <v>5266</v>
      </c>
      <c r="G23" s="626"/>
      <c r="H23" s="166"/>
      <c r="I23" s="166">
        <f t="shared" si="1"/>
        <v>5266</v>
      </c>
      <c r="J23" s="167">
        <f t="shared" si="2"/>
        <v>4.2833275234027196E-3</v>
      </c>
      <c r="K23" s="458"/>
      <c r="L23" s="338" t="s">
        <v>233</v>
      </c>
      <c r="M23" s="339">
        <f>M213</f>
        <v>44626.97</v>
      </c>
      <c r="O23" s="324">
        <f t="shared" si="3"/>
        <v>195.03703703703704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'[23]Sch B'!E57</f>
        <v>-223763.69</v>
      </c>
      <c r="D24" s="480">
        <f>'[23]Sch B'!G57</f>
        <v>223763.69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'[23]Sch B'!E72</f>
        <v>0</v>
      </c>
      <c r="D25" s="480">
        <f>'[23]Sch B'!G72</f>
        <v>0</v>
      </c>
      <c r="E25" s="480"/>
      <c r="F25" s="166">
        <f t="shared" si="0"/>
        <v>0</v>
      </c>
      <c r="G25" s="626"/>
      <c r="H25" s="166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872260.7</v>
      </c>
      <c r="D26" s="480">
        <f t="shared" ref="D26:F26" si="4">SUM(D16:D25)</f>
        <v>357157.31</v>
      </c>
      <c r="E26" s="480">
        <f t="shared" si="4"/>
        <v>0</v>
      </c>
      <c r="F26" s="166">
        <f t="shared" si="4"/>
        <v>1229418.01</v>
      </c>
      <c r="G26" s="166">
        <f>SUM(G12:G25)</f>
        <v>0</v>
      </c>
      <c r="H26" s="166">
        <f>SUM(H12:H25)</f>
        <v>0</v>
      </c>
      <c r="I26" s="166">
        <f>SUM(I16:I25)</f>
        <v>1229418.01</v>
      </c>
      <c r="J26" s="167">
        <f t="shared" si="2"/>
        <v>1</v>
      </c>
      <c r="K26" s="458"/>
      <c r="L26" s="163"/>
      <c r="M26" s="163"/>
      <c r="O26" s="324">
        <f>IFERROR(I26/I233,0)</f>
        <v>190.25348344165894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'[23]Sch C'!D10</f>
        <v>68124.710000000006</v>
      </c>
      <c r="D30" s="480">
        <f>'[23]Sch C'!F10</f>
        <v>0</v>
      </c>
      <c r="E30" s="480">
        <f>+'[23]Sch C'!H10</f>
        <v>0</v>
      </c>
      <c r="F30" s="166">
        <f t="shared" ref="F30:F65" si="5">C30+D30+E30</f>
        <v>68124.710000000006</v>
      </c>
      <c r="G30" s="626"/>
      <c r="H30" s="166"/>
      <c r="I30" s="166">
        <f t="shared" ref="I30:I65" si="6">F30+G30+H30</f>
        <v>68124.710000000006</v>
      </c>
      <c r="J30" s="167">
        <f>IF($I$213=0,0,I30/$I$213)</f>
        <v>2.7690732647673324E-2</v>
      </c>
      <c r="K30" s="458"/>
      <c r="L30" s="176">
        <v>362.9</v>
      </c>
      <c r="M30" s="176">
        <v>406.01</v>
      </c>
      <c r="O30" s="324">
        <f>I30/I$233</f>
        <v>10.542356855462707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'[23]Sch C'!D11</f>
        <v>0</v>
      </c>
      <c r="D31" s="480">
        <f>'[23]Sch C'!F11</f>
        <v>0</v>
      </c>
      <c r="E31" s="480">
        <f>+'[23]Sch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'[23]Sch C'!D12</f>
        <v>0</v>
      </c>
      <c r="D32" s="480">
        <f>'[23]Sch C'!F12</f>
        <v>0</v>
      </c>
      <c r="E32" s="480">
        <f>+'[23]Sch C'!H12</f>
        <v>0</v>
      </c>
      <c r="F32" s="166">
        <f t="shared" si="5"/>
        <v>0</v>
      </c>
      <c r="G32" s="626"/>
      <c r="H32" s="166"/>
      <c r="I32" s="166">
        <f t="shared" si="6"/>
        <v>0</v>
      </c>
      <c r="J32" s="167">
        <f t="shared" si="7"/>
        <v>0</v>
      </c>
      <c r="K32" s="458"/>
      <c r="L32" s="176">
        <v>0</v>
      </c>
      <c r="M32" s="176">
        <v>0</v>
      </c>
      <c r="O32" s="324">
        <f t="shared" si="8"/>
        <v>0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'[23]Sch C'!D13</f>
        <v>0</v>
      </c>
      <c r="D33" s="480">
        <f>'[23]Sch C'!F13</f>
        <v>0</v>
      </c>
      <c r="E33" s="480">
        <f>+'[23]Sch C'!H13</f>
        <v>0</v>
      </c>
      <c r="F33" s="166">
        <f t="shared" si="5"/>
        <v>0</v>
      </c>
      <c r="G33" s="626"/>
      <c r="H33" s="166"/>
      <c r="I33" s="166">
        <f t="shared" si="6"/>
        <v>0</v>
      </c>
      <c r="J33" s="167">
        <f t="shared" si="7"/>
        <v>0</v>
      </c>
      <c r="K33" s="458"/>
      <c r="L33" s="163"/>
      <c r="M33" s="163"/>
      <c r="O33" s="324">
        <f t="shared" si="8"/>
        <v>0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'[23]Sch C'!D14</f>
        <v>0</v>
      </c>
      <c r="D34" s="480">
        <f>'[23]Sch C'!F14</f>
        <v>0</v>
      </c>
      <c r="E34" s="480">
        <f>+'[23]Sch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'[23]Sch C'!D15</f>
        <v>0</v>
      </c>
      <c r="D35" s="480">
        <f>'[23]Sch C'!F15</f>
        <v>0</v>
      </c>
      <c r="E35" s="480">
        <f>+'[23]Sch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'[23]Sch C'!D16</f>
        <v>0</v>
      </c>
      <c r="D36" s="480">
        <f>'[23]Sch C'!F16</f>
        <v>0</v>
      </c>
      <c r="E36" s="480">
        <f>+'[23]Sch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'[23]Sch C'!D17</f>
        <v>165.02</v>
      </c>
      <c r="D37" s="480">
        <f>'[23]Sch C'!F17</f>
        <v>0</v>
      </c>
      <c r="E37" s="480">
        <f>+'[23]Sch C'!H17</f>
        <v>0</v>
      </c>
      <c r="F37" s="166">
        <f t="shared" si="5"/>
        <v>165.02</v>
      </c>
      <c r="G37" s="626"/>
      <c r="H37" s="166"/>
      <c r="I37" s="166">
        <f t="shared" si="6"/>
        <v>165.02</v>
      </c>
      <c r="J37" s="167">
        <f t="shared" si="7"/>
        <v>6.7075877482914079E-5</v>
      </c>
      <c r="K37" s="458"/>
      <c r="L37" s="163"/>
      <c r="M37" s="163"/>
      <c r="O37" s="324">
        <f t="shared" si="8"/>
        <v>2.5536985453419994E-2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'[23]Sch C'!D18</f>
        <v>0</v>
      </c>
      <c r="D38" s="480">
        <f>'[23]Sch C'!F18</f>
        <v>0</v>
      </c>
      <c r="E38" s="480">
        <f>+'[23]Sch C'!H18</f>
        <v>0</v>
      </c>
      <c r="F38" s="166">
        <f t="shared" si="5"/>
        <v>0</v>
      </c>
      <c r="G38" s="626"/>
      <c r="H38" s="166"/>
      <c r="I38" s="166">
        <f t="shared" si="6"/>
        <v>0</v>
      </c>
      <c r="J38" s="167">
        <f t="shared" si="7"/>
        <v>0</v>
      </c>
      <c r="K38" s="458"/>
      <c r="L38" s="163"/>
      <c r="M38" s="163"/>
      <c r="O38" s="324">
        <f t="shared" si="8"/>
        <v>0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'[23]Sch C'!D19</f>
        <v>2284</v>
      </c>
      <c r="D39" s="480">
        <f>'[23]Sch C'!F19</f>
        <v>0</v>
      </c>
      <c r="E39" s="480">
        <f>+'[23]Sch C'!H19</f>
        <v>0</v>
      </c>
      <c r="F39" s="166">
        <f t="shared" si="5"/>
        <v>2284</v>
      </c>
      <c r="G39" s="626"/>
      <c r="H39" s="166"/>
      <c r="I39" s="166">
        <f t="shared" si="6"/>
        <v>2284</v>
      </c>
      <c r="J39" s="167">
        <f t="shared" si="7"/>
        <v>9.2838022161541474E-4</v>
      </c>
      <c r="K39" s="458"/>
      <c r="L39" s="163"/>
      <c r="M39" s="163"/>
      <c r="O39" s="324">
        <f t="shared" si="8"/>
        <v>0.35345094398019189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'[23]Sch C'!D20</f>
        <v>8407.7000000000007</v>
      </c>
      <c r="D40" s="480">
        <f>'[23]Sch C'!F20</f>
        <v>0</v>
      </c>
      <c r="E40" s="480">
        <f>+'[23]Sch C'!H20</f>
        <v>0</v>
      </c>
      <c r="F40" s="166">
        <f t="shared" si="5"/>
        <v>8407.7000000000007</v>
      </c>
      <c r="G40" s="626"/>
      <c r="H40" s="166"/>
      <c r="I40" s="166">
        <f t="shared" si="6"/>
        <v>8407.7000000000007</v>
      </c>
      <c r="J40" s="167">
        <f t="shared" si="7"/>
        <v>3.4174879112416475E-3</v>
      </c>
      <c r="K40" s="458"/>
      <c r="L40" s="163"/>
      <c r="M40" s="163"/>
      <c r="O40" s="324">
        <f t="shared" si="8"/>
        <v>1.3010987310430209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'[23]Sch C'!D21</f>
        <v>0</v>
      </c>
      <c r="D41" s="480">
        <f>'[23]Sch C'!F21</f>
        <v>0</v>
      </c>
      <c r="E41" s="480">
        <f>+'[23]Sch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'[23]Sch C'!D22</f>
        <v>9308.52</v>
      </c>
      <c r="D42" s="480">
        <f>'[23]Sch C'!F22</f>
        <v>0</v>
      </c>
      <c r="E42" s="480">
        <f>+'[23]Sch C'!H22</f>
        <v>0</v>
      </c>
      <c r="F42" s="166">
        <f t="shared" si="5"/>
        <v>9308.52</v>
      </c>
      <c r="G42" s="626"/>
      <c r="H42" s="166"/>
      <c r="I42" s="166">
        <f t="shared" si="6"/>
        <v>9308.52</v>
      </c>
      <c r="J42" s="167">
        <f t="shared" si="7"/>
        <v>3.783645297947251E-3</v>
      </c>
      <c r="K42" s="458"/>
      <c r="L42" s="163"/>
      <c r="M42" s="163"/>
      <c r="O42" s="324">
        <f t="shared" si="8"/>
        <v>1.4405013927576602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'[23]Sch C'!D23</f>
        <v>7405.77</v>
      </c>
      <c r="D43" s="480">
        <f>'[23]Sch C'!F23</f>
        <v>0</v>
      </c>
      <c r="E43" s="480">
        <f>+'[23]Sch C'!H23</f>
        <v>0</v>
      </c>
      <c r="F43" s="166">
        <f t="shared" si="5"/>
        <v>7405.77</v>
      </c>
      <c r="G43" s="626"/>
      <c r="H43" s="166"/>
      <c r="I43" s="166">
        <f t="shared" si="6"/>
        <v>7405.77</v>
      </c>
      <c r="J43" s="167">
        <f t="shared" si="7"/>
        <v>3.0102322214679467E-3</v>
      </c>
      <c r="K43" s="458"/>
      <c r="L43" s="163"/>
      <c r="M43" s="163"/>
      <c r="O43" s="324">
        <f t="shared" si="8"/>
        <v>1.1460492107706592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'[23]Sch C'!D24</f>
        <v>142114.45000000001</v>
      </c>
      <c r="D44" s="480">
        <f>'[23]Sch C'!F24</f>
        <v>0</v>
      </c>
      <c r="E44" s="480">
        <f>+'[23]Sch C'!H24</f>
        <v>0</v>
      </c>
      <c r="F44" s="166">
        <f t="shared" si="5"/>
        <v>142114.45000000001</v>
      </c>
      <c r="G44" s="626"/>
      <c r="H44" s="166"/>
      <c r="I44" s="166">
        <f t="shared" si="6"/>
        <v>142114.45000000001</v>
      </c>
      <c r="J44" s="167">
        <f t="shared" si="7"/>
        <v>5.7765431079576532E-2</v>
      </c>
      <c r="K44" s="458"/>
      <c r="L44" s="163"/>
      <c r="M44" s="163"/>
      <c r="O44" s="324">
        <f t="shared" si="8"/>
        <v>21.992332095326525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'[23]Sch C'!D25</f>
        <v>0</v>
      </c>
      <c r="D45" s="480">
        <f>'[23]Sch C'!F25</f>
        <v>0</v>
      </c>
      <c r="E45" s="480">
        <f>+'[23]Sch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'[23]Sch C'!D26</f>
        <v>136799.26</v>
      </c>
      <c r="D46" s="480">
        <f>'[23]Sch C'!F26</f>
        <v>0</v>
      </c>
      <c r="E46" s="480">
        <f>+'[23]Sch C'!H26</f>
        <v>0</v>
      </c>
      <c r="F46" s="166">
        <f t="shared" si="5"/>
        <v>136799.26</v>
      </c>
      <c r="G46" s="626"/>
      <c r="H46" s="166"/>
      <c r="I46" s="166">
        <f t="shared" si="6"/>
        <v>136799.26</v>
      </c>
      <c r="J46" s="167">
        <f t="shared" si="7"/>
        <v>5.5604959420150944E-2</v>
      </c>
      <c r="K46" s="458"/>
      <c r="L46" s="163"/>
      <c r="M46" s="163"/>
      <c r="O46" s="324">
        <f t="shared" si="8"/>
        <v>21.169801918910554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'[23]Sch C'!D27</f>
        <v>0</v>
      </c>
      <c r="D47" s="480">
        <f>'[23]Sch C'!F27</f>
        <v>0</v>
      </c>
      <c r="E47" s="480">
        <f>+'[23]Sch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'[23]Sch C'!D28</f>
        <v>0</v>
      </c>
      <c r="D48" s="480">
        <f>'[23]Sch C'!F28</f>
        <v>0</v>
      </c>
      <c r="E48" s="480">
        <f>+'[23]Sch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'[23]Sch C'!D29</f>
        <v>0</v>
      </c>
      <c r="D49" s="480">
        <f>'[23]Sch C'!F29</f>
        <v>0</v>
      </c>
      <c r="E49" s="480">
        <f>+'[23]Sch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'[23]Sch C'!D30</f>
        <v>0</v>
      </c>
      <c r="D50" s="480">
        <f>'[23]Sch C'!F30</f>
        <v>0</v>
      </c>
      <c r="E50" s="480">
        <f>+'[23]Sch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'[23]Sch C'!D31</f>
        <v>4472.5</v>
      </c>
      <c r="D51" s="480">
        <f>'[23]Sch C'!F31</f>
        <v>0</v>
      </c>
      <c r="E51" s="480">
        <f>+'[23]Sch C'!H31</f>
        <v>0</v>
      </c>
      <c r="F51" s="166">
        <f t="shared" si="5"/>
        <v>4472.5</v>
      </c>
      <c r="G51" s="626"/>
      <c r="H51" s="166"/>
      <c r="I51" s="166">
        <f t="shared" si="6"/>
        <v>4472.5</v>
      </c>
      <c r="J51" s="167">
        <f t="shared" si="7"/>
        <v>1.817942443596735E-3</v>
      </c>
      <c r="K51" s="458"/>
      <c r="L51" s="163"/>
      <c r="M51" s="163"/>
      <c r="O51" s="324">
        <f t="shared" si="8"/>
        <v>0.6921231816774992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'[23]Sch C'!D32</f>
        <v>10140.17</v>
      </c>
      <c r="D52" s="480">
        <f>'[23]Sch C'!F32</f>
        <v>0</v>
      </c>
      <c r="E52" s="480">
        <f>+'[23]Sch C'!H32</f>
        <v>0</v>
      </c>
      <c r="F52" s="166">
        <f t="shared" si="5"/>
        <v>10140.17</v>
      </c>
      <c r="G52" s="626"/>
      <c r="H52" s="166"/>
      <c r="I52" s="166">
        <f t="shared" si="6"/>
        <v>10140.17</v>
      </c>
      <c r="J52" s="167">
        <f t="shared" si="7"/>
        <v>4.1216870717241593E-3</v>
      </c>
      <c r="K52" s="458"/>
      <c r="L52" s="163"/>
      <c r="M52" s="163"/>
      <c r="O52" s="324">
        <f t="shared" si="8"/>
        <v>1.5691999380996595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'[23]Sch C'!D33</f>
        <v>0</v>
      </c>
      <c r="D53" s="480">
        <f>'[23]Sch C'!F33</f>
        <v>0</v>
      </c>
      <c r="E53" s="480">
        <f>+'[23]Sch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'[23]Sch C'!D34</f>
        <v>22.23</v>
      </c>
      <c r="D54" s="480">
        <f>'[23]Sch C'!F34</f>
        <v>0</v>
      </c>
      <c r="E54" s="480">
        <f>+'[23]Sch C'!H34</f>
        <v>0</v>
      </c>
      <c r="F54" s="166">
        <f t="shared" si="5"/>
        <v>22.23</v>
      </c>
      <c r="G54" s="626"/>
      <c r="H54" s="166"/>
      <c r="I54" s="166">
        <f t="shared" si="6"/>
        <v>22.23</v>
      </c>
      <c r="J54" s="167">
        <f t="shared" si="7"/>
        <v>9.0358547839363705E-6</v>
      </c>
      <c r="K54" s="458"/>
      <c r="L54" s="163"/>
      <c r="M54" s="163"/>
      <c r="O54" s="324">
        <f t="shared" si="8"/>
        <v>3.4401114206128133E-3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'[23]Sch C'!D35</f>
        <v>0</v>
      </c>
      <c r="D55" s="480">
        <f>'[23]Sch C'!F35</f>
        <v>0</v>
      </c>
      <c r="E55" s="480">
        <f>+'[23]Sch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'[23]Sch C'!D36</f>
        <v>0</v>
      </c>
      <c r="D56" s="480">
        <f>'[23]Sch C'!F36</f>
        <v>0</v>
      </c>
      <c r="E56" s="480">
        <f>+'[23]Sch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'[23]Sch C'!D37</f>
        <v>0</v>
      </c>
      <c r="D57" s="480">
        <f>'[23]Sch C'!F37</f>
        <v>0</v>
      </c>
      <c r="E57" s="480">
        <f>+'[23]Sch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'[23]Sch C'!D38</f>
        <v>0</v>
      </c>
      <c r="D58" s="480">
        <f>'[23]Sch C'!F38</f>
        <v>0</v>
      </c>
      <c r="E58" s="480">
        <f>+'[23]Sch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'[23]Sch C'!D39</f>
        <v>0</v>
      </c>
      <c r="D59" s="480">
        <f>'[23]Sch C'!F39</f>
        <v>0</v>
      </c>
      <c r="E59" s="480">
        <f>+'[23]Sch C'!H39</f>
        <v>0</v>
      </c>
      <c r="F59" s="166">
        <f t="shared" si="5"/>
        <v>0</v>
      </c>
      <c r="G59" s="626"/>
      <c r="H59" s="166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'[23]Sch C'!D40</f>
        <v>0</v>
      </c>
      <c r="D60" s="480">
        <f>'[23]Sch C'!F40</f>
        <v>0</v>
      </c>
      <c r="E60" s="480">
        <f>+'[23]Sch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'[23]Sch C'!D41</f>
        <v>138296.14000000001</v>
      </c>
      <c r="D61" s="480">
        <f>'[23]Sch C'!F41</f>
        <v>0</v>
      </c>
      <c r="E61" s="480">
        <f>+'[23]Sch C'!H41</f>
        <v>0</v>
      </c>
      <c r="F61" s="166">
        <f t="shared" si="5"/>
        <v>138296.14000000001</v>
      </c>
      <c r="G61" s="626"/>
      <c r="H61" s="166"/>
      <c r="I61" s="166">
        <f t="shared" si="6"/>
        <v>138296.14000000001</v>
      </c>
      <c r="J61" s="167">
        <f t="shared" si="7"/>
        <v>5.6213398030541352E-2</v>
      </c>
      <c r="K61" s="458"/>
      <c r="L61" s="163"/>
      <c r="M61" s="163"/>
      <c r="O61" s="324">
        <f t="shared" si="8"/>
        <v>21.401445372949553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'[23]Sch C'!D42</f>
        <v>454</v>
      </c>
      <c r="D62" s="480">
        <f>'[23]Sch C'!F42</f>
        <v>0</v>
      </c>
      <c r="E62" s="480">
        <f>+'[23]Sch C'!H42</f>
        <v>0</v>
      </c>
      <c r="F62" s="166">
        <f t="shared" si="5"/>
        <v>454</v>
      </c>
      <c r="G62" s="626"/>
      <c r="H62" s="166"/>
      <c r="I62" s="166">
        <f t="shared" si="6"/>
        <v>454</v>
      </c>
      <c r="J62" s="167">
        <f t="shared" si="7"/>
        <v>1.8453792496208332E-4</v>
      </c>
      <c r="K62" s="458"/>
      <c r="L62" s="163"/>
      <c r="M62" s="163"/>
      <c r="O62" s="324">
        <f t="shared" si="8"/>
        <v>7.0256886412875266E-2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'[23]Sch C'!D43</f>
        <v>1757.4</v>
      </c>
      <c r="D63" s="480">
        <f>'[23]Sch C'!F43</f>
        <v>-1757.4</v>
      </c>
      <c r="E63" s="480">
        <f>+'[23]Sch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'[23]Sch C'!D44</f>
        <v>0</v>
      </c>
      <c r="D64" s="480">
        <f>'[23]Sch C'!F44</f>
        <v>0</v>
      </c>
      <c r="E64" s="480">
        <f>+'[23]Sch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'[23]Sch C'!D45</f>
        <v>84.91</v>
      </c>
      <c r="D65" s="480">
        <f>'[23]Sch C'!F45</f>
        <v>0</v>
      </c>
      <c r="E65" s="480">
        <f>+'[23]Sch C'!H45</f>
        <v>0</v>
      </c>
      <c r="F65" s="166">
        <f t="shared" si="5"/>
        <v>84.91</v>
      </c>
      <c r="G65" s="626"/>
      <c r="H65" s="166"/>
      <c r="I65" s="166">
        <f t="shared" si="6"/>
        <v>84.91</v>
      </c>
      <c r="J65" s="167">
        <f t="shared" si="7"/>
        <v>3.4513469622313862E-5</v>
      </c>
      <c r="K65" s="458"/>
      <c r="L65" s="163"/>
      <c r="M65" s="163"/>
      <c r="O65" s="324">
        <f t="shared" si="8"/>
        <v>1.3139894769421231E-2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529836.78</v>
      </c>
      <c r="D66" s="480">
        <f t="shared" si="9"/>
        <v>-1757.4</v>
      </c>
      <c r="E66" s="480">
        <f t="shared" si="9"/>
        <v>0</v>
      </c>
      <c r="F66" s="166">
        <f t="shared" ref="F66:I66" si="10">SUM(F30:F65)</f>
        <v>528079.38</v>
      </c>
      <c r="G66" s="166">
        <f t="shared" si="10"/>
        <v>0</v>
      </c>
      <c r="H66" s="166">
        <f t="shared" si="10"/>
        <v>0</v>
      </c>
      <c r="I66" s="166">
        <f t="shared" si="10"/>
        <v>528079.38</v>
      </c>
      <c r="J66" s="178">
        <f t="shared" si="7"/>
        <v>0.21464905947238652</v>
      </c>
      <c r="K66" s="465"/>
      <c r="L66" s="163"/>
      <c r="M66" s="163"/>
      <c r="O66" s="329">
        <f>I66/I$233</f>
        <v>81.720733519034354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'[23]Sch C'!D57</f>
        <v>0</v>
      </c>
      <c r="D69" s="480">
        <f>'[23]Sch C'!F57</f>
        <v>0</v>
      </c>
      <c r="E69" s="480">
        <f>+'[23]Sch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'[23]Sch C'!D58</f>
        <v>112108.86</v>
      </c>
      <c r="D70" s="480">
        <f>'[23]Sch C'!F58</f>
        <v>0</v>
      </c>
      <c r="E70" s="480">
        <f>+'[23]Sch C'!H58</f>
        <v>0</v>
      </c>
      <c r="F70" s="166">
        <f t="shared" ref="F70:F83" si="13">C70+D70+E70</f>
        <v>112108.86</v>
      </c>
      <c r="G70" s="626"/>
      <c r="H70" s="166"/>
      <c r="I70" s="166">
        <f t="shared" ref="I70:I83" si="14">F70+G70+H70</f>
        <v>112108.86</v>
      </c>
      <c r="J70" s="167">
        <f t="shared" si="11"/>
        <v>4.5569022894856176E-2</v>
      </c>
      <c r="K70" s="458"/>
      <c r="L70" s="182"/>
      <c r="M70" s="163"/>
      <c r="O70" s="324">
        <f t="shared" si="12"/>
        <v>17.348941504178274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'[23]Sch C'!D59</f>
        <v>0</v>
      </c>
      <c r="D71" s="480">
        <f>'[23]Sch C'!F59</f>
        <v>0</v>
      </c>
      <c r="E71" s="480">
        <f>+'[23]Sch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'[23]Sch C'!D60</f>
        <v>0</v>
      </c>
      <c r="D72" s="480">
        <f>'[23]Sch C'!F60</f>
        <v>0</v>
      </c>
      <c r="E72" s="480">
        <f>+'[23]Sch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'[23]Sch C'!D61</f>
        <v>0</v>
      </c>
      <c r="D73" s="480">
        <f>'[23]Sch C'!F61</f>
        <v>0</v>
      </c>
      <c r="E73" s="480">
        <f>+'[23]Sch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'[23]Sch C'!D62</f>
        <v>0</v>
      </c>
      <c r="D74" s="480">
        <f>'[23]Sch C'!F62</f>
        <v>0</v>
      </c>
      <c r="E74" s="480">
        <f>+'[23]Sch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'[23]Sch C'!D63</f>
        <v>0</v>
      </c>
      <c r="D75" s="480">
        <f>'[23]Sch C'!F63</f>
        <v>0</v>
      </c>
      <c r="E75" s="480">
        <f>+'[23]Sch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'[23]Sch C'!D64</f>
        <v>0</v>
      </c>
      <c r="D76" s="480">
        <f>'[23]Sch C'!F64</f>
        <v>0</v>
      </c>
      <c r="E76" s="480">
        <f>+'[23]Sch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'[23]Sch C'!D65</f>
        <v>0</v>
      </c>
      <c r="D77" s="480">
        <f>'[23]Sch C'!F65</f>
        <v>0</v>
      </c>
      <c r="E77" s="480">
        <f>+'[23]Sch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'[23]Sch C'!D66</f>
        <v>0</v>
      </c>
      <c r="D78" s="480">
        <f>'[23]Sch C'!F66</f>
        <v>0</v>
      </c>
      <c r="E78" s="480">
        <f>+'[23]Sch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'[23]Sch C'!D67</f>
        <v>5693.56</v>
      </c>
      <c r="D79" s="480">
        <f>'[23]Sch C'!F67</f>
        <v>0</v>
      </c>
      <c r="E79" s="480">
        <f>+'[23]Sch C'!H67</f>
        <v>0</v>
      </c>
      <c r="F79" s="166">
        <f t="shared" si="13"/>
        <v>5693.56</v>
      </c>
      <c r="G79" s="626"/>
      <c r="H79" s="166"/>
      <c r="I79" s="166">
        <f t="shared" si="14"/>
        <v>5693.56</v>
      </c>
      <c r="J79" s="167">
        <f t="shared" si="11"/>
        <v>2.3142681675046677E-3</v>
      </c>
      <c r="K79" s="458"/>
      <c r="L79" s="187"/>
      <c r="M79" s="163"/>
      <c r="O79" s="324">
        <f t="shared" si="12"/>
        <v>0.88108325595790782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'[23]Sch C'!D68</f>
        <v>0</v>
      </c>
      <c r="D80" s="480">
        <f>'[23]Sch C'!F68</f>
        <v>0</v>
      </c>
      <c r="E80" s="480">
        <f>+'[23]Sch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'[23]Sch C'!D69</f>
        <v>0</v>
      </c>
      <c r="D81" s="480">
        <f>'[23]Sch C'!F69</f>
        <v>0</v>
      </c>
      <c r="E81" s="480">
        <f>+'[23]Sch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'[23]Sch C'!D70</f>
        <v>0</v>
      </c>
      <c r="D82" s="480">
        <f>'[23]Sch C'!F70</f>
        <v>0</v>
      </c>
      <c r="E82" s="480">
        <f>+'[23]Sch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'[23]Sch C'!D71</f>
        <v>0</v>
      </c>
      <c r="D83" s="480">
        <f>'[23]Sch C'!F71</f>
        <v>0</v>
      </c>
      <c r="E83" s="480">
        <f>+'[23]Sch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117802.42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117802.42</v>
      </c>
      <c r="G84" s="166">
        <f t="shared" si="16"/>
        <v>0</v>
      </c>
      <c r="H84" s="166">
        <f t="shared" si="16"/>
        <v>0</v>
      </c>
      <c r="I84" s="166">
        <f t="shared" si="16"/>
        <v>117802.42</v>
      </c>
      <c r="J84" s="167">
        <f t="shared" si="11"/>
        <v>4.7883291062360847E-2</v>
      </c>
      <c r="K84" s="458"/>
      <c r="L84" s="187"/>
      <c r="M84" s="163"/>
      <c r="O84" s="324">
        <f t="shared" si="12"/>
        <v>18.230024760136182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'[23]Sch C'!D75</f>
        <v>0</v>
      </c>
      <c r="D87" s="480">
        <f>'[23]Sch C'!F75</f>
        <v>0</v>
      </c>
      <c r="E87" s="480">
        <f>+'[23]Sch C'!H75</f>
        <v>0</v>
      </c>
      <c r="F87" s="166">
        <f t="shared" ref="F87:F97" si="17">C87+D87+E87</f>
        <v>0</v>
      </c>
      <c r="G87" s="626"/>
      <c r="H87" s="166"/>
      <c r="I87" s="166">
        <f t="shared" ref="I87:I97" si="18">F87+G87+H87</f>
        <v>0</v>
      </c>
      <c r="J87" s="167">
        <f t="shared" ref="J87:J98" si="19">IF($I$213=0,0,I87/$I$213)</f>
        <v>0</v>
      </c>
      <c r="K87" s="458"/>
      <c r="L87" s="176">
        <v>0</v>
      </c>
      <c r="M87" s="176">
        <v>0</v>
      </c>
      <c r="O87" s="324">
        <f t="shared" ref="O87:O97" si="20">I87/I$233</f>
        <v>0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'[23]Sch C'!D76</f>
        <v>0</v>
      </c>
      <c r="D88" s="480">
        <f>'[23]Sch C'!F76</f>
        <v>0</v>
      </c>
      <c r="E88" s="480">
        <f>+'[23]Sch C'!H76</f>
        <v>0</v>
      </c>
      <c r="F88" s="166">
        <f t="shared" si="17"/>
        <v>0</v>
      </c>
      <c r="G88" s="626"/>
      <c r="H88" s="166"/>
      <c r="I88" s="166">
        <f t="shared" si="18"/>
        <v>0</v>
      </c>
      <c r="J88" s="167">
        <f t="shared" si="19"/>
        <v>0</v>
      </c>
      <c r="K88" s="458"/>
      <c r="L88" s="163"/>
      <c r="M88" s="163"/>
      <c r="O88" s="324">
        <f t="shared" si="20"/>
        <v>0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'[23]Sch C'!D77</f>
        <v>2585.5300000000002</v>
      </c>
      <c r="D89" s="480">
        <f>'[23]Sch C'!F77</f>
        <v>0</v>
      </c>
      <c r="E89" s="480">
        <f>+'[23]Sch C'!H77</f>
        <v>0</v>
      </c>
      <c r="F89" s="166">
        <f t="shared" si="17"/>
        <v>2585.5300000000002</v>
      </c>
      <c r="G89" s="626"/>
      <c r="H89" s="166"/>
      <c r="I89" s="166">
        <f t="shared" si="18"/>
        <v>2585.5300000000002</v>
      </c>
      <c r="J89" s="167">
        <f t="shared" si="19"/>
        <v>1.0509434826590646E-3</v>
      </c>
      <c r="K89" s="458"/>
      <c r="L89" s="163"/>
      <c r="M89" s="163"/>
      <c r="O89" s="324">
        <f t="shared" si="20"/>
        <v>0.40011296812132469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'[23]Sch C'!D78</f>
        <v>0</v>
      </c>
      <c r="D90" s="480">
        <f>'[23]Sch C'!F78</f>
        <v>0</v>
      </c>
      <c r="E90" s="480">
        <f>+'[23]Sch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'[23]Sch C'!D79</f>
        <v>12950.35</v>
      </c>
      <c r="D91" s="480">
        <f>'[23]Sch C'!F79</f>
        <v>0</v>
      </c>
      <c r="E91" s="480">
        <f>+'[23]Sch C'!H79</f>
        <v>0</v>
      </c>
      <c r="F91" s="166">
        <f t="shared" si="17"/>
        <v>12950.35</v>
      </c>
      <c r="G91" s="626"/>
      <c r="H91" s="166"/>
      <c r="I91" s="166">
        <f t="shared" si="18"/>
        <v>12950.35</v>
      </c>
      <c r="J91" s="167">
        <f t="shared" si="19"/>
        <v>5.2639443095434269E-3</v>
      </c>
      <c r="K91" s="458"/>
      <c r="L91" s="163"/>
      <c r="M91" s="163"/>
      <c r="O91" s="324">
        <f t="shared" si="20"/>
        <v>2.004077684927267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'[23]Sch C'!D80</f>
        <v>101169.7</v>
      </c>
      <c r="D92" s="480">
        <f>'[23]Sch C'!F80</f>
        <v>0</v>
      </c>
      <c r="E92" s="480">
        <f>+'[23]Sch C'!H80</f>
        <v>0</v>
      </c>
      <c r="F92" s="166">
        <f t="shared" si="17"/>
        <v>101169.7</v>
      </c>
      <c r="G92" s="626"/>
      <c r="H92" s="166"/>
      <c r="I92" s="166">
        <f t="shared" si="18"/>
        <v>101169.7</v>
      </c>
      <c r="J92" s="167">
        <f t="shared" si="19"/>
        <v>4.1122569398758767E-2</v>
      </c>
      <c r="K92" s="458"/>
      <c r="L92" s="163"/>
      <c r="M92" s="163"/>
      <c r="O92" s="324">
        <f t="shared" si="20"/>
        <v>15.656097183534509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'[23]Sch C'!D81</f>
        <v>9239.2000000000007</v>
      </c>
      <c r="D93" s="480">
        <f>'[23]Sch C'!F81</f>
        <v>0</v>
      </c>
      <c r="E93" s="480">
        <f>+'[23]Sch C'!H81</f>
        <v>0</v>
      </c>
      <c r="F93" s="166">
        <f t="shared" si="17"/>
        <v>9239.2000000000007</v>
      </c>
      <c r="G93" s="626"/>
      <c r="H93" s="166"/>
      <c r="I93" s="166">
        <f t="shared" si="18"/>
        <v>9239.2000000000007</v>
      </c>
      <c r="J93" s="167">
        <f t="shared" si="19"/>
        <v>3.7554687143385029E-3</v>
      </c>
      <c r="K93" s="458"/>
      <c r="L93" s="163"/>
      <c r="M93" s="163"/>
      <c r="O93" s="324">
        <f t="shared" si="20"/>
        <v>1.4297740637573508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'[23]Sch C'!D82</f>
        <v>5677.2</v>
      </c>
      <c r="D94" s="480">
        <f>'[23]Sch C'!F82</f>
        <v>0</v>
      </c>
      <c r="E94" s="480">
        <f>+'[23]Sch C'!H82</f>
        <v>0</v>
      </c>
      <c r="F94" s="166">
        <f t="shared" si="17"/>
        <v>5677.2</v>
      </c>
      <c r="G94" s="626"/>
      <c r="H94" s="166"/>
      <c r="I94" s="166">
        <f t="shared" si="18"/>
        <v>5677.2</v>
      </c>
      <c r="J94" s="167">
        <f t="shared" si="19"/>
        <v>2.3076182986668269E-3</v>
      </c>
      <c r="K94" s="458"/>
      <c r="L94" s="163"/>
      <c r="M94" s="163"/>
      <c r="O94" s="324">
        <f t="shared" si="20"/>
        <v>0.87855153203342617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'[23]Sch C'!D83</f>
        <v>15</v>
      </c>
      <c r="D95" s="480">
        <f>'[23]Sch C'!F83</f>
        <v>0</v>
      </c>
      <c r="E95" s="480">
        <f>+'[23]Sch C'!H83</f>
        <v>0</v>
      </c>
      <c r="F95" s="166">
        <f t="shared" si="17"/>
        <v>15</v>
      </c>
      <c r="G95" s="626"/>
      <c r="H95" s="166"/>
      <c r="I95" s="166">
        <f t="shared" si="18"/>
        <v>15</v>
      </c>
      <c r="J95" s="167">
        <f t="shared" si="19"/>
        <v>6.0970680053551756E-6</v>
      </c>
      <c r="K95" s="458"/>
      <c r="L95" s="163"/>
      <c r="M95" s="163"/>
      <c r="O95" s="324">
        <f t="shared" si="20"/>
        <v>2.321262766945218E-3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'[23]Sch C'!D84</f>
        <v>0</v>
      </c>
      <c r="D96" s="480">
        <f>'[23]Sch C'!F84</f>
        <v>0</v>
      </c>
      <c r="E96" s="480">
        <f>+'[23]Sch C'!H84</f>
        <v>0</v>
      </c>
      <c r="F96" s="166">
        <f t="shared" si="17"/>
        <v>0</v>
      </c>
      <c r="G96" s="626"/>
      <c r="H96" s="166"/>
      <c r="I96" s="166">
        <f t="shared" si="18"/>
        <v>0</v>
      </c>
      <c r="J96" s="167">
        <f t="shared" si="19"/>
        <v>0</v>
      </c>
      <c r="K96" s="458"/>
      <c r="L96" s="163"/>
      <c r="M96" s="163"/>
      <c r="O96" s="324">
        <f t="shared" si="20"/>
        <v>0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'[23]Sch C'!D85</f>
        <v>0</v>
      </c>
      <c r="D97" s="480">
        <f>'[23]Sch C'!F85</f>
        <v>0</v>
      </c>
      <c r="E97" s="480">
        <f>+'[23]Sch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131636.98000000001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131636.98000000001</v>
      </c>
      <c r="G98" s="166">
        <f t="shared" si="22"/>
        <v>0</v>
      </c>
      <c r="H98" s="166">
        <f t="shared" si="22"/>
        <v>0</v>
      </c>
      <c r="I98" s="166">
        <f t="shared" si="22"/>
        <v>131636.98000000001</v>
      </c>
      <c r="J98" s="167">
        <f t="shared" si="19"/>
        <v>5.3506641271971953E-2</v>
      </c>
      <c r="K98" s="458"/>
      <c r="L98" s="163"/>
      <c r="M98" s="163"/>
      <c r="O98" s="329">
        <f>I98/I$233</f>
        <v>20.370934695140825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'[23]Sch C'!D89</f>
        <v>215.9</v>
      </c>
      <c r="D101" s="480">
        <f>'[23]Sch C'!F89</f>
        <v>0</v>
      </c>
      <c r="E101" s="480">
        <f>+'[23]Sch C'!H89</f>
        <v>0</v>
      </c>
      <c r="F101" s="166">
        <f t="shared" ref="F101:F106" si="23">C101+D101+E101</f>
        <v>215.9</v>
      </c>
      <c r="G101" s="626"/>
      <c r="H101" s="166"/>
      <c r="I101" s="166">
        <f t="shared" ref="I101:I106" si="24">F101+G101+H101</f>
        <v>215.9</v>
      </c>
      <c r="J101" s="167">
        <f t="shared" ref="J101:J107" si="25">IF($I$213=0,0,I101/$I$213)</f>
        <v>8.7757132157078839E-5</v>
      </c>
      <c r="K101" s="458"/>
      <c r="L101" s="176">
        <v>13.25</v>
      </c>
      <c r="M101" s="176">
        <v>13.34</v>
      </c>
      <c r="O101" s="329">
        <f t="shared" ref="O101:O106" si="26">I101/I$233</f>
        <v>3.3410708758898178E-2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'[23]Sch C'!D90</f>
        <v>78.900000000000006</v>
      </c>
      <c r="D102" s="480">
        <f>'[23]Sch C'!F90</f>
        <v>0</v>
      </c>
      <c r="E102" s="480">
        <f>+'[23]Sch C'!H90</f>
        <v>0</v>
      </c>
      <c r="F102" s="166">
        <f t="shared" si="23"/>
        <v>78.900000000000006</v>
      </c>
      <c r="G102" s="626"/>
      <c r="H102" s="166"/>
      <c r="I102" s="166">
        <f t="shared" si="24"/>
        <v>78.900000000000006</v>
      </c>
      <c r="J102" s="167">
        <f t="shared" si="25"/>
        <v>3.2070577708168226E-5</v>
      </c>
      <c r="K102" s="458"/>
      <c r="L102" s="163"/>
      <c r="M102" s="163"/>
      <c r="O102" s="329">
        <f t="shared" si="26"/>
        <v>1.2209842154131848E-2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'[23]Sch C'!D91</f>
        <v>237057.51</v>
      </c>
      <c r="D103" s="480">
        <f>'[23]Sch C'!F91</f>
        <v>0</v>
      </c>
      <c r="E103" s="480">
        <f>+'[23]Sch C'!H91</f>
        <v>0</v>
      </c>
      <c r="F103" s="166">
        <f t="shared" si="23"/>
        <v>237057.51</v>
      </c>
      <c r="G103" s="626"/>
      <c r="H103" s="166"/>
      <c r="I103" s="166">
        <f t="shared" si="24"/>
        <v>237057.51</v>
      </c>
      <c r="J103" s="167">
        <f t="shared" si="25"/>
        <v>9.6357050643344308E-2</v>
      </c>
      <c r="K103" s="458"/>
      <c r="L103" s="163"/>
      <c r="M103" s="163"/>
      <c r="O103" s="329">
        <f t="shared" si="26"/>
        <v>36.684851439182914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'[23]Sch C'!D92</f>
        <v>41167.5</v>
      </c>
      <c r="D104" s="480">
        <f>'[23]Sch C'!F92</f>
        <v>0</v>
      </c>
      <c r="E104" s="480">
        <f>+'[23]Sch C'!H92</f>
        <v>0</v>
      </c>
      <c r="F104" s="166">
        <f t="shared" si="23"/>
        <v>41167.5</v>
      </c>
      <c r="G104" s="626"/>
      <c r="H104" s="166"/>
      <c r="I104" s="166">
        <f t="shared" si="24"/>
        <v>41167.5</v>
      </c>
      <c r="J104" s="167">
        <f t="shared" si="25"/>
        <v>1.6733403140697281E-2</v>
      </c>
      <c r="K104" s="458"/>
      <c r="L104" s="163"/>
      <c r="M104" s="163"/>
      <c r="O104" s="329">
        <f t="shared" si="26"/>
        <v>6.370705663881151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'[23]Sch C'!D93</f>
        <v>0</v>
      </c>
      <c r="D105" s="480">
        <f>'[23]Sch C'!F93</f>
        <v>0</v>
      </c>
      <c r="E105" s="480">
        <f>+'[23]Sch C'!H93</f>
        <v>0</v>
      </c>
      <c r="F105" s="166">
        <f t="shared" si="23"/>
        <v>0</v>
      </c>
      <c r="G105" s="626"/>
      <c r="H105" s="166"/>
      <c r="I105" s="166">
        <f t="shared" si="24"/>
        <v>0</v>
      </c>
      <c r="J105" s="167">
        <f t="shared" si="25"/>
        <v>0</v>
      </c>
      <c r="K105" s="458"/>
      <c r="L105" s="163"/>
      <c r="M105" s="163"/>
      <c r="O105" s="329">
        <f t="shared" si="26"/>
        <v>0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'[23]Sch C'!D94</f>
        <v>0</v>
      </c>
      <c r="D106" s="480">
        <f>'[23]Sch C'!F94</f>
        <v>0</v>
      </c>
      <c r="E106" s="480">
        <f>+'[23]Sch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278519.81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278519.81</v>
      </c>
      <c r="G107" s="166">
        <f t="shared" si="28"/>
        <v>0</v>
      </c>
      <c r="H107" s="166">
        <f t="shared" si="28"/>
        <v>0</v>
      </c>
      <c r="I107" s="166">
        <f t="shared" si="28"/>
        <v>278519.81</v>
      </c>
      <c r="J107" s="167">
        <f t="shared" si="25"/>
        <v>0.11321028149390684</v>
      </c>
      <c r="K107" s="458"/>
      <c r="L107" s="163"/>
      <c r="M107" s="163"/>
      <c r="O107" s="329">
        <f>I107/I$233</f>
        <v>43.101177653977096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'[23]Sch C'!D98</f>
        <v>0</v>
      </c>
      <c r="D110" s="480">
        <f>'[23]Sch C'!F98</f>
        <v>0</v>
      </c>
      <c r="E110" s="480">
        <f>+'[23]Sch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'[23]Sch C'!D99</f>
        <v>0</v>
      </c>
      <c r="D111" s="480">
        <f>'[23]Sch C'!F99</f>
        <v>0</v>
      </c>
      <c r="E111" s="480">
        <f>+'[23]Sch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'[23]Sch C'!D100</f>
        <v>582.24</v>
      </c>
      <c r="D112" s="480">
        <f>'[23]Sch C'!F100</f>
        <v>0</v>
      </c>
      <c r="E112" s="480">
        <f>+'[23]Sch C'!H100</f>
        <v>0</v>
      </c>
      <c r="F112" s="166">
        <f t="shared" si="29"/>
        <v>582.24</v>
      </c>
      <c r="G112" s="626"/>
      <c r="H112" s="166"/>
      <c r="I112" s="166">
        <f t="shared" si="30"/>
        <v>582.24</v>
      </c>
      <c r="J112" s="167">
        <f t="shared" si="31"/>
        <v>2.3666379169586652E-4</v>
      </c>
      <c r="K112" s="458"/>
      <c r="L112" s="163"/>
      <c r="M112" s="163"/>
      <c r="O112" s="329">
        <f t="shared" si="32"/>
        <v>9.0102135561745594E-2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'[23]Sch C'!D101</f>
        <v>62765.02</v>
      </c>
      <c r="D113" s="480">
        <f>'[23]Sch C'!F101</f>
        <v>0</v>
      </c>
      <c r="E113" s="480">
        <f>+'[23]Sch C'!H101</f>
        <v>0</v>
      </c>
      <c r="F113" s="166">
        <f t="shared" si="29"/>
        <v>62765.02</v>
      </c>
      <c r="G113" s="626"/>
      <c r="H113" s="166"/>
      <c r="I113" s="166">
        <f t="shared" si="30"/>
        <v>62765.02</v>
      </c>
      <c r="J113" s="167">
        <f t="shared" si="31"/>
        <v>2.5512173019831847E-2</v>
      </c>
      <c r="K113" s="458"/>
      <c r="L113" s="163"/>
      <c r="M113" s="163"/>
      <c r="O113" s="329">
        <f t="shared" si="32"/>
        <v>9.7129402661714632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'[23]Sch C'!D102</f>
        <v>82.9</v>
      </c>
      <c r="D114" s="480">
        <f>'[23]Sch C'!F102</f>
        <v>0</v>
      </c>
      <c r="E114" s="480">
        <f>+'[23]Sch C'!H102</f>
        <v>0</v>
      </c>
      <c r="F114" s="166">
        <f t="shared" si="29"/>
        <v>82.9</v>
      </c>
      <c r="G114" s="626"/>
      <c r="H114" s="166"/>
      <c r="I114" s="166">
        <f t="shared" si="30"/>
        <v>82.9</v>
      </c>
      <c r="J114" s="167">
        <f t="shared" si="31"/>
        <v>3.3696462509596273E-5</v>
      </c>
      <c r="K114" s="458"/>
      <c r="L114" s="163"/>
      <c r="M114" s="163"/>
      <c r="O114" s="329">
        <f t="shared" si="32"/>
        <v>1.2828845558650574E-2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'[23]Sch C'!D103</f>
        <v>0</v>
      </c>
      <c r="D115" s="480">
        <f>'[23]Sch C'!F103</f>
        <v>0</v>
      </c>
      <c r="E115" s="480">
        <f>+'[23]Sch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63430.159999999996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63430.159999999996</v>
      </c>
      <c r="G116" s="166">
        <f t="shared" si="34"/>
        <v>0</v>
      </c>
      <c r="H116" s="166">
        <f t="shared" si="34"/>
        <v>0</v>
      </c>
      <c r="I116" s="166">
        <f t="shared" si="34"/>
        <v>63430.159999999996</v>
      </c>
      <c r="J116" s="167">
        <f t="shared" si="31"/>
        <v>2.578253327403731E-2</v>
      </c>
      <c r="K116" s="458"/>
      <c r="L116" s="163"/>
      <c r="M116" s="163"/>
      <c r="O116" s="329">
        <f>I116/I$233</f>
        <v>9.8158712472918594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'[23]Sch C'!D115</f>
        <v>27273.56</v>
      </c>
      <c r="D119" s="480">
        <f>'[23]Sch C'!F115</f>
        <v>0</v>
      </c>
      <c r="E119" s="480">
        <f>+'[23]Sch C'!H115</f>
        <v>0</v>
      </c>
      <c r="F119" s="166">
        <f t="shared" ref="F119:F123" si="35">C119+D119+E119</f>
        <v>27273.56</v>
      </c>
      <c r="G119" s="626"/>
      <c r="H119" s="166"/>
      <c r="I119" s="166">
        <f t="shared" ref="I119:I123" si="36">F119+G119+H119</f>
        <v>27273.56</v>
      </c>
      <c r="J119" s="167">
        <f t="shared" ref="J119:J124" si="37">IF($I$213=0,0,I119/$I$213)</f>
        <v>1.1085916671208982E-2</v>
      </c>
      <c r="K119" s="458"/>
      <c r="L119" s="176">
        <v>2061.25</v>
      </c>
      <c r="M119" s="176">
        <v>2072.83</v>
      </c>
      <c r="O119" s="329">
        <f t="shared" ref="O119:O124" si="38">I119/I$233</f>
        <v>4.2206066233364288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'[23]Sch C'!D116</f>
        <v>9966.68</v>
      </c>
      <c r="D120" s="480">
        <f>'[23]Sch C'!F116</f>
        <v>0</v>
      </c>
      <c r="E120" s="480">
        <f>+'[23]Sch C'!H116</f>
        <v>0</v>
      </c>
      <c r="F120" s="166">
        <f t="shared" si="35"/>
        <v>9966.68</v>
      </c>
      <c r="G120" s="626"/>
      <c r="H120" s="166"/>
      <c r="I120" s="166">
        <f t="shared" si="36"/>
        <v>9966.68</v>
      </c>
      <c r="J120" s="167">
        <f t="shared" si="37"/>
        <v>4.0511683831742215E-3</v>
      </c>
      <c r="K120" s="458"/>
      <c r="L120" s="163"/>
      <c r="M120" s="163"/>
      <c r="O120" s="329">
        <f t="shared" si="38"/>
        <v>1.5423522129371712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'[23]Sch C'!D117</f>
        <v>6905.78</v>
      </c>
      <c r="D121" s="480">
        <f>'[23]Sch C'!F117</f>
        <v>0</v>
      </c>
      <c r="E121" s="480">
        <f>+'[23]Sch C'!H117</f>
        <v>0</v>
      </c>
      <c r="F121" s="166">
        <f t="shared" si="35"/>
        <v>6905.78</v>
      </c>
      <c r="G121" s="626"/>
      <c r="H121" s="166"/>
      <c r="I121" s="166">
        <f t="shared" si="36"/>
        <v>6905.78</v>
      </c>
      <c r="J121" s="167">
        <f t="shared" si="37"/>
        <v>2.8070006860014445E-3</v>
      </c>
      <c r="K121" s="458"/>
      <c r="L121" s="163"/>
      <c r="M121" s="163"/>
      <c r="O121" s="329">
        <f t="shared" si="38"/>
        <v>1.0686753327143299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'[23]Sch C'!D118</f>
        <v>24937.200000000001</v>
      </c>
      <c r="D122" s="480">
        <f>'[23]Sch C'!F118</f>
        <v>0</v>
      </c>
      <c r="E122" s="480">
        <f>+'[23]Sch C'!H118</f>
        <v>0</v>
      </c>
      <c r="F122" s="166">
        <f t="shared" si="35"/>
        <v>24937.200000000001</v>
      </c>
      <c r="G122" s="626"/>
      <c r="H122" s="166"/>
      <c r="I122" s="166">
        <f t="shared" si="36"/>
        <v>24937.200000000001</v>
      </c>
      <c r="J122" s="167">
        <f t="shared" si="37"/>
        <v>1.0136253617542872E-2</v>
      </c>
      <c r="K122" s="458"/>
      <c r="L122" s="163"/>
      <c r="M122" s="163"/>
      <c r="O122" s="329">
        <f t="shared" si="38"/>
        <v>3.8590529247910865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'[23]Sch C'!D119</f>
        <v>0</v>
      </c>
      <c r="D123" s="480">
        <f>'[23]Sch C'!F119</f>
        <v>0</v>
      </c>
      <c r="E123" s="480">
        <f>+'[23]Sch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69083.22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69083.22</v>
      </c>
      <c r="G124" s="166">
        <f t="shared" si="40"/>
        <v>0</v>
      </c>
      <c r="H124" s="166">
        <f t="shared" si="40"/>
        <v>0</v>
      </c>
      <c r="I124" s="166">
        <f t="shared" si="40"/>
        <v>69083.22</v>
      </c>
      <c r="J124" s="167">
        <f t="shared" si="37"/>
        <v>2.808033935792752E-2</v>
      </c>
      <c r="K124" s="458"/>
      <c r="L124" s="163"/>
      <c r="M124" s="163"/>
      <c r="O124" s="329">
        <f t="shared" si="38"/>
        <v>10.690687093779015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'[23]Sch C'!D124</f>
        <v>0</v>
      </c>
      <c r="D128" s="480">
        <f>'[23]Sch C'!F124</f>
        <v>0</v>
      </c>
      <c r="E128" s="480">
        <f>+'[23]Sch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'[23]Sch C'!D125</f>
        <v>58821.14</v>
      </c>
      <c r="D129" s="480">
        <f>'[23]Sch C'!F125</f>
        <v>0</v>
      </c>
      <c r="E129" s="480">
        <f>+'[23]Sch C'!H125</f>
        <v>0</v>
      </c>
      <c r="F129" s="166">
        <f t="shared" si="41"/>
        <v>58821.14</v>
      </c>
      <c r="G129" s="626"/>
      <c r="H129" s="166"/>
      <c r="I129" s="166">
        <f t="shared" si="42"/>
        <v>58821.14</v>
      </c>
      <c r="J129" s="167">
        <f>IF($I$213=0,0,I129/$I$213)</f>
        <v>2.3909099382167835E-2</v>
      </c>
      <c r="K129" s="458"/>
      <c r="L129" s="176">
        <v>1515.5</v>
      </c>
      <c r="M129" s="176">
        <v>1845.35</v>
      </c>
      <c r="O129" s="329">
        <f t="shared" si="43"/>
        <v>9.1026214794181364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'[23]Sch C'!D126</f>
        <v>0</v>
      </c>
      <c r="D130" s="480">
        <f>'[23]Sch C'!F126</f>
        <v>0</v>
      </c>
      <c r="E130" s="480">
        <f>+'[23]Sch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'[23]Sch C'!D127</f>
        <v>0</v>
      </c>
      <c r="D131" s="480">
        <f>'[23]Sch C'!F127</f>
        <v>0</v>
      </c>
      <c r="E131" s="480">
        <f>+'[23]Sch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'[23]Sch C'!D128</f>
        <v>45.44</v>
      </c>
      <c r="D132" s="480">
        <f>'[23]Sch C'!F128</f>
        <v>0</v>
      </c>
      <c r="E132" s="480">
        <f>+'[23]Sch C'!H128</f>
        <v>0</v>
      </c>
      <c r="F132" s="166">
        <f t="shared" si="41"/>
        <v>45.44</v>
      </c>
      <c r="G132" s="626"/>
      <c r="H132" s="166"/>
      <c r="I132" s="166">
        <f t="shared" si="42"/>
        <v>45.44</v>
      </c>
      <c r="J132" s="167">
        <f>IF($I$213=0,0,I132/$I$213)</f>
        <v>1.8470051344222613E-5</v>
      </c>
      <c r="K132" s="458"/>
      <c r="L132" s="176">
        <v>3</v>
      </c>
      <c r="M132" s="176">
        <v>3.25</v>
      </c>
      <c r="O132" s="329">
        <f t="shared" si="43"/>
        <v>7.0318786753327143E-3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'[23]Sch C'!D130</f>
        <v>0</v>
      </c>
      <c r="D134" s="480">
        <f>'[23]Sch C'!F130</f>
        <v>0</v>
      </c>
      <c r="E134" s="480">
        <f>+'[23]Sch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'[23]Sch C'!D131</f>
        <v>21495.23</v>
      </c>
      <c r="D135" s="480">
        <f>'[23]Sch C'!F131</f>
        <v>0</v>
      </c>
      <c r="E135" s="480">
        <f>+'[23]Sch C'!H131</f>
        <v>0</v>
      </c>
      <c r="F135" s="166">
        <f t="shared" si="44"/>
        <v>21495.23</v>
      </c>
      <c r="G135" s="626"/>
      <c r="H135" s="166"/>
      <c r="I135" s="166">
        <f t="shared" si="45"/>
        <v>21495.23</v>
      </c>
      <c r="J135" s="167">
        <f>IF($I$213=0,0,I135/$I$213)</f>
        <v>8.7371919400500483E-3</v>
      </c>
      <c r="K135" s="458"/>
      <c r="L135" s="196"/>
      <c r="M135" s="196"/>
      <c r="O135" s="329">
        <f t="shared" si="43"/>
        <v>3.3264051377282575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'[23]Sch C'!D132</f>
        <v>0</v>
      </c>
      <c r="D136" s="480">
        <f>'[23]Sch C'!F132</f>
        <v>0</v>
      </c>
      <c r="E136" s="480">
        <f>+'[23]Sch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'[23]Sch C'!D133</f>
        <v>0</v>
      </c>
      <c r="D137" s="480">
        <f>'[23]Sch C'!F133</f>
        <v>0</v>
      </c>
      <c r="E137" s="480">
        <f>+'[23]Sch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'[23]Sch C'!D134</f>
        <v>16.600000000000001</v>
      </c>
      <c r="D138" s="480">
        <f>'[23]Sch C'!F134</f>
        <v>0</v>
      </c>
      <c r="E138" s="480">
        <f>+'[23]Sch C'!H134</f>
        <v>0</v>
      </c>
      <c r="F138" s="166">
        <f t="shared" si="44"/>
        <v>16.600000000000001</v>
      </c>
      <c r="G138" s="626"/>
      <c r="H138" s="166"/>
      <c r="I138" s="166">
        <f t="shared" si="45"/>
        <v>16.600000000000001</v>
      </c>
      <c r="J138" s="167">
        <f>IF($I$213=0,0,I138/$I$213)</f>
        <v>6.7474219259263955E-6</v>
      </c>
      <c r="K138" s="458"/>
      <c r="L138" s="163"/>
      <c r="M138" s="163"/>
      <c r="O138" s="329">
        <f t="shared" si="43"/>
        <v>2.5688641287527083E-3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'[23]Sch C'!D136</f>
        <v>266749.90999999997</v>
      </c>
      <c r="D140" s="480">
        <f>'[23]Sch C'!F136</f>
        <v>0</v>
      </c>
      <c r="E140" s="480">
        <f>+'[23]Sch C'!H136</f>
        <v>0</v>
      </c>
      <c r="F140" s="166">
        <f t="shared" ref="F140:F143" si="46">C140+D140+E140</f>
        <v>266749.90999999997</v>
      </c>
      <c r="G140" s="626"/>
      <c r="H140" s="166"/>
      <c r="I140" s="166">
        <f t="shared" ref="I140:I143" si="47">F140+G140+H140</f>
        <v>266749.90999999997</v>
      </c>
      <c r="J140" s="167">
        <f>IF($I$213=0,0,I140/$I$213)</f>
        <v>0.10842615611282483</v>
      </c>
      <c r="K140" s="458"/>
      <c r="L140" s="176">
        <v>7192.5</v>
      </c>
      <c r="M140" s="176">
        <v>8688.35</v>
      </c>
      <c r="O140" s="329">
        <f t="shared" si="43"/>
        <v>41.279775611265855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'[23]Sch C'!D137</f>
        <v>39441.39</v>
      </c>
      <c r="D141" s="480">
        <f>'[23]Sch C'!F137</f>
        <v>0</v>
      </c>
      <c r="E141" s="480">
        <f>+'[23]Sch C'!H137</f>
        <v>0</v>
      </c>
      <c r="F141" s="166">
        <f t="shared" si="46"/>
        <v>39441.39</v>
      </c>
      <c r="G141" s="626"/>
      <c r="H141" s="166"/>
      <c r="I141" s="166">
        <f t="shared" si="47"/>
        <v>39441.39</v>
      </c>
      <c r="J141" s="167">
        <f>IF($I$213=0,0,I141/$I$213)</f>
        <v>1.603178913704904E-2</v>
      </c>
      <c r="K141" s="458"/>
      <c r="L141" s="176">
        <v>1777</v>
      </c>
      <c r="M141" s="176">
        <v>1998.17</v>
      </c>
      <c r="O141" s="329">
        <f t="shared" si="43"/>
        <v>6.1035886722376969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'[23]Sch C'!D138</f>
        <v>365945.11</v>
      </c>
      <c r="D142" s="480">
        <f>'[23]Sch C'!F138</f>
        <v>0</v>
      </c>
      <c r="E142" s="480">
        <f>+'[23]Sch C'!H138</f>
        <v>0</v>
      </c>
      <c r="F142" s="166">
        <f t="shared" si="46"/>
        <v>365945.11</v>
      </c>
      <c r="G142" s="626"/>
      <c r="H142" s="166"/>
      <c r="I142" s="166">
        <f t="shared" si="47"/>
        <v>365945.11</v>
      </c>
      <c r="J142" s="167">
        <f>IF($I$213=0,0,I142/$I$213)</f>
        <v>0.14874614812647868</v>
      </c>
      <c r="K142" s="458"/>
      <c r="L142" s="176">
        <v>21221.25</v>
      </c>
      <c r="M142" s="176">
        <v>23273.35</v>
      </c>
      <c r="O142" s="329">
        <f t="shared" si="43"/>
        <v>56.63031723924481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'[23]Sch C'!D139</f>
        <v>0</v>
      </c>
      <c r="D143" s="480">
        <f>'[23]Sch C'!F139</f>
        <v>0</v>
      </c>
      <c r="E143" s="480">
        <f>+'[23]Sch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'[23]Sch C'!D141</f>
        <v>97479.4</v>
      </c>
      <c r="D145" s="480">
        <f>'[23]Sch C'!F141</f>
        <v>0</v>
      </c>
      <c r="E145" s="480">
        <f>+'[23]Sch C'!H141</f>
        <v>0</v>
      </c>
      <c r="F145" s="166">
        <f t="shared" ref="F145:F148" si="48">C145+D145+E145</f>
        <v>97479.4</v>
      </c>
      <c r="G145" s="626"/>
      <c r="H145" s="166"/>
      <c r="I145" s="166">
        <f t="shared" ref="I145:I148" si="49">F145+G145+H145</f>
        <v>97479.4</v>
      </c>
      <c r="J145" s="167">
        <f>IF($I$213=0,0,I145/$I$213)</f>
        <v>3.9622568728081287E-2</v>
      </c>
      <c r="K145" s="458"/>
      <c r="L145" s="163"/>
      <c r="M145" s="163"/>
      <c r="O145" s="329">
        <f t="shared" si="43"/>
        <v>15.085020117610647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'[23]Sch C'!D142</f>
        <v>14413.21</v>
      </c>
      <c r="D146" s="480">
        <f>'[23]Sch C'!F142</f>
        <v>0</v>
      </c>
      <c r="E146" s="480">
        <f>+'[23]Sch C'!H142</f>
        <v>0</v>
      </c>
      <c r="F146" s="166">
        <f t="shared" si="48"/>
        <v>14413.21</v>
      </c>
      <c r="G146" s="626"/>
      <c r="H146" s="166"/>
      <c r="I146" s="166">
        <f t="shared" si="49"/>
        <v>14413.21</v>
      </c>
      <c r="J146" s="167">
        <f>IF($I$213=0,0,I146/$I$213)</f>
        <v>5.8585547696976843E-3</v>
      </c>
      <c r="K146" s="458"/>
      <c r="L146" s="163"/>
      <c r="M146" s="163"/>
      <c r="O146" s="329">
        <f t="shared" si="43"/>
        <v>2.2304565150108324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'[23]Sch C'!D143</f>
        <v>133728.66</v>
      </c>
      <c r="D147" s="480">
        <f>'[23]Sch C'!F143</f>
        <v>0</v>
      </c>
      <c r="E147" s="480">
        <f>+'[23]Sch C'!H143</f>
        <v>0</v>
      </c>
      <c r="F147" s="166">
        <f t="shared" si="48"/>
        <v>133728.66</v>
      </c>
      <c r="G147" s="626"/>
      <c r="H147" s="166"/>
      <c r="I147" s="166">
        <f t="shared" si="49"/>
        <v>133728.66</v>
      </c>
      <c r="J147" s="167">
        <f>IF($I$213=0,0,I147/$I$213)</f>
        <v>5.4356848952334703E-2</v>
      </c>
      <c r="K147" s="458"/>
      <c r="L147" s="163"/>
      <c r="M147" s="163"/>
      <c r="O147" s="329">
        <f t="shared" si="43"/>
        <v>20.694623955431755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'[23]Sch C'!D144</f>
        <v>0</v>
      </c>
      <c r="D148" s="480">
        <f>'[23]Sch C'!F144</f>
        <v>0</v>
      </c>
      <c r="E148" s="480">
        <f>+'[23]Sch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'[23]Sch C'!D146</f>
        <v>0</v>
      </c>
      <c r="D150" s="480">
        <f>'[23]Sch C'!F146</f>
        <v>0</v>
      </c>
      <c r="E150" s="480">
        <f>+'[23]Sch C'!H146</f>
        <v>0</v>
      </c>
      <c r="F150" s="166">
        <f t="shared" ref="F150:F158" si="50">C150+D150+E150</f>
        <v>0</v>
      </c>
      <c r="G150" s="626"/>
      <c r="H150" s="166"/>
      <c r="I150" s="166">
        <f t="shared" ref="I150:I158" si="51">F150+G150+H150</f>
        <v>0</v>
      </c>
      <c r="J150" s="167">
        <f t="shared" ref="J150:J158" si="52">IF($I$213=0,0,I150/$I$213)</f>
        <v>0</v>
      </c>
      <c r="K150" s="458"/>
      <c r="L150" s="176">
        <v>0</v>
      </c>
      <c r="M150" s="176">
        <v>0</v>
      </c>
      <c r="O150" s="329">
        <f t="shared" si="43"/>
        <v>0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'[23]Sch C'!D147</f>
        <v>43286.94</v>
      </c>
      <c r="D151" s="480">
        <f>'[23]Sch C'!F147</f>
        <v>0</v>
      </c>
      <c r="E151" s="480">
        <f>+'[23]Sch C'!H147</f>
        <v>0</v>
      </c>
      <c r="F151" s="166">
        <f t="shared" si="50"/>
        <v>43286.94</v>
      </c>
      <c r="G151" s="626"/>
      <c r="H151" s="166"/>
      <c r="I151" s="166">
        <f t="shared" si="51"/>
        <v>43286.94</v>
      </c>
      <c r="J151" s="167">
        <f t="shared" si="52"/>
        <v>1.7594894461581946E-2</v>
      </c>
      <c r="K151" s="458"/>
      <c r="L151" s="176">
        <v>646.25</v>
      </c>
      <c r="M151" s="176">
        <v>646.25</v>
      </c>
      <c r="O151" s="329">
        <f t="shared" si="43"/>
        <v>6.6986908077994434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'[23]Sch C'!D148</f>
        <v>0</v>
      </c>
      <c r="D152" s="480">
        <f>'[23]Sch C'!F148</f>
        <v>0</v>
      </c>
      <c r="E152" s="480">
        <f>+'[23]Sch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'[23]Sch C'!D149</f>
        <v>0</v>
      </c>
      <c r="D153" s="480">
        <f>'[23]Sch C'!F149</f>
        <v>0</v>
      </c>
      <c r="E153" s="480">
        <f>+'[23]Sch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'[23]Sch C'!D150</f>
        <v>55237.3</v>
      </c>
      <c r="D154" s="480">
        <f>'[23]Sch C'!F150</f>
        <v>0</v>
      </c>
      <c r="E154" s="480">
        <f>+'[23]Sch C'!H150</f>
        <v>0</v>
      </c>
      <c r="F154" s="166">
        <f t="shared" si="50"/>
        <v>55237.3</v>
      </c>
      <c r="G154" s="626"/>
      <c r="H154" s="166"/>
      <c r="I154" s="166">
        <f t="shared" si="51"/>
        <v>55237.3</v>
      </c>
      <c r="J154" s="167">
        <f t="shared" si="52"/>
        <v>2.2452371635480365E-2</v>
      </c>
      <c r="K154" s="458"/>
      <c r="L154" s="176">
        <v>735.64</v>
      </c>
      <c r="M154" s="176">
        <v>823</v>
      </c>
      <c r="O154" s="329">
        <f t="shared" si="43"/>
        <v>8.5480191891055401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'[23]Sch C'!D151</f>
        <v>26833.24</v>
      </c>
      <c r="D155" s="480">
        <f>'[23]Sch C'!F151</f>
        <v>0</v>
      </c>
      <c r="E155" s="480">
        <f>+'[23]Sch C'!H151</f>
        <v>0</v>
      </c>
      <c r="F155" s="166">
        <f t="shared" si="50"/>
        <v>26833.24</v>
      </c>
      <c r="G155" s="626"/>
      <c r="H155" s="166"/>
      <c r="I155" s="166">
        <f t="shared" si="51"/>
        <v>26833.24</v>
      </c>
      <c r="J155" s="167">
        <f t="shared" si="52"/>
        <v>1.0906939272267782E-2</v>
      </c>
      <c r="K155" s="458"/>
      <c r="L155" s="163"/>
      <c r="M155" s="163"/>
      <c r="O155" s="329">
        <f t="shared" si="43"/>
        <v>4.1524667285670072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'[23]Sch C'!D152</f>
        <v>949.81</v>
      </c>
      <c r="D156" s="480">
        <f>'[23]Sch C'!F152</f>
        <v>0</v>
      </c>
      <c r="E156" s="480">
        <f>+'[23]Sch C'!H152</f>
        <v>0</v>
      </c>
      <c r="F156" s="166">
        <f t="shared" si="50"/>
        <v>949.81</v>
      </c>
      <c r="G156" s="626"/>
      <c r="H156" s="166"/>
      <c r="I156" s="166">
        <f t="shared" si="51"/>
        <v>949.81</v>
      </c>
      <c r="J156" s="167">
        <f t="shared" si="52"/>
        <v>3.8607041081109328E-4</v>
      </c>
      <c r="K156" s="458"/>
      <c r="L156" s="163"/>
      <c r="M156" s="163"/>
      <c r="O156" s="329">
        <f t="shared" si="43"/>
        <v>0.1469839059114825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'[23]Sch C'!D153</f>
        <v>20</v>
      </c>
      <c r="D157" s="480">
        <f>'[23]Sch C'!F153</f>
        <v>0</v>
      </c>
      <c r="E157" s="480">
        <f>+'[23]Sch C'!H153</f>
        <v>0</v>
      </c>
      <c r="F157" s="166">
        <f t="shared" si="50"/>
        <v>20</v>
      </c>
      <c r="G157" s="626"/>
      <c r="H157" s="166"/>
      <c r="I157" s="166">
        <f t="shared" si="51"/>
        <v>20</v>
      </c>
      <c r="J157" s="167">
        <f t="shared" si="52"/>
        <v>8.1294240071402348E-6</v>
      </c>
      <c r="K157" s="458"/>
      <c r="L157" s="163"/>
      <c r="M157" s="163"/>
      <c r="O157" s="329">
        <f t="shared" si="43"/>
        <v>3.0950170225936243E-3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'[23]Sch C'!D154</f>
        <v>0</v>
      </c>
      <c r="D158" s="480">
        <f>'[23]Sch C'!F154</f>
        <v>0</v>
      </c>
      <c r="E158" s="480">
        <f>+'[23]Sch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'[23]Sch C'!D156</f>
        <v>0</v>
      </c>
      <c r="D160" s="480">
        <f>'[23]Sch C'!F156</f>
        <v>0</v>
      </c>
      <c r="E160" s="480">
        <f>+'[23]Sch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'[23]Sch C'!D157</f>
        <v>0</v>
      </c>
      <c r="D161" s="480">
        <f>'[23]Sch C'!F157</f>
        <v>0</v>
      </c>
      <c r="E161" s="480">
        <f>+'[23]Sch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'[23]Sch C'!D158</f>
        <v>0</v>
      </c>
      <c r="D162" s="480">
        <f>'[23]Sch C'!F158</f>
        <v>0</v>
      </c>
      <c r="E162" s="480">
        <f>+'[23]Sch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'[23]Sch C'!D159</f>
        <v>0</v>
      </c>
      <c r="D163" s="480">
        <f>'[23]Sch C'!F159</f>
        <v>0</v>
      </c>
      <c r="E163" s="480">
        <f>+'[23]Sch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'[23]Sch C'!D160</f>
        <v>0</v>
      </c>
      <c r="D164" s="480">
        <f>'[23]Sch C'!F160</f>
        <v>0</v>
      </c>
      <c r="E164" s="480">
        <f>+'[23]Sch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'[23]Sch C'!D161</f>
        <v>0</v>
      </c>
      <c r="D165" s="480">
        <f>'[23]Sch C'!F161</f>
        <v>0</v>
      </c>
      <c r="E165" s="480">
        <f>+'[23]Sch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1124463.3800000001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1124463.3800000001</v>
      </c>
      <c r="G166" s="166">
        <f t="shared" si="57"/>
        <v>0</v>
      </c>
      <c r="H166" s="166">
        <f t="shared" si="57"/>
        <v>0</v>
      </c>
      <c r="I166" s="166">
        <f t="shared" si="57"/>
        <v>1124463.3800000001</v>
      </c>
      <c r="J166" s="167">
        <f t="shared" si="55"/>
        <v>0.45706197982610264</v>
      </c>
      <c r="K166" s="458"/>
      <c r="L166" s="163"/>
      <c r="M166" s="163"/>
      <c r="O166" s="329">
        <f>I166/I$233</f>
        <v>174.01166511915818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'[23]Sch C'!D175</f>
        <v>0</v>
      </c>
      <c r="D169" s="480">
        <f>'[23]Sch C'!F175</f>
        <v>0</v>
      </c>
      <c r="E169" s="480">
        <f>+'[23]Sch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'[23]Sch C'!D176</f>
        <v>0</v>
      </c>
      <c r="D170" s="480">
        <f>'[23]Sch C'!F176</f>
        <v>0</v>
      </c>
      <c r="E170" s="480">
        <f>+'[23]Sch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'[23]Sch C'!D177</f>
        <v>0</v>
      </c>
      <c r="D171" s="480">
        <f>'[23]Sch C'!F177</f>
        <v>0</v>
      </c>
      <c r="E171" s="480">
        <f>+'[23]Sch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'[23]Sch C'!D178</f>
        <v>0</v>
      </c>
      <c r="D172" s="480">
        <f>'[23]Sch C'!F178</f>
        <v>0</v>
      </c>
      <c r="E172" s="480">
        <f>+'[23]Sch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'[23]Sch C'!D179</f>
        <v>0</v>
      </c>
      <c r="D173" s="480">
        <f>'[23]Sch C'!F179</f>
        <v>0</v>
      </c>
      <c r="E173" s="480">
        <f>+'[23]Sch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'[23]Sch C'!D180</f>
        <v>0</v>
      </c>
      <c r="D174" s="480">
        <f>'[23]Sch C'!F180</f>
        <v>0</v>
      </c>
      <c r="E174" s="480">
        <f>+'[23]Sch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'[23]Sch C'!D181</f>
        <v>0</v>
      </c>
      <c r="D175" s="480">
        <f>'[23]Sch C'!F181</f>
        <v>0</v>
      </c>
      <c r="E175" s="480">
        <f>+'[23]Sch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'[23]Sch C'!D182</f>
        <v>0</v>
      </c>
      <c r="D176" s="480">
        <f>'[23]Sch C'!F182</f>
        <v>0</v>
      </c>
      <c r="E176" s="480">
        <f>+'[23]Sch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'[23]Sch C'!D183</f>
        <v>0</v>
      </c>
      <c r="D177" s="480">
        <f>'[23]Sch C'!F183</f>
        <v>0</v>
      </c>
      <c r="E177" s="480">
        <f>+'[23]Sch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'[23]Sch C'!D184</f>
        <v>0</v>
      </c>
      <c r="D178" s="480">
        <f>'[23]Sch C'!F184</f>
        <v>0</v>
      </c>
      <c r="E178" s="480">
        <f>+'[23]Sch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'[23]Sch C'!D185</f>
        <v>0</v>
      </c>
      <c r="D179" s="480">
        <f>'[23]Sch C'!F185</f>
        <v>0</v>
      </c>
      <c r="E179" s="480">
        <f>+'[23]Sch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'[23]Sch C'!D186</f>
        <v>0</v>
      </c>
      <c r="D180" s="480">
        <f>'[23]Sch C'!F186</f>
        <v>0</v>
      </c>
      <c r="E180" s="480">
        <f>+'[23]Sch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'[23]Sch C'!D187</f>
        <v>0</v>
      </c>
      <c r="D181" s="480">
        <f>'[23]Sch C'!F187</f>
        <v>0</v>
      </c>
      <c r="E181" s="480">
        <f>+'[23]Sch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'[23]Sch C'!D188</f>
        <v>0</v>
      </c>
      <c r="D182" s="480">
        <f>'[23]Sch C'!F188</f>
        <v>0</v>
      </c>
      <c r="E182" s="480">
        <f>+'[23]Sch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'[23]Sch C'!D189</f>
        <v>0</v>
      </c>
      <c r="D183" s="480">
        <f>'[23]Sch C'!F189</f>
        <v>0</v>
      </c>
      <c r="E183" s="480">
        <f>+'[23]Sch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'[23]Sch C'!D190</f>
        <v>0</v>
      </c>
      <c r="D184" s="480">
        <f>'[23]Sch C'!F190</f>
        <v>0</v>
      </c>
      <c r="E184" s="480">
        <f>+'[23]Sch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'[23]Sch C'!D191</f>
        <v>0</v>
      </c>
      <c r="D185" s="480">
        <f>'[23]Sch C'!F191</f>
        <v>0</v>
      </c>
      <c r="E185" s="480">
        <f>+'[23]Sch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'[23]Sch C'!D192</f>
        <v>0</v>
      </c>
      <c r="D186" s="480">
        <f>'[23]Sch C'!F192</f>
        <v>0</v>
      </c>
      <c r="E186" s="480">
        <f>+'[23]Sch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'[23]Sch C'!D193</f>
        <v>0</v>
      </c>
      <c r="D187" s="480">
        <f>'[23]Sch C'!F193</f>
        <v>0</v>
      </c>
      <c r="E187" s="480">
        <f>+'[23]Sch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'[23]Sch C'!D194</f>
        <v>0</v>
      </c>
      <c r="D188" s="480">
        <f>'[23]Sch C'!F194</f>
        <v>0</v>
      </c>
      <c r="E188" s="480">
        <f>+'[23]Sch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'[23]Sch C'!D195</f>
        <v>0</v>
      </c>
      <c r="D189" s="480">
        <f>'[23]Sch C'!F195</f>
        <v>0</v>
      </c>
      <c r="E189" s="480">
        <f>+'[23]Sch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'[23]Sch C'!D196</f>
        <v>0</v>
      </c>
      <c r="D190" s="480">
        <f>'[23]Sch C'!F196</f>
        <v>0</v>
      </c>
      <c r="E190" s="480">
        <f>+'[23]Sch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'[23]Sch C'!D197</f>
        <v>0</v>
      </c>
      <c r="D191" s="480">
        <f>'[23]Sch C'!F197</f>
        <v>0</v>
      </c>
      <c r="E191" s="480">
        <f>+'[23]Sch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'[23]Sch C'!D198</f>
        <v>0</v>
      </c>
      <c r="D192" s="480">
        <f>'[23]Sch C'!F198</f>
        <v>0</v>
      </c>
      <c r="E192" s="480">
        <f>+'[23]Sch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'[23]Sch C'!D199</f>
        <v>0</v>
      </c>
      <c r="D193" s="480">
        <f>'[23]Sch C'!F199</f>
        <v>0</v>
      </c>
      <c r="E193" s="480">
        <f>+'[23]Sch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'[23]Sch C'!D200</f>
        <v>237</v>
      </c>
      <c r="D194" s="480">
        <f>'[23]Sch C'!F200</f>
        <v>0</v>
      </c>
      <c r="E194" s="480">
        <f>+'[23]Sch C'!H200</f>
        <v>0</v>
      </c>
      <c r="F194" s="166">
        <f t="shared" si="58"/>
        <v>237</v>
      </c>
      <c r="G194" s="626"/>
      <c r="H194" s="166"/>
      <c r="I194" s="166">
        <f t="shared" si="59"/>
        <v>237</v>
      </c>
      <c r="J194" s="167">
        <f t="shared" si="60"/>
        <v>9.6333674484611772E-5</v>
      </c>
      <c r="K194" s="458"/>
      <c r="L194" s="213"/>
      <c r="M194" s="208"/>
      <c r="O194" s="329">
        <f t="shared" si="61"/>
        <v>3.6675951717734447E-2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'[23]Sch C'!D201</f>
        <v>0</v>
      </c>
      <c r="D195" s="480">
        <f>'[23]Sch C'!F201</f>
        <v>0</v>
      </c>
      <c r="E195" s="480">
        <f>+'[23]Sch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'[23]Sch C'!D202</f>
        <v>0</v>
      </c>
      <c r="D196" s="480">
        <f>'[23]Sch C'!F202</f>
        <v>0</v>
      </c>
      <c r="E196" s="480">
        <f>+'[23]Sch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'[23]Sch C'!D203</f>
        <v>0</v>
      </c>
      <c r="D197" s="480">
        <f>'[23]Sch C'!F203</f>
        <v>0</v>
      </c>
      <c r="E197" s="480">
        <f>+'[23]Sch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'[23]Sch C'!D204</f>
        <v>0</v>
      </c>
      <c r="D198" s="480">
        <f>'[23]Sch C'!F204</f>
        <v>0</v>
      </c>
      <c r="E198" s="480">
        <f>+'[23]Sch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'[23]Sch C'!D205</f>
        <v>0</v>
      </c>
      <c r="D199" s="480">
        <f>'[23]Sch C'!F205</f>
        <v>0</v>
      </c>
      <c r="E199" s="480">
        <f>+'[23]Sch C'!H205</f>
        <v>0</v>
      </c>
      <c r="F199" s="166">
        <f t="shared" si="58"/>
        <v>0</v>
      </c>
      <c r="G199" s="626"/>
      <c r="H199" s="166"/>
      <c r="I199" s="166">
        <f t="shared" si="59"/>
        <v>0</v>
      </c>
      <c r="J199" s="167">
        <f t="shared" si="60"/>
        <v>0</v>
      </c>
      <c r="K199" s="458"/>
      <c r="L199" s="213"/>
      <c r="M199" s="208"/>
      <c r="O199" s="329">
        <f t="shared" si="61"/>
        <v>0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'[23]Sch C'!D206</f>
        <v>0</v>
      </c>
      <c r="D200" s="480">
        <f>'[23]Sch C'!F206</f>
        <v>0</v>
      </c>
      <c r="E200" s="480">
        <f>+'[23]Sch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'[23]Sch C'!D207</f>
        <v>0</v>
      </c>
      <c r="D201" s="480">
        <f>'[23]Sch C'!F207</f>
        <v>0</v>
      </c>
      <c r="E201" s="480">
        <f>+'[23]Sch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237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237</v>
      </c>
      <c r="G202" s="166">
        <f t="shared" si="63"/>
        <v>0</v>
      </c>
      <c r="H202" s="166">
        <f t="shared" si="63"/>
        <v>0</v>
      </c>
      <c r="I202" s="166">
        <f t="shared" si="63"/>
        <v>237</v>
      </c>
      <c r="J202" s="167">
        <f>IF($I$213=0,0,I202/$I$213)</f>
        <v>9.6333674484611772E-5</v>
      </c>
      <c r="K202" s="458"/>
      <c r="L202" s="163"/>
      <c r="M202" s="163"/>
      <c r="O202" s="329">
        <f>I202/I$233</f>
        <v>3.6675951717734447E-2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'[23]Sch C'!D211</f>
        <v>91850.09</v>
      </c>
      <c r="D205" s="480">
        <f>'[23]Sch C'!F211</f>
        <v>0</v>
      </c>
      <c r="E205" s="480">
        <f>+'[23]Sch C'!H211</f>
        <v>0</v>
      </c>
      <c r="F205" s="166">
        <f t="shared" ref="F205:F210" si="64">C205+D205+E205</f>
        <v>91850.09</v>
      </c>
      <c r="G205" s="626"/>
      <c r="H205" s="166"/>
      <c r="I205" s="166">
        <f t="shared" ref="I205:I210" si="65">F205+G205+H205</f>
        <v>91850.09</v>
      </c>
      <c r="J205" s="167">
        <f t="shared" ref="J205:J211" si="66">IF($I$213=0,0,I205/$I$213)</f>
        <v>3.7334416335199558E-2</v>
      </c>
      <c r="K205" s="458"/>
      <c r="L205" s="176">
        <v>4342</v>
      </c>
      <c r="M205" s="176">
        <v>4857.07</v>
      </c>
      <c r="O205" s="329">
        <f t="shared" ref="O205:O210" si="67">I205/I$233</f>
        <v>14.213879603837821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'[23]Sch C'!D212</f>
        <v>33565.120000000003</v>
      </c>
      <c r="D206" s="480">
        <f>'[23]Sch C'!F212</f>
        <v>0</v>
      </c>
      <c r="E206" s="480">
        <f>+'[23]Sch C'!H212</f>
        <v>0</v>
      </c>
      <c r="F206" s="166">
        <f t="shared" si="64"/>
        <v>33565.120000000003</v>
      </c>
      <c r="G206" s="626"/>
      <c r="H206" s="166"/>
      <c r="I206" s="166">
        <f t="shared" si="65"/>
        <v>33565.120000000003</v>
      </c>
      <c r="J206" s="167">
        <f t="shared" si="66"/>
        <v>1.3643254616527142E-2</v>
      </c>
      <c r="K206" s="458"/>
      <c r="L206" s="163"/>
      <c r="M206" s="163"/>
      <c r="O206" s="329">
        <f t="shared" si="67"/>
        <v>5.1942308882698862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'[23]Sch C'!D213</f>
        <v>19113.84</v>
      </c>
      <c r="D207" s="480">
        <f>'[23]Sch C'!F213</f>
        <v>0</v>
      </c>
      <c r="E207" s="480">
        <f>+'[23]Sch C'!H213</f>
        <v>0</v>
      </c>
      <c r="F207" s="166">
        <f t="shared" si="64"/>
        <v>19113.84</v>
      </c>
      <c r="G207" s="626"/>
      <c r="H207" s="166"/>
      <c r="I207" s="166">
        <f t="shared" si="65"/>
        <v>19113.84</v>
      </c>
      <c r="J207" s="167">
        <f t="shared" si="66"/>
        <v>7.7692254882318649E-3</v>
      </c>
      <c r="K207" s="458"/>
      <c r="L207" s="163"/>
      <c r="M207" s="163"/>
      <c r="O207" s="329">
        <f t="shared" si="67"/>
        <v>2.9578830083565459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'[23]Sch C'!D214</f>
        <v>2417.5</v>
      </c>
      <c r="D208" s="480">
        <f>'[23]Sch C'!F214</f>
        <v>0</v>
      </c>
      <c r="E208" s="480">
        <f>+'[23]Sch C'!H214</f>
        <v>0</v>
      </c>
      <c r="F208" s="166">
        <f t="shared" si="64"/>
        <v>2417.5</v>
      </c>
      <c r="G208" s="626"/>
      <c r="H208" s="166"/>
      <c r="I208" s="166">
        <f t="shared" si="65"/>
        <v>2417.5</v>
      </c>
      <c r="J208" s="167">
        <f t="shared" si="66"/>
        <v>9.8264412686307578E-4</v>
      </c>
      <c r="K208" s="458"/>
      <c r="L208" s="163"/>
      <c r="M208" s="163"/>
      <c r="O208" s="329">
        <f t="shared" si="67"/>
        <v>0.37411018260600432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'[23]Sch C'!D215</f>
        <v>0</v>
      </c>
      <c r="D209" s="480">
        <f>'[23]Sch C'!F215</f>
        <v>0</v>
      </c>
      <c r="E209" s="480">
        <f>+'[23]Sch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'[23]Sch C'!D216</f>
        <v>0</v>
      </c>
      <c r="D210" s="480">
        <f>'[23]Sch C'!F216</f>
        <v>0</v>
      </c>
      <c r="E210" s="480">
        <f>+'[23]Sch C'!H216</f>
        <v>0</v>
      </c>
      <c r="F210" s="166">
        <f t="shared" si="64"/>
        <v>0</v>
      </c>
      <c r="G210" s="626"/>
      <c r="H210" s="166"/>
      <c r="I210" s="166">
        <f t="shared" si="65"/>
        <v>0</v>
      </c>
      <c r="J210" s="167">
        <f t="shared" si="66"/>
        <v>0</v>
      </c>
      <c r="K210" s="458"/>
      <c r="L210" s="163"/>
      <c r="M210" s="163"/>
      <c r="O210" s="329">
        <f t="shared" si="67"/>
        <v>0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146946.54999999999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146946.54999999999</v>
      </c>
      <c r="G211" s="166">
        <f t="shared" si="69"/>
        <v>0</v>
      </c>
      <c r="H211" s="166">
        <f t="shared" si="69"/>
        <v>0</v>
      </c>
      <c r="I211" s="166">
        <f t="shared" si="69"/>
        <v>146946.54999999999</v>
      </c>
      <c r="J211" s="167">
        <f t="shared" si="66"/>
        <v>5.9729540566821636E-2</v>
      </c>
      <c r="K211" s="458"/>
      <c r="L211" s="163"/>
      <c r="M211" s="163"/>
      <c r="O211" s="329">
        <f>I211/I$233</f>
        <v>22.740103683070256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2461956.3000000003</v>
      </c>
      <c r="D213" s="480">
        <f t="shared" si="70"/>
        <v>-1757.4</v>
      </c>
      <c r="E213" s="480">
        <f t="shared" si="70"/>
        <v>0</v>
      </c>
      <c r="F213" s="166">
        <f t="shared" ref="F213:I213" si="71">SUM(F30:F211)/2</f>
        <v>2460198.9000000004</v>
      </c>
      <c r="G213" s="166">
        <f t="shared" si="71"/>
        <v>0</v>
      </c>
      <c r="H213" s="166">
        <f t="shared" si="71"/>
        <v>0</v>
      </c>
      <c r="I213" s="166">
        <f t="shared" si="71"/>
        <v>2460198.9000000004</v>
      </c>
      <c r="J213" s="167">
        <f>IF($I$213=0,0,I213/$I$213)</f>
        <v>1</v>
      </c>
      <c r="K213" s="458"/>
      <c r="L213" s="176">
        <f>SUM(L30:L205)</f>
        <v>39870.54</v>
      </c>
      <c r="M213" s="176">
        <f>SUM(M30:M205)</f>
        <v>44626.97</v>
      </c>
      <c r="O213" s="329">
        <f>I213/I$233</f>
        <v>380.71787372330556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'[23]Sch C'!D221</f>
        <v>2461956.29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1.0000000242143869E-2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-1589695.6000000003</v>
      </c>
      <c r="D220" s="480">
        <f t="shared" si="72"/>
        <v>358914.71</v>
      </c>
      <c r="E220" s="480">
        <f t="shared" si="72"/>
        <v>0</v>
      </c>
      <c r="F220" s="166">
        <f t="shared" ref="F220:I220" si="73">F26-F213</f>
        <v>-1230780.8900000004</v>
      </c>
      <c r="G220" s="166">
        <f t="shared" si="73"/>
        <v>0</v>
      </c>
      <c r="H220" s="166">
        <f t="shared" si="73"/>
        <v>0</v>
      </c>
      <c r="I220" s="166">
        <f t="shared" si="73"/>
        <v>-1230780.8900000004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'[23]Sch D'!C9</f>
        <v>6120</v>
      </c>
      <c r="D224" s="480"/>
      <c r="E224" s="480"/>
      <c r="F224" s="224">
        <f>C224+D224+E224</f>
        <v>6120</v>
      </c>
      <c r="G224" s="627"/>
      <c r="H224" s="223"/>
      <c r="I224" s="224">
        <f>F224+G224+H224</f>
        <v>6120</v>
      </c>
      <c r="J224" s="167">
        <f t="shared" ref="J224:J233" si="74">IF($I$233=0,0,I224/$I$233)</f>
        <v>0.94707520891364905</v>
      </c>
      <c r="K224" s="458"/>
      <c r="L224" s="163"/>
      <c r="M224" s="163"/>
    </row>
    <row r="225" spans="1:13">
      <c r="A225" s="158"/>
      <c r="B225" s="165" t="s">
        <v>201</v>
      </c>
      <c r="C225" s="504">
        <f>'[23]Sch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'[23]Sch D'!E9</f>
        <v>0</v>
      </c>
      <c r="D226" s="480"/>
      <c r="E226" s="480"/>
      <c r="F226" s="224">
        <f t="shared" si="75"/>
        <v>0</v>
      </c>
      <c r="G226" s="627"/>
      <c r="H226" s="223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'[23]Sch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'[23]Sch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'[23]Sch D'!H9</f>
        <v>315</v>
      </c>
      <c r="D229" s="480"/>
      <c r="E229" s="480"/>
      <c r="F229" s="224">
        <f t="shared" si="75"/>
        <v>315</v>
      </c>
      <c r="G229" s="627"/>
      <c r="H229" s="223"/>
      <c r="I229" s="224">
        <f t="shared" si="76"/>
        <v>315</v>
      </c>
      <c r="J229" s="167">
        <f t="shared" si="74"/>
        <v>4.8746518105849582E-2</v>
      </c>
      <c r="K229" s="458"/>
      <c r="L229" s="163"/>
      <c r="M229" s="163"/>
    </row>
    <row r="230" spans="1:13">
      <c r="A230" s="158"/>
      <c r="B230" s="165" t="s">
        <v>219</v>
      </c>
      <c r="C230" s="504">
        <f>'[23]Sch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'[23]Sch D'!J9</f>
        <v>27</v>
      </c>
      <c r="D231" s="480"/>
      <c r="E231" s="480"/>
      <c r="F231" s="224">
        <f t="shared" si="75"/>
        <v>27</v>
      </c>
      <c r="G231" s="627"/>
      <c r="H231" s="223"/>
      <c r="I231" s="224">
        <f t="shared" si="76"/>
        <v>27</v>
      </c>
      <c r="J231" s="167">
        <f>IF($I$233=0,0,I231/$I$233)</f>
        <v>4.178272980501393E-3</v>
      </c>
      <c r="K231" s="458"/>
      <c r="L231" s="163"/>
      <c r="M231" s="163"/>
    </row>
    <row r="232" spans="1:13">
      <c r="A232" s="158"/>
      <c r="B232" s="165" t="s">
        <v>170</v>
      </c>
      <c r="C232" s="504">
        <f>'[23]Sch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6462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6462</v>
      </c>
      <c r="G233" s="226">
        <f t="shared" si="78"/>
        <v>0</v>
      </c>
      <c r="H233" s="226">
        <f t="shared" si="78"/>
        <v>0</v>
      </c>
      <c r="I233" s="226">
        <f t="shared" si="78"/>
        <v>6462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'[23]Sch D'!N22</f>
        <v>21</v>
      </c>
      <c r="D236" s="480"/>
      <c r="E236" s="480"/>
      <c r="F236" s="224">
        <f>C236+E236</f>
        <v>21</v>
      </c>
      <c r="G236" s="627"/>
      <c r="H236" s="224"/>
      <c r="I236" s="224">
        <f>F236+G236+H236</f>
        <v>21</v>
      </c>
      <c r="J236" s="162"/>
      <c r="K236" s="460"/>
      <c r="L236" s="163"/>
      <c r="M236" s="163"/>
    </row>
    <row r="237" spans="1:13">
      <c r="A237" s="323" t="s">
        <v>342</v>
      </c>
      <c r="B237" s="194" t="s">
        <v>271</v>
      </c>
      <c r="C237" s="504">
        <f>'[23]Sch D'!N24</f>
        <v>21</v>
      </c>
      <c r="D237" s="480"/>
      <c r="E237" s="480"/>
      <c r="F237" s="224">
        <f>C237+E237</f>
        <v>21</v>
      </c>
      <c r="G237" s="627"/>
      <c r="H237" s="224"/>
      <c r="I237" s="224">
        <f>F237+G237+H237</f>
        <v>21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'[23]Sch D'!N28</f>
        <v>7665</v>
      </c>
      <c r="D240" s="427"/>
      <c r="E240" s="427"/>
      <c r="F240" s="223">
        <f>F236*F238</f>
        <v>7665</v>
      </c>
      <c r="G240"/>
      <c r="H240" s="228"/>
      <c r="I240" s="223">
        <f>I236*I238</f>
        <v>7665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'[23]Sch D'!N30</f>
        <v>0.84305283757338556</v>
      </c>
      <c r="D241" s="228"/>
      <c r="E241" s="228"/>
      <c r="F241" s="232">
        <f>F233/F240</f>
        <v>0.84305283757338556</v>
      </c>
      <c r="G241"/>
      <c r="H241" s="233"/>
      <c r="I241" s="232">
        <f>I233/I240</f>
        <v>0.84305283757338556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'[23]Sch D'!N32</f>
        <v>0.79843444227005866</v>
      </c>
      <c r="D242" s="228"/>
      <c r="E242" s="228"/>
      <c r="F242" s="232">
        <f>(F224+F225)/F240</f>
        <v>0.79843444227005866</v>
      </c>
      <c r="G242"/>
      <c r="H242" s="233"/>
      <c r="I242" s="232">
        <f>(I224+I225)/I240</f>
        <v>0.79843444227005866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'[23]Sch D'!N34</f>
        <v>0.94707520891364894</v>
      </c>
      <c r="D243" s="228"/>
      <c r="E243" s="228"/>
      <c r="F243" s="232">
        <f>(F242/F241)</f>
        <v>0.94707520891364894</v>
      </c>
      <c r="G243"/>
      <c r="H243" s="233"/>
      <c r="I243" s="232">
        <f>(I242/I241)</f>
        <v>0.94707520891364894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'[23]Sch B'!C90</f>
        <v>198.52307692307693</v>
      </c>
      <c r="K246" s="460"/>
    </row>
    <row r="247" spans="1:13">
      <c r="H247" s="140" t="s">
        <v>322</v>
      </c>
      <c r="I247" s="480">
        <f>'[23]Sch B'!E90</f>
        <v>175.61764705882354</v>
      </c>
      <c r="K247" s="460"/>
    </row>
    <row r="248" spans="1:13">
      <c r="H248" s="140" t="s">
        <v>323</v>
      </c>
      <c r="I248" s="480">
        <f>'[23]Sch B'!G90</f>
        <v>189.15625</v>
      </c>
      <c r="K248" s="460"/>
    </row>
    <row r="249" spans="1:13">
      <c r="H249" s="140" t="s">
        <v>324</v>
      </c>
      <c r="I249" s="480">
        <f>'[23]Sch B'!I90</f>
        <v>193.68067226890756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honeticPr fontId="16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E28CAB"/>
  </sheetPr>
  <dimension ref="A1:Q277"/>
  <sheetViews>
    <sheetView topLeftCell="B4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654" t="s">
        <v>547</v>
      </c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529</v>
      </c>
      <c r="D2" s="234"/>
      <c r="E2" s="142"/>
      <c r="F2" s="142"/>
      <c r="G2" s="142"/>
    </row>
    <row r="3" spans="1:16">
      <c r="A3" s="143"/>
      <c r="B3" s="138" t="s">
        <v>71</v>
      </c>
      <c r="C3" s="557">
        <f>'[24]Sch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'[24]Sch A Pg 1'!G39</f>
        <v>43281</v>
      </c>
      <c r="D4" s="620"/>
      <c r="E4" s="142"/>
      <c r="F4" s="146"/>
      <c r="G4" s="146"/>
      <c r="I4" s="147"/>
      <c r="K4" s="458" t="s">
        <v>582</v>
      </c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492" t="s">
        <v>736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'[24]Sch B'!E10</f>
        <v>429103</v>
      </c>
      <c r="D12" s="480">
        <f>'[24]Sch B'!G10</f>
        <v>0</v>
      </c>
      <c r="E12" s="480"/>
      <c r="F12" s="166">
        <f>C12+D12+E12</f>
        <v>429103</v>
      </c>
      <c r="G12" s="626"/>
      <c r="H12" s="166"/>
      <c r="I12" s="166">
        <f>F12+G12+H12</f>
        <v>429103</v>
      </c>
      <c r="J12" s="167">
        <f>IF($I$26=0,0,I12/$I$26)</f>
        <v>3.5749130667366034E-2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'[24]Sch B'!E12</f>
        <v>0</v>
      </c>
      <c r="D13" s="480">
        <f>'[24]Sch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'[24]Sch B'!E13</f>
        <v>2118</v>
      </c>
      <c r="D14" s="480">
        <f>'[24]Sch B'!G13</f>
        <v>0</v>
      </c>
      <c r="E14" s="480"/>
      <c r="F14" s="166">
        <f t="shared" si="0"/>
        <v>2118</v>
      </c>
      <c r="G14" s="626"/>
      <c r="H14" s="166"/>
      <c r="I14" s="166">
        <f t="shared" si="1"/>
        <v>2118</v>
      </c>
      <c r="J14" s="167">
        <f>IF($I$26=0,0,I14/$I$26)</f>
        <v>1.7645334279527589E-4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'[24]Sch B'!E14</f>
        <v>0</v>
      </c>
      <c r="D15" s="480">
        <f>'[24]Sch B'!G14</f>
        <v>0</v>
      </c>
      <c r="E15" s="480"/>
      <c r="F15" s="166">
        <f t="shared" si="0"/>
        <v>0</v>
      </c>
      <c r="G15" s="626">
        <v>12943</v>
      </c>
      <c r="H15" s="166"/>
      <c r="I15" s="166">
        <f t="shared" si="1"/>
        <v>12943</v>
      </c>
      <c r="J15" s="167">
        <f>IF($I$26=0,0,I15/$I$26)</f>
        <v>1.0782982133140961E-3</v>
      </c>
      <c r="K15" s="592" t="s">
        <v>374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'[24]Sch B'!E15</f>
        <v>431221</v>
      </c>
      <c r="D16" s="480">
        <f>'[24]Sch B'!G15</f>
        <v>0</v>
      </c>
      <c r="E16" s="480"/>
      <c r="F16" s="166">
        <f t="shared" si="0"/>
        <v>431221</v>
      </c>
      <c r="G16" s="626"/>
      <c r="H16" s="166"/>
      <c r="I16" s="166">
        <f>SUM(I12:I15)</f>
        <v>444164</v>
      </c>
      <c r="J16" s="167">
        <f t="shared" ref="J16:J26" si="2">IF($I$26=0,0,I16/$I$26)</f>
        <v>3.7003882223475407E-2</v>
      </c>
      <c r="K16" s="458"/>
      <c r="L16" s="333" t="s">
        <v>325</v>
      </c>
      <c r="M16" s="334">
        <f>I26</f>
        <v>12003173</v>
      </c>
      <c r="O16" s="324">
        <f>IFERROR(I16/I224,0)</f>
        <v>193.03085614950021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'[24]Sch B'!E20</f>
        <v>0</v>
      </c>
      <c r="D17" s="480">
        <f>'[24]Sch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11116703.35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'[24]Sch B'!E26</f>
        <v>1389679</v>
      </c>
      <c r="D18" s="480">
        <f>'[24]Sch B'!G26</f>
        <v>0</v>
      </c>
      <c r="E18" s="480"/>
      <c r="F18" s="166">
        <f t="shared" si="0"/>
        <v>1389679</v>
      </c>
      <c r="G18" s="626"/>
      <c r="H18" s="166"/>
      <c r="I18" s="166">
        <f t="shared" si="1"/>
        <v>1389679</v>
      </c>
      <c r="J18" s="167">
        <f t="shared" si="2"/>
        <v>0.11577597023720311</v>
      </c>
      <c r="K18" s="458"/>
      <c r="L18" s="335" t="s">
        <v>327</v>
      </c>
      <c r="M18" s="336">
        <f>I233</f>
        <v>42252</v>
      </c>
      <c r="O18" s="324">
        <f t="shared" si="3"/>
        <v>583.65350692986135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'[24]Sch B'!E32</f>
        <v>269789</v>
      </c>
      <c r="D19" s="480">
        <f>'[24]Sch B'!G32</f>
        <v>0</v>
      </c>
      <c r="E19" s="480"/>
      <c r="F19" s="166">
        <f t="shared" si="0"/>
        <v>269789</v>
      </c>
      <c r="G19" s="626"/>
      <c r="H19" s="166"/>
      <c r="I19" s="166">
        <f t="shared" si="1"/>
        <v>269789</v>
      </c>
      <c r="J19" s="170">
        <f t="shared" si="2"/>
        <v>2.247647351246208E-2</v>
      </c>
      <c r="K19" s="464"/>
      <c r="L19" s="335" t="s">
        <v>328</v>
      </c>
      <c r="M19" s="336">
        <f>I236</f>
        <v>120</v>
      </c>
      <c r="O19" s="324">
        <f t="shared" si="3"/>
        <v>513.88380952380953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'[24]Sch B'!E37</f>
        <v>7944836</v>
      </c>
      <c r="D20" s="480">
        <f>'[24]Sch B'!G37</f>
        <v>-2536676</v>
      </c>
      <c r="E20" s="480"/>
      <c r="F20" s="166">
        <f t="shared" si="0"/>
        <v>5408160</v>
      </c>
      <c r="G20" s="626"/>
      <c r="H20" s="166"/>
      <c r="I20" s="166">
        <f t="shared" si="1"/>
        <v>5408160</v>
      </c>
      <c r="J20" s="167">
        <f t="shared" si="2"/>
        <v>0.45056086419815827</v>
      </c>
      <c r="K20" s="458"/>
      <c r="L20" s="335" t="s">
        <v>329</v>
      </c>
      <c r="M20" s="336">
        <f>I240</f>
        <v>43800</v>
      </c>
      <c r="O20" s="324">
        <f t="shared" si="3"/>
        <v>393.57834218761371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'[24]Sch B'!E42</f>
        <v>1798012</v>
      </c>
      <c r="D21" s="480">
        <f>'[24]Sch B'!G42</f>
        <v>2536676</v>
      </c>
      <c r="E21" s="480"/>
      <c r="F21" s="166">
        <f t="shared" si="0"/>
        <v>4334688</v>
      </c>
      <c r="G21" s="626"/>
      <c r="H21" s="166"/>
      <c r="I21" s="166">
        <f t="shared" si="1"/>
        <v>4334688</v>
      </c>
      <c r="J21" s="167">
        <f t="shared" si="2"/>
        <v>0.36112851160272369</v>
      </c>
      <c r="K21" s="458"/>
      <c r="L21" s="337"/>
      <c r="M21" s="336"/>
      <c r="O21" s="324">
        <f t="shared" si="3"/>
        <v>192.48170515097692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'[24]Sch B'!E47</f>
        <v>141593</v>
      </c>
      <c r="D22" s="480">
        <f>'[24]Sch B'!G47</f>
        <v>0</v>
      </c>
      <c r="E22" s="480"/>
      <c r="F22" s="166">
        <f t="shared" si="0"/>
        <v>141593</v>
      </c>
      <c r="G22" s="626"/>
      <c r="H22" s="166"/>
      <c r="I22" s="166">
        <f t="shared" si="1"/>
        <v>141593</v>
      </c>
      <c r="J22" s="167">
        <f t="shared" si="2"/>
        <v>1.1796297528995041E-2</v>
      </c>
      <c r="K22" s="458"/>
      <c r="L22" s="335" t="s">
        <v>148</v>
      </c>
      <c r="M22" s="336">
        <f>L213</f>
        <v>356683</v>
      </c>
      <c r="O22" s="324">
        <f t="shared" si="3"/>
        <v>193.69767441860466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'[24]Sch B'!E52</f>
        <v>0</v>
      </c>
      <c r="D23" s="480">
        <f>'[24]Sch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378867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'[24]Sch B'!E57</f>
        <v>20231</v>
      </c>
      <c r="D24" s="480">
        <f>'[24]Sch B'!G57</f>
        <v>0</v>
      </c>
      <c r="E24" s="480"/>
      <c r="F24" s="166">
        <f t="shared" si="0"/>
        <v>20231</v>
      </c>
      <c r="G24" s="626"/>
      <c r="H24" s="166"/>
      <c r="I24" s="166">
        <f t="shared" si="1"/>
        <v>20231</v>
      </c>
      <c r="J24" s="167">
        <f t="shared" si="2"/>
        <v>1.6854710000430719E-3</v>
      </c>
      <c r="K24" s="458"/>
      <c r="L24" s="163"/>
      <c r="M24" s="163"/>
      <c r="O24" s="324">
        <f t="shared" si="3"/>
        <v>381.71698113207549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'[24]Sch B'!E72</f>
        <v>60427</v>
      </c>
      <c r="D25" s="480">
        <f>'[24]Sch B'!G72</f>
        <v>-52615</v>
      </c>
      <c r="E25" s="480"/>
      <c r="F25" s="166">
        <f t="shared" si="0"/>
        <v>7812</v>
      </c>
      <c r="G25" s="626">
        <v>-12943</v>
      </c>
      <c r="H25" s="166"/>
      <c r="I25" s="166">
        <f t="shared" si="1"/>
        <v>-5131</v>
      </c>
      <c r="J25" s="167">
        <f t="shared" si="2"/>
        <v>-4.2747030306069904E-4</v>
      </c>
      <c r="K25" s="592" t="s">
        <v>374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12055788</v>
      </c>
      <c r="D26" s="480">
        <f t="shared" ref="D26:F26" si="4">SUM(D16:D25)</f>
        <v>-52615</v>
      </c>
      <c r="E26" s="480">
        <f t="shared" si="4"/>
        <v>0</v>
      </c>
      <c r="F26" s="166">
        <f t="shared" si="4"/>
        <v>12003173</v>
      </c>
      <c r="G26" s="166">
        <f>SUM(G12:G25)</f>
        <v>0</v>
      </c>
      <c r="H26" s="166">
        <f>SUM(H12:H25)</f>
        <v>0</v>
      </c>
      <c r="I26" s="166">
        <f>SUM(I16:I25)</f>
        <v>12003173</v>
      </c>
      <c r="J26" s="167">
        <f t="shared" si="2"/>
        <v>1</v>
      </c>
      <c r="K26" s="458"/>
      <c r="L26" s="163"/>
      <c r="M26" s="163"/>
      <c r="O26" s="324">
        <f>IFERROR(I26/I233,0)</f>
        <v>284.08532140490394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'[24]Sch C'!D10</f>
        <v>0</v>
      </c>
      <c r="D30" s="480">
        <f>'[24]Sch C'!F10</f>
        <v>122266</v>
      </c>
      <c r="E30" s="480">
        <f>+'[24]Sch C'!H10</f>
        <v>0</v>
      </c>
      <c r="F30" s="166">
        <f t="shared" ref="F30:F65" si="5">C30+D30+E30</f>
        <v>122266</v>
      </c>
      <c r="G30" s="626"/>
      <c r="H30" s="166"/>
      <c r="I30" s="166">
        <f t="shared" ref="I30:I65" si="6">F30+G30+H30</f>
        <v>122266</v>
      </c>
      <c r="J30" s="167">
        <f>IF($I$213=0,0,I30/$I$213)</f>
        <v>1.0998404486524326E-2</v>
      </c>
      <c r="K30" s="458"/>
      <c r="L30" s="176">
        <v>1984</v>
      </c>
      <c r="M30" s="176">
        <v>2080</v>
      </c>
      <c r="O30" s="324">
        <f>I30/I$233</f>
        <v>2.8937328410489442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'[24]Sch C'!D11</f>
        <v>0</v>
      </c>
      <c r="D31" s="480">
        <f>'[24]Sch C'!F11</f>
        <v>0</v>
      </c>
      <c r="E31" s="480">
        <f>+'[24]Sch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'[24]Sch C'!D12</f>
        <v>327793</v>
      </c>
      <c r="D32" s="480">
        <f>'[24]Sch C'!F12</f>
        <v>-122636</v>
      </c>
      <c r="E32" s="480">
        <f>+'[24]Sch C'!H12</f>
        <v>0</v>
      </c>
      <c r="F32" s="166">
        <f t="shared" si="5"/>
        <v>205157</v>
      </c>
      <c r="G32" s="626"/>
      <c r="H32" s="166"/>
      <c r="I32" s="166">
        <f t="shared" si="6"/>
        <v>205157</v>
      </c>
      <c r="J32" s="167">
        <f t="shared" si="7"/>
        <v>1.8454841650515034E-2</v>
      </c>
      <c r="K32" s="458"/>
      <c r="L32" s="176">
        <v>12441</v>
      </c>
      <c r="M32" s="176">
        <v>13370</v>
      </c>
      <c r="O32" s="324">
        <f t="shared" si="8"/>
        <v>4.8555571333901355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'[24]Sch C'!D13</f>
        <v>114395</v>
      </c>
      <c r="D33" s="480">
        <f>'[24]Sch C'!F13</f>
        <v>-13259</v>
      </c>
      <c r="E33" s="480">
        <f>+'[24]Sch C'!H13</f>
        <v>0</v>
      </c>
      <c r="F33" s="166">
        <f t="shared" si="5"/>
        <v>101136</v>
      </c>
      <c r="G33" s="626"/>
      <c r="H33" s="166"/>
      <c r="I33" s="166">
        <f t="shared" si="6"/>
        <v>101136</v>
      </c>
      <c r="J33" s="167">
        <f t="shared" si="7"/>
        <v>9.097661133505016E-3</v>
      </c>
      <c r="K33" s="458"/>
      <c r="L33" s="163"/>
      <c r="M33" s="163"/>
      <c r="O33" s="324">
        <f t="shared" si="8"/>
        <v>2.393638170974155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'[24]Sch C'!D14</f>
        <v>0</v>
      </c>
      <c r="D34" s="480">
        <f>'[24]Sch C'!F14</f>
        <v>0</v>
      </c>
      <c r="E34" s="480">
        <f>+'[24]Sch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'[24]Sch C'!D15</f>
        <v>0</v>
      </c>
      <c r="D35" s="480">
        <f>'[24]Sch C'!F15</f>
        <v>722817</v>
      </c>
      <c r="E35" s="480">
        <f>+'[24]Sch C'!H15</f>
        <v>0</v>
      </c>
      <c r="F35" s="166">
        <f t="shared" si="5"/>
        <v>722817</v>
      </c>
      <c r="G35" s="626"/>
      <c r="H35" s="166"/>
      <c r="I35" s="166">
        <f t="shared" si="6"/>
        <v>722817</v>
      </c>
      <c r="J35" s="167">
        <f t="shared" si="7"/>
        <v>6.5020804931346848E-2</v>
      </c>
      <c r="K35" s="458"/>
      <c r="L35" s="163"/>
      <c r="M35" s="163"/>
      <c r="O35" s="324">
        <f t="shared" si="8"/>
        <v>17.107284862255042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'[24]Sch C'!D16</f>
        <v>722817</v>
      </c>
      <c r="D36" s="480">
        <f>'[24]Sch C'!F16</f>
        <v>-722817</v>
      </c>
      <c r="E36" s="480">
        <f>+'[24]Sch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'[24]Sch C'!D17</f>
        <v>13297</v>
      </c>
      <c r="D37" s="480">
        <f>'[24]Sch C'!F17</f>
        <v>-13297</v>
      </c>
      <c r="E37" s="480">
        <f>+'[24]Sch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'[24]Sch C'!D18</f>
        <v>86727</v>
      </c>
      <c r="D38" s="480">
        <f>'[24]Sch C'!F18</f>
        <v>0</v>
      </c>
      <c r="E38" s="480">
        <f>+'[24]Sch C'!H18</f>
        <v>0</v>
      </c>
      <c r="F38" s="166">
        <f t="shared" si="5"/>
        <v>86727</v>
      </c>
      <c r="G38" s="626"/>
      <c r="H38" s="166"/>
      <c r="I38" s="166">
        <f t="shared" si="6"/>
        <v>86727</v>
      </c>
      <c r="J38" s="167">
        <f t="shared" si="7"/>
        <v>7.8015034915904276E-3</v>
      </c>
      <c r="K38" s="458"/>
      <c r="L38" s="163"/>
      <c r="M38" s="163"/>
      <c r="O38" s="324">
        <f t="shared" si="8"/>
        <v>2.0526128940641861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'[24]Sch C'!D19</f>
        <v>18655</v>
      </c>
      <c r="D39" s="480">
        <f>'[24]Sch C'!F19</f>
        <v>0</v>
      </c>
      <c r="E39" s="480">
        <f>+'[24]Sch C'!H19</f>
        <v>0</v>
      </c>
      <c r="F39" s="166">
        <f t="shared" si="5"/>
        <v>18655</v>
      </c>
      <c r="G39" s="626"/>
      <c r="H39" s="166"/>
      <c r="I39" s="166">
        <f t="shared" si="6"/>
        <v>18655</v>
      </c>
      <c r="J39" s="167">
        <f t="shared" si="7"/>
        <v>1.678105407031483E-3</v>
      </c>
      <c r="K39" s="458"/>
      <c r="L39" s="163"/>
      <c r="M39" s="163"/>
      <c r="O39" s="324">
        <f t="shared" si="8"/>
        <v>0.44151756129887343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'[24]Sch C'!D20</f>
        <v>39220</v>
      </c>
      <c r="D40" s="480">
        <f>'[24]Sch C'!F20</f>
        <v>-409</v>
      </c>
      <c r="E40" s="480">
        <f>+'[24]Sch C'!H20</f>
        <v>0</v>
      </c>
      <c r="F40" s="166">
        <f t="shared" si="5"/>
        <v>38811</v>
      </c>
      <c r="G40" s="626"/>
      <c r="H40" s="166"/>
      <c r="I40" s="166">
        <f t="shared" si="6"/>
        <v>38811</v>
      </c>
      <c r="J40" s="167">
        <f t="shared" si="7"/>
        <v>3.4912328572660888E-3</v>
      </c>
      <c r="K40" s="458"/>
      <c r="L40" s="163"/>
      <c r="M40" s="163"/>
      <c r="O40" s="324">
        <f t="shared" si="8"/>
        <v>0.91856006816245384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'[24]Sch C'!D21</f>
        <v>10800</v>
      </c>
      <c r="D41" s="480">
        <f>'[24]Sch C'!F21</f>
        <v>0</v>
      </c>
      <c r="E41" s="480">
        <f>+'[24]Sch C'!H21</f>
        <v>0</v>
      </c>
      <c r="F41" s="166">
        <f t="shared" si="5"/>
        <v>10800</v>
      </c>
      <c r="G41" s="626"/>
      <c r="H41" s="166"/>
      <c r="I41" s="166">
        <f t="shared" si="6"/>
        <v>10800</v>
      </c>
      <c r="J41" s="167">
        <f t="shared" si="7"/>
        <v>9.7151103703779231E-4</v>
      </c>
      <c r="K41" s="458"/>
      <c r="L41" s="163"/>
      <c r="M41" s="163"/>
      <c r="O41" s="324">
        <f t="shared" si="8"/>
        <v>0.25560920193126951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'[24]Sch C'!D22</f>
        <v>0</v>
      </c>
      <c r="D42" s="480">
        <f>'[24]Sch C'!F22</f>
        <v>0</v>
      </c>
      <c r="E42" s="480">
        <f>+'[24]Sch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'[24]Sch C'!D23</f>
        <v>26991</v>
      </c>
      <c r="D43" s="480">
        <f>'[24]Sch C'!F23</f>
        <v>0</v>
      </c>
      <c r="E43" s="480">
        <f>+'[24]Sch C'!H23</f>
        <v>0</v>
      </c>
      <c r="F43" s="166">
        <f t="shared" si="5"/>
        <v>26991</v>
      </c>
      <c r="G43" s="626"/>
      <c r="H43" s="166"/>
      <c r="I43" s="166">
        <f t="shared" si="6"/>
        <v>26991</v>
      </c>
      <c r="J43" s="167">
        <f t="shared" si="7"/>
        <v>2.4279680000636162E-3</v>
      </c>
      <c r="K43" s="458"/>
      <c r="L43" s="163"/>
      <c r="M43" s="163"/>
      <c r="O43" s="324">
        <f t="shared" si="8"/>
        <v>0.63880999715989772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'[24]Sch C'!D24</f>
        <v>2646</v>
      </c>
      <c r="D44" s="480">
        <f>'[24]Sch C'!F24</f>
        <v>0</v>
      </c>
      <c r="E44" s="480">
        <f>+'[24]Sch C'!H24</f>
        <v>0</v>
      </c>
      <c r="F44" s="166">
        <f t="shared" si="5"/>
        <v>2646</v>
      </c>
      <c r="G44" s="626"/>
      <c r="H44" s="166"/>
      <c r="I44" s="166">
        <f t="shared" si="6"/>
        <v>2646</v>
      </c>
      <c r="J44" s="167">
        <f t="shared" si="7"/>
        <v>2.3802020407425912E-4</v>
      </c>
      <c r="K44" s="458"/>
      <c r="L44" s="163"/>
      <c r="M44" s="163"/>
      <c r="O44" s="324">
        <f t="shared" si="8"/>
        <v>6.2624254473161028E-2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'[24]Sch C'!D25</f>
        <v>0</v>
      </c>
      <c r="D45" s="480">
        <f>'[24]Sch C'!F25</f>
        <v>0</v>
      </c>
      <c r="E45" s="480">
        <f>+'[24]Sch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'[24]Sch C'!D26</f>
        <v>0</v>
      </c>
      <c r="D46" s="480">
        <f>'[24]Sch C'!F26</f>
        <v>0</v>
      </c>
      <c r="E46" s="480">
        <f>+'[24]Sch C'!H26</f>
        <v>0</v>
      </c>
      <c r="F46" s="166">
        <f t="shared" si="5"/>
        <v>0</v>
      </c>
      <c r="G46" s="626"/>
      <c r="H46" s="166"/>
      <c r="I46" s="166">
        <f t="shared" si="6"/>
        <v>0</v>
      </c>
      <c r="J46" s="167">
        <f t="shared" si="7"/>
        <v>0</v>
      </c>
      <c r="K46" s="458"/>
      <c r="L46" s="163"/>
      <c r="M46" s="163"/>
      <c r="O46" s="324">
        <f t="shared" si="8"/>
        <v>0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'[24]Sch C'!D27</f>
        <v>0</v>
      </c>
      <c r="D47" s="480">
        <f>'[24]Sch C'!F27</f>
        <v>0</v>
      </c>
      <c r="E47" s="480">
        <f>+'[24]Sch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'[24]Sch C'!D28</f>
        <v>0</v>
      </c>
      <c r="D48" s="480">
        <f>'[24]Sch C'!F28</f>
        <v>0</v>
      </c>
      <c r="E48" s="480">
        <f>+'[24]Sch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'[24]Sch C'!D29</f>
        <v>12676</v>
      </c>
      <c r="D49" s="480">
        <f>'[24]Sch C'!F29</f>
        <v>-12676</v>
      </c>
      <c r="E49" s="480">
        <f>+'[24]Sch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'[24]Sch C'!D30</f>
        <v>571</v>
      </c>
      <c r="D50" s="480">
        <f>'[24]Sch C'!F30</f>
        <v>-571</v>
      </c>
      <c r="E50" s="480">
        <f>+'[24]Sch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'[24]Sch C'!D31</f>
        <v>0</v>
      </c>
      <c r="D51" s="480">
        <f>'[24]Sch C'!F31</f>
        <v>0</v>
      </c>
      <c r="E51" s="480">
        <f>+'[24]Sch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'[24]Sch C'!D32</f>
        <v>91940</v>
      </c>
      <c r="D52" s="480">
        <f>'[24]Sch C'!F32</f>
        <v>0</v>
      </c>
      <c r="E52" s="480">
        <f>+'[24]Sch C'!H32</f>
        <v>0</v>
      </c>
      <c r="F52" s="166">
        <f t="shared" si="5"/>
        <v>91940</v>
      </c>
      <c r="G52" s="626"/>
      <c r="H52" s="166"/>
      <c r="I52" s="166">
        <f t="shared" si="6"/>
        <v>91940</v>
      </c>
      <c r="J52" s="167">
        <f t="shared" si="7"/>
        <v>8.2704374764124653E-3</v>
      </c>
      <c r="K52" s="458"/>
      <c r="L52" s="163"/>
      <c r="M52" s="163"/>
      <c r="O52" s="324">
        <f t="shared" si="8"/>
        <v>2.1759916690334187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'[24]Sch C'!D33</f>
        <v>0</v>
      </c>
      <c r="D53" s="480">
        <f>'[24]Sch C'!F33</f>
        <v>0</v>
      </c>
      <c r="E53" s="480">
        <f>+'[24]Sch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'[24]Sch C'!D34</f>
        <v>5253</v>
      </c>
      <c r="D54" s="480">
        <f>'[24]Sch C'!F34</f>
        <v>0</v>
      </c>
      <c r="E54" s="480">
        <f>+'[24]Sch C'!H34</f>
        <v>0</v>
      </c>
      <c r="F54" s="166">
        <f t="shared" si="5"/>
        <v>5253</v>
      </c>
      <c r="G54" s="626"/>
      <c r="H54" s="166"/>
      <c r="I54" s="166">
        <f t="shared" si="6"/>
        <v>5253</v>
      </c>
      <c r="J54" s="167">
        <f t="shared" si="7"/>
        <v>4.72532173848104E-4</v>
      </c>
      <c r="K54" s="458"/>
      <c r="L54" s="163"/>
      <c r="M54" s="163"/>
      <c r="O54" s="324">
        <f t="shared" si="8"/>
        <v>0.12432547571712582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'[24]Sch C'!D35</f>
        <v>0</v>
      </c>
      <c r="D55" s="480">
        <f>'[24]Sch C'!F35</f>
        <v>0</v>
      </c>
      <c r="E55" s="480">
        <f>+'[24]Sch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'[24]Sch C'!D36</f>
        <v>65148</v>
      </c>
      <c r="D56" s="480">
        <f>'[24]Sch C'!F36</f>
        <v>0</v>
      </c>
      <c r="E56" s="480">
        <f>+'[24]Sch C'!H36</f>
        <v>0</v>
      </c>
      <c r="F56" s="166">
        <f t="shared" si="5"/>
        <v>65148</v>
      </c>
      <c r="G56" s="626"/>
      <c r="H56" s="166"/>
      <c r="I56" s="166">
        <f t="shared" si="6"/>
        <v>65148</v>
      </c>
      <c r="J56" s="167">
        <f t="shared" si="7"/>
        <v>5.8603704667535275E-3</v>
      </c>
      <c r="K56" s="458"/>
      <c r="L56" s="176">
        <v>4728</v>
      </c>
      <c r="M56" s="176">
        <v>5000</v>
      </c>
      <c r="O56" s="324">
        <f t="shared" si="8"/>
        <v>1.5418915080942914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'[24]Sch C'!D37</f>
        <v>11733</v>
      </c>
      <c r="D57" s="480">
        <f>'[24]Sch C'!F37</f>
        <v>0</v>
      </c>
      <c r="E57" s="480">
        <f>+'[24]Sch C'!H37</f>
        <v>0</v>
      </c>
      <c r="F57" s="166">
        <f t="shared" si="5"/>
        <v>11733</v>
      </c>
      <c r="G57" s="626"/>
      <c r="H57" s="166"/>
      <c r="I57" s="166">
        <f t="shared" si="6"/>
        <v>11733</v>
      </c>
      <c r="J57" s="167">
        <f t="shared" si="7"/>
        <v>1.0554387960707795E-3</v>
      </c>
      <c r="K57" s="458"/>
      <c r="L57" s="163"/>
      <c r="M57" s="163"/>
      <c r="O57" s="324">
        <f t="shared" si="8"/>
        <v>0.27769099687588755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'[24]Sch C'!D38</f>
        <v>23643</v>
      </c>
      <c r="D58" s="480">
        <f>'[24]Sch C'!F38</f>
        <v>-23643</v>
      </c>
      <c r="E58" s="480">
        <f>+'[24]Sch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'[24]Sch C'!D39</f>
        <v>13461</v>
      </c>
      <c r="D59" s="480">
        <f>'[24]Sch C'!F39</f>
        <v>0</v>
      </c>
      <c r="E59" s="480">
        <f>+'[24]Sch C'!H39</f>
        <v>0</v>
      </c>
      <c r="F59" s="166">
        <f t="shared" si="5"/>
        <v>13461</v>
      </c>
      <c r="G59" s="626"/>
      <c r="H59" s="166"/>
      <c r="I59" s="166">
        <f t="shared" si="6"/>
        <v>13461</v>
      </c>
      <c r="J59" s="167">
        <f t="shared" si="7"/>
        <v>1.2108805619968261E-3</v>
      </c>
      <c r="K59" s="458"/>
      <c r="L59" s="163"/>
      <c r="M59" s="163"/>
      <c r="O59" s="324">
        <f t="shared" si="8"/>
        <v>0.31858846918489064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'[24]Sch C'!D40</f>
        <v>18078</v>
      </c>
      <c r="D60" s="480">
        <f>'[24]Sch C'!F40</f>
        <v>-18078</v>
      </c>
      <c r="E60" s="480">
        <f>+'[24]Sch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'[24]Sch C'!D41</f>
        <v>93155</v>
      </c>
      <c r="D61" s="480">
        <f>'[24]Sch C'!F41</f>
        <v>-15822</v>
      </c>
      <c r="E61" s="480">
        <f>+'[24]Sch C'!H41</f>
        <v>0</v>
      </c>
      <c r="F61" s="166">
        <f t="shared" si="5"/>
        <v>77333</v>
      </c>
      <c r="G61" s="626"/>
      <c r="H61" s="166"/>
      <c r="I61" s="166">
        <f t="shared" si="6"/>
        <v>77333</v>
      </c>
      <c r="J61" s="167">
        <f t="shared" si="7"/>
        <v>6.9564687988188517E-3</v>
      </c>
      <c r="K61" s="458"/>
      <c r="L61" s="163"/>
      <c r="M61" s="163"/>
      <c r="O61" s="324">
        <f t="shared" si="8"/>
        <v>1.8302802234213764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'[24]Sch C'!D42</f>
        <v>0</v>
      </c>
      <c r="D62" s="480">
        <f>'[24]Sch C'!F42</f>
        <v>0</v>
      </c>
      <c r="E62" s="480">
        <f>+'[24]Sch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'[24]Sch C'!D43</f>
        <v>23065</v>
      </c>
      <c r="D63" s="480">
        <f>'[24]Sch C'!F43</f>
        <v>-23065</v>
      </c>
      <c r="E63" s="480">
        <f>+'[24]Sch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'[24]Sch C'!D44</f>
        <v>0</v>
      </c>
      <c r="D64" s="480">
        <f>'[24]Sch C'!F44</f>
        <v>0</v>
      </c>
      <c r="E64" s="480">
        <f>+'[24]Sch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'[24]Sch C'!D45</f>
        <v>509332</v>
      </c>
      <c r="D65" s="480">
        <f>'[24]Sch C'!F45</f>
        <v>-438347</v>
      </c>
      <c r="E65" s="480">
        <f>+'[24]Sch C'!H45</f>
        <v>0</v>
      </c>
      <c r="F65" s="166">
        <f t="shared" si="5"/>
        <v>70985</v>
      </c>
      <c r="G65" s="626">
        <v>-6663.65</v>
      </c>
      <c r="H65" s="166"/>
      <c r="I65" s="166">
        <f t="shared" si="6"/>
        <v>64321.35</v>
      </c>
      <c r="J65" s="167">
        <f t="shared" si="7"/>
        <v>5.7860093927935927E-3</v>
      </c>
      <c r="K65" s="591" t="s">
        <v>583</v>
      </c>
      <c r="L65" s="163"/>
      <c r="M65" s="163"/>
      <c r="O65" s="324">
        <f t="shared" si="8"/>
        <v>1.5223267537631355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2231396</v>
      </c>
      <c r="D66" s="480">
        <f t="shared" si="9"/>
        <v>-559537</v>
      </c>
      <c r="E66" s="480">
        <f t="shared" si="9"/>
        <v>0</v>
      </c>
      <c r="F66" s="166">
        <f t="shared" ref="F66:I66" si="10">SUM(F30:F65)</f>
        <v>1671859</v>
      </c>
      <c r="G66" s="166">
        <f t="shared" si="10"/>
        <v>-6663.65</v>
      </c>
      <c r="H66" s="166">
        <f t="shared" si="10"/>
        <v>0</v>
      </c>
      <c r="I66" s="166">
        <f t="shared" si="10"/>
        <v>1665195.35</v>
      </c>
      <c r="J66" s="178">
        <f t="shared" si="7"/>
        <v>0.14979219086564904</v>
      </c>
      <c r="K66" s="465"/>
      <c r="L66" s="163"/>
      <c r="M66" s="163"/>
      <c r="O66" s="329">
        <f>I66/I$233</f>
        <v>39.411042080848247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'[24]Sch C'!D57</f>
        <v>0</v>
      </c>
      <c r="D69" s="480">
        <f>'[24]Sch C'!F57</f>
        <v>0</v>
      </c>
      <c r="E69" s="480">
        <f>+'[24]Sch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'[24]Sch C'!D58</f>
        <v>6662</v>
      </c>
      <c r="D70" s="480">
        <f>'[24]Sch C'!F58</f>
        <v>0</v>
      </c>
      <c r="E70" s="480">
        <f>+'[24]Sch C'!H58</f>
        <v>0</v>
      </c>
      <c r="F70" s="166">
        <f t="shared" ref="F70:F83" si="13">C70+D70+E70</f>
        <v>6662</v>
      </c>
      <c r="G70" s="626"/>
      <c r="H70" s="166"/>
      <c r="I70" s="166">
        <f t="shared" ref="I70:I83" si="14">F70+G70+H70</f>
        <v>6662</v>
      </c>
      <c r="J70" s="167">
        <f t="shared" si="11"/>
        <v>5.9927838229127521E-4</v>
      </c>
      <c r="K70" s="458"/>
      <c r="L70" s="182"/>
      <c r="M70" s="163"/>
      <c r="O70" s="324">
        <f t="shared" si="12"/>
        <v>0.15767300956167754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'[24]Sch C'!D59</f>
        <v>0</v>
      </c>
      <c r="D71" s="480">
        <f>'[24]Sch C'!F59</f>
        <v>0</v>
      </c>
      <c r="E71" s="480">
        <f>+'[24]Sch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'[24]Sch C'!D60</f>
        <v>902</v>
      </c>
      <c r="D72" s="480">
        <f>'[24]Sch C'!F60</f>
        <v>0</v>
      </c>
      <c r="E72" s="480">
        <f>+'[24]Sch C'!H60</f>
        <v>0</v>
      </c>
      <c r="F72" s="166">
        <f t="shared" si="13"/>
        <v>902</v>
      </c>
      <c r="G72" s="626"/>
      <c r="H72" s="166"/>
      <c r="I72" s="166">
        <f t="shared" si="14"/>
        <v>902</v>
      </c>
      <c r="J72" s="167">
        <f t="shared" si="11"/>
        <v>8.1139162537785989E-5</v>
      </c>
      <c r="K72" s="458"/>
      <c r="L72" s="185"/>
      <c r="M72" s="163"/>
      <c r="O72" s="324">
        <f t="shared" si="12"/>
        <v>2.1348101865000472E-2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'[24]Sch C'!D61</f>
        <v>19824</v>
      </c>
      <c r="D73" s="480">
        <f>'[24]Sch C'!F61</f>
        <v>0</v>
      </c>
      <c r="E73" s="480">
        <f>+'[24]Sch C'!H61</f>
        <v>0</v>
      </c>
      <c r="F73" s="166">
        <f t="shared" si="13"/>
        <v>19824</v>
      </c>
      <c r="G73" s="626"/>
      <c r="H73" s="166"/>
      <c r="I73" s="166">
        <f t="shared" si="14"/>
        <v>19824</v>
      </c>
      <c r="J73" s="167">
        <f t="shared" si="11"/>
        <v>1.7832624813182588E-3</v>
      </c>
      <c r="K73" s="458"/>
      <c r="L73" s="185"/>
      <c r="M73" s="163"/>
      <c r="O73" s="324">
        <f t="shared" si="12"/>
        <v>0.46918489065606361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'[24]Sch C'!D62</f>
        <v>14100</v>
      </c>
      <c r="D74" s="480">
        <f>'[24]Sch C'!F62</f>
        <v>0</v>
      </c>
      <c r="E74" s="480">
        <f>+'[24]Sch C'!H62</f>
        <v>0</v>
      </c>
      <c r="F74" s="166">
        <f t="shared" si="13"/>
        <v>14100</v>
      </c>
      <c r="G74" s="626"/>
      <c r="H74" s="166"/>
      <c r="I74" s="166">
        <f t="shared" si="14"/>
        <v>14100</v>
      </c>
      <c r="J74" s="167">
        <f t="shared" si="11"/>
        <v>1.2683616316882288E-3</v>
      </c>
      <c r="K74" s="458"/>
      <c r="L74" s="187"/>
      <c r="M74" s="163"/>
      <c r="O74" s="324">
        <f t="shared" si="12"/>
        <v>0.33371201363249076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'[24]Sch C'!D63</f>
        <v>0</v>
      </c>
      <c r="D75" s="480">
        <f>'[24]Sch C'!F63</f>
        <v>0</v>
      </c>
      <c r="E75" s="480">
        <f>+'[24]Sch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'[24]Sch C'!D64</f>
        <v>0</v>
      </c>
      <c r="D76" s="480">
        <f>'[24]Sch C'!F64</f>
        <v>0</v>
      </c>
      <c r="E76" s="480">
        <f>+'[24]Sch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'[24]Sch C'!D65</f>
        <v>11639</v>
      </c>
      <c r="D77" s="480">
        <f>'[24]Sch C'!F65</f>
        <v>0</v>
      </c>
      <c r="E77" s="480">
        <f>+'[24]Sch C'!H65</f>
        <v>0</v>
      </c>
      <c r="F77" s="166">
        <f t="shared" si="13"/>
        <v>11639</v>
      </c>
      <c r="G77" s="626"/>
      <c r="H77" s="166"/>
      <c r="I77" s="166">
        <f t="shared" si="14"/>
        <v>11639</v>
      </c>
      <c r="J77" s="167">
        <f t="shared" si="11"/>
        <v>1.0469830518595245E-3</v>
      </c>
      <c r="K77" s="458"/>
      <c r="L77" s="187"/>
      <c r="M77" s="163"/>
      <c r="O77" s="324">
        <f t="shared" si="12"/>
        <v>0.27546625011833759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'[24]Sch C'!D66</f>
        <v>116768</v>
      </c>
      <c r="D78" s="480">
        <f>'[24]Sch C'!F66</f>
        <v>0</v>
      </c>
      <c r="E78" s="480">
        <f>+'[24]Sch C'!H66</f>
        <v>0</v>
      </c>
      <c r="F78" s="166">
        <f t="shared" si="13"/>
        <v>116768</v>
      </c>
      <c r="G78" s="626"/>
      <c r="H78" s="166"/>
      <c r="I78" s="166">
        <f t="shared" si="14"/>
        <v>116768</v>
      </c>
      <c r="J78" s="167">
        <f t="shared" si="11"/>
        <v>1.0503833404891569E-2</v>
      </c>
      <c r="K78" s="458"/>
      <c r="L78" s="187"/>
      <c r="M78" s="163"/>
      <c r="O78" s="324">
        <f t="shared" si="12"/>
        <v>2.7636088232509706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'[24]Sch C'!D67</f>
        <v>39749</v>
      </c>
      <c r="D79" s="480">
        <f>'[24]Sch C'!F67</f>
        <v>0</v>
      </c>
      <c r="E79" s="480">
        <f>+'[24]Sch C'!H67</f>
        <v>0</v>
      </c>
      <c r="F79" s="166">
        <f t="shared" si="13"/>
        <v>39749</v>
      </c>
      <c r="G79" s="626"/>
      <c r="H79" s="166"/>
      <c r="I79" s="166">
        <f t="shared" si="14"/>
        <v>39749</v>
      </c>
      <c r="J79" s="167">
        <f t="shared" si="11"/>
        <v>3.5756103899273342E-3</v>
      </c>
      <c r="K79" s="458"/>
      <c r="L79" s="187"/>
      <c r="M79" s="163"/>
      <c r="O79" s="324">
        <f t="shared" si="12"/>
        <v>0.94076020070055855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'[24]Sch C'!D68</f>
        <v>0</v>
      </c>
      <c r="D80" s="480">
        <f>'[24]Sch C'!F68</f>
        <v>0</v>
      </c>
      <c r="E80" s="480">
        <f>+'[24]Sch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'[24]Sch C'!D69</f>
        <v>0</v>
      </c>
      <c r="D81" s="480">
        <f>'[24]Sch C'!F69</f>
        <v>0</v>
      </c>
      <c r="E81" s="480">
        <f>+'[24]Sch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'[24]Sch C'!D70</f>
        <v>0</v>
      </c>
      <c r="D82" s="480">
        <f>'[24]Sch C'!F70</f>
        <v>0</v>
      </c>
      <c r="E82" s="480">
        <f>+'[24]Sch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'[24]Sch C'!D71</f>
        <v>0</v>
      </c>
      <c r="D83" s="480">
        <f>'[24]Sch C'!F71</f>
        <v>0</v>
      </c>
      <c r="E83" s="480">
        <f>+'[24]Sch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209644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209644</v>
      </c>
      <c r="G84" s="166">
        <f t="shared" si="16"/>
        <v>0</v>
      </c>
      <c r="H84" s="166">
        <f t="shared" si="16"/>
        <v>0</v>
      </c>
      <c r="I84" s="166">
        <f t="shared" si="16"/>
        <v>209644</v>
      </c>
      <c r="J84" s="167">
        <f t="shared" si="11"/>
        <v>1.8858468504513975E-2</v>
      </c>
      <c r="K84" s="458"/>
      <c r="L84" s="187"/>
      <c r="M84" s="163"/>
      <c r="O84" s="324">
        <f t="shared" si="12"/>
        <v>4.9617532897850989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'[24]Sch C'!D75</f>
        <v>120948</v>
      </c>
      <c r="D87" s="480">
        <f>'[24]Sch C'!F75</f>
        <v>0</v>
      </c>
      <c r="E87" s="480">
        <f>+'[24]Sch C'!H75</f>
        <v>0</v>
      </c>
      <c r="F87" s="166">
        <f t="shared" ref="F87:F97" si="17">C87+D87+E87</f>
        <v>120948</v>
      </c>
      <c r="G87" s="626"/>
      <c r="H87" s="166"/>
      <c r="I87" s="166">
        <f t="shared" ref="I87:I97" si="18">F87+G87+H87</f>
        <v>120948</v>
      </c>
      <c r="J87" s="167">
        <f t="shared" ref="J87:J98" si="19">IF($I$213=0,0,I87/$I$213)</f>
        <v>1.0879844158115454E-2</v>
      </c>
      <c r="K87" s="458"/>
      <c r="L87" s="176">
        <v>6135</v>
      </c>
      <c r="M87" s="176">
        <v>6581</v>
      </c>
      <c r="O87" s="324">
        <f t="shared" ref="O87:O97" si="20">I87/I$233</f>
        <v>2.8625390514058506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'[24]Sch C'!D76</f>
        <v>26760</v>
      </c>
      <c r="D88" s="480">
        <f>'[24]Sch C'!F76</f>
        <v>0</v>
      </c>
      <c r="E88" s="480">
        <f>+'[24]Sch C'!H76</f>
        <v>0</v>
      </c>
      <c r="F88" s="166">
        <f t="shared" si="17"/>
        <v>26760</v>
      </c>
      <c r="G88" s="626"/>
      <c r="H88" s="166"/>
      <c r="I88" s="166">
        <f t="shared" si="18"/>
        <v>26760</v>
      </c>
      <c r="J88" s="167">
        <f t="shared" si="19"/>
        <v>2.4071884584380854E-3</v>
      </c>
      <c r="K88" s="458"/>
      <c r="L88" s="163"/>
      <c r="M88" s="163"/>
      <c r="O88" s="324">
        <f t="shared" si="20"/>
        <v>0.63334280034081225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'[24]Sch C'!D77</f>
        <v>31229</v>
      </c>
      <c r="D89" s="480">
        <f>'[24]Sch C'!F77</f>
        <v>0</v>
      </c>
      <c r="E89" s="480">
        <f>+'[24]Sch C'!H77</f>
        <v>0</v>
      </c>
      <c r="F89" s="166">
        <f t="shared" si="17"/>
        <v>31229</v>
      </c>
      <c r="G89" s="626"/>
      <c r="H89" s="166"/>
      <c r="I89" s="166">
        <f t="shared" si="18"/>
        <v>31229</v>
      </c>
      <c r="J89" s="167">
        <f t="shared" si="19"/>
        <v>2.8091961273752977E-3</v>
      </c>
      <c r="K89" s="458"/>
      <c r="L89" s="163"/>
      <c r="M89" s="163"/>
      <c r="O89" s="324">
        <f t="shared" si="20"/>
        <v>0.73911294139922368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'[24]Sch C'!D78</f>
        <v>0</v>
      </c>
      <c r="D90" s="480">
        <f>'[24]Sch C'!F78</f>
        <v>0</v>
      </c>
      <c r="E90" s="480">
        <f>+'[24]Sch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'[24]Sch C'!D79</f>
        <v>17042</v>
      </c>
      <c r="D91" s="480">
        <f>'[24]Sch C'!F79</f>
        <v>0</v>
      </c>
      <c r="E91" s="480">
        <f>+'[24]Sch C'!H79</f>
        <v>0</v>
      </c>
      <c r="F91" s="166">
        <f t="shared" si="17"/>
        <v>17042</v>
      </c>
      <c r="G91" s="626"/>
      <c r="H91" s="166"/>
      <c r="I91" s="166">
        <f t="shared" si="18"/>
        <v>17042</v>
      </c>
      <c r="J91" s="167">
        <f t="shared" si="19"/>
        <v>1.5330084345553756E-3</v>
      </c>
      <c r="K91" s="458"/>
      <c r="L91" s="163"/>
      <c r="M91" s="163"/>
      <c r="O91" s="324">
        <f t="shared" si="20"/>
        <v>0.40334185364006436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'[24]Sch C'!D80</f>
        <v>18151</v>
      </c>
      <c r="D92" s="480">
        <f>'[24]Sch C'!F80</f>
        <v>0</v>
      </c>
      <c r="E92" s="480">
        <f>+'[24]Sch C'!H80</f>
        <v>0</v>
      </c>
      <c r="F92" s="166">
        <f t="shared" si="17"/>
        <v>18151</v>
      </c>
      <c r="G92" s="626"/>
      <c r="H92" s="166"/>
      <c r="I92" s="166">
        <f t="shared" si="18"/>
        <v>18151</v>
      </c>
      <c r="J92" s="167">
        <f t="shared" si="19"/>
        <v>1.6327682253030526E-3</v>
      </c>
      <c r="K92" s="458"/>
      <c r="L92" s="163"/>
      <c r="M92" s="163"/>
      <c r="O92" s="324">
        <f t="shared" si="20"/>
        <v>0.4295891318754142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'[24]Sch C'!D81</f>
        <v>59238</v>
      </c>
      <c r="D93" s="480">
        <f>'[24]Sch C'!F81</f>
        <v>0</v>
      </c>
      <c r="E93" s="480">
        <f>+'[24]Sch C'!H81</f>
        <v>0</v>
      </c>
      <c r="F93" s="166">
        <f t="shared" si="17"/>
        <v>59238</v>
      </c>
      <c r="G93" s="626"/>
      <c r="H93" s="166"/>
      <c r="I93" s="166">
        <f t="shared" si="18"/>
        <v>59238</v>
      </c>
      <c r="J93" s="167">
        <f t="shared" si="19"/>
        <v>5.3287380381522908E-3</v>
      </c>
      <c r="K93" s="458"/>
      <c r="L93" s="163"/>
      <c r="M93" s="163"/>
      <c r="O93" s="324">
        <f t="shared" si="20"/>
        <v>1.4020164725930133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'[24]Sch C'!D82</f>
        <v>35407</v>
      </c>
      <c r="D94" s="480">
        <f>'[24]Sch C'!F82</f>
        <v>0</v>
      </c>
      <c r="E94" s="480">
        <f>+'[24]Sch C'!H82</f>
        <v>0</v>
      </c>
      <c r="F94" s="166">
        <f t="shared" si="17"/>
        <v>35407</v>
      </c>
      <c r="G94" s="626"/>
      <c r="H94" s="166"/>
      <c r="I94" s="166">
        <f t="shared" si="18"/>
        <v>35407</v>
      </c>
      <c r="J94" s="167">
        <f t="shared" si="19"/>
        <v>3.185026971147881E-3</v>
      </c>
      <c r="K94" s="458"/>
      <c r="L94" s="163"/>
      <c r="M94" s="163"/>
      <c r="O94" s="324">
        <f t="shared" si="20"/>
        <v>0.83799583451670923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'[24]Sch C'!D83</f>
        <v>10345</v>
      </c>
      <c r="D95" s="480">
        <f>'[24]Sch C'!F83</f>
        <v>0</v>
      </c>
      <c r="E95" s="480">
        <f>+'[24]Sch C'!H83</f>
        <v>0</v>
      </c>
      <c r="F95" s="166">
        <f t="shared" si="17"/>
        <v>10345</v>
      </c>
      <c r="G95" s="626"/>
      <c r="H95" s="166"/>
      <c r="I95" s="166">
        <f t="shared" si="18"/>
        <v>10345</v>
      </c>
      <c r="J95" s="167">
        <f t="shared" si="19"/>
        <v>9.3058163686629276E-4</v>
      </c>
      <c r="K95" s="458"/>
      <c r="L95" s="163"/>
      <c r="M95" s="163"/>
      <c r="O95" s="324">
        <f t="shared" si="20"/>
        <v>0.24484048092397992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'[24]Sch C'!D84</f>
        <v>224201</v>
      </c>
      <c r="D96" s="480">
        <f>'[24]Sch C'!F84</f>
        <v>0</v>
      </c>
      <c r="E96" s="480">
        <f>+'[24]Sch C'!H84</f>
        <v>0</v>
      </c>
      <c r="F96" s="166">
        <f t="shared" si="17"/>
        <v>224201</v>
      </c>
      <c r="G96" s="626"/>
      <c r="H96" s="166"/>
      <c r="I96" s="166">
        <f t="shared" si="18"/>
        <v>224201</v>
      </c>
      <c r="J96" s="167">
        <f t="shared" si="19"/>
        <v>2.0167939445825008E-2</v>
      </c>
      <c r="K96" s="458"/>
      <c r="L96" s="163"/>
      <c r="M96" s="163"/>
      <c r="O96" s="324">
        <f t="shared" si="20"/>
        <v>5.3062813594622744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'[24]Sch C'!D85</f>
        <v>0</v>
      </c>
      <c r="D97" s="480">
        <f>'[24]Sch C'!F85</f>
        <v>0</v>
      </c>
      <c r="E97" s="480">
        <f>+'[24]Sch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543321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543321</v>
      </c>
      <c r="G98" s="166">
        <f t="shared" si="22"/>
        <v>0</v>
      </c>
      <c r="H98" s="166">
        <f t="shared" si="22"/>
        <v>0</v>
      </c>
      <c r="I98" s="166">
        <f t="shared" si="22"/>
        <v>543321</v>
      </c>
      <c r="J98" s="167">
        <f t="shared" si="19"/>
        <v>4.8874291495778738E-2</v>
      </c>
      <c r="K98" s="458"/>
      <c r="L98" s="163"/>
      <c r="M98" s="163"/>
      <c r="O98" s="329">
        <f>I98/I$233</f>
        <v>12.859059926157341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'[24]Sch C'!D89</f>
        <v>546558</v>
      </c>
      <c r="D101" s="480">
        <f>'[24]Sch C'!F89</f>
        <v>0</v>
      </c>
      <c r="E101" s="480">
        <f>+'[24]Sch C'!H89</f>
        <v>0</v>
      </c>
      <c r="F101" s="166">
        <f t="shared" ref="F101:F106" si="23">C101+D101+E101</f>
        <v>546558</v>
      </c>
      <c r="G101" s="626"/>
      <c r="H101" s="166"/>
      <c r="I101" s="166">
        <f t="shared" ref="I101:I106" si="24">F101+G101+H101</f>
        <v>546558</v>
      </c>
      <c r="J101" s="167">
        <f t="shared" ref="J101:J107" si="25">IF($I$213=0,0,I101/$I$213)</f>
        <v>4.9165474942713124E-2</v>
      </c>
      <c r="K101" s="458"/>
      <c r="L101" s="176">
        <v>38910</v>
      </c>
      <c r="M101" s="176">
        <v>41416</v>
      </c>
      <c r="O101" s="329">
        <f t="shared" ref="O101:O106" si="26">I101/I$233</f>
        <v>12.93567168418063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'[24]Sch C'!D90</f>
        <v>83827</v>
      </c>
      <c r="D102" s="480">
        <f>'[24]Sch C'!F90</f>
        <v>0</v>
      </c>
      <c r="E102" s="480">
        <f>+'[24]Sch C'!H90</f>
        <v>0</v>
      </c>
      <c r="F102" s="166">
        <f t="shared" si="23"/>
        <v>83827</v>
      </c>
      <c r="G102" s="626"/>
      <c r="H102" s="166"/>
      <c r="I102" s="166">
        <f t="shared" si="24"/>
        <v>83827</v>
      </c>
      <c r="J102" s="167">
        <f t="shared" si="25"/>
        <v>7.5406347872006502E-3</v>
      </c>
      <c r="K102" s="458"/>
      <c r="L102" s="163"/>
      <c r="M102" s="163"/>
      <c r="O102" s="329">
        <f t="shared" si="26"/>
        <v>1.9839770898419009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'[24]Sch C'!D91</f>
        <v>24758</v>
      </c>
      <c r="D103" s="480">
        <f>'[24]Sch C'!F91</f>
        <v>0</v>
      </c>
      <c r="E103" s="480">
        <f>+'[24]Sch C'!H91</f>
        <v>0</v>
      </c>
      <c r="F103" s="166">
        <f t="shared" si="23"/>
        <v>24758</v>
      </c>
      <c r="G103" s="626"/>
      <c r="H103" s="166"/>
      <c r="I103" s="166">
        <f t="shared" si="24"/>
        <v>24758</v>
      </c>
      <c r="J103" s="167">
        <f t="shared" si="25"/>
        <v>2.2270990976834873E-3</v>
      </c>
      <c r="K103" s="458"/>
      <c r="L103" s="163"/>
      <c r="M103" s="163"/>
      <c r="O103" s="329">
        <f t="shared" si="26"/>
        <v>0.58596042790873804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'[24]Sch C'!D92</f>
        <v>409498</v>
      </c>
      <c r="D104" s="480">
        <f>'[24]Sch C'!F92</f>
        <v>-9748</v>
      </c>
      <c r="E104" s="480">
        <f>+'[24]Sch C'!H92</f>
        <v>0</v>
      </c>
      <c r="F104" s="166">
        <f t="shared" si="23"/>
        <v>399750</v>
      </c>
      <c r="G104" s="626"/>
      <c r="H104" s="166"/>
      <c r="I104" s="166">
        <f t="shared" si="24"/>
        <v>399750</v>
      </c>
      <c r="J104" s="167">
        <f t="shared" si="25"/>
        <v>3.5959401579246063E-2</v>
      </c>
      <c r="K104" s="458"/>
      <c r="L104" s="163"/>
      <c r="M104" s="163"/>
      <c r="O104" s="329">
        <f t="shared" si="26"/>
        <v>9.4610905992615741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'[24]Sch C'!D93</f>
        <v>32468</v>
      </c>
      <c r="D105" s="480">
        <f>'[24]Sch C'!F93</f>
        <v>0</v>
      </c>
      <c r="E105" s="480">
        <f>+'[24]Sch C'!H93</f>
        <v>0</v>
      </c>
      <c r="F105" s="166">
        <f t="shared" si="23"/>
        <v>32468</v>
      </c>
      <c r="G105" s="626"/>
      <c r="H105" s="166"/>
      <c r="I105" s="166">
        <f t="shared" si="24"/>
        <v>32468</v>
      </c>
      <c r="J105" s="167">
        <f t="shared" si="25"/>
        <v>2.9206500324576892E-3</v>
      </c>
      <c r="K105" s="458"/>
      <c r="L105" s="163"/>
      <c r="M105" s="163"/>
      <c r="O105" s="329">
        <f t="shared" si="26"/>
        <v>0.76843699706522772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'[24]Sch C'!D94</f>
        <v>50</v>
      </c>
      <c r="D106" s="480">
        <f>'[24]Sch C'!F94</f>
        <v>0</v>
      </c>
      <c r="E106" s="480">
        <f>+'[24]Sch C'!H94</f>
        <v>0</v>
      </c>
      <c r="F106" s="166">
        <f t="shared" si="23"/>
        <v>50</v>
      </c>
      <c r="G106" s="626"/>
      <c r="H106" s="166"/>
      <c r="I106" s="166">
        <f t="shared" si="24"/>
        <v>50</v>
      </c>
      <c r="J106" s="167">
        <f t="shared" si="25"/>
        <v>4.4977362825823718E-6</v>
      </c>
      <c r="K106" s="458"/>
      <c r="L106" s="163"/>
      <c r="M106" s="163"/>
      <c r="O106" s="329">
        <f t="shared" si="26"/>
        <v>1.1833759348669885E-3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1097159</v>
      </c>
      <c r="D107" s="480">
        <f t="shared" si="27"/>
        <v>-9748</v>
      </c>
      <c r="E107" s="480">
        <f t="shared" si="27"/>
        <v>0</v>
      </c>
      <c r="F107" s="166">
        <f t="shared" ref="F107:I107" si="28">SUM(F101:F106)</f>
        <v>1087411</v>
      </c>
      <c r="G107" s="166">
        <f t="shared" si="28"/>
        <v>0</v>
      </c>
      <c r="H107" s="166">
        <f t="shared" si="28"/>
        <v>0</v>
      </c>
      <c r="I107" s="166">
        <f t="shared" si="28"/>
        <v>1087411</v>
      </c>
      <c r="J107" s="167">
        <f t="shared" si="25"/>
        <v>9.7817758175583594E-2</v>
      </c>
      <c r="K107" s="458"/>
      <c r="L107" s="163"/>
      <c r="M107" s="163"/>
      <c r="O107" s="329">
        <f>I107/I$233</f>
        <v>25.736320174192937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'[24]Sch C'!D98</f>
        <v>107158</v>
      </c>
      <c r="D110" s="480">
        <f>'[24]Sch C'!F98</f>
        <v>0</v>
      </c>
      <c r="E110" s="480">
        <f>+'[24]Sch C'!H98</f>
        <v>0</v>
      </c>
      <c r="F110" s="166">
        <f t="shared" ref="F110:F115" si="29">C110+D110+E110</f>
        <v>107158</v>
      </c>
      <c r="G110" s="626"/>
      <c r="H110" s="166"/>
      <c r="I110" s="166">
        <f t="shared" ref="I110:I115" si="30">F110+G110+H110</f>
        <v>107158</v>
      </c>
      <c r="J110" s="167">
        <f t="shared" ref="J110:J116" si="31">IF($I$213=0,0,I110/$I$213)</f>
        <v>9.6393684913792365E-3</v>
      </c>
      <c r="K110" s="458"/>
      <c r="L110" s="176">
        <v>8439</v>
      </c>
      <c r="M110" s="176">
        <v>8957</v>
      </c>
      <c r="O110" s="329">
        <f t="shared" ref="O110:O115" si="32">I110/I$233</f>
        <v>2.536163968569535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'[24]Sch C'!D99</f>
        <v>14695</v>
      </c>
      <c r="D111" s="480">
        <f>'[24]Sch C'!F99</f>
        <v>0</v>
      </c>
      <c r="E111" s="480">
        <f>+'[24]Sch C'!H99</f>
        <v>0</v>
      </c>
      <c r="F111" s="166">
        <f t="shared" si="29"/>
        <v>14695</v>
      </c>
      <c r="G111" s="626"/>
      <c r="H111" s="166"/>
      <c r="I111" s="166">
        <f t="shared" si="30"/>
        <v>14695</v>
      </c>
      <c r="J111" s="167">
        <f t="shared" si="31"/>
        <v>1.3218846934509591E-3</v>
      </c>
      <c r="K111" s="458"/>
      <c r="L111" s="163"/>
      <c r="M111" s="163"/>
      <c r="O111" s="329">
        <f t="shared" si="32"/>
        <v>0.34779418725740796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'[24]Sch C'!D100</f>
        <v>6923</v>
      </c>
      <c r="D112" s="480">
        <f>'[24]Sch C'!F100</f>
        <v>0</v>
      </c>
      <c r="E112" s="480">
        <f>+'[24]Sch C'!H100</f>
        <v>0</v>
      </c>
      <c r="F112" s="166">
        <f t="shared" si="29"/>
        <v>6923</v>
      </c>
      <c r="G112" s="626"/>
      <c r="H112" s="166"/>
      <c r="I112" s="166">
        <f t="shared" si="30"/>
        <v>6923</v>
      </c>
      <c r="J112" s="167">
        <f t="shared" si="31"/>
        <v>6.2275656568635521E-4</v>
      </c>
      <c r="K112" s="458"/>
      <c r="L112" s="163"/>
      <c r="M112" s="163"/>
      <c r="O112" s="329">
        <f t="shared" si="32"/>
        <v>0.16385023194168324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'[24]Sch C'!D101</f>
        <v>0</v>
      </c>
      <c r="D113" s="480">
        <f>'[24]Sch C'!F101</f>
        <v>0</v>
      </c>
      <c r="E113" s="480">
        <f>+'[24]Sch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'[24]Sch C'!D102</f>
        <v>11420</v>
      </c>
      <c r="D114" s="480">
        <f>'[24]Sch C'!F102</f>
        <v>0</v>
      </c>
      <c r="E114" s="480">
        <f>+'[24]Sch C'!H102</f>
        <v>0</v>
      </c>
      <c r="F114" s="166">
        <f t="shared" si="29"/>
        <v>11420</v>
      </c>
      <c r="G114" s="626"/>
      <c r="H114" s="166"/>
      <c r="I114" s="166">
        <f t="shared" si="30"/>
        <v>11420</v>
      </c>
      <c r="J114" s="167">
        <f t="shared" si="31"/>
        <v>1.0272829669418137E-3</v>
      </c>
      <c r="K114" s="458"/>
      <c r="L114" s="163"/>
      <c r="M114" s="163"/>
      <c r="O114" s="329">
        <f t="shared" si="32"/>
        <v>0.27028306352362019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'[24]Sch C'!D103</f>
        <v>0</v>
      </c>
      <c r="D115" s="480">
        <f>'[24]Sch C'!F103</f>
        <v>0</v>
      </c>
      <c r="E115" s="480">
        <f>+'[24]Sch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140196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140196</v>
      </c>
      <c r="G116" s="166">
        <f t="shared" si="34"/>
        <v>0</v>
      </c>
      <c r="H116" s="166">
        <f t="shared" si="34"/>
        <v>0</v>
      </c>
      <c r="I116" s="166">
        <f t="shared" si="34"/>
        <v>140196</v>
      </c>
      <c r="J116" s="167">
        <f t="shared" si="31"/>
        <v>1.2611292717458365E-2</v>
      </c>
      <c r="K116" s="458"/>
      <c r="L116" s="163"/>
      <c r="M116" s="163"/>
      <c r="O116" s="329">
        <f>I116/I$233</f>
        <v>3.3180914512922466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'[24]Sch C'!D115</f>
        <v>300818</v>
      </c>
      <c r="D119" s="480">
        <f>'[24]Sch C'!F115</f>
        <v>0</v>
      </c>
      <c r="E119" s="480">
        <f>+'[24]Sch C'!H115</f>
        <v>0</v>
      </c>
      <c r="F119" s="166">
        <f t="shared" ref="F119:F123" si="35">C119+D119+E119</f>
        <v>300818</v>
      </c>
      <c r="G119" s="626"/>
      <c r="H119" s="166"/>
      <c r="I119" s="166">
        <f t="shared" ref="I119:I123" si="36">F119+G119+H119</f>
        <v>300818</v>
      </c>
      <c r="J119" s="167">
        <f t="shared" ref="J119:J124" si="37">IF($I$213=0,0,I119/$I$213)</f>
        <v>2.706000066107728E-2</v>
      </c>
      <c r="K119" s="458"/>
      <c r="L119" s="176">
        <v>23693</v>
      </c>
      <c r="M119" s="176">
        <v>24839</v>
      </c>
      <c r="O119" s="329">
        <f t="shared" ref="O119:O124" si="38">I119/I$233</f>
        <v>7.119615639496355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'[24]Sch C'!D116</f>
        <v>68046</v>
      </c>
      <c r="D120" s="480">
        <f>'[24]Sch C'!F116</f>
        <v>0</v>
      </c>
      <c r="E120" s="480">
        <f>+'[24]Sch C'!H116</f>
        <v>0</v>
      </c>
      <c r="F120" s="166">
        <f t="shared" si="35"/>
        <v>68046</v>
      </c>
      <c r="G120" s="626"/>
      <c r="H120" s="166"/>
      <c r="I120" s="166">
        <f t="shared" si="36"/>
        <v>68046</v>
      </c>
      <c r="J120" s="167">
        <f t="shared" si="37"/>
        <v>6.1210592616920021E-3</v>
      </c>
      <c r="K120" s="458"/>
      <c r="L120" s="163"/>
      <c r="M120" s="163"/>
      <c r="O120" s="329">
        <f t="shared" si="38"/>
        <v>1.610479977279182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'[24]Sch C'!D117</f>
        <v>75095</v>
      </c>
      <c r="D121" s="480">
        <f>'[24]Sch C'!F117</f>
        <v>0</v>
      </c>
      <c r="E121" s="480">
        <f>+'[24]Sch C'!H117</f>
        <v>0</v>
      </c>
      <c r="F121" s="166">
        <f t="shared" si="35"/>
        <v>75095</v>
      </c>
      <c r="G121" s="626"/>
      <c r="H121" s="166"/>
      <c r="I121" s="166">
        <f t="shared" si="36"/>
        <v>75095</v>
      </c>
      <c r="J121" s="167">
        <f t="shared" si="37"/>
        <v>6.7551501228104646E-3</v>
      </c>
      <c r="K121" s="458"/>
      <c r="L121" s="163"/>
      <c r="M121" s="163"/>
      <c r="O121" s="329">
        <f t="shared" si="38"/>
        <v>1.7773123165767302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'[24]Sch C'!D118</f>
        <v>0</v>
      </c>
      <c r="D122" s="480">
        <f>'[24]Sch C'!F118</f>
        <v>0</v>
      </c>
      <c r="E122" s="480">
        <f>+'[24]Sch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'[24]Sch C'!D119</f>
        <v>1204</v>
      </c>
      <c r="D123" s="480">
        <f>'[24]Sch C'!F119</f>
        <v>0</v>
      </c>
      <c r="E123" s="480">
        <f>+'[24]Sch C'!H119</f>
        <v>0</v>
      </c>
      <c r="F123" s="166">
        <f t="shared" si="35"/>
        <v>1204</v>
      </c>
      <c r="G123" s="626"/>
      <c r="H123" s="166"/>
      <c r="I123" s="166">
        <f t="shared" si="36"/>
        <v>1204</v>
      </c>
      <c r="J123" s="167">
        <f t="shared" si="37"/>
        <v>1.0830548968458352E-4</v>
      </c>
      <c r="K123" s="458"/>
      <c r="L123" s="163"/>
      <c r="M123" s="163"/>
      <c r="O123" s="329">
        <f t="shared" si="38"/>
        <v>2.8495692511597084E-2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445163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445163</v>
      </c>
      <c r="G124" s="166">
        <f t="shared" si="40"/>
        <v>0</v>
      </c>
      <c r="H124" s="166">
        <f t="shared" si="40"/>
        <v>0</v>
      </c>
      <c r="I124" s="166">
        <f t="shared" si="40"/>
        <v>445163</v>
      </c>
      <c r="J124" s="167">
        <f t="shared" si="37"/>
        <v>4.0044515535264329E-2</v>
      </c>
      <c r="K124" s="458"/>
      <c r="L124" s="163"/>
      <c r="M124" s="163"/>
      <c r="O124" s="329">
        <f t="shared" si="38"/>
        <v>10.535903625863865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'[24]Sch C'!D124</f>
        <v>0</v>
      </c>
      <c r="D128" s="480">
        <f>'[24]Sch C'!F124</f>
        <v>0</v>
      </c>
      <c r="E128" s="480">
        <f>+'[24]Sch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'[24]Sch C'!D125</f>
        <v>678734</v>
      </c>
      <c r="D129" s="480">
        <f>'[24]Sch C'!F125</f>
        <v>0</v>
      </c>
      <c r="E129" s="480">
        <f>+'[24]Sch C'!H125</f>
        <v>0</v>
      </c>
      <c r="F129" s="166">
        <f t="shared" si="41"/>
        <v>678734</v>
      </c>
      <c r="G129" s="626"/>
      <c r="H129" s="166"/>
      <c r="I129" s="166">
        <f t="shared" si="42"/>
        <v>678734</v>
      </c>
      <c r="J129" s="167">
        <f>IF($I$213=0,0,I129/$I$213)</f>
        <v>6.1055330760445274E-2</v>
      </c>
      <c r="K129" s="458"/>
      <c r="L129" s="176">
        <v>21336</v>
      </c>
      <c r="M129" s="176">
        <v>22731</v>
      </c>
      <c r="O129" s="329">
        <f t="shared" si="43"/>
        <v>16.063949635520213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'[24]Sch C'!D126</f>
        <v>0</v>
      </c>
      <c r="D130" s="480">
        <f>'[24]Sch C'!F126</f>
        <v>0</v>
      </c>
      <c r="E130" s="480">
        <f>+'[24]Sch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'[24]Sch C'!D127</f>
        <v>0</v>
      </c>
      <c r="D131" s="480">
        <f>'[24]Sch C'!F127</f>
        <v>0</v>
      </c>
      <c r="E131" s="480">
        <f>+'[24]Sch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'[24]Sch C'!D128</f>
        <v>108309</v>
      </c>
      <c r="D132" s="480">
        <f>'[24]Sch C'!F128</f>
        <v>0</v>
      </c>
      <c r="E132" s="480">
        <f>+'[24]Sch C'!H128</f>
        <v>0</v>
      </c>
      <c r="F132" s="166">
        <f t="shared" si="41"/>
        <v>108309</v>
      </c>
      <c r="G132" s="626"/>
      <c r="H132" s="166"/>
      <c r="I132" s="166">
        <f t="shared" si="42"/>
        <v>108309</v>
      </c>
      <c r="J132" s="167">
        <f>IF($I$213=0,0,I132/$I$213)</f>
        <v>9.7429063806042833E-3</v>
      </c>
      <c r="K132" s="458"/>
      <c r="L132" s="176">
        <v>6687</v>
      </c>
      <c r="M132" s="176">
        <v>7215</v>
      </c>
      <c r="O132" s="329">
        <f t="shared" si="43"/>
        <v>2.5634052825901734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'[24]Sch C'!D130</f>
        <v>0</v>
      </c>
      <c r="D134" s="480">
        <f>'[24]Sch C'!F130</f>
        <v>0</v>
      </c>
      <c r="E134" s="480">
        <f>+'[24]Sch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'[24]Sch C'!D131</f>
        <v>183607</v>
      </c>
      <c r="D135" s="480">
        <f>'[24]Sch C'!F131</f>
        <v>0</v>
      </c>
      <c r="E135" s="480">
        <f>+'[24]Sch C'!H131</f>
        <v>0</v>
      </c>
      <c r="F135" s="166">
        <f t="shared" si="44"/>
        <v>183607</v>
      </c>
      <c r="G135" s="626"/>
      <c r="H135" s="166"/>
      <c r="I135" s="166">
        <f t="shared" si="45"/>
        <v>183607</v>
      </c>
      <c r="J135" s="167">
        <f>IF($I$213=0,0,I135/$I$213)</f>
        <v>1.6516317312722031E-2</v>
      </c>
      <c r="K135" s="458"/>
      <c r="L135" s="196"/>
      <c r="M135" s="196"/>
      <c r="O135" s="329">
        <f t="shared" si="43"/>
        <v>4.3455221054624635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'[24]Sch C'!D132</f>
        <v>0</v>
      </c>
      <c r="D136" s="480">
        <f>'[24]Sch C'!F132</f>
        <v>0</v>
      </c>
      <c r="E136" s="480">
        <f>+'[24]Sch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'[24]Sch C'!D133</f>
        <v>0</v>
      </c>
      <c r="D137" s="480">
        <f>'[24]Sch C'!F133</f>
        <v>0</v>
      </c>
      <c r="E137" s="480">
        <f>+'[24]Sch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'[24]Sch C'!D134</f>
        <v>31381</v>
      </c>
      <c r="D138" s="480">
        <f>'[24]Sch C'!F134</f>
        <v>0</v>
      </c>
      <c r="E138" s="480">
        <f>+'[24]Sch C'!H134</f>
        <v>0</v>
      </c>
      <c r="F138" s="166">
        <f t="shared" si="44"/>
        <v>31381</v>
      </c>
      <c r="G138" s="626"/>
      <c r="H138" s="166"/>
      <c r="I138" s="166">
        <f t="shared" si="45"/>
        <v>31381</v>
      </c>
      <c r="J138" s="167">
        <f>IF($I$213=0,0,I138/$I$213)</f>
        <v>2.8228692456743485E-3</v>
      </c>
      <c r="K138" s="458"/>
      <c r="L138" s="163"/>
      <c r="M138" s="163"/>
      <c r="O138" s="329">
        <f t="shared" si="43"/>
        <v>0.74271040424121937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'[24]Sch C'!D136</f>
        <v>1110818</v>
      </c>
      <c r="D140" s="480">
        <f>'[24]Sch C'!F136</f>
        <v>0</v>
      </c>
      <c r="E140" s="480">
        <f>+'[24]Sch C'!H136</f>
        <v>0</v>
      </c>
      <c r="F140" s="166">
        <f t="shared" ref="F140:F143" si="46">C140+D140+E140</f>
        <v>1110818</v>
      </c>
      <c r="G140" s="626"/>
      <c r="H140" s="166"/>
      <c r="I140" s="166">
        <f t="shared" ref="I140:I143" si="47">F140+G140+H140</f>
        <v>1110818</v>
      </c>
      <c r="J140" s="167">
        <f>IF($I$213=0,0,I140/$I$213)</f>
        <v>9.9923328438911704E-2</v>
      </c>
      <c r="K140" s="458"/>
      <c r="L140" s="176">
        <v>37625</v>
      </c>
      <c r="M140" s="176">
        <v>39836</v>
      </c>
      <c r="O140" s="329">
        <f t="shared" si="43"/>
        <v>26.29030578434157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'[24]Sch C'!D137</f>
        <v>492559</v>
      </c>
      <c r="D141" s="480">
        <f>'[24]Sch C'!F137</f>
        <v>0</v>
      </c>
      <c r="E141" s="480">
        <f>+'[24]Sch C'!H137</f>
        <v>0</v>
      </c>
      <c r="F141" s="166">
        <f t="shared" si="46"/>
        <v>492559</v>
      </c>
      <c r="G141" s="626"/>
      <c r="H141" s="166"/>
      <c r="I141" s="166">
        <f t="shared" si="47"/>
        <v>492559</v>
      </c>
      <c r="J141" s="167">
        <f>IF($I$213=0,0,I141/$I$213)</f>
        <v>4.430800971224981E-2</v>
      </c>
      <c r="K141" s="458"/>
      <c r="L141" s="176">
        <v>24645</v>
      </c>
      <c r="M141" s="176">
        <v>26233</v>
      </c>
      <c r="O141" s="329">
        <f t="shared" si="43"/>
        <v>11.65764934204298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'[24]Sch C'!D138</f>
        <v>1699144</v>
      </c>
      <c r="D142" s="480">
        <f>'[24]Sch C'!F138</f>
        <v>93662</v>
      </c>
      <c r="E142" s="480">
        <f>+'[24]Sch C'!H138</f>
        <v>0</v>
      </c>
      <c r="F142" s="166">
        <f t="shared" si="46"/>
        <v>1792806</v>
      </c>
      <c r="G142" s="626"/>
      <c r="H142" s="166"/>
      <c r="I142" s="166">
        <f t="shared" si="47"/>
        <v>1792806</v>
      </c>
      <c r="J142" s="167">
        <f>IF($I$213=0,0,I142/$I$213)</f>
        <v>0.16127137187662743</v>
      </c>
      <c r="K142" s="458"/>
      <c r="L142" s="176">
        <v>152789</v>
      </c>
      <c r="M142" s="176">
        <v>162100</v>
      </c>
      <c r="O142" s="329">
        <f t="shared" si="43"/>
        <v>42.431269525702923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'[24]Sch C'!D139</f>
        <v>93662</v>
      </c>
      <c r="D143" s="480">
        <f>'[24]Sch C'!F139</f>
        <v>-93662</v>
      </c>
      <c r="E143" s="480">
        <f>+'[24]Sch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'[24]Sch C'!D141</f>
        <v>642963</v>
      </c>
      <c r="D145" s="480">
        <f>'[24]Sch C'!F141</f>
        <v>-432664</v>
      </c>
      <c r="E145" s="480">
        <f>+'[24]Sch C'!H141</f>
        <v>0</v>
      </c>
      <c r="F145" s="166">
        <f t="shared" ref="F145:F148" si="48">C145+D145+E145</f>
        <v>210299</v>
      </c>
      <c r="G145" s="626"/>
      <c r="H145" s="166"/>
      <c r="I145" s="166">
        <f t="shared" ref="I145:I148" si="49">F145+G145+H145</f>
        <v>210299</v>
      </c>
      <c r="J145" s="167">
        <f>IF($I$213=0,0,I145/$I$213)</f>
        <v>1.8917388849815805E-2</v>
      </c>
      <c r="K145" s="458"/>
      <c r="L145" s="163"/>
      <c r="M145" s="163"/>
      <c r="O145" s="329">
        <f t="shared" si="43"/>
        <v>4.9772555145318567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'[24]Sch C'!D142</f>
        <v>0</v>
      </c>
      <c r="D146" s="480">
        <f>'[24]Sch C'!F142</f>
        <v>93251</v>
      </c>
      <c r="E146" s="480">
        <f>+'[24]Sch C'!H142</f>
        <v>0</v>
      </c>
      <c r="F146" s="166">
        <f t="shared" si="48"/>
        <v>93251</v>
      </c>
      <c r="G146" s="626"/>
      <c r="H146" s="166"/>
      <c r="I146" s="166">
        <f t="shared" si="49"/>
        <v>93251</v>
      </c>
      <c r="J146" s="167">
        <f>IF($I$213=0,0,I146/$I$213)</f>
        <v>8.3883681217417749E-3</v>
      </c>
      <c r="K146" s="458"/>
      <c r="L146" s="163"/>
      <c r="M146" s="163"/>
      <c r="O146" s="329">
        <f t="shared" si="43"/>
        <v>2.2070197860456311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'[24]Sch C'!D143</f>
        <v>0</v>
      </c>
      <c r="D147" s="480">
        <f>'[24]Sch C'!F143</f>
        <v>339413</v>
      </c>
      <c r="E147" s="480">
        <f>+'[24]Sch C'!H143</f>
        <v>0</v>
      </c>
      <c r="F147" s="166">
        <f t="shared" si="48"/>
        <v>339413</v>
      </c>
      <c r="G147" s="626"/>
      <c r="H147" s="166"/>
      <c r="I147" s="166">
        <f t="shared" si="49"/>
        <v>339413</v>
      </c>
      <c r="J147" s="167">
        <f>IF($I$213=0,0,I147/$I$213)</f>
        <v>3.0531803297602612E-2</v>
      </c>
      <c r="K147" s="458"/>
      <c r="L147" s="163"/>
      <c r="M147" s="163"/>
      <c r="O147" s="329">
        <f t="shared" si="43"/>
        <v>8.0330635236201839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'[24]Sch C'!D144</f>
        <v>0</v>
      </c>
      <c r="D148" s="480">
        <f>'[24]Sch C'!F144</f>
        <v>0</v>
      </c>
      <c r="E148" s="480">
        <f>+'[24]Sch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'[24]Sch C'!D146</f>
        <v>55738</v>
      </c>
      <c r="D150" s="480">
        <f>'[24]Sch C'!F146</f>
        <v>0</v>
      </c>
      <c r="E150" s="480">
        <f>+'[24]Sch C'!H146</f>
        <v>0</v>
      </c>
      <c r="F150" s="166">
        <f t="shared" ref="F150:F158" si="50">C150+D150+E150</f>
        <v>55738</v>
      </c>
      <c r="G150" s="626"/>
      <c r="H150" s="166"/>
      <c r="I150" s="166">
        <f t="shared" ref="I150:I158" si="51">F150+G150+H150</f>
        <v>55738</v>
      </c>
      <c r="J150" s="167">
        <f t="shared" ref="J150:J158" si="52">IF($I$213=0,0,I150/$I$213)</f>
        <v>5.0138964983715249E-3</v>
      </c>
      <c r="K150" s="458"/>
      <c r="L150" s="176">
        <v>309</v>
      </c>
      <c r="M150" s="176">
        <v>309</v>
      </c>
      <c r="O150" s="329">
        <f t="shared" si="43"/>
        <v>1.3191801571523241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'[24]Sch C'!D147</f>
        <v>0</v>
      </c>
      <c r="D151" s="480">
        <f>'[24]Sch C'!F147</f>
        <v>0</v>
      </c>
      <c r="E151" s="480">
        <f>+'[24]Sch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'[24]Sch C'!D148</f>
        <v>0</v>
      </c>
      <c r="D152" s="480">
        <f>'[24]Sch C'!F148</f>
        <v>0</v>
      </c>
      <c r="E152" s="480">
        <f>+'[24]Sch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'[24]Sch C'!D149</f>
        <v>0</v>
      </c>
      <c r="D153" s="480">
        <f>'[24]Sch C'!F149</f>
        <v>0</v>
      </c>
      <c r="E153" s="480">
        <f>+'[24]Sch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'[24]Sch C'!D150</f>
        <v>5800</v>
      </c>
      <c r="D154" s="480">
        <f>'[24]Sch C'!F150</f>
        <v>0</v>
      </c>
      <c r="E154" s="480">
        <f>+'[24]Sch C'!H150</f>
        <v>0</v>
      </c>
      <c r="F154" s="166">
        <f t="shared" si="50"/>
        <v>5800</v>
      </c>
      <c r="G154" s="626"/>
      <c r="H154" s="166"/>
      <c r="I154" s="166">
        <f t="shared" si="51"/>
        <v>5800</v>
      </c>
      <c r="J154" s="167">
        <f t="shared" si="52"/>
        <v>5.2173740877955511E-4</v>
      </c>
      <c r="K154" s="458"/>
      <c r="L154" s="176">
        <v>0</v>
      </c>
      <c r="M154" s="176">
        <v>0</v>
      </c>
      <c r="O154" s="329">
        <f t="shared" si="43"/>
        <v>0.13727160844457068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'[24]Sch C'!D151</f>
        <v>196089</v>
      </c>
      <c r="D155" s="480">
        <f>'[24]Sch C'!F151</f>
        <v>0</v>
      </c>
      <c r="E155" s="480">
        <f>+'[24]Sch C'!H151</f>
        <v>0</v>
      </c>
      <c r="F155" s="166">
        <f t="shared" si="50"/>
        <v>196089</v>
      </c>
      <c r="G155" s="626"/>
      <c r="H155" s="166"/>
      <c r="I155" s="166">
        <f t="shared" si="51"/>
        <v>196089</v>
      </c>
      <c r="J155" s="167">
        <f t="shared" si="52"/>
        <v>1.7639132198305894E-2</v>
      </c>
      <c r="K155" s="458"/>
      <c r="L155" s="163"/>
      <c r="M155" s="163"/>
      <c r="O155" s="329">
        <f t="shared" si="43"/>
        <v>4.6409400738426587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'[24]Sch C'!D152</f>
        <v>26193</v>
      </c>
      <c r="D156" s="480">
        <f>'[24]Sch C'!F152</f>
        <v>0</v>
      </c>
      <c r="E156" s="480">
        <f>+'[24]Sch C'!H152</f>
        <v>0</v>
      </c>
      <c r="F156" s="166">
        <f t="shared" si="50"/>
        <v>26193</v>
      </c>
      <c r="G156" s="626"/>
      <c r="H156" s="166"/>
      <c r="I156" s="166">
        <f t="shared" si="51"/>
        <v>26193</v>
      </c>
      <c r="J156" s="167">
        <f t="shared" si="52"/>
        <v>2.3561841289936013E-3</v>
      </c>
      <c r="K156" s="458"/>
      <c r="L156" s="163"/>
      <c r="M156" s="163"/>
      <c r="O156" s="329">
        <f t="shared" si="43"/>
        <v>0.61992331723942062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'[24]Sch C'!D153</f>
        <v>0</v>
      </c>
      <c r="D157" s="480">
        <f>'[24]Sch C'!F153</f>
        <v>0</v>
      </c>
      <c r="E157" s="480">
        <f>+'[24]Sch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'[24]Sch C'!D154</f>
        <v>0</v>
      </c>
      <c r="D158" s="480">
        <f>'[24]Sch C'!F154</f>
        <v>0</v>
      </c>
      <c r="E158" s="480">
        <f>+'[24]Sch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'[24]Sch C'!D156</f>
        <v>0</v>
      </c>
      <c r="D160" s="480">
        <f>'[24]Sch C'!F156</f>
        <v>0</v>
      </c>
      <c r="E160" s="480">
        <f>+'[24]Sch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'[24]Sch C'!D157</f>
        <v>0</v>
      </c>
      <c r="D161" s="480">
        <f>'[24]Sch C'!F157</f>
        <v>0</v>
      </c>
      <c r="E161" s="480">
        <f>+'[24]Sch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'[24]Sch C'!D158</f>
        <v>0</v>
      </c>
      <c r="D162" s="480">
        <f>'[24]Sch C'!F158</f>
        <v>0</v>
      </c>
      <c r="E162" s="480">
        <f>+'[24]Sch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'[24]Sch C'!D159</f>
        <v>0</v>
      </c>
      <c r="D163" s="480">
        <f>'[24]Sch C'!F159</f>
        <v>0</v>
      </c>
      <c r="E163" s="480">
        <f>+'[24]Sch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'[24]Sch C'!D160</f>
        <v>0</v>
      </c>
      <c r="D164" s="480">
        <f>'[24]Sch C'!F160</f>
        <v>0</v>
      </c>
      <c r="E164" s="480">
        <f>+'[24]Sch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'[24]Sch C'!D161</f>
        <v>61444</v>
      </c>
      <c r="D165" s="480">
        <f>'[24]Sch C'!F161</f>
        <v>0</v>
      </c>
      <c r="E165" s="480">
        <f>+'[24]Sch C'!H161</f>
        <v>0</v>
      </c>
      <c r="F165" s="166">
        <f t="shared" si="53"/>
        <v>61444</v>
      </c>
      <c r="G165" s="626"/>
      <c r="H165" s="166"/>
      <c r="I165" s="166">
        <f t="shared" si="54"/>
        <v>61444</v>
      </c>
      <c r="J165" s="167">
        <f t="shared" si="55"/>
        <v>5.5271781629398255E-3</v>
      </c>
      <c r="K165" s="458"/>
      <c r="L165" s="163"/>
      <c r="M165" s="163"/>
      <c r="O165" s="329">
        <f t="shared" si="43"/>
        <v>1.4542270188393449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5386441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5386441</v>
      </c>
      <c r="G166" s="166">
        <f t="shared" si="57"/>
        <v>0</v>
      </c>
      <c r="H166" s="166">
        <f t="shared" si="57"/>
        <v>0</v>
      </c>
      <c r="I166" s="166">
        <f t="shared" si="57"/>
        <v>5386441</v>
      </c>
      <c r="J166" s="167">
        <f t="shared" si="55"/>
        <v>0.48453582239378551</v>
      </c>
      <c r="K166" s="458"/>
      <c r="L166" s="163"/>
      <c r="M166" s="163"/>
      <c r="O166" s="329">
        <f>I166/I$233</f>
        <v>127.48369307961754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'[24]Sch C'!D175</f>
        <v>0</v>
      </c>
      <c r="D169" s="480">
        <f>'[24]Sch C'!F175</f>
        <v>0</v>
      </c>
      <c r="E169" s="480">
        <f>+'[24]Sch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'[24]Sch C'!D176</f>
        <v>0</v>
      </c>
      <c r="D170" s="480">
        <f>'[24]Sch C'!F176</f>
        <v>0</v>
      </c>
      <c r="E170" s="480">
        <f>+'[24]Sch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'[24]Sch C'!D177</f>
        <v>0</v>
      </c>
      <c r="D171" s="480">
        <f>'[24]Sch C'!F177</f>
        <v>0</v>
      </c>
      <c r="E171" s="480">
        <f>+'[24]Sch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'[24]Sch C'!D178</f>
        <v>0</v>
      </c>
      <c r="D172" s="480">
        <f>'[24]Sch C'!F178</f>
        <v>0</v>
      </c>
      <c r="E172" s="480">
        <f>+'[24]Sch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'[24]Sch C'!D179</f>
        <v>0</v>
      </c>
      <c r="D173" s="480">
        <f>'[24]Sch C'!F179</f>
        <v>0</v>
      </c>
      <c r="E173" s="480">
        <f>+'[24]Sch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'[24]Sch C'!D180</f>
        <v>0</v>
      </c>
      <c r="D174" s="480">
        <f>'[24]Sch C'!F180</f>
        <v>0</v>
      </c>
      <c r="E174" s="480">
        <f>+'[24]Sch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'[24]Sch C'!D181</f>
        <v>0</v>
      </c>
      <c r="D175" s="480">
        <f>'[24]Sch C'!F181</f>
        <v>0</v>
      </c>
      <c r="E175" s="480">
        <f>+'[24]Sch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'[24]Sch C'!D182</f>
        <v>0</v>
      </c>
      <c r="D176" s="480">
        <f>'[24]Sch C'!F182</f>
        <v>0</v>
      </c>
      <c r="E176" s="480">
        <f>+'[24]Sch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'[24]Sch C'!D183</f>
        <v>0</v>
      </c>
      <c r="D177" s="480">
        <f>'[24]Sch C'!F183</f>
        <v>0</v>
      </c>
      <c r="E177" s="480">
        <f>+'[24]Sch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'[24]Sch C'!D184</f>
        <v>0</v>
      </c>
      <c r="D178" s="480">
        <f>'[24]Sch C'!F184</f>
        <v>0</v>
      </c>
      <c r="E178" s="480">
        <f>+'[24]Sch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'[24]Sch C'!D185</f>
        <v>0</v>
      </c>
      <c r="D179" s="480">
        <f>'[24]Sch C'!F185</f>
        <v>0</v>
      </c>
      <c r="E179" s="480">
        <f>+'[24]Sch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'[24]Sch C'!D186</f>
        <v>0</v>
      </c>
      <c r="D180" s="480">
        <f>'[24]Sch C'!F186</f>
        <v>0</v>
      </c>
      <c r="E180" s="480">
        <f>+'[24]Sch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'[24]Sch C'!D187</f>
        <v>0</v>
      </c>
      <c r="D181" s="480">
        <f>'[24]Sch C'!F187</f>
        <v>0</v>
      </c>
      <c r="E181" s="480">
        <f>+'[24]Sch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'[24]Sch C'!D188</f>
        <v>378</v>
      </c>
      <c r="D182" s="480">
        <f>'[24]Sch C'!F188</f>
        <v>0</v>
      </c>
      <c r="E182" s="480">
        <f>+'[24]Sch C'!H188</f>
        <v>0</v>
      </c>
      <c r="F182" s="166">
        <f t="shared" si="58"/>
        <v>378</v>
      </c>
      <c r="G182" s="626"/>
      <c r="H182" s="166"/>
      <c r="I182" s="166">
        <f t="shared" si="59"/>
        <v>378</v>
      </c>
      <c r="J182" s="167">
        <f t="shared" si="60"/>
        <v>3.4002886296322734E-5</v>
      </c>
      <c r="K182" s="458"/>
      <c r="L182" s="213"/>
      <c r="M182" s="208"/>
      <c r="N182" s="210"/>
      <c r="O182" s="329">
        <f t="shared" si="61"/>
        <v>8.9463220675944331E-3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'[24]Sch C'!D189</f>
        <v>0</v>
      </c>
      <c r="D183" s="480">
        <f>'[24]Sch C'!F189</f>
        <v>0</v>
      </c>
      <c r="E183" s="480">
        <f>+'[24]Sch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'[24]Sch C'!D190</f>
        <v>0</v>
      </c>
      <c r="D184" s="480">
        <f>'[24]Sch C'!F190</f>
        <v>0</v>
      </c>
      <c r="E184" s="480">
        <f>+'[24]Sch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'[24]Sch C'!D191</f>
        <v>0</v>
      </c>
      <c r="D185" s="480">
        <f>'[24]Sch C'!F191</f>
        <v>0</v>
      </c>
      <c r="E185" s="480">
        <f>+'[24]Sch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'[24]Sch C'!D192</f>
        <v>0</v>
      </c>
      <c r="D186" s="480">
        <f>'[24]Sch C'!F192</f>
        <v>0</v>
      </c>
      <c r="E186" s="480">
        <f>+'[24]Sch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'[24]Sch C'!D193</f>
        <v>38264</v>
      </c>
      <c r="D187" s="480">
        <f>'[24]Sch C'!F193</f>
        <v>0</v>
      </c>
      <c r="E187" s="480">
        <f>+'[24]Sch C'!H193</f>
        <v>0</v>
      </c>
      <c r="F187" s="166">
        <f t="shared" si="58"/>
        <v>38264</v>
      </c>
      <c r="G187" s="626"/>
      <c r="H187" s="166"/>
      <c r="I187" s="166">
        <f t="shared" si="59"/>
        <v>38264</v>
      </c>
      <c r="J187" s="167">
        <f t="shared" si="60"/>
        <v>3.4420276223346377E-3</v>
      </c>
      <c r="K187" s="458"/>
      <c r="L187" s="213"/>
      <c r="M187" s="208"/>
      <c r="N187" s="210"/>
      <c r="O187" s="329">
        <f t="shared" si="61"/>
        <v>0.90561393543500901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'[24]Sch C'!D194</f>
        <v>398745</v>
      </c>
      <c r="D188" s="480">
        <f>'[24]Sch C'!F194</f>
        <v>0</v>
      </c>
      <c r="E188" s="480">
        <f>+'[24]Sch C'!H194</f>
        <v>0</v>
      </c>
      <c r="F188" s="166">
        <f t="shared" si="58"/>
        <v>398745</v>
      </c>
      <c r="G188" s="626"/>
      <c r="H188" s="166"/>
      <c r="I188" s="166">
        <f t="shared" si="59"/>
        <v>398745</v>
      </c>
      <c r="J188" s="167">
        <f t="shared" si="60"/>
        <v>3.5868997079966158E-2</v>
      </c>
      <c r="K188" s="458"/>
      <c r="L188" s="213"/>
      <c r="M188" s="208"/>
      <c r="O188" s="329">
        <f t="shared" si="61"/>
        <v>9.4373047429707473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'[24]Sch C'!D195</f>
        <v>92833</v>
      </c>
      <c r="D189" s="480">
        <f>'[24]Sch C'!F195</f>
        <v>0</v>
      </c>
      <c r="E189" s="480">
        <f>+'[24]Sch C'!H195</f>
        <v>0</v>
      </c>
      <c r="F189" s="166">
        <f t="shared" si="58"/>
        <v>92833</v>
      </c>
      <c r="G189" s="626"/>
      <c r="H189" s="166"/>
      <c r="I189" s="166">
        <f t="shared" si="59"/>
        <v>92833</v>
      </c>
      <c r="J189" s="167">
        <f t="shared" si="60"/>
        <v>8.3507670464193877E-3</v>
      </c>
      <c r="K189" s="458"/>
      <c r="L189" s="213"/>
      <c r="M189" s="208"/>
      <c r="O189" s="329">
        <f t="shared" si="61"/>
        <v>2.197126763230143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'[24]Sch C'!D196</f>
        <v>0</v>
      </c>
      <c r="D190" s="480">
        <f>'[24]Sch C'!F196</f>
        <v>0</v>
      </c>
      <c r="E190" s="480">
        <f>+'[24]Sch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'[24]Sch C'!D197</f>
        <v>199398</v>
      </c>
      <c r="D191" s="480">
        <f>'[24]Sch C'!F197</f>
        <v>0</v>
      </c>
      <c r="E191" s="480">
        <f>+'[24]Sch C'!H197</f>
        <v>0</v>
      </c>
      <c r="F191" s="166">
        <f t="shared" si="58"/>
        <v>199398</v>
      </c>
      <c r="G191" s="626"/>
      <c r="H191" s="166"/>
      <c r="I191" s="166">
        <f t="shared" si="59"/>
        <v>199398</v>
      </c>
      <c r="J191" s="167">
        <f t="shared" si="60"/>
        <v>1.7936792385487198E-2</v>
      </c>
      <c r="K191" s="458"/>
      <c r="L191" s="213"/>
      <c r="M191" s="208"/>
      <c r="O191" s="329">
        <f t="shared" si="61"/>
        <v>4.7192558932121553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'[24]Sch C'!D198</f>
        <v>79206</v>
      </c>
      <c r="D192" s="480">
        <f>'[24]Sch C'!F198</f>
        <v>0</v>
      </c>
      <c r="E192" s="480">
        <f>+'[24]Sch C'!H198</f>
        <v>0</v>
      </c>
      <c r="F192" s="166">
        <f t="shared" si="58"/>
        <v>79206</v>
      </c>
      <c r="G192" s="626"/>
      <c r="H192" s="166"/>
      <c r="I192" s="166">
        <f t="shared" si="59"/>
        <v>79206</v>
      </c>
      <c r="J192" s="167">
        <f t="shared" si="60"/>
        <v>7.1249539999643872E-3</v>
      </c>
      <c r="K192" s="458"/>
      <c r="L192" s="213"/>
      <c r="M192" s="208"/>
      <c r="O192" s="329">
        <f t="shared" si="61"/>
        <v>1.8746094859414939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'[24]Sch C'!D199</f>
        <v>0</v>
      </c>
      <c r="D193" s="480">
        <f>'[24]Sch C'!F199</f>
        <v>0</v>
      </c>
      <c r="E193" s="480">
        <f>+'[24]Sch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'[24]Sch C'!D200</f>
        <v>0</v>
      </c>
      <c r="D194" s="480">
        <f>'[24]Sch C'!F200</f>
        <v>0</v>
      </c>
      <c r="E194" s="480">
        <f>+'[24]Sch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'[24]Sch C'!D201</f>
        <v>0</v>
      </c>
      <c r="D195" s="480">
        <f>'[24]Sch C'!F201</f>
        <v>0</v>
      </c>
      <c r="E195" s="480">
        <f>+'[24]Sch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'[24]Sch C'!D202</f>
        <v>0</v>
      </c>
      <c r="D196" s="480">
        <f>'[24]Sch C'!F202</f>
        <v>0</v>
      </c>
      <c r="E196" s="480">
        <f>+'[24]Sch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'[24]Sch C'!D203</f>
        <v>0</v>
      </c>
      <c r="D197" s="480">
        <f>'[24]Sch C'!F203</f>
        <v>0</v>
      </c>
      <c r="E197" s="480">
        <f>+'[24]Sch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'[24]Sch C'!D204</f>
        <v>0</v>
      </c>
      <c r="D198" s="480">
        <f>'[24]Sch C'!F204</f>
        <v>0</v>
      </c>
      <c r="E198" s="480">
        <f>+'[24]Sch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'[24]Sch C'!D205</f>
        <v>402074</v>
      </c>
      <c r="D199" s="480">
        <f>'[24]Sch C'!F205</f>
        <v>0</v>
      </c>
      <c r="E199" s="480">
        <f>+'[24]Sch C'!H205</f>
        <v>0</v>
      </c>
      <c r="F199" s="166">
        <f t="shared" si="58"/>
        <v>402074</v>
      </c>
      <c r="G199" s="626"/>
      <c r="H199" s="166"/>
      <c r="I199" s="166">
        <f t="shared" si="59"/>
        <v>402074</v>
      </c>
      <c r="J199" s="167">
        <f t="shared" si="60"/>
        <v>3.6168456361660495E-2</v>
      </c>
      <c r="K199" s="458"/>
      <c r="L199" s="213"/>
      <c r="M199" s="208"/>
      <c r="O199" s="329">
        <f t="shared" si="61"/>
        <v>9.5160939127141919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'[24]Sch C'!D206</f>
        <v>16631</v>
      </c>
      <c r="D200" s="480">
        <f>'[24]Sch C'!F206</f>
        <v>0</v>
      </c>
      <c r="E200" s="480">
        <f>+'[24]Sch C'!H206</f>
        <v>0</v>
      </c>
      <c r="F200" s="166">
        <f t="shared" si="58"/>
        <v>16631</v>
      </c>
      <c r="G200" s="626"/>
      <c r="H200" s="166"/>
      <c r="I200" s="166">
        <f t="shared" si="59"/>
        <v>16631</v>
      </c>
      <c r="J200" s="167">
        <f t="shared" si="60"/>
        <v>1.4960370423125486E-3</v>
      </c>
      <c r="K200" s="458"/>
      <c r="L200" s="213"/>
      <c r="M200" s="208"/>
      <c r="O200" s="329">
        <f t="shared" si="61"/>
        <v>0.39361450345545773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'[24]Sch C'!D207</f>
        <v>0</v>
      </c>
      <c r="D201" s="480">
        <f>'[24]Sch C'!F207</f>
        <v>0</v>
      </c>
      <c r="E201" s="480">
        <f>+'[24]Sch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1227529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1227529</v>
      </c>
      <c r="G202" s="166">
        <f t="shared" si="63"/>
        <v>0</v>
      </c>
      <c r="H202" s="166">
        <f t="shared" si="63"/>
        <v>0</v>
      </c>
      <c r="I202" s="166">
        <f t="shared" si="63"/>
        <v>1227529</v>
      </c>
      <c r="J202" s="167">
        <f>IF($I$213=0,0,I202/$I$213)</f>
        <v>0.11042203442444114</v>
      </c>
      <c r="K202" s="458"/>
      <c r="L202" s="163"/>
      <c r="M202" s="163"/>
      <c r="O202" s="329">
        <f>I202/I$233</f>
        <v>29.052565559026792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'[24]Sch C'!D211</f>
        <v>306755</v>
      </c>
      <c r="D205" s="480">
        <f>'[24]Sch C'!F211</f>
        <v>0</v>
      </c>
      <c r="E205" s="480">
        <f>+'[24]Sch C'!H211</f>
        <v>0</v>
      </c>
      <c r="F205" s="166">
        <f t="shared" ref="F205:F210" si="64">C205+D205+E205</f>
        <v>306755</v>
      </c>
      <c r="G205" s="626"/>
      <c r="H205" s="166"/>
      <c r="I205" s="166">
        <f t="shared" ref="I205:I210" si="65">F205+G205+H205</f>
        <v>306755</v>
      </c>
      <c r="J205" s="167">
        <f t="shared" ref="J205:J211" si="66">IF($I$213=0,0,I205/$I$213)</f>
        <v>2.7594061867271112E-2</v>
      </c>
      <c r="K205" s="458"/>
      <c r="L205" s="176">
        <v>16962</v>
      </c>
      <c r="M205" s="176">
        <v>18200</v>
      </c>
      <c r="O205" s="329">
        <f t="shared" ref="O205:O210" si="67">I205/I$233</f>
        <v>7.2601296980024612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'[24]Sch C'!D212</f>
        <v>49144</v>
      </c>
      <c r="D206" s="480">
        <f>'[24]Sch C'!F212</f>
        <v>0</v>
      </c>
      <c r="E206" s="480">
        <f>+'[24]Sch C'!H212</f>
        <v>0</v>
      </c>
      <c r="F206" s="166">
        <f t="shared" si="64"/>
        <v>49144</v>
      </c>
      <c r="G206" s="626"/>
      <c r="H206" s="166"/>
      <c r="I206" s="166">
        <f t="shared" si="65"/>
        <v>49144</v>
      </c>
      <c r="J206" s="167">
        <f t="shared" si="66"/>
        <v>4.420735037424562E-3</v>
      </c>
      <c r="K206" s="458"/>
      <c r="L206" s="163"/>
      <c r="M206" s="163"/>
      <c r="O206" s="329">
        <f t="shared" si="67"/>
        <v>1.1631165388620657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'[24]Sch C'!D213</f>
        <v>28459</v>
      </c>
      <c r="D207" s="480">
        <f>'[24]Sch C'!F213</f>
        <v>0</v>
      </c>
      <c r="E207" s="480">
        <f>+'[24]Sch C'!H213</f>
        <v>0</v>
      </c>
      <c r="F207" s="166">
        <f t="shared" si="64"/>
        <v>28459</v>
      </c>
      <c r="G207" s="626"/>
      <c r="H207" s="166"/>
      <c r="I207" s="166">
        <f t="shared" si="65"/>
        <v>28459</v>
      </c>
      <c r="J207" s="167">
        <f t="shared" si="66"/>
        <v>2.5600215373202343E-3</v>
      </c>
      <c r="K207" s="458"/>
      <c r="L207" s="163"/>
      <c r="M207" s="163"/>
      <c r="O207" s="329">
        <f t="shared" si="67"/>
        <v>0.67355391460759251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'[24]Sch C'!D214</f>
        <v>0</v>
      </c>
      <c r="D208" s="480">
        <f>'[24]Sch C'!F214</f>
        <v>0</v>
      </c>
      <c r="E208" s="480">
        <f>+'[24]Sch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'[24]Sch C'!D215</f>
        <v>0</v>
      </c>
      <c r="D209" s="480">
        <f>'[24]Sch C'!F215</f>
        <v>0</v>
      </c>
      <c r="E209" s="480">
        <f>+'[24]Sch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'[24]Sch C'!D216</f>
        <v>27445</v>
      </c>
      <c r="D210" s="480">
        <f>'[24]Sch C'!F216</f>
        <v>0</v>
      </c>
      <c r="E210" s="480">
        <f>+'[24]Sch C'!H216</f>
        <v>0</v>
      </c>
      <c r="F210" s="166">
        <f t="shared" si="64"/>
        <v>27445</v>
      </c>
      <c r="G210" s="626"/>
      <c r="H210" s="166"/>
      <c r="I210" s="166">
        <f t="shared" si="65"/>
        <v>27445</v>
      </c>
      <c r="J210" s="167">
        <f t="shared" si="66"/>
        <v>2.4688074455094639E-3</v>
      </c>
      <c r="K210" s="458"/>
      <c r="L210" s="163"/>
      <c r="M210" s="163"/>
      <c r="O210" s="329">
        <f t="shared" si="67"/>
        <v>0.64955505064849006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411803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411803</v>
      </c>
      <c r="G211" s="166">
        <f t="shared" si="69"/>
        <v>0</v>
      </c>
      <c r="H211" s="166">
        <f t="shared" si="69"/>
        <v>0</v>
      </c>
      <c r="I211" s="166">
        <f t="shared" si="69"/>
        <v>411803</v>
      </c>
      <c r="J211" s="167">
        <f t="shared" si="66"/>
        <v>3.7043625887525369E-2</v>
      </c>
      <c r="K211" s="458"/>
      <c r="L211" s="163"/>
      <c r="M211" s="163"/>
      <c r="O211" s="329">
        <f>I211/I$233</f>
        <v>9.7463552021206095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11692652</v>
      </c>
      <c r="D213" s="480">
        <f t="shared" si="70"/>
        <v>-569285</v>
      </c>
      <c r="E213" s="480">
        <f t="shared" si="70"/>
        <v>0</v>
      </c>
      <c r="F213" s="166">
        <f t="shared" ref="F213:I213" si="71">SUM(F30:F211)/2</f>
        <v>11123367</v>
      </c>
      <c r="G213" s="166">
        <f t="shared" si="71"/>
        <v>-6663.65</v>
      </c>
      <c r="H213" s="166">
        <f t="shared" si="71"/>
        <v>0</v>
      </c>
      <c r="I213" s="166">
        <f t="shared" si="71"/>
        <v>11116703.35</v>
      </c>
      <c r="J213" s="167">
        <f>IF($I$213=0,0,I213/$I$213)</f>
        <v>1</v>
      </c>
      <c r="K213" s="458"/>
      <c r="L213" s="176">
        <f>SUM(L30:L205)</f>
        <v>356683</v>
      </c>
      <c r="M213" s="176">
        <f>SUM(M30:M205)</f>
        <v>378867</v>
      </c>
      <c r="O213" s="329">
        <f>I213/I$233</f>
        <v>263.10478438890465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'[24]Sch C'!D221</f>
        <v>11692652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363136</v>
      </c>
      <c r="D220" s="480">
        <f t="shared" si="72"/>
        <v>516670</v>
      </c>
      <c r="E220" s="480">
        <f t="shared" si="72"/>
        <v>0</v>
      </c>
      <c r="F220" s="166">
        <f t="shared" ref="F220:I220" si="73">F26-F213</f>
        <v>879806</v>
      </c>
      <c r="G220" s="166">
        <f t="shared" si="73"/>
        <v>6663.65</v>
      </c>
      <c r="H220" s="166">
        <f t="shared" si="73"/>
        <v>0</v>
      </c>
      <c r="I220" s="166">
        <f t="shared" si="73"/>
        <v>886469.65000000037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'[24]Sch D'!C9</f>
        <v>2301</v>
      </c>
      <c r="D224" s="480"/>
      <c r="E224" s="480"/>
      <c r="F224" s="224">
        <f>C224+D224+E224</f>
        <v>2301</v>
      </c>
      <c r="G224" s="627"/>
      <c r="H224" s="223"/>
      <c r="I224" s="224">
        <f>F224+G224+H224</f>
        <v>2301</v>
      </c>
      <c r="J224" s="167">
        <f t="shared" ref="J224:J233" si="74">IF($I$233=0,0,I224/$I$233)</f>
        <v>5.4458960522578814E-2</v>
      </c>
      <c r="K224" s="458"/>
      <c r="L224" s="163"/>
      <c r="M224" s="163"/>
    </row>
    <row r="225" spans="1:13">
      <c r="A225" s="158"/>
      <c r="B225" s="165" t="s">
        <v>201</v>
      </c>
      <c r="C225" s="504">
        <f>'[24]Sch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'[24]Sch D'!E9</f>
        <v>2381</v>
      </c>
      <c r="D226" s="480"/>
      <c r="E226" s="480"/>
      <c r="F226" s="224">
        <f t="shared" si="75"/>
        <v>2381</v>
      </c>
      <c r="G226" s="627"/>
      <c r="H226" s="223"/>
      <c r="I226" s="224">
        <f t="shared" si="76"/>
        <v>2381</v>
      </c>
      <c r="J226" s="167">
        <f t="shared" si="74"/>
        <v>5.6352362018365992E-2</v>
      </c>
      <c r="K226" s="458"/>
      <c r="L226" s="163"/>
      <c r="M226" s="163"/>
    </row>
    <row r="227" spans="1:13">
      <c r="A227" s="158"/>
      <c r="B227" s="194" t="s">
        <v>315</v>
      </c>
      <c r="C227" s="504">
        <f>'[24]Sch D'!F9</f>
        <v>525</v>
      </c>
      <c r="D227" s="480"/>
      <c r="E227" s="480"/>
      <c r="F227" s="224">
        <f t="shared" si="75"/>
        <v>525</v>
      </c>
      <c r="G227" s="627"/>
      <c r="H227" s="223"/>
      <c r="I227" s="224">
        <f t="shared" si="76"/>
        <v>525</v>
      </c>
      <c r="J227" s="167">
        <f t="shared" si="74"/>
        <v>1.2425447316103381E-2</v>
      </c>
      <c r="K227" s="458"/>
      <c r="L227" s="163"/>
      <c r="M227" s="163"/>
    </row>
    <row r="228" spans="1:13">
      <c r="A228" s="158"/>
      <c r="B228" s="165" t="s">
        <v>65</v>
      </c>
      <c r="C228" s="504">
        <f>'[24]Sch D'!G9</f>
        <v>13741</v>
      </c>
      <c r="D228" s="480"/>
      <c r="E228" s="480"/>
      <c r="F228" s="224">
        <f t="shared" si="75"/>
        <v>13741</v>
      </c>
      <c r="G228" s="627"/>
      <c r="H228" s="223"/>
      <c r="I228" s="224">
        <f t="shared" si="76"/>
        <v>13741</v>
      </c>
      <c r="J228" s="167">
        <f t="shared" si="74"/>
        <v>0.32521537442014581</v>
      </c>
      <c r="K228" s="458"/>
      <c r="L228" s="163"/>
      <c r="M228" s="163"/>
    </row>
    <row r="229" spans="1:13">
      <c r="A229" s="158"/>
      <c r="B229" s="165" t="s">
        <v>66</v>
      </c>
      <c r="C229" s="504">
        <f>'[24]Sch D'!H9</f>
        <v>22520</v>
      </c>
      <c r="D229" s="480"/>
      <c r="E229" s="480"/>
      <c r="F229" s="224">
        <f t="shared" si="75"/>
        <v>22520</v>
      </c>
      <c r="G229" s="627"/>
      <c r="H229" s="223"/>
      <c r="I229" s="224">
        <f t="shared" si="76"/>
        <v>22520</v>
      </c>
      <c r="J229" s="167">
        <f t="shared" si="74"/>
        <v>0.53299252106409167</v>
      </c>
      <c r="K229" s="458"/>
      <c r="L229" s="163"/>
      <c r="M229" s="163"/>
    </row>
    <row r="230" spans="1:13">
      <c r="A230" s="158"/>
      <c r="B230" s="165" t="s">
        <v>219</v>
      </c>
      <c r="C230" s="504">
        <f>'[24]Sch D'!I9</f>
        <v>731</v>
      </c>
      <c r="D230" s="480"/>
      <c r="E230" s="480"/>
      <c r="F230" s="224">
        <f t="shared" si="75"/>
        <v>731</v>
      </c>
      <c r="G230" s="627"/>
      <c r="H230" s="223"/>
      <c r="I230" s="224">
        <f t="shared" si="76"/>
        <v>731</v>
      </c>
      <c r="J230" s="167">
        <f t="shared" si="74"/>
        <v>1.7300956167755371E-2</v>
      </c>
      <c r="K230" s="458"/>
      <c r="L230" s="163"/>
      <c r="M230" s="163"/>
    </row>
    <row r="231" spans="1:13">
      <c r="A231" s="158"/>
      <c r="B231" s="165" t="s">
        <v>218</v>
      </c>
      <c r="C231" s="504">
        <f>'[24]Sch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'[24]Sch D'!K9</f>
        <v>53</v>
      </c>
      <c r="D232" s="480"/>
      <c r="E232" s="480"/>
      <c r="F232" s="224">
        <f t="shared" si="75"/>
        <v>53</v>
      </c>
      <c r="G232" s="627"/>
      <c r="H232" s="223"/>
      <c r="I232" s="224">
        <f t="shared" si="76"/>
        <v>53</v>
      </c>
      <c r="J232" s="167">
        <f t="shared" si="74"/>
        <v>1.2543784909590078E-3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42252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42252</v>
      </c>
      <c r="G233" s="226">
        <f t="shared" si="78"/>
        <v>0</v>
      </c>
      <c r="H233" s="226">
        <f t="shared" si="78"/>
        <v>0</v>
      </c>
      <c r="I233" s="226">
        <f t="shared" si="78"/>
        <v>42252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'[24]Sch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'[24]Sch D'!N24</f>
        <v>22</v>
      </c>
      <c r="D237" s="480"/>
      <c r="E237" s="480"/>
      <c r="F237" s="224">
        <f>C237+E237</f>
        <v>22</v>
      </c>
      <c r="G237" s="627"/>
      <c r="H237" s="441"/>
      <c r="I237" s="224">
        <f>F237+G237+H237</f>
        <v>22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'[24]Sch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'[24]Sch D'!N30</f>
        <v>0.9646575342465753</v>
      </c>
      <c r="D241" s="228"/>
      <c r="E241" s="228"/>
      <c r="F241" s="232">
        <f>F233/F240</f>
        <v>0.9646575342465753</v>
      </c>
      <c r="G241"/>
      <c r="H241" s="233"/>
      <c r="I241" s="232">
        <f>I233/I240</f>
        <v>0.9646575342465753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'[24]Sch D'!N32</f>
        <v>5.2534246575342468E-2</v>
      </c>
      <c r="D242" s="228"/>
      <c r="E242" s="228"/>
      <c r="F242" s="232">
        <f>(F224+F225)/F240</f>
        <v>5.2534246575342468E-2</v>
      </c>
      <c r="G242"/>
      <c r="H242" s="233"/>
      <c r="I242" s="232">
        <f>(I224+I225)/I240</f>
        <v>5.2534246575342468E-2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'[24]Sch D'!N34</f>
        <v>5.4458960522578814E-2</v>
      </c>
      <c r="D243" s="228"/>
      <c r="E243" s="228"/>
      <c r="F243" s="232">
        <f>(F242/F241)</f>
        <v>5.4458960522578814E-2</v>
      </c>
      <c r="G243"/>
      <c r="H243" s="233"/>
      <c r="I243" s="232">
        <f>(I242/I241)</f>
        <v>5.4458960522578814E-2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'[24]Sch B'!C90</f>
        <v>192.48171614771906</v>
      </c>
      <c r="K246" s="460"/>
    </row>
    <row r="247" spans="1:13">
      <c r="H247" s="140" t="s">
        <v>322</v>
      </c>
      <c r="I247" s="480">
        <f>'[24]Sch B'!E90</f>
        <v>192.48169315949278</v>
      </c>
      <c r="K247" s="460"/>
    </row>
    <row r="248" spans="1:13">
      <c r="H248" s="140" t="s">
        <v>323</v>
      </c>
      <c r="I248" s="480">
        <f>'[24]Sch B'!G90</f>
        <v>192.48165218932814</v>
      </c>
      <c r="K248" s="460"/>
    </row>
    <row r="249" spans="1:13">
      <c r="H249" s="140" t="s">
        <v>324</v>
      </c>
      <c r="I249" s="480">
        <f>'[24]Sch B'!I90</f>
        <v>192.48175816539262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E28CAB"/>
  </sheetPr>
  <dimension ref="A1:Q277"/>
  <sheetViews>
    <sheetView topLeftCell="B10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468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'[25]Sch A Pg 1'!B39</f>
        <v>42917</v>
      </c>
      <c r="D3" s="620"/>
      <c r="E3" s="142"/>
      <c r="F3" s="144"/>
      <c r="G3" s="144"/>
      <c r="H3" s="410"/>
    </row>
    <row r="4" spans="1:16">
      <c r="A4" s="143"/>
      <c r="B4" s="145" t="s">
        <v>72</v>
      </c>
      <c r="C4" s="557">
        <f>'[25]Sch A Pg 1'!G39</f>
        <v>43281</v>
      </c>
      <c r="D4" s="620"/>
      <c r="E4" s="142"/>
      <c r="F4" s="146"/>
      <c r="G4" s="146"/>
      <c r="H4" s="410"/>
      <c r="I4" s="147"/>
    </row>
    <row r="5" spans="1:16">
      <c r="A5" s="143"/>
      <c r="B5" s="145"/>
      <c r="C5" s="148"/>
      <c r="D5" s="148"/>
      <c r="E5" s="142"/>
      <c r="H5" s="410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'[25]Sch B'!E10</f>
        <v>1385375</v>
      </c>
      <c r="D12" s="480">
        <f>'[25]Sch B'!G10</f>
        <v>0</v>
      </c>
      <c r="E12" s="480"/>
      <c r="F12" s="166">
        <f>C12+D12+E12</f>
        <v>1385375</v>
      </c>
      <c r="G12" s="626"/>
      <c r="H12" s="626"/>
      <c r="I12" s="166">
        <f>F12+G12+H12</f>
        <v>1385375</v>
      </c>
      <c r="J12" s="167">
        <f>IF($I$26=0,0,I12/$I$26)</f>
        <v>0.3073710749260084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'[25]Sch B'!E12</f>
        <v>405482</v>
      </c>
      <c r="D13" s="480">
        <f>'[25]Sch B'!G12</f>
        <v>524068.26919072727</v>
      </c>
      <c r="E13" s="480"/>
      <c r="F13" s="166">
        <f t="shared" ref="F13:F25" si="0">C13+D13+E13</f>
        <v>929550.26919072727</v>
      </c>
      <c r="G13" s="626">
        <v>289848</v>
      </c>
      <c r="H13" s="626"/>
      <c r="I13" s="166">
        <f t="shared" ref="I13:I25" si="1">F13+G13+H13</f>
        <v>1219398.2691907273</v>
      </c>
      <c r="J13" s="167">
        <f>IF($I$26=0,0,I13/$I$26)</f>
        <v>0.27054606641816692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'[25]Sch B'!E13</f>
        <v>21004</v>
      </c>
      <c r="D14" s="480">
        <f>'[25]Sch B'!G13</f>
        <v>0</v>
      </c>
      <c r="E14" s="480"/>
      <c r="F14" s="166">
        <f t="shared" si="0"/>
        <v>21004</v>
      </c>
      <c r="G14" s="626"/>
      <c r="H14" s="626"/>
      <c r="I14" s="166">
        <f t="shared" si="1"/>
        <v>21004</v>
      </c>
      <c r="J14" s="167">
        <f>IF($I$26=0,0,I14/$I$26)</f>
        <v>4.6601260003579391E-3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'[25]Sch B'!E14</f>
        <v>40857</v>
      </c>
      <c r="D15" s="480">
        <f>'[25]Sch B'!G14</f>
        <v>0</v>
      </c>
      <c r="E15" s="480"/>
      <c r="F15" s="166">
        <f t="shared" si="0"/>
        <v>40857</v>
      </c>
      <c r="G15" s="626"/>
      <c r="H15" s="626"/>
      <c r="I15" s="166">
        <f t="shared" si="1"/>
        <v>40857</v>
      </c>
      <c r="J15" s="167">
        <f>IF($I$26=0,0,I15/$I$26)</f>
        <v>9.0648813557714873E-3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'[25]Sch B'!E15</f>
        <v>1852718</v>
      </c>
      <c r="D16" s="480">
        <f>'[25]Sch B'!G15</f>
        <v>524068.26919072727</v>
      </c>
      <c r="E16" s="480"/>
      <c r="F16" s="166">
        <f t="shared" si="0"/>
        <v>2376786.2691907273</v>
      </c>
      <c r="G16" s="626"/>
      <c r="H16" s="626"/>
      <c r="I16" s="166">
        <f>SUM(I12:I15)</f>
        <v>2666634.2691907273</v>
      </c>
      <c r="J16" s="167">
        <f t="shared" ref="J16:J26" si="2">IF($I$26=0,0,I16/$I$26)</f>
        <v>0.59164214870030474</v>
      </c>
      <c r="K16" s="457"/>
      <c r="L16" s="333" t="s">
        <v>325</v>
      </c>
      <c r="M16" s="334">
        <f>I26</f>
        <v>4507174.2691907268</v>
      </c>
      <c r="O16" s="324">
        <f>IFERROR(I16/I224,0)</f>
        <v>331.54721735555478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'[25]Sch B'!E20</f>
        <v>0</v>
      </c>
      <c r="D17" s="480">
        <f>'[25]Sch B'!G20</f>
        <v>0</v>
      </c>
      <c r="E17" s="480"/>
      <c r="F17" s="166">
        <f t="shared" si="0"/>
        <v>0</v>
      </c>
      <c r="G17" s="626"/>
      <c r="H17" s="62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3301572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'[25]Sch B'!E26</f>
        <v>864564</v>
      </c>
      <c r="D18" s="480">
        <f>'[25]Sch B'!G26</f>
        <v>0</v>
      </c>
      <c r="E18" s="480"/>
      <c r="F18" s="166">
        <f t="shared" si="0"/>
        <v>864564</v>
      </c>
      <c r="G18" s="626"/>
      <c r="H18" s="626"/>
      <c r="I18" s="166">
        <f t="shared" si="1"/>
        <v>864564</v>
      </c>
      <c r="J18" s="167">
        <f t="shared" si="2"/>
        <v>0.19181951891894217</v>
      </c>
      <c r="K18" s="458"/>
      <c r="L18" s="335" t="s">
        <v>327</v>
      </c>
      <c r="M18" s="336">
        <f>I233</f>
        <v>13204</v>
      </c>
      <c r="O18" s="324">
        <f t="shared" si="3"/>
        <v>548.23335447051363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'[25]Sch B'!E32</f>
        <v>541800</v>
      </c>
      <c r="D19" s="480">
        <f>'[25]Sch B'!G32</f>
        <v>0</v>
      </c>
      <c r="E19" s="480"/>
      <c r="F19" s="166">
        <f t="shared" si="0"/>
        <v>541800</v>
      </c>
      <c r="G19" s="626"/>
      <c r="H19" s="626"/>
      <c r="I19" s="166">
        <f t="shared" si="1"/>
        <v>541800</v>
      </c>
      <c r="J19" s="170">
        <f t="shared" si="2"/>
        <v>0.12020835397990533</v>
      </c>
      <c r="K19" s="464"/>
      <c r="L19" s="335" t="s">
        <v>328</v>
      </c>
      <c r="M19" s="336">
        <f>I236</f>
        <v>63</v>
      </c>
      <c r="O19" s="324">
        <f t="shared" si="3"/>
        <v>391.75704989154013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'[25]Sch B'!E37</f>
        <v>0</v>
      </c>
      <c r="D20" s="480">
        <f>'[25]Sch B'!G37</f>
        <v>0</v>
      </c>
      <c r="E20" s="480"/>
      <c r="F20" s="166">
        <f t="shared" si="0"/>
        <v>0</v>
      </c>
      <c r="G20" s="626"/>
      <c r="H20" s="62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22995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'[25]Sch B'!E42</f>
        <v>153530</v>
      </c>
      <c r="D21" s="480">
        <f>'[25]Sch B'!G42</f>
        <v>0</v>
      </c>
      <c r="E21" s="480"/>
      <c r="F21" s="166">
        <f t="shared" si="0"/>
        <v>153530</v>
      </c>
      <c r="G21" s="626"/>
      <c r="H21" s="626"/>
      <c r="I21" s="166">
        <f t="shared" si="1"/>
        <v>153530</v>
      </c>
      <c r="J21" s="167">
        <f t="shared" si="2"/>
        <v>3.4063470997664942E-2</v>
      </c>
      <c r="K21" s="458"/>
      <c r="L21" s="337"/>
      <c r="M21" s="336"/>
      <c r="O21" s="324">
        <f t="shared" si="3"/>
        <v>200.16949152542372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'[25]Sch B'!E47</f>
        <v>265971.04602510459</v>
      </c>
      <c r="D22" s="480">
        <f>'[25]Sch B'!G47</f>
        <v>0</v>
      </c>
      <c r="E22" s="480"/>
      <c r="F22" s="166">
        <f t="shared" si="0"/>
        <v>265971.04602510459</v>
      </c>
      <c r="G22" s="626"/>
      <c r="H22" s="626"/>
      <c r="I22" s="166">
        <f t="shared" si="1"/>
        <v>265971.04602510459</v>
      </c>
      <c r="J22" s="167">
        <f t="shared" si="2"/>
        <v>5.9010597358788233E-2</v>
      </c>
      <c r="K22" s="458"/>
      <c r="L22" s="335" t="s">
        <v>148</v>
      </c>
      <c r="M22" s="336">
        <f>L213</f>
        <v>83649</v>
      </c>
      <c r="O22" s="324">
        <f t="shared" si="3"/>
        <v>195.56694560669456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'[25]Sch B'!E52</f>
        <v>14471.953974895398</v>
      </c>
      <c r="D23" s="480">
        <f>'[25]Sch B'!G52</f>
        <v>0</v>
      </c>
      <c r="E23" s="480"/>
      <c r="F23" s="166">
        <f t="shared" si="0"/>
        <v>14471.953974895398</v>
      </c>
      <c r="G23" s="626"/>
      <c r="H23" s="626"/>
      <c r="I23" s="166">
        <f t="shared" si="1"/>
        <v>14471.953974895398</v>
      </c>
      <c r="J23" s="167">
        <f t="shared" si="2"/>
        <v>3.210870738639948E-3</v>
      </c>
      <c r="K23" s="458"/>
      <c r="L23" s="338" t="s">
        <v>233</v>
      </c>
      <c r="M23" s="339">
        <f>M213</f>
        <v>87706.557961935236</v>
      </c>
      <c r="O23" s="324">
        <f t="shared" si="3"/>
        <v>195.56694560669456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'[25]Sch B'!E57</f>
        <v>0</v>
      </c>
      <c r="D24" s="480">
        <f>'[25]Sch B'!G57</f>
        <v>0</v>
      </c>
      <c r="E24" s="480"/>
      <c r="F24" s="166">
        <f t="shared" si="0"/>
        <v>0</v>
      </c>
      <c r="G24" s="626"/>
      <c r="H24" s="62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'[25]Sch B'!E72</f>
        <v>203</v>
      </c>
      <c r="D25" s="480">
        <f>'[25]Sch B'!G72</f>
        <v>0</v>
      </c>
      <c r="E25" s="480"/>
      <c r="F25" s="166">
        <f t="shared" si="0"/>
        <v>203</v>
      </c>
      <c r="G25" s="626"/>
      <c r="H25" s="626"/>
      <c r="I25" s="166">
        <f t="shared" si="1"/>
        <v>203</v>
      </c>
      <c r="J25" s="167">
        <f t="shared" si="2"/>
        <v>4.5039305754744894E-5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3693258</v>
      </c>
      <c r="D26" s="480">
        <f t="shared" ref="D26:F26" si="4">SUM(D16:D25)</f>
        <v>524068.26919072727</v>
      </c>
      <c r="E26" s="480">
        <f t="shared" si="4"/>
        <v>0</v>
      </c>
      <c r="F26" s="166">
        <f t="shared" si="4"/>
        <v>4217326.2691907268</v>
      </c>
      <c r="G26" s="166">
        <f>SUM(G12:G25)</f>
        <v>289848</v>
      </c>
      <c r="H26" s="166">
        <f>SUM(H12:H25)</f>
        <v>0</v>
      </c>
      <c r="I26" s="166">
        <f>SUM(I16:I25)</f>
        <v>4507174.2691907268</v>
      </c>
      <c r="J26" s="167">
        <f t="shared" si="2"/>
        <v>1</v>
      </c>
      <c r="K26" s="458"/>
      <c r="L26" s="163"/>
      <c r="M26" s="163"/>
      <c r="O26" s="324">
        <f>IFERROR(I26/I233,0)</f>
        <v>341.34915701232404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'[25]Sch C'!D10</f>
        <v>113419</v>
      </c>
      <c r="D30" s="480">
        <f>'[25]Sch C'!F10</f>
        <v>-22377</v>
      </c>
      <c r="E30" s="480">
        <f>+'[25]Sch C'!H10</f>
        <v>0</v>
      </c>
      <c r="F30" s="166">
        <f t="shared" ref="F30:F65" si="5">C30+D30+E30</f>
        <v>91042</v>
      </c>
      <c r="G30" s="626">
        <v>22377</v>
      </c>
      <c r="H30" s="626"/>
      <c r="I30" s="166">
        <f t="shared" ref="I30:I65" si="6">F30+G30+H30</f>
        <v>113419</v>
      </c>
      <c r="J30" s="167">
        <f>IF($I$213=0,0,I30/$I$213)</f>
        <v>3.435302940538628E-2</v>
      </c>
      <c r="K30" s="458"/>
      <c r="L30" s="176">
        <v>2080</v>
      </c>
      <c r="M30" s="176">
        <v>2080</v>
      </c>
      <c r="O30" s="324">
        <f>I30/I$233</f>
        <v>8.5897455316570728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'[25]Sch C'!D11</f>
        <v>0</v>
      </c>
      <c r="D31" s="480">
        <f>'[25]Sch C'!F11</f>
        <v>0</v>
      </c>
      <c r="E31" s="480">
        <f>+'[25]Sch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'[25]Sch C'!D12</f>
        <v>84241</v>
      </c>
      <c r="D32" s="480">
        <f>'[25]Sch C'!F12</f>
        <v>0</v>
      </c>
      <c r="E32" s="480">
        <f>+'[25]Sch C'!H12</f>
        <v>0</v>
      </c>
      <c r="F32" s="166">
        <f t="shared" si="5"/>
        <v>84241</v>
      </c>
      <c r="G32" s="626"/>
      <c r="H32" s="626"/>
      <c r="I32" s="166">
        <f t="shared" si="6"/>
        <v>84241</v>
      </c>
      <c r="J32" s="167">
        <f t="shared" si="7"/>
        <v>2.5515421138778738E-2</v>
      </c>
      <c r="K32" s="458"/>
      <c r="L32" s="176">
        <v>3651</v>
      </c>
      <c r="M32" s="176">
        <v>3944</v>
      </c>
      <c r="O32" s="324">
        <f t="shared" si="8"/>
        <v>6.3799606179945467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'[25]Sch C'!D13</f>
        <v>121470</v>
      </c>
      <c r="D33" s="480">
        <f>'[25]Sch C'!F13</f>
        <v>-84122</v>
      </c>
      <c r="E33" s="480">
        <f>+'[25]Sch C'!H13</f>
        <v>0</v>
      </c>
      <c r="F33" s="166">
        <f t="shared" si="5"/>
        <v>37348</v>
      </c>
      <c r="G33" s="626"/>
      <c r="H33" s="626"/>
      <c r="I33" s="166">
        <f t="shared" si="6"/>
        <v>37348</v>
      </c>
      <c r="J33" s="167">
        <f t="shared" si="7"/>
        <v>1.1312187043020719E-2</v>
      </c>
      <c r="K33" s="458"/>
      <c r="L33" s="163"/>
      <c r="M33" s="163"/>
      <c r="O33" s="324">
        <f t="shared" si="8"/>
        <v>2.8285368070281733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'[25]Sch C'!D14</f>
        <v>0</v>
      </c>
      <c r="D34" s="480">
        <f>'[25]Sch C'!F14</f>
        <v>0</v>
      </c>
      <c r="E34" s="480">
        <f>+'[25]Sch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'[25]Sch C'!D15</f>
        <v>0</v>
      </c>
      <c r="D35" s="480">
        <f>'[25]Sch C'!F15</f>
        <v>0</v>
      </c>
      <c r="E35" s="480">
        <f>+'[25]Sch C'!H15</f>
        <v>0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'[25]Sch C'!D16</f>
        <v>185549</v>
      </c>
      <c r="D36" s="480">
        <f>'[25]Sch C'!F16</f>
        <v>0</v>
      </c>
      <c r="E36" s="480">
        <f>+'[25]Sch C'!H16</f>
        <v>-32143</v>
      </c>
      <c r="F36" s="166">
        <f t="shared" si="5"/>
        <v>153406</v>
      </c>
      <c r="G36" s="626"/>
      <c r="H36" s="626">
        <v>104286</v>
      </c>
      <c r="I36" s="166">
        <f t="shared" si="6"/>
        <v>257692</v>
      </c>
      <c r="J36" s="167">
        <f t="shared" si="7"/>
        <v>7.8051304045466827E-2</v>
      </c>
      <c r="K36" s="458" t="s">
        <v>374</v>
      </c>
      <c r="L36" s="163"/>
      <c r="M36" s="163"/>
      <c r="O36" s="324">
        <f t="shared" si="8"/>
        <v>19.516207209936383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'[25]Sch C'!D17</f>
        <v>0</v>
      </c>
      <c r="D37" s="480">
        <f>'[25]Sch C'!F17</f>
        <v>0</v>
      </c>
      <c r="E37" s="480">
        <f>+'[25]Sch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'[25]Sch C'!D18</f>
        <v>20127</v>
      </c>
      <c r="D38" s="480">
        <f>'[25]Sch C'!F18</f>
        <v>0</v>
      </c>
      <c r="E38" s="480">
        <f>+'[25]Sch C'!H18</f>
        <v>0</v>
      </c>
      <c r="F38" s="166">
        <f t="shared" si="5"/>
        <v>20127</v>
      </c>
      <c r="G38" s="626"/>
      <c r="H38" s="626"/>
      <c r="I38" s="166">
        <f t="shared" si="6"/>
        <v>20127</v>
      </c>
      <c r="J38" s="167">
        <f t="shared" si="7"/>
        <v>6.0961869073277823E-3</v>
      </c>
      <c r="K38" s="458"/>
      <c r="L38" s="163"/>
      <c r="M38" s="163"/>
      <c r="O38" s="324">
        <f t="shared" si="8"/>
        <v>1.5243108149045743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'[25]Sch C'!D19</f>
        <v>13498</v>
      </c>
      <c r="D39" s="480">
        <f>'[25]Sch C'!F19</f>
        <v>-1137</v>
      </c>
      <c r="E39" s="480">
        <f>+'[25]Sch C'!H19</f>
        <v>0</v>
      </c>
      <c r="F39" s="166">
        <f t="shared" si="5"/>
        <v>12361</v>
      </c>
      <c r="G39" s="626"/>
      <c r="H39" s="626"/>
      <c r="I39" s="166">
        <f t="shared" si="6"/>
        <v>12361</v>
      </c>
      <c r="J39" s="167">
        <f t="shared" si="7"/>
        <v>3.7439740826491139E-3</v>
      </c>
      <c r="K39" s="458"/>
      <c r="L39" s="163"/>
      <c r="M39" s="163"/>
      <c r="O39" s="324">
        <f t="shared" si="8"/>
        <v>0.93615571039079071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'[25]Sch C'!D20</f>
        <v>9243</v>
      </c>
      <c r="D40" s="480">
        <f>'[25]Sch C'!F20</f>
        <v>0</v>
      </c>
      <c r="E40" s="480">
        <f>+'[25]Sch C'!H20</f>
        <v>0</v>
      </c>
      <c r="F40" s="166">
        <f t="shared" si="5"/>
        <v>9243</v>
      </c>
      <c r="G40" s="626"/>
      <c r="H40" s="626"/>
      <c r="I40" s="166">
        <f t="shared" si="6"/>
        <v>9243</v>
      </c>
      <c r="J40" s="167">
        <f t="shared" si="7"/>
        <v>2.7995754749555665E-3</v>
      </c>
      <c r="K40" s="458"/>
      <c r="L40" s="163"/>
      <c r="M40" s="163"/>
      <c r="O40" s="324">
        <f t="shared" si="8"/>
        <v>0.70001514692517419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'[25]Sch C'!D21</f>
        <v>1737</v>
      </c>
      <c r="D41" s="480">
        <f>'[25]Sch C'!F21</f>
        <v>0</v>
      </c>
      <c r="E41" s="480">
        <f>+'[25]Sch C'!H21</f>
        <v>0</v>
      </c>
      <c r="F41" s="166">
        <f t="shared" si="5"/>
        <v>1737</v>
      </c>
      <c r="G41" s="626"/>
      <c r="H41" s="626"/>
      <c r="I41" s="166">
        <f t="shared" si="6"/>
        <v>1737</v>
      </c>
      <c r="J41" s="167">
        <f t="shared" si="7"/>
        <v>5.2611301525455146E-4</v>
      </c>
      <c r="K41" s="458"/>
      <c r="L41" s="163"/>
      <c r="M41" s="163"/>
      <c r="O41" s="324">
        <f t="shared" si="8"/>
        <v>0.13155104513783702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'[25]Sch C'!D22</f>
        <v>0</v>
      </c>
      <c r="D42" s="480">
        <f>'[25]Sch C'!F22</f>
        <v>0</v>
      </c>
      <c r="E42" s="480">
        <f>+'[25]Sch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'[25]Sch C'!D23</f>
        <v>2086</v>
      </c>
      <c r="D43" s="480">
        <f>'[25]Sch C'!F23</f>
        <v>0</v>
      </c>
      <c r="E43" s="480">
        <f>+'[25]Sch C'!H23</f>
        <v>0</v>
      </c>
      <c r="F43" s="166">
        <f t="shared" si="5"/>
        <v>2086</v>
      </c>
      <c r="G43" s="626"/>
      <c r="H43" s="626"/>
      <c r="I43" s="166">
        <f t="shared" si="6"/>
        <v>2086</v>
      </c>
      <c r="J43" s="167">
        <f t="shared" si="7"/>
        <v>6.3182023593609342E-4</v>
      </c>
      <c r="K43" s="458"/>
      <c r="L43" s="163"/>
      <c r="M43" s="163"/>
      <c r="O43" s="324">
        <f t="shared" si="8"/>
        <v>0.15798242956679795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'[25]Sch C'!D24</f>
        <v>51484</v>
      </c>
      <c r="D44" s="480">
        <f>'[25]Sch C'!F24</f>
        <v>0</v>
      </c>
      <c r="E44" s="480">
        <f>+'[25]Sch C'!H24</f>
        <v>-12517</v>
      </c>
      <c r="F44" s="166">
        <f t="shared" si="5"/>
        <v>38967</v>
      </c>
      <c r="G44" s="626"/>
      <c r="H44" s="626"/>
      <c r="I44" s="166">
        <f t="shared" si="6"/>
        <v>38967</v>
      </c>
      <c r="J44" s="167">
        <f t="shared" si="7"/>
        <v>1.1802559508016182E-2</v>
      </c>
      <c r="K44" s="458"/>
      <c r="L44" s="163"/>
      <c r="M44" s="163"/>
      <c r="O44" s="324">
        <f t="shared" si="8"/>
        <v>2.9511511663132386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'[25]Sch C'!D25</f>
        <v>0</v>
      </c>
      <c r="D45" s="480">
        <f>'[25]Sch C'!F25</f>
        <v>0</v>
      </c>
      <c r="E45" s="480">
        <f>+'[25]Sch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'[25]Sch C'!D26</f>
        <v>214232</v>
      </c>
      <c r="D46" s="480">
        <f>'[25]Sch C'!F26</f>
        <v>0</v>
      </c>
      <c r="E46" s="480">
        <f>+'[25]Sch C'!H26</f>
        <v>0</v>
      </c>
      <c r="F46" s="166">
        <f t="shared" si="5"/>
        <v>214232</v>
      </c>
      <c r="G46" s="626"/>
      <c r="H46" s="626"/>
      <c r="I46" s="166">
        <f t="shared" si="6"/>
        <v>214232</v>
      </c>
      <c r="J46" s="167">
        <f t="shared" si="7"/>
        <v>6.4887877653432971E-2</v>
      </c>
      <c r="K46" s="458"/>
      <c r="L46" s="163"/>
      <c r="M46" s="163"/>
      <c r="O46" s="324">
        <f t="shared" si="8"/>
        <v>16.224780369584973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'[25]Sch C'!D27</f>
        <v>0</v>
      </c>
      <c r="D47" s="480">
        <f>'[25]Sch C'!F27</f>
        <v>0</v>
      </c>
      <c r="E47" s="480">
        <f>+'[25]Sch C'!H27</f>
        <v>0</v>
      </c>
      <c r="F47" s="166">
        <f t="shared" si="5"/>
        <v>0</v>
      </c>
      <c r="G47" s="626"/>
      <c r="H47" s="62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'[25]Sch C'!D28</f>
        <v>0</v>
      </c>
      <c r="D48" s="480">
        <f>'[25]Sch C'!F28</f>
        <v>0</v>
      </c>
      <c r="E48" s="480">
        <f>+'[25]Sch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'[25]Sch C'!D29</f>
        <v>151261</v>
      </c>
      <c r="D49" s="480">
        <f>'[25]Sch C'!F29</f>
        <v>-151261</v>
      </c>
      <c r="E49" s="480">
        <f>+'[25]Sch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'[25]Sch C'!D30</f>
        <v>0</v>
      </c>
      <c r="D50" s="480">
        <f>'[25]Sch C'!F30</f>
        <v>0</v>
      </c>
      <c r="E50" s="480">
        <f>+'[25]Sch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'[25]Sch C'!D31</f>
        <v>52390</v>
      </c>
      <c r="D51" s="480">
        <f>'[25]Sch C'!F31</f>
        <v>0</v>
      </c>
      <c r="E51" s="480">
        <f>+'[25]Sch C'!H31</f>
        <v>-30695</v>
      </c>
      <c r="F51" s="166">
        <f t="shared" si="5"/>
        <v>21695</v>
      </c>
      <c r="G51" s="626"/>
      <c r="H51" s="626"/>
      <c r="I51" s="166">
        <f t="shared" si="6"/>
        <v>21695</v>
      </c>
      <c r="J51" s="167">
        <f t="shared" si="7"/>
        <v>6.571112185346859E-3</v>
      </c>
      <c r="K51" s="458"/>
      <c r="L51" s="163"/>
      <c r="M51" s="163"/>
      <c r="O51" s="324">
        <f t="shared" si="8"/>
        <v>1.6430627082702212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'[25]Sch C'!D32</f>
        <v>60995</v>
      </c>
      <c r="D52" s="480">
        <f>'[25]Sch C'!F32</f>
        <v>0</v>
      </c>
      <c r="E52" s="480">
        <f>+'[25]Sch C'!H32</f>
        <v>-27448</v>
      </c>
      <c r="F52" s="166">
        <f t="shared" si="5"/>
        <v>33547</v>
      </c>
      <c r="G52" s="626"/>
      <c r="H52" s="626"/>
      <c r="I52" s="166">
        <f t="shared" si="6"/>
        <v>33547</v>
      </c>
      <c r="J52" s="167">
        <f t="shared" si="7"/>
        <v>1.016091728425126E-2</v>
      </c>
      <c r="K52" s="458"/>
      <c r="L52" s="163"/>
      <c r="M52" s="163"/>
      <c r="O52" s="324">
        <f t="shared" si="8"/>
        <v>2.540669494092699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'[25]Sch C'!D33</f>
        <v>12678</v>
      </c>
      <c r="D53" s="480">
        <f>'[25]Sch C'!F33</f>
        <v>-12678</v>
      </c>
      <c r="E53" s="480">
        <f>+'[25]Sch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'[25]Sch C'!D34</f>
        <v>0</v>
      </c>
      <c r="D54" s="480">
        <f>'[25]Sch C'!F34</f>
        <v>0</v>
      </c>
      <c r="E54" s="480">
        <f>+'[25]Sch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'[25]Sch C'!D35</f>
        <v>0</v>
      </c>
      <c r="D55" s="480">
        <f>'[25]Sch C'!F35</f>
        <v>0</v>
      </c>
      <c r="E55" s="480">
        <f>+'[25]Sch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'[25]Sch C'!D36</f>
        <v>0</v>
      </c>
      <c r="D56" s="480">
        <f>'[25]Sch C'!F36</f>
        <v>0</v>
      </c>
      <c r="E56" s="480">
        <f>+'[25]Sch C'!H36</f>
        <v>0</v>
      </c>
      <c r="F56" s="166">
        <f t="shared" si="5"/>
        <v>0</v>
      </c>
      <c r="G56" s="626"/>
      <c r="H56" s="62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'[25]Sch C'!D37</f>
        <v>0</v>
      </c>
      <c r="D57" s="480">
        <f>'[25]Sch C'!F37</f>
        <v>0</v>
      </c>
      <c r="E57" s="480">
        <f>+'[25]Sch C'!H37</f>
        <v>0</v>
      </c>
      <c r="F57" s="166">
        <f t="shared" si="5"/>
        <v>0</v>
      </c>
      <c r="G57" s="626"/>
      <c r="H57" s="62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'[25]Sch C'!D38</f>
        <v>0</v>
      </c>
      <c r="D58" s="480">
        <f>'[25]Sch C'!F38</f>
        <v>0</v>
      </c>
      <c r="E58" s="480">
        <f>+'[25]Sch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'[25]Sch C'!D39</f>
        <v>2957</v>
      </c>
      <c r="D59" s="480">
        <f>'[25]Sch C'!F39</f>
        <v>0</v>
      </c>
      <c r="E59" s="480">
        <f>+'[25]Sch C'!H39</f>
        <v>0</v>
      </c>
      <c r="F59" s="166">
        <f t="shared" si="5"/>
        <v>2957</v>
      </c>
      <c r="G59" s="626"/>
      <c r="H59" s="626"/>
      <c r="I59" s="166">
        <f t="shared" si="6"/>
        <v>2957</v>
      </c>
      <c r="J59" s="167">
        <f t="shared" si="7"/>
        <v>8.9563395861123126E-4</v>
      </c>
      <c r="K59" s="458"/>
      <c r="L59" s="163"/>
      <c r="M59" s="163"/>
      <c r="O59" s="324">
        <f t="shared" si="8"/>
        <v>0.22394728870039382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'[25]Sch C'!D40</f>
        <v>3622</v>
      </c>
      <c r="D60" s="480">
        <f>'[25]Sch C'!F40</f>
        <v>0</v>
      </c>
      <c r="E60" s="480">
        <f>+'[25]Sch C'!H40</f>
        <v>0</v>
      </c>
      <c r="F60" s="166">
        <f t="shared" si="5"/>
        <v>3622</v>
      </c>
      <c r="G60" s="626"/>
      <c r="H60" s="626"/>
      <c r="I60" s="166">
        <f t="shared" si="6"/>
        <v>3622</v>
      </c>
      <c r="J60" s="167">
        <f t="shared" si="7"/>
        <v>1.0970531613425363E-3</v>
      </c>
      <c r="K60" s="458"/>
      <c r="L60" s="163"/>
      <c r="M60" s="163"/>
      <c r="O60" s="324">
        <f t="shared" si="8"/>
        <v>0.27431081490457437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'[25]Sch C'!D41</f>
        <v>9135</v>
      </c>
      <c r="D61" s="480">
        <f>'[25]Sch C'!F41</f>
        <v>0</v>
      </c>
      <c r="E61" s="480">
        <f>+'[25]Sch C'!H41</f>
        <v>0</v>
      </c>
      <c r="F61" s="166">
        <f t="shared" si="5"/>
        <v>9135</v>
      </c>
      <c r="G61" s="626"/>
      <c r="H61" s="626"/>
      <c r="I61" s="166">
        <f t="shared" si="6"/>
        <v>9135</v>
      </c>
      <c r="J61" s="167">
        <f t="shared" si="7"/>
        <v>2.766863784887926E-3</v>
      </c>
      <c r="K61" s="458"/>
      <c r="L61" s="163"/>
      <c r="M61" s="163"/>
      <c r="O61" s="324">
        <f t="shared" si="8"/>
        <v>0.69183580733111183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'[25]Sch C'!D42</f>
        <v>1063</v>
      </c>
      <c r="D62" s="480">
        <f>'[25]Sch C'!F42</f>
        <v>0</v>
      </c>
      <c r="E62" s="480">
        <f>+'[25]Sch C'!H42</f>
        <v>0</v>
      </c>
      <c r="F62" s="166">
        <f t="shared" si="5"/>
        <v>1063</v>
      </c>
      <c r="G62" s="626"/>
      <c r="H62" s="626"/>
      <c r="I62" s="166">
        <f t="shared" si="6"/>
        <v>1063</v>
      </c>
      <c r="J62" s="167">
        <f t="shared" si="7"/>
        <v>3.2196783835094313E-4</v>
      </c>
      <c r="K62" s="458"/>
      <c r="L62" s="163"/>
      <c r="M62" s="163"/>
      <c r="O62" s="324">
        <f t="shared" si="8"/>
        <v>8.0505907300817928E-2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'[25]Sch C'!D43</f>
        <v>9008</v>
      </c>
      <c r="D63" s="480">
        <f>'[25]Sch C'!F43</f>
        <v>0</v>
      </c>
      <c r="E63" s="480">
        <f>+'[25]Sch C'!H43</f>
        <v>0</v>
      </c>
      <c r="F63" s="166">
        <f t="shared" si="5"/>
        <v>9008</v>
      </c>
      <c r="G63" s="626">
        <v>-9008</v>
      </c>
      <c r="H63" s="626"/>
      <c r="I63" s="166">
        <f t="shared" si="6"/>
        <v>0</v>
      </c>
      <c r="J63" s="167">
        <f t="shared" si="7"/>
        <v>0</v>
      </c>
      <c r="K63" s="458" t="s">
        <v>741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'[25]Sch C'!D44</f>
        <v>0</v>
      </c>
      <c r="D64" s="480">
        <f>'[25]Sch C'!F44</f>
        <v>0</v>
      </c>
      <c r="E64" s="480">
        <f>+'[25]Sch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'[25]Sch C'!D45</f>
        <v>1331</v>
      </c>
      <c r="D65" s="480">
        <f>'[25]Sch C'!F45</f>
        <v>-99</v>
      </c>
      <c r="E65" s="480">
        <f>+'[25]Sch C'!H45</f>
        <v>0</v>
      </c>
      <c r="F65" s="166">
        <f t="shared" si="5"/>
        <v>1232</v>
      </c>
      <c r="G65" s="626">
        <v>7949</v>
      </c>
      <c r="H65" s="626"/>
      <c r="I65" s="166">
        <f t="shared" si="6"/>
        <v>9181</v>
      </c>
      <c r="J65" s="167">
        <f t="shared" si="7"/>
        <v>2.7807965417685878E-3</v>
      </c>
      <c r="K65" s="458"/>
      <c r="L65" s="163"/>
      <c r="M65" s="163"/>
      <c r="O65" s="324">
        <f t="shared" si="8"/>
        <v>0.69531960012117544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1121526</v>
      </c>
      <c r="D66" s="480">
        <f t="shared" si="9"/>
        <v>-271674</v>
      </c>
      <c r="E66" s="480">
        <f t="shared" si="9"/>
        <v>-102803</v>
      </c>
      <c r="F66" s="166">
        <f t="shared" ref="F66:I66" si="10">SUM(F30:F65)</f>
        <v>747049</v>
      </c>
      <c r="G66" s="166">
        <f t="shared" si="10"/>
        <v>21318</v>
      </c>
      <c r="H66" s="166">
        <f t="shared" si="10"/>
        <v>104286</v>
      </c>
      <c r="I66" s="166">
        <f t="shared" si="10"/>
        <v>872653</v>
      </c>
      <c r="J66" s="178">
        <f t="shared" si="7"/>
        <v>0.26431439326478418</v>
      </c>
      <c r="K66" s="465"/>
      <c r="L66" s="163"/>
      <c r="M66" s="163"/>
      <c r="O66" s="329">
        <f>I66/I$233</f>
        <v>66.090048470160554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'[25]Sch C'!D57</f>
        <v>242818</v>
      </c>
      <c r="D69" s="480">
        <f>'[25]Sch C'!F57</f>
        <v>0</v>
      </c>
      <c r="E69" s="480">
        <f>+'[25]Sch C'!H57</f>
        <v>0</v>
      </c>
      <c r="F69" s="166">
        <f>C69+D69+E69</f>
        <v>242818</v>
      </c>
      <c r="G69" s="626"/>
      <c r="H69" s="626">
        <v>-242818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'[25]Sch C'!D58</f>
        <v>0</v>
      </c>
      <c r="D70" s="480">
        <f>'[25]Sch C'!F58</f>
        <v>0</v>
      </c>
      <c r="E70" s="480">
        <f>+'[25]Sch C'!H58</f>
        <v>0</v>
      </c>
      <c r="F70" s="166">
        <f t="shared" ref="F70:F83" si="13">C70+D70+E70</f>
        <v>0</v>
      </c>
      <c r="G70" s="626"/>
      <c r="H70" s="626">
        <v>50000</v>
      </c>
      <c r="I70" s="166">
        <f t="shared" ref="I70:I83" si="14">F70+G70+H70</f>
        <v>50000</v>
      </c>
      <c r="J70" s="167">
        <f t="shared" si="11"/>
        <v>1.5144300957240975E-2</v>
      </c>
      <c r="K70" s="458"/>
      <c r="L70" s="182"/>
      <c r="M70" s="163"/>
      <c r="O70" s="324">
        <f t="shared" si="12"/>
        <v>3.78673129354741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'[25]Sch C'!D59</f>
        <v>0</v>
      </c>
      <c r="D71" s="480">
        <f>'[25]Sch C'!F59</f>
        <v>0</v>
      </c>
      <c r="E71" s="480">
        <f>+'[25]Sch C'!H59</f>
        <v>0</v>
      </c>
      <c r="F71" s="166">
        <f t="shared" si="13"/>
        <v>0</v>
      </c>
      <c r="G71" s="626"/>
      <c r="H71" s="62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'[25]Sch C'!D60</f>
        <v>12968</v>
      </c>
      <c r="D72" s="480">
        <f>'[25]Sch C'!F60</f>
        <v>0</v>
      </c>
      <c r="E72" s="480">
        <f>+'[25]Sch C'!H60</f>
        <v>0</v>
      </c>
      <c r="F72" s="166">
        <f t="shared" si="13"/>
        <v>12968</v>
      </c>
      <c r="G72" s="626"/>
      <c r="H72" s="626"/>
      <c r="I72" s="166">
        <f t="shared" si="14"/>
        <v>12968</v>
      </c>
      <c r="J72" s="167">
        <f t="shared" si="11"/>
        <v>3.9278258962700194E-3</v>
      </c>
      <c r="K72" s="458"/>
      <c r="L72" s="185"/>
      <c r="M72" s="163"/>
      <c r="O72" s="324">
        <f t="shared" si="12"/>
        <v>0.98212662829445618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'[25]Sch C'!D61</f>
        <v>4234</v>
      </c>
      <c r="D73" s="480">
        <f>'[25]Sch C'!F61</f>
        <v>0</v>
      </c>
      <c r="E73" s="480">
        <f>+'[25]Sch C'!H61</f>
        <v>0</v>
      </c>
      <c r="F73" s="166">
        <f t="shared" si="13"/>
        <v>4234</v>
      </c>
      <c r="G73" s="626"/>
      <c r="H73" s="626"/>
      <c r="I73" s="166">
        <f t="shared" si="14"/>
        <v>4234</v>
      </c>
      <c r="J73" s="167">
        <f t="shared" si="11"/>
        <v>1.2824194050591658E-3</v>
      </c>
      <c r="K73" s="458"/>
      <c r="L73" s="185"/>
      <c r="M73" s="163"/>
      <c r="O73" s="324">
        <f t="shared" si="12"/>
        <v>0.32066040593759465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'[25]Sch C'!D62</f>
        <v>0</v>
      </c>
      <c r="D74" s="480">
        <f>'[25]Sch C'!F62</f>
        <v>0</v>
      </c>
      <c r="E74" s="480">
        <f>+'[25]Sch C'!H62</f>
        <v>0</v>
      </c>
      <c r="F74" s="166">
        <f t="shared" si="13"/>
        <v>0</v>
      </c>
      <c r="G74" s="626"/>
      <c r="H74" s="62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'[25]Sch C'!D63</f>
        <v>0</v>
      </c>
      <c r="D75" s="480">
        <f>'[25]Sch C'!F63</f>
        <v>0</v>
      </c>
      <c r="E75" s="480">
        <f>+'[25]Sch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'[25]Sch C'!D64</f>
        <v>0</v>
      </c>
      <c r="D76" s="480">
        <f>'[25]Sch C'!F64</f>
        <v>0</v>
      </c>
      <c r="E76" s="480">
        <f>+'[25]Sch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'[25]Sch C'!D65</f>
        <v>2452</v>
      </c>
      <c r="D77" s="480">
        <f>'[25]Sch C'!F65</f>
        <v>0</v>
      </c>
      <c r="E77" s="480">
        <f>+'[25]Sch C'!H65</f>
        <v>0</v>
      </c>
      <c r="F77" s="166">
        <f t="shared" si="13"/>
        <v>2452</v>
      </c>
      <c r="G77" s="626"/>
      <c r="H77" s="626"/>
      <c r="I77" s="166">
        <f t="shared" si="14"/>
        <v>2452</v>
      </c>
      <c r="J77" s="167">
        <f t="shared" si="11"/>
        <v>7.4267651894309743E-4</v>
      </c>
      <c r="K77" s="458"/>
      <c r="L77" s="187"/>
      <c r="M77" s="163"/>
      <c r="O77" s="324">
        <f t="shared" si="12"/>
        <v>0.18570130263556497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'[25]Sch C'!D66</f>
        <v>3298</v>
      </c>
      <c r="D78" s="480">
        <f>'[25]Sch C'!F66</f>
        <v>0</v>
      </c>
      <c r="E78" s="480">
        <f>+'[25]Sch C'!H66</f>
        <v>0</v>
      </c>
      <c r="F78" s="166">
        <f t="shared" si="13"/>
        <v>3298</v>
      </c>
      <c r="G78" s="626"/>
      <c r="H78" s="626"/>
      <c r="I78" s="166">
        <f t="shared" si="14"/>
        <v>3298</v>
      </c>
      <c r="J78" s="167">
        <f t="shared" si="11"/>
        <v>9.9891809113961463E-4</v>
      </c>
      <c r="K78" s="458"/>
      <c r="L78" s="187"/>
      <c r="M78" s="163"/>
      <c r="O78" s="324">
        <f t="shared" si="12"/>
        <v>0.24977279612238715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'[25]Sch C'!D67</f>
        <v>0</v>
      </c>
      <c r="D79" s="480">
        <f>'[25]Sch C'!F67</f>
        <v>-1509</v>
      </c>
      <c r="E79" s="480">
        <f>+'[25]Sch C'!H67</f>
        <v>0</v>
      </c>
      <c r="F79" s="166">
        <f t="shared" si="13"/>
        <v>-1509</v>
      </c>
      <c r="G79" s="626"/>
      <c r="H79" s="626">
        <v>56863</v>
      </c>
      <c r="I79" s="166">
        <f t="shared" si="14"/>
        <v>55354</v>
      </c>
      <c r="J79" s="167">
        <f t="shared" si="11"/>
        <v>1.6765952703742339E-2</v>
      </c>
      <c r="K79" s="458"/>
      <c r="L79" s="187"/>
      <c r="M79" s="163"/>
      <c r="O79" s="324">
        <f t="shared" si="12"/>
        <v>4.1922144804604669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'[25]Sch C'!D68</f>
        <v>0</v>
      </c>
      <c r="D80" s="480">
        <f>'[25]Sch C'!F68</f>
        <v>0</v>
      </c>
      <c r="E80" s="480">
        <f>+'[25]Sch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'[25]Sch C'!D69</f>
        <v>4588</v>
      </c>
      <c r="D81" s="480">
        <f>'[25]Sch C'!F69</f>
        <v>0</v>
      </c>
      <c r="E81" s="480">
        <f>+'[25]Sch C'!H69</f>
        <v>0</v>
      </c>
      <c r="F81" s="166">
        <f t="shared" si="13"/>
        <v>4588</v>
      </c>
      <c r="G81" s="626"/>
      <c r="H81" s="626"/>
      <c r="I81" s="166">
        <f t="shared" si="14"/>
        <v>4588</v>
      </c>
      <c r="J81" s="167">
        <f t="shared" si="11"/>
        <v>1.3896410558364319E-3</v>
      </c>
      <c r="K81" s="458"/>
      <c r="L81" s="187"/>
      <c r="M81" s="163"/>
      <c r="O81" s="324">
        <f t="shared" si="12"/>
        <v>0.34747046349591032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'[25]Sch C'!D70</f>
        <v>0</v>
      </c>
      <c r="D82" s="480">
        <f>'[25]Sch C'!F70</f>
        <v>0</v>
      </c>
      <c r="E82" s="480">
        <f>+'[25]Sch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'[25]Sch C'!D71</f>
        <v>0</v>
      </c>
      <c r="D83" s="480">
        <f>'[25]Sch C'!F71</f>
        <v>0</v>
      </c>
      <c r="E83" s="480">
        <f>+'[25]Sch C'!H71</f>
        <v>0</v>
      </c>
      <c r="F83" s="166">
        <f t="shared" si="13"/>
        <v>0</v>
      </c>
      <c r="G83" s="626"/>
      <c r="H83" s="62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270358</v>
      </c>
      <c r="D84" s="480">
        <f t="shared" si="15"/>
        <v>-1509</v>
      </c>
      <c r="E84" s="480">
        <f t="shared" si="15"/>
        <v>0</v>
      </c>
      <c r="F84" s="166">
        <f t="shared" ref="F84:I84" si="16">SUM(F69:F83)</f>
        <v>268849</v>
      </c>
      <c r="G84" s="166">
        <f t="shared" si="16"/>
        <v>0</v>
      </c>
      <c r="H84" s="166">
        <f t="shared" si="16"/>
        <v>-135955</v>
      </c>
      <c r="I84" s="166">
        <f t="shared" si="16"/>
        <v>132894</v>
      </c>
      <c r="J84" s="167">
        <f t="shared" si="11"/>
        <v>4.0251734628231645E-2</v>
      </c>
      <c r="K84" s="458"/>
      <c r="L84" s="187"/>
      <c r="M84" s="163"/>
      <c r="O84" s="324">
        <f t="shared" si="12"/>
        <v>10.06467737049379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'[25]Sch C'!D75</f>
        <v>39524</v>
      </c>
      <c r="D87" s="480">
        <f>'[25]Sch C'!F75</f>
        <v>0</v>
      </c>
      <c r="E87" s="480">
        <f>+'[25]Sch C'!H75</f>
        <v>0</v>
      </c>
      <c r="F87" s="166">
        <f t="shared" ref="F87:F97" si="17">C87+D87+E87</f>
        <v>39524</v>
      </c>
      <c r="G87" s="626"/>
      <c r="H87" s="626"/>
      <c r="I87" s="166">
        <f t="shared" ref="I87:I97" si="18">F87+G87+H87</f>
        <v>39524</v>
      </c>
      <c r="J87" s="167">
        <f t="shared" ref="J87:J98" si="19">IF($I$213=0,0,I87/$I$213)</f>
        <v>1.1971267020679846E-2</v>
      </c>
      <c r="K87" s="458"/>
      <c r="L87" s="176">
        <v>1928</v>
      </c>
      <c r="M87" s="176">
        <v>2002</v>
      </c>
      <c r="O87" s="324">
        <f t="shared" ref="O87:O97" si="20">I87/I$233</f>
        <v>2.9933353529233564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'[25]Sch C'!D76</f>
        <v>4700</v>
      </c>
      <c r="D88" s="480">
        <f>'[25]Sch C'!F76</f>
        <v>2380</v>
      </c>
      <c r="E88" s="480">
        <f>+'[25]Sch C'!H76</f>
        <v>0</v>
      </c>
      <c r="F88" s="166">
        <f t="shared" si="17"/>
        <v>7080</v>
      </c>
      <c r="G88" s="626"/>
      <c r="H88" s="626"/>
      <c r="I88" s="166">
        <f t="shared" si="18"/>
        <v>7080</v>
      </c>
      <c r="J88" s="167">
        <f t="shared" si="19"/>
        <v>2.1444330155453223E-3</v>
      </c>
      <c r="K88" s="458"/>
      <c r="L88" s="163"/>
      <c r="M88" s="163"/>
      <c r="O88" s="324">
        <f t="shared" si="20"/>
        <v>0.53620115116631328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'[25]Sch C'!D77</f>
        <v>3388</v>
      </c>
      <c r="D89" s="480">
        <f>'[25]Sch C'!F77</f>
        <v>0</v>
      </c>
      <c r="E89" s="480">
        <f>+'[25]Sch C'!H77</f>
        <v>0</v>
      </c>
      <c r="F89" s="166">
        <f t="shared" si="17"/>
        <v>3388</v>
      </c>
      <c r="G89" s="626"/>
      <c r="H89" s="626"/>
      <c r="I89" s="166">
        <f t="shared" si="18"/>
        <v>3388</v>
      </c>
      <c r="J89" s="167">
        <f t="shared" si="19"/>
        <v>1.0261778328626485E-3</v>
      </c>
      <c r="K89" s="458"/>
      <c r="L89" s="163"/>
      <c r="M89" s="163"/>
      <c r="O89" s="324">
        <f t="shared" si="20"/>
        <v>0.25658891245077248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'[25]Sch C'!D78</f>
        <v>0</v>
      </c>
      <c r="D90" s="480">
        <f>'[25]Sch C'!F78</f>
        <v>0</v>
      </c>
      <c r="E90" s="480">
        <f>+'[25]Sch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'[25]Sch C'!D79</f>
        <v>5522</v>
      </c>
      <c r="D91" s="480">
        <f>'[25]Sch C'!F79</f>
        <v>0</v>
      </c>
      <c r="E91" s="480">
        <f>+'[25]Sch C'!H79</f>
        <v>0</v>
      </c>
      <c r="F91" s="166">
        <f t="shared" si="17"/>
        <v>5522</v>
      </c>
      <c r="G91" s="626"/>
      <c r="H91" s="626"/>
      <c r="I91" s="166">
        <f t="shared" si="18"/>
        <v>5522</v>
      </c>
      <c r="J91" s="167">
        <f t="shared" si="19"/>
        <v>1.6725365977176933E-3</v>
      </c>
      <c r="K91" s="458"/>
      <c r="L91" s="163"/>
      <c r="M91" s="163"/>
      <c r="O91" s="324">
        <f t="shared" si="20"/>
        <v>0.41820660405937593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'[25]Sch C'!D80</f>
        <v>15253</v>
      </c>
      <c r="D92" s="480">
        <f>'[25]Sch C'!F80</f>
        <v>0</v>
      </c>
      <c r="E92" s="480">
        <f>+'[25]Sch C'!H80</f>
        <v>0</v>
      </c>
      <c r="F92" s="166">
        <f t="shared" si="17"/>
        <v>15253</v>
      </c>
      <c r="G92" s="626"/>
      <c r="H92" s="626"/>
      <c r="I92" s="166">
        <f t="shared" si="18"/>
        <v>15253</v>
      </c>
      <c r="J92" s="167">
        <f t="shared" si="19"/>
        <v>4.6199204500159321E-3</v>
      </c>
      <c r="K92" s="458"/>
      <c r="L92" s="163"/>
      <c r="M92" s="163"/>
      <c r="O92" s="324">
        <f t="shared" si="20"/>
        <v>1.1551802484095728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'[25]Sch C'!D81</f>
        <v>6024</v>
      </c>
      <c r="D93" s="480">
        <f>'[25]Sch C'!F81</f>
        <v>0</v>
      </c>
      <c r="E93" s="480">
        <f>+'[25]Sch C'!H81</f>
        <v>0</v>
      </c>
      <c r="F93" s="166">
        <f t="shared" si="17"/>
        <v>6024</v>
      </c>
      <c r="G93" s="626"/>
      <c r="H93" s="626"/>
      <c r="I93" s="166">
        <f t="shared" si="18"/>
        <v>6024</v>
      </c>
      <c r="J93" s="167">
        <f t="shared" si="19"/>
        <v>1.8245853793283926E-3</v>
      </c>
      <c r="K93" s="458"/>
      <c r="L93" s="163"/>
      <c r="M93" s="163"/>
      <c r="O93" s="324">
        <f t="shared" si="20"/>
        <v>0.45622538624659192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'[25]Sch C'!D82</f>
        <v>78</v>
      </c>
      <c r="D94" s="480">
        <f>'[25]Sch C'!F82</f>
        <v>0</v>
      </c>
      <c r="E94" s="480">
        <f>+'[25]Sch C'!H82</f>
        <v>0</v>
      </c>
      <c r="F94" s="166">
        <f t="shared" si="17"/>
        <v>78</v>
      </c>
      <c r="G94" s="626"/>
      <c r="H94" s="626"/>
      <c r="I94" s="166">
        <f t="shared" si="18"/>
        <v>78</v>
      </c>
      <c r="J94" s="167">
        <f t="shared" si="19"/>
        <v>2.3625109493295922E-5</v>
      </c>
      <c r="K94" s="458"/>
      <c r="L94" s="163"/>
      <c r="M94" s="163"/>
      <c r="O94" s="324">
        <f t="shared" si="20"/>
        <v>5.9073008179339592E-3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'[25]Sch C'!D83</f>
        <v>771</v>
      </c>
      <c r="D95" s="480">
        <f>'[25]Sch C'!F83</f>
        <v>0</v>
      </c>
      <c r="E95" s="480">
        <f>+'[25]Sch C'!H83</f>
        <v>0</v>
      </c>
      <c r="F95" s="166">
        <f t="shared" si="17"/>
        <v>771</v>
      </c>
      <c r="G95" s="626">
        <v>1222</v>
      </c>
      <c r="H95" s="626"/>
      <c r="I95" s="166">
        <f t="shared" si="18"/>
        <v>1993</v>
      </c>
      <c r="J95" s="167">
        <f t="shared" si="19"/>
        <v>6.0365183615562529E-4</v>
      </c>
      <c r="K95" s="458"/>
      <c r="L95" s="163"/>
      <c r="M95" s="163"/>
      <c r="O95" s="324">
        <f t="shared" si="20"/>
        <v>0.15093910936079977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'[25]Sch C'!D84</f>
        <v>59539</v>
      </c>
      <c r="D96" s="480">
        <f>'[25]Sch C'!F84</f>
        <v>0</v>
      </c>
      <c r="E96" s="480">
        <f>+'[25]Sch C'!H84</f>
        <v>0</v>
      </c>
      <c r="F96" s="166">
        <f t="shared" si="17"/>
        <v>59539</v>
      </c>
      <c r="G96" s="626"/>
      <c r="H96" s="626"/>
      <c r="I96" s="166">
        <f t="shared" si="18"/>
        <v>59539</v>
      </c>
      <c r="J96" s="167">
        <f t="shared" si="19"/>
        <v>1.8033530693863407E-2</v>
      </c>
      <c r="K96" s="458"/>
      <c r="L96" s="163"/>
      <c r="M96" s="163"/>
      <c r="O96" s="324">
        <f t="shared" si="20"/>
        <v>4.5091638897303845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'[25]Sch C'!D85</f>
        <v>83</v>
      </c>
      <c r="D97" s="480">
        <f>'[25]Sch C'!F85</f>
        <v>0</v>
      </c>
      <c r="E97" s="480">
        <f>+'[25]Sch C'!H85</f>
        <v>0</v>
      </c>
      <c r="F97" s="166">
        <f t="shared" si="17"/>
        <v>83</v>
      </c>
      <c r="G97" s="626"/>
      <c r="H97" s="626"/>
      <c r="I97" s="166">
        <f t="shared" si="18"/>
        <v>83</v>
      </c>
      <c r="J97" s="167">
        <f t="shared" si="19"/>
        <v>2.5139539589020019E-5</v>
      </c>
      <c r="K97" s="458"/>
      <c r="L97" s="163"/>
      <c r="M97" s="163"/>
      <c r="O97" s="324">
        <f t="shared" si="20"/>
        <v>6.2859739472887E-3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134882</v>
      </c>
      <c r="D98" s="480">
        <f t="shared" si="21"/>
        <v>2380</v>
      </c>
      <c r="E98" s="480">
        <f t="shared" si="21"/>
        <v>0</v>
      </c>
      <c r="F98" s="166">
        <f t="shared" ref="F98:I98" si="22">SUM(F87:F97)</f>
        <v>137262</v>
      </c>
      <c r="G98" s="166">
        <f t="shared" si="22"/>
        <v>1222</v>
      </c>
      <c r="H98" s="166">
        <f t="shared" si="22"/>
        <v>0</v>
      </c>
      <c r="I98" s="166">
        <f t="shared" si="22"/>
        <v>138484</v>
      </c>
      <c r="J98" s="167">
        <f t="shared" si="19"/>
        <v>4.1944867475251182E-2</v>
      </c>
      <c r="K98" s="458"/>
      <c r="L98" s="163"/>
      <c r="M98" s="163"/>
      <c r="O98" s="329">
        <f>I98/I$233</f>
        <v>10.48803392911239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'[25]Sch C'!D89</f>
        <v>98020</v>
      </c>
      <c r="D101" s="480">
        <f>'[25]Sch C'!F89</f>
        <v>0</v>
      </c>
      <c r="E101" s="480">
        <f>+'[25]Sch C'!H89</f>
        <v>0</v>
      </c>
      <c r="F101" s="166">
        <f t="shared" ref="F101:F106" si="23">C101+D101+E101</f>
        <v>98020</v>
      </c>
      <c r="G101" s="626"/>
      <c r="H101" s="626"/>
      <c r="I101" s="166">
        <f t="shared" ref="I101:I106" si="24">F101+G101+H101</f>
        <v>98020</v>
      </c>
      <c r="J101" s="167">
        <f t="shared" ref="J101:J107" si="25">IF($I$213=0,0,I101/$I$213)</f>
        <v>2.9688887596575207E-2</v>
      </c>
      <c r="K101" s="458"/>
      <c r="L101" s="176">
        <v>8569</v>
      </c>
      <c r="M101" s="176">
        <v>8984</v>
      </c>
      <c r="O101" s="329">
        <f t="shared" ref="O101:O106" si="26">I101/I$233</f>
        <v>7.4235080278703425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'[25]Sch C'!D90</f>
        <v>13181</v>
      </c>
      <c r="D102" s="480">
        <f>'[25]Sch C'!F90</f>
        <v>5901</v>
      </c>
      <c r="E102" s="480">
        <f>+'[25]Sch C'!H90</f>
        <v>0</v>
      </c>
      <c r="F102" s="166">
        <f t="shared" si="23"/>
        <v>19082</v>
      </c>
      <c r="G102" s="626"/>
      <c r="H102" s="626"/>
      <c r="I102" s="166">
        <f t="shared" si="24"/>
        <v>19082</v>
      </c>
      <c r="J102" s="167">
        <f t="shared" si="25"/>
        <v>5.7796710173214456E-3</v>
      </c>
      <c r="K102" s="458"/>
      <c r="L102" s="163"/>
      <c r="M102" s="163"/>
      <c r="O102" s="329">
        <f t="shared" si="26"/>
        <v>1.4451681308694335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'[25]Sch C'!D91</f>
        <v>18061</v>
      </c>
      <c r="D103" s="480">
        <f>'[25]Sch C'!F91</f>
        <v>0</v>
      </c>
      <c r="E103" s="480">
        <f>+'[25]Sch C'!H91</f>
        <v>0</v>
      </c>
      <c r="F103" s="166">
        <f t="shared" si="23"/>
        <v>18061</v>
      </c>
      <c r="G103" s="626">
        <v>-445</v>
      </c>
      <c r="H103" s="626"/>
      <c r="I103" s="166">
        <f t="shared" si="24"/>
        <v>17616</v>
      </c>
      <c r="J103" s="167">
        <f t="shared" si="25"/>
        <v>5.3356401132551405E-3</v>
      </c>
      <c r="K103" s="458"/>
      <c r="L103" s="163"/>
      <c r="M103" s="163"/>
      <c r="O103" s="329">
        <f t="shared" si="26"/>
        <v>1.3341411693426235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'[25]Sch C'!D92</f>
        <v>83462</v>
      </c>
      <c r="D104" s="480">
        <f>'[25]Sch C'!F92</f>
        <v>0</v>
      </c>
      <c r="E104" s="480">
        <f>+'[25]Sch C'!H92</f>
        <v>0</v>
      </c>
      <c r="F104" s="166">
        <f t="shared" si="23"/>
        <v>83462</v>
      </c>
      <c r="G104" s="626"/>
      <c r="H104" s="626"/>
      <c r="I104" s="166">
        <f t="shared" si="24"/>
        <v>83462</v>
      </c>
      <c r="J104" s="167">
        <f t="shared" si="25"/>
        <v>2.5279472929864925E-2</v>
      </c>
      <c r="K104" s="458"/>
      <c r="L104" s="163"/>
      <c r="M104" s="163"/>
      <c r="O104" s="329">
        <f t="shared" si="26"/>
        <v>6.3209633444410782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'[25]Sch C'!D93</f>
        <v>6590</v>
      </c>
      <c r="D105" s="480">
        <f>'[25]Sch C'!F93</f>
        <v>0</v>
      </c>
      <c r="E105" s="480">
        <f>+'[25]Sch C'!H93</f>
        <v>0</v>
      </c>
      <c r="F105" s="166">
        <f t="shared" si="23"/>
        <v>6590</v>
      </c>
      <c r="G105" s="626"/>
      <c r="H105" s="626"/>
      <c r="I105" s="166">
        <f t="shared" si="24"/>
        <v>6590</v>
      </c>
      <c r="J105" s="167">
        <f t="shared" si="25"/>
        <v>1.9960188661643603E-3</v>
      </c>
      <c r="K105" s="458"/>
      <c r="L105" s="163"/>
      <c r="M105" s="163"/>
      <c r="O105" s="329">
        <f t="shared" si="26"/>
        <v>0.49909118448954864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'[25]Sch C'!D94</f>
        <v>0</v>
      </c>
      <c r="D106" s="480">
        <f>'[25]Sch C'!F94</f>
        <v>0</v>
      </c>
      <c r="E106" s="480">
        <f>+'[25]Sch C'!H94</f>
        <v>0</v>
      </c>
      <c r="F106" s="166">
        <f t="shared" si="23"/>
        <v>0</v>
      </c>
      <c r="G106" s="626"/>
      <c r="H106" s="62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219314</v>
      </c>
      <c r="D107" s="480">
        <f t="shared" si="27"/>
        <v>5901</v>
      </c>
      <c r="E107" s="480">
        <f t="shared" si="27"/>
        <v>0</v>
      </c>
      <c r="F107" s="166">
        <f t="shared" ref="F107:I107" si="28">SUM(F101:F106)</f>
        <v>225215</v>
      </c>
      <c r="G107" s="166">
        <f t="shared" si="28"/>
        <v>-445</v>
      </c>
      <c r="H107" s="166">
        <f t="shared" si="28"/>
        <v>0</v>
      </c>
      <c r="I107" s="166">
        <f t="shared" si="28"/>
        <v>224770</v>
      </c>
      <c r="J107" s="167">
        <f t="shared" si="25"/>
        <v>6.807969052318108E-2</v>
      </c>
      <c r="K107" s="458"/>
      <c r="L107" s="163"/>
      <c r="M107" s="163"/>
      <c r="O107" s="329">
        <f>I107/I$233</f>
        <v>17.022871857013026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'[25]Sch C'!D98</f>
        <v>156</v>
      </c>
      <c r="D110" s="480">
        <f>'[25]Sch C'!F98</f>
        <v>0</v>
      </c>
      <c r="E110" s="480">
        <f>+'[25]Sch C'!H98</f>
        <v>0</v>
      </c>
      <c r="F110" s="166">
        <f t="shared" ref="F110:F115" si="29">C110+D110+E110</f>
        <v>156</v>
      </c>
      <c r="G110" s="626"/>
      <c r="H110" s="626"/>
      <c r="I110" s="166">
        <f t="shared" ref="I110:I115" si="30">F110+G110+H110</f>
        <v>156</v>
      </c>
      <c r="J110" s="167">
        <f t="shared" ref="J110:J116" si="31">IF($I$213=0,0,I110/$I$213)</f>
        <v>4.7250218986591844E-5</v>
      </c>
      <c r="K110" s="458"/>
      <c r="L110" s="176">
        <v>13</v>
      </c>
      <c r="M110" s="176">
        <v>13</v>
      </c>
      <c r="O110" s="329">
        <f t="shared" ref="O110:O115" si="32">I110/I$233</f>
        <v>1.1814601635867918E-2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'[25]Sch C'!D99</f>
        <v>19</v>
      </c>
      <c r="D111" s="480">
        <f>'[25]Sch C'!F99</f>
        <v>9</v>
      </c>
      <c r="E111" s="480">
        <f>+'[25]Sch C'!H99</f>
        <v>0</v>
      </c>
      <c r="F111" s="166">
        <f t="shared" si="29"/>
        <v>28</v>
      </c>
      <c r="G111" s="626"/>
      <c r="H111" s="626"/>
      <c r="I111" s="166">
        <f t="shared" si="30"/>
        <v>28</v>
      </c>
      <c r="J111" s="167">
        <f t="shared" si="31"/>
        <v>8.4808085360549451E-6</v>
      </c>
      <c r="K111" s="458"/>
      <c r="L111" s="163"/>
      <c r="M111" s="163"/>
      <c r="O111" s="329">
        <f t="shared" si="32"/>
        <v>2.1205695243865495E-3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'[25]Sch C'!D100</f>
        <v>1059</v>
      </c>
      <c r="D112" s="480">
        <f>'[25]Sch C'!F100</f>
        <v>0</v>
      </c>
      <c r="E112" s="480">
        <f>+'[25]Sch C'!H100</f>
        <v>0</v>
      </c>
      <c r="F112" s="166">
        <f t="shared" si="29"/>
        <v>1059</v>
      </c>
      <c r="G112" s="626"/>
      <c r="H112" s="626"/>
      <c r="I112" s="166">
        <f t="shared" si="30"/>
        <v>1059</v>
      </c>
      <c r="J112" s="167">
        <f t="shared" si="31"/>
        <v>3.2075629427436383E-4</v>
      </c>
      <c r="K112" s="458"/>
      <c r="L112" s="163"/>
      <c r="M112" s="163"/>
      <c r="O112" s="329">
        <f t="shared" si="32"/>
        <v>8.0202968797334143E-2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'[25]Sch C'!D101</f>
        <v>0</v>
      </c>
      <c r="D113" s="480">
        <f>'[25]Sch C'!F101</f>
        <v>0</v>
      </c>
      <c r="E113" s="480">
        <f>+'[25]Sch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'[25]Sch C'!D102</f>
        <v>1302</v>
      </c>
      <c r="D114" s="480">
        <f>'[25]Sch C'!F102</f>
        <v>0</v>
      </c>
      <c r="E114" s="480">
        <f>+'[25]Sch C'!H102</f>
        <v>0</v>
      </c>
      <c r="F114" s="166">
        <f t="shared" si="29"/>
        <v>1302</v>
      </c>
      <c r="G114" s="626"/>
      <c r="H114" s="626"/>
      <c r="I114" s="166">
        <f t="shared" si="30"/>
        <v>1302</v>
      </c>
      <c r="J114" s="167">
        <f t="shared" si="31"/>
        <v>3.9435759692655497E-4</v>
      </c>
      <c r="K114" s="458"/>
      <c r="L114" s="163"/>
      <c r="M114" s="163"/>
      <c r="O114" s="329">
        <f t="shared" si="32"/>
        <v>9.8606482883974556E-2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'[25]Sch C'!D103</f>
        <v>0</v>
      </c>
      <c r="D115" s="480">
        <f>'[25]Sch C'!F103</f>
        <v>0</v>
      </c>
      <c r="E115" s="480">
        <f>+'[25]Sch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2536</v>
      </c>
      <c r="D116" s="480">
        <f t="shared" si="33"/>
        <v>9</v>
      </c>
      <c r="E116" s="480">
        <f t="shared" si="33"/>
        <v>0</v>
      </c>
      <c r="F116" s="166">
        <f t="shared" ref="F116:I116" si="34">SUM(F110:F115)</f>
        <v>2545</v>
      </c>
      <c r="G116" s="166">
        <f t="shared" si="34"/>
        <v>0</v>
      </c>
      <c r="H116" s="166">
        <f t="shared" si="34"/>
        <v>0</v>
      </c>
      <c r="I116" s="166">
        <f t="shared" si="34"/>
        <v>2545</v>
      </c>
      <c r="J116" s="167">
        <f t="shared" si="31"/>
        <v>7.7084491872356567E-4</v>
      </c>
      <c r="K116" s="458"/>
      <c r="L116" s="163"/>
      <c r="M116" s="163"/>
      <c r="O116" s="329">
        <f>I116/I$233</f>
        <v>0.19274462284156316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'[25]Sch C'!D115</f>
        <v>45629</v>
      </c>
      <c r="D119" s="480">
        <f>'[25]Sch C'!F115</f>
        <v>0</v>
      </c>
      <c r="E119" s="480">
        <f>+'[25]Sch C'!H115</f>
        <v>0</v>
      </c>
      <c r="F119" s="166">
        <f t="shared" ref="F119:F123" si="35">C119+D119+E119</f>
        <v>45629</v>
      </c>
      <c r="G119" s="626"/>
      <c r="H119" s="626"/>
      <c r="I119" s="166">
        <f t="shared" ref="I119:I123" si="36">F119+G119+H119</f>
        <v>45629</v>
      </c>
      <c r="J119" s="167">
        <f t="shared" ref="J119:J124" si="37">IF($I$213=0,0,I119/$I$213)</f>
        <v>1.3820386167558969E-2</v>
      </c>
      <c r="K119" s="458"/>
      <c r="L119" s="176">
        <v>4524</v>
      </c>
      <c r="M119" s="176">
        <v>4701</v>
      </c>
      <c r="O119" s="329">
        <f t="shared" ref="O119:O124" si="38">I119/I$233</f>
        <v>3.4556952438654953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'[25]Sch C'!D116</f>
        <v>5907</v>
      </c>
      <c r="D120" s="480">
        <f>'[25]Sch C'!F116</f>
        <v>2747</v>
      </c>
      <c r="E120" s="480">
        <f>+'[25]Sch C'!H116</f>
        <v>0</v>
      </c>
      <c r="F120" s="166">
        <f t="shared" si="35"/>
        <v>8654</v>
      </c>
      <c r="G120" s="626"/>
      <c r="H120" s="626"/>
      <c r="I120" s="166">
        <f t="shared" si="36"/>
        <v>8654</v>
      </c>
      <c r="J120" s="167">
        <f t="shared" si="37"/>
        <v>2.6211756096792679E-3</v>
      </c>
      <c r="K120" s="458"/>
      <c r="L120" s="163"/>
      <c r="M120" s="163"/>
      <c r="O120" s="329">
        <f t="shared" si="38"/>
        <v>0.65540745228718567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'[25]Sch C'!D117</f>
        <v>12108</v>
      </c>
      <c r="D121" s="480">
        <f>'[25]Sch C'!F117</f>
        <v>0</v>
      </c>
      <c r="E121" s="480">
        <f>+'[25]Sch C'!H117</f>
        <v>0</v>
      </c>
      <c r="F121" s="166">
        <f t="shared" si="35"/>
        <v>12108</v>
      </c>
      <c r="G121" s="626"/>
      <c r="H121" s="626"/>
      <c r="I121" s="166">
        <f t="shared" si="36"/>
        <v>12108</v>
      </c>
      <c r="J121" s="167">
        <f t="shared" si="37"/>
        <v>3.6673439198054744E-3</v>
      </c>
      <c r="K121" s="458"/>
      <c r="L121" s="163"/>
      <c r="M121" s="163"/>
      <c r="O121" s="329">
        <f t="shared" si="38"/>
        <v>0.91699485004544079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'[25]Sch C'!D118</f>
        <v>1740</v>
      </c>
      <c r="D122" s="480">
        <f>'[25]Sch C'!F118</f>
        <v>0</v>
      </c>
      <c r="E122" s="480">
        <f>+'[25]Sch C'!H118</f>
        <v>0</v>
      </c>
      <c r="F122" s="166">
        <f t="shared" si="35"/>
        <v>1740</v>
      </c>
      <c r="G122" s="626"/>
      <c r="H122" s="626"/>
      <c r="I122" s="166">
        <f t="shared" si="36"/>
        <v>1740</v>
      </c>
      <c r="J122" s="167">
        <f t="shared" si="37"/>
        <v>5.2702167331198594E-4</v>
      </c>
      <c r="K122" s="458"/>
      <c r="L122" s="163"/>
      <c r="M122" s="163"/>
      <c r="O122" s="329">
        <f t="shared" si="38"/>
        <v>0.13177824901544985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'[25]Sch C'!D119</f>
        <v>6</v>
      </c>
      <c r="D123" s="480">
        <f>'[25]Sch C'!F119</f>
        <v>0</v>
      </c>
      <c r="E123" s="480">
        <f>+'[25]Sch C'!H119</f>
        <v>0</v>
      </c>
      <c r="F123" s="166">
        <f t="shared" si="35"/>
        <v>6</v>
      </c>
      <c r="G123" s="626"/>
      <c r="H123" s="626"/>
      <c r="I123" s="166">
        <f t="shared" si="36"/>
        <v>6</v>
      </c>
      <c r="J123" s="167">
        <f t="shared" si="37"/>
        <v>1.8173161148689171E-6</v>
      </c>
      <c r="K123" s="458"/>
      <c r="L123" s="163"/>
      <c r="M123" s="163"/>
      <c r="O123" s="329">
        <f t="shared" si="38"/>
        <v>4.5440775522568921E-4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65390</v>
      </c>
      <c r="D124" s="480">
        <f t="shared" si="39"/>
        <v>2747</v>
      </c>
      <c r="E124" s="480">
        <f t="shared" si="39"/>
        <v>0</v>
      </c>
      <c r="F124" s="166">
        <f t="shared" ref="F124:I124" si="40">SUM(F119:F123)</f>
        <v>68137</v>
      </c>
      <c r="G124" s="166">
        <f t="shared" si="40"/>
        <v>0</v>
      </c>
      <c r="H124" s="166">
        <f t="shared" si="40"/>
        <v>0</v>
      </c>
      <c r="I124" s="166">
        <f t="shared" si="40"/>
        <v>68137</v>
      </c>
      <c r="J124" s="167">
        <f t="shared" si="37"/>
        <v>2.0637744686470567E-2</v>
      </c>
      <c r="K124" s="458"/>
      <c r="L124" s="163"/>
      <c r="M124" s="163"/>
      <c r="O124" s="329">
        <f t="shared" si="38"/>
        <v>5.1603302029687974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'[25]Sch C'!D124</f>
        <v>0</v>
      </c>
      <c r="D128" s="480">
        <f>'[25]Sch C'!F124</f>
        <v>0</v>
      </c>
      <c r="E128" s="480">
        <f>+'[25]Sch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'[25]Sch C'!D125</f>
        <v>179546</v>
      </c>
      <c r="D129" s="480">
        <f>'[25]Sch C'!F125</f>
        <v>0</v>
      </c>
      <c r="E129" s="480">
        <f>+'[25]Sch C'!H125</f>
        <v>28951</v>
      </c>
      <c r="F129" s="166">
        <f t="shared" si="41"/>
        <v>208497</v>
      </c>
      <c r="G129" s="626"/>
      <c r="H129" s="626"/>
      <c r="I129" s="166">
        <f t="shared" si="42"/>
        <v>208497</v>
      </c>
      <c r="J129" s="167">
        <f>IF($I$213=0,0,I129/$I$213)</f>
        <v>6.315082633363743E-2</v>
      </c>
      <c r="K129" s="458"/>
      <c r="L129" s="176">
        <v>8421</v>
      </c>
      <c r="M129" s="176">
        <v>8691</v>
      </c>
      <c r="O129" s="329">
        <f t="shared" si="43"/>
        <v>15.790442290215086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'[25]Sch C'!D126</f>
        <v>0</v>
      </c>
      <c r="D130" s="480">
        <f>'[25]Sch C'!F126</f>
        <v>0</v>
      </c>
      <c r="E130" s="480">
        <f>+'[25]Sch C'!H126</f>
        <v>0</v>
      </c>
      <c r="F130" s="166">
        <f t="shared" si="41"/>
        <v>0</v>
      </c>
      <c r="G130" s="626"/>
      <c r="H130" s="62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'[25]Sch C'!D127</f>
        <v>0</v>
      </c>
      <c r="D131" s="480">
        <f>'[25]Sch C'!F127</f>
        <v>0</v>
      </c>
      <c r="E131" s="480">
        <f>+'[25]Sch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'[25]Sch C'!D128</f>
        <v>22041</v>
      </c>
      <c r="D132" s="480">
        <f>'[25]Sch C'!F128</f>
        <v>0</v>
      </c>
      <c r="E132" s="480">
        <f>+'[25]Sch C'!H128</f>
        <v>0</v>
      </c>
      <c r="F132" s="166">
        <f t="shared" si="41"/>
        <v>22041</v>
      </c>
      <c r="G132" s="626"/>
      <c r="H132" s="626"/>
      <c r="I132" s="166">
        <f t="shared" si="42"/>
        <v>22041</v>
      </c>
      <c r="J132" s="167">
        <f>IF($I$213=0,0,I132/$I$213)</f>
        <v>6.6759107479709666E-3</v>
      </c>
      <c r="K132" s="458"/>
      <c r="L132" s="176">
        <v>1025</v>
      </c>
      <c r="M132" s="176">
        <v>1025</v>
      </c>
      <c r="O132" s="329">
        <f t="shared" si="43"/>
        <v>1.6692668888215692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'[25]Sch C'!D130</f>
        <v>0</v>
      </c>
      <c r="D134" s="480">
        <f>'[25]Sch C'!F130</f>
        <v>0</v>
      </c>
      <c r="E134" s="480">
        <f>+'[25]Sch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'[25]Sch C'!D131</f>
        <v>0</v>
      </c>
      <c r="D135" s="480">
        <f>'[25]Sch C'!F131</f>
        <v>10810</v>
      </c>
      <c r="E135" s="480">
        <f>+'[25]Sch C'!H131</f>
        <v>3193</v>
      </c>
      <c r="F135" s="166">
        <f t="shared" si="44"/>
        <v>14003</v>
      </c>
      <c r="G135" s="626">
        <v>29737</v>
      </c>
      <c r="H135" s="626"/>
      <c r="I135" s="166">
        <f t="shared" si="45"/>
        <v>43740</v>
      </c>
      <c r="J135" s="167">
        <f>IF($I$213=0,0,I135/$I$213)</f>
        <v>1.3248234477394405E-2</v>
      </c>
      <c r="K135" s="458"/>
      <c r="L135" s="196"/>
      <c r="M135" s="196"/>
      <c r="O135" s="329">
        <f t="shared" si="43"/>
        <v>3.3126325355952742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'[25]Sch C'!D132</f>
        <v>0</v>
      </c>
      <c r="D136" s="480">
        <f>'[25]Sch C'!F132</f>
        <v>0</v>
      </c>
      <c r="E136" s="480">
        <f>+'[25]Sch C'!H132</f>
        <v>0</v>
      </c>
      <c r="F136" s="166">
        <f t="shared" si="44"/>
        <v>0</v>
      </c>
      <c r="G136" s="626"/>
      <c r="H136" s="62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'[25]Sch C'!D133</f>
        <v>0</v>
      </c>
      <c r="D137" s="480">
        <f>'[25]Sch C'!F133</f>
        <v>0</v>
      </c>
      <c r="E137" s="480">
        <f>+'[25]Sch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'[25]Sch C'!D134</f>
        <v>0</v>
      </c>
      <c r="D138" s="480">
        <f>'[25]Sch C'!F134</f>
        <v>1327</v>
      </c>
      <c r="E138" s="480">
        <f>+'[25]Sch C'!H134</f>
        <v>0</v>
      </c>
      <c r="F138" s="166">
        <f t="shared" si="44"/>
        <v>1327</v>
      </c>
      <c r="G138" s="626">
        <v>3144</v>
      </c>
      <c r="H138" s="626"/>
      <c r="I138" s="166">
        <f t="shared" si="45"/>
        <v>4471</v>
      </c>
      <c r="J138" s="167">
        <f>IF($I$213=0,0,I138/$I$213)</f>
        <v>1.3542033915964879E-3</v>
      </c>
      <c r="K138" s="458"/>
      <c r="L138" s="163"/>
      <c r="M138" s="163"/>
      <c r="O138" s="329">
        <f t="shared" si="43"/>
        <v>0.33860951226900937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'[25]Sch C'!D136</f>
        <v>302471</v>
      </c>
      <c r="D140" s="480">
        <f>'[25]Sch C'!F136</f>
        <v>0</v>
      </c>
      <c r="E140" s="480">
        <f>+'[25]Sch C'!H136</f>
        <v>0</v>
      </c>
      <c r="F140" s="166">
        <f t="shared" ref="F140:F143" si="46">C140+D140+E140</f>
        <v>302471</v>
      </c>
      <c r="G140" s="626"/>
      <c r="H140" s="626"/>
      <c r="I140" s="166">
        <f t="shared" ref="I140:I143" si="47">F140+G140+H140</f>
        <v>302471</v>
      </c>
      <c r="J140" s="167">
        <f>IF($I$213=0,0,I140/$I$213)</f>
        <v>9.1614237096752704E-2</v>
      </c>
      <c r="K140" s="458"/>
      <c r="L140" s="176">
        <v>9913</v>
      </c>
      <c r="M140" s="176">
        <v>10439.877739320527</v>
      </c>
      <c r="O140" s="329">
        <f t="shared" si="43"/>
        <v>22.907528021811572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'[25]Sch C'!D137</f>
        <v>154142</v>
      </c>
      <c r="D141" s="480">
        <f>'[25]Sch C'!F137</f>
        <v>0</v>
      </c>
      <c r="E141" s="480">
        <f>+'[25]Sch C'!H137</f>
        <v>0</v>
      </c>
      <c r="F141" s="166">
        <f t="shared" si="46"/>
        <v>154142</v>
      </c>
      <c r="G141" s="626"/>
      <c r="H141" s="626"/>
      <c r="I141" s="166">
        <f t="shared" si="47"/>
        <v>154142</v>
      </c>
      <c r="J141" s="167">
        <f>IF($I$213=0,0,I141/$I$213)</f>
        <v>4.6687456763020767E-2</v>
      </c>
      <c r="K141" s="458"/>
      <c r="L141" s="176">
        <v>5685</v>
      </c>
      <c r="M141" s="176">
        <v>6070.424477394874</v>
      </c>
      <c r="O141" s="329">
        <f t="shared" si="43"/>
        <v>11.673886700999697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'[25]Sch C'!D138</f>
        <v>322685</v>
      </c>
      <c r="D142" s="480">
        <f>'[25]Sch C'!F138</f>
        <v>0</v>
      </c>
      <c r="E142" s="480">
        <f>+'[25]Sch C'!H138</f>
        <v>0</v>
      </c>
      <c r="F142" s="166">
        <f t="shared" si="46"/>
        <v>322685</v>
      </c>
      <c r="G142" s="626"/>
      <c r="H142" s="626"/>
      <c r="I142" s="166">
        <f t="shared" si="47"/>
        <v>322685</v>
      </c>
      <c r="J142" s="167">
        <f>IF($I$213=0,0,I142/$I$213)</f>
        <v>9.7736775087746086E-2</v>
      </c>
      <c r="K142" s="458"/>
      <c r="L142" s="176">
        <v>25757</v>
      </c>
      <c r="M142" s="176">
        <v>27181.255745219845</v>
      </c>
      <c r="O142" s="329">
        <f t="shared" si="43"/>
        <v>24.43842774916692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'[25]Sch C'!D139</f>
        <v>10820</v>
      </c>
      <c r="D143" s="480">
        <f>'[25]Sch C'!F139</f>
        <v>0</v>
      </c>
      <c r="E143" s="480">
        <f>+'[25]Sch C'!H139</f>
        <v>0</v>
      </c>
      <c r="F143" s="166">
        <f t="shared" si="46"/>
        <v>10820</v>
      </c>
      <c r="G143" s="626"/>
      <c r="H143" s="626"/>
      <c r="I143" s="166">
        <f t="shared" si="47"/>
        <v>10820</v>
      </c>
      <c r="J143" s="167">
        <f>IF($I$213=0,0,I143/$I$213)</f>
        <v>3.2772267271469471E-3</v>
      </c>
      <c r="K143" s="458"/>
      <c r="L143" s="176">
        <v>971</v>
      </c>
      <c r="M143" s="176">
        <v>971</v>
      </c>
      <c r="O143" s="329">
        <f t="shared" si="43"/>
        <v>0.81944865192365945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'[25]Sch C'!D141</f>
        <v>0</v>
      </c>
      <c r="D145" s="480">
        <f>'[25]Sch C'!F141</f>
        <v>18211</v>
      </c>
      <c r="E145" s="480">
        <f>+'[25]Sch C'!H141</f>
        <v>0</v>
      </c>
      <c r="F145" s="166">
        <f t="shared" ref="F145:F148" si="48">C145+D145+E145</f>
        <v>18211</v>
      </c>
      <c r="G145" s="626">
        <v>43140</v>
      </c>
      <c r="H145" s="626"/>
      <c r="I145" s="166">
        <f t="shared" ref="I145:I148" si="49">F145+G145+H145</f>
        <v>61351</v>
      </c>
      <c r="J145" s="167">
        <f>IF($I$213=0,0,I145/$I$213)</f>
        <v>1.8582360160553819E-2</v>
      </c>
      <c r="K145" s="458"/>
      <c r="L145" s="163"/>
      <c r="M145" s="163"/>
      <c r="O145" s="329">
        <f t="shared" si="43"/>
        <v>4.6463950318085425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'[25]Sch C'!D142</f>
        <v>0</v>
      </c>
      <c r="D146" s="480">
        <f>'[25]Sch C'!F142</f>
        <v>9280</v>
      </c>
      <c r="E146" s="480">
        <f>+'[25]Sch C'!H142</f>
        <v>0</v>
      </c>
      <c r="F146" s="166">
        <f t="shared" si="48"/>
        <v>9280</v>
      </c>
      <c r="G146" s="626">
        <v>21984</v>
      </c>
      <c r="H146" s="626"/>
      <c r="I146" s="166">
        <f t="shared" si="49"/>
        <v>31264</v>
      </c>
      <c r="J146" s="167">
        <f>IF($I$213=0,0,I146/$I$213)</f>
        <v>9.4694285025436371E-3</v>
      </c>
      <c r="K146" s="458"/>
      <c r="L146" s="163"/>
      <c r="M146" s="163"/>
      <c r="O146" s="329">
        <f t="shared" si="43"/>
        <v>2.3677673432293243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'[25]Sch C'!D143</f>
        <v>0</v>
      </c>
      <c r="D147" s="480">
        <f>'[25]Sch C'!F143</f>
        <v>19428</v>
      </c>
      <c r="E147" s="480">
        <f>+'[25]Sch C'!H143</f>
        <v>0</v>
      </c>
      <c r="F147" s="166">
        <f t="shared" si="48"/>
        <v>19428</v>
      </c>
      <c r="G147" s="626">
        <v>46022</v>
      </c>
      <c r="H147" s="626"/>
      <c r="I147" s="166">
        <f t="shared" si="49"/>
        <v>65450</v>
      </c>
      <c r="J147" s="167">
        <f>IF($I$213=0,0,I147/$I$213)</f>
        <v>1.9823889953028435E-2</v>
      </c>
      <c r="K147" s="458"/>
      <c r="L147" s="163"/>
      <c r="M147" s="163"/>
      <c r="O147" s="329">
        <f t="shared" si="43"/>
        <v>4.9568312632535596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'[25]Sch C'!D144</f>
        <v>145570</v>
      </c>
      <c r="D148" s="480">
        <f>'[25]Sch C'!F144</f>
        <v>651</v>
      </c>
      <c r="E148" s="480">
        <f>+'[25]Sch C'!H144</f>
        <v>0</v>
      </c>
      <c r="F148" s="166">
        <f t="shared" si="48"/>
        <v>146221</v>
      </c>
      <c r="G148" s="626">
        <v>-144027</v>
      </c>
      <c r="H148" s="626"/>
      <c r="I148" s="166">
        <f t="shared" si="49"/>
        <v>2194</v>
      </c>
      <c r="J148" s="167">
        <f>IF($I$213=0,0,I148/$I$213)</f>
        <v>6.6453192600373398E-4</v>
      </c>
      <c r="K148" s="458"/>
      <c r="L148" s="163"/>
      <c r="M148" s="163"/>
      <c r="O148" s="329">
        <f t="shared" si="43"/>
        <v>0.16616176916086034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'[25]Sch C'!D146</f>
        <v>33600</v>
      </c>
      <c r="D150" s="480">
        <f>'[25]Sch C'!F146</f>
        <v>0</v>
      </c>
      <c r="E150" s="480">
        <f>+'[25]Sch C'!H146</f>
        <v>0</v>
      </c>
      <c r="F150" s="166">
        <f t="shared" ref="F150:F158" si="50">C150+D150+E150</f>
        <v>33600</v>
      </c>
      <c r="G150" s="626"/>
      <c r="H150" s="626"/>
      <c r="I150" s="166">
        <f t="shared" ref="I150:I158" si="51">F150+G150+H150</f>
        <v>33600</v>
      </c>
      <c r="J150" s="167">
        <f t="shared" ref="J150:J158" si="52">IF($I$213=0,0,I150/$I$213)</f>
        <v>1.0176970243265936E-2</v>
      </c>
      <c r="K150" s="458"/>
      <c r="L150" s="176">
        <v>240</v>
      </c>
      <c r="M150" s="176">
        <v>240</v>
      </c>
      <c r="O150" s="329">
        <f t="shared" si="43"/>
        <v>2.5446834292638596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'[25]Sch C'!D147</f>
        <v>0</v>
      </c>
      <c r="D151" s="480">
        <f>'[25]Sch C'!F147</f>
        <v>0</v>
      </c>
      <c r="E151" s="480">
        <f>+'[25]Sch C'!H147</f>
        <v>0</v>
      </c>
      <c r="F151" s="166">
        <f t="shared" si="50"/>
        <v>0</v>
      </c>
      <c r="G151" s="626"/>
      <c r="H151" s="62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'[25]Sch C'!D148</f>
        <v>0</v>
      </c>
      <c r="D152" s="480">
        <f>'[25]Sch C'!F148</f>
        <v>0</v>
      </c>
      <c r="E152" s="480">
        <f>+'[25]Sch C'!H148</f>
        <v>0</v>
      </c>
      <c r="F152" s="166">
        <f t="shared" si="50"/>
        <v>0</v>
      </c>
      <c r="G152" s="626"/>
      <c r="H152" s="62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'[25]Sch C'!D149</f>
        <v>0</v>
      </c>
      <c r="D153" s="480">
        <f>'[25]Sch C'!F149</f>
        <v>0</v>
      </c>
      <c r="E153" s="480">
        <f>+'[25]Sch C'!H149</f>
        <v>0</v>
      </c>
      <c r="F153" s="166">
        <f t="shared" si="50"/>
        <v>0</v>
      </c>
      <c r="G153" s="626"/>
      <c r="H153" s="62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'[25]Sch C'!D150</f>
        <v>5324</v>
      </c>
      <c r="D154" s="480">
        <f>'[25]Sch C'!F150</f>
        <v>0</v>
      </c>
      <c r="E154" s="480">
        <f>+'[25]Sch C'!H150</f>
        <v>0</v>
      </c>
      <c r="F154" s="166">
        <f t="shared" si="50"/>
        <v>5324</v>
      </c>
      <c r="G154" s="626"/>
      <c r="H154" s="626"/>
      <c r="I154" s="166">
        <f t="shared" si="51"/>
        <v>5324</v>
      </c>
      <c r="J154" s="167">
        <f t="shared" si="52"/>
        <v>1.6125651659270189E-3</v>
      </c>
      <c r="K154" s="458"/>
      <c r="L154" s="176">
        <v>15</v>
      </c>
      <c r="M154" s="176">
        <v>15</v>
      </c>
      <c r="O154" s="329">
        <f t="shared" si="43"/>
        <v>0.40321114813692821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'[25]Sch C'!D151</f>
        <v>48264</v>
      </c>
      <c r="D155" s="480">
        <f>'[25]Sch C'!F151</f>
        <v>5317</v>
      </c>
      <c r="E155" s="480">
        <f>+'[25]Sch C'!H151</f>
        <v>0</v>
      </c>
      <c r="F155" s="166">
        <f t="shared" si="50"/>
        <v>53581</v>
      </c>
      <c r="G155" s="626"/>
      <c r="H155" s="626"/>
      <c r="I155" s="166">
        <f t="shared" si="51"/>
        <v>53581</v>
      </c>
      <c r="J155" s="167">
        <f t="shared" si="52"/>
        <v>1.6228935791798575E-2</v>
      </c>
      <c r="K155" s="458"/>
      <c r="L155" s="163"/>
      <c r="M155" s="163"/>
      <c r="O155" s="329">
        <f t="shared" si="43"/>
        <v>4.0579369887912753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'[25]Sch C'!D152</f>
        <v>418</v>
      </c>
      <c r="D156" s="480">
        <f>'[25]Sch C'!F152</f>
        <v>0</v>
      </c>
      <c r="E156" s="480">
        <f>+'[25]Sch C'!H152</f>
        <v>0</v>
      </c>
      <c r="F156" s="166">
        <f t="shared" si="50"/>
        <v>418</v>
      </c>
      <c r="G156" s="626"/>
      <c r="H156" s="626"/>
      <c r="I156" s="166">
        <f t="shared" si="51"/>
        <v>418</v>
      </c>
      <c r="J156" s="167">
        <f t="shared" si="52"/>
        <v>1.2660635600253455E-4</v>
      </c>
      <c r="K156" s="458"/>
      <c r="L156" s="163"/>
      <c r="M156" s="163"/>
      <c r="O156" s="329">
        <f t="shared" si="43"/>
        <v>3.1657073614056348E-2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'[25]Sch C'!D153</f>
        <v>0</v>
      </c>
      <c r="D157" s="480">
        <f>'[25]Sch C'!F153</f>
        <v>0</v>
      </c>
      <c r="E157" s="480">
        <f>+'[25]Sch C'!H153</f>
        <v>0</v>
      </c>
      <c r="F157" s="166">
        <f t="shared" si="50"/>
        <v>0</v>
      </c>
      <c r="G157" s="626"/>
      <c r="H157" s="62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'[25]Sch C'!D154</f>
        <v>0</v>
      </c>
      <c r="D158" s="480">
        <f>'[25]Sch C'!F154</f>
        <v>0</v>
      </c>
      <c r="E158" s="480">
        <f>+'[25]Sch C'!H154</f>
        <v>0</v>
      </c>
      <c r="F158" s="166">
        <f t="shared" si="50"/>
        <v>0</v>
      </c>
      <c r="G158" s="626"/>
      <c r="H158" s="62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'[25]Sch C'!D156</f>
        <v>0</v>
      </c>
      <c r="D160" s="480">
        <f>'[25]Sch C'!F156</f>
        <v>0</v>
      </c>
      <c r="E160" s="480">
        <f>+'[25]Sch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'[25]Sch C'!D157</f>
        <v>0</v>
      </c>
      <c r="D161" s="480">
        <f>'[25]Sch C'!F157</f>
        <v>0</v>
      </c>
      <c r="E161" s="480">
        <f>+'[25]Sch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'[25]Sch C'!D158</f>
        <v>0</v>
      </c>
      <c r="D162" s="480">
        <f>'[25]Sch C'!F158</f>
        <v>0</v>
      </c>
      <c r="E162" s="480">
        <f>+'[25]Sch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'[25]Sch C'!D159</f>
        <v>0</v>
      </c>
      <c r="D163" s="480">
        <f>'[25]Sch C'!F159</f>
        <v>0</v>
      </c>
      <c r="E163" s="480">
        <f>+'[25]Sch C'!H159</f>
        <v>0</v>
      </c>
      <c r="F163" s="166">
        <f t="shared" si="53"/>
        <v>0</v>
      </c>
      <c r="G163" s="626"/>
      <c r="H163" s="62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'[25]Sch C'!D160</f>
        <v>0</v>
      </c>
      <c r="D164" s="480">
        <f>'[25]Sch C'!F160</f>
        <v>0</v>
      </c>
      <c r="E164" s="480">
        <f>+'[25]Sch C'!H160</f>
        <v>0</v>
      </c>
      <c r="F164" s="166">
        <f t="shared" si="53"/>
        <v>0</v>
      </c>
      <c r="G164" s="626"/>
      <c r="H164" s="62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'[25]Sch C'!D161</f>
        <v>1108</v>
      </c>
      <c r="D165" s="480">
        <f>'[25]Sch C'!F161</f>
        <v>0</v>
      </c>
      <c r="E165" s="480">
        <f>+'[25]Sch C'!H161</f>
        <v>0</v>
      </c>
      <c r="F165" s="166">
        <f t="shared" si="53"/>
        <v>1108</v>
      </c>
      <c r="G165" s="626"/>
      <c r="H165" s="626"/>
      <c r="I165" s="166">
        <f t="shared" si="54"/>
        <v>1108</v>
      </c>
      <c r="J165" s="167">
        <f t="shared" si="55"/>
        <v>3.3559770921246001E-4</v>
      </c>
      <c r="K165" s="458"/>
      <c r="L165" s="163"/>
      <c r="M165" s="163"/>
      <c r="O165" s="329">
        <f t="shared" si="43"/>
        <v>8.3913965465010606E-2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1225989</v>
      </c>
      <c r="D166" s="480">
        <f t="shared" si="56"/>
        <v>65024</v>
      </c>
      <c r="E166" s="480">
        <f t="shared" si="56"/>
        <v>32144</v>
      </c>
      <c r="F166" s="166">
        <f t="shared" ref="F166:I166" si="57">SUM(F128:F165)</f>
        <v>1323157</v>
      </c>
      <c r="G166" s="166">
        <f t="shared" si="57"/>
        <v>0</v>
      </c>
      <c r="H166" s="166">
        <f t="shared" si="57"/>
        <v>0</v>
      </c>
      <c r="I166" s="166">
        <f t="shared" si="57"/>
        <v>1323157</v>
      </c>
      <c r="J166" s="167">
        <f t="shared" si="55"/>
        <v>0.40076575643360191</v>
      </c>
      <c r="K166" s="458"/>
      <c r="L166" s="163"/>
      <c r="M166" s="163"/>
      <c r="O166" s="329">
        <f>I166/I$233</f>
        <v>100.20880036352621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'[25]Sch C'!D175</f>
        <v>0</v>
      </c>
      <c r="D169" s="480">
        <f>'[25]Sch C'!F175</f>
        <v>0</v>
      </c>
      <c r="E169" s="480">
        <f>+'[25]Sch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'[25]Sch C'!D176</f>
        <v>0</v>
      </c>
      <c r="D170" s="480">
        <f>'[25]Sch C'!F176</f>
        <v>0</v>
      </c>
      <c r="E170" s="480">
        <f>+'[25]Sch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'[25]Sch C'!D177</f>
        <v>108666</v>
      </c>
      <c r="D171" s="480">
        <f>'[25]Sch C'!F177</f>
        <v>0</v>
      </c>
      <c r="E171" s="480">
        <f>+'[25]Sch C'!H177</f>
        <v>0</v>
      </c>
      <c r="F171" s="166">
        <f t="shared" si="58"/>
        <v>108666</v>
      </c>
      <c r="G171" s="626"/>
      <c r="H171" s="626"/>
      <c r="I171" s="166">
        <f t="shared" si="59"/>
        <v>108666</v>
      </c>
      <c r="J171" s="167">
        <f t="shared" si="60"/>
        <v>3.2913412156390959E-2</v>
      </c>
      <c r="K171" s="468"/>
      <c r="L171" s="176">
        <v>3196</v>
      </c>
      <c r="M171" s="176">
        <v>3359</v>
      </c>
      <c r="N171" s="208"/>
      <c r="O171" s="329">
        <f t="shared" si="61"/>
        <v>8.2297788548924569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'[25]Sch C'!D178</f>
        <v>13866</v>
      </c>
      <c r="D172" s="480">
        <f>'[25]Sch C'!F178</f>
        <v>6542</v>
      </c>
      <c r="E172" s="480">
        <f>+'[25]Sch C'!H178</f>
        <v>0</v>
      </c>
      <c r="F172" s="166">
        <f t="shared" si="58"/>
        <v>20408</v>
      </c>
      <c r="G172" s="626"/>
      <c r="H172" s="626"/>
      <c r="I172" s="166">
        <f t="shared" si="59"/>
        <v>20408</v>
      </c>
      <c r="J172" s="167">
        <f t="shared" si="60"/>
        <v>6.1812978787074762E-3</v>
      </c>
      <c r="K172" s="469"/>
      <c r="L172" s="212"/>
      <c r="M172" s="212"/>
      <c r="N172" s="208"/>
      <c r="O172" s="329">
        <f t="shared" si="61"/>
        <v>1.5455922447743109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'[25]Sch C'!D179</f>
        <v>45323</v>
      </c>
      <c r="D173" s="480">
        <f>'[25]Sch C'!F179</f>
        <v>0</v>
      </c>
      <c r="E173" s="480">
        <f>+'[25]Sch C'!H179</f>
        <v>0</v>
      </c>
      <c r="F173" s="166">
        <f t="shared" si="58"/>
        <v>45323</v>
      </c>
      <c r="G173" s="626"/>
      <c r="H173" s="626"/>
      <c r="I173" s="166">
        <f t="shared" si="59"/>
        <v>45323</v>
      </c>
      <c r="J173" s="167">
        <f t="shared" si="60"/>
        <v>1.3727703045700654E-2</v>
      </c>
      <c r="K173" s="468"/>
      <c r="L173" s="176">
        <v>995</v>
      </c>
      <c r="M173" s="176">
        <v>1024</v>
      </c>
      <c r="N173" s="208"/>
      <c r="O173" s="329">
        <f t="shared" si="61"/>
        <v>3.4325204483489853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'[25]Sch C'!D180</f>
        <v>5385</v>
      </c>
      <c r="D174" s="480">
        <f>'[25]Sch C'!F180</f>
        <v>2729</v>
      </c>
      <c r="E174" s="480">
        <f>+'[25]Sch C'!H180</f>
        <v>0</v>
      </c>
      <c r="F174" s="166">
        <f t="shared" si="58"/>
        <v>8114</v>
      </c>
      <c r="G174" s="626"/>
      <c r="H174" s="626"/>
      <c r="I174" s="166">
        <f t="shared" si="59"/>
        <v>8114</v>
      </c>
      <c r="J174" s="167">
        <f t="shared" si="60"/>
        <v>2.4576171593410656E-3</v>
      </c>
      <c r="K174" s="469"/>
      <c r="L174" s="212"/>
      <c r="M174" s="212"/>
      <c r="N174" s="208"/>
      <c r="O174" s="329">
        <f t="shared" si="61"/>
        <v>0.61451075431687363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'[25]Sch C'!D181</f>
        <v>0</v>
      </c>
      <c r="D175" s="480">
        <f>'[25]Sch C'!F181</f>
        <v>0</v>
      </c>
      <c r="E175" s="480">
        <f>+'[25]Sch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'[25]Sch C'!D182</f>
        <v>0</v>
      </c>
      <c r="D176" s="480">
        <f>'[25]Sch C'!F182</f>
        <v>0</v>
      </c>
      <c r="E176" s="480">
        <f>+'[25]Sch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'[25]Sch C'!D183</f>
        <v>105103</v>
      </c>
      <c r="D177" s="480">
        <f>'[25]Sch C'!F183</f>
        <v>0</v>
      </c>
      <c r="E177" s="480">
        <f>+'[25]Sch C'!H183</f>
        <v>0</v>
      </c>
      <c r="F177" s="166">
        <f t="shared" si="58"/>
        <v>105103</v>
      </c>
      <c r="G177" s="626"/>
      <c r="H177" s="626"/>
      <c r="I177" s="166">
        <f t="shared" si="59"/>
        <v>105103</v>
      </c>
      <c r="J177" s="167">
        <f t="shared" si="60"/>
        <v>3.1834229270177962E-2</v>
      </c>
      <c r="K177" s="468"/>
      <c r="L177" s="176">
        <v>3052</v>
      </c>
      <c r="M177" s="176">
        <v>3212</v>
      </c>
      <c r="N177" s="208"/>
      <c r="O177" s="329">
        <f t="shared" si="61"/>
        <v>7.9599363829142682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'[25]Sch C'!D184</f>
        <v>15088</v>
      </c>
      <c r="D178" s="480">
        <f>'[25]Sch C'!F184</f>
        <v>6328</v>
      </c>
      <c r="E178" s="480">
        <f>+'[25]Sch C'!H184</f>
        <v>0</v>
      </c>
      <c r="F178" s="166">
        <f t="shared" si="58"/>
        <v>21416</v>
      </c>
      <c r="G178" s="626"/>
      <c r="H178" s="626"/>
      <c r="I178" s="166">
        <f t="shared" si="59"/>
        <v>21416</v>
      </c>
      <c r="J178" s="167">
        <f t="shared" si="60"/>
        <v>6.4866069860054542E-3</v>
      </c>
      <c r="K178" s="469"/>
      <c r="L178" s="212"/>
      <c r="M178" s="212"/>
      <c r="N178" s="208"/>
      <c r="O178" s="329">
        <f t="shared" si="61"/>
        <v>1.6219327476522265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'[25]Sch C'!D185</f>
        <v>0</v>
      </c>
      <c r="D179" s="480">
        <f>'[25]Sch C'!F185</f>
        <v>0</v>
      </c>
      <c r="E179" s="480">
        <f>+'[25]Sch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'[25]Sch C'!D186</f>
        <v>0</v>
      </c>
      <c r="D180" s="480">
        <f>'[25]Sch C'!F186</f>
        <v>0</v>
      </c>
      <c r="E180" s="480">
        <f>+'[25]Sch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'[25]Sch C'!D187</f>
        <v>0</v>
      </c>
      <c r="D181" s="480">
        <f>'[25]Sch C'!F187</f>
        <v>0</v>
      </c>
      <c r="E181" s="480">
        <f>+'[25]Sch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'[25]Sch C'!D188</f>
        <v>1879</v>
      </c>
      <c r="D182" s="480">
        <f>'[25]Sch C'!F188</f>
        <v>0</v>
      </c>
      <c r="E182" s="480">
        <f>+'[25]Sch C'!H188</f>
        <v>0</v>
      </c>
      <c r="F182" s="166">
        <f t="shared" si="58"/>
        <v>1879</v>
      </c>
      <c r="G182" s="626"/>
      <c r="H182" s="626"/>
      <c r="I182" s="166">
        <f t="shared" si="59"/>
        <v>1879</v>
      </c>
      <c r="J182" s="167">
        <f t="shared" si="60"/>
        <v>5.6912282997311587E-4</v>
      </c>
      <c r="K182" s="458"/>
      <c r="L182" s="213"/>
      <c r="M182" s="208"/>
      <c r="N182" s="210"/>
      <c r="O182" s="329">
        <f t="shared" si="61"/>
        <v>0.14230536201151167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'[25]Sch C'!D189</f>
        <v>0</v>
      </c>
      <c r="D183" s="480">
        <f>'[25]Sch C'!F189</f>
        <v>0</v>
      </c>
      <c r="E183" s="480">
        <f>+'[25]Sch C'!H189</f>
        <v>0</v>
      </c>
      <c r="F183" s="166">
        <f t="shared" si="58"/>
        <v>0</v>
      </c>
      <c r="G183" s="626"/>
      <c r="H183" s="62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'[25]Sch C'!D190</f>
        <v>0</v>
      </c>
      <c r="D184" s="480">
        <f>'[25]Sch C'!F190</f>
        <v>0</v>
      </c>
      <c r="E184" s="480">
        <f>+'[25]Sch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'[25]Sch C'!D191</f>
        <v>144</v>
      </c>
      <c r="D185" s="480">
        <f>'[25]Sch C'!F191</f>
        <v>0</v>
      </c>
      <c r="E185" s="480">
        <f>+'[25]Sch C'!H191</f>
        <v>0</v>
      </c>
      <c r="F185" s="166">
        <f t="shared" si="58"/>
        <v>144</v>
      </c>
      <c r="G185" s="626"/>
      <c r="H185" s="626"/>
      <c r="I185" s="166">
        <f t="shared" si="59"/>
        <v>144</v>
      </c>
      <c r="J185" s="167">
        <f t="shared" si="60"/>
        <v>4.3615586756854009E-5</v>
      </c>
      <c r="K185" s="458"/>
      <c r="L185" s="213"/>
      <c r="M185" s="208"/>
      <c r="N185" s="210"/>
      <c r="O185" s="329">
        <f t="shared" si="61"/>
        <v>1.0905786125416541E-2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'[25]Sch C'!D192</f>
        <v>0</v>
      </c>
      <c r="D186" s="480">
        <f>'[25]Sch C'!F192</f>
        <v>0</v>
      </c>
      <c r="E186" s="480">
        <f>+'[25]Sch C'!H192</f>
        <v>0</v>
      </c>
      <c r="F186" s="166">
        <f t="shared" si="58"/>
        <v>0</v>
      </c>
      <c r="G186" s="626"/>
      <c r="H186" s="62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'[25]Sch C'!D193</f>
        <v>0</v>
      </c>
      <c r="D187" s="480">
        <f>'[25]Sch C'!F193</f>
        <v>0</v>
      </c>
      <c r="E187" s="480">
        <f>+'[25]Sch C'!H193</f>
        <v>0</v>
      </c>
      <c r="F187" s="166">
        <f t="shared" si="58"/>
        <v>0</v>
      </c>
      <c r="G187" s="626"/>
      <c r="H187" s="62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'[25]Sch C'!D194</f>
        <v>0</v>
      </c>
      <c r="D188" s="480">
        <f>'[25]Sch C'!F194</f>
        <v>0</v>
      </c>
      <c r="E188" s="480">
        <f>+'[25]Sch C'!H194</f>
        <v>0</v>
      </c>
      <c r="F188" s="166">
        <f t="shared" si="58"/>
        <v>0</v>
      </c>
      <c r="G188" s="626"/>
      <c r="H188" s="62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'[25]Sch C'!D195</f>
        <v>0</v>
      </c>
      <c r="D189" s="480">
        <f>'[25]Sch C'!F195</f>
        <v>0</v>
      </c>
      <c r="E189" s="480">
        <f>+'[25]Sch C'!H195</f>
        <v>0</v>
      </c>
      <c r="F189" s="166">
        <f t="shared" si="58"/>
        <v>0</v>
      </c>
      <c r="G189" s="626"/>
      <c r="H189" s="62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'[25]Sch C'!D196</f>
        <v>0</v>
      </c>
      <c r="D190" s="480">
        <f>'[25]Sch C'!F196</f>
        <v>0</v>
      </c>
      <c r="E190" s="480">
        <f>+'[25]Sch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'[25]Sch C'!D197</f>
        <v>0</v>
      </c>
      <c r="D191" s="480">
        <f>'[25]Sch C'!F197</f>
        <v>0</v>
      </c>
      <c r="E191" s="480">
        <f>+'[25]Sch C'!H197</f>
        <v>0</v>
      </c>
      <c r="F191" s="166">
        <f t="shared" si="58"/>
        <v>0</v>
      </c>
      <c r="G191" s="626"/>
      <c r="H191" s="62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'[25]Sch C'!D198</f>
        <v>27470</v>
      </c>
      <c r="D192" s="480">
        <f>'[25]Sch C'!F198</f>
        <v>0</v>
      </c>
      <c r="E192" s="480">
        <f>+'[25]Sch C'!H198</f>
        <v>-1458</v>
      </c>
      <c r="F192" s="166">
        <f t="shared" si="58"/>
        <v>26012</v>
      </c>
      <c r="G192" s="626"/>
      <c r="H192" s="626"/>
      <c r="I192" s="166">
        <f t="shared" si="59"/>
        <v>26012</v>
      </c>
      <c r="J192" s="167">
        <f t="shared" si="60"/>
        <v>7.8786711299950445E-3</v>
      </c>
      <c r="K192" s="458"/>
      <c r="L192" s="213"/>
      <c r="M192" s="208"/>
      <c r="O192" s="329">
        <f t="shared" si="61"/>
        <v>1.9700090881551044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'[25]Sch C'!D199</f>
        <v>0</v>
      </c>
      <c r="D193" s="480">
        <f>'[25]Sch C'!F199</f>
        <v>0</v>
      </c>
      <c r="E193" s="480">
        <f>+'[25]Sch C'!H199</f>
        <v>0</v>
      </c>
      <c r="F193" s="166">
        <f t="shared" si="58"/>
        <v>0</v>
      </c>
      <c r="G193" s="626"/>
      <c r="H193" s="62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'[25]Sch C'!D200</f>
        <v>0</v>
      </c>
      <c r="D194" s="480">
        <f>'[25]Sch C'!F200</f>
        <v>0</v>
      </c>
      <c r="E194" s="480">
        <f>+'[25]Sch C'!H200</f>
        <v>0</v>
      </c>
      <c r="F194" s="166">
        <f t="shared" si="58"/>
        <v>0</v>
      </c>
      <c r="G194" s="626"/>
      <c r="H194" s="62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'[25]Sch C'!D201</f>
        <v>0</v>
      </c>
      <c r="D195" s="480">
        <f>'[25]Sch C'!F201</f>
        <v>0</v>
      </c>
      <c r="E195" s="480">
        <f>+'[25]Sch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'[25]Sch C'!D202</f>
        <v>0</v>
      </c>
      <c r="D196" s="480">
        <f>'[25]Sch C'!F202</f>
        <v>0</v>
      </c>
      <c r="E196" s="480">
        <f>+'[25]Sch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'[25]Sch C'!D203</f>
        <v>0</v>
      </c>
      <c r="D197" s="480">
        <f>'[25]Sch C'!F203</f>
        <v>0</v>
      </c>
      <c r="E197" s="480">
        <f>+'[25]Sch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'[25]Sch C'!D204</f>
        <v>0</v>
      </c>
      <c r="D198" s="480">
        <f>'[25]Sch C'!F204</f>
        <v>0</v>
      </c>
      <c r="E198" s="480">
        <f>+'[25]Sch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'[25]Sch C'!D205</f>
        <v>87453</v>
      </c>
      <c r="D199" s="480">
        <f>'[25]Sch C'!F205</f>
        <v>0</v>
      </c>
      <c r="E199" s="480">
        <f>+'[25]Sch C'!H205</f>
        <v>0</v>
      </c>
      <c r="F199" s="166">
        <f t="shared" si="58"/>
        <v>87453</v>
      </c>
      <c r="G199" s="626"/>
      <c r="H199" s="626"/>
      <c r="I199" s="166">
        <f t="shared" si="59"/>
        <v>87453</v>
      </c>
      <c r="J199" s="167">
        <f t="shared" si="60"/>
        <v>2.6488291032271901E-2</v>
      </c>
      <c r="K199" s="458"/>
      <c r="L199" s="213"/>
      <c r="M199" s="208"/>
      <c r="O199" s="329">
        <f t="shared" si="61"/>
        <v>6.6232202362920329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'[25]Sch C'!D206</f>
        <v>2680</v>
      </c>
      <c r="D200" s="480">
        <f>'[25]Sch C'!F206</f>
        <v>0</v>
      </c>
      <c r="E200" s="480">
        <f>+'[25]Sch C'!H206</f>
        <v>0</v>
      </c>
      <c r="F200" s="166">
        <f t="shared" si="58"/>
        <v>2680</v>
      </c>
      <c r="G200" s="626"/>
      <c r="H200" s="626"/>
      <c r="I200" s="166">
        <f t="shared" si="59"/>
        <v>2680</v>
      </c>
      <c r="J200" s="167">
        <f t="shared" si="60"/>
        <v>8.1173453130811625E-4</v>
      </c>
      <c r="K200" s="458"/>
      <c r="L200" s="213"/>
      <c r="M200" s="208"/>
      <c r="O200" s="329">
        <f t="shared" si="61"/>
        <v>0.20296879733414117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'[25]Sch C'!D207</f>
        <v>32640</v>
      </c>
      <c r="D201" s="480">
        <f>'[25]Sch C'!F207</f>
        <v>0</v>
      </c>
      <c r="E201" s="480">
        <f>+'[25]Sch C'!H207</f>
        <v>0</v>
      </c>
      <c r="F201" s="166">
        <f t="shared" si="58"/>
        <v>32640</v>
      </c>
      <c r="G201" s="626"/>
      <c r="H201" s="626"/>
      <c r="I201" s="166">
        <f t="shared" si="59"/>
        <v>32640</v>
      </c>
      <c r="J201" s="167">
        <f t="shared" si="60"/>
        <v>9.8861996648869077E-3</v>
      </c>
      <c r="K201" s="458"/>
      <c r="L201" s="213"/>
      <c r="M201" s="208"/>
      <c r="O201" s="329">
        <f t="shared" si="61"/>
        <v>2.471978188427749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445697</v>
      </c>
      <c r="D202" s="480">
        <f t="shared" si="62"/>
        <v>15599</v>
      </c>
      <c r="E202" s="480">
        <f t="shared" si="62"/>
        <v>-1458</v>
      </c>
      <c r="F202" s="166">
        <f t="shared" ref="F202:I202" si="63">SUM(F169:F201)</f>
        <v>459838</v>
      </c>
      <c r="G202" s="166">
        <f t="shared" si="63"/>
        <v>0</v>
      </c>
      <c r="H202" s="166">
        <f t="shared" si="63"/>
        <v>0</v>
      </c>
      <c r="I202" s="166">
        <f t="shared" si="63"/>
        <v>459838</v>
      </c>
      <c r="J202" s="167">
        <f>IF($I$213=0,0,I202/$I$213)</f>
        <v>0.1392785012715155</v>
      </c>
      <c r="K202" s="458"/>
      <c r="L202" s="163"/>
      <c r="M202" s="163"/>
      <c r="O202" s="329">
        <f>I202/I$233</f>
        <v>34.825658891245077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'[25]Sch C'!D211</f>
        <v>61462</v>
      </c>
      <c r="D205" s="480">
        <f>'[25]Sch C'!F211</f>
        <v>0</v>
      </c>
      <c r="E205" s="480">
        <f>+'[25]Sch C'!H211</f>
        <v>0</v>
      </c>
      <c r="F205" s="166">
        <f t="shared" ref="F205:F210" si="64">C205+D205+E205</f>
        <v>61462</v>
      </c>
      <c r="G205" s="626"/>
      <c r="H205" s="626"/>
      <c r="I205" s="166">
        <f t="shared" ref="I205:I210" si="65">F205+G205+H205</f>
        <v>61462</v>
      </c>
      <c r="J205" s="167">
        <f t="shared" ref="J205:J211" si="66">IF($I$213=0,0,I205/$I$213)</f>
        <v>1.8615980508678895E-2</v>
      </c>
      <c r="K205" s="458"/>
      <c r="L205" s="176">
        <v>3614</v>
      </c>
      <c r="M205" s="176">
        <v>3754</v>
      </c>
      <c r="O205" s="329">
        <f t="shared" ref="O205:O210" si="67">I205/I$233</f>
        <v>4.6548015752802181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'[25]Sch C'!D212</f>
        <v>8663</v>
      </c>
      <c r="D206" s="480">
        <f>'[25]Sch C'!F212</f>
        <v>3700</v>
      </c>
      <c r="E206" s="480">
        <f>+'[25]Sch C'!H212</f>
        <v>0</v>
      </c>
      <c r="F206" s="166">
        <f t="shared" si="64"/>
        <v>12363</v>
      </c>
      <c r="G206" s="626"/>
      <c r="H206" s="626"/>
      <c r="I206" s="166">
        <f t="shared" si="65"/>
        <v>12363</v>
      </c>
      <c r="J206" s="167">
        <f t="shared" si="66"/>
        <v>3.7445798546874034E-3</v>
      </c>
      <c r="K206" s="458"/>
      <c r="L206" s="163"/>
      <c r="M206" s="163"/>
      <c r="O206" s="329">
        <f t="shared" si="67"/>
        <v>0.93630717964253252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'[25]Sch C'!D213</f>
        <v>2184</v>
      </c>
      <c r="D207" s="480">
        <f>'[25]Sch C'!F213</f>
        <v>0</v>
      </c>
      <c r="E207" s="480">
        <f>+'[25]Sch C'!H213</f>
        <v>0</v>
      </c>
      <c r="F207" s="166">
        <f t="shared" si="64"/>
        <v>2184</v>
      </c>
      <c r="G207" s="626"/>
      <c r="H207" s="626"/>
      <c r="I207" s="166">
        <f t="shared" si="65"/>
        <v>2184</v>
      </c>
      <c r="J207" s="167">
        <f t="shared" si="66"/>
        <v>6.6150306581228577E-4</v>
      </c>
      <c r="K207" s="458"/>
      <c r="L207" s="163"/>
      <c r="M207" s="163"/>
      <c r="O207" s="329">
        <f t="shared" si="67"/>
        <v>0.16540442290215088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'[25]Sch C'!D214</f>
        <v>0</v>
      </c>
      <c r="D208" s="480">
        <f>'[25]Sch C'!F214</f>
        <v>0</v>
      </c>
      <c r="E208" s="480">
        <f>+'[25]Sch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'[25]Sch C'!D215</f>
        <v>0</v>
      </c>
      <c r="D209" s="480">
        <f>'[25]Sch C'!F215</f>
        <v>0</v>
      </c>
      <c r="E209" s="480">
        <f>+'[25]Sch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'[25]Sch C'!D216</f>
        <v>12473</v>
      </c>
      <c r="D210" s="480">
        <f>'[25]Sch C'!F216</f>
        <v>0</v>
      </c>
      <c r="E210" s="480">
        <f>+'[25]Sch C'!H216</f>
        <v>-217</v>
      </c>
      <c r="F210" s="166">
        <f t="shared" si="64"/>
        <v>12256</v>
      </c>
      <c r="G210" s="626">
        <f>-1222-7949</f>
        <v>-9171</v>
      </c>
      <c r="H210" s="626"/>
      <c r="I210" s="166">
        <f t="shared" si="65"/>
        <v>3085</v>
      </c>
      <c r="J210" s="167">
        <f t="shared" si="66"/>
        <v>9.3440336906176812E-4</v>
      </c>
      <c r="K210" s="458"/>
      <c r="L210" s="163"/>
      <c r="M210" s="163"/>
      <c r="O210" s="329">
        <f t="shared" si="67"/>
        <v>0.23364132081187519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84782</v>
      </c>
      <c r="D211" s="480">
        <f t="shared" si="68"/>
        <v>3700</v>
      </c>
      <c r="E211" s="480">
        <f t="shared" si="68"/>
        <v>-217</v>
      </c>
      <c r="F211" s="166">
        <f t="shared" ref="F211:I211" si="69">SUM(F205:F210)</f>
        <v>88265</v>
      </c>
      <c r="G211" s="166">
        <f t="shared" si="69"/>
        <v>-9171</v>
      </c>
      <c r="H211" s="166">
        <f t="shared" si="69"/>
        <v>0</v>
      </c>
      <c r="I211" s="166">
        <f t="shared" si="69"/>
        <v>79094</v>
      </c>
      <c r="J211" s="167">
        <f t="shared" si="66"/>
        <v>2.3956466798240355E-2</v>
      </c>
      <c r="K211" s="458"/>
      <c r="L211" s="163"/>
      <c r="M211" s="163"/>
      <c r="O211" s="329">
        <f>I211/I$233</f>
        <v>5.9901544986367767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3570474</v>
      </c>
      <c r="D213" s="480">
        <f t="shared" si="70"/>
        <v>-177823</v>
      </c>
      <c r="E213" s="480">
        <f t="shared" si="70"/>
        <v>-72334</v>
      </c>
      <c r="F213" s="166">
        <f t="shared" ref="F213:I213" si="71">SUM(F30:F211)/2</f>
        <v>3320317</v>
      </c>
      <c r="G213" s="166">
        <f t="shared" si="71"/>
        <v>12924</v>
      </c>
      <c r="H213" s="166">
        <f t="shared" si="71"/>
        <v>-31669</v>
      </c>
      <c r="I213" s="166">
        <f t="shared" si="71"/>
        <v>3301572</v>
      </c>
      <c r="J213" s="167">
        <f>IF($I$213=0,0,I213/$I$213)</f>
        <v>1</v>
      </c>
      <c r="K213" s="458"/>
      <c r="L213" s="176">
        <f>SUM(L30:L205)</f>
        <v>83649</v>
      </c>
      <c r="M213" s="176">
        <f>SUM(M30:M205)</f>
        <v>87706.557961935236</v>
      </c>
      <c r="O213" s="329">
        <f>I213/I$233</f>
        <v>250.04332020599819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'[25]Sch C'!D221</f>
        <v>3570474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122784</v>
      </c>
      <c r="D220" s="480">
        <f t="shared" si="72"/>
        <v>701891.26919072727</v>
      </c>
      <c r="E220" s="480">
        <f t="shared" si="72"/>
        <v>72334</v>
      </c>
      <c r="F220" s="166">
        <f t="shared" ref="F220:I220" si="73">F26-F213</f>
        <v>897009.2691907268</v>
      </c>
      <c r="G220" s="166">
        <f t="shared" si="73"/>
        <v>276924</v>
      </c>
      <c r="H220" s="166">
        <f t="shared" si="73"/>
        <v>31669</v>
      </c>
      <c r="I220" s="166">
        <f t="shared" si="73"/>
        <v>1205602.2691907268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'[25]Sch D'!C9</f>
        <v>8043</v>
      </c>
      <c r="D224" s="480"/>
      <c r="E224" s="480"/>
      <c r="F224" s="224">
        <f>C224+D224+E224</f>
        <v>8043</v>
      </c>
      <c r="G224" s="627"/>
      <c r="H224" s="223"/>
      <c r="I224" s="224">
        <f>F224+G224+H224</f>
        <v>8043</v>
      </c>
      <c r="J224" s="167">
        <f t="shared" ref="J224:J233" si="74">IF($I$233=0,0,I224/$I$233)</f>
        <v>0.60913359588003635</v>
      </c>
      <c r="K224" s="458"/>
      <c r="L224" s="163"/>
      <c r="M224" s="163"/>
    </row>
    <row r="225" spans="1:13">
      <c r="A225" s="158"/>
      <c r="B225" s="165" t="s">
        <v>201</v>
      </c>
      <c r="C225" s="504">
        <f>'[25]Sch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'[25]Sch D'!E9</f>
        <v>1577</v>
      </c>
      <c r="D226" s="480"/>
      <c r="E226" s="480"/>
      <c r="F226" s="224">
        <f t="shared" si="75"/>
        <v>1577</v>
      </c>
      <c r="G226" s="627"/>
      <c r="H226" s="223"/>
      <c r="I226" s="224">
        <f t="shared" si="76"/>
        <v>1577</v>
      </c>
      <c r="J226" s="167">
        <f t="shared" si="74"/>
        <v>0.1194335049984853</v>
      </c>
      <c r="K226" s="458"/>
      <c r="L226" s="163"/>
      <c r="M226" s="163"/>
    </row>
    <row r="227" spans="1:13">
      <c r="A227" s="158"/>
      <c r="B227" s="194" t="s">
        <v>315</v>
      </c>
      <c r="C227" s="504">
        <f>'[25]Sch D'!F9</f>
        <v>1383</v>
      </c>
      <c r="D227" s="480"/>
      <c r="E227" s="480"/>
      <c r="F227" s="224">
        <f t="shared" si="75"/>
        <v>1383</v>
      </c>
      <c r="G227" s="627"/>
      <c r="H227" s="223"/>
      <c r="I227" s="224">
        <f t="shared" si="76"/>
        <v>1383</v>
      </c>
      <c r="J227" s="167">
        <f t="shared" si="74"/>
        <v>0.10474098757952136</v>
      </c>
      <c r="K227" s="458"/>
      <c r="L227" s="163"/>
      <c r="M227" s="163"/>
    </row>
    <row r="228" spans="1:13">
      <c r="A228" s="158"/>
      <c r="B228" s="165" t="s">
        <v>65</v>
      </c>
      <c r="C228" s="504">
        <f>'[25]Sch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'[25]Sch D'!H9</f>
        <v>767</v>
      </c>
      <c r="D229" s="480"/>
      <c r="E229" s="480"/>
      <c r="F229" s="224">
        <f t="shared" si="75"/>
        <v>767</v>
      </c>
      <c r="G229" s="627"/>
      <c r="H229" s="223"/>
      <c r="I229" s="224">
        <f t="shared" si="76"/>
        <v>767</v>
      </c>
      <c r="J229" s="167">
        <f t="shared" si="74"/>
        <v>5.8088458043017266E-2</v>
      </c>
      <c r="K229" s="458"/>
      <c r="L229" s="163"/>
      <c r="M229" s="163"/>
    </row>
    <row r="230" spans="1:13">
      <c r="A230" s="158"/>
      <c r="B230" s="165" t="s">
        <v>219</v>
      </c>
      <c r="C230" s="504">
        <f>'[25]Sch D'!I9</f>
        <v>1360</v>
      </c>
      <c r="D230" s="480"/>
      <c r="E230" s="480"/>
      <c r="F230" s="224">
        <f t="shared" si="75"/>
        <v>1360</v>
      </c>
      <c r="G230" s="627"/>
      <c r="H230" s="223"/>
      <c r="I230" s="224">
        <f t="shared" si="76"/>
        <v>1360</v>
      </c>
      <c r="J230" s="167">
        <f t="shared" si="74"/>
        <v>0.10299909118448955</v>
      </c>
      <c r="K230" s="458"/>
      <c r="L230" s="163"/>
      <c r="M230" s="163"/>
    </row>
    <row r="231" spans="1:13">
      <c r="A231" s="158"/>
      <c r="B231" s="165" t="s">
        <v>218</v>
      </c>
      <c r="C231" s="504">
        <f>'[25]Sch D'!J9</f>
        <v>74</v>
      </c>
      <c r="D231" s="480"/>
      <c r="E231" s="480"/>
      <c r="F231" s="224">
        <f t="shared" si="75"/>
        <v>74</v>
      </c>
      <c r="G231" s="627"/>
      <c r="H231" s="223"/>
      <c r="I231" s="224">
        <f t="shared" si="76"/>
        <v>74</v>
      </c>
      <c r="J231" s="167">
        <f>IF($I$233=0,0,I231/$I$233)</f>
        <v>5.6043623144501663E-3</v>
      </c>
      <c r="K231" s="458"/>
      <c r="L231" s="163"/>
      <c r="M231" s="163"/>
    </row>
    <row r="232" spans="1:13">
      <c r="A232" s="158"/>
      <c r="B232" s="165" t="s">
        <v>170</v>
      </c>
      <c r="C232" s="504">
        <f>'[25]Sch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13204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13204</v>
      </c>
      <c r="G233" s="226">
        <f t="shared" si="78"/>
        <v>0</v>
      </c>
      <c r="H233" s="226">
        <f t="shared" si="78"/>
        <v>0</v>
      </c>
      <c r="I233" s="226">
        <f t="shared" si="78"/>
        <v>13204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'[25]Sch D'!N22</f>
        <v>63</v>
      </c>
      <c r="D236" s="480"/>
      <c r="E236" s="480"/>
      <c r="F236" s="224">
        <f>C236+E236</f>
        <v>63</v>
      </c>
      <c r="G236" s="627"/>
      <c r="H236" s="224"/>
      <c r="I236" s="224">
        <f>F236+G236+H236</f>
        <v>63</v>
      </c>
      <c r="J236" s="162"/>
      <c r="K236" s="460"/>
      <c r="L236" s="163"/>
      <c r="M236" s="163"/>
    </row>
    <row r="237" spans="1:13">
      <c r="A237" s="323" t="s">
        <v>342</v>
      </c>
      <c r="B237" s="194" t="s">
        <v>271</v>
      </c>
      <c r="C237" s="504">
        <f>'[25]Sch D'!N24</f>
        <v>63</v>
      </c>
      <c r="D237" s="480"/>
      <c r="E237" s="480"/>
      <c r="F237" s="224">
        <f>C237+E237</f>
        <v>63</v>
      </c>
      <c r="G237" s="627"/>
      <c r="H237" s="224"/>
      <c r="I237" s="224">
        <f>F237+G237+H237</f>
        <v>63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'[25]Sch D'!N28</f>
        <v>22995</v>
      </c>
      <c r="D240" s="427"/>
      <c r="E240" s="427"/>
      <c r="F240" s="223">
        <f>F236*F238</f>
        <v>22995</v>
      </c>
      <c r="G240"/>
      <c r="H240" s="228"/>
      <c r="I240" s="223">
        <f>I236*I238</f>
        <v>22995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'[25]Sch D'!N30</f>
        <v>0.57421178517068927</v>
      </c>
      <c r="D241" s="228"/>
      <c r="E241" s="228"/>
      <c r="F241" s="232">
        <f>F233/F240</f>
        <v>0.57421178517068927</v>
      </c>
      <c r="G241"/>
      <c r="H241" s="233"/>
      <c r="I241" s="232">
        <f>I233/I240</f>
        <v>0.57421178517068927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'[25]Sch D'!N32</f>
        <v>0.34977168949771692</v>
      </c>
      <c r="D242" s="228"/>
      <c r="E242" s="228"/>
      <c r="F242" s="232">
        <f>(F224+F225)/F240</f>
        <v>0.34977168949771692</v>
      </c>
      <c r="G242"/>
      <c r="H242" s="233"/>
      <c r="I242" s="232">
        <f>(I224+I225)/I240</f>
        <v>0.34977168949771692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'[25]Sch D'!N34</f>
        <v>0.60913359588003646</v>
      </c>
      <c r="D243" s="228"/>
      <c r="E243" s="228"/>
      <c r="F243" s="232">
        <f>(F242/F241)</f>
        <v>0.60913359588003646</v>
      </c>
      <c r="G243"/>
      <c r="H243" s="233"/>
      <c r="I243" s="232">
        <f>(I242/I241)</f>
        <v>0.60913359588003646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'[25]Sch B'!C90</f>
        <v>82.066964285714292</v>
      </c>
      <c r="K246" s="460"/>
    </row>
    <row r="247" spans="1:13">
      <c r="H247" s="140" t="s">
        <v>322</v>
      </c>
      <c r="I247" s="480">
        <f>'[25]Sch B'!E90</f>
        <v>250.97413793103448</v>
      </c>
      <c r="K247" s="460"/>
    </row>
    <row r="248" spans="1:13">
      <c r="H248" s="140" t="s">
        <v>323</v>
      </c>
      <c r="I248" s="480">
        <f>'[25]Sch B'!G90</f>
        <v>252.71929824561403</v>
      </c>
      <c r="K248" s="460"/>
    </row>
    <row r="249" spans="1:13">
      <c r="H249" s="140" t="s">
        <v>324</v>
      </c>
      <c r="I249" s="480">
        <f>'[25]Sch B'!I90</f>
        <v>246.7220447284345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rgb="FFE28CAB"/>
  </sheetPr>
  <dimension ref="A1:Q277"/>
  <sheetViews>
    <sheetView showGridLines="0" topLeftCell="C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346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'[26]Sch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'[26]Sch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'[26]Sch B'!E10</f>
        <v>2044004</v>
      </c>
      <c r="D12" s="480">
        <f>'[26]Sch B'!G10</f>
        <v>0</v>
      </c>
      <c r="E12" s="480"/>
      <c r="F12" s="166">
        <f>C12+D12+E12</f>
        <v>2044004</v>
      </c>
      <c r="G12" s="626">
        <f>-181*203</f>
        <v>-36743</v>
      </c>
      <c r="H12" s="166"/>
      <c r="I12" s="166">
        <f>F12+G12+H12</f>
        <v>2007261</v>
      </c>
      <c r="J12" s="167">
        <f>IF($I$26=0,0,I12/$I$26)</f>
        <v>0.46380546456774424</v>
      </c>
      <c r="K12" s="162" t="s">
        <v>632</v>
      </c>
      <c r="L12" s="163"/>
      <c r="M12" s="163"/>
    </row>
    <row r="13" spans="1:16" s="162" customFormat="1">
      <c r="A13" s="158"/>
      <c r="B13" s="160" t="s">
        <v>513</v>
      </c>
      <c r="C13" s="480">
        <f>'[26]Sch B'!E12</f>
        <v>0</v>
      </c>
      <c r="D13" s="480">
        <f>'[26]Sch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'[26]Sch B'!E13</f>
        <v>93840</v>
      </c>
      <c r="D14" s="480">
        <f>'[26]Sch B'!G13</f>
        <v>0</v>
      </c>
      <c r="E14" s="480"/>
      <c r="F14" s="166">
        <f t="shared" si="0"/>
        <v>93840</v>
      </c>
      <c r="G14" s="626"/>
      <c r="H14" s="166"/>
      <c r="I14" s="166">
        <f t="shared" si="1"/>
        <v>93840</v>
      </c>
      <c r="J14" s="167">
        <f>IF($I$26=0,0,I14/$I$26)</f>
        <v>2.1683032149300525E-2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'[26]Sch B'!E14</f>
        <v>0</v>
      </c>
      <c r="D15" s="480">
        <f>'[26]Sch B'!G14</f>
        <v>0</v>
      </c>
      <c r="E15" s="480"/>
      <c r="F15" s="166">
        <f t="shared" si="0"/>
        <v>0</v>
      </c>
      <c r="G15" s="626">
        <v>72669.33</v>
      </c>
      <c r="H15" s="166"/>
      <c r="I15" s="166">
        <f t="shared" si="1"/>
        <v>72669.33</v>
      </c>
      <c r="J15" s="167">
        <f>IF($I$26=0,0,I15/$I$26)</f>
        <v>1.6791255527047411E-2</v>
      </c>
      <c r="K15" s="162" t="s">
        <v>648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'[26]Sch B'!E15</f>
        <v>2137844</v>
      </c>
      <c r="D16" s="480">
        <f>'[26]Sch B'!G15</f>
        <v>0</v>
      </c>
      <c r="E16" s="480"/>
      <c r="F16" s="166">
        <f t="shared" si="0"/>
        <v>2137844</v>
      </c>
      <c r="G16" s="626"/>
      <c r="H16" s="166"/>
      <c r="I16" s="166">
        <f>SUM(I12:I15)</f>
        <v>2173770.33</v>
      </c>
      <c r="J16" s="167">
        <f t="shared" ref="J16:J26" si="2">IF($I$26=0,0,I16/$I$26)</f>
        <v>0.50227975224409216</v>
      </c>
      <c r="K16" s="458"/>
      <c r="L16" s="333" t="s">
        <v>325</v>
      </c>
      <c r="M16" s="334">
        <f>I26</f>
        <v>4327808</v>
      </c>
      <c r="O16" s="324">
        <f>IFERROR(I16/I224,0)</f>
        <v>183.13145155855096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'[26]Sch B'!E20</f>
        <v>0</v>
      </c>
      <c r="D17" s="480">
        <f>'[26]Sch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5412106.9699999997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'[26]Sch B'!E26</f>
        <v>694738</v>
      </c>
      <c r="D18" s="480">
        <f>'[26]Sch B'!G26</f>
        <v>0</v>
      </c>
      <c r="E18" s="480"/>
      <c r="F18" s="166">
        <f t="shared" si="0"/>
        <v>694738</v>
      </c>
      <c r="G18" s="626"/>
      <c r="H18" s="166"/>
      <c r="I18" s="166">
        <f t="shared" si="1"/>
        <v>694738</v>
      </c>
      <c r="J18" s="167">
        <f t="shared" si="2"/>
        <v>0.16052884046612048</v>
      </c>
      <c r="K18" s="458"/>
      <c r="L18" s="335" t="s">
        <v>327</v>
      </c>
      <c r="M18" s="336">
        <f>I233</f>
        <v>20026</v>
      </c>
      <c r="O18" s="324">
        <f t="shared" si="3"/>
        <v>559.82111200644647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'[26]Sch B'!E32</f>
        <v>110431</v>
      </c>
      <c r="D19" s="480">
        <f>'[26]Sch B'!G32</f>
        <v>0</v>
      </c>
      <c r="E19" s="480"/>
      <c r="F19" s="166">
        <f t="shared" si="0"/>
        <v>110431</v>
      </c>
      <c r="G19" s="626"/>
      <c r="H19" s="166"/>
      <c r="I19" s="166">
        <f t="shared" si="1"/>
        <v>110431</v>
      </c>
      <c r="J19" s="170">
        <f t="shared" si="2"/>
        <v>2.5516612566916091E-2</v>
      </c>
      <c r="K19" s="464"/>
      <c r="L19" s="335" t="s">
        <v>328</v>
      </c>
      <c r="M19" s="336">
        <f>I236</f>
        <v>106</v>
      </c>
      <c r="O19" s="324">
        <f t="shared" si="3"/>
        <v>482.23144104803492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'[26]Sch B'!E37</f>
        <v>457371</v>
      </c>
      <c r="D20" s="480">
        <f>'[26]Sch B'!G37</f>
        <v>0</v>
      </c>
      <c r="E20" s="480"/>
      <c r="F20" s="166">
        <f t="shared" si="0"/>
        <v>457371</v>
      </c>
      <c r="G20" s="626"/>
      <c r="H20" s="166"/>
      <c r="I20" s="166">
        <f t="shared" si="1"/>
        <v>457371</v>
      </c>
      <c r="J20" s="167">
        <f t="shared" si="2"/>
        <v>0.10568190640619916</v>
      </c>
      <c r="K20" s="458"/>
      <c r="L20" s="335" t="s">
        <v>329</v>
      </c>
      <c r="M20" s="336">
        <f>I240</f>
        <v>38690</v>
      </c>
      <c r="O20" s="324">
        <f t="shared" si="3"/>
        <v>237.96618106139439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'[26]Sch B'!E42</f>
        <v>348241</v>
      </c>
      <c r="D21" s="480">
        <f>'[26]Sch B'!G42</f>
        <v>0</v>
      </c>
      <c r="E21" s="480"/>
      <c r="F21" s="166">
        <f t="shared" si="0"/>
        <v>348241</v>
      </c>
      <c r="G21" s="626"/>
      <c r="H21" s="166"/>
      <c r="I21" s="166">
        <f t="shared" si="1"/>
        <v>348241</v>
      </c>
      <c r="J21" s="167">
        <f t="shared" si="2"/>
        <v>8.0465907914584009E-2</v>
      </c>
      <c r="K21" s="458"/>
      <c r="L21" s="337"/>
      <c r="M21" s="336"/>
      <c r="O21" s="324">
        <f t="shared" si="3"/>
        <v>248.38873038516405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'[26]Sch B'!E47</f>
        <v>449333</v>
      </c>
      <c r="D22" s="480">
        <f>'[26]Sch B'!G47</f>
        <v>0</v>
      </c>
      <c r="E22" s="480"/>
      <c r="F22" s="166">
        <f t="shared" si="0"/>
        <v>449333</v>
      </c>
      <c r="G22" s="626"/>
      <c r="H22" s="166"/>
      <c r="I22" s="166">
        <f t="shared" si="1"/>
        <v>449333</v>
      </c>
      <c r="J22" s="167">
        <f t="shared" si="2"/>
        <v>0.10382461514004318</v>
      </c>
      <c r="K22" s="458"/>
      <c r="L22" s="335" t="s">
        <v>148</v>
      </c>
      <c r="M22" s="336">
        <f>L213</f>
        <v>131655.5</v>
      </c>
      <c r="O22" s="324">
        <f t="shared" si="3"/>
        <v>171.63216195569137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'[26]Sch B'!E52</f>
        <v>0</v>
      </c>
      <c r="D23" s="480">
        <f>'[26]Sch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138678.5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'[26]Sch B'!E57</f>
        <v>175584</v>
      </c>
      <c r="D24" s="480">
        <f>'[26]Sch B'!G57</f>
        <v>-122792</v>
      </c>
      <c r="E24" s="480"/>
      <c r="F24" s="166">
        <f t="shared" si="0"/>
        <v>52792</v>
      </c>
      <c r="G24" s="626"/>
      <c r="H24" s="166"/>
      <c r="I24" s="166">
        <f t="shared" si="1"/>
        <v>52792</v>
      </c>
      <c r="J24" s="167">
        <f t="shared" si="2"/>
        <v>1.2198323030966254E-2</v>
      </c>
      <c r="K24" s="458"/>
      <c r="L24" s="163"/>
      <c r="M24" s="163"/>
      <c r="O24" s="324">
        <f t="shared" si="3"/>
        <v>70.956989247311824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'[26]Sch B'!E72</f>
        <v>93975</v>
      </c>
      <c r="D25" s="480">
        <f>'[26]Sch B'!G72</f>
        <v>-16917</v>
      </c>
      <c r="E25" s="480"/>
      <c r="F25" s="166">
        <f t="shared" si="0"/>
        <v>77058</v>
      </c>
      <c r="G25" s="626">
        <f>181*203-72669.33</f>
        <v>-35926.33</v>
      </c>
      <c r="H25" s="166"/>
      <c r="I25" s="166">
        <f t="shared" si="1"/>
        <v>41131.67</v>
      </c>
      <c r="J25" s="167">
        <f t="shared" si="2"/>
        <v>9.5040422310786431E-3</v>
      </c>
      <c r="K25" s="162" t="s">
        <v>632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4467517</v>
      </c>
      <c r="D26" s="480">
        <f t="shared" ref="D26:F26" si="4">SUM(D16:D25)</f>
        <v>-139709</v>
      </c>
      <c r="E26" s="480">
        <f t="shared" si="4"/>
        <v>0</v>
      </c>
      <c r="F26" s="166">
        <f t="shared" si="4"/>
        <v>4327808</v>
      </c>
      <c r="G26" s="166">
        <f>SUM(G12:G25)</f>
        <v>0</v>
      </c>
      <c r="H26" s="166">
        <f>SUM(H12:H25)</f>
        <v>0</v>
      </c>
      <c r="I26" s="166">
        <f>SUM(I16:I25)</f>
        <v>4327808</v>
      </c>
      <c r="J26" s="167">
        <f t="shared" si="2"/>
        <v>1</v>
      </c>
      <c r="K26" s="162" t="s">
        <v>648</v>
      </c>
      <c r="L26" s="163"/>
      <c r="M26" s="163"/>
      <c r="O26" s="324">
        <f>IFERROR(I26/I233,0)</f>
        <v>216.10945770498353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'[26]Sch C'!D10</f>
        <v>0</v>
      </c>
      <c r="D30" s="480">
        <f>'[26]Sch C'!F10</f>
        <v>108324</v>
      </c>
      <c r="E30" s="480">
        <f>+'[26]Sch C'!H10</f>
        <v>0</v>
      </c>
      <c r="F30" s="166">
        <f t="shared" ref="F30:F65" si="5">C30+D30+E30</f>
        <v>108324</v>
      </c>
      <c r="G30" s="626"/>
      <c r="H30" s="166"/>
      <c r="I30" s="166">
        <f t="shared" ref="I30:I65" si="6">F30+G30+H30</f>
        <v>108324</v>
      </c>
      <c r="J30" s="167">
        <f>IF($I$213=0,0,I30/$I$213)</f>
        <v>2.0015125458615984E-2</v>
      </c>
      <c r="K30" s="458"/>
      <c r="L30" s="176">
        <v>1888</v>
      </c>
      <c r="M30" s="176">
        <v>2080</v>
      </c>
      <c r="O30" s="324">
        <f>I30/I$233</f>
        <v>5.4091680814940579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'[26]Sch C'!D11</f>
        <v>0</v>
      </c>
      <c r="D31" s="480">
        <f>'[26]Sch C'!F11</f>
        <v>0</v>
      </c>
      <c r="E31" s="480">
        <f>+'[26]Sch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'[26]Sch C'!D12</f>
        <v>255931</v>
      </c>
      <c r="D32" s="480">
        <f>'[26]Sch C'!F12</f>
        <v>-108324</v>
      </c>
      <c r="E32" s="480">
        <f>+'[26]Sch C'!H12</f>
        <v>0</v>
      </c>
      <c r="F32" s="166">
        <f t="shared" si="5"/>
        <v>147607</v>
      </c>
      <c r="G32" s="626"/>
      <c r="H32" s="166"/>
      <c r="I32" s="166">
        <f t="shared" si="6"/>
        <v>147607</v>
      </c>
      <c r="J32" s="167">
        <f t="shared" si="7"/>
        <v>2.7273481625216291E-2</v>
      </c>
      <c r="K32" s="458"/>
      <c r="L32" s="176">
        <v>6631</v>
      </c>
      <c r="M32" s="176">
        <v>7467</v>
      </c>
      <c r="O32" s="324">
        <f t="shared" si="8"/>
        <v>7.3707680015979227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'[26]Sch C'!D13</f>
        <v>59932</v>
      </c>
      <c r="D33" s="480">
        <f>'[26]Sch C'!F13</f>
        <v>0</v>
      </c>
      <c r="E33" s="480">
        <f>+'[26]Sch C'!H13</f>
        <v>0</v>
      </c>
      <c r="F33" s="166">
        <f t="shared" si="5"/>
        <v>59932</v>
      </c>
      <c r="G33" s="626"/>
      <c r="H33" s="166"/>
      <c r="I33" s="166">
        <f t="shared" si="6"/>
        <v>59932</v>
      </c>
      <c r="J33" s="167">
        <f t="shared" si="7"/>
        <v>1.1073690954781702E-2</v>
      </c>
      <c r="K33" s="458"/>
      <c r="L33" s="163"/>
      <c r="M33" s="163"/>
      <c r="O33" s="324">
        <f t="shared" si="8"/>
        <v>2.9927094776790173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'[26]Sch C'!D14</f>
        <v>0</v>
      </c>
      <c r="D34" s="480">
        <f>'[26]Sch C'!F14</f>
        <v>0</v>
      </c>
      <c r="E34" s="480">
        <f>+'[26]Sch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'[26]Sch C'!D15</f>
        <v>0</v>
      </c>
      <c r="D35" s="480">
        <f>'[26]Sch C'!F15</f>
        <v>0</v>
      </c>
      <c r="E35" s="480">
        <f>+'[26]Sch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'[26]Sch C'!D16</f>
        <v>223253</v>
      </c>
      <c r="D36" s="480">
        <f>'[26]Sch C'!F16</f>
        <v>0</v>
      </c>
      <c r="E36" s="480">
        <f>+'[26]Sch C'!H16</f>
        <v>67339</v>
      </c>
      <c r="F36" s="166">
        <f t="shared" si="5"/>
        <v>290592</v>
      </c>
      <c r="G36" s="626"/>
      <c r="H36" s="166"/>
      <c r="I36" s="166">
        <f t="shared" si="6"/>
        <v>290592</v>
      </c>
      <c r="J36" s="167">
        <f t="shared" si="7"/>
        <v>5.3692952044515858E-2</v>
      </c>
      <c r="K36" s="458"/>
      <c r="L36" s="163"/>
      <c r="M36" s="163"/>
      <c r="O36" s="324">
        <f t="shared" si="8"/>
        <v>14.510736043143913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'[26]Sch C'!D17</f>
        <v>573</v>
      </c>
      <c r="D37" s="480">
        <f>'[26]Sch C'!F17</f>
        <v>-573</v>
      </c>
      <c r="E37" s="480">
        <f>+'[26]Sch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'[26]Sch C'!D18</f>
        <v>15328</v>
      </c>
      <c r="D38" s="480">
        <f>'[26]Sch C'!F18</f>
        <v>0</v>
      </c>
      <c r="E38" s="480">
        <f>+'[26]Sch C'!H18</f>
        <v>0</v>
      </c>
      <c r="F38" s="166">
        <f t="shared" si="5"/>
        <v>15328</v>
      </c>
      <c r="G38" s="626"/>
      <c r="H38" s="166"/>
      <c r="I38" s="166">
        <f t="shared" si="6"/>
        <v>15328</v>
      </c>
      <c r="J38" s="167">
        <f t="shared" si="7"/>
        <v>2.8321687071162973E-3</v>
      </c>
      <c r="K38" s="458"/>
      <c r="L38" s="163"/>
      <c r="M38" s="163"/>
      <c r="O38" s="324">
        <f t="shared" si="8"/>
        <v>0.76540497353440529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'[26]Sch C'!D19</f>
        <v>11601</v>
      </c>
      <c r="D39" s="480">
        <f>'[26]Sch C'!F19</f>
        <v>0</v>
      </c>
      <c r="E39" s="480">
        <f>+'[26]Sch C'!H19</f>
        <v>0</v>
      </c>
      <c r="F39" s="166">
        <f t="shared" si="5"/>
        <v>11601</v>
      </c>
      <c r="G39" s="626"/>
      <c r="H39" s="166"/>
      <c r="I39" s="166">
        <f t="shared" si="6"/>
        <v>11601</v>
      </c>
      <c r="J39" s="167">
        <f t="shared" si="7"/>
        <v>2.1435274772479231E-3</v>
      </c>
      <c r="K39" s="458"/>
      <c r="L39" s="163"/>
      <c r="M39" s="163"/>
      <c r="O39" s="324">
        <f t="shared" si="8"/>
        <v>0.57929691401178462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'[26]Sch C'!D20</f>
        <v>14580</v>
      </c>
      <c r="D40" s="480">
        <f>'[26]Sch C'!F20</f>
        <v>0</v>
      </c>
      <c r="E40" s="480">
        <f>+'[26]Sch C'!H20</f>
        <v>0</v>
      </c>
      <c r="F40" s="166">
        <f t="shared" si="5"/>
        <v>14580</v>
      </c>
      <c r="G40" s="626"/>
      <c r="H40" s="166"/>
      <c r="I40" s="166">
        <f t="shared" si="6"/>
        <v>14580</v>
      </c>
      <c r="J40" s="167">
        <f t="shared" si="7"/>
        <v>2.6939600567429289E-3</v>
      </c>
      <c r="K40" s="458"/>
      <c r="L40" s="163"/>
      <c r="M40" s="163"/>
      <c r="O40" s="324">
        <f t="shared" si="8"/>
        <v>0.72805353041046639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'[26]Sch C'!D21</f>
        <v>22760</v>
      </c>
      <c r="D41" s="480">
        <f>'[26]Sch C'!F21</f>
        <v>0</v>
      </c>
      <c r="E41" s="480">
        <f>+'[26]Sch C'!H21</f>
        <v>0</v>
      </c>
      <c r="F41" s="166">
        <f t="shared" si="5"/>
        <v>22760</v>
      </c>
      <c r="G41" s="626"/>
      <c r="H41" s="166"/>
      <c r="I41" s="166">
        <f t="shared" si="6"/>
        <v>22760</v>
      </c>
      <c r="J41" s="167">
        <f t="shared" si="7"/>
        <v>4.2053862065479465E-3</v>
      </c>
      <c r="K41" s="458"/>
      <c r="L41" s="163"/>
      <c r="M41" s="163"/>
      <c r="O41" s="324">
        <f t="shared" si="8"/>
        <v>1.13652252072306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'[26]Sch C'!D22</f>
        <v>0</v>
      </c>
      <c r="D42" s="480">
        <f>'[26]Sch C'!F22</f>
        <v>0</v>
      </c>
      <c r="E42" s="480">
        <f>+'[26]Sch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'[26]Sch C'!D23</f>
        <v>9034</v>
      </c>
      <c r="D43" s="480">
        <f>'[26]Sch C'!F23</f>
        <v>0</v>
      </c>
      <c r="E43" s="480">
        <f>+'[26]Sch C'!H23</f>
        <v>0</v>
      </c>
      <c r="F43" s="166">
        <f t="shared" si="5"/>
        <v>9034</v>
      </c>
      <c r="G43" s="626"/>
      <c r="H43" s="166"/>
      <c r="I43" s="166">
        <f t="shared" si="6"/>
        <v>9034</v>
      </c>
      <c r="J43" s="167">
        <f t="shared" si="7"/>
        <v>1.6692205180120453E-3</v>
      </c>
      <c r="K43" s="458"/>
      <c r="L43" s="163"/>
      <c r="M43" s="163"/>
      <c r="O43" s="324">
        <f t="shared" si="8"/>
        <v>0.45111355238190354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'[26]Sch C'!D24</f>
        <v>0</v>
      </c>
      <c r="D44" s="480">
        <f>'[26]Sch C'!F24</f>
        <v>0</v>
      </c>
      <c r="E44" s="480">
        <f>+'[26]Sch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'[26]Sch C'!D25</f>
        <v>13124</v>
      </c>
      <c r="D45" s="480">
        <f>'[26]Sch C'!F25</f>
        <v>0</v>
      </c>
      <c r="E45" s="480">
        <f>+'[26]Sch C'!H25</f>
        <v>0</v>
      </c>
      <c r="F45" s="166">
        <f t="shared" si="5"/>
        <v>13124</v>
      </c>
      <c r="G45" s="626"/>
      <c r="H45" s="166"/>
      <c r="I45" s="166">
        <f t="shared" si="6"/>
        <v>13124</v>
      </c>
      <c r="J45" s="167">
        <f t="shared" si="7"/>
        <v>2.424933592914554E-3</v>
      </c>
      <c r="K45" s="458"/>
      <c r="L45" s="163"/>
      <c r="M45" s="163"/>
      <c r="O45" s="324">
        <f t="shared" si="8"/>
        <v>0.65534804753820031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'[26]Sch C'!D26</f>
        <v>388592</v>
      </c>
      <c r="D46" s="480">
        <f>'[26]Sch C'!F26</f>
        <v>0</v>
      </c>
      <c r="E46" s="480">
        <f>+'[26]Sch C'!H26</f>
        <v>0</v>
      </c>
      <c r="F46" s="166">
        <f t="shared" si="5"/>
        <v>388592</v>
      </c>
      <c r="G46" s="626"/>
      <c r="H46" s="166"/>
      <c r="I46" s="166">
        <f t="shared" si="6"/>
        <v>388592</v>
      </c>
      <c r="J46" s="167">
        <f t="shared" si="7"/>
        <v>7.1800502494502622E-2</v>
      </c>
      <c r="K46" s="458"/>
      <c r="L46" s="163"/>
      <c r="M46" s="163"/>
      <c r="O46" s="324">
        <f t="shared" si="8"/>
        <v>19.404374313392591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'[26]Sch C'!D27</f>
        <v>59387</v>
      </c>
      <c r="D47" s="480">
        <f>'[26]Sch C'!F27</f>
        <v>-137</v>
      </c>
      <c r="E47" s="480">
        <f>+'[26]Sch C'!H27</f>
        <v>0</v>
      </c>
      <c r="F47" s="166">
        <f t="shared" si="5"/>
        <v>59250</v>
      </c>
      <c r="G47" s="626"/>
      <c r="H47" s="166"/>
      <c r="I47" s="166">
        <f t="shared" si="6"/>
        <v>59250</v>
      </c>
      <c r="J47" s="167">
        <f t="shared" si="7"/>
        <v>1.0947677185323631E-2</v>
      </c>
      <c r="K47" s="458"/>
      <c r="L47" s="163"/>
      <c r="M47" s="163"/>
      <c r="O47" s="324">
        <f t="shared" si="8"/>
        <v>2.9586537501248378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'[26]Sch C'!D28</f>
        <v>0</v>
      </c>
      <c r="D48" s="480">
        <f>'[26]Sch C'!F28</f>
        <v>0</v>
      </c>
      <c r="E48" s="480">
        <f>+'[26]Sch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'[26]Sch C'!D29</f>
        <v>175391</v>
      </c>
      <c r="D49" s="480">
        <f>'[26]Sch C'!F29</f>
        <v>-175391</v>
      </c>
      <c r="E49" s="480">
        <f>+'[26]Sch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'[26]Sch C'!D30</f>
        <v>0</v>
      </c>
      <c r="D50" s="480">
        <f>'[26]Sch C'!F30</f>
        <v>0</v>
      </c>
      <c r="E50" s="480">
        <f>+'[26]Sch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'[26]Sch C'!D31</f>
        <v>0</v>
      </c>
      <c r="D51" s="480">
        <f>'[26]Sch C'!F31</f>
        <v>0</v>
      </c>
      <c r="E51" s="480">
        <f>+'[26]Sch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'[26]Sch C'!D32</f>
        <v>66048</v>
      </c>
      <c r="D52" s="480">
        <f>'[26]Sch C'!F32</f>
        <v>0</v>
      </c>
      <c r="E52" s="480">
        <f>+'[26]Sch C'!H32</f>
        <v>0</v>
      </c>
      <c r="F52" s="166">
        <f t="shared" si="5"/>
        <v>66048</v>
      </c>
      <c r="G52" s="626"/>
      <c r="H52" s="166"/>
      <c r="I52" s="166">
        <f t="shared" si="6"/>
        <v>66048</v>
      </c>
      <c r="J52" s="167">
        <f t="shared" si="7"/>
        <v>1.2203749919599244E-2</v>
      </c>
      <c r="K52" s="458"/>
      <c r="L52" s="163"/>
      <c r="M52" s="163"/>
      <c r="O52" s="324">
        <f t="shared" si="8"/>
        <v>3.298112453810047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'[26]Sch C'!D33</f>
        <v>0</v>
      </c>
      <c r="D53" s="480">
        <f>'[26]Sch C'!F33</f>
        <v>0</v>
      </c>
      <c r="E53" s="480">
        <f>+'[26]Sch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'[26]Sch C'!D34</f>
        <v>193</v>
      </c>
      <c r="D54" s="480">
        <f>'[26]Sch C'!F34</f>
        <v>0</v>
      </c>
      <c r="E54" s="480">
        <f>+'[26]Sch C'!H34</f>
        <v>0</v>
      </c>
      <c r="F54" s="166">
        <f t="shared" si="5"/>
        <v>193</v>
      </c>
      <c r="G54" s="626"/>
      <c r="H54" s="166"/>
      <c r="I54" s="166">
        <f t="shared" si="6"/>
        <v>193</v>
      </c>
      <c r="J54" s="167">
        <f t="shared" si="7"/>
        <v>3.5660788131096383E-5</v>
      </c>
      <c r="K54" s="458"/>
      <c r="L54" s="163"/>
      <c r="M54" s="163"/>
      <c r="O54" s="324">
        <f t="shared" si="8"/>
        <v>9.637471287326475E-3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'[26]Sch C'!D35</f>
        <v>24187</v>
      </c>
      <c r="D55" s="480">
        <f>'[26]Sch C'!F35</f>
        <v>-24187</v>
      </c>
      <c r="E55" s="480">
        <f>+'[26]Sch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'[26]Sch C'!D36</f>
        <v>30757</v>
      </c>
      <c r="D56" s="480">
        <f>'[26]Sch C'!F36</f>
        <v>0</v>
      </c>
      <c r="E56" s="480">
        <f>+'[26]Sch C'!H36</f>
        <v>0</v>
      </c>
      <c r="F56" s="166">
        <f t="shared" si="5"/>
        <v>30757</v>
      </c>
      <c r="G56" s="626"/>
      <c r="H56" s="166"/>
      <c r="I56" s="166">
        <f t="shared" si="6"/>
        <v>30757</v>
      </c>
      <c r="J56" s="167">
        <f t="shared" si="7"/>
        <v>5.6829992774514587E-3</v>
      </c>
      <c r="K56" s="458"/>
      <c r="L56" s="176">
        <v>2207</v>
      </c>
      <c r="M56" s="176">
        <v>2295</v>
      </c>
      <c r="O56" s="324">
        <f t="shared" si="8"/>
        <v>1.53585339059223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'[26]Sch C'!D37</f>
        <v>6023</v>
      </c>
      <c r="D57" s="480">
        <f>'[26]Sch C'!F37</f>
        <v>0</v>
      </c>
      <c r="E57" s="480">
        <f>+'[26]Sch C'!H37</f>
        <v>0</v>
      </c>
      <c r="F57" s="166">
        <f t="shared" si="5"/>
        <v>6023</v>
      </c>
      <c r="G57" s="626"/>
      <c r="H57" s="166"/>
      <c r="I57" s="166">
        <f t="shared" si="6"/>
        <v>6023</v>
      </c>
      <c r="J57" s="167">
        <f t="shared" si="7"/>
        <v>1.1128752689823498E-3</v>
      </c>
      <c r="K57" s="458"/>
      <c r="L57" s="163"/>
      <c r="M57" s="163"/>
      <c r="O57" s="324">
        <f t="shared" si="8"/>
        <v>0.30075901328273247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'[26]Sch C'!D38</f>
        <v>0</v>
      </c>
      <c r="D58" s="480">
        <f>'[26]Sch C'!F38</f>
        <v>0</v>
      </c>
      <c r="E58" s="480">
        <f>+'[26]Sch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'[26]Sch C'!D39</f>
        <v>2700</v>
      </c>
      <c r="D59" s="480">
        <f>'[26]Sch C'!F39</f>
        <v>0</v>
      </c>
      <c r="E59" s="480">
        <f>+'[26]Sch C'!H39</f>
        <v>0</v>
      </c>
      <c r="F59" s="166">
        <f t="shared" si="5"/>
        <v>2700</v>
      </c>
      <c r="G59" s="626"/>
      <c r="H59" s="166"/>
      <c r="I59" s="166">
        <f t="shared" si="6"/>
        <v>2700</v>
      </c>
      <c r="J59" s="167">
        <f t="shared" si="7"/>
        <v>4.9888149198943125E-4</v>
      </c>
      <c r="K59" s="458"/>
      <c r="L59" s="163"/>
      <c r="M59" s="163"/>
      <c r="O59" s="324">
        <f t="shared" si="8"/>
        <v>0.13482472785379007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'[26]Sch C'!D40</f>
        <v>2280</v>
      </c>
      <c r="D60" s="480">
        <f>'[26]Sch C'!F40</f>
        <v>-2280</v>
      </c>
      <c r="E60" s="480">
        <f>+'[26]Sch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'[26]Sch C'!D41</f>
        <v>126946</v>
      </c>
      <c r="D61" s="480">
        <f>'[26]Sch C'!F41</f>
        <v>0</v>
      </c>
      <c r="E61" s="480">
        <f>+'[26]Sch C'!H41</f>
        <v>-18</v>
      </c>
      <c r="F61" s="166">
        <f t="shared" si="5"/>
        <v>126928</v>
      </c>
      <c r="G61" s="626"/>
      <c r="H61" s="166"/>
      <c r="I61" s="166">
        <f t="shared" si="6"/>
        <v>126928</v>
      </c>
      <c r="J61" s="167">
        <f t="shared" si="7"/>
        <v>2.3452603709346122E-2</v>
      </c>
      <c r="K61" s="458"/>
      <c r="L61" s="163"/>
      <c r="M61" s="163"/>
      <c r="O61" s="324">
        <f t="shared" si="8"/>
        <v>6.338160391491062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'[26]Sch C'!D42</f>
        <v>0</v>
      </c>
      <c r="D62" s="480">
        <f>'[26]Sch C'!F42</f>
        <v>0</v>
      </c>
      <c r="E62" s="480">
        <f>+'[26]Sch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'[26]Sch C'!D43</f>
        <v>16751</v>
      </c>
      <c r="D63" s="480">
        <f>'[26]Sch C'!F43</f>
        <v>-16751</v>
      </c>
      <c r="E63" s="480">
        <f>+'[26]Sch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'[26]Sch C'!D44</f>
        <v>0</v>
      </c>
      <c r="D64" s="480">
        <f>'[26]Sch C'!F44</f>
        <v>0</v>
      </c>
      <c r="E64" s="480">
        <f>+'[26]Sch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'[26]Sch C'!D45</f>
        <v>5190</v>
      </c>
      <c r="D65" s="480">
        <f>'[26]Sch C'!F45</f>
        <v>-9906</v>
      </c>
      <c r="E65" s="480">
        <f>+'[26]Sch C'!H45</f>
        <v>0</v>
      </c>
      <c r="F65" s="166">
        <f t="shared" si="5"/>
        <v>-4716</v>
      </c>
      <c r="G65" s="626">
        <v>-302.02999999999997</v>
      </c>
      <c r="H65" s="166"/>
      <c r="I65" s="166">
        <f t="shared" si="6"/>
        <v>-5018.03</v>
      </c>
      <c r="J65" s="167">
        <f t="shared" si="7"/>
        <v>-9.2718603453619474E-4</v>
      </c>
      <c r="K65" s="458" t="s">
        <v>484</v>
      </c>
      <c r="L65" s="163"/>
      <c r="M65" s="163"/>
      <c r="O65" s="324">
        <f t="shared" si="8"/>
        <v>-0.25057575152302008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1530561</v>
      </c>
      <c r="D66" s="480">
        <f t="shared" si="9"/>
        <v>-229225</v>
      </c>
      <c r="E66" s="480">
        <f t="shared" si="9"/>
        <v>67321</v>
      </c>
      <c r="F66" s="166">
        <f t="shared" ref="F66:I66" si="10">SUM(F30:F65)</f>
        <v>1368657</v>
      </c>
      <c r="G66" s="166">
        <f t="shared" si="10"/>
        <v>-302.02999999999997</v>
      </c>
      <c r="H66" s="166">
        <f t="shared" si="10"/>
        <v>0</v>
      </c>
      <c r="I66" s="166">
        <f t="shared" si="10"/>
        <v>1368354.97</v>
      </c>
      <c r="J66" s="178">
        <f t="shared" si="7"/>
        <v>0.25283221074250128</v>
      </c>
      <c r="K66" s="465"/>
      <c r="L66" s="163"/>
      <c r="M66" s="163"/>
      <c r="O66" s="329">
        <f>I66/I$233</f>
        <v>68.328920902826326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'[26]Sch C'!D57</f>
        <v>0</v>
      </c>
      <c r="D69" s="480">
        <f>'[26]Sch C'!F57</f>
        <v>0</v>
      </c>
      <c r="E69" s="480">
        <f>+'[26]Sch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'[26]Sch C'!D58</f>
        <v>128979</v>
      </c>
      <c r="D70" s="480">
        <f>'[26]Sch C'!F58</f>
        <v>-4200</v>
      </c>
      <c r="E70" s="480">
        <f>+'[26]Sch C'!H58</f>
        <v>0</v>
      </c>
      <c r="F70" s="166">
        <f t="shared" ref="F70:F83" si="13">C70+D70+E70</f>
        <v>124779</v>
      </c>
      <c r="G70" s="626"/>
      <c r="H70" s="166"/>
      <c r="I70" s="166">
        <f t="shared" ref="I70:I83" si="14">F70+G70+H70</f>
        <v>124779</v>
      </c>
      <c r="J70" s="167">
        <f t="shared" si="11"/>
        <v>2.3055530995907129E-2</v>
      </c>
      <c r="K70" s="458"/>
      <c r="L70" s="182"/>
      <c r="M70" s="163"/>
      <c r="O70" s="324">
        <f t="shared" si="12"/>
        <v>6.2308498951363225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'[26]Sch C'!D59</f>
        <v>53497</v>
      </c>
      <c r="D71" s="480">
        <f>'[26]Sch C'!F59</f>
        <v>0</v>
      </c>
      <c r="E71" s="480">
        <f>+'[26]Sch C'!H59</f>
        <v>0</v>
      </c>
      <c r="F71" s="166">
        <f t="shared" si="13"/>
        <v>53497</v>
      </c>
      <c r="G71" s="626"/>
      <c r="H71" s="166"/>
      <c r="I71" s="166">
        <f t="shared" si="14"/>
        <v>53497</v>
      </c>
      <c r="J71" s="167">
        <f t="shared" si="11"/>
        <v>9.8846900655402241E-3</v>
      </c>
      <c r="K71" s="458"/>
      <c r="L71" s="182"/>
      <c r="M71" s="163"/>
      <c r="O71" s="324">
        <f t="shared" si="12"/>
        <v>2.6713772096274844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'[26]Sch C'!D60</f>
        <v>26435</v>
      </c>
      <c r="D72" s="480">
        <f>'[26]Sch C'!F60</f>
        <v>0</v>
      </c>
      <c r="E72" s="480">
        <f>+'[26]Sch C'!H60</f>
        <v>0</v>
      </c>
      <c r="F72" s="166">
        <f t="shared" si="13"/>
        <v>26435</v>
      </c>
      <c r="G72" s="626"/>
      <c r="H72" s="166"/>
      <c r="I72" s="166">
        <f t="shared" si="14"/>
        <v>26435</v>
      </c>
      <c r="J72" s="167">
        <f t="shared" si="11"/>
        <v>4.8844193484224498E-3</v>
      </c>
      <c r="K72" s="458"/>
      <c r="L72" s="185"/>
      <c r="M72" s="163"/>
      <c r="O72" s="324">
        <f t="shared" si="12"/>
        <v>1.3200339558573855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'[26]Sch C'!D61</f>
        <v>16414</v>
      </c>
      <c r="D73" s="480">
        <f>'[26]Sch C'!F61</f>
        <v>0</v>
      </c>
      <c r="E73" s="480">
        <f>+'[26]Sch C'!H61</f>
        <v>0</v>
      </c>
      <c r="F73" s="166">
        <f t="shared" si="13"/>
        <v>16414</v>
      </c>
      <c r="G73" s="626"/>
      <c r="H73" s="166"/>
      <c r="I73" s="166">
        <f t="shared" si="14"/>
        <v>16414</v>
      </c>
      <c r="J73" s="167">
        <f t="shared" si="11"/>
        <v>3.0328299294498239E-3</v>
      </c>
      <c r="K73" s="458"/>
      <c r="L73" s="185"/>
      <c r="M73" s="163"/>
      <c r="O73" s="324">
        <f t="shared" si="12"/>
        <v>0.81963447518226307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'[26]Sch C'!D62</f>
        <v>0</v>
      </c>
      <c r="D74" s="480">
        <f>'[26]Sch C'!F62</f>
        <v>0</v>
      </c>
      <c r="E74" s="480">
        <f>+'[26]Sch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'[26]Sch C'!D63</f>
        <v>0</v>
      </c>
      <c r="D75" s="480">
        <f>'[26]Sch C'!F63</f>
        <v>0</v>
      </c>
      <c r="E75" s="480">
        <f>+'[26]Sch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'[26]Sch C'!D64</f>
        <v>0</v>
      </c>
      <c r="D76" s="480">
        <f>'[26]Sch C'!F64</f>
        <v>0</v>
      </c>
      <c r="E76" s="480">
        <f>+'[26]Sch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'[26]Sch C'!D65</f>
        <v>4943</v>
      </c>
      <c r="D77" s="480">
        <f>'[26]Sch C'!F65</f>
        <v>0</v>
      </c>
      <c r="E77" s="480">
        <f>+'[26]Sch C'!H65</f>
        <v>0</v>
      </c>
      <c r="F77" s="166">
        <f t="shared" si="13"/>
        <v>4943</v>
      </c>
      <c r="G77" s="626"/>
      <c r="H77" s="166"/>
      <c r="I77" s="166">
        <f t="shared" si="14"/>
        <v>4943</v>
      </c>
      <c r="J77" s="167">
        <f t="shared" si="11"/>
        <v>9.1332267218657728E-4</v>
      </c>
      <c r="K77" s="458"/>
      <c r="L77" s="187"/>
      <c r="M77" s="163"/>
      <c r="O77" s="324">
        <f t="shared" si="12"/>
        <v>0.24682912214121641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'[26]Sch C'!D66</f>
        <v>42669</v>
      </c>
      <c r="D78" s="480">
        <f>'[26]Sch C'!F66</f>
        <v>0</v>
      </c>
      <c r="E78" s="480">
        <f>+'[26]Sch C'!H66</f>
        <v>-797</v>
      </c>
      <c r="F78" s="166">
        <f t="shared" si="13"/>
        <v>41872</v>
      </c>
      <c r="G78" s="626"/>
      <c r="H78" s="166"/>
      <c r="I78" s="166">
        <f t="shared" si="14"/>
        <v>41872</v>
      </c>
      <c r="J78" s="167">
        <f t="shared" si="11"/>
        <v>7.7367280861412834E-3</v>
      </c>
      <c r="K78" s="458"/>
      <c r="L78" s="187"/>
      <c r="M78" s="163"/>
      <c r="O78" s="324">
        <f t="shared" si="12"/>
        <v>2.0908818535903326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'[26]Sch C'!D67</f>
        <v>37985</v>
      </c>
      <c r="D79" s="480">
        <f>'[26]Sch C'!F67</f>
        <v>0</v>
      </c>
      <c r="E79" s="480">
        <f>+'[26]Sch C'!H67</f>
        <v>0</v>
      </c>
      <c r="F79" s="166">
        <f t="shared" si="13"/>
        <v>37985</v>
      </c>
      <c r="G79" s="626"/>
      <c r="H79" s="166"/>
      <c r="I79" s="166">
        <f t="shared" si="14"/>
        <v>37985</v>
      </c>
      <c r="J79" s="167">
        <f t="shared" si="11"/>
        <v>7.0185235085994616E-3</v>
      </c>
      <c r="K79" s="458"/>
      <c r="L79" s="187"/>
      <c r="M79" s="163"/>
      <c r="O79" s="324">
        <f t="shared" si="12"/>
        <v>1.8967841805652652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'[26]Sch C'!D68</f>
        <v>0</v>
      </c>
      <c r="D80" s="480">
        <f>'[26]Sch C'!F68</f>
        <v>0</v>
      </c>
      <c r="E80" s="480">
        <f>+'[26]Sch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'[26]Sch C'!D69</f>
        <v>2966</v>
      </c>
      <c r="D81" s="480">
        <f>'[26]Sch C'!F69</f>
        <v>0</v>
      </c>
      <c r="E81" s="480">
        <f>+'[26]Sch C'!H69</f>
        <v>0</v>
      </c>
      <c r="F81" s="166">
        <f t="shared" si="13"/>
        <v>2966</v>
      </c>
      <c r="G81" s="626"/>
      <c r="H81" s="166"/>
      <c r="I81" s="166">
        <f t="shared" si="14"/>
        <v>2966</v>
      </c>
      <c r="J81" s="167">
        <f t="shared" si="11"/>
        <v>5.4803055749653821E-4</v>
      </c>
      <c r="K81" s="458"/>
      <c r="L81" s="187"/>
      <c r="M81" s="163"/>
      <c r="O81" s="324">
        <f t="shared" si="12"/>
        <v>0.1481074603016079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'[26]Sch C'!D70</f>
        <v>0</v>
      </c>
      <c r="D82" s="480">
        <f>'[26]Sch C'!F70</f>
        <v>0</v>
      </c>
      <c r="E82" s="480">
        <f>+'[26]Sch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'[26]Sch C'!D71</f>
        <v>0</v>
      </c>
      <c r="D83" s="480">
        <f>'[26]Sch C'!F71</f>
        <v>0</v>
      </c>
      <c r="E83" s="480">
        <f>+'[26]Sch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313888</v>
      </c>
      <c r="D84" s="480">
        <f t="shared" si="15"/>
        <v>-4200</v>
      </c>
      <c r="E84" s="480">
        <f t="shared" si="15"/>
        <v>-797</v>
      </c>
      <c r="F84" s="166">
        <f t="shared" ref="F84:I84" si="16">SUM(F69:F83)</f>
        <v>308891</v>
      </c>
      <c r="G84" s="166">
        <f t="shared" si="16"/>
        <v>0</v>
      </c>
      <c r="H84" s="166">
        <f t="shared" si="16"/>
        <v>0</v>
      </c>
      <c r="I84" s="166">
        <f t="shared" si="16"/>
        <v>308891</v>
      </c>
      <c r="J84" s="167">
        <f t="shared" si="11"/>
        <v>5.7074075163743486E-2</v>
      </c>
      <c r="K84" s="458"/>
      <c r="L84" s="187"/>
      <c r="M84" s="163"/>
      <c r="O84" s="324">
        <f t="shared" si="12"/>
        <v>15.424498152401878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'[26]Sch C'!D75</f>
        <v>66731</v>
      </c>
      <c r="D87" s="480">
        <f>'[26]Sch C'!F75</f>
        <v>0</v>
      </c>
      <c r="E87" s="480">
        <f>+'[26]Sch C'!H75</f>
        <v>0</v>
      </c>
      <c r="F87" s="166">
        <f t="shared" ref="F87:F97" si="17">C87+D87+E87</f>
        <v>66731</v>
      </c>
      <c r="G87" s="626"/>
      <c r="H87" s="166"/>
      <c r="I87" s="166">
        <f t="shared" ref="I87:I97" si="18">F87+G87+H87</f>
        <v>66731</v>
      </c>
      <c r="J87" s="167">
        <f t="shared" ref="J87:J98" si="19">IF($I$213=0,0,I87/$I$213)</f>
        <v>1.2329948459980273E-2</v>
      </c>
      <c r="K87" s="458"/>
      <c r="L87" s="176">
        <v>2877</v>
      </c>
      <c r="M87" s="176">
        <v>3145</v>
      </c>
      <c r="O87" s="324">
        <f t="shared" ref="O87:O97" si="20">I87/I$233</f>
        <v>3.3322181164486167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'[26]Sch C'!D76</f>
        <v>15031</v>
      </c>
      <c r="D88" s="480">
        <f>'[26]Sch C'!F76</f>
        <v>0</v>
      </c>
      <c r="E88" s="480">
        <f>+'[26]Sch C'!H76</f>
        <v>0</v>
      </c>
      <c r="F88" s="166">
        <f t="shared" si="17"/>
        <v>15031</v>
      </c>
      <c r="G88" s="626"/>
      <c r="H88" s="166"/>
      <c r="I88" s="166">
        <f t="shared" si="18"/>
        <v>15031</v>
      </c>
      <c r="J88" s="167">
        <f t="shared" si="19"/>
        <v>2.7772917429974599E-3</v>
      </c>
      <c r="K88" s="458"/>
      <c r="L88" s="163"/>
      <c r="M88" s="163"/>
      <c r="O88" s="324">
        <f t="shared" si="20"/>
        <v>0.75057425347048834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'[26]Sch C'!D77</f>
        <v>11593</v>
      </c>
      <c r="D89" s="480">
        <f>'[26]Sch C'!F77</f>
        <v>0</v>
      </c>
      <c r="E89" s="480">
        <f>+'[26]Sch C'!H77</f>
        <v>0</v>
      </c>
      <c r="F89" s="166">
        <f t="shared" si="17"/>
        <v>11593</v>
      </c>
      <c r="G89" s="626"/>
      <c r="H89" s="166"/>
      <c r="I89" s="166">
        <f t="shared" si="18"/>
        <v>11593</v>
      </c>
      <c r="J89" s="167">
        <f t="shared" si="19"/>
        <v>2.1420493098642506E-3</v>
      </c>
      <c r="K89" s="458"/>
      <c r="L89" s="163"/>
      <c r="M89" s="163"/>
      <c r="O89" s="324">
        <f t="shared" si="20"/>
        <v>0.57889743333666233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'[26]Sch C'!D78</f>
        <v>0</v>
      </c>
      <c r="D90" s="480">
        <f>'[26]Sch C'!F78</f>
        <v>0</v>
      </c>
      <c r="E90" s="480">
        <f>+'[26]Sch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'[26]Sch C'!D79</f>
        <v>3141</v>
      </c>
      <c r="D91" s="480">
        <f>'[26]Sch C'!F79</f>
        <v>0</v>
      </c>
      <c r="E91" s="480">
        <f>+'[26]Sch C'!H79</f>
        <v>0</v>
      </c>
      <c r="F91" s="166">
        <f t="shared" si="17"/>
        <v>3141</v>
      </c>
      <c r="G91" s="626"/>
      <c r="H91" s="166"/>
      <c r="I91" s="166">
        <f t="shared" si="18"/>
        <v>3141</v>
      </c>
      <c r="J91" s="167">
        <f t="shared" si="19"/>
        <v>5.8036546901437172E-4</v>
      </c>
      <c r="K91" s="458"/>
      <c r="L91" s="163"/>
      <c r="M91" s="163"/>
      <c r="O91" s="324">
        <f t="shared" si="20"/>
        <v>0.15684610006990912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'[26]Sch C'!D80</f>
        <v>18529</v>
      </c>
      <c r="D92" s="480">
        <f>'[26]Sch C'!F80</f>
        <v>0</v>
      </c>
      <c r="E92" s="480">
        <f>+'[26]Sch C'!H80</f>
        <v>0</v>
      </c>
      <c r="F92" s="166">
        <f t="shared" si="17"/>
        <v>18529</v>
      </c>
      <c r="G92" s="626"/>
      <c r="H92" s="166"/>
      <c r="I92" s="166">
        <f t="shared" si="18"/>
        <v>18529</v>
      </c>
      <c r="J92" s="167">
        <f t="shared" si="19"/>
        <v>3.423620431508212E-3</v>
      </c>
      <c r="K92" s="458"/>
      <c r="L92" s="163"/>
      <c r="M92" s="163"/>
      <c r="O92" s="324">
        <f t="shared" si="20"/>
        <v>0.92524717866773198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'[26]Sch C'!D81</f>
        <v>19247</v>
      </c>
      <c r="D93" s="480">
        <f>'[26]Sch C'!F81</f>
        <v>0</v>
      </c>
      <c r="E93" s="480">
        <f>+'[26]Sch C'!H81</f>
        <v>0</v>
      </c>
      <c r="F93" s="166">
        <f t="shared" si="17"/>
        <v>19247</v>
      </c>
      <c r="G93" s="626"/>
      <c r="H93" s="166"/>
      <c r="I93" s="166">
        <f t="shared" si="18"/>
        <v>19247</v>
      </c>
      <c r="J93" s="167">
        <f t="shared" si="19"/>
        <v>3.5562859541928087E-3</v>
      </c>
      <c r="K93" s="458"/>
      <c r="L93" s="163"/>
      <c r="M93" s="163"/>
      <c r="O93" s="324">
        <f t="shared" si="20"/>
        <v>0.96110056925996201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'[26]Sch C'!D82</f>
        <v>8134</v>
      </c>
      <c r="D94" s="480">
        <f>'[26]Sch C'!F82</f>
        <v>0</v>
      </c>
      <c r="E94" s="480">
        <f>+'[26]Sch C'!H82</f>
        <v>0</v>
      </c>
      <c r="F94" s="166">
        <f t="shared" si="17"/>
        <v>8134</v>
      </c>
      <c r="G94" s="626"/>
      <c r="H94" s="166"/>
      <c r="I94" s="166">
        <f t="shared" si="18"/>
        <v>8134</v>
      </c>
      <c r="J94" s="167">
        <f t="shared" si="19"/>
        <v>1.5029266873489015E-3</v>
      </c>
      <c r="K94" s="458"/>
      <c r="L94" s="163"/>
      <c r="M94" s="163"/>
      <c r="O94" s="324">
        <f t="shared" si="20"/>
        <v>0.40617197643064018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'[26]Sch C'!D83</f>
        <v>5601</v>
      </c>
      <c r="D95" s="480">
        <f>'[26]Sch C'!F83</f>
        <v>0</v>
      </c>
      <c r="E95" s="480">
        <f>+'[26]Sch C'!H83</f>
        <v>0</v>
      </c>
      <c r="F95" s="166">
        <f t="shared" si="17"/>
        <v>5601</v>
      </c>
      <c r="G95" s="626"/>
      <c r="H95" s="166"/>
      <c r="I95" s="166">
        <f t="shared" si="18"/>
        <v>5601</v>
      </c>
      <c r="J95" s="167">
        <f t="shared" si="19"/>
        <v>1.0349019394936313E-3</v>
      </c>
      <c r="K95" s="458"/>
      <c r="L95" s="163"/>
      <c r="M95" s="163"/>
      <c r="O95" s="324">
        <f t="shared" si="20"/>
        <v>0.27968640767002895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'[26]Sch C'!D84</f>
        <v>122971</v>
      </c>
      <c r="D96" s="480">
        <f>'[26]Sch C'!F84</f>
        <v>0</v>
      </c>
      <c r="E96" s="480">
        <f>+'[26]Sch C'!H84</f>
        <v>0</v>
      </c>
      <c r="F96" s="166">
        <f t="shared" si="17"/>
        <v>122971</v>
      </c>
      <c r="G96" s="626"/>
      <c r="H96" s="166"/>
      <c r="I96" s="166">
        <f t="shared" si="18"/>
        <v>122971</v>
      </c>
      <c r="J96" s="167">
        <f t="shared" si="19"/>
        <v>2.2721465167197169E-2</v>
      </c>
      <c r="K96" s="458"/>
      <c r="L96" s="163"/>
      <c r="M96" s="163"/>
      <c r="O96" s="324">
        <f t="shared" si="20"/>
        <v>6.1405672625586734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'[26]Sch C'!D85</f>
        <v>0</v>
      </c>
      <c r="D97" s="480">
        <f>'[26]Sch C'!F85</f>
        <v>0</v>
      </c>
      <c r="E97" s="480">
        <f>+'[26]Sch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270978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270978</v>
      </c>
      <c r="G98" s="166">
        <f t="shared" si="22"/>
        <v>0</v>
      </c>
      <c r="H98" s="166">
        <f t="shared" si="22"/>
        <v>0</v>
      </c>
      <c r="I98" s="166">
        <f t="shared" si="22"/>
        <v>270978</v>
      </c>
      <c r="J98" s="167">
        <f t="shared" si="19"/>
        <v>5.0068855161597078E-2</v>
      </c>
      <c r="K98" s="458"/>
      <c r="L98" s="163"/>
      <c r="M98" s="163"/>
      <c r="O98" s="329">
        <f>I98/I$233</f>
        <v>13.531309297912713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'[26]Sch C'!D89</f>
        <v>0</v>
      </c>
      <c r="D101" s="480">
        <f>'[26]Sch C'!F89</f>
        <v>0</v>
      </c>
      <c r="E101" s="480">
        <f>+'[26]Sch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'[26]Sch C'!D90</f>
        <v>0</v>
      </c>
      <c r="D102" s="480">
        <f>'[26]Sch C'!F90</f>
        <v>0</v>
      </c>
      <c r="E102" s="480">
        <f>+'[26]Sch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'[26]Sch C'!D91</f>
        <v>433769</v>
      </c>
      <c r="D103" s="480">
        <f>'[26]Sch C'!F91</f>
        <v>-2674</v>
      </c>
      <c r="E103" s="480">
        <f>+'[26]Sch C'!H91</f>
        <v>0</v>
      </c>
      <c r="F103" s="166">
        <f t="shared" si="23"/>
        <v>431095</v>
      </c>
      <c r="G103" s="626"/>
      <c r="H103" s="166"/>
      <c r="I103" s="166">
        <f t="shared" si="24"/>
        <v>431095</v>
      </c>
      <c r="J103" s="167">
        <f t="shared" si="25"/>
        <v>7.9653821033031064E-2</v>
      </c>
      <c r="K103" s="458"/>
      <c r="L103" s="163"/>
      <c r="M103" s="163"/>
      <c r="O103" s="329">
        <f t="shared" si="26"/>
        <v>21.526765205233197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'[26]Sch C'!D92</f>
        <v>-2384</v>
      </c>
      <c r="D104" s="480">
        <f>'[26]Sch C'!F92</f>
        <v>2463</v>
      </c>
      <c r="E104" s="480">
        <f>+'[26]Sch C'!H92</f>
        <v>0</v>
      </c>
      <c r="F104" s="166">
        <f t="shared" si="23"/>
        <v>79</v>
      </c>
      <c r="G104" s="626"/>
      <c r="H104" s="166"/>
      <c r="I104" s="166">
        <f t="shared" si="24"/>
        <v>79</v>
      </c>
      <c r="J104" s="167">
        <f t="shared" si="25"/>
        <v>1.459690291376484E-5</v>
      </c>
      <c r="K104" s="458"/>
      <c r="L104" s="163"/>
      <c r="M104" s="163"/>
      <c r="O104" s="329">
        <f t="shared" si="26"/>
        <v>3.9448716668331173E-3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'[26]Sch C'!D93</f>
        <v>1528</v>
      </c>
      <c r="D105" s="480">
        <f>'[26]Sch C'!F93</f>
        <v>0</v>
      </c>
      <c r="E105" s="480">
        <f>+'[26]Sch C'!H93</f>
        <v>0</v>
      </c>
      <c r="F105" s="166">
        <f t="shared" si="23"/>
        <v>1528</v>
      </c>
      <c r="G105" s="626"/>
      <c r="H105" s="166"/>
      <c r="I105" s="166">
        <f t="shared" si="24"/>
        <v>1528</v>
      </c>
      <c r="J105" s="167">
        <f t="shared" si="25"/>
        <v>2.8232997028142628E-4</v>
      </c>
      <c r="K105" s="458"/>
      <c r="L105" s="163"/>
      <c r="M105" s="163"/>
      <c r="O105" s="329">
        <f t="shared" si="26"/>
        <v>7.6300808948367119E-2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'[26]Sch C'!D94</f>
        <v>0</v>
      </c>
      <c r="D106" s="480">
        <f>'[26]Sch C'!F94</f>
        <v>0</v>
      </c>
      <c r="E106" s="480">
        <f>+'[26]Sch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432913</v>
      </c>
      <c r="D107" s="480">
        <f t="shared" si="27"/>
        <v>-211</v>
      </c>
      <c r="E107" s="480">
        <f t="shared" si="27"/>
        <v>0</v>
      </c>
      <c r="F107" s="166">
        <f t="shared" ref="F107:I107" si="28">SUM(F101:F106)</f>
        <v>432702</v>
      </c>
      <c r="G107" s="166">
        <f t="shared" si="28"/>
        <v>0</v>
      </c>
      <c r="H107" s="166">
        <f t="shared" si="28"/>
        <v>0</v>
      </c>
      <c r="I107" s="166">
        <f t="shared" si="28"/>
        <v>432702</v>
      </c>
      <c r="J107" s="167">
        <f t="shared" si="25"/>
        <v>7.9950747906226249E-2</v>
      </c>
      <c r="K107" s="458"/>
      <c r="L107" s="163"/>
      <c r="M107" s="163"/>
      <c r="O107" s="329">
        <f>I107/I$233</f>
        <v>21.607010885848396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'[26]Sch C'!D98</f>
        <v>0</v>
      </c>
      <c r="D110" s="480">
        <f>'[26]Sch C'!F98</f>
        <v>0</v>
      </c>
      <c r="E110" s="480">
        <f>+'[26]Sch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'[26]Sch C'!D99</f>
        <v>0</v>
      </c>
      <c r="D111" s="480">
        <f>'[26]Sch C'!F99</f>
        <v>0</v>
      </c>
      <c r="E111" s="480">
        <f>+'[26]Sch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'[26]Sch C'!D100</f>
        <v>0</v>
      </c>
      <c r="D112" s="480">
        <f>'[26]Sch C'!F100</f>
        <v>0</v>
      </c>
      <c r="E112" s="480">
        <f>+'[26]Sch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'[26]Sch C'!D101</f>
        <v>66234</v>
      </c>
      <c r="D113" s="480">
        <f>'[26]Sch C'!F101</f>
        <v>0</v>
      </c>
      <c r="E113" s="480">
        <f>+'[26]Sch C'!H101</f>
        <v>0</v>
      </c>
      <c r="F113" s="166">
        <f t="shared" si="29"/>
        <v>66234</v>
      </c>
      <c r="G113" s="626"/>
      <c r="H113" s="166"/>
      <c r="I113" s="166">
        <f t="shared" si="30"/>
        <v>66234</v>
      </c>
      <c r="J113" s="167">
        <f t="shared" si="31"/>
        <v>1.2238117311269626E-2</v>
      </c>
      <c r="K113" s="458"/>
      <c r="L113" s="163"/>
      <c r="M113" s="163"/>
      <c r="O113" s="329">
        <f t="shared" si="32"/>
        <v>3.3074003795066416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'[26]Sch C'!D102</f>
        <v>5673</v>
      </c>
      <c r="D114" s="480">
        <f>'[26]Sch C'!F102</f>
        <v>0</v>
      </c>
      <c r="E114" s="480">
        <f>+'[26]Sch C'!H102</f>
        <v>0</v>
      </c>
      <c r="F114" s="166">
        <f t="shared" si="29"/>
        <v>5673</v>
      </c>
      <c r="G114" s="626"/>
      <c r="H114" s="166"/>
      <c r="I114" s="166">
        <f t="shared" si="30"/>
        <v>5673</v>
      </c>
      <c r="J114" s="167">
        <f t="shared" si="31"/>
        <v>1.0482054459466828E-3</v>
      </c>
      <c r="K114" s="458"/>
      <c r="L114" s="163"/>
      <c r="M114" s="163"/>
      <c r="O114" s="329">
        <f t="shared" si="32"/>
        <v>0.28328173374613003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'[26]Sch C'!D103</f>
        <v>0</v>
      </c>
      <c r="D115" s="480">
        <f>'[26]Sch C'!F103</f>
        <v>0</v>
      </c>
      <c r="E115" s="480">
        <f>+'[26]Sch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71907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71907</v>
      </c>
      <c r="G116" s="166">
        <f t="shared" si="34"/>
        <v>0</v>
      </c>
      <c r="H116" s="166">
        <f t="shared" si="34"/>
        <v>0</v>
      </c>
      <c r="I116" s="166">
        <f t="shared" si="34"/>
        <v>71907</v>
      </c>
      <c r="J116" s="167">
        <f t="shared" si="31"/>
        <v>1.3286322757216308E-2</v>
      </c>
      <c r="K116" s="458"/>
      <c r="L116" s="163"/>
      <c r="M116" s="163"/>
      <c r="O116" s="329">
        <f>I116/I$233</f>
        <v>3.5906821132527713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'[26]Sch C'!D115</f>
        <v>0</v>
      </c>
      <c r="D119" s="480">
        <f>'[26]Sch C'!F115</f>
        <v>0</v>
      </c>
      <c r="E119" s="480">
        <f>+'[26]Sch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'[26]Sch C'!D116</f>
        <v>0</v>
      </c>
      <c r="D120" s="480">
        <f>'[26]Sch C'!F116</f>
        <v>0</v>
      </c>
      <c r="E120" s="480">
        <f>+'[26]Sch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'[26]Sch C'!D117</f>
        <v>12472</v>
      </c>
      <c r="D121" s="480">
        <f>'[26]Sch C'!F117</f>
        <v>0</v>
      </c>
      <c r="E121" s="480">
        <f>+'[26]Sch C'!H117</f>
        <v>0</v>
      </c>
      <c r="F121" s="166">
        <f t="shared" si="35"/>
        <v>12472</v>
      </c>
      <c r="G121" s="626"/>
      <c r="H121" s="166"/>
      <c r="I121" s="166">
        <f t="shared" si="36"/>
        <v>12472</v>
      </c>
      <c r="J121" s="167">
        <f t="shared" si="37"/>
        <v>2.3044629511452543E-3</v>
      </c>
      <c r="K121" s="458"/>
      <c r="L121" s="163"/>
      <c r="M121" s="163"/>
      <c r="O121" s="329">
        <f t="shared" si="38"/>
        <v>0.62279037251572955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'[26]Sch C'!D118</f>
        <v>119153</v>
      </c>
      <c r="D122" s="480">
        <f>'[26]Sch C'!F118</f>
        <v>0</v>
      </c>
      <c r="E122" s="480">
        <f>+'[26]Sch C'!H118</f>
        <v>0</v>
      </c>
      <c r="F122" s="166">
        <f t="shared" si="35"/>
        <v>119153</v>
      </c>
      <c r="G122" s="626"/>
      <c r="H122" s="166"/>
      <c r="I122" s="166">
        <f t="shared" si="36"/>
        <v>119153</v>
      </c>
      <c r="J122" s="167">
        <f t="shared" si="37"/>
        <v>2.2016009783339521E-2</v>
      </c>
      <c r="K122" s="458"/>
      <c r="L122" s="163"/>
      <c r="M122" s="163"/>
      <c r="O122" s="329">
        <f t="shared" si="38"/>
        <v>5.9499151103565362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'[26]Sch C'!D119</f>
        <v>396</v>
      </c>
      <c r="D123" s="480">
        <f>'[26]Sch C'!F119</f>
        <v>0</v>
      </c>
      <c r="E123" s="480">
        <f>+'[26]Sch C'!H119</f>
        <v>0</v>
      </c>
      <c r="F123" s="166">
        <f t="shared" si="35"/>
        <v>396</v>
      </c>
      <c r="G123" s="626"/>
      <c r="H123" s="166"/>
      <c r="I123" s="166">
        <f t="shared" si="36"/>
        <v>396</v>
      </c>
      <c r="J123" s="167">
        <f t="shared" si="37"/>
        <v>7.3169285491783253E-5</v>
      </c>
      <c r="K123" s="458"/>
      <c r="L123" s="163"/>
      <c r="M123" s="163"/>
      <c r="O123" s="329">
        <f t="shared" si="38"/>
        <v>1.9774293418555876E-2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132021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132021</v>
      </c>
      <c r="G124" s="166">
        <f t="shared" si="40"/>
        <v>0</v>
      </c>
      <c r="H124" s="166">
        <f t="shared" si="40"/>
        <v>0</v>
      </c>
      <c r="I124" s="166">
        <f t="shared" si="40"/>
        <v>132021</v>
      </c>
      <c r="J124" s="167">
        <f t="shared" si="37"/>
        <v>2.4393642019976559E-2</v>
      </c>
      <c r="K124" s="458"/>
      <c r="L124" s="163"/>
      <c r="M124" s="163"/>
      <c r="O124" s="329">
        <f t="shared" si="38"/>
        <v>6.5924797762908218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'[26]Sch C'!D124</f>
        <v>0</v>
      </c>
      <c r="D128" s="480">
        <f>'[26]Sch C'!F124</f>
        <v>0</v>
      </c>
      <c r="E128" s="480">
        <f>+'[26]Sch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'[26]Sch C'!D125</f>
        <v>146254</v>
      </c>
      <c r="D129" s="480">
        <f>'[26]Sch C'!F125</f>
        <v>0</v>
      </c>
      <c r="E129" s="480">
        <f>+'[26]Sch C'!H125</f>
        <v>0</v>
      </c>
      <c r="F129" s="166">
        <f t="shared" si="41"/>
        <v>146254</v>
      </c>
      <c r="G129" s="626"/>
      <c r="H129" s="166"/>
      <c r="I129" s="166">
        <f t="shared" si="42"/>
        <v>146254</v>
      </c>
      <c r="J129" s="167">
        <f>IF($I$213=0,0,I129/$I$213)</f>
        <v>2.7023486566452697E-2</v>
      </c>
      <c r="K129" s="458"/>
      <c r="L129" s="176">
        <v>4957</v>
      </c>
      <c r="M129" s="176">
        <v>5157</v>
      </c>
      <c r="O129" s="329">
        <f t="shared" si="43"/>
        <v>7.3032058324178566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'[26]Sch C'!D126</f>
        <v>0</v>
      </c>
      <c r="D130" s="480">
        <f>'[26]Sch C'!F126</f>
        <v>0</v>
      </c>
      <c r="E130" s="480">
        <f>+'[26]Sch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'[26]Sch C'!D127</f>
        <v>0</v>
      </c>
      <c r="D131" s="480">
        <f>'[26]Sch C'!F127</f>
        <v>0</v>
      </c>
      <c r="E131" s="480">
        <f>+'[26]Sch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'[26]Sch C'!D128</f>
        <v>31324</v>
      </c>
      <c r="D132" s="480">
        <f>'[26]Sch C'!F128</f>
        <v>0</v>
      </c>
      <c r="E132" s="480">
        <f>+'[26]Sch C'!H128</f>
        <v>0</v>
      </c>
      <c r="F132" s="166">
        <f t="shared" si="41"/>
        <v>31324</v>
      </c>
      <c r="G132" s="626"/>
      <c r="H132" s="166"/>
      <c r="I132" s="166">
        <f t="shared" si="42"/>
        <v>31324</v>
      </c>
      <c r="J132" s="167">
        <f>IF($I$213=0,0,I132/$I$213)</f>
        <v>5.7877643907692389E-3</v>
      </c>
      <c r="K132" s="458"/>
      <c r="L132" s="176">
        <v>2014</v>
      </c>
      <c r="M132" s="176">
        <v>2267</v>
      </c>
      <c r="O132" s="329">
        <f t="shared" si="43"/>
        <v>1.5641665834415259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'[26]Sch C'!D130</f>
        <v>0</v>
      </c>
      <c r="D134" s="480">
        <f>'[26]Sch C'!F130</f>
        <v>0</v>
      </c>
      <c r="E134" s="480">
        <f>+'[26]Sch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'[26]Sch C'!D131</f>
        <v>33740</v>
      </c>
      <c r="D135" s="480">
        <f>'[26]Sch C'!F131</f>
        <v>0</v>
      </c>
      <c r="E135" s="480">
        <f>+'[26]Sch C'!H131</f>
        <v>0</v>
      </c>
      <c r="F135" s="166">
        <f t="shared" si="44"/>
        <v>33740</v>
      </c>
      <c r="G135" s="626"/>
      <c r="H135" s="166"/>
      <c r="I135" s="166">
        <f t="shared" si="45"/>
        <v>33740</v>
      </c>
      <c r="J135" s="167">
        <f>IF($I$213=0,0,I135/$I$213)</f>
        <v>6.2341709406383006E-3</v>
      </c>
      <c r="K135" s="458"/>
      <c r="L135" s="196"/>
      <c r="M135" s="196"/>
      <c r="O135" s="329">
        <f t="shared" si="43"/>
        <v>1.6848097473284729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'[26]Sch C'!D132</f>
        <v>0</v>
      </c>
      <c r="D136" s="480">
        <f>'[26]Sch C'!F132</f>
        <v>0</v>
      </c>
      <c r="E136" s="480">
        <f>+'[26]Sch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'[26]Sch C'!D133</f>
        <v>0</v>
      </c>
      <c r="D137" s="480">
        <f>'[26]Sch C'!F133</f>
        <v>0</v>
      </c>
      <c r="E137" s="480">
        <f>+'[26]Sch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'[26]Sch C'!D134</f>
        <v>24574</v>
      </c>
      <c r="D138" s="480">
        <f>'[26]Sch C'!F134</f>
        <v>0</v>
      </c>
      <c r="E138" s="480">
        <f>+'[26]Sch C'!H134</f>
        <v>0</v>
      </c>
      <c r="F138" s="166">
        <f t="shared" si="44"/>
        <v>24574</v>
      </c>
      <c r="G138" s="626"/>
      <c r="H138" s="166"/>
      <c r="I138" s="166">
        <f t="shared" si="45"/>
        <v>24574</v>
      </c>
      <c r="J138" s="167">
        <f>IF($I$213=0,0,I138/$I$213)</f>
        <v>4.5405606607956612E-3</v>
      </c>
      <c r="K138" s="458"/>
      <c r="L138" s="163"/>
      <c r="M138" s="163"/>
      <c r="O138" s="329">
        <f t="shared" si="43"/>
        <v>1.2271047638070509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'[26]Sch C'!D136</f>
        <v>472359</v>
      </c>
      <c r="D140" s="480">
        <f>'[26]Sch C'!F136</f>
        <v>0</v>
      </c>
      <c r="E140" s="480">
        <f>+'[26]Sch C'!H136</f>
        <v>0</v>
      </c>
      <c r="F140" s="166">
        <f t="shared" ref="F140:F143" si="46">C140+D140+E140</f>
        <v>472359</v>
      </c>
      <c r="G140" s="626"/>
      <c r="H140" s="166"/>
      <c r="I140" s="166">
        <f t="shared" ref="I140:I143" si="47">F140+G140+H140</f>
        <v>472359</v>
      </c>
      <c r="J140" s="167">
        <f>IF($I$213=0,0,I140/$I$213)</f>
        <v>8.7278208398013243E-2</v>
      </c>
      <c r="K140" s="458"/>
      <c r="L140" s="176">
        <v>17279</v>
      </c>
      <c r="M140" s="176">
        <v>17639</v>
      </c>
      <c r="O140" s="329">
        <f t="shared" si="43"/>
        <v>23.58728652751423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'[26]Sch C'!D137</f>
        <v>355576</v>
      </c>
      <c r="D141" s="480">
        <f>'[26]Sch C'!F137</f>
        <v>0</v>
      </c>
      <c r="E141" s="480">
        <f>+'[26]Sch C'!H137</f>
        <v>0</v>
      </c>
      <c r="F141" s="166">
        <f t="shared" si="46"/>
        <v>355576</v>
      </c>
      <c r="G141" s="626"/>
      <c r="H141" s="166"/>
      <c r="I141" s="166">
        <f t="shared" si="47"/>
        <v>355576</v>
      </c>
      <c r="J141" s="167">
        <f>IF($I$213=0,0,I141/$I$213)</f>
        <v>6.5700105702086675E-2</v>
      </c>
      <c r="K141" s="458"/>
      <c r="L141" s="176">
        <v>17934</v>
      </c>
      <c r="M141" s="176">
        <v>19166</v>
      </c>
      <c r="O141" s="329">
        <f t="shared" si="43"/>
        <v>17.755717567162687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'[26]Sch C'!D138</f>
        <v>649406</v>
      </c>
      <c r="D142" s="480">
        <f>'[26]Sch C'!F138</f>
        <v>20023</v>
      </c>
      <c r="E142" s="480">
        <f>+'[26]Sch C'!H138</f>
        <v>0</v>
      </c>
      <c r="F142" s="166">
        <f t="shared" si="46"/>
        <v>669429</v>
      </c>
      <c r="G142" s="626"/>
      <c r="H142" s="166"/>
      <c r="I142" s="166">
        <f t="shared" si="47"/>
        <v>669429</v>
      </c>
      <c r="J142" s="167">
        <f>IF($I$213=0,0,I142/$I$213)</f>
        <v>0.12369101418555296</v>
      </c>
      <c r="K142" s="458"/>
      <c r="L142" s="176">
        <v>61678</v>
      </c>
      <c r="M142" s="176">
        <v>64997</v>
      </c>
      <c r="O142" s="329">
        <f t="shared" si="43"/>
        <v>33.427993608309201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'[26]Sch C'!D139</f>
        <v>20023</v>
      </c>
      <c r="D143" s="480">
        <f>'[26]Sch C'!F139</f>
        <v>-20023</v>
      </c>
      <c r="E143" s="480">
        <f>+'[26]Sch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'[26]Sch C'!D141</f>
        <v>263390</v>
      </c>
      <c r="D145" s="480">
        <f>'[26]Sch C'!F141</f>
        <v>-180301</v>
      </c>
      <c r="E145" s="480">
        <f>+'[26]Sch C'!H141</f>
        <v>0</v>
      </c>
      <c r="F145" s="166">
        <f t="shared" ref="F145:F148" si="48">C145+D145+E145</f>
        <v>83089</v>
      </c>
      <c r="G145" s="626"/>
      <c r="H145" s="166"/>
      <c r="I145" s="166">
        <f t="shared" ref="I145:I148" si="49">F145+G145+H145</f>
        <v>83089</v>
      </c>
      <c r="J145" s="167">
        <f>IF($I$213=0,0,I145/$I$213)</f>
        <v>1.535243121774439E-2</v>
      </c>
      <c r="K145" s="458"/>
      <c r="L145" s="163"/>
      <c r="M145" s="163"/>
      <c r="O145" s="329">
        <f t="shared" si="43"/>
        <v>4.1490562269050235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'[26]Sch C'!D142</f>
        <v>0</v>
      </c>
      <c r="D146" s="480">
        <f>'[26]Sch C'!F142</f>
        <v>62547</v>
      </c>
      <c r="E146" s="480">
        <f>+'[26]Sch C'!H142</f>
        <v>0</v>
      </c>
      <c r="F146" s="166">
        <f t="shared" si="48"/>
        <v>62547</v>
      </c>
      <c r="G146" s="626"/>
      <c r="H146" s="166"/>
      <c r="I146" s="166">
        <f t="shared" si="49"/>
        <v>62547</v>
      </c>
      <c r="J146" s="167">
        <f>IF($I$213=0,0,I146/$I$213)</f>
        <v>1.1556866918319614E-2</v>
      </c>
      <c r="K146" s="458"/>
      <c r="L146" s="163"/>
      <c r="M146" s="163"/>
      <c r="O146" s="329">
        <f t="shared" si="43"/>
        <v>3.1232897233596324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'[26]Sch C'!D143</f>
        <v>0</v>
      </c>
      <c r="D147" s="480">
        <f>'[26]Sch C'!F143</f>
        <v>117754</v>
      </c>
      <c r="E147" s="480">
        <f>+'[26]Sch C'!H143</f>
        <v>0</v>
      </c>
      <c r="F147" s="166">
        <f t="shared" si="48"/>
        <v>117754</v>
      </c>
      <c r="G147" s="626"/>
      <c r="H147" s="166"/>
      <c r="I147" s="166">
        <f t="shared" si="49"/>
        <v>117754</v>
      </c>
      <c r="J147" s="167">
        <f>IF($I$213=0,0,I147/$I$213)</f>
        <v>2.175751526211981E-2</v>
      </c>
      <c r="K147" s="458"/>
      <c r="L147" s="163"/>
      <c r="M147" s="163"/>
      <c r="O147" s="329">
        <f t="shared" si="43"/>
        <v>5.8800559272945172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'[26]Sch C'!D144</f>
        <v>0</v>
      </c>
      <c r="D148" s="480">
        <f>'[26]Sch C'!F144</f>
        <v>0</v>
      </c>
      <c r="E148" s="480">
        <f>+'[26]Sch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'[26]Sch C'!D146</f>
        <v>26800</v>
      </c>
      <c r="D150" s="480">
        <f>'[26]Sch C'!F146</f>
        <v>0</v>
      </c>
      <c r="E150" s="480">
        <f>+'[26]Sch C'!H146</f>
        <v>0</v>
      </c>
      <c r="F150" s="166">
        <f t="shared" ref="F150:F158" si="50">C150+D150+E150</f>
        <v>26800</v>
      </c>
      <c r="G150" s="626"/>
      <c r="H150" s="166"/>
      <c r="I150" s="166">
        <f t="shared" ref="I150:I158" si="51">F150+G150+H150</f>
        <v>26800</v>
      </c>
      <c r="J150" s="167">
        <f t="shared" ref="J150:J158" si="52">IF($I$213=0,0,I150/$I$213)</f>
        <v>4.9518607353025027E-3</v>
      </c>
      <c r="K150" s="458"/>
      <c r="L150" s="176">
        <v>167.5</v>
      </c>
      <c r="M150" s="176">
        <v>167.5</v>
      </c>
      <c r="O150" s="329">
        <f t="shared" si="43"/>
        <v>1.3382602616598422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'[26]Sch C'!D147</f>
        <v>66830</v>
      </c>
      <c r="D151" s="480">
        <f>'[26]Sch C'!F147</f>
        <v>0</v>
      </c>
      <c r="E151" s="480">
        <f>+'[26]Sch C'!H147</f>
        <v>0</v>
      </c>
      <c r="F151" s="166">
        <f t="shared" si="50"/>
        <v>66830</v>
      </c>
      <c r="G151" s="626"/>
      <c r="H151" s="166"/>
      <c r="I151" s="166">
        <f t="shared" si="51"/>
        <v>66830</v>
      </c>
      <c r="J151" s="167">
        <f t="shared" si="52"/>
        <v>1.234824078135322E-2</v>
      </c>
      <c r="K151" s="458"/>
      <c r="L151" s="176">
        <v>1088</v>
      </c>
      <c r="M151" s="176">
        <v>1088</v>
      </c>
      <c r="O151" s="329">
        <f t="shared" si="43"/>
        <v>3.3371616898032559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'[26]Sch C'!D148</f>
        <v>10139</v>
      </c>
      <c r="D152" s="480">
        <f>'[26]Sch C'!F148</f>
        <v>0</v>
      </c>
      <c r="E152" s="480">
        <f>+'[26]Sch C'!H148</f>
        <v>0</v>
      </c>
      <c r="F152" s="166">
        <f t="shared" si="50"/>
        <v>10139</v>
      </c>
      <c r="G152" s="626"/>
      <c r="H152" s="166"/>
      <c r="I152" s="166">
        <f t="shared" si="51"/>
        <v>10139</v>
      </c>
      <c r="J152" s="167">
        <f t="shared" si="52"/>
        <v>1.8733923878817939E-3</v>
      </c>
      <c r="K152" s="458"/>
      <c r="L152" s="176">
        <v>232</v>
      </c>
      <c r="M152" s="176">
        <v>232</v>
      </c>
      <c r="O152" s="329">
        <f t="shared" si="43"/>
        <v>0.5062918206331769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'[26]Sch C'!D149</f>
        <v>148124</v>
      </c>
      <c r="D153" s="480">
        <f>'[26]Sch C'!F149</f>
        <v>0</v>
      </c>
      <c r="E153" s="480">
        <f>+'[26]Sch C'!H149</f>
        <v>0</v>
      </c>
      <c r="F153" s="166">
        <f t="shared" si="50"/>
        <v>148124</v>
      </c>
      <c r="G153" s="626"/>
      <c r="H153" s="166"/>
      <c r="I153" s="166">
        <f t="shared" si="51"/>
        <v>148124</v>
      </c>
      <c r="J153" s="167">
        <f t="shared" si="52"/>
        <v>2.7369008192386118E-2</v>
      </c>
      <c r="K153" s="458"/>
      <c r="L153" s="176">
        <v>6202</v>
      </c>
      <c r="M153" s="176">
        <v>6202</v>
      </c>
      <c r="O153" s="329">
        <f t="shared" si="43"/>
        <v>7.3965844402277039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'[26]Sch C'!D150</f>
        <v>5164</v>
      </c>
      <c r="D154" s="480">
        <f>'[26]Sch C'!F150</f>
        <v>0</v>
      </c>
      <c r="E154" s="480">
        <f>+'[26]Sch C'!H150</f>
        <v>0</v>
      </c>
      <c r="F154" s="166">
        <f t="shared" si="50"/>
        <v>5164</v>
      </c>
      <c r="G154" s="626"/>
      <c r="H154" s="166"/>
      <c r="I154" s="166">
        <f t="shared" si="51"/>
        <v>5164</v>
      </c>
      <c r="J154" s="167">
        <f t="shared" si="52"/>
        <v>9.5415704616052708E-4</v>
      </c>
      <c r="K154" s="458"/>
      <c r="L154" s="176">
        <v>0</v>
      </c>
      <c r="M154" s="176">
        <v>0</v>
      </c>
      <c r="O154" s="329">
        <f t="shared" si="43"/>
        <v>0.2578647757914711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'[26]Sch C'!D151</f>
        <v>91209</v>
      </c>
      <c r="D155" s="480">
        <f>'[26]Sch C'!F151</f>
        <v>0</v>
      </c>
      <c r="E155" s="480">
        <f>+'[26]Sch C'!H151</f>
        <v>0</v>
      </c>
      <c r="F155" s="166">
        <f t="shared" si="50"/>
        <v>91209</v>
      </c>
      <c r="G155" s="626"/>
      <c r="H155" s="166"/>
      <c r="I155" s="166">
        <f t="shared" si="51"/>
        <v>91209</v>
      </c>
      <c r="J155" s="167">
        <f t="shared" si="52"/>
        <v>1.6852771112171865E-2</v>
      </c>
      <c r="K155" s="458"/>
      <c r="L155" s="163"/>
      <c r="M155" s="163"/>
      <c r="O155" s="329">
        <f t="shared" si="43"/>
        <v>4.5545291121541993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'[26]Sch C'!D152</f>
        <v>4822</v>
      </c>
      <c r="D156" s="480">
        <f>'[26]Sch C'!F152</f>
        <v>0</v>
      </c>
      <c r="E156" s="480">
        <f>+'[26]Sch C'!H152</f>
        <v>0</v>
      </c>
      <c r="F156" s="166">
        <f t="shared" si="50"/>
        <v>4822</v>
      </c>
      <c r="G156" s="626"/>
      <c r="H156" s="166"/>
      <c r="I156" s="166">
        <f t="shared" si="51"/>
        <v>4822</v>
      </c>
      <c r="J156" s="167">
        <f t="shared" si="52"/>
        <v>8.9096539050853248E-4</v>
      </c>
      <c r="K156" s="458"/>
      <c r="L156" s="163"/>
      <c r="M156" s="163"/>
      <c r="O156" s="329">
        <f t="shared" si="43"/>
        <v>0.24078697692999101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'[26]Sch C'!D153</f>
        <v>0</v>
      </c>
      <c r="D157" s="480">
        <f>'[26]Sch C'!F153</f>
        <v>0</v>
      </c>
      <c r="E157" s="480">
        <f>+'[26]Sch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'[26]Sch C'!D154</f>
        <v>0</v>
      </c>
      <c r="D158" s="480">
        <f>'[26]Sch C'!F154</f>
        <v>0</v>
      </c>
      <c r="E158" s="480">
        <f>+'[26]Sch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'[26]Sch C'!D156</f>
        <v>0</v>
      </c>
      <c r="D160" s="480">
        <f>'[26]Sch C'!F156</f>
        <v>0</v>
      </c>
      <c r="E160" s="480">
        <f>+'[26]Sch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'[26]Sch C'!D157</f>
        <v>0</v>
      </c>
      <c r="D161" s="480">
        <f>'[26]Sch C'!F157</f>
        <v>0</v>
      </c>
      <c r="E161" s="480">
        <f>+'[26]Sch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'[26]Sch C'!D158</f>
        <v>1767</v>
      </c>
      <c r="D162" s="480">
        <f>'[26]Sch C'!F158</f>
        <v>0</v>
      </c>
      <c r="E162" s="480">
        <f>+'[26]Sch C'!H158</f>
        <v>0</v>
      </c>
      <c r="F162" s="166">
        <f t="shared" si="53"/>
        <v>1767</v>
      </c>
      <c r="G162" s="626"/>
      <c r="H162" s="166"/>
      <c r="I162" s="166">
        <f t="shared" si="54"/>
        <v>1767</v>
      </c>
      <c r="J162" s="167">
        <f t="shared" si="55"/>
        <v>3.2649022086863889E-4</v>
      </c>
      <c r="K162" s="458"/>
      <c r="L162" s="163"/>
      <c r="M162" s="163"/>
      <c r="O162" s="329">
        <f t="shared" si="43"/>
        <v>8.8235294117647065E-2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'[26]Sch C'!D159</f>
        <v>0</v>
      </c>
      <c r="D163" s="480">
        <f>'[26]Sch C'!F159</f>
        <v>0</v>
      </c>
      <c r="E163" s="480">
        <f>+'[26]Sch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'[26]Sch C'!D160</f>
        <v>0</v>
      </c>
      <c r="D164" s="480">
        <f>'[26]Sch C'!F160</f>
        <v>0</v>
      </c>
      <c r="E164" s="480">
        <f>+'[26]Sch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'[26]Sch C'!D161</f>
        <v>15959</v>
      </c>
      <c r="D165" s="480">
        <f>'[26]Sch C'!F161</f>
        <v>-122792</v>
      </c>
      <c r="E165" s="480">
        <f>+'[26]Sch C'!H161</f>
        <v>0</v>
      </c>
      <c r="F165" s="166">
        <f t="shared" si="53"/>
        <v>-106833</v>
      </c>
      <c r="G165" s="626"/>
      <c r="H165" s="166"/>
      <c r="I165" s="166">
        <f t="shared" si="54"/>
        <v>-106833</v>
      </c>
      <c r="J165" s="167">
        <f t="shared" si="55"/>
        <v>-1.9739632012484042E-2</v>
      </c>
      <c r="K165" s="458"/>
      <c r="L165" s="163"/>
      <c r="M165" s="163"/>
      <c r="O165" s="329">
        <f t="shared" si="43"/>
        <v>-5.3347148706681313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2367460</v>
      </c>
      <c r="D166" s="480">
        <f t="shared" si="56"/>
        <v>-122792</v>
      </c>
      <c r="E166" s="480">
        <f t="shared" si="56"/>
        <v>0</v>
      </c>
      <c r="F166" s="166">
        <f t="shared" ref="F166:I166" si="57">SUM(F128:F165)</f>
        <v>2244668</v>
      </c>
      <c r="G166" s="166">
        <f t="shared" si="57"/>
        <v>0</v>
      </c>
      <c r="H166" s="166">
        <f t="shared" si="57"/>
        <v>0</v>
      </c>
      <c r="I166" s="166">
        <f t="shared" si="57"/>
        <v>2244668</v>
      </c>
      <c r="J166" s="167">
        <f t="shared" si="55"/>
        <v>0.41474937809664175</v>
      </c>
      <c r="K166" s="458"/>
      <c r="L166" s="163"/>
      <c r="M166" s="163"/>
      <c r="O166" s="329">
        <f>I166/I$233</f>
        <v>112.08768600818935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'[26]Sch C'!D175</f>
        <v>0</v>
      </c>
      <c r="D169" s="480">
        <f>'[26]Sch C'!F175</f>
        <v>0</v>
      </c>
      <c r="E169" s="480">
        <f>+'[26]Sch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'[26]Sch C'!D176</f>
        <v>0</v>
      </c>
      <c r="D170" s="480">
        <f>'[26]Sch C'!F176</f>
        <v>0</v>
      </c>
      <c r="E170" s="480">
        <f>+'[26]Sch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'[26]Sch C'!D177</f>
        <v>0</v>
      </c>
      <c r="D171" s="480">
        <f>'[26]Sch C'!F177</f>
        <v>0</v>
      </c>
      <c r="E171" s="480">
        <f>+'[26]Sch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'[26]Sch C'!D178</f>
        <v>0</v>
      </c>
      <c r="D172" s="480">
        <f>'[26]Sch C'!F178</f>
        <v>0</v>
      </c>
      <c r="E172" s="480">
        <f>+'[26]Sch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'[26]Sch C'!D179</f>
        <v>0</v>
      </c>
      <c r="D173" s="480">
        <f>'[26]Sch C'!F179</f>
        <v>0</v>
      </c>
      <c r="E173" s="480">
        <f>+'[26]Sch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'[26]Sch C'!D180</f>
        <v>0</v>
      </c>
      <c r="D174" s="480">
        <f>'[26]Sch C'!F180</f>
        <v>0</v>
      </c>
      <c r="E174" s="480">
        <f>+'[26]Sch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'[26]Sch C'!D181</f>
        <v>0</v>
      </c>
      <c r="D175" s="480">
        <f>'[26]Sch C'!F181</f>
        <v>0</v>
      </c>
      <c r="E175" s="480">
        <f>+'[26]Sch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'[26]Sch C'!D182</f>
        <v>0</v>
      </c>
      <c r="D176" s="480">
        <f>'[26]Sch C'!F182</f>
        <v>0</v>
      </c>
      <c r="E176" s="480">
        <f>+'[26]Sch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'[26]Sch C'!D183</f>
        <v>0</v>
      </c>
      <c r="D177" s="480">
        <f>'[26]Sch C'!F183</f>
        <v>0</v>
      </c>
      <c r="E177" s="480">
        <f>+'[26]Sch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'[26]Sch C'!D184</f>
        <v>0</v>
      </c>
      <c r="D178" s="480">
        <f>'[26]Sch C'!F184</f>
        <v>0</v>
      </c>
      <c r="E178" s="480">
        <f>+'[26]Sch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'[26]Sch C'!D185</f>
        <v>0</v>
      </c>
      <c r="D179" s="480">
        <f>'[26]Sch C'!F185</f>
        <v>0</v>
      </c>
      <c r="E179" s="480">
        <f>+'[26]Sch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'[26]Sch C'!D186</f>
        <v>0</v>
      </c>
      <c r="D180" s="480">
        <f>'[26]Sch C'!F186</f>
        <v>0</v>
      </c>
      <c r="E180" s="480">
        <f>+'[26]Sch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'[26]Sch C'!D187</f>
        <v>0</v>
      </c>
      <c r="D181" s="480">
        <f>'[26]Sch C'!F187</f>
        <v>0</v>
      </c>
      <c r="E181" s="480">
        <f>+'[26]Sch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'[26]Sch C'!D188</f>
        <v>0</v>
      </c>
      <c r="D182" s="480">
        <f>'[26]Sch C'!F188</f>
        <v>0</v>
      </c>
      <c r="E182" s="480">
        <f>+'[26]Sch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'[26]Sch C'!D189</f>
        <v>0</v>
      </c>
      <c r="D183" s="480">
        <f>'[26]Sch C'!F189</f>
        <v>0</v>
      </c>
      <c r="E183" s="480">
        <f>+'[26]Sch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'[26]Sch C'!D190</f>
        <v>0</v>
      </c>
      <c r="D184" s="480">
        <f>'[26]Sch C'!F190</f>
        <v>0</v>
      </c>
      <c r="E184" s="480">
        <f>+'[26]Sch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'[26]Sch C'!D191</f>
        <v>0</v>
      </c>
      <c r="D185" s="480">
        <f>'[26]Sch C'!F191</f>
        <v>0</v>
      </c>
      <c r="E185" s="480">
        <f>+'[26]Sch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'[26]Sch C'!D192</f>
        <v>0</v>
      </c>
      <c r="D186" s="480">
        <f>'[26]Sch C'!F192</f>
        <v>0</v>
      </c>
      <c r="E186" s="480">
        <f>+'[26]Sch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'[26]Sch C'!D193</f>
        <v>1276</v>
      </c>
      <c r="D187" s="480">
        <f>'[26]Sch C'!F193</f>
        <v>0</v>
      </c>
      <c r="E187" s="480">
        <f>+'[26]Sch C'!H193</f>
        <v>0</v>
      </c>
      <c r="F187" s="166">
        <f t="shared" si="58"/>
        <v>1276</v>
      </c>
      <c r="G187" s="626"/>
      <c r="H187" s="166"/>
      <c r="I187" s="166">
        <f t="shared" si="59"/>
        <v>1276</v>
      </c>
      <c r="J187" s="167">
        <f t="shared" si="60"/>
        <v>2.3576769769574605E-4</v>
      </c>
      <c r="K187" s="458"/>
      <c r="L187" s="213"/>
      <c r="M187" s="208"/>
      <c r="N187" s="210"/>
      <c r="O187" s="329">
        <f t="shared" si="61"/>
        <v>6.3717167682013381E-2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'[26]Sch C'!D194</f>
        <v>115198</v>
      </c>
      <c r="D188" s="480">
        <f>'[26]Sch C'!F194</f>
        <v>0</v>
      </c>
      <c r="E188" s="480">
        <f>+'[26]Sch C'!H194</f>
        <v>2016</v>
      </c>
      <c r="F188" s="166">
        <f t="shared" si="58"/>
        <v>117214</v>
      </c>
      <c r="G188" s="626"/>
      <c r="H188" s="166"/>
      <c r="I188" s="166">
        <f t="shared" si="59"/>
        <v>117214</v>
      </c>
      <c r="J188" s="167">
        <f t="shared" si="60"/>
        <v>2.1657738963721924E-2</v>
      </c>
      <c r="K188" s="458"/>
      <c r="L188" s="213"/>
      <c r="M188" s="208"/>
      <c r="O188" s="329">
        <f t="shared" si="61"/>
        <v>5.8530909817237591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'[26]Sch C'!D195</f>
        <v>44655</v>
      </c>
      <c r="D189" s="480">
        <f>'[26]Sch C'!F195</f>
        <v>0</v>
      </c>
      <c r="E189" s="480">
        <f>+'[26]Sch C'!H195</f>
        <v>781</v>
      </c>
      <c r="F189" s="166">
        <f t="shared" si="58"/>
        <v>45436</v>
      </c>
      <c r="G189" s="626"/>
      <c r="H189" s="166"/>
      <c r="I189" s="166">
        <f t="shared" si="59"/>
        <v>45436</v>
      </c>
      <c r="J189" s="167">
        <f t="shared" si="60"/>
        <v>8.3952516555673325E-3</v>
      </c>
      <c r="K189" s="458"/>
      <c r="L189" s="213"/>
      <c r="M189" s="208"/>
      <c r="O189" s="329">
        <f t="shared" si="61"/>
        <v>2.2688504943573355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'[26]Sch C'!D196</f>
        <v>0</v>
      </c>
      <c r="D190" s="480">
        <f>'[26]Sch C'!F196</f>
        <v>0</v>
      </c>
      <c r="E190" s="480">
        <f>+'[26]Sch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'[26]Sch C'!D197</f>
        <v>130609</v>
      </c>
      <c r="D191" s="480">
        <f>'[26]Sch C'!F197</f>
        <v>0</v>
      </c>
      <c r="E191" s="480">
        <f>+'[26]Sch C'!H197</f>
        <v>2286</v>
      </c>
      <c r="F191" s="166">
        <f t="shared" si="58"/>
        <v>132895</v>
      </c>
      <c r="G191" s="626"/>
      <c r="H191" s="166"/>
      <c r="I191" s="166">
        <f t="shared" si="59"/>
        <v>132895</v>
      </c>
      <c r="J191" s="167">
        <f t="shared" si="60"/>
        <v>2.4555131806642767E-2</v>
      </c>
      <c r="K191" s="458"/>
      <c r="L191" s="213"/>
      <c r="M191" s="208"/>
      <c r="O191" s="329">
        <f t="shared" si="61"/>
        <v>6.6361230400479378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'[26]Sch C'!D198</f>
        <v>36172</v>
      </c>
      <c r="D192" s="480">
        <f>'[26]Sch C'!F198</f>
        <v>0</v>
      </c>
      <c r="E192" s="480">
        <f>+'[26]Sch C'!H198</f>
        <v>0</v>
      </c>
      <c r="F192" s="166">
        <f t="shared" si="58"/>
        <v>36172</v>
      </c>
      <c r="G192" s="626"/>
      <c r="H192" s="166"/>
      <c r="I192" s="166">
        <f t="shared" si="59"/>
        <v>36172</v>
      </c>
      <c r="J192" s="167">
        <f t="shared" si="60"/>
        <v>6.6835338252747064E-3</v>
      </c>
      <c r="K192" s="458"/>
      <c r="L192" s="213"/>
      <c r="M192" s="208"/>
      <c r="O192" s="329">
        <f t="shared" si="61"/>
        <v>1.8062518725656647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'[26]Sch C'!D199</f>
        <v>0</v>
      </c>
      <c r="D193" s="480">
        <f>'[26]Sch C'!F199</f>
        <v>0</v>
      </c>
      <c r="E193" s="480">
        <f>+'[26]Sch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'[26]Sch C'!D200</f>
        <v>0</v>
      </c>
      <c r="D194" s="480">
        <f>'[26]Sch C'!F200</f>
        <v>0</v>
      </c>
      <c r="E194" s="480">
        <f>+'[26]Sch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'[26]Sch C'!D201</f>
        <v>0</v>
      </c>
      <c r="D195" s="480">
        <f>'[26]Sch C'!F201</f>
        <v>0</v>
      </c>
      <c r="E195" s="480">
        <f>+'[26]Sch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'[26]Sch C'!D202</f>
        <v>0</v>
      </c>
      <c r="D196" s="480">
        <f>'[26]Sch C'!F202</f>
        <v>0</v>
      </c>
      <c r="E196" s="480">
        <f>+'[26]Sch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'[26]Sch C'!D203</f>
        <v>0</v>
      </c>
      <c r="D197" s="480">
        <f>'[26]Sch C'!F203</f>
        <v>0</v>
      </c>
      <c r="E197" s="480">
        <f>+'[26]Sch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'[26]Sch C'!D204</f>
        <v>0</v>
      </c>
      <c r="D198" s="480">
        <f>'[26]Sch C'!F204</f>
        <v>0</v>
      </c>
      <c r="E198" s="480">
        <f>+'[26]Sch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'[26]Sch C'!D205</f>
        <v>115234</v>
      </c>
      <c r="D199" s="480">
        <f>'[26]Sch C'!F205</f>
        <v>0</v>
      </c>
      <c r="E199" s="480">
        <f>+'[26]Sch C'!H205</f>
        <v>0</v>
      </c>
      <c r="F199" s="166">
        <f t="shared" si="58"/>
        <v>115234</v>
      </c>
      <c r="G199" s="626"/>
      <c r="H199" s="166"/>
      <c r="I199" s="166">
        <f t="shared" si="59"/>
        <v>115234</v>
      </c>
      <c r="J199" s="167">
        <f t="shared" si="60"/>
        <v>2.1291892536263009E-2</v>
      </c>
      <c r="K199" s="458"/>
      <c r="L199" s="213"/>
      <c r="M199" s="208"/>
      <c r="O199" s="329">
        <f t="shared" si="61"/>
        <v>5.7542195146309796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'[26]Sch C'!D206</f>
        <v>207</v>
      </c>
      <c r="D200" s="480">
        <f>'[26]Sch C'!F206</f>
        <v>0</v>
      </c>
      <c r="E200" s="480">
        <f>+'[26]Sch C'!H206</f>
        <v>0</v>
      </c>
      <c r="F200" s="166">
        <f t="shared" si="58"/>
        <v>207</v>
      </c>
      <c r="G200" s="626"/>
      <c r="H200" s="166"/>
      <c r="I200" s="166">
        <f t="shared" si="59"/>
        <v>207</v>
      </c>
      <c r="J200" s="167">
        <f t="shared" si="60"/>
        <v>3.8247581052523067E-5</v>
      </c>
      <c r="K200" s="458"/>
      <c r="L200" s="213"/>
      <c r="M200" s="208"/>
      <c r="O200" s="329">
        <f t="shared" si="61"/>
        <v>1.0336562468790573E-2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'[26]Sch C'!D207</f>
        <v>4824</v>
      </c>
      <c r="D201" s="480">
        <f>'[26]Sch C'!F207</f>
        <v>0</v>
      </c>
      <c r="E201" s="480">
        <f>+'[26]Sch C'!H207</f>
        <v>0</v>
      </c>
      <c r="F201" s="166">
        <f t="shared" si="58"/>
        <v>4824</v>
      </c>
      <c r="G201" s="626"/>
      <c r="H201" s="166"/>
      <c r="I201" s="166">
        <f t="shared" si="59"/>
        <v>4824</v>
      </c>
      <c r="J201" s="167">
        <f t="shared" si="60"/>
        <v>8.9133493235445051E-4</v>
      </c>
      <c r="K201" s="458"/>
      <c r="L201" s="213"/>
      <c r="M201" s="208"/>
      <c r="O201" s="329">
        <f t="shared" si="61"/>
        <v>0.24088684709877159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448175</v>
      </c>
      <c r="D202" s="480">
        <f t="shared" si="62"/>
        <v>0</v>
      </c>
      <c r="E202" s="480">
        <f t="shared" si="62"/>
        <v>5083</v>
      </c>
      <c r="F202" s="166">
        <f t="shared" ref="F202:I202" si="63">SUM(F169:F201)</f>
        <v>453258</v>
      </c>
      <c r="G202" s="166">
        <f t="shared" si="63"/>
        <v>0</v>
      </c>
      <c r="H202" s="166">
        <f t="shared" si="63"/>
        <v>0</v>
      </c>
      <c r="I202" s="166">
        <f t="shared" si="63"/>
        <v>453258</v>
      </c>
      <c r="J202" s="167">
        <f>IF($I$213=0,0,I202/$I$213)</f>
        <v>8.3748898998572463E-2</v>
      </c>
      <c r="K202" s="458"/>
      <c r="L202" s="163"/>
      <c r="M202" s="163"/>
      <c r="O202" s="329">
        <f>I202/I$233</f>
        <v>22.633476480575251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'[26]Sch C'!D211</f>
        <v>105034</v>
      </c>
      <c r="D205" s="480">
        <f>'[26]Sch C'!F211</f>
        <v>0</v>
      </c>
      <c r="E205" s="480">
        <f>+'[26]Sch C'!H211</f>
        <v>0</v>
      </c>
      <c r="F205" s="166">
        <f t="shared" ref="F205:F210" si="64">C205+D205+E205</f>
        <v>105034</v>
      </c>
      <c r="G205" s="626"/>
      <c r="H205" s="166"/>
      <c r="I205" s="166">
        <f t="shared" ref="I205:I210" si="65">F205+G205+H205</f>
        <v>105034</v>
      </c>
      <c r="J205" s="167">
        <f t="shared" ref="J205:J211" si="66">IF($I$213=0,0,I205/$I$213)</f>
        <v>1.9407229122080712E-2</v>
      </c>
      <c r="K205" s="458"/>
      <c r="L205" s="176">
        <v>6501</v>
      </c>
      <c r="M205" s="176">
        <v>6776</v>
      </c>
      <c r="O205" s="329">
        <f t="shared" ref="O205:O210" si="67">I205/I$233</f>
        <v>5.2448816538499949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'[26]Sch C'!D212</f>
        <v>18736</v>
      </c>
      <c r="D206" s="480">
        <f>'[26]Sch C'!F212</f>
        <v>0</v>
      </c>
      <c r="E206" s="480">
        <f>+'[26]Sch C'!H212</f>
        <v>0</v>
      </c>
      <c r="F206" s="166">
        <f t="shared" si="64"/>
        <v>18736</v>
      </c>
      <c r="G206" s="626"/>
      <c r="H206" s="166"/>
      <c r="I206" s="166">
        <f t="shared" si="65"/>
        <v>18736</v>
      </c>
      <c r="J206" s="167">
        <f t="shared" si="66"/>
        <v>3.4618680125607349E-3</v>
      </c>
      <c r="K206" s="458"/>
      <c r="L206" s="163"/>
      <c r="M206" s="163"/>
      <c r="O206" s="329">
        <f t="shared" si="67"/>
        <v>0.93558374113652254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'[26]Sch C'!D213</f>
        <v>3730</v>
      </c>
      <c r="D207" s="480">
        <f>'[26]Sch C'!F213</f>
        <v>0</v>
      </c>
      <c r="E207" s="480">
        <f>+'[26]Sch C'!H213</f>
        <v>0</v>
      </c>
      <c r="F207" s="166">
        <f t="shared" si="64"/>
        <v>3730</v>
      </c>
      <c r="G207" s="626"/>
      <c r="H207" s="166"/>
      <c r="I207" s="166">
        <f t="shared" si="65"/>
        <v>3730</v>
      </c>
      <c r="J207" s="167">
        <f t="shared" si="66"/>
        <v>6.891955426372513E-4</v>
      </c>
      <c r="K207" s="458"/>
      <c r="L207" s="163"/>
      <c r="M207" s="163"/>
      <c r="O207" s="329">
        <f t="shared" si="67"/>
        <v>0.18625786477579148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'[26]Sch C'!D214</f>
        <v>0</v>
      </c>
      <c r="D208" s="480">
        <f>'[26]Sch C'!F214</f>
        <v>0</v>
      </c>
      <c r="E208" s="480">
        <f>+'[26]Sch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'[26]Sch C'!D215</f>
        <v>0</v>
      </c>
      <c r="D209" s="480">
        <f>'[26]Sch C'!F215</f>
        <v>0</v>
      </c>
      <c r="E209" s="480">
        <f>+'[26]Sch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'[26]Sch C'!D216</f>
        <v>1827</v>
      </c>
      <c r="D210" s="480">
        <f>'[26]Sch C'!F216</f>
        <v>0</v>
      </c>
      <c r="E210" s="480">
        <f>+'[26]Sch C'!H216</f>
        <v>0</v>
      </c>
      <c r="F210" s="166">
        <f t="shared" si="64"/>
        <v>1827</v>
      </c>
      <c r="G210" s="626"/>
      <c r="H210" s="166"/>
      <c r="I210" s="166">
        <f t="shared" si="65"/>
        <v>1827</v>
      </c>
      <c r="J210" s="167">
        <f t="shared" si="66"/>
        <v>3.3757647624618184E-4</v>
      </c>
      <c r="K210" s="458"/>
      <c r="L210" s="163"/>
      <c r="M210" s="163"/>
      <c r="O210" s="329">
        <f t="shared" si="67"/>
        <v>9.1231399181064612E-2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129327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129327</v>
      </c>
      <c r="G211" s="166">
        <f t="shared" si="69"/>
        <v>0</v>
      </c>
      <c r="H211" s="166">
        <f t="shared" si="69"/>
        <v>0</v>
      </c>
      <c r="I211" s="166">
        <f t="shared" si="69"/>
        <v>129327</v>
      </c>
      <c r="J211" s="167">
        <f t="shared" si="66"/>
        <v>2.389586915352488E-2</v>
      </c>
      <c r="K211" s="458"/>
      <c r="L211" s="163"/>
      <c r="M211" s="163"/>
      <c r="O211" s="329">
        <f>I211/I$233</f>
        <v>6.4579546589433736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5697230</v>
      </c>
      <c r="D213" s="480">
        <f t="shared" si="70"/>
        <v>-356428</v>
      </c>
      <c r="E213" s="480">
        <f t="shared" si="70"/>
        <v>71607</v>
      </c>
      <c r="F213" s="166">
        <f t="shared" ref="F213:I213" si="71">SUM(F30:F211)/2</f>
        <v>5412409</v>
      </c>
      <c r="G213" s="166">
        <f t="shared" si="71"/>
        <v>-302.02999999999997</v>
      </c>
      <c r="H213" s="166">
        <f t="shared" si="71"/>
        <v>0</v>
      </c>
      <c r="I213" s="166">
        <f t="shared" si="71"/>
        <v>5412106.9699999997</v>
      </c>
      <c r="J213" s="167">
        <f>IF($I$213=0,0,I213/$I$213)</f>
        <v>1</v>
      </c>
      <c r="K213" s="458"/>
      <c r="L213" s="176">
        <f>SUM(L30:L205)</f>
        <v>131655.5</v>
      </c>
      <c r="M213" s="176">
        <f>SUM(M30:M205)</f>
        <v>138678.5</v>
      </c>
      <c r="O213" s="329">
        <f>I213/I$233</f>
        <v>270.25401827624086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'[26]Sch C'!D221</f>
        <v>5697230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-1229713</v>
      </c>
      <c r="D220" s="480">
        <f t="shared" si="72"/>
        <v>216719</v>
      </c>
      <c r="E220" s="480">
        <f t="shared" si="72"/>
        <v>-71607</v>
      </c>
      <c r="F220" s="166">
        <f t="shared" ref="F220:I220" si="73">F26-F213</f>
        <v>-1084601</v>
      </c>
      <c r="G220" s="166">
        <f t="shared" si="73"/>
        <v>302.02999999999997</v>
      </c>
      <c r="H220" s="166">
        <f t="shared" si="73"/>
        <v>0</v>
      </c>
      <c r="I220" s="166">
        <f t="shared" si="73"/>
        <v>-1084298.9699999997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'[26]Sch D'!C9</f>
        <v>12437</v>
      </c>
      <c r="D224" s="480"/>
      <c r="E224" s="480"/>
      <c r="F224" s="224">
        <f>C224+D224+E224</f>
        <v>12437</v>
      </c>
      <c r="G224" s="631">
        <f>-181-386</f>
        <v>-567</v>
      </c>
      <c r="H224" s="223"/>
      <c r="I224" s="224">
        <f>F224+G224+H224</f>
        <v>11870</v>
      </c>
      <c r="J224" s="167">
        <f t="shared" ref="J224:J233" si="74">IF($I$233=0,0,I224/$I$233)</f>
        <v>0.59272945171277336</v>
      </c>
      <c r="K224" s="162" t="s">
        <v>633</v>
      </c>
      <c r="L224" s="163"/>
      <c r="M224" s="163"/>
    </row>
    <row r="225" spans="1:13">
      <c r="A225" s="158"/>
      <c r="B225" s="165" t="s">
        <v>201</v>
      </c>
      <c r="C225" s="504">
        <f>'[26]Sch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'[26]Sch D'!E9</f>
        <v>1241</v>
      </c>
      <c r="D226" s="480"/>
      <c r="E226" s="480"/>
      <c r="F226" s="224">
        <f t="shared" si="75"/>
        <v>1241</v>
      </c>
      <c r="G226" s="627"/>
      <c r="H226" s="223"/>
      <c r="I226" s="224">
        <f t="shared" si="76"/>
        <v>1241</v>
      </c>
      <c r="J226" s="167">
        <f t="shared" si="74"/>
        <v>6.1969439728353143E-2</v>
      </c>
      <c r="K226" s="458"/>
      <c r="L226" s="163"/>
      <c r="M226" s="163"/>
    </row>
    <row r="227" spans="1:13">
      <c r="A227" s="158"/>
      <c r="B227" s="194" t="s">
        <v>315</v>
      </c>
      <c r="C227" s="504">
        <f>'[26]Sch D'!F9</f>
        <v>229</v>
      </c>
      <c r="D227" s="480"/>
      <c r="E227" s="480"/>
      <c r="F227" s="224">
        <f t="shared" si="75"/>
        <v>229</v>
      </c>
      <c r="G227" s="627"/>
      <c r="H227" s="223"/>
      <c r="I227" s="224">
        <f t="shared" si="76"/>
        <v>229</v>
      </c>
      <c r="J227" s="167">
        <f t="shared" si="74"/>
        <v>1.143513432537701E-2</v>
      </c>
      <c r="K227" s="458"/>
      <c r="L227" s="163"/>
      <c r="M227" s="163"/>
    </row>
    <row r="228" spans="1:13">
      <c r="A228" s="158"/>
      <c r="B228" s="165" t="s">
        <v>65</v>
      </c>
      <c r="C228" s="504">
        <f>'[26]Sch D'!G9</f>
        <v>1922</v>
      </c>
      <c r="D228" s="480"/>
      <c r="E228" s="480"/>
      <c r="F228" s="224">
        <f t="shared" si="75"/>
        <v>1922</v>
      </c>
      <c r="G228" s="627"/>
      <c r="H228" s="223"/>
      <c r="I228" s="224">
        <f t="shared" si="76"/>
        <v>1922</v>
      </c>
      <c r="J228" s="167">
        <f t="shared" si="74"/>
        <v>9.5975232198142413E-2</v>
      </c>
      <c r="K228" s="458"/>
      <c r="L228" s="163"/>
      <c r="M228" s="163"/>
    </row>
    <row r="229" spans="1:13">
      <c r="A229" s="158"/>
      <c r="B229" s="165" t="s">
        <v>66</v>
      </c>
      <c r="C229" s="504">
        <f>'[26]Sch D'!H9</f>
        <v>1402</v>
      </c>
      <c r="D229" s="480"/>
      <c r="E229" s="480"/>
      <c r="F229" s="224">
        <f t="shared" si="75"/>
        <v>1402</v>
      </c>
      <c r="G229" s="627"/>
      <c r="H229" s="223"/>
      <c r="I229" s="224">
        <f t="shared" si="76"/>
        <v>1402</v>
      </c>
      <c r="J229" s="167">
        <f t="shared" si="74"/>
        <v>7.0008988315190257E-2</v>
      </c>
      <c r="K229" s="458"/>
      <c r="L229" s="163"/>
      <c r="M229" s="163"/>
    </row>
    <row r="230" spans="1:13">
      <c r="A230" s="158"/>
      <c r="B230" s="165" t="s">
        <v>219</v>
      </c>
      <c r="C230" s="504">
        <f>'[26]Sch D'!I9</f>
        <v>2618</v>
      </c>
      <c r="D230" s="480"/>
      <c r="E230" s="480"/>
      <c r="F230" s="224">
        <f t="shared" si="75"/>
        <v>2618</v>
      </c>
      <c r="G230" s="627"/>
      <c r="H230" s="223"/>
      <c r="I230" s="224">
        <f t="shared" si="76"/>
        <v>2618</v>
      </c>
      <c r="J230" s="167">
        <f t="shared" si="74"/>
        <v>0.13073005093378609</v>
      </c>
      <c r="K230" s="458"/>
      <c r="L230" s="163"/>
      <c r="M230" s="163"/>
    </row>
    <row r="231" spans="1:13">
      <c r="A231" s="158"/>
      <c r="B231" s="165" t="s">
        <v>218</v>
      </c>
      <c r="C231" s="504">
        <f>'[26]Sch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'[26]Sch D'!K9</f>
        <v>177</v>
      </c>
      <c r="D232" s="480"/>
      <c r="E232" s="480"/>
      <c r="F232" s="224">
        <f t="shared" si="75"/>
        <v>177</v>
      </c>
      <c r="G232" s="627">
        <f>181+386</f>
        <v>567</v>
      </c>
      <c r="H232" s="223"/>
      <c r="I232" s="224">
        <f t="shared" si="76"/>
        <v>744</v>
      </c>
      <c r="J232" s="167">
        <f t="shared" si="74"/>
        <v>3.7151702786377708E-2</v>
      </c>
      <c r="K232" s="162" t="s">
        <v>633</v>
      </c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20026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20026</v>
      </c>
      <c r="G233" s="226">
        <f t="shared" si="78"/>
        <v>0</v>
      </c>
      <c r="H233" s="226">
        <f t="shared" si="78"/>
        <v>0</v>
      </c>
      <c r="I233" s="226">
        <f t="shared" si="78"/>
        <v>20026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'[26]Sch D'!N22</f>
        <v>106</v>
      </c>
      <c r="D236" s="480"/>
      <c r="E236" s="480"/>
      <c r="F236" s="224">
        <f>C236+E236</f>
        <v>106</v>
      </c>
      <c r="G236" s="627"/>
      <c r="H236" s="224"/>
      <c r="I236" s="224">
        <f>F236+G236+H236</f>
        <v>106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'[26]Sch D'!N24</f>
        <v>106</v>
      </c>
      <c r="D237" s="480"/>
      <c r="E237" s="480"/>
      <c r="F237" s="224">
        <f>C237+E237</f>
        <v>106</v>
      </c>
      <c r="G237" s="627"/>
      <c r="H237" s="224"/>
      <c r="I237" s="224">
        <f>F237+G237+H237</f>
        <v>106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'[26]Sch D'!N28</f>
        <v>38690</v>
      </c>
      <c r="D240" s="427"/>
      <c r="E240" s="427"/>
      <c r="F240" s="223">
        <f>F236*F238</f>
        <v>38690</v>
      </c>
      <c r="G240"/>
      <c r="H240" s="228"/>
      <c r="I240" s="223">
        <f>I236*I238</f>
        <v>38690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'[26]Sch D'!N30</f>
        <v>0.51760144740242953</v>
      </c>
      <c r="D241" s="228"/>
      <c r="E241" s="228"/>
      <c r="F241" s="232">
        <f>F233/F240</f>
        <v>0.51760144740242953</v>
      </c>
      <c r="G241"/>
      <c r="H241" s="233"/>
      <c r="I241" s="232">
        <f>I233/I240</f>
        <v>0.51760144740242953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'[26]Sch D'!N32</f>
        <v>0.32145257172395969</v>
      </c>
      <c r="D242" s="228"/>
      <c r="E242" s="228"/>
      <c r="F242" s="232">
        <f>(F224+F225)/F240</f>
        <v>0.32145257172395969</v>
      </c>
      <c r="G242"/>
      <c r="H242" s="233"/>
      <c r="I242" s="232">
        <f>(I224+I225)/I240</f>
        <v>0.30679762212458001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'[26]Sch D'!N34</f>
        <v>0.62104264456206937</v>
      </c>
      <c r="D243" s="228"/>
      <c r="E243" s="228"/>
      <c r="F243" s="232">
        <f>(F242/F241)</f>
        <v>0.62104264456206937</v>
      </c>
      <c r="G243"/>
      <c r="H243" s="233"/>
      <c r="I243" s="232">
        <f>(I242/I241)</f>
        <v>0.59272945171277347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'[26]Sch B'!C90</f>
        <v>248.39017341040463</v>
      </c>
      <c r="K246" s="460"/>
    </row>
    <row r="247" spans="1:13">
      <c r="H247" s="140" t="s">
        <v>322</v>
      </c>
      <c r="I247" s="480">
        <f>'[26]Sch B'!E90</f>
        <v>248.3891402714932</v>
      </c>
      <c r="K247" s="460"/>
    </row>
    <row r="248" spans="1:13">
      <c r="H248" s="140" t="s">
        <v>323</v>
      </c>
      <c r="I248" s="480">
        <f>'[26]Sch B'!G90</f>
        <v>248.38987341772153</v>
      </c>
      <c r="K248" s="460"/>
    </row>
    <row r="249" spans="1:13">
      <c r="H249" s="140" t="s">
        <v>324</v>
      </c>
      <c r="I249" s="480">
        <f>'[26]Sch B'!I90</f>
        <v>248.38356164383561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E28CAB"/>
  </sheetPr>
  <dimension ref="A1:Q277"/>
  <sheetViews>
    <sheetView showGridLines="0" zoomScaleNormal="100" workbookViewId="0">
      <pane xSplit="2" topLeftCell="E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347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'[27]Sch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'[27]Sch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683" t="s">
        <v>649</v>
      </c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683" t="s">
        <v>643</v>
      </c>
      <c r="L11" s="163"/>
      <c r="M11" s="163"/>
    </row>
    <row r="12" spans="1:16" s="162" customFormat="1">
      <c r="A12" s="158"/>
      <c r="B12" s="160" t="s">
        <v>512</v>
      </c>
      <c r="C12" s="480">
        <f>'[27]Sch B'!E10</f>
        <v>1663239</v>
      </c>
      <c r="D12" s="480">
        <f>'[27]Sch B'!G10</f>
        <v>0</v>
      </c>
      <c r="E12" s="480"/>
      <c r="F12" s="166">
        <f>C12+D12+E12</f>
        <v>1663239</v>
      </c>
      <c r="G12" s="626">
        <f>-397*184</f>
        <v>-73048</v>
      </c>
      <c r="H12" s="166"/>
      <c r="I12" s="166">
        <f>F12+G12+H12</f>
        <v>1590191</v>
      </c>
      <c r="J12" s="167">
        <f>IF($I$26=0,0,I12/$I$26)</f>
        <v>0.47985905305306092</v>
      </c>
      <c r="K12" s="162" t="s">
        <v>374</v>
      </c>
      <c r="L12" s="163"/>
      <c r="M12" s="163"/>
    </row>
    <row r="13" spans="1:16" s="162" customFormat="1">
      <c r="A13" s="158"/>
      <c r="B13" s="160" t="s">
        <v>513</v>
      </c>
      <c r="C13" s="480">
        <f>'[27]Sch B'!E12</f>
        <v>0</v>
      </c>
      <c r="D13" s="480">
        <f>'[27]Sch B'!G12</f>
        <v>0</v>
      </c>
      <c r="E13" s="480"/>
      <c r="F13" s="166">
        <f t="shared" ref="F13:F25" si="0">C13+D13+E13</f>
        <v>0</v>
      </c>
      <c r="G13" s="626"/>
      <c r="H13" s="166"/>
      <c r="I13" s="166">
        <f>F13+G13+H13</f>
        <v>0</v>
      </c>
      <c r="J13" s="167">
        <f>IF($I$26=0,0,I13/$I$26)</f>
        <v>0</v>
      </c>
      <c r="K13" s="683"/>
      <c r="L13" s="163"/>
      <c r="M13" s="163"/>
    </row>
    <row r="14" spans="1:16" s="162" customFormat="1">
      <c r="A14" s="158"/>
      <c r="B14" s="160" t="s">
        <v>514</v>
      </c>
      <c r="C14" s="480">
        <f>'[27]Sch B'!E13</f>
        <v>52454</v>
      </c>
      <c r="D14" s="480">
        <f>'[27]Sch B'!G13</f>
        <v>0</v>
      </c>
      <c r="E14" s="480"/>
      <c r="F14" s="166">
        <f t="shared" si="0"/>
        <v>52454</v>
      </c>
      <c r="G14" s="626"/>
      <c r="H14" s="166"/>
      <c r="I14" s="166">
        <f t="shared" ref="I14:I25" si="1">F14+G14+H14</f>
        <v>52454</v>
      </c>
      <c r="J14" s="167">
        <f>IF($I$26=0,0,I14/$I$26)</f>
        <v>1.5828618555158002E-2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'[27]Sch B'!E14</f>
        <v>0</v>
      </c>
      <c r="D15" s="480">
        <f>'[27]Sch B'!G14</f>
        <v>0</v>
      </c>
      <c r="E15" s="480"/>
      <c r="F15" s="166">
        <f t="shared" si="0"/>
        <v>0</v>
      </c>
      <c r="G15" s="626">
        <v>73861.45</v>
      </c>
      <c r="H15" s="166"/>
      <c r="I15" s="166">
        <f t="shared" si="1"/>
        <v>73861.45</v>
      </c>
      <c r="J15" s="167">
        <f>IF($I$26=0,0,I15/$I$26)</f>
        <v>2.2288571281139185E-2</v>
      </c>
      <c r="K15" s="463" t="s">
        <v>377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'[27]Sch B'!E15</f>
        <v>1715693</v>
      </c>
      <c r="D16" s="480">
        <f>'[27]Sch B'!G15</f>
        <v>0</v>
      </c>
      <c r="E16" s="480"/>
      <c r="F16" s="166">
        <f t="shared" si="0"/>
        <v>1715693</v>
      </c>
      <c r="G16" s="626"/>
      <c r="H16" s="166"/>
      <c r="I16" s="166">
        <f>SUM(I12:I15)</f>
        <v>1716506.45</v>
      </c>
      <c r="J16" s="167">
        <f t="shared" ref="J16:J26" si="2">IF($I$26=0,0,I16/$I$26)</f>
        <v>0.51797624288935806</v>
      </c>
      <c r="K16" s="458"/>
      <c r="L16" s="333" t="s">
        <v>325</v>
      </c>
      <c r="M16" s="334">
        <f>I26</f>
        <v>3313871</v>
      </c>
      <c r="O16" s="324">
        <f>IFERROR(I16/I224,0)</f>
        <v>194.28482739105829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'[27]Sch B'!E20</f>
        <v>6200</v>
      </c>
      <c r="D17" s="480">
        <f>'[27]Sch B'!G20</f>
        <v>0</v>
      </c>
      <c r="E17" s="480"/>
      <c r="F17" s="166">
        <f t="shared" si="0"/>
        <v>6200</v>
      </c>
      <c r="G17" s="626">
        <f>397*184</f>
        <v>73048</v>
      </c>
      <c r="H17" s="166"/>
      <c r="I17" s="166">
        <f>F17+G17+H17</f>
        <v>79248</v>
      </c>
      <c r="J17" s="167">
        <f t="shared" si="2"/>
        <v>2.3914026828443232E-2</v>
      </c>
      <c r="K17" s="458" t="s">
        <v>374</v>
      </c>
      <c r="L17" s="335" t="s">
        <v>326</v>
      </c>
      <c r="M17" s="336">
        <f>I213</f>
        <v>3369377.04</v>
      </c>
      <c r="O17" s="324">
        <f t="shared" ref="O17:O24" si="3">IFERROR(I17/I225,0)</f>
        <v>185.15887850467288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'[27]Sch B'!E26</f>
        <v>871570</v>
      </c>
      <c r="D18" s="480">
        <f>'[27]Sch B'!G26</f>
        <v>0</v>
      </c>
      <c r="E18" s="480"/>
      <c r="F18" s="166">
        <f t="shared" si="0"/>
        <v>871570</v>
      </c>
      <c r="G18" s="626"/>
      <c r="H18" s="166"/>
      <c r="I18" s="166">
        <f t="shared" si="1"/>
        <v>871570</v>
      </c>
      <c r="J18" s="167">
        <f t="shared" si="2"/>
        <v>0.26300661673311965</v>
      </c>
      <c r="K18" s="458"/>
      <c r="L18" s="335" t="s">
        <v>327</v>
      </c>
      <c r="M18" s="336">
        <f>I233</f>
        <v>13082</v>
      </c>
      <c r="O18" s="324">
        <f t="shared" si="3"/>
        <v>609.91602519244225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'[27]Sch B'!E32</f>
        <v>97183</v>
      </c>
      <c r="D19" s="480">
        <f>'[27]Sch B'!G32</f>
        <v>0</v>
      </c>
      <c r="E19" s="480"/>
      <c r="F19" s="166">
        <f t="shared" si="0"/>
        <v>97183</v>
      </c>
      <c r="G19" s="626"/>
      <c r="H19" s="166"/>
      <c r="I19" s="166">
        <f t="shared" si="1"/>
        <v>97183</v>
      </c>
      <c r="J19" s="170">
        <f t="shared" si="2"/>
        <v>2.9326126454530064E-2</v>
      </c>
      <c r="K19" s="464"/>
      <c r="L19" s="335" t="s">
        <v>328</v>
      </c>
      <c r="M19" s="336">
        <f>I236</f>
        <v>80</v>
      </c>
      <c r="O19" s="324">
        <f t="shared" si="3"/>
        <v>478.73399014778323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'[27]Sch B'!E37</f>
        <v>252742</v>
      </c>
      <c r="D20" s="480">
        <f>'[27]Sch B'!G37</f>
        <v>0</v>
      </c>
      <c r="E20" s="480"/>
      <c r="F20" s="166">
        <f t="shared" si="0"/>
        <v>252742</v>
      </c>
      <c r="G20" s="626"/>
      <c r="H20" s="166"/>
      <c r="I20" s="166">
        <f t="shared" si="1"/>
        <v>252742</v>
      </c>
      <c r="J20" s="167">
        <f t="shared" si="2"/>
        <v>7.626790541937209E-2</v>
      </c>
      <c r="K20" s="458"/>
      <c r="L20" s="335" t="s">
        <v>329</v>
      </c>
      <c r="M20" s="336">
        <f>I240</f>
        <v>29200</v>
      </c>
      <c r="O20" s="324">
        <f t="shared" si="3"/>
        <v>244.66795740561471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'[27]Sch B'!E42</f>
        <v>168783</v>
      </c>
      <c r="D21" s="480">
        <f>'[27]Sch B'!G42</f>
        <v>0</v>
      </c>
      <c r="E21" s="480"/>
      <c r="F21" s="166">
        <f t="shared" si="0"/>
        <v>168783</v>
      </c>
      <c r="G21" s="626"/>
      <c r="H21" s="166"/>
      <c r="I21" s="166">
        <f t="shared" si="1"/>
        <v>168783</v>
      </c>
      <c r="J21" s="167">
        <f t="shared" si="2"/>
        <v>5.0932278293270919E-2</v>
      </c>
      <c r="K21" s="458"/>
      <c r="L21" s="337"/>
      <c r="M21" s="336"/>
      <c r="O21" s="324">
        <f t="shared" si="3"/>
        <v>184.46229508196723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'[27]Sch B'!E47</f>
        <v>40071</v>
      </c>
      <c r="D22" s="480">
        <f>'[27]Sch B'!G47</f>
        <v>0</v>
      </c>
      <c r="E22" s="480"/>
      <c r="F22" s="166">
        <f t="shared" si="0"/>
        <v>40071</v>
      </c>
      <c r="G22" s="626"/>
      <c r="H22" s="166"/>
      <c r="I22" s="166">
        <f t="shared" si="1"/>
        <v>40071</v>
      </c>
      <c r="J22" s="167">
        <f t="shared" si="2"/>
        <v>1.2091900982265152E-2</v>
      </c>
      <c r="K22" s="458"/>
      <c r="L22" s="335" t="s">
        <v>148</v>
      </c>
      <c r="M22" s="336">
        <f>L213</f>
        <v>72140</v>
      </c>
      <c r="O22" s="324">
        <f t="shared" si="3"/>
        <v>221.38674033149172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'[27]Sch B'!E52</f>
        <v>0</v>
      </c>
      <c r="D23" s="480">
        <f>'[27]Sch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76076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'[27]Sch B'!E57</f>
        <v>8006</v>
      </c>
      <c r="D24" s="480">
        <f>'[27]Sch B'!G57</f>
        <v>0</v>
      </c>
      <c r="E24" s="480"/>
      <c r="F24" s="166">
        <f t="shared" si="0"/>
        <v>8006</v>
      </c>
      <c r="G24" s="626"/>
      <c r="H24" s="166"/>
      <c r="I24" s="166">
        <f t="shared" si="1"/>
        <v>8006</v>
      </c>
      <c r="J24" s="167">
        <f t="shared" si="2"/>
        <v>2.4159057488960796E-3</v>
      </c>
      <c r="K24" s="458"/>
      <c r="L24" s="163"/>
      <c r="M24" s="163"/>
      <c r="O24" s="324">
        <f t="shared" si="3"/>
        <v>138.0344827586207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'[27]Sch B'!E72</f>
        <v>158416</v>
      </c>
      <c r="D25" s="480">
        <f>'[27]Sch B'!G72</f>
        <v>-4793</v>
      </c>
      <c r="E25" s="480"/>
      <c r="F25" s="166">
        <f t="shared" si="0"/>
        <v>153623</v>
      </c>
      <c r="G25" s="626">
        <v>-73861.45</v>
      </c>
      <c r="H25" s="166"/>
      <c r="I25" s="166">
        <f t="shared" si="1"/>
        <v>79761.55</v>
      </c>
      <c r="J25" s="167">
        <f t="shared" si="2"/>
        <v>2.4068996650744703E-2</v>
      </c>
      <c r="K25" s="458" t="s">
        <v>377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3318664</v>
      </c>
      <c r="D26" s="480">
        <f t="shared" ref="D26:F26" si="4">SUM(D16:D25)</f>
        <v>-4793</v>
      </c>
      <c r="E26" s="480">
        <f t="shared" si="4"/>
        <v>0</v>
      </c>
      <c r="F26" s="166">
        <f t="shared" si="4"/>
        <v>3313871</v>
      </c>
      <c r="G26" s="166">
        <f>SUM(G12:G25)</f>
        <v>0</v>
      </c>
      <c r="H26" s="166">
        <f>SUM(H12:H25)</f>
        <v>0</v>
      </c>
      <c r="I26" s="166">
        <f>SUM(I16:I25)</f>
        <v>3313871</v>
      </c>
      <c r="J26" s="167">
        <f t="shared" si="2"/>
        <v>1</v>
      </c>
      <c r="K26" s="458"/>
      <c r="L26" s="163"/>
      <c r="M26" s="163"/>
      <c r="O26" s="324">
        <f>IFERROR(I26/I233,0)</f>
        <v>253.3153187585996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'[27]Sch C'!D10</f>
        <v>0</v>
      </c>
      <c r="D30" s="480">
        <f>'[27]Sch C'!F10</f>
        <v>88841</v>
      </c>
      <c r="E30" s="480">
        <f>+'[27]Sch C'!H10</f>
        <v>0</v>
      </c>
      <c r="F30" s="166">
        <f t="shared" ref="F30:F65" si="5">C30+D30+E30</f>
        <v>88841</v>
      </c>
      <c r="G30" s="626"/>
      <c r="H30" s="166"/>
      <c r="I30" s="166">
        <f t="shared" ref="I30:I65" si="6">F30+G30+H30</f>
        <v>88841</v>
      </c>
      <c r="J30" s="167">
        <f>IF($I$213=0,0,I30/$I$213)</f>
        <v>2.6367188636152158E-2</v>
      </c>
      <c r="K30" s="458"/>
      <c r="L30" s="176">
        <v>1856</v>
      </c>
      <c r="M30" s="176">
        <v>2016</v>
      </c>
      <c r="O30" s="324">
        <f>I30/I$233</f>
        <v>6.7910869897569182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'[27]Sch C'!D11</f>
        <v>0</v>
      </c>
      <c r="D31" s="480">
        <f>'[27]Sch C'!F11</f>
        <v>0</v>
      </c>
      <c r="E31" s="480">
        <f>+'[27]Sch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'[27]Sch C'!D12</f>
        <v>150132</v>
      </c>
      <c r="D32" s="480">
        <f>'[27]Sch C'!F12</f>
        <v>-88841</v>
      </c>
      <c r="E32" s="480">
        <f>+'[27]Sch C'!H12</f>
        <v>0</v>
      </c>
      <c r="F32" s="166">
        <f t="shared" si="5"/>
        <v>61291</v>
      </c>
      <c r="G32" s="626"/>
      <c r="H32" s="166"/>
      <c r="I32" s="166">
        <f t="shared" si="6"/>
        <v>61291</v>
      </c>
      <c r="J32" s="167">
        <f t="shared" si="7"/>
        <v>1.819060297270857E-2</v>
      </c>
      <c r="K32" s="458"/>
      <c r="L32" s="176">
        <v>3003</v>
      </c>
      <c r="M32" s="176">
        <v>3210</v>
      </c>
      <c r="O32" s="324">
        <f t="shared" si="8"/>
        <v>4.6851398868674519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'[27]Sch C'!D13</f>
        <v>-2263</v>
      </c>
      <c r="D33" s="480">
        <f>'[27]Sch C'!F13</f>
        <v>0</v>
      </c>
      <c r="E33" s="480">
        <f>+'[27]Sch C'!H13</f>
        <v>0</v>
      </c>
      <c r="F33" s="166">
        <f t="shared" si="5"/>
        <v>-2263</v>
      </c>
      <c r="G33" s="626"/>
      <c r="H33" s="166"/>
      <c r="I33" s="166">
        <f t="shared" si="6"/>
        <v>-2263</v>
      </c>
      <c r="J33" s="167">
        <f t="shared" si="7"/>
        <v>-6.7163750839828841E-4</v>
      </c>
      <c r="K33" s="458"/>
      <c r="L33" s="163"/>
      <c r="M33" s="163"/>
      <c r="O33" s="324">
        <f t="shared" si="8"/>
        <v>-0.17298578199052134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'[27]Sch C'!D14</f>
        <v>0</v>
      </c>
      <c r="D34" s="480">
        <f>'[27]Sch C'!F14</f>
        <v>0</v>
      </c>
      <c r="E34" s="480">
        <f>+'[27]Sch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'[27]Sch C'!D15</f>
        <v>0</v>
      </c>
      <c r="D35" s="480">
        <f>'[27]Sch C'!F15</f>
        <v>0</v>
      </c>
      <c r="E35" s="480">
        <f>+'[27]Sch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'[27]Sch C'!D16</f>
        <v>165937</v>
      </c>
      <c r="D36" s="480">
        <f>'[27]Sch C'!F16</f>
        <v>0</v>
      </c>
      <c r="E36" s="480">
        <f>+'[27]Sch C'!H16</f>
        <v>7084</v>
      </c>
      <c r="F36" s="166">
        <f t="shared" si="5"/>
        <v>173021</v>
      </c>
      <c r="G36" s="626"/>
      <c r="H36" s="166"/>
      <c r="I36" s="166">
        <f t="shared" si="6"/>
        <v>173021</v>
      </c>
      <c r="J36" s="167">
        <f t="shared" si="7"/>
        <v>5.1351035501803026E-2</v>
      </c>
      <c r="K36" s="458"/>
      <c r="L36" s="163"/>
      <c r="M36" s="163"/>
      <c r="O36" s="324">
        <f t="shared" si="8"/>
        <v>13.225882892524078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'[27]Sch C'!D17</f>
        <v>55</v>
      </c>
      <c r="D37" s="480">
        <f>'[27]Sch C'!F17</f>
        <v>-55</v>
      </c>
      <c r="E37" s="480">
        <f>+'[27]Sch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'[27]Sch C'!D18</f>
        <v>19743</v>
      </c>
      <c r="D38" s="480">
        <f>'[27]Sch C'!F18</f>
        <v>0</v>
      </c>
      <c r="E38" s="480">
        <f>+'[27]Sch C'!H18</f>
        <v>0</v>
      </c>
      <c r="F38" s="166">
        <f t="shared" si="5"/>
        <v>19743</v>
      </c>
      <c r="G38" s="626"/>
      <c r="H38" s="166"/>
      <c r="I38" s="166">
        <f t="shared" si="6"/>
        <v>19743</v>
      </c>
      <c r="J38" s="167">
        <f t="shared" si="7"/>
        <v>5.859540136238359E-3</v>
      </c>
      <c r="K38" s="458"/>
      <c r="L38" s="163"/>
      <c r="M38" s="163"/>
      <c r="O38" s="324">
        <f t="shared" si="8"/>
        <v>1.5091729093410793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'[27]Sch C'!D19</f>
        <v>7479</v>
      </c>
      <c r="D39" s="480">
        <f>'[27]Sch C'!F19</f>
        <v>0</v>
      </c>
      <c r="E39" s="480">
        <f>+'[27]Sch C'!H19</f>
        <v>0</v>
      </c>
      <c r="F39" s="166">
        <f t="shared" si="5"/>
        <v>7479</v>
      </c>
      <c r="G39" s="626"/>
      <c r="H39" s="166"/>
      <c r="I39" s="166">
        <f t="shared" si="6"/>
        <v>7479</v>
      </c>
      <c r="J39" s="167">
        <f t="shared" si="7"/>
        <v>2.2196981552411836E-3</v>
      </c>
      <c r="K39" s="458"/>
      <c r="L39" s="163"/>
      <c r="M39" s="163"/>
      <c r="O39" s="324">
        <f t="shared" si="8"/>
        <v>0.57170157468277016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'[27]Sch C'!D20</f>
        <v>12841</v>
      </c>
      <c r="D40" s="480">
        <f>'[27]Sch C'!F20</f>
        <v>0</v>
      </c>
      <c r="E40" s="480">
        <f>+'[27]Sch C'!H20</f>
        <v>0</v>
      </c>
      <c r="F40" s="166">
        <f t="shared" si="5"/>
        <v>12841</v>
      </c>
      <c r="G40" s="626"/>
      <c r="H40" s="166"/>
      <c r="I40" s="166">
        <f t="shared" si="6"/>
        <v>12841</v>
      </c>
      <c r="J40" s="167">
        <f t="shared" si="7"/>
        <v>3.8110902542388071E-3</v>
      </c>
      <c r="K40" s="458"/>
      <c r="L40" s="163"/>
      <c r="M40" s="163"/>
      <c r="O40" s="324">
        <f t="shared" si="8"/>
        <v>0.98157774040666568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'[27]Sch C'!D21</f>
        <v>9959</v>
      </c>
      <c r="D41" s="480">
        <f>'[27]Sch C'!F21</f>
        <v>0</v>
      </c>
      <c r="E41" s="480">
        <f>+'[27]Sch C'!H21</f>
        <v>0</v>
      </c>
      <c r="F41" s="166">
        <f t="shared" si="5"/>
        <v>9959</v>
      </c>
      <c r="G41" s="626"/>
      <c r="H41" s="166"/>
      <c r="I41" s="166">
        <f t="shared" si="6"/>
        <v>9959</v>
      </c>
      <c r="J41" s="167">
        <f t="shared" si="7"/>
        <v>2.9557392603351985E-3</v>
      </c>
      <c r="K41" s="458"/>
      <c r="L41" s="163"/>
      <c r="M41" s="163"/>
      <c r="O41" s="324">
        <f t="shared" si="8"/>
        <v>0.76127503439841004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'[27]Sch C'!D22</f>
        <v>0</v>
      </c>
      <c r="D42" s="480">
        <f>'[27]Sch C'!F22</f>
        <v>0</v>
      </c>
      <c r="E42" s="480">
        <f>+'[27]Sch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'[27]Sch C'!D23</f>
        <v>10680</v>
      </c>
      <c r="D43" s="480">
        <f>'[27]Sch C'!F23</f>
        <v>0</v>
      </c>
      <c r="E43" s="480">
        <f>+'[27]Sch C'!H23</f>
        <v>0</v>
      </c>
      <c r="F43" s="166">
        <f t="shared" si="5"/>
        <v>10680</v>
      </c>
      <c r="G43" s="626"/>
      <c r="H43" s="166"/>
      <c r="I43" s="166">
        <f t="shared" si="6"/>
        <v>10680</v>
      </c>
      <c r="J43" s="167">
        <f t="shared" si="7"/>
        <v>3.169725404195192E-3</v>
      </c>
      <c r="K43" s="458"/>
      <c r="L43" s="163"/>
      <c r="M43" s="163"/>
      <c r="O43" s="324">
        <f t="shared" si="8"/>
        <v>0.81638893135606172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'[27]Sch C'!D24</f>
        <v>12783</v>
      </c>
      <c r="D44" s="480">
        <f>'[27]Sch C'!F24</f>
        <v>0</v>
      </c>
      <c r="E44" s="480">
        <f>+'[27]Sch C'!H24</f>
        <v>0</v>
      </c>
      <c r="F44" s="166">
        <f t="shared" si="5"/>
        <v>12783</v>
      </c>
      <c r="G44" s="626"/>
      <c r="H44" s="166"/>
      <c r="I44" s="166">
        <f t="shared" si="6"/>
        <v>12783</v>
      </c>
      <c r="J44" s="167">
        <f t="shared" si="7"/>
        <v>3.7938763896841893E-3</v>
      </c>
      <c r="K44" s="458"/>
      <c r="L44" s="163"/>
      <c r="M44" s="163"/>
      <c r="O44" s="324">
        <f t="shared" si="8"/>
        <v>0.97714416755847733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'[27]Sch C'!D25</f>
        <v>9093</v>
      </c>
      <c r="D45" s="480">
        <f>'[27]Sch C'!F25</f>
        <v>0</v>
      </c>
      <c r="E45" s="480">
        <f>+'[27]Sch C'!H25</f>
        <v>0</v>
      </c>
      <c r="F45" s="166">
        <f t="shared" si="5"/>
        <v>9093</v>
      </c>
      <c r="G45" s="626"/>
      <c r="H45" s="166"/>
      <c r="I45" s="166">
        <f t="shared" si="6"/>
        <v>9093</v>
      </c>
      <c r="J45" s="167">
        <f t="shared" si="7"/>
        <v>2.6987184550886592E-3</v>
      </c>
      <c r="K45" s="458"/>
      <c r="L45" s="163"/>
      <c r="M45" s="163"/>
      <c r="O45" s="324">
        <f t="shared" si="8"/>
        <v>0.69507720532028738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'[27]Sch C'!D26</f>
        <v>240662</v>
      </c>
      <c r="D46" s="480">
        <f>'[27]Sch C'!F26</f>
        <v>0</v>
      </c>
      <c r="E46" s="480">
        <f>+'[27]Sch C'!H26</f>
        <v>0</v>
      </c>
      <c r="F46" s="166">
        <f t="shared" si="5"/>
        <v>240662</v>
      </c>
      <c r="G46" s="626"/>
      <c r="H46" s="166"/>
      <c r="I46" s="166">
        <f t="shared" si="6"/>
        <v>240662</v>
      </c>
      <c r="J46" s="167">
        <f t="shared" si="7"/>
        <v>7.1426259852474097E-2</v>
      </c>
      <c r="K46" s="458"/>
      <c r="L46" s="163"/>
      <c r="M46" s="163"/>
      <c r="O46" s="324">
        <f t="shared" si="8"/>
        <v>18.396422565356978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'[27]Sch C'!D27</f>
        <v>29754</v>
      </c>
      <c r="D47" s="480">
        <f>'[27]Sch C'!F27</f>
        <v>-32</v>
      </c>
      <c r="E47" s="480">
        <f>+'[27]Sch C'!H27</f>
        <v>0</v>
      </c>
      <c r="F47" s="166">
        <f t="shared" si="5"/>
        <v>29722</v>
      </c>
      <c r="G47" s="626"/>
      <c r="H47" s="166"/>
      <c r="I47" s="166">
        <f t="shared" si="6"/>
        <v>29722</v>
      </c>
      <c r="J47" s="167">
        <f t="shared" si="7"/>
        <v>8.8212152119372198E-3</v>
      </c>
      <c r="K47" s="458"/>
      <c r="L47" s="163"/>
      <c r="M47" s="163"/>
      <c r="O47" s="324">
        <f t="shared" si="8"/>
        <v>2.2719767619630025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'[27]Sch C'!D28</f>
        <v>0</v>
      </c>
      <c r="D48" s="480">
        <f>'[27]Sch C'!F28</f>
        <v>0</v>
      </c>
      <c r="E48" s="480">
        <f>+'[27]Sch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'[27]Sch C'!D29</f>
        <v>32426</v>
      </c>
      <c r="D49" s="480">
        <f>'[27]Sch C'!F29</f>
        <v>-32426</v>
      </c>
      <c r="E49" s="480">
        <f>+'[27]Sch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'[27]Sch C'!D30</f>
        <v>0</v>
      </c>
      <c r="D50" s="480">
        <f>'[27]Sch C'!F30</f>
        <v>0</v>
      </c>
      <c r="E50" s="480">
        <f>+'[27]Sch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'[27]Sch C'!D31</f>
        <v>0</v>
      </c>
      <c r="D51" s="480">
        <f>'[27]Sch C'!F31</f>
        <v>0</v>
      </c>
      <c r="E51" s="480">
        <f>+'[27]Sch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'[27]Sch C'!D32</f>
        <v>44518</v>
      </c>
      <c r="D52" s="480">
        <f>'[27]Sch C'!F32</f>
        <v>0</v>
      </c>
      <c r="E52" s="480">
        <f>+'[27]Sch C'!H32</f>
        <v>0</v>
      </c>
      <c r="F52" s="166">
        <f t="shared" si="5"/>
        <v>44518</v>
      </c>
      <c r="G52" s="626"/>
      <c r="H52" s="166"/>
      <c r="I52" s="166">
        <f t="shared" si="6"/>
        <v>44518</v>
      </c>
      <c r="J52" s="167">
        <f t="shared" si="7"/>
        <v>1.3212531417973929E-2</v>
      </c>
      <c r="K52" s="458"/>
      <c r="L52" s="163"/>
      <c r="M52" s="163"/>
      <c r="O52" s="324">
        <f t="shared" si="8"/>
        <v>3.4029964837180859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'[27]Sch C'!D33</f>
        <v>0</v>
      </c>
      <c r="D53" s="480">
        <f>'[27]Sch C'!F33</f>
        <v>0</v>
      </c>
      <c r="E53" s="480">
        <f>+'[27]Sch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'[27]Sch C'!D34</f>
        <v>21</v>
      </c>
      <c r="D54" s="480">
        <f>'[27]Sch C'!F34</f>
        <v>0</v>
      </c>
      <c r="E54" s="480">
        <f>+'[27]Sch C'!H34</f>
        <v>0</v>
      </c>
      <c r="F54" s="166">
        <f t="shared" si="5"/>
        <v>21</v>
      </c>
      <c r="G54" s="626"/>
      <c r="H54" s="166"/>
      <c r="I54" s="166">
        <f t="shared" si="6"/>
        <v>21</v>
      </c>
      <c r="J54" s="167">
        <f t="shared" si="7"/>
        <v>6.2326061318444789E-6</v>
      </c>
      <c r="K54" s="458"/>
      <c r="L54" s="163"/>
      <c r="M54" s="163"/>
      <c r="O54" s="324">
        <f t="shared" si="8"/>
        <v>1.6052591346888854E-3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'[27]Sch C'!D35</f>
        <v>0</v>
      </c>
      <c r="D55" s="480">
        <f>'[27]Sch C'!F35</f>
        <v>0</v>
      </c>
      <c r="E55" s="480">
        <f>+'[27]Sch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'[27]Sch C'!D36</f>
        <v>25989</v>
      </c>
      <c r="D56" s="480">
        <f>'[27]Sch C'!F36</f>
        <v>0</v>
      </c>
      <c r="E56" s="480">
        <f>+'[27]Sch C'!H36</f>
        <v>0</v>
      </c>
      <c r="F56" s="166">
        <f t="shared" si="5"/>
        <v>25989</v>
      </c>
      <c r="G56" s="626"/>
      <c r="H56" s="166"/>
      <c r="I56" s="166">
        <f t="shared" si="6"/>
        <v>25989</v>
      </c>
      <c r="J56" s="167">
        <f t="shared" si="7"/>
        <v>7.7132952743098173E-3</v>
      </c>
      <c r="K56" s="458"/>
      <c r="L56" s="176">
        <v>1536</v>
      </c>
      <c r="M56" s="176">
        <v>1782</v>
      </c>
      <c r="O56" s="324">
        <f t="shared" si="8"/>
        <v>1.9866228405442592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'[27]Sch C'!D37</f>
        <v>603</v>
      </c>
      <c r="D57" s="480">
        <f>'[27]Sch C'!F37</f>
        <v>0</v>
      </c>
      <c r="E57" s="480">
        <f>+'[27]Sch C'!H37</f>
        <v>0</v>
      </c>
      <c r="F57" s="166">
        <f t="shared" si="5"/>
        <v>603</v>
      </c>
      <c r="G57" s="626"/>
      <c r="H57" s="166"/>
      <c r="I57" s="166">
        <f t="shared" si="6"/>
        <v>603</v>
      </c>
      <c r="J57" s="167">
        <f t="shared" si="7"/>
        <v>1.7896483321439146E-4</v>
      </c>
      <c r="K57" s="458"/>
      <c r="L57" s="163"/>
      <c r="M57" s="163"/>
      <c r="O57" s="324">
        <f t="shared" si="8"/>
        <v>4.6093869438923712E-2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'[27]Sch C'!D38</f>
        <v>938</v>
      </c>
      <c r="D58" s="480">
        <f>'[27]Sch C'!F38</f>
        <v>-938</v>
      </c>
      <c r="E58" s="480">
        <f>+'[27]Sch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'[27]Sch C'!D39</f>
        <v>2103</v>
      </c>
      <c r="D59" s="480">
        <f>'[27]Sch C'!F39</f>
        <v>0</v>
      </c>
      <c r="E59" s="480">
        <f>+'[27]Sch C'!H39</f>
        <v>0</v>
      </c>
      <c r="F59" s="166">
        <f t="shared" si="5"/>
        <v>2103</v>
      </c>
      <c r="G59" s="626"/>
      <c r="H59" s="166"/>
      <c r="I59" s="166">
        <f t="shared" si="6"/>
        <v>2103</v>
      </c>
      <c r="J59" s="167">
        <f t="shared" si="7"/>
        <v>6.2415098548899712E-4</v>
      </c>
      <c r="K59" s="458"/>
      <c r="L59" s="163"/>
      <c r="M59" s="163"/>
      <c r="O59" s="324">
        <f t="shared" si="8"/>
        <v>0.16075523620241552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'[27]Sch C'!D40</f>
        <v>1426</v>
      </c>
      <c r="D60" s="480">
        <f>'[27]Sch C'!F40</f>
        <v>-1426</v>
      </c>
      <c r="E60" s="480">
        <f>+'[27]Sch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'[27]Sch C'!D41</f>
        <v>66565</v>
      </c>
      <c r="D61" s="480">
        <f>'[27]Sch C'!F41</f>
        <v>0</v>
      </c>
      <c r="E61" s="480">
        <f>+'[27]Sch C'!H41</f>
        <v>0</v>
      </c>
      <c r="F61" s="166">
        <f t="shared" si="5"/>
        <v>66565</v>
      </c>
      <c r="G61" s="626"/>
      <c r="H61" s="166"/>
      <c r="I61" s="166">
        <f t="shared" si="6"/>
        <v>66565</v>
      </c>
      <c r="J61" s="167">
        <f t="shared" si="7"/>
        <v>1.9755877484106083E-2</v>
      </c>
      <c r="K61" s="458"/>
      <c r="L61" s="163"/>
      <c r="M61" s="163"/>
      <c r="O61" s="324">
        <f t="shared" si="8"/>
        <v>5.0882892524078889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'[27]Sch C'!D42</f>
        <v>0</v>
      </c>
      <c r="D62" s="480">
        <f>'[27]Sch C'!F42</f>
        <v>0</v>
      </c>
      <c r="E62" s="480">
        <f>+'[27]Sch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'[27]Sch C'!D43</f>
        <v>8078</v>
      </c>
      <c r="D63" s="480">
        <f>'[27]Sch C'!F43</f>
        <v>-8078</v>
      </c>
      <c r="E63" s="480">
        <f>+'[27]Sch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'[27]Sch C'!D44</f>
        <v>0</v>
      </c>
      <c r="D64" s="480">
        <f>'[27]Sch C'!F44</f>
        <v>0</v>
      </c>
      <c r="E64" s="480">
        <f>+'[27]Sch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'[27]Sch C'!D45</f>
        <v>3584</v>
      </c>
      <c r="D65" s="480">
        <f>'[27]Sch C'!F45</f>
        <v>-4845</v>
      </c>
      <c r="E65" s="480">
        <f>+'[27]Sch C'!H45</f>
        <v>0</v>
      </c>
      <c r="F65" s="166">
        <f t="shared" si="5"/>
        <v>-1261</v>
      </c>
      <c r="G65" s="626">
        <v>-1373.96</v>
      </c>
      <c r="H65" s="166"/>
      <c r="I65" s="166">
        <f t="shared" si="6"/>
        <v>-2634.96</v>
      </c>
      <c r="J65" s="167">
        <f t="shared" si="7"/>
        <v>-7.8203180253166328E-4</v>
      </c>
      <c r="K65" s="458" t="s">
        <v>584</v>
      </c>
      <c r="L65" s="163"/>
      <c r="M65" s="163"/>
      <c r="O65" s="324">
        <f t="shared" si="8"/>
        <v>-0.20141874331142026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853106</v>
      </c>
      <c r="D66" s="480">
        <f t="shared" si="9"/>
        <v>-47800</v>
      </c>
      <c r="E66" s="480">
        <f t="shared" si="9"/>
        <v>7084</v>
      </c>
      <c r="F66" s="166">
        <f t="shared" ref="F66:I66" si="10">SUM(F30:F65)</f>
        <v>812390</v>
      </c>
      <c r="G66" s="166">
        <f t="shared" si="10"/>
        <v>-1373.96</v>
      </c>
      <c r="H66" s="166">
        <f t="shared" si="10"/>
        <v>0</v>
      </c>
      <c r="I66" s="166">
        <f t="shared" si="10"/>
        <v>811016.04</v>
      </c>
      <c r="J66" s="178">
        <f t="shared" si="7"/>
        <v>0.24070207352039177</v>
      </c>
      <c r="K66" s="465"/>
      <c r="L66" s="163"/>
      <c r="M66" s="163"/>
      <c r="O66" s="329">
        <f>I66/I$233</f>
        <v>61.994805075676503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'[27]Sch C'!D57</f>
        <v>0</v>
      </c>
      <c r="D69" s="480">
        <f>'[27]Sch C'!F57</f>
        <v>0</v>
      </c>
      <c r="E69" s="480">
        <f>+'[27]Sch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'[27]Sch C'!D58</f>
        <v>84824</v>
      </c>
      <c r="D70" s="480">
        <f>'[27]Sch C'!F58</f>
        <v>0</v>
      </c>
      <c r="E70" s="480">
        <f>+'[27]Sch C'!H58</f>
        <v>0</v>
      </c>
      <c r="F70" s="166">
        <f t="shared" ref="F70:F83" si="13">C70+D70+E70</f>
        <v>84824</v>
      </c>
      <c r="G70" s="626"/>
      <c r="H70" s="166"/>
      <c r="I70" s="166">
        <f t="shared" ref="I70:I83" si="14">F70+G70+H70</f>
        <v>84824</v>
      </c>
      <c r="J70" s="167">
        <f t="shared" si="11"/>
        <v>2.5174980120360766E-2</v>
      </c>
      <c r="K70" s="458"/>
      <c r="L70" s="182"/>
      <c r="M70" s="163"/>
      <c r="O70" s="324">
        <f t="shared" si="12"/>
        <v>6.484023849564287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'[27]Sch C'!D59</f>
        <v>55475</v>
      </c>
      <c r="D71" s="480">
        <f>'[27]Sch C'!F59</f>
        <v>0</v>
      </c>
      <c r="E71" s="480">
        <f>+'[27]Sch C'!H59</f>
        <v>0</v>
      </c>
      <c r="F71" s="166">
        <f t="shared" si="13"/>
        <v>55475</v>
      </c>
      <c r="G71" s="626"/>
      <c r="H71" s="166"/>
      <c r="I71" s="166">
        <f t="shared" si="14"/>
        <v>55475</v>
      </c>
      <c r="J71" s="167">
        <f t="shared" si="11"/>
        <v>1.6464467864955833E-2</v>
      </c>
      <c r="K71" s="458"/>
      <c r="L71" s="182"/>
      <c r="M71" s="163"/>
      <c r="O71" s="324">
        <f t="shared" si="12"/>
        <v>4.2405595474698057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'[27]Sch C'!D60</f>
        <v>10408</v>
      </c>
      <c r="D72" s="480">
        <f>'[27]Sch C'!F60</f>
        <v>0</v>
      </c>
      <c r="E72" s="480">
        <f>+'[27]Sch C'!H60</f>
        <v>0</v>
      </c>
      <c r="F72" s="166">
        <f t="shared" si="13"/>
        <v>10408</v>
      </c>
      <c r="G72" s="626"/>
      <c r="H72" s="166"/>
      <c r="I72" s="166">
        <f t="shared" si="14"/>
        <v>10408</v>
      </c>
      <c r="J72" s="167">
        <f t="shared" si="11"/>
        <v>3.0889983152493968E-3</v>
      </c>
      <c r="K72" s="458"/>
      <c r="L72" s="185"/>
      <c r="M72" s="163"/>
      <c r="O72" s="324">
        <f t="shared" si="12"/>
        <v>0.79559700351628193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'[27]Sch C'!D61</f>
        <v>2593</v>
      </c>
      <c r="D73" s="480">
        <f>'[27]Sch C'!F61</f>
        <v>0</v>
      </c>
      <c r="E73" s="480">
        <f>+'[27]Sch C'!H61</f>
        <v>0</v>
      </c>
      <c r="F73" s="166">
        <f t="shared" si="13"/>
        <v>2593</v>
      </c>
      <c r="G73" s="626"/>
      <c r="H73" s="166"/>
      <c r="I73" s="166">
        <f t="shared" si="14"/>
        <v>2593</v>
      </c>
      <c r="J73" s="167">
        <f t="shared" si="11"/>
        <v>7.6957846189870162E-4</v>
      </c>
      <c r="K73" s="458"/>
      <c r="L73" s="185"/>
      <c r="M73" s="163"/>
      <c r="O73" s="324">
        <f t="shared" si="12"/>
        <v>0.19821128267848953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'[27]Sch C'!D62</f>
        <v>0</v>
      </c>
      <c r="D74" s="480">
        <f>'[27]Sch C'!F62</f>
        <v>0</v>
      </c>
      <c r="E74" s="480">
        <f>+'[27]Sch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'[27]Sch C'!D63</f>
        <v>0</v>
      </c>
      <c r="D75" s="480">
        <f>'[27]Sch C'!F63</f>
        <v>0</v>
      </c>
      <c r="E75" s="480">
        <f>+'[27]Sch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'[27]Sch C'!D64</f>
        <v>0</v>
      </c>
      <c r="D76" s="480">
        <f>'[27]Sch C'!F64</f>
        <v>0</v>
      </c>
      <c r="E76" s="480">
        <f>+'[27]Sch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'[27]Sch C'!D65</f>
        <v>3993</v>
      </c>
      <c r="D77" s="480">
        <f>'[27]Sch C'!F65</f>
        <v>0</v>
      </c>
      <c r="E77" s="480">
        <f>+'[27]Sch C'!H65</f>
        <v>0</v>
      </c>
      <c r="F77" s="166">
        <f t="shared" si="13"/>
        <v>3993</v>
      </c>
      <c r="G77" s="626"/>
      <c r="H77" s="166"/>
      <c r="I77" s="166">
        <f t="shared" si="14"/>
        <v>3993</v>
      </c>
      <c r="J77" s="167">
        <f t="shared" si="11"/>
        <v>1.1850855373550001E-3</v>
      </c>
      <c r="K77" s="458"/>
      <c r="L77" s="187"/>
      <c r="M77" s="163"/>
      <c r="O77" s="324">
        <f t="shared" si="12"/>
        <v>0.3052285583244152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'[27]Sch C'!D66</f>
        <v>35170</v>
      </c>
      <c r="D78" s="480">
        <f>'[27]Sch C'!F66</f>
        <v>0</v>
      </c>
      <c r="E78" s="480">
        <f>+'[27]Sch C'!H66</f>
        <v>-651</v>
      </c>
      <c r="F78" s="166">
        <f t="shared" si="13"/>
        <v>34519</v>
      </c>
      <c r="G78" s="626"/>
      <c r="H78" s="166"/>
      <c r="I78" s="166">
        <f t="shared" si="14"/>
        <v>34519</v>
      </c>
      <c r="J78" s="167">
        <f t="shared" si="11"/>
        <v>1.0244920526911408E-2</v>
      </c>
      <c r="K78" s="458"/>
      <c r="L78" s="187"/>
      <c r="M78" s="163"/>
      <c r="O78" s="324">
        <f t="shared" si="12"/>
        <v>2.6386638128726494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'[27]Sch C'!D67</f>
        <v>26437</v>
      </c>
      <c r="D79" s="480">
        <f>'[27]Sch C'!F67</f>
        <v>0</v>
      </c>
      <c r="E79" s="480">
        <f>+'[27]Sch C'!H67</f>
        <v>0</v>
      </c>
      <c r="F79" s="166">
        <f t="shared" si="13"/>
        <v>26437</v>
      </c>
      <c r="G79" s="626"/>
      <c r="H79" s="166"/>
      <c r="I79" s="166">
        <f t="shared" si="14"/>
        <v>26437</v>
      </c>
      <c r="J79" s="167">
        <f t="shared" si="11"/>
        <v>7.8462575384558326E-3</v>
      </c>
      <c r="K79" s="458"/>
      <c r="L79" s="187"/>
      <c r="M79" s="163"/>
      <c r="O79" s="324">
        <f t="shared" si="12"/>
        <v>2.0208683687509557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'[27]Sch C'!D68</f>
        <v>0</v>
      </c>
      <c r="D80" s="480">
        <f>'[27]Sch C'!F68</f>
        <v>0</v>
      </c>
      <c r="E80" s="480">
        <f>+'[27]Sch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'[27]Sch C'!D69</f>
        <v>4345</v>
      </c>
      <c r="D81" s="480">
        <f>'[27]Sch C'!F69</f>
        <v>0</v>
      </c>
      <c r="E81" s="480">
        <f>+'[27]Sch C'!H69</f>
        <v>0</v>
      </c>
      <c r="F81" s="166">
        <f t="shared" si="13"/>
        <v>4345</v>
      </c>
      <c r="G81" s="626"/>
      <c r="H81" s="166"/>
      <c r="I81" s="166">
        <f t="shared" si="14"/>
        <v>4345</v>
      </c>
      <c r="J81" s="167">
        <f t="shared" si="11"/>
        <v>1.2895558877554409E-3</v>
      </c>
      <c r="K81" s="458"/>
      <c r="L81" s="187"/>
      <c r="M81" s="163"/>
      <c r="O81" s="324">
        <f t="shared" si="12"/>
        <v>0.33213575905824799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'[27]Sch C'!D70</f>
        <v>0</v>
      </c>
      <c r="D82" s="480">
        <f>'[27]Sch C'!F70</f>
        <v>0</v>
      </c>
      <c r="E82" s="480">
        <f>+'[27]Sch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'[27]Sch C'!D71</f>
        <v>0</v>
      </c>
      <c r="D83" s="480">
        <f>'[27]Sch C'!F71</f>
        <v>0</v>
      </c>
      <c r="E83" s="480">
        <f>+'[27]Sch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223245</v>
      </c>
      <c r="D84" s="480">
        <f t="shared" si="15"/>
        <v>0</v>
      </c>
      <c r="E84" s="480">
        <f t="shared" si="15"/>
        <v>-651</v>
      </c>
      <c r="F84" s="166">
        <f t="shared" ref="F84:I84" si="16">SUM(F69:F83)</f>
        <v>222594</v>
      </c>
      <c r="G84" s="166">
        <f t="shared" si="16"/>
        <v>0</v>
      </c>
      <c r="H84" s="166">
        <f t="shared" si="16"/>
        <v>0</v>
      </c>
      <c r="I84" s="166">
        <f t="shared" si="16"/>
        <v>222594</v>
      </c>
      <c r="J84" s="167">
        <f t="shared" si="11"/>
        <v>6.6063844252942372E-2</v>
      </c>
      <c r="K84" s="458"/>
      <c r="L84" s="187"/>
      <c r="M84" s="163"/>
      <c r="O84" s="324">
        <f t="shared" si="12"/>
        <v>17.015288182235132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'[27]Sch C'!D75</f>
        <v>43179</v>
      </c>
      <c r="D87" s="480">
        <f>'[27]Sch C'!F75</f>
        <v>0</v>
      </c>
      <c r="E87" s="480">
        <f>+'[27]Sch C'!H75</f>
        <v>0</v>
      </c>
      <c r="F87" s="166">
        <f t="shared" ref="F87:F97" si="17">C87+D87+E87</f>
        <v>43179</v>
      </c>
      <c r="G87" s="626"/>
      <c r="H87" s="166"/>
      <c r="I87" s="166">
        <f t="shared" ref="I87:I97" si="18">F87+G87+H87</f>
        <v>43179</v>
      </c>
      <c r="J87" s="167">
        <f t="shared" ref="J87:J98" si="19">IF($I$213=0,0,I87/$I$213)</f>
        <v>1.2815128579376797E-2</v>
      </c>
      <c r="K87" s="458"/>
      <c r="L87" s="176">
        <v>1842</v>
      </c>
      <c r="M87" s="176">
        <v>2110</v>
      </c>
      <c r="O87" s="324">
        <f t="shared" ref="O87:O97" si="20">I87/I$233</f>
        <v>3.3006421036538756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'[27]Sch C'!D76</f>
        <v>6185</v>
      </c>
      <c r="D88" s="480">
        <f>'[27]Sch C'!F76</f>
        <v>0</v>
      </c>
      <c r="E88" s="480">
        <f>+'[27]Sch C'!H76</f>
        <v>0</v>
      </c>
      <c r="F88" s="166">
        <f t="shared" si="17"/>
        <v>6185</v>
      </c>
      <c r="G88" s="626"/>
      <c r="H88" s="166"/>
      <c r="I88" s="166">
        <f t="shared" si="18"/>
        <v>6185</v>
      </c>
      <c r="J88" s="167">
        <f t="shared" si="19"/>
        <v>1.8356509012122906E-3</v>
      </c>
      <c r="K88" s="458"/>
      <c r="L88" s="163"/>
      <c r="M88" s="163"/>
      <c r="O88" s="324">
        <f t="shared" si="20"/>
        <v>0.47278703562146462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'[27]Sch C'!D77</f>
        <v>11524</v>
      </c>
      <c r="D89" s="480">
        <f>'[27]Sch C'!F77</f>
        <v>0</v>
      </c>
      <c r="E89" s="480">
        <f>+'[27]Sch C'!H77</f>
        <v>0</v>
      </c>
      <c r="F89" s="166">
        <f t="shared" si="17"/>
        <v>11524</v>
      </c>
      <c r="G89" s="626"/>
      <c r="H89" s="166"/>
      <c r="I89" s="166">
        <f t="shared" si="18"/>
        <v>11524</v>
      </c>
      <c r="J89" s="167">
        <f t="shared" si="19"/>
        <v>3.4202168125417034E-3</v>
      </c>
      <c r="K89" s="458"/>
      <c r="L89" s="163"/>
      <c r="M89" s="163"/>
      <c r="O89" s="324">
        <f t="shared" si="20"/>
        <v>0.88090506038831984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'[27]Sch C'!D78</f>
        <v>0</v>
      </c>
      <c r="D90" s="480">
        <f>'[27]Sch C'!F78</f>
        <v>0</v>
      </c>
      <c r="E90" s="480">
        <f>+'[27]Sch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'[27]Sch C'!D79</f>
        <v>1170</v>
      </c>
      <c r="D91" s="480">
        <f>'[27]Sch C'!F79</f>
        <v>0</v>
      </c>
      <c r="E91" s="480">
        <f>+'[27]Sch C'!H79</f>
        <v>0</v>
      </c>
      <c r="F91" s="166">
        <f t="shared" si="17"/>
        <v>1170</v>
      </c>
      <c r="G91" s="626"/>
      <c r="H91" s="166"/>
      <c r="I91" s="166">
        <f t="shared" si="18"/>
        <v>1170</v>
      </c>
      <c r="J91" s="167">
        <f t="shared" si="19"/>
        <v>3.472451987741924E-4</v>
      </c>
      <c r="K91" s="458"/>
      <c r="L91" s="163"/>
      <c r="M91" s="163"/>
      <c r="O91" s="324">
        <f t="shared" si="20"/>
        <v>8.9435866075523618E-2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'[27]Sch C'!D80</f>
        <v>12739</v>
      </c>
      <c r="D92" s="480">
        <f>'[27]Sch C'!F80</f>
        <v>0</v>
      </c>
      <c r="E92" s="480">
        <f>+'[27]Sch C'!H80</f>
        <v>0</v>
      </c>
      <c r="F92" s="166">
        <f t="shared" si="17"/>
        <v>12739</v>
      </c>
      <c r="G92" s="626"/>
      <c r="H92" s="166"/>
      <c r="I92" s="166">
        <f t="shared" si="18"/>
        <v>12739</v>
      </c>
      <c r="J92" s="167">
        <f t="shared" si="19"/>
        <v>3.7808175958841343E-3</v>
      </c>
      <c r="K92" s="458"/>
      <c r="L92" s="163"/>
      <c r="M92" s="163"/>
      <c r="O92" s="324">
        <f t="shared" si="20"/>
        <v>0.97378076746674824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'[27]Sch C'!D81</f>
        <v>11719</v>
      </c>
      <c r="D93" s="480">
        <f>'[27]Sch C'!F81</f>
        <v>0</v>
      </c>
      <c r="E93" s="480">
        <f>+'[27]Sch C'!H81</f>
        <v>0</v>
      </c>
      <c r="F93" s="166">
        <f t="shared" si="17"/>
        <v>11719</v>
      </c>
      <c r="G93" s="626"/>
      <c r="H93" s="166"/>
      <c r="I93" s="166">
        <f t="shared" si="18"/>
        <v>11719</v>
      </c>
      <c r="J93" s="167">
        <f t="shared" si="19"/>
        <v>3.4780910123374024E-3</v>
      </c>
      <c r="K93" s="458"/>
      <c r="L93" s="163"/>
      <c r="M93" s="163"/>
      <c r="O93" s="324">
        <f t="shared" si="20"/>
        <v>0.89581103806757378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'[27]Sch C'!D82</f>
        <v>16019</v>
      </c>
      <c r="D94" s="480">
        <f>'[27]Sch C'!F82</f>
        <v>0</v>
      </c>
      <c r="E94" s="480">
        <f>+'[27]Sch C'!H82</f>
        <v>0</v>
      </c>
      <c r="F94" s="166">
        <f t="shared" si="17"/>
        <v>16019</v>
      </c>
      <c r="G94" s="626"/>
      <c r="H94" s="166"/>
      <c r="I94" s="166">
        <f t="shared" si="18"/>
        <v>16019</v>
      </c>
      <c r="J94" s="167">
        <f t="shared" si="19"/>
        <v>4.7542913155246055E-3</v>
      </c>
      <c r="K94" s="458"/>
      <c r="L94" s="163"/>
      <c r="M94" s="163"/>
      <c r="O94" s="324">
        <f t="shared" si="20"/>
        <v>1.2245069561229169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'[27]Sch C'!D83</f>
        <v>4460</v>
      </c>
      <c r="D95" s="480">
        <f>'[27]Sch C'!F83</f>
        <v>0</v>
      </c>
      <c r="E95" s="480">
        <f>+'[27]Sch C'!H83</f>
        <v>0</v>
      </c>
      <c r="F95" s="166">
        <f t="shared" si="17"/>
        <v>4460</v>
      </c>
      <c r="G95" s="626"/>
      <c r="H95" s="166"/>
      <c r="I95" s="166">
        <f t="shared" si="18"/>
        <v>4460</v>
      </c>
      <c r="J95" s="167">
        <f t="shared" si="19"/>
        <v>1.3236868260964941E-3</v>
      </c>
      <c r="K95" s="458"/>
      <c r="L95" s="163"/>
      <c r="M95" s="163"/>
      <c r="O95" s="324">
        <f t="shared" si="20"/>
        <v>0.34092646384344899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'[27]Sch C'!D84</f>
        <v>46851</v>
      </c>
      <c r="D96" s="480">
        <f>'[27]Sch C'!F84</f>
        <v>0</v>
      </c>
      <c r="E96" s="480">
        <f>+'[27]Sch C'!H84</f>
        <v>0</v>
      </c>
      <c r="F96" s="166">
        <f t="shared" si="17"/>
        <v>46851</v>
      </c>
      <c r="G96" s="626"/>
      <c r="H96" s="166"/>
      <c r="I96" s="166">
        <f t="shared" si="18"/>
        <v>46851</v>
      </c>
      <c r="J96" s="167">
        <f t="shared" si="19"/>
        <v>1.3904944280145033E-2</v>
      </c>
      <c r="K96" s="458"/>
      <c r="L96" s="163"/>
      <c r="M96" s="163"/>
      <c r="O96" s="324">
        <f t="shared" si="20"/>
        <v>3.5813331294909037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'[27]Sch C'!D85</f>
        <v>0</v>
      </c>
      <c r="D97" s="480">
        <f>'[27]Sch C'!F85</f>
        <v>0</v>
      </c>
      <c r="E97" s="480">
        <f>+'[27]Sch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153846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153846</v>
      </c>
      <c r="G98" s="166">
        <f t="shared" si="22"/>
        <v>0</v>
      </c>
      <c r="H98" s="166">
        <f t="shared" si="22"/>
        <v>0</v>
      </c>
      <c r="I98" s="166">
        <f t="shared" si="22"/>
        <v>153846</v>
      </c>
      <c r="J98" s="167">
        <f t="shared" si="19"/>
        <v>4.566007252189265E-2</v>
      </c>
      <c r="K98" s="458"/>
      <c r="L98" s="163"/>
      <c r="M98" s="163"/>
      <c r="O98" s="329">
        <f>I98/I$233</f>
        <v>11.760128420730775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'[27]Sch C'!D89</f>
        <v>0</v>
      </c>
      <c r="D101" s="480">
        <f>'[27]Sch C'!F89</f>
        <v>0</v>
      </c>
      <c r="E101" s="480">
        <f>+'[27]Sch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'[27]Sch C'!D90</f>
        <v>0</v>
      </c>
      <c r="D102" s="480">
        <f>'[27]Sch C'!F90</f>
        <v>0</v>
      </c>
      <c r="E102" s="480">
        <f>+'[27]Sch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'[27]Sch C'!D91</f>
        <v>236469</v>
      </c>
      <c r="D103" s="480">
        <f>'[27]Sch C'!F91</f>
        <v>0</v>
      </c>
      <c r="E103" s="480">
        <f>+'[27]Sch C'!H91</f>
        <v>0</v>
      </c>
      <c r="F103" s="166">
        <f t="shared" si="23"/>
        <v>236469</v>
      </c>
      <c r="G103" s="626"/>
      <c r="H103" s="166"/>
      <c r="I103" s="166">
        <f t="shared" si="24"/>
        <v>236469</v>
      </c>
      <c r="J103" s="167">
        <f t="shared" si="25"/>
        <v>7.0181816161482474E-2</v>
      </c>
      <c r="K103" s="458"/>
      <c r="L103" s="163"/>
      <c r="M103" s="163"/>
      <c r="O103" s="329">
        <f t="shared" si="26"/>
        <v>18.075905824797431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'[27]Sch C'!D92</f>
        <v>166</v>
      </c>
      <c r="D104" s="480">
        <f>'[27]Sch C'!F92</f>
        <v>84</v>
      </c>
      <c r="E104" s="480">
        <f>+'[27]Sch C'!H92</f>
        <v>0</v>
      </c>
      <c r="F104" s="166">
        <f t="shared" si="23"/>
        <v>250</v>
      </c>
      <c r="G104" s="626"/>
      <c r="H104" s="166"/>
      <c r="I104" s="166">
        <f t="shared" si="24"/>
        <v>250</v>
      </c>
      <c r="J104" s="167">
        <f t="shared" si="25"/>
        <v>7.419769204576761E-5</v>
      </c>
      <c r="K104" s="458"/>
      <c r="L104" s="163"/>
      <c r="M104" s="163"/>
      <c r="O104" s="329">
        <f t="shared" si="26"/>
        <v>1.9110227793915302E-2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'[27]Sch C'!D93</f>
        <v>3363</v>
      </c>
      <c r="D105" s="480">
        <f>'[27]Sch C'!F93</f>
        <v>0</v>
      </c>
      <c r="E105" s="480">
        <f>+'[27]Sch C'!H93</f>
        <v>0</v>
      </c>
      <c r="F105" s="166">
        <f t="shared" si="23"/>
        <v>3363</v>
      </c>
      <c r="G105" s="626"/>
      <c r="H105" s="166"/>
      <c r="I105" s="166">
        <f t="shared" si="24"/>
        <v>3363</v>
      </c>
      <c r="J105" s="167">
        <f t="shared" si="25"/>
        <v>9.981073533996659E-4</v>
      </c>
      <c r="K105" s="458"/>
      <c r="L105" s="163"/>
      <c r="M105" s="163"/>
      <c r="O105" s="329">
        <f t="shared" si="26"/>
        <v>0.25707078428374869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'[27]Sch C'!D94</f>
        <v>0</v>
      </c>
      <c r="D106" s="480">
        <f>'[27]Sch C'!F94</f>
        <v>0</v>
      </c>
      <c r="E106" s="480">
        <f>+'[27]Sch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239998</v>
      </c>
      <c r="D107" s="480">
        <f t="shared" si="27"/>
        <v>84</v>
      </c>
      <c r="E107" s="480">
        <f t="shared" si="27"/>
        <v>0</v>
      </c>
      <c r="F107" s="166">
        <f t="shared" ref="F107:I107" si="28">SUM(F101:F106)</f>
        <v>240082</v>
      </c>
      <c r="G107" s="166">
        <f t="shared" si="28"/>
        <v>0</v>
      </c>
      <c r="H107" s="166">
        <f t="shared" si="28"/>
        <v>0</v>
      </c>
      <c r="I107" s="166">
        <f t="shared" si="28"/>
        <v>240082</v>
      </c>
      <c r="J107" s="167">
        <f t="shared" si="25"/>
        <v>7.1254121206927909E-2</v>
      </c>
      <c r="K107" s="458"/>
      <c r="L107" s="163"/>
      <c r="M107" s="163"/>
      <c r="O107" s="329">
        <f>I107/I$233</f>
        <v>18.352086836875095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'[27]Sch C'!D98</f>
        <v>0</v>
      </c>
      <c r="D110" s="480">
        <f>'[27]Sch C'!F98</f>
        <v>0</v>
      </c>
      <c r="E110" s="480">
        <f>+'[27]Sch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'[27]Sch C'!D99</f>
        <v>0</v>
      </c>
      <c r="D111" s="480">
        <f>'[27]Sch C'!F99</f>
        <v>0</v>
      </c>
      <c r="E111" s="480">
        <f>+'[27]Sch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'[27]Sch C'!D100</f>
        <v>0</v>
      </c>
      <c r="D112" s="480">
        <f>'[27]Sch C'!F100</f>
        <v>0</v>
      </c>
      <c r="E112" s="480">
        <f>+'[27]Sch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'[27]Sch C'!D101</f>
        <v>46636</v>
      </c>
      <c r="D113" s="480">
        <f>'[27]Sch C'!F101</f>
        <v>0</v>
      </c>
      <c r="E113" s="480">
        <f>+'[27]Sch C'!H101</f>
        <v>0</v>
      </c>
      <c r="F113" s="166">
        <f t="shared" si="29"/>
        <v>46636</v>
      </c>
      <c r="G113" s="626"/>
      <c r="H113" s="166"/>
      <c r="I113" s="166">
        <f t="shared" si="30"/>
        <v>46636</v>
      </c>
      <c r="J113" s="167">
        <f t="shared" si="31"/>
        <v>1.3841134264985672E-2</v>
      </c>
      <c r="K113" s="458"/>
      <c r="L113" s="163"/>
      <c r="M113" s="163"/>
      <c r="O113" s="329">
        <f t="shared" si="32"/>
        <v>3.5648983335881366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'[27]Sch C'!D102</f>
        <v>1993</v>
      </c>
      <c r="D114" s="480">
        <f>'[27]Sch C'!F102</f>
        <v>0</v>
      </c>
      <c r="E114" s="480">
        <f>+'[27]Sch C'!H102</f>
        <v>0</v>
      </c>
      <c r="F114" s="166">
        <f t="shared" si="29"/>
        <v>1993</v>
      </c>
      <c r="G114" s="626"/>
      <c r="H114" s="166"/>
      <c r="I114" s="166">
        <f t="shared" si="30"/>
        <v>1993</v>
      </c>
      <c r="J114" s="167">
        <f t="shared" si="31"/>
        <v>5.9150400098885935E-4</v>
      </c>
      <c r="K114" s="458"/>
      <c r="L114" s="163"/>
      <c r="M114" s="163"/>
      <c r="O114" s="329">
        <f t="shared" si="32"/>
        <v>0.15234673597309281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'[27]Sch C'!D103</f>
        <v>0</v>
      </c>
      <c r="D115" s="480">
        <f>'[27]Sch C'!F103</f>
        <v>0</v>
      </c>
      <c r="E115" s="480">
        <f>+'[27]Sch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48629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48629</v>
      </c>
      <c r="G116" s="166">
        <f t="shared" si="34"/>
        <v>0</v>
      </c>
      <c r="H116" s="166">
        <f t="shared" si="34"/>
        <v>0</v>
      </c>
      <c r="I116" s="166">
        <f t="shared" si="34"/>
        <v>48629</v>
      </c>
      <c r="J116" s="167">
        <f t="shared" si="31"/>
        <v>1.4432638265974532E-2</v>
      </c>
      <c r="K116" s="458"/>
      <c r="L116" s="163"/>
      <c r="M116" s="163"/>
      <c r="O116" s="329">
        <f>I116/I$233</f>
        <v>3.7172450695612294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'[27]Sch C'!D115</f>
        <v>0</v>
      </c>
      <c r="D119" s="480">
        <f>'[27]Sch C'!F115</f>
        <v>0</v>
      </c>
      <c r="E119" s="480">
        <f>+'[27]Sch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'[27]Sch C'!D116</f>
        <v>0</v>
      </c>
      <c r="D120" s="480">
        <f>'[27]Sch C'!F116</f>
        <v>0</v>
      </c>
      <c r="E120" s="480">
        <f>+'[27]Sch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'[27]Sch C'!D117</f>
        <v>7730</v>
      </c>
      <c r="D121" s="480">
        <f>'[27]Sch C'!F117</f>
        <v>0</v>
      </c>
      <c r="E121" s="480">
        <f>+'[27]Sch C'!H117</f>
        <v>0</v>
      </c>
      <c r="F121" s="166">
        <f t="shared" si="35"/>
        <v>7730</v>
      </c>
      <c r="G121" s="626"/>
      <c r="H121" s="166"/>
      <c r="I121" s="166">
        <f t="shared" si="36"/>
        <v>7730</v>
      </c>
      <c r="J121" s="167">
        <f t="shared" si="37"/>
        <v>2.2941926380551344E-3</v>
      </c>
      <c r="K121" s="458"/>
      <c r="L121" s="163"/>
      <c r="M121" s="163"/>
      <c r="O121" s="329">
        <f t="shared" si="38"/>
        <v>0.59088824338786117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'[27]Sch C'!D118</f>
        <v>88300</v>
      </c>
      <c r="D122" s="480">
        <f>'[27]Sch C'!F118</f>
        <v>0</v>
      </c>
      <c r="E122" s="480">
        <f>+'[27]Sch C'!H118</f>
        <v>0</v>
      </c>
      <c r="F122" s="166">
        <f t="shared" si="35"/>
        <v>88300</v>
      </c>
      <c r="G122" s="626"/>
      <c r="H122" s="166"/>
      <c r="I122" s="166">
        <f t="shared" si="36"/>
        <v>88300</v>
      </c>
      <c r="J122" s="167">
        <f t="shared" si="37"/>
        <v>2.6206624830565118E-2</v>
      </c>
      <c r="K122" s="458"/>
      <c r="L122" s="163"/>
      <c r="M122" s="163"/>
      <c r="O122" s="329">
        <f t="shared" si="38"/>
        <v>6.749732456810885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'[27]Sch C'!D119</f>
        <v>0</v>
      </c>
      <c r="D123" s="480">
        <f>'[27]Sch C'!F119</f>
        <v>0</v>
      </c>
      <c r="E123" s="480">
        <f>+'[27]Sch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96030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96030</v>
      </c>
      <c r="G124" s="166">
        <f t="shared" si="40"/>
        <v>0</v>
      </c>
      <c r="H124" s="166">
        <f t="shared" si="40"/>
        <v>0</v>
      </c>
      <c r="I124" s="166">
        <f t="shared" si="40"/>
        <v>96030</v>
      </c>
      <c r="J124" s="167">
        <f t="shared" si="37"/>
        <v>2.8500817468620251E-2</v>
      </c>
      <c r="K124" s="458"/>
      <c r="L124" s="163"/>
      <c r="M124" s="163"/>
      <c r="O124" s="329">
        <f t="shared" si="38"/>
        <v>7.3406207001987465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'[27]Sch C'!D124</f>
        <v>289</v>
      </c>
      <c r="D128" s="480">
        <f>'[27]Sch C'!F124</f>
        <v>0</v>
      </c>
      <c r="E128" s="480">
        <f>+'[27]Sch C'!H124</f>
        <v>0</v>
      </c>
      <c r="F128" s="166">
        <f t="shared" ref="F128:F132" si="41">C128+D128+E128</f>
        <v>289</v>
      </c>
      <c r="G128" s="626"/>
      <c r="H128" s="166"/>
      <c r="I128" s="166">
        <f t="shared" ref="I128:I132" si="42">F128+G128+H128</f>
        <v>289</v>
      </c>
      <c r="J128" s="167">
        <f>IF($I$213=0,0,I128/$I$213)</f>
        <v>8.577253200490735E-5</v>
      </c>
      <c r="K128" s="458"/>
      <c r="L128" s="176">
        <v>0</v>
      </c>
      <c r="M128" s="176">
        <v>0</v>
      </c>
      <c r="O128" s="329">
        <f t="shared" ref="O128:O165" si="43">I128/I$233</f>
        <v>2.2091423329766092E-2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'[27]Sch C'!D125</f>
        <v>116698</v>
      </c>
      <c r="D129" s="480">
        <f>'[27]Sch C'!F125</f>
        <v>0</v>
      </c>
      <c r="E129" s="480">
        <f>+'[27]Sch C'!H125</f>
        <v>0</v>
      </c>
      <c r="F129" s="166">
        <f t="shared" si="41"/>
        <v>116698</v>
      </c>
      <c r="G129" s="626"/>
      <c r="H129" s="166"/>
      <c r="I129" s="166">
        <f t="shared" si="42"/>
        <v>116698</v>
      </c>
      <c r="J129" s="167">
        <f>IF($I$213=0,0,I129/$I$213)</f>
        <v>3.463488906542795E-2</v>
      </c>
      <c r="K129" s="458"/>
      <c r="L129" s="176">
        <v>3140</v>
      </c>
      <c r="M129" s="176">
        <v>3188</v>
      </c>
      <c r="O129" s="329">
        <f t="shared" si="43"/>
        <v>8.9205014523773123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'[27]Sch C'!D126</f>
        <v>0</v>
      </c>
      <c r="D130" s="480">
        <f>'[27]Sch C'!F126</f>
        <v>0</v>
      </c>
      <c r="E130" s="480">
        <f>+'[27]Sch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'[27]Sch C'!D127</f>
        <v>0</v>
      </c>
      <c r="D131" s="480">
        <f>'[27]Sch C'!F127</f>
        <v>0</v>
      </c>
      <c r="E131" s="480">
        <f>+'[27]Sch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'[27]Sch C'!D128</f>
        <v>29430</v>
      </c>
      <c r="D132" s="480">
        <f>'[27]Sch C'!F128</f>
        <v>0</v>
      </c>
      <c r="E132" s="480">
        <f>+'[27]Sch C'!H128</f>
        <v>0</v>
      </c>
      <c r="F132" s="166">
        <f t="shared" si="41"/>
        <v>29430</v>
      </c>
      <c r="G132" s="626"/>
      <c r="H132" s="166"/>
      <c r="I132" s="166">
        <f t="shared" si="42"/>
        <v>29430</v>
      </c>
      <c r="J132" s="167">
        <f>IF($I$213=0,0,I132/$I$213)</f>
        <v>8.7345523076277631E-3</v>
      </c>
      <c r="K132" s="458"/>
      <c r="L132" s="176">
        <v>1885</v>
      </c>
      <c r="M132" s="176">
        <v>2044</v>
      </c>
      <c r="O132" s="329">
        <f t="shared" si="43"/>
        <v>2.2496560158997094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'[27]Sch C'!D130</f>
        <v>0</v>
      </c>
      <c r="D134" s="480">
        <f>'[27]Sch C'!F130</f>
        <v>0</v>
      </c>
      <c r="E134" s="480">
        <f>+'[27]Sch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'[27]Sch C'!D131</f>
        <v>13677</v>
      </c>
      <c r="D135" s="480">
        <f>'[27]Sch C'!F131</f>
        <v>0</v>
      </c>
      <c r="E135" s="480">
        <f>+'[27]Sch C'!H131</f>
        <v>0</v>
      </c>
      <c r="F135" s="166">
        <f t="shared" si="44"/>
        <v>13677</v>
      </c>
      <c r="G135" s="626"/>
      <c r="H135" s="166"/>
      <c r="I135" s="166">
        <f t="shared" si="45"/>
        <v>13677</v>
      </c>
      <c r="J135" s="167">
        <f>IF($I$213=0,0,I135/$I$213)</f>
        <v>4.0592073364398538E-3</v>
      </c>
      <c r="K135" s="458"/>
      <c r="L135" s="196"/>
      <c r="M135" s="196"/>
      <c r="O135" s="329">
        <f t="shared" si="43"/>
        <v>1.0454823421495185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'[27]Sch C'!D132</f>
        <v>0</v>
      </c>
      <c r="D136" s="480">
        <f>'[27]Sch C'!F132</f>
        <v>0</v>
      </c>
      <c r="E136" s="480">
        <f>+'[27]Sch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'[27]Sch C'!D133</f>
        <v>0</v>
      </c>
      <c r="D137" s="480">
        <f>'[27]Sch C'!F133</f>
        <v>0</v>
      </c>
      <c r="E137" s="480">
        <f>+'[27]Sch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'[27]Sch C'!D134</f>
        <v>12183</v>
      </c>
      <c r="D138" s="480">
        <f>'[27]Sch C'!F134</f>
        <v>0</v>
      </c>
      <c r="E138" s="480">
        <f>+'[27]Sch C'!H134</f>
        <v>0</v>
      </c>
      <c r="F138" s="166">
        <f t="shared" si="44"/>
        <v>12183</v>
      </c>
      <c r="G138" s="626"/>
      <c r="H138" s="166"/>
      <c r="I138" s="166">
        <f t="shared" si="45"/>
        <v>12183</v>
      </c>
      <c r="J138" s="167">
        <f>IF($I$213=0,0,I138/$I$213)</f>
        <v>3.615801928774347E-3</v>
      </c>
      <c r="K138" s="458"/>
      <c r="L138" s="163"/>
      <c r="M138" s="163"/>
      <c r="O138" s="329">
        <f t="shared" si="43"/>
        <v>0.93127962085308058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'[27]Sch C'!D136</f>
        <v>164218</v>
      </c>
      <c r="D140" s="480">
        <f>'[27]Sch C'!F136</f>
        <v>0</v>
      </c>
      <c r="E140" s="480">
        <f>+'[27]Sch C'!H136</f>
        <v>0</v>
      </c>
      <c r="F140" s="166">
        <f t="shared" ref="F140:F143" si="46">C140+D140+E140</f>
        <v>164218</v>
      </c>
      <c r="G140" s="626"/>
      <c r="H140" s="166"/>
      <c r="I140" s="166">
        <f t="shared" ref="I140:I143" si="47">F140+G140+H140</f>
        <v>164218</v>
      </c>
      <c r="J140" s="167">
        <f>IF($I$213=0,0,I140/$I$213)</f>
        <v>4.8738386369487456E-2</v>
      </c>
      <c r="K140" s="458"/>
      <c r="L140" s="176">
        <v>6104</v>
      </c>
      <c r="M140" s="176">
        <v>6435</v>
      </c>
      <c r="O140" s="329">
        <f t="shared" si="43"/>
        <v>12.552973551444733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'[27]Sch C'!D137</f>
        <v>124734</v>
      </c>
      <c r="D141" s="480">
        <f>'[27]Sch C'!F137</f>
        <v>0</v>
      </c>
      <c r="E141" s="480">
        <f>+'[27]Sch C'!H137</f>
        <v>0</v>
      </c>
      <c r="F141" s="166">
        <f t="shared" si="46"/>
        <v>124734</v>
      </c>
      <c r="G141" s="626"/>
      <c r="H141" s="166"/>
      <c r="I141" s="166">
        <f t="shared" si="47"/>
        <v>124734</v>
      </c>
      <c r="J141" s="167">
        <f>IF($I$213=0,0,I141/$I$213)</f>
        <v>3.7019899678547102E-2</v>
      </c>
      <c r="K141" s="458"/>
      <c r="L141" s="176">
        <v>7215</v>
      </c>
      <c r="M141" s="176">
        <v>7608</v>
      </c>
      <c r="O141" s="329">
        <f t="shared" si="43"/>
        <v>9.5347806145849265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'[27]Sch C'!D138</f>
        <v>324471</v>
      </c>
      <c r="D142" s="480">
        <f>'[27]Sch C'!F138</f>
        <v>6626</v>
      </c>
      <c r="E142" s="480">
        <f>+'[27]Sch C'!H138</f>
        <v>0</v>
      </c>
      <c r="F142" s="166">
        <f t="shared" si="46"/>
        <v>331097</v>
      </c>
      <c r="G142" s="626"/>
      <c r="H142" s="166"/>
      <c r="I142" s="166">
        <f t="shared" si="47"/>
        <v>331097</v>
      </c>
      <c r="J142" s="167">
        <f>IF($I$213=0,0,I142/$I$213)</f>
        <v>9.8266532973110068E-2</v>
      </c>
      <c r="K142" s="458"/>
      <c r="L142" s="176">
        <v>35527</v>
      </c>
      <c r="M142" s="176">
        <v>37387</v>
      </c>
      <c r="O142" s="329">
        <f t="shared" si="43"/>
        <v>25.309356367527901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'[27]Sch C'!D139</f>
        <v>6626</v>
      </c>
      <c r="D143" s="480">
        <f>'[27]Sch C'!F139</f>
        <v>-6626</v>
      </c>
      <c r="E143" s="480">
        <f>+'[27]Sch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'[27]Sch C'!D141</f>
        <v>109023</v>
      </c>
      <c r="D145" s="480">
        <f>'[27]Sch C'!F141</f>
        <v>-80149</v>
      </c>
      <c r="E145" s="480">
        <f>+'[27]Sch C'!H141</f>
        <v>0</v>
      </c>
      <c r="F145" s="166">
        <f t="shared" ref="F145:F148" si="48">C145+D145+E145</f>
        <v>28874</v>
      </c>
      <c r="G145" s="626"/>
      <c r="H145" s="166"/>
      <c r="I145" s="166">
        <f t="shared" ref="I145:I148" si="49">F145+G145+H145</f>
        <v>28874</v>
      </c>
      <c r="J145" s="167">
        <f>IF($I$213=0,0,I145/$I$213)</f>
        <v>8.5695366405179746E-3</v>
      </c>
      <c r="K145" s="458"/>
      <c r="L145" s="163"/>
      <c r="M145" s="163"/>
      <c r="O145" s="329">
        <f t="shared" si="43"/>
        <v>2.2071548692860419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'[27]Sch C'!D142</f>
        <v>0</v>
      </c>
      <c r="D146" s="480">
        <f>'[27]Sch C'!F142</f>
        <v>21932</v>
      </c>
      <c r="E146" s="480">
        <f>+'[27]Sch C'!H142</f>
        <v>0</v>
      </c>
      <c r="F146" s="166">
        <f t="shared" si="48"/>
        <v>21932</v>
      </c>
      <c r="G146" s="626"/>
      <c r="H146" s="166"/>
      <c r="I146" s="166">
        <f t="shared" si="49"/>
        <v>21932</v>
      </c>
      <c r="J146" s="167">
        <f>IF($I$213=0,0,I146/$I$213)</f>
        <v>6.5092151277911002E-3</v>
      </c>
      <c r="K146" s="458"/>
      <c r="L146" s="163"/>
      <c r="M146" s="163"/>
      <c r="O146" s="329">
        <f t="shared" si="43"/>
        <v>1.6765020639046018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'[27]Sch C'!D143</f>
        <v>0</v>
      </c>
      <c r="D147" s="480">
        <f>'[27]Sch C'!F143</f>
        <v>58217</v>
      </c>
      <c r="E147" s="480">
        <f>+'[27]Sch C'!H143</f>
        <v>0</v>
      </c>
      <c r="F147" s="166">
        <f t="shared" si="48"/>
        <v>58217</v>
      </c>
      <c r="G147" s="626"/>
      <c r="H147" s="166"/>
      <c r="I147" s="166">
        <f t="shared" si="49"/>
        <v>58217</v>
      </c>
      <c r="J147" s="167">
        <f>IF($I$213=0,0,I147/$I$213)</f>
        <v>1.7278268151313812E-2</v>
      </c>
      <c r="K147" s="458"/>
      <c r="L147" s="163"/>
      <c r="M147" s="163"/>
      <c r="O147" s="329">
        <f t="shared" si="43"/>
        <v>4.4501605259134687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'[27]Sch C'!D144</f>
        <v>0</v>
      </c>
      <c r="D148" s="480">
        <f>'[27]Sch C'!F144</f>
        <v>0</v>
      </c>
      <c r="E148" s="480">
        <f>+'[27]Sch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'[27]Sch C'!D146</f>
        <v>30600</v>
      </c>
      <c r="D150" s="480">
        <f>'[27]Sch C'!F146</f>
        <v>0</v>
      </c>
      <c r="E150" s="480">
        <f>+'[27]Sch C'!H146</f>
        <v>0</v>
      </c>
      <c r="F150" s="166">
        <f t="shared" ref="F150:F158" si="50">C150+D150+E150</f>
        <v>30600</v>
      </c>
      <c r="G150" s="626"/>
      <c r="H150" s="166"/>
      <c r="I150" s="166">
        <f t="shared" ref="I150:I158" si="51">F150+G150+H150</f>
        <v>30600</v>
      </c>
      <c r="J150" s="167">
        <f t="shared" ref="J150:J158" si="52">IF($I$213=0,0,I150/$I$213)</f>
        <v>9.0817975064019542E-3</v>
      </c>
      <c r="K150" s="458"/>
      <c r="L150" s="176">
        <v>205</v>
      </c>
      <c r="M150" s="176">
        <v>205</v>
      </c>
      <c r="O150" s="329">
        <f t="shared" si="43"/>
        <v>2.3390918819752331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'[27]Sch C'!D147</f>
        <v>73718</v>
      </c>
      <c r="D151" s="480">
        <f>'[27]Sch C'!F147</f>
        <v>0</v>
      </c>
      <c r="E151" s="480">
        <f>+'[27]Sch C'!H147</f>
        <v>0</v>
      </c>
      <c r="F151" s="166">
        <f t="shared" si="50"/>
        <v>73718</v>
      </c>
      <c r="G151" s="626"/>
      <c r="H151" s="166"/>
      <c r="I151" s="166">
        <f t="shared" si="51"/>
        <v>73718</v>
      </c>
      <c r="J151" s="167">
        <f t="shared" si="52"/>
        <v>2.1878821848919584E-2</v>
      </c>
      <c r="K151" s="458"/>
      <c r="L151" s="176">
        <v>1165</v>
      </c>
      <c r="M151" s="176">
        <v>1165</v>
      </c>
      <c r="O151" s="329">
        <f t="shared" si="43"/>
        <v>5.6350710900473935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'[27]Sch C'!D148</f>
        <v>205851</v>
      </c>
      <c r="D152" s="480">
        <f>'[27]Sch C'!F148</f>
        <v>0</v>
      </c>
      <c r="E152" s="480">
        <f>+'[27]Sch C'!H148</f>
        <v>0</v>
      </c>
      <c r="F152" s="166">
        <f t="shared" si="50"/>
        <v>205851</v>
      </c>
      <c r="G152" s="626"/>
      <c r="H152" s="166"/>
      <c r="I152" s="166">
        <f t="shared" si="51"/>
        <v>205851</v>
      </c>
      <c r="J152" s="167">
        <f t="shared" si="52"/>
        <v>6.1094676421253227E-2</v>
      </c>
      <c r="K152" s="458"/>
      <c r="L152" s="176">
        <v>3857</v>
      </c>
      <c r="M152" s="176">
        <v>3857</v>
      </c>
      <c r="O152" s="329">
        <f t="shared" si="43"/>
        <v>15.735438006421036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'[27]Sch C'!D149</f>
        <v>5458</v>
      </c>
      <c r="D153" s="480">
        <f>'[27]Sch C'!F149</f>
        <v>0</v>
      </c>
      <c r="E153" s="480">
        <f>+'[27]Sch C'!H149</f>
        <v>0</v>
      </c>
      <c r="F153" s="166">
        <f t="shared" si="50"/>
        <v>5458</v>
      </c>
      <c r="G153" s="626"/>
      <c r="H153" s="166"/>
      <c r="I153" s="166">
        <f t="shared" si="51"/>
        <v>5458</v>
      </c>
      <c r="J153" s="167">
        <f t="shared" si="52"/>
        <v>1.6198840127431982E-3</v>
      </c>
      <c r="K153" s="458"/>
      <c r="L153" s="176">
        <v>218</v>
      </c>
      <c r="M153" s="176">
        <v>218</v>
      </c>
      <c r="O153" s="329">
        <f t="shared" si="43"/>
        <v>0.41721449319675891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'[27]Sch C'!D150</f>
        <v>1223</v>
      </c>
      <c r="D154" s="480">
        <f>'[27]Sch C'!F150</f>
        <v>0</v>
      </c>
      <c r="E154" s="480">
        <f>+'[27]Sch C'!H150</f>
        <v>0</v>
      </c>
      <c r="F154" s="166">
        <f t="shared" si="50"/>
        <v>1223</v>
      </c>
      <c r="G154" s="626"/>
      <c r="H154" s="166"/>
      <c r="I154" s="166">
        <f t="shared" si="51"/>
        <v>1223</v>
      </c>
      <c r="J154" s="167">
        <f t="shared" si="52"/>
        <v>3.6297510948789512E-4</v>
      </c>
      <c r="K154" s="458"/>
      <c r="L154" s="176">
        <v>0</v>
      </c>
      <c r="M154" s="176">
        <v>0</v>
      </c>
      <c r="O154" s="329">
        <f t="shared" si="43"/>
        <v>9.3487234367833669E-2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'[27]Sch C'!D151</f>
        <v>41629</v>
      </c>
      <c r="D155" s="480">
        <f>'[27]Sch C'!F151</f>
        <v>0</v>
      </c>
      <c r="E155" s="480">
        <f>+'[27]Sch C'!H151</f>
        <v>0</v>
      </c>
      <c r="F155" s="166">
        <f t="shared" si="50"/>
        <v>41629</v>
      </c>
      <c r="G155" s="626"/>
      <c r="H155" s="166"/>
      <c r="I155" s="166">
        <f t="shared" si="51"/>
        <v>41629</v>
      </c>
      <c r="J155" s="167">
        <f t="shared" si="52"/>
        <v>1.2355102888693039E-2</v>
      </c>
      <c r="K155" s="458"/>
      <c r="L155" s="163"/>
      <c r="M155" s="163"/>
      <c r="O155" s="329">
        <f t="shared" si="43"/>
        <v>3.1821586913316007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'[27]Sch C'!D152</f>
        <v>5403</v>
      </c>
      <c r="D156" s="480">
        <f>'[27]Sch C'!F152</f>
        <v>0</v>
      </c>
      <c r="E156" s="480">
        <f>+'[27]Sch C'!H152</f>
        <v>0</v>
      </c>
      <c r="F156" s="166">
        <f t="shared" si="50"/>
        <v>5403</v>
      </c>
      <c r="G156" s="626"/>
      <c r="H156" s="166"/>
      <c r="I156" s="166">
        <f t="shared" si="51"/>
        <v>5403</v>
      </c>
      <c r="J156" s="167">
        <f t="shared" si="52"/>
        <v>1.6035605204931295E-3</v>
      </c>
      <c r="K156" s="458"/>
      <c r="L156" s="163"/>
      <c r="M156" s="163"/>
      <c r="O156" s="329">
        <f t="shared" si="43"/>
        <v>0.41301024308209755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'[27]Sch C'!D153</f>
        <v>0</v>
      </c>
      <c r="D157" s="480">
        <f>'[27]Sch C'!F153</f>
        <v>0</v>
      </c>
      <c r="E157" s="480">
        <f>+'[27]Sch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'[27]Sch C'!D154</f>
        <v>0</v>
      </c>
      <c r="D158" s="480">
        <f>'[27]Sch C'!F154</f>
        <v>0</v>
      </c>
      <c r="E158" s="480">
        <f>+'[27]Sch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'[27]Sch C'!D156</f>
        <v>0</v>
      </c>
      <c r="D160" s="480">
        <f>'[27]Sch C'!F156</f>
        <v>0</v>
      </c>
      <c r="E160" s="480">
        <f>+'[27]Sch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'[27]Sch C'!D157</f>
        <v>0</v>
      </c>
      <c r="D161" s="480">
        <f>'[27]Sch C'!F157</f>
        <v>0</v>
      </c>
      <c r="E161" s="480">
        <f>+'[27]Sch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'[27]Sch C'!D158</f>
        <v>475</v>
      </c>
      <c r="D162" s="480">
        <f>'[27]Sch C'!F158</f>
        <v>0</v>
      </c>
      <c r="E162" s="480">
        <f>+'[27]Sch C'!H158</f>
        <v>0</v>
      </c>
      <c r="F162" s="166">
        <f t="shared" si="53"/>
        <v>475</v>
      </c>
      <c r="G162" s="626"/>
      <c r="H162" s="166"/>
      <c r="I162" s="166">
        <f t="shared" si="54"/>
        <v>475</v>
      </c>
      <c r="J162" s="167">
        <f t="shared" si="55"/>
        <v>1.4097561488695846E-4</v>
      </c>
      <c r="K162" s="458"/>
      <c r="L162" s="163"/>
      <c r="M162" s="163"/>
      <c r="O162" s="329">
        <f t="shared" si="43"/>
        <v>3.6309432808439075E-2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'[27]Sch C'!D159</f>
        <v>0</v>
      </c>
      <c r="D163" s="480">
        <f>'[27]Sch C'!F159</f>
        <v>0</v>
      </c>
      <c r="E163" s="480">
        <f>+'[27]Sch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'[27]Sch C'!D160</f>
        <v>0</v>
      </c>
      <c r="D164" s="480">
        <f>'[27]Sch C'!F160</f>
        <v>0</v>
      </c>
      <c r="E164" s="480">
        <f>+'[27]Sch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'[27]Sch C'!D161</f>
        <v>5634</v>
      </c>
      <c r="D165" s="480">
        <f>'[27]Sch C'!F161</f>
        <v>0</v>
      </c>
      <c r="E165" s="480">
        <f>+'[27]Sch C'!H161</f>
        <v>0</v>
      </c>
      <c r="F165" s="166">
        <f t="shared" si="53"/>
        <v>5634</v>
      </c>
      <c r="G165" s="626"/>
      <c r="H165" s="166"/>
      <c r="I165" s="166">
        <f t="shared" si="54"/>
        <v>5634</v>
      </c>
      <c r="J165" s="167">
        <f t="shared" si="55"/>
        <v>1.6721191879434188E-3</v>
      </c>
      <c r="K165" s="458"/>
      <c r="L165" s="163"/>
      <c r="M165" s="163"/>
      <c r="O165" s="329">
        <f t="shared" si="43"/>
        <v>0.4306680935636753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1271340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1271340</v>
      </c>
      <c r="G166" s="166">
        <f t="shared" si="57"/>
        <v>0</v>
      </c>
      <c r="H166" s="166">
        <f t="shared" si="57"/>
        <v>0</v>
      </c>
      <c r="I166" s="166">
        <f t="shared" si="57"/>
        <v>1271340</v>
      </c>
      <c r="J166" s="167">
        <f t="shared" si="55"/>
        <v>0.37732197522186472</v>
      </c>
      <c r="K166" s="458"/>
      <c r="L166" s="163"/>
      <c r="M166" s="163"/>
      <c r="O166" s="329">
        <f>I166/I$233</f>
        <v>97.182388014065126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'[27]Sch C'!D175</f>
        <v>0</v>
      </c>
      <c r="D169" s="480">
        <f>'[27]Sch C'!F175</f>
        <v>0</v>
      </c>
      <c r="E169" s="480">
        <f>+'[27]Sch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'[27]Sch C'!D176</f>
        <v>0</v>
      </c>
      <c r="D170" s="480">
        <f>'[27]Sch C'!F176</f>
        <v>0</v>
      </c>
      <c r="E170" s="480">
        <f>+'[27]Sch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'[27]Sch C'!D177</f>
        <v>0</v>
      </c>
      <c r="D171" s="480">
        <f>'[27]Sch C'!F177</f>
        <v>0</v>
      </c>
      <c r="E171" s="480">
        <f>+'[27]Sch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'[27]Sch C'!D178</f>
        <v>0</v>
      </c>
      <c r="D172" s="480">
        <f>'[27]Sch C'!F178</f>
        <v>0</v>
      </c>
      <c r="E172" s="480">
        <f>+'[27]Sch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'[27]Sch C'!D179</f>
        <v>0</v>
      </c>
      <c r="D173" s="480">
        <f>'[27]Sch C'!F179</f>
        <v>0</v>
      </c>
      <c r="E173" s="480">
        <f>+'[27]Sch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'[27]Sch C'!D180</f>
        <v>0</v>
      </c>
      <c r="D174" s="480">
        <f>'[27]Sch C'!F180</f>
        <v>0</v>
      </c>
      <c r="E174" s="480">
        <f>+'[27]Sch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'[27]Sch C'!D181</f>
        <v>0</v>
      </c>
      <c r="D175" s="480">
        <f>'[27]Sch C'!F181</f>
        <v>0</v>
      </c>
      <c r="E175" s="480">
        <f>+'[27]Sch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'[27]Sch C'!D182</f>
        <v>0</v>
      </c>
      <c r="D176" s="480">
        <f>'[27]Sch C'!F182</f>
        <v>0</v>
      </c>
      <c r="E176" s="480">
        <f>+'[27]Sch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'[27]Sch C'!D183</f>
        <v>0</v>
      </c>
      <c r="D177" s="480">
        <f>'[27]Sch C'!F183</f>
        <v>0</v>
      </c>
      <c r="E177" s="480">
        <f>+'[27]Sch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'[27]Sch C'!D184</f>
        <v>0</v>
      </c>
      <c r="D178" s="480">
        <f>'[27]Sch C'!F184</f>
        <v>0</v>
      </c>
      <c r="E178" s="480">
        <f>+'[27]Sch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'[27]Sch C'!D185</f>
        <v>0</v>
      </c>
      <c r="D179" s="480">
        <f>'[27]Sch C'!F185</f>
        <v>0</v>
      </c>
      <c r="E179" s="480">
        <f>+'[27]Sch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'[27]Sch C'!D186</f>
        <v>0</v>
      </c>
      <c r="D180" s="480">
        <f>'[27]Sch C'!F186</f>
        <v>0</v>
      </c>
      <c r="E180" s="480">
        <f>+'[27]Sch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'[27]Sch C'!D187</f>
        <v>0</v>
      </c>
      <c r="D181" s="480">
        <f>'[27]Sch C'!F187</f>
        <v>0</v>
      </c>
      <c r="E181" s="480">
        <f>+'[27]Sch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'[27]Sch C'!D188</f>
        <v>209</v>
      </c>
      <c r="D182" s="480">
        <f>'[27]Sch C'!F188</f>
        <v>0</v>
      </c>
      <c r="E182" s="480">
        <f>+'[27]Sch C'!H188</f>
        <v>0</v>
      </c>
      <c r="F182" s="166">
        <f t="shared" si="58"/>
        <v>209</v>
      </c>
      <c r="G182" s="626"/>
      <c r="H182" s="166"/>
      <c r="I182" s="166">
        <f t="shared" si="59"/>
        <v>209</v>
      </c>
      <c r="J182" s="167">
        <f t="shared" si="60"/>
        <v>6.2029270550261717E-5</v>
      </c>
      <c r="K182" s="458"/>
      <c r="L182" s="213"/>
      <c r="M182" s="208"/>
      <c r="N182" s="210"/>
      <c r="O182" s="329">
        <f t="shared" si="61"/>
        <v>1.5976150435713193E-2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'[27]Sch C'!D189</f>
        <v>0</v>
      </c>
      <c r="D183" s="480">
        <f>'[27]Sch C'!F189</f>
        <v>0</v>
      </c>
      <c r="E183" s="480">
        <f>+'[27]Sch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'[27]Sch C'!D190</f>
        <v>0</v>
      </c>
      <c r="D184" s="480">
        <f>'[27]Sch C'!F190</f>
        <v>0</v>
      </c>
      <c r="E184" s="480">
        <f>+'[27]Sch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'[27]Sch C'!D191</f>
        <v>68</v>
      </c>
      <c r="D185" s="480">
        <f>'[27]Sch C'!F191</f>
        <v>0</v>
      </c>
      <c r="E185" s="480">
        <f>+'[27]Sch C'!H191</f>
        <v>0</v>
      </c>
      <c r="F185" s="166">
        <f t="shared" si="58"/>
        <v>68</v>
      </c>
      <c r="G185" s="626"/>
      <c r="H185" s="166"/>
      <c r="I185" s="166">
        <f t="shared" si="59"/>
        <v>68</v>
      </c>
      <c r="J185" s="167">
        <f t="shared" si="60"/>
        <v>2.0181772236448787E-5</v>
      </c>
      <c r="K185" s="458"/>
      <c r="L185" s="213"/>
      <c r="M185" s="208"/>
      <c r="N185" s="210"/>
      <c r="O185" s="329">
        <f t="shared" si="61"/>
        <v>5.1979819599449629E-3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'[27]Sch C'!D192</f>
        <v>0</v>
      </c>
      <c r="D186" s="480">
        <f>'[27]Sch C'!F192</f>
        <v>0</v>
      </c>
      <c r="E186" s="480">
        <f>+'[27]Sch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'[27]Sch C'!D193</f>
        <v>1991</v>
      </c>
      <c r="D187" s="480">
        <f>'[27]Sch C'!F193</f>
        <v>0</v>
      </c>
      <c r="E187" s="480">
        <f>+'[27]Sch C'!H193</f>
        <v>0</v>
      </c>
      <c r="F187" s="166">
        <f t="shared" si="58"/>
        <v>1991</v>
      </c>
      <c r="G187" s="626"/>
      <c r="H187" s="166"/>
      <c r="I187" s="166">
        <f t="shared" si="59"/>
        <v>1991</v>
      </c>
      <c r="J187" s="167">
        <f t="shared" si="60"/>
        <v>5.9091041945249318E-4</v>
      </c>
      <c r="K187" s="458"/>
      <c r="L187" s="213"/>
      <c r="M187" s="208"/>
      <c r="N187" s="210"/>
      <c r="O187" s="329">
        <f t="shared" si="61"/>
        <v>0.15219385415074146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'[27]Sch C'!D194</f>
        <v>120631</v>
      </c>
      <c r="D188" s="480">
        <f>'[27]Sch C'!F194</f>
        <v>0</v>
      </c>
      <c r="E188" s="480">
        <f>+'[27]Sch C'!H194</f>
        <v>2111</v>
      </c>
      <c r="F188" s="166">
        <f t="shared" si="58"/>
        <v>122742</v>
      </c>
      <c r="G188" s="626"/>
      <c r="H188" s="166"/>
      <c r="I188" s="166">
        <f t="shared" si="59"/>
        <v>122742</v>
      </c>
      <c r="J188" s="167">
        <f t="shared" si="60"/>
        <v>3.6428692468326432E-2</v>
      </c>
      <c r="K188" s="458"/>
      <c r="L188" s="213"/>
      <c r="M188" s="208"/>
      <c r="O188" s="329">
        <f t="shared" si="61"/>
        <v>9.3825103195230088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'[27]Sch C'!D195</f>
        <v>54920</v>
      </c>
      <c r="D189" s="480">
        <f>'[27]Sch C'!F195</f>
        <v>0</v>
      </c>
      <c r="E189" s="480">
        <f>+'[27]Sch C'!H195</f>
        <v>961</v>
      </c>
      <c r="F189" s="166">
        <f t="shared" si="58"/>
        <v>55881</v>
      </c>
      <c r="G189" s="626"/>
      <c r="H189" s="166"/>
      <c r="I189" s="166">
        <f t="shared" si="59"/>
        <v>55881</v>
      </c>
      <c r="J189" s="167">
        <f t="shared" si="60"/>
        <v>1.6584964916838158E-2</v>
      </c>
      <c r="K189" s="458"/>
      <c r="L189" s="213"/>
      <c r="M189" s="208"/>
      <c r="O189" s="329">
        <f t="shared" si="61"/>
        <v>4.2715945574071243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'[27]Sch C'!D196</f>
        <v>0</v>
      </c>
      <c r="D190" s="480">
        <f>'[27]Sch C'!F196</f>
        <v>0</v>
      </c>
      <c r="E190" s="480">
        <f>+'[27]Sch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'[27]Sch C'!D197</f>
        <v>140497</v>
      </c>
      <c r="D191" s="480">
        <f>'[27]Sch C'!F197</f>
        <v>0</v>
      </c>
      <c r="E191" s="480">
        <f>+'[27]Sch C'!H197</f>
        <v>2459</v>
      </c>
      <c r="F191" s="166">
        <f t="shared" si="58"/>
        <v>142956</v>
      </c>
      <c r="G191" s="626"/>
      <c r="H191" s="166"/>
      <c r="I191" s="166">
        <f t="shared" si="59"/>
        <v>142956</v>
      </c>
      <c r="J191" s="167">
        <f t="shared" si="60"/>
        <v>4.2428021056379016E-2</v>
      </c>
      <c r="K191" s="458"/>
      <c r="L191" s="213"/>
      <c r="M191" s="208"/>
      <c r="O191" s="329">
        <f t="shared" si="61"/>
        <v>10.927686898027824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'[27]Sch C'!D198</f>
        <v>5561</v>
      </c>
      <c r="D192" s="480">
        <f>'[27]Sch C'!F198</f>
        <v>0</v>
      </c>
      <c r="E192" s="480">
        <f>+'[27]Sch C'!H198</f>
        <v>0</v>
      </c>
      <c r="F192" s="166">
        <f t="shared" si="58"/>
        <v>5561</v>
      </c>
      <c r="G192" s="626"/>
      <c r="H192" s="166"/>
      <c r="I192" s="166">
        <f t="shared" si="59"/>
        <v>5561</v>
      </c>
      <c r="J192" s="167">
        <f t="shared" si="60"/>
        <v>1.6504534618660546E-3</v>
      </c>
      <c r="K192" s="458"/>
      <c r="L192" s="213"/>
      <c r="M192" s="208"/>
      <c r="O192" s="329">
        <f t="shared" si="61"/>
        <v>0.42508790704785199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'[27]Sch C'!D199</f>
        <v>0</v>
      </c>
      <c r="D193" s="480">
        <f>'[27]Sch C'!F199</f>
        <v>0</v>
      </c>
      <c r="E193" s="480">
        <f>+'[27]Sch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'[27]Sch C'!D200</f>
        <v>0</v>
      </c>
      <c r="D194" s="480">
        <f>'[27]Sch C'!F200</f>
        <v>0</v>
      </c>
      <c r="E194" s="480">
        <f>+'[27]Sch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'[27]Sch C'!D201</f>
        <v>0</v>
      </c>
      <c r="D195" s="480">
        <f>'[27]Sch C'!F201</f>
        <v>0</v>
      </c>
      <c r="E195" s="480">
        <f>+'[27]Sch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'[27]Sch C'!D202</f>
        <v>0</v>
      </c>
      <c r="D196" s="480">
        <f>'[27]Sch C'!F202</f>
        <v>0</v>
      </c>
      <c r="E196" s="480">
        <f>+'[27]Sch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'[27]Sch C'!D203</f>
        <v>0</v>
      </c>
      <c r="D197" s="480">
        <f>'[27]Sch C'!F203</f>
        <v>0</v>
      </c>
      <c r="E197" s="480">
        <f>+'[27]Sch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'[27]Sch C'!D204</f>
        <v>0</v>
      </c>
      <c r="D198" s="480">
        <f>'[27]Sch C'!F204</f>
        <v>0</v>
      </c>
      <c r="E198" s="480">
        <f>+'[27]Sch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'[27]Sch C'!D205</f>
        <v>75067</v>
      </c>
      <c r="D199" s="480">
        <f>'[27]Sch C'!F205</f>
        <v>0</v>
      </c>
      <c r="E199" s="480">
        <f>+'[27]Sch C'!H205</f>
        <v>0</v>
      </c>
      <c r="F199" s="166">
        <f t="shared" si="58"/>
        <v>75067</v>
      </c>
      <c r="G199" s="626"/>
      <c r="H199" s="166"/>
      <c r="I199" s="166">
        <f t="shared" si="59"/>
        <v>75067</v>
      </c>
      <c r="J199" s="167">
        <f t="shared" si="60"/>
        <v>2.2279192595198546E-2</v>
      </c>
      <c r="K199" s="458"/>
      <c r="L199" s="213"/>
      <c r="M199" s="208"/>
      <c r="O199" s="329">
        <f t="shared" si="61"/>
        <v>5.7381898792233601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'[27]Sch C'!D206</f>
        <v>2347</v>
      </c>
      <c r="D200" s="480">
        <f>'[27]Sch C'!F206</f>
        <v>0</v>
      </c>
      <c r="E200" s="480">
        <f>+'[27]Sch C'!H206</f>
        <v>0</v>
      </c>
      <c r="F200" s="166">
        <f t="shared" si="58"/>
        <v>2347</v>
      </c>
      <c r="G200" s="626"/>
      <c r="H200" s="166"/>
      <c r="I200" s="166">
        <f t="shared" si="59"/>
        <v>2347</v>
      </c>
      <c r="J200" s="167">
        <f t="shared" si="60"/>
        <v>6.9656793292566623E-4</v>
      </c>
      <c r="K200" s="458"/>
      <c r="L200" s="213"/>
      <c r="M200" s="208"/>
      <c r="O200" s="329">
        <f t="shared" si="61"/>
        <v>0.17940681852927687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'[27]Sch C'!D207</f>
        <v>0</v>
      </c>
      <c r="D201" s="480">
        <f>'[27]Sch C'!F207</f>
        <v>0</v>
      </c>
      <c r="E201" s="480">
        <f>+'[27]Sch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401291</v>
      </c>
      <c r="D202" s="480">
        <f t="shared" si="62"/>
        <v>0</v>
      </c>
      <c r="E202" s="480">
        <f t="shared" si="62"/>
        <v>5531</v>
      </c>
      <c r="F202" s="166">
        <f t="shared" ref="F202:I202" si="63">SUM(F169:F201)</f>
        <v>406822</v>
      </c>
      <c r="G202" s="166">
        <f t="shared" si="63"/>
        <v>0</v>
      </c>
      <c r="H202" s="166">
        <f t="shared" si="63"/>
        <v>0</v>
      </c>
      <c r="I202" s="166">
        <f t="shared" si="63"/>
        <v>406822</v>
      </c>
      <c r="J202" s="167">
        <f>IF($I$213=0,0,I202/$I$213)</f>
        <v>0.12074101389377308</v>
      </c>
      <c r="K202" s="458"/>
      <c r="L202" s="163"/>
      <c r="M202" s="163"/>
      <c r="O202" s="329">
        <f>I202/I$233</f>
        <v>31.097844366304848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'[27]Sch C'!D211</f>
        <v>85360</v>
      </c>
      <c r="D205" s="480">
        <f>'[27]Sch C'!F211</f>
        <v>0</v>
      </c>
      <c r="E205" s="480">
        <f>+'[27]Sch C'!H211</f>
        <v>0</v>
      </c>
      <c r="F205" s="166">
        <f t="shared" ref="F205:F210" si="64">C205+D205+E205</f>
        <v>85360</v>
      </c>
      <c r="G205" s="626"/>
      <c r="H205" s="166"/>
      <c r="I205" s="166">
        <f t="shared" ref="I205:I210" si="65">F205+G205+H205</f>
        <v>85360</v>
      </c>
      <c r="J205" s="167">
        <f t="shared" ref="J205:J211" si="66">IF($I$213=0,0,I205/$I$213)</f>
        <v>2.5334059972106891E-2</v>
      </c>
      <c r="K205" s="458"/>
      <c r="L205" s="176">
        <v>4587</v>
      </c>
      <c r="M205" s="176">
        <v>4851</v>
      </c>
      <c r="O205" s="329">
        <f t="shared" ref="O205:O210" si="67">I205/I$233</f>
        <v>6.5249961779544412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'[27]Sch C'!D212</f>
        <v>26897</v>
      </c>
      <c r="D206" s="480">
        <f>'[27]Sch C'!F212</f>
        <v>0</v>
      </c>
      <c r="E206" s="480">
        <f>+'[27]Sch C'!H212</f>
        <v>0</v>
      </c>
      <c r="F206" s="166">
        <f t="shared" si="64"/>
        <v>26897</v>
      </c>
      <c r="G206" s="626"/>
      <c r="H206" s="166"/>
      <c r="I206" s="166">
        <f t="shared" si="65"/>
        <v>26897</v>
      </c>
      <c r="J206" s="167">
        <f t="shared" si="66"/>
        <v>7.9827812918200451E-3</v>
      </c>
      <c r="K206" s="458"/>
      <c r="L206" s="163"/>
      <c r="M206" s="163"/>
      <c r="O206" s="329">
        <f t="shared" si="67"/>
        <v>2.0560311878917599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'[27]Sch C'!D213</f>
        <v>5884</v>
      </c>
      <c r="D207" s="480">
        <f>'[27]Sch C'!F213</f>
        <v>0</v>
      </c>
      <c r="E207" s="480">
        <f>+'[27]Sch C'!H213</f>
        <v>0</v>
      </c>
      <c r="F207" s="166">
        <f t="shared" si="64"/>
        <v>5884</v>
      </c>
      <c r="G207" s="626"/>
      <c r="H207" s="166"/>
      <c r="I207" s="166">
        <f t="shared" si="65"/>
        <v>5884</v>
      </c>
      <c r="J207" s="167">
        <f t="shared" si="66"/>
        <v>1.7463168799891863E-3</v>
      </c>
      <c r="K207" s="458"/>
      <c r="L207" s="163"/>
      <c r="M207" s="163"/>
      <c r="O207" s="329">
        <f t="shared" si="67"/>
        <v>0.4497783213575906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'[27]Sch C'!D214</f>
        <v>0</v>
      </c>
      <c r="D208" s="480">
        <f>'[27]Sch C'!F214</f>
        <v>0</v>
      </c>
      <c r="E208" s="480">
        <f>+'[27]Sch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'[27]Sch C'!D215</f>
        <v>0</v>
      </c>
      <c r="D209" s="480">
        <f>'[27]Sch C'!F215</f>
        <v>0</v>
      </c>
      <c r="E209" s="480">
        <f>+'[27]Sch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'[27]Sch C'!D216</f>
        <v>877</v>
      </c>
      <c r="D210" s="480">
        <f>'[27]Sch C'!F216</f>
        <v>0</v>
      </c>
      <c r="E210" s="480">
        <f>+'[27]Sch C'!H216</f>
        <v>0</v>
      </c>
      <c r="F210" s="166">
        <f t="shared" si="64"/>
        <v>877</v>
      </c>
      <c r="G210" s="626"/>
      <c r="H210" s="166"/>
      <c r="I210" s="166">
        <f t="shared" si="65"/>
        <v>877</v>
      </c>
      <c r="J210" s="167">
        <f t="shared" si="66"/>
        <v>2.6028550369655275E-4</v>
      </c>
      <c r="K210" s="458"/>
      <c r="L210" s="163"/>
      <c r="M210" s="163"/>
      <c r="O210" s="329">
        <f t="shared" si="67"/>
        <v>6.703867910105489E-2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119018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119018</v>
      </c>
      <c r="G211" s="166">
        <f t="shared" si="69"/>
        <v>0</v>
      </c>
      <c r="H211" s="166">
        <f t="shared" si="69"/>
        <v>0</v>
      </c>
      <c r="I211" s="166">
        <f t="shared" si="69"/>
        <v>119018</v>
      </c>
      <c r="J211" s="167">
        <f t="shared" si="66"/>
        <v>3.5323443647612675E-2</v>
      </c>
      <c r="K211" s="458"/>
      <c r="L211" s="163"/>
      <c r="M211" s="163"/>
      <c r="O211" s="329">
        <f>I211/I$233</f>
        <v>9.0978443663048463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3406503</v>
      </c>
      <c r="D213" s="480">
        <f t="shared" si="70"/>
        <v>-47716</v>
      </c>
      <c r="E213" s="480">
        <f t="shared" si="70"/>
        <v>11964</v>
      </c>
      <c r="F213" s="166">
        <f t="shared" ref="F213:I213" si="71">SUM(F30:F211)/2</f>
        <v>3370751</v>
      </c>
      <c r="G213" s="166">
        <f t="shared" si="71"/>
        <v>-1373.96</v>
      </c>
      <c r="H213" s="166">
        <f t="shared" si="71"/>
        <v>0</v>
      </c>
      <c r="I213" s="166">
        <f t="shared" si="71"/>
        <v>3369377.04</v>
      </c>
      <c r="J213" s="167">
        <f>IF($I$213=0,0,I213/$I$213)</f>
        <v>1</v>
      </c>
      <c r="K213" s="458"/>
      <c r="L213" s="176">
        <f>SUM(L30:L205)</f>
        <v>72140</v>
      </c>
      <c r="M213" s="176">
        <f>SUM(M30:M205)</f>
        <v>76076</v>
      </c>
      <c r="O213" s="329">
        <f>I213/I$233</f>
        <v>257.5582510319523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'[27]Sch C'!D221</f>
        <v>3406503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-87839</v>
      </c>
      <c r="D220" s="480">
        <f t="shared" si="72"/>
        <v>42923</v>
      </c>
      <c r="E220" s="480">
        <f t="shared" si="72"/>
        <v>-11964</v>
      </c>
      <c r="F220" s="166">
        <f t="shared" ref="F220:I220" si="73">F26-F213</f>
        <v>-56880</v>
      </c>
      <c r="G220" s="166">
        <f t="shared" si="73"/>
        <v>1373.96</v>
      </c>
      <c r="H220" s="166">
        <f t="shared" si="73"/>
        <v>0</v>
      </c>
      <c r="I220" s="166">
        <f t="shared" si="73"/>
        <v>-55506.040000000037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'[27]Sch D'!C9</f>
        <v>9256</v>
      </c>
      <c r="D224" s="674"/>
      <c r="E224" s="674"/>
      <c r="F224" s="224">
        <f>C224+D224+E224</f>
        <v>9256</v>
      </c>
      <c r="G224" s="627">
        <f>-397-24</f>
        <v>-421</v>
      </c>
      <c r="H224" s="223"/>
      <c r="I224" s="224">
        <f>F224+G224+H224</f>
        <v>8835</v>
      </c>
      <c r="J224" s="167">
        <f t="shared" ref="J224:J233" si="74">IF($I$233=0,0,I224/$I$233)</f>
        <v>0.67535545023696686</v>
      </c>
      <c r="K224" s="458" t="s">
        <v>641</v>
      </c>
      <c r="L224" s="163"/>
      <c r="M224" s="163"/>
    </row>
    <row r="225" spans="1:13">
      <c r="A225" s="158"/>
      <c r="B225" s="165" t="s">
        <v>201</v>
      </c>
      <c r="C225" s="504">
        <f>'[27]Sch D'!D9</f>
        <v>31</v>
      </c>
      <c r="D225" s="674"/>
      <c r="E225" s="674"/>
      <c r="F225" s="224">
        <f t="shared" ref="F225:F232" si="75">C225+D225+E225</f>
        <v>31</v>
      </c>
      <c r="G225" s="627">
        <v>397</v>
      </c>
      <c r="H225" s="223"/>
      <c r="I225" s="224">
        <f t="shared" ref="I225:I232" si="76">F225+G225+H225</f>
        <v>428</v>
      </c>
      <c r="J225" s="167">
        <f t="shared" si="74"/>
        <v>3.2716709983182997E-2</v>
      </c>
      <c r="K225" s="458" t="s">
        <v>591</v>
      </c>
      <c r="L225" s="163"/>
      <c r="M225" s="163"/>
    </row>
    <row r="226" spans="1:13">
      <c r="A226" s="158"/>
      <c r="B226" s="165" t="s">
        <v>64</v>
      </c>
      <c r="C226" s="504">
        <f>'[27]Sch D'!E9</f>
        <v>1429</v>
      </c>
      <c r="D226" s="674"/>
      <c r="E226" s="674"/>
      <c r="F226" s="224">
        <f t="shared" si="75"/>
        <v>1429</v>
      </c>
      <c r="G226" s="627"/>
      <c r="H226" s="223"/>
      <c r="I226" s="224">
        <f t="shared" si="76"/>
        <v>1429</v>
      </c>
      <c r="J226" s="167">
        <f t="shared" si="74"/>
        <v>0.10923406207001987</v>
      </c>
      <c r="K226" s="458"/>
      <c r="L226" s="163"/>
      <c r="M226" s="163"/>
    </row>
    <row r="227" spans="1:13">
      <c r="A227" s="158"/>
      <c r="B227" s="194" t="s">
        <v>315</v>
      </c>
      <c r="C227" s="504">
        <f>'[27]Sch D'!F9</f>
        <v>203</v>
      </c>
      <c r="D227" s="674"/>
      <c r="E227" s="674"/>
      <c r="F227" s="224">
        <f t="shared" si="75"/>
        <v>203</v>
      </c>
      <c r="G227" s="627"/>
      <c r="H227" s="223"/>
      <c r="I227" s="224">
        <f t="shared" si="76"/>
        <v>203</v>
      </c>
      <c r="J227" s="167">
        <f t="shared" si="74"/>
        <v>1.5517504968659227E-2</v>
      </c>
      <c r="K227" s="458"/>
      <c r="L227" s="163"/>
      <c r="M227" s="163"/>
    </row>
    <row r="228" spans="1:13">
      <c r="A228" s="158"/>
      <c r="B228" s="165" t="s">
        <v>65</v>
      </c>
      <c r="C228" s="504">
        <f>'[27]Sch D'!G9</f>
        <v>1033</v>
      </c>
      <c r="D228" s="674"/>
      <c r="E228" s="674"/>
      <c r="F228" s="224">
        <f t="shared" si="75"/>
        <v>1033</v>
      </c>
      <c r="G228" s="627"/>
      <c r="H228" s="223"/>
      <c r="I228" s="224">
        <f t="shared" si="76"/>
        <v>1033</v>
      </c>
      <c r="J228" s="167">
        <f t="shared" si="74"/>
        <v>7.8963461244458036E-2</v>
      </c>
      <c r="K228" s="458"/>
      <c r="L228" s="163"/>
      <c r="M228" s="163"/>
    </row>
    <row r="229" spans="1:13">
      <c r="A229" s="158"/>
      <c r="B229" s="165" t="s">
        <v>66</v>
      </c>
      <c r="C229" s="504">
        <f>'[27]Sch D'!H9</f>
        <v>915</v>
      </c>
      <c r="D229" s="674"/>
      <c r="E229" s="674"/>
      <c r="F229" s="224">
        <f t="shared" si="75"/>
        <v>915</v>
      </c>
      <c r="G229" s="627"/>
      <c r="H229" s="223"/>
      <c r="I229" s="224">
        <f t="shared" si="76"/>
        <v>915</v>
      </c>
      <c r="J229" s="167">
        <f t="shared" si="74"/>
        <v>6.9943433725730017E-2</v>
      </c>
      <c r="K229" s="458"/>
      <c r="L229" s="163"/>
      <c r="M229" s="163"/>
    </row>
    <row r="230" spans="1:13">
      <c r="A230" s="158"/>
      <c r="B230" s="165" t="s">
        <v>219</v>
      </c>
      <c r="C230" s="504">
        <f>'[27]Sch D'!I9</f>
        <v>181</v>
      </c>
      <c r="D230" s="674"/>
      <c r="E230" s="674"/>
      <c r="F230" s="224">
        <f t="shared" si="75"/>
        <v>181</v>
      </c>
      <c r="G230" s="627"/>
      <c r="H230" s="223"/>
      <c r="I230" s="224">
        <f t="shared" si="76"/>
        <v>181</v>
      </c>
      <c r="J230" s="167">
        <f t="shared" si="74"/>
        <v>1.3835804922794679E-2</v>
      </c>
      <c r="K230" s="458"/>
      <c r="L230" s="163"/>
      <c r="M230" s="163"/>
    </row>
    <row r="231" spans="1:13">
      <c r="A231" s="158"/>
      <c r="B231" s="165" t="s">
        <v>218</v>
      </c>
      <c r="C231" s="504">
        <f>'[27]Sch D'!J9</f>
        <v>0</v>
      </c>
      <c r="D231" s="674"/>
      <c r="E231" s="674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'[27]Sch D'!K9</f>
        <v>34</v>
      </c>
      <c r="D232" s="674"/>
      <c r="E232" s="674"/>
      <c r="F232" s="224">
        <f t="shared" si="75"/>
        <v>34</v>
      </c>
      <c r="G232" s="627">
        <v>24</v>
      </c>
      <c r="H232" s="223"/>
      <c r="I232" s="224">
        <f t="shared" si="76"/>
        <v>58</v>
      </c>
      <c r="J232" s="167">
        <f t="shared" si="74"/>
        <v>4.4335728481883505E-3</v>
      </c>
      <c r="K232" s="458" t="s">
        <v>642</v>
      </c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13082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13082</v>
      </c>
      <c r="G233" s="226">
        <f t="shared" si="78"/>
        <v>0</v>
      </c>
      <c r="H233" s="226">
        <f t="shared" si="78"/>
        <v>0</v>
      </c>
      <c r="I233" s="226">
        <f t="shared" si="78"/>
        <v>13082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'[27]Sch D'!N22</f>
        <v>80</v>
      </c>
      <c r="D236" s="480"/>
      <c r="E236" s="480"/>
      <c r="F236" s="224">
        <f>C236+E236</f>
        <v>80</v>
      </c>
      <c r="G236" s="627"/>
      <c r="H236" s="224"/>
      <c r="I236" s="224">
        <f>F236+G236+H236</f>
        <v>80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'[27]Sch D'!N24</f>
        <v>80</v>
      </c>
      <c r="D237" s="480"/>
      <c r="E237" s="480"/>
      <c r="F237" s="224">
        <f>C237+E237</f>
        <v>80</v>
      </c>
      <c r="G237" s="627"/>
      <c r="H237" s="224"/>
      <c r="I237" s="224">
        <f>F237+G237+H237</f>
        <v>80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'[27]Sch D'!N28</f>
        <v>29200</v>
      </c>
      <c r="D240" s="427"/>
      <c r="E240" s="427"/>
      <c r="F240" s="223">
        <f>F236*F238</f>
        <v>29200</v>
      </c>
      <c r="G240"/>
      <c r="H240" s="228"/>
      <c r="I240" s="223">
        <f>I236*I238</f>
        <v>29200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'[27]Sch D'!N30</f>
        <v>0.44801369863013701</v>
      </c>
      <c r="D241" s="228"/>
      <c r="E241" s="228"/>
      <c r="F241" s="232">
        <f>F233/F240</f>
        <v>0.44801369863013701</v>
      </c>
      <c r="G241"/>
      <c r="H241" s="233"/>
      <c r="I241" s="232">
        <f>I233/I240</f>
        <v>0.44801369863013701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'[27]Sch D'!N32</f>
        <v>0.31804794520547947</v>
      </c>
      <c r="D242" s="228"/>
      <c r="E242" s="228"/>
      <c r="F242" s="232">
        <f>(F224+F225)/F240</f>
        <v>0.31804794520547947</v>
      </c>
      <c r="G242"/>
      <c r="H242" s="233"/>
      <c r="I242" s="232">
        <f>(I224+I225)/I240</f>
        <v>0.31722602739726025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'[27]Sch D'!N34</f>
        <v>0.70990674208836568</v>
      </c>
      <c r="D243" s="228"/>
      <c r="E243" s="228"/>
      <c r="F243" s="232">
        <f>(F242/F241)</f>
        <v>0.70990674208836568</v>
      </c>
      <c r="G243"/>
      <c r="H243" s="233"/>
      <c r="I243" s="232">
        <f>(I242/I241)</f>
        <v>0.70807216022014974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'[27]Sch B'!C90</f>
        <v>184.46231155778895</v>
      </c>
      <c r="K246" s="460"/>
    </row>
    <row r="247" spans="1:13">
      <c r="H247" s="140" t="s">
        <v>322</v>
      </c>
      <c r="I247" s="480">
        <f>'[27]Sch B'!E90</f>
        <v>184.46190476190475</v>
      </c>
      <c r="K247" s="460"/>
    </row>
    <row r="248" spans="1:13">
      <c r="H248" s="140" t="s">
        <v>323</v>
      </c>
      <c r="I248" s="480">
        <f>'[27]Sch B'!G90</f>
        <v>184.46245059288538</v>
      </c>
      <c r="K248" s="460"/>
    </row>
    <row r="249" spans="1:13">
      <c r="H249" s="140" t="s">
        <v>324</v>
      </c>
      <c r="I249" s="480">
        <f>'[27]Sch B'!I90</f>
        <v>184.46245059288538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E28CAB"/>
  </sheetPr>
  <dimension ref="A1:Q277"/>
  <sheetViews>
    <sheetView showGridLines="0" topLeftCell="A37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467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'[28]Sch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'[28]Sch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39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'[28]Sch B'!E10</f>
        <v>4833640.8775356878</v>
      </c>
      <c r="D12" s="480">
        <f>'[28]Sch B'!G10</f>
        <v>0</v>
      </c>
      <c r="E12" s="480"/>
      <c r="F12" s="166">
        <f>C12+D12+E12</f>
        <v>4833640.8775356878</v>
      </c>
      <c r="G12" s="626"/>
      <c r="H12" s="626"/>
      <c r="I12" s="166">
        <f>F12+G12+H12</f>
        <v>4833640.8775356878</v>
      </c>
      <c r="J12" s="167">
        <f>IF($I$26=0,0,I12/$I$26)</f>
        <v>0.5216120193275916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'[28]Sch B'!E12</f>
        <v>796251</v>
      </c>
      <c r="D13" s="480">
        <f>'[28]Sch B'!G12</f>
        <v>0</v>
      </c>
      <c r="E13" s="480"/>
      <c r="F13" s="166">
        <f t="shared" ref="F13:F25" si="0">C13+D13+E13</f>
        <v>796251</v>
      </c>
      <c r="G13" s="626">
        <v>-796251</v>
      </c>
      <c r="H13" s="62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'[28]Sch B'!E13</f>
        <v>62755</v>
      </c>
      <c r="D14" s="480">
        <f>'[28]Sch B'!G13</f>
        <v>0</v>
      </c>
      <c r="E14" s="480"/>
      <c r="F14" s="166">
        <f t="shared" si="0"/>
        <v>62755</v>
      </c>
      <c r="G14" s="626"/>
      <c r="H14" s="626"/>
      <c r="I14" s="166">
        <f t="shared" si="1"/>
        <v>62755</v>
      </c>
      <c r="J14" s="167">
        <f>IF($I$26=0,0,I14/$I$26)</f>
        <v>6.7720716334208732E-3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'[28]Sch B'!E14</f>
        <v>114984</v>
      </c>
      <c r="D15" s="480">
        <f>'[28]Sch B'!G14</f>
        <v>0</v>
      </c>
      <c r="E15" s="480"/>
      <c r="F15" s="166">
        <f t="shared" si="0"/>
        <v>114984</v>
      </c>
      <c r="G15" s="626"/>
      <c r="H15" s="626"/>
      <c r="I15" s="166">
        <f t="shared" si="1"/>
        <v>114984</v>
      </c>
      <c r="J15" s="167">
        <f>IF($I$26=0,0,I15/$I$26)</f>
        <v>1.240825248501738E-2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'[28]Sch B'!E15</f>
        <v>5807630.8775356878</v>
      </c>
      <c r="D16" s="480">
        <f>'[28]Sch B'!G15</f>
        <v>0</v>
      </c>
      <c r="E16" s="480"/>
      <c r="F16" s="166">
        <f t="shared" si="0"/>
        <v>5807630.8775356878</v>
      </c>
      <c r="G16" s="626"/>
      <c r="H16" s="626"/>
      <c r="I16" s="166">
        <f>SUM(I12:I15)</f>
        <v>5011379.8775356878</v>
      </c>
      <c r="J16" s="167">
        <f t="shared" ref="J16:J26" si="2">IF($I$26=0,0,I16/$I$26)</f>
        <v>0.54079234344602989</v>
      </c>
      <c r="K16" s="458"/>
      <c r="L16" s="333" t="s">
        <v>325</v>
      </c>
      <c r="M16" s="334">
        <f>I26</f>
        <v>9266735.9999999981</v>
      </c>
      <c r="O16" s="324">
        <f>IFERROR(I16/I224,0)</f>
        <v>221.42894474795369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'[28]Sch B'!E20</f>
        <v>283201.12246431259</v>
      </c>
      <c r="D17" s="480">
        <f>'[28]Sch B'!G20</f>
        <v>0</v>
      </c>
      <c r="E17" s="480"/>
      <c r="F17" s="166">
        <f t="shared" si="0"/>
        <v>283201.12246431259</v>
      </c>
      <c r="G17" s="626"/>
      <c r="H17" s="626"/>
      <c r="I17" s="166">
        <f t="shared" si="1"/>
        <v>283201.12246431259</v>
      </c>
      <c r="J17" s="167">
        <f t="shared" si="2"/>
        <v>3.0561043550211494E-2</v>
      </c>
      <c r="K17" s="458"/>
      <c r="L17" s="335" t="s">
        <v>326</v>
      </c>
      <c r="M17" s="336">
        <f>I213</f>
        <v>9657769</v>
      </c>
      <c r="O17" s="324">
        <f t="shared" ref="O17:O24" si="3">IFERROR(I17/I225,0)</f>
        <v>213.57550713749063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'[28]Sch B'!E26</f>
        <v>1551152</v>
      </c>
      <c r="D18" s="480">
        <f>'[28]Sch B'!G26</f>
        <v>0</v>
      </c>
      <c r="E18" s="480"/>
      <c r="F18" s="166">
        <f t="shared" si="0"/>
        <v>1551152</v>
      </c>
      <c r="G18" s="626"/>
      <c r="H18" s="626"/>
      <c r="I18" s="166">
        <f t="shared" si="1"/>
        <v>1551152</v>
      </c>
      <c r="J18" s="167">
        <f t="shared" si="2"/>
        <v>0.16738925118833647</v>
      </c>
      <c r="K18" s="458"/>
      <c r="L18" s="335" t="s">
        <v>327</v>
      </c>
      <c r="M18" s="336">
        <f>I233</f>
        <v>34442</v>
      </c>
      <c r="O18" s="324">
        <f t="shared" si="3"/>
        <v>580.08676140613318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'[28]Sch B'!E32</f>
        <v>322938.1369863014</v>
      </c>
      <c r="D19" s="480">
        <f>'[28]Sch B'!G32</f>
        <v>0</v>
      </c>
      <c r="E19" s="480"/>
      <c r="F19" s="166">
        <f t="shared" si="0"/>
        <v>322938.1369863014</v>
      </c>
      <c r="G19" s="626"/>
      <c r="H19" s="626"/>
      <c r="I19" s="166">
        <f t="shared" si="1"/>
        <v>322938.1369863014</v>
      </c>
      <c r="J19" s="170">
        <f t="shared" si="2"/>
        <v>3.4849178501071082E-2</v>
      </c>
      <c r="K19" s="464"/>
      <c r="L19" s="335" t="s">
        <v>328</v>
      </c>
      <c r="M19" s="336">
        <f>I236</f>
        <v>192</v>
      </c>
      <c r="O19" s="324">
        <f t="shared" si="3"/>
        <v>501.45673445077858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'[28]Sch B'!E37</f>
        <v>1231186</v>
      </c>
      <c r="D20" s="480">
        <f>'[28]Sch B'!G37</f>
        <v>0</v>
      </c>
      <c r="E20" s="480"/>
      <c r="F20" s="166">
        <f t="shared" si="0"/>
        <v>1231186</v>
      </c>
      <c r="G20" s="626"/>
      <c r="H20" s="626"/>
      <c r="I20" s="166">
        <f t="shared" si="1"/>
        <v>1231186</v>
      </c>
      <c r="J20" s="167">
        <f t="shared" si="2"/>
        <v>0.1328608044947002</v>
      </c>
      <c r="K20" s="458"/>
      <c r="L20" s="335" t="s">
        <v>329</v>
      </c>
      <c r="M20" s="336">
        <f>I240</f>
        <v>70080</v>
      </c>
      <c r="O20" s="324">
        <f t="shared" si="3"/>
        <v>353.58587018954626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'[28]Sch B'!E42</f>
        <v>439415</v>
      </c>
      <c r="D21" s="480">
        <f>'[28]Sch B'!G42</f>
        <v>0</v>
      </c>
      <c r="E21" s="480"/>
      <c r="F21" s="166">
        <f t="shared" si="0"/>
        <v>439415</v>
      </c>
      <c r="G21" s="626"/>
      <c r="H21" s="626"/>
      <c r="I21" s="166">
        <f t="shared" si="1"/>
        <v>439415</v>
      </c>
      <c r="J21" s="167">
        <f t="shared" si="2"/>
        <v>4.7418530105961809E-2</v>
      </c>
      <c r="K21" s="458"/>
      <c r="L21" s="337"/>
      <c r="M21" s="336"/>
      <c r="O21" s="324">
        <f t="shared" si="3"/>
        <v>244.79944289693594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'[28]Sch B'!E47</f>
        <v>263663.75618587813</v>
      </c>
      <c r="D22" s="480">
        <f>'[28]Sch B'!G47</f>
        <v>0</v>
      </c>
      <c r="E22" s="480"/>
      <c r="F22" s="166">
        <f t="shared" si="0"/>
        <v>263663.75618587813</v>
      </c>
      <c r="G22" s="626"/>
      <c r="H22" s="626"/>
      <c r="I22" s="166">
        <f t="shared" si="1"/>
        <v>263663.75618587813</v>
      </c>
      <c r="J22" s="167">
        <f t="shared" si="2"/>
        <v>2.8452710445822368E-2</v>
      </c>
      <c r="K22" s="458"/>
      <c r="L22" s="335" t="s">
        <v>148</v>
      </c>
      <c r="M22" s="336">
        <f>L213</f>
        <v>219752</v>
      </c>
      <c r="O22" s="324">
        <f t="shared" si="3"/>
        <v>189.54978877489441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'[28]Sch B'!E52</f>
        <v>50420.243814121903</v>
      </c>
      <c r="D23" s="480">
        <f>'[28]Sch B'!G52</f>
        <v>0</v>
      </c>
      <c r="E23" s="480"/>
      <c r="F23" s="166">
        <f t="shared" si="0"/>
        <v>50420.243814121903</v>
      </c>
      <c r="G23" s="626"/>
      <c r="H23" s="626"/>
      <c r="I23" s="166">
        <f t="shared" si="1"/>
        <v>50420.243814121903</v>
      </c>
      <c r="J23" s="167">
        <f t="shared" si="2"/>
        <v>5.4409927955346863E-3</v>
      </c>
      <c r="K23" s="458"/>
      <c r="L23" s="338" t="s">
        <v>233</v>
      </c>
      <c r="M23" s="339">
        <f>M213</f>
        <v>232442</v>
      </c>
      <c r="O23" s="324">
        <f t="shared" si="3"/>
        <v>189.54978877489438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'[28]Sch B'!E57</f>
        <v>110161.86301369863</v>
      </c>
      <c r="D24" s="480">
        <f>'[28]Sch B'!G57</f>
        <v>0</v>
      </c>
      <c r="E24" s="480"/>
      <c r="F24" s="166">
        <f t="shared" si="0"/>
        <v>110161.86301369863</v>
      </c>
      <c r="G24" s="626"/>
      <c r="H24" s="626"/>
      <c r="I24" s="166">
        <f t="shared" si="1"/>
        <v>110161.86301369863</v>
      </c>
      <c r="J24" s="167">
        <f t="shared" si="2"/>
        <v>1.1887881883513101E-2</v>
      </c>
      <c r="K24" s="458"/>
      <c r="L24" s="163"/>
      <c r="M24" s="163"/>
      <c r="O24" s="324">
        <f t="shared" si="3"/>
        <v>474.83561643835617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'[28]Sch B'!E72</f>
        <v>3218</v>
      </c>
      <c r="D25" s="480">
        <f>'[28]Sch B'!G72</f>
        <v>0</v>
      </c>
      <c r="E25" s="480"/>
      <c r="F25" s="166">
        <f t="shared" si="0"/>
        <v>3218</v>
      </c>
      <c r="G25" s="626"/>
      <c r="H25" s="626"/>
      <c r="I25" s="166">
        <f t="shared" si="1"/>
        <v>3218</v>
      </c>
      <c r="J25" s="167">
        <f t="shared" si="2"/>
        <v>3.4726358881919165E-4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10062986.999999998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10062986.999999998</v>
      </c>
      <c r="G26" s="166">
        <f>SUM(G12:G25)</f>
        <v>-796251</v>
      </c>
      <c r="H26" s="166">
        <f>SUM(H12:H25)</f>
        <v>0</v>
      </c>
      <c r="I26" s="166">
        <f>SUM(I16:I25)</f>
        <v>9266735.9999999981</v>
      </c>
      <c r="J26" s="167">
        <f t="shared" si="2"/>
        <v>1</v>
      </c>
      <c r="K26" s="458"/>
      <c r="L26" s="163"/>
      <c r="M26" s="163"/>
      <c r="O26" s="324">
        <f>IFERROR(I26/I233,0)</f>
        <v>269.05336507752156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'[28]Sch C'!D10</f>
        <v>177250</v>
      </c>
      <c r="D30" s="480">
        <f>'[28]Sch C'!F10</f>
        <v>-61250</v>
      </c>
      <c r="E30" s="480">
        <f>+'[28]Sch C'!H10</f>
        <v>0</v>
      </c>
      <c r="F30" s="166">
        <f t="shared" ref="F30:F65" si="5">C30+D30+E30</f>
        <v>116000</v>
      </c>
      <c r="G30" s="626">
        <v>61250</v>
      </c>
      <c r="H30" s="626"/>
      <c r="I30" s="166">
        <f t="shared" ref="I30:I65" si="6">F30+G30+H30</f>
        <v>177250</v>
      </c>
      <c r="J30" s="167">
        <f>IF($I$213=0,0,I30/$I$213)</f>
        <v>1.8353099975781155E-2</v>
      </c>
      <c r="K30" s="458"/>
      <c r="L30" s="176">
        <v>2080</v>
      </c>
      <c r="M30" s="176">
        <v>2080</v>
      </c>
      <c r="O30" s="324">
        <f>I30/I$233</f>
        <v>5.1463329655652981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'[28]Sch C'!D11</f>
        <v>0</v>
      </c>
      <c r="D31" s="480">
        <f>'[28]Sch C'!F11</f>
        <v>0</v>
      </c>
      <c r="E31" s="480">
        <f>+'[28]Sch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'[28]Sch C'!D12</f>
        <v>216839</v>
      </c>
      <c r="D32" s="480">
        <f>'[28]Sch C'!F12</f>
        <v>0</v>
      </c>
      <c r="E32" s="480">
        <f>+'[28]Sch C'!H12</f>
        <v>0</v>
      </c>
      <c r="F32" s="166">
        <f t="shared" si="5"/>
        <v>216839</v>
      </c>
      <c r="G32" s="626"/>
      <c r="H32" s="626"/>
      <c r="I32" s="166">
        <f t="shared" si="6"/>
        <v>216839</v>
      </c>
      <c r="J32" s="167">
        <f t="shared" si="7"/>
        <v>2.245228685838313E-2</v>
      </c>
      <c r="K32" s="458"/>
      <c r="L32" s="176">
        <v>11996</v>
      </c>
      <c r="M32" s="176">
        <v>13105</v>
      </c>
      <c r="O32" s="324">
        <f t="shared" si="8"/>
        <v>6.2957726032170029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'[28]Sch C'!D13</f>
        <v>348544</v>
      </c>
      <c r="D33" s="480">
        <f>'[28]Sch C'!F13</f>
        <v>-260003</v>
      </c>
      <c r="E33" s="480">
        <f>+'[28]Sch C'!H13</f>
        <v>0</v>
      </c>
      <c r="F33" s="166">
        <f t="shared" si="5"/>
        <v>88541</v>
      </c>
      <c r="G33" s="626"/>
      <c r="H33" s="626"/>
      <c r="I33" s="166">
        <f t="shared" si="6"/>
        <v>88541</v>
      </c>
      <c r="J33" s="167">
        <f t="shared" si="7"/>
        <v>9.1678523269711678E-3</v>
      </c>
      <c r="K33" s="458"/>
      <c r="L33" s="163"/>
      <c r="M33" s="163"/>
      <c r="O33" s="324">
        <f t="shared" si="8"/>
        <v>2.5707276000232273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'[28]Sch C'!D14</f>
        <v>0</v>
      </c>
      <c r="D34" s="480">
        <f>'[28]Sch C'!F14</f>
        <v>0</v>
      </c>
      <c r="E34" s="480">
        <f>+'[28]Sch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'[28]Sch C'!D15</f>
        <v>0</v>
      </c>
      <c r="D35" s="480">
        <f>'[28]Sch C'!F15</f>
        <v>0</v>
      </c>
      <c r="E35" s="480">
        <f>+'[28]Sch C'!H15</f>
        <v>0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'[28]Sch C'!D16</f>
        <v>503048</v>
      </c>
      <c r="D36" s="480">
        <f>'[28]Sch C'!F16</f>
        <v>0</v>
      </c>
      <c r="E36" s="480">
        <f>+'[28]Sch C'!H16</f>
        <v>-142293</v>
      </c>
      <c r="F36" s="166">
        <f t="shared" si="5"/>
        <v>360755</v>
      </c>
      <c r="G36" s="626"/>
      <c r="H36" s="626">
        <v>10824</v>
      </c>
      <c r="I36" s="166">
        <f t="shared" si="6"/>
        <v>371579</v>
      </c>
      <c r="J36" s="167">
        <f t="shared" si="7"/>
        <v>3.8474620794926861E-2</v>
      </c>
      <c r="K36" s="458"/>
      <c r="L36" s="163"/>
      <c r="M36" s="163"/>
      <c r="O36" s="324">
        <f t="shared" si="8"/>
        <v>10.788543057894431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'[28]Sch C'!D17</f>
        <v>0</v>
      </c>
      <c r="D37" s="480">
        <f>'[28]Sch C'!F17</f>
        <v>0</v>
      </c>
      <c r="E37" s="480">
        <f>+'[28]Sch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'[28]Sch C'!D18</f>
        <v>16552</v>
      </c>
      <c r="D38" s="480">
        <f>'[28]Sch C'!F18</f>
        <v>0</v>
      </c>
      <c r="E38" s="480">
        <f>+'[28]Sch C'!H18</f>
        <v>0</v>
      </c>
      <c r="F38" s="166">
        <f t="shared" si="5"/>
        <v>16552</v>
      </c>
      <c r="G38" s="626"/>
      <c r="H38" s="626"/>
      <c r="I38" s="166">
        <f t="shared" si="6"/>
        <v>16552</v>
      </c>
      <c r="J38" s="167">
        <f t="shared" si="7"/>
        <v>1.7138533754534821E-3</v>
      </c>
      <c r="K38" s="458"/>
      <c r="L38" s="163"/>
      <c r="M38" s="163"/>
      <c r="O38" s="324">
        <f t="shared" si="8"/>
        <v>0.48057604088032052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'[28]Sch C'!D19</f>
        <v>18987</v>
      </c>
      <c r="D39" s="480">
        <f>'[28]Sch C'!F19</f>
        <v>0</v>
      </c>
      <c r="E39" s="480">
        <f>+'[28]Sch C'!H19</f>
        <v>0</v>
      </c>
      <c r="F39" s="166">
        <f t="shared" si="5"/>
        <v>18987</v>
      </c>
      <c r="G39" s="626"/>
      <c r="H39" s="626"/>
      <c r="I39" s="166">
        <f t="shared" si="6"/>
        <v>18987</v>
      </c>
      <c r="J39" s="167">
        <f t="shared" si="7"/>
        <v>1.9659819985340301E-3</v>
      </c>
      <c r="K39" s="458"/>
      <c r="L39" s="163"/>
      <c r="M39" s="163"/>
      <c r="O39" s="324">
        <f t="shared" si="8"/>
        <v>0.5512746065849834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'[28]Sch C'!D20</f>
        <v>23116</v>
      </c>
      <c r="D40" s="480">
        <f>'[28]Sch C'!F20</f>
        <v>1896</v>
      </c>
      <c r="E40" s="480">
        <f>+'[28]Sch C'!H20</f>
        <v>0</v>
      </c>
      <c r="F40" s="166">
        <f t="shared" si="5"/>
        <v>25012</v>
      </c>
      <c r="G40" s="626"/>
      <c r="H40" s="626"/>
      <c r="I40" s="166">
        <f t="shared" si="6"/>
        <v>25012</v>
      </c>
      <c r="J40" s="167">
        <f t="shared" si="7"/>
        <v>2.5898320823370285E-3</v>
      </c>
      <c r="K40" s="458"/>
      <c r="L40" s="163"/>
      <c r="M40" s="163"/>
      <c r="O40" s="324">
        <f t="shared" si="8"/>
        <v>0.72620637593635673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'[28]Sch C'!D21</f>
        <v>3121</v>
      </c>
      <c r="D41" s="480">
        <f>'[28]Sch C'!F21</f>
        <v>0</v>
      </c>
      <c r="E41" s="480">
        <f>+'[28]Sch C'!H21</f>
        <v>0</v>
      </c>
      <c r="F41" s="166">
        <f t="shared" si="5"/>
        <v>3121</v>
      </c>
      <c r="G41" s="626"/>
      <c r="H41" s="626"/>
      <c r="I41" s="166">
        <f t="shared" si="6"/>
        <v>3121</v>
      </c>
      <c r="J41" s="167">
        <f t="shared" si="7"/>
        <v>3.2315952058907185E-4</v>
      </c>
      <c r="K41" s="458"/>
      <c r="L41" s="163"/>
      <c r="M41" s="163"/>
      <c r="O41" s="324">
        <f t="shared" si="8"/>
        <v>9.0616108239939611E-2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'[28]Sch C'!D22</f>
        <v>0</v>
      </c>
      <c r="D42" s="480">
        <f>'[28]Sch C'!F22</f>
        <v>0</v>
      </c>
      <c r="E42" s="480">
        <f>+'[28]Sch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'[28]Sch C'!D23</f>
        <v>10650</v>
      </c>
      <c r="D43" s="480">
        <f>'[28]Sch C'!F23</f>
        <v>0</v>
      </c>
      <c r="E43" s="480">
        <f>+'[28]Sch C'!H23</f>
        <v>0</v>
      </c>
      <c r="F43" s="166">
        <f t="shared" si="5"/>
        <v>10650</v>
      </c>
      <c r="G43" s="626"/>
      <c r="H43" s="626"/>
      <c r="I43" s="166">
        <f t="shared" si="6"/>
        <v>10650</v>
      </c>
      <c r="J43" s="167">
        <f t="shared" si="7"/>
        <v>1.1027391522824784E-3</v>
      </c>
      <c r="K43" s="458"/>
      <c r="L43" s="163"/>
      <c r="M43" s="163"/>
      <c r="O43" s="324">
        <f t="shared" si="8"/>
        <v>0.30921549271238602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'[28]Sch C'!D24</f>
        <v>85508</v>
      </c>
      <c r="D44" s="480">
        <f>'[28]Sch C'!F24</f>
        <v>0</v>
      </c>
      <c r="E44" s="480">
        <f>+'[28]Sch C'!H24</f>
        <v>-17360</v>
      </c>
      <c r="F44" s="166">
        <f t="shared" si="5"/>
        <v>68148</v>
      </c>
      <c r="G44" s="626"/>
      <c r="H44" s="626"/>
      <c r="I44" s="166">
        <f t="shared" si="6"/>
        <v>68148</v>
      </c>
      <c r="J44" s="167">
        <f t="shared" si="7"/>
        <v>7.0562880516193754E-3</v>
      </c>
      <c r="K44" s="458"/>
      <c r="L44" s="163"/>
      <c r="M44" s="163"/>
      <c r="O44" s="324">
        <f t="shared" si="8"/>
        <v>1.9786307415364961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'[28]Sch C'!D25</f>
        <v>45000</v>
      </c>
      <c r="D45" s="480">
        <f>'[28]Sch C'!F25</f>
        <v>0</v>
      </c>
      <c r="E45" s="480">
        <f>+'[28]Sch C'!H25</f>
        <v>0</v>
      </c>
      <c r="F45" s="166">
        <f t="shared" si="5"/>
        <v>45000</v>
      </c>
      <c r="G45" s="626"/>
      <c r="H45" s="626"/>
      <c r="I45" s="166">
        <f t="shared" si="6"/>
        <v>45000</v>
      </c>
      <c r="J45" s="167">
        <f t="shared" si="7"/>
        <v>4.659461206827374E-3</v>
      </c>
      <c r="K45" s="458"/>
      <c r="L45" s="163"/>
      <c r="M45" s="163"/>
      <c r="O45" s="324">
        <f t="shared" si="8"/>
        <v>1.3065443354044481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'[28]Sch C'!D26</f>
        <v>650405</v>
      </c>
      <c r="D46" s="480">
        <f>'[28]Sch C'!F26</f>
        <v>0</v>
      </c>
      <c r="E46" s="480">
        <f>+'[28]Sch C'!H26</f>
        <v>0</v>
      </c>
      <c r="F46" s="166">
        <f t="shared" si="5"/>
        <v>650405</v>
      </c>
      <c r="G46" s="626"/>
      <c r="H46" s="626"/>
      <c r="I46" s="166">
        <f t="shared" si="6"/>
        <v>650405</v>
      </c>
      <c r="J46" s="167">
        <f t="shared" si="7"/>
        <v>6.7345263693923518E-2</v>
      </c>
      <c r="K46" s="458"/>
      <c r="L46" s="163"/>
      <c r="M46" s="163"/>
      <c r="O46" s="324">
        <f t="shared" si="8"/>
        <v>18.884065965971779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'[28]Sch C'!D27</f>
        <v>0</v>
      </c>
      <c r="D47" s="480">
        <f>'[28]Sch C'!F27</f>
        <v>0</v>
      </c>
      <c r="E47" s="480">
        <f>+'[28]Sch C'!H27</f>
        <v>0</v>
      </c>
      <c r="F47" s="166">
        <f t="shared" si="5"/>
        <v>0</v>
      </c>
      <c r="G47" s="626"/>
      <c r="H47" s="62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'[28]Sch C'!D28</f>
        <v>0</v>
      </c>
      <c r="D48" s="480">
        <f>'[28]Sch C'!F28</f>
        <v>0</v>
      </c>
      <c r="E48" s="480">
        <f>+'[28]Sch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'[28]Sch C'!D29</f>
        <v>145003</v>
      </c>
      <c r="D49" s="480">
        <f>'[28]Sch C'!F29</f>
        <v>-145003</v>
      </c>
      <c r="E49" s="480">
        <f>+'[28]Sch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'[28]Sch C'!D30</f>
        <v>0</v>
      </c>
      <c r="D50" s="480">
        <f>'[28]Sch C'!F30</f>
        <v>0</v>
      </c>
      <c r="E50" s="480">
        <f>+'[28]Sch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'[28]Sch C'!D31</f>
        <v>150908</v>
      </c>
      <c r="D51" s="480">
        <f>'[28]Sch C'!F31</f>
        <v>0</v>
      </c>
      <c r="E51" s="480">
        <f>+'[28]Sch C'!H31</f>
        <v>-88417</v>
      </c>
      <c r="F51" s="166">
        <f t="shared" si="5"/>
        <v>62491</v>
      </c>
      <c r="G51" s="626"/>
      <c r="H51" s="626"/>
      <c r="I51" s="166">
        <f t="shared" si="6"/>
        <v>62491</v>
      </c>
      <c r="J51" s="167">
        <f t="shared" si="7"/>
        <v>6.4705420061299873E-3</v>
      </c>
      <c r="K51" s="458"/>
      <c r="L51" s="163"/>
      <c r="M51" s="163"/>
      <c r="O51" s="324">
        <f t="shared" si="8"/>
        <v>1.8143836014168748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'[28]Sch C'!D32</f>
        <v>72741</v>
      </c>
      <c r="D52" s="480">
        <f>'[28]Sch C'!F32</f>
        <v>0</v>
      </c>
      <c r="E52" s="480">
        <f>+'[28]Sch C'!H32</f>
        <v>-32733</v>
      </c>
      <c r="F52" s="166">
        <f t="shared" si="5"/>
        <v>40008</v>
      </c>
      <c r="G52" s="626"/>
      <c r="H52" s="626"/>
      <c r="I52" s="166">
        <f t="shared" si="6"/>
        <v>40008</v>
      </c>
      <c r="J52" s="167">
        <f t="shared" si="7"/>
        <v>4.1425716436166576E-3</v>
      </c>
      <c r="K52" s="458"/>
      <c r="L52" s="163"/>
      <c r="M52" s="163"/>
      <c r="O52" s="324">
        <f t="shared" si="8"/>
        <v>1.1616050171302479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'[28]Sch C'!D33</f>
        <v>0</v>
      </c>
      <c r="D53" s="480">
        <f>'[28]Sch C'!F33</f>
        <v>0</v>
      </c>
      <c r="E53" s="480">
        <f>+'[28]Sch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'[28]Sch C'!D34</f>
        <v>0</v>
      </c>
      <c r="D54" s="480">
        <f>'[28]Sch C'!F34</f>
        <v>0</v>
      </c>
      <c r="E54" s="480">
        <f>+'[28]Sch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'[28]Sch C'!D35</f>
        <v>378</v>
      </c>
      <c r="D55" s="480">
        <f>'[28]Sch C'!F35</f>
        <v>-378</v>
      </c>
      <c r="E55" s="480">
        <f>+'[28]Sch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'[28]Sch C'!D36</f>
        <v>3750</v>
      </c>
      <c r="D56" s="480">
        <f>'[28]Sch C'!F36</f>
        <v>0</v>
      </c>
      <c r="E56" s="480">
        <f>+'[28]Sch C'!H36</f>
        <v>0</v>
      </c>
      <c r="F56" s="166">
        <f t="shared" si="5"/>
        <v>3750</v>
      </c>
      <c r="G56" s="626">
        <v>43518</v>
      </c>
      <c r="H56" s="626"/>
      <c r="I56" s="166">
        <f t="shared" si="6"/>
        <v>47268</v>
      </c>
      <c r="J56" s="167">
        <f t="shared" si="7"/>
        <v>4.8942980516514739E-3</v>
      </c>
      <c r="K56" s="458"/>
      <c r="L56" s="176">
        <v>317</v>
      </c>
      <c r="M56" s="176">
        <v>329</v>
      </c>
      <c r="O56" s="324">
        <f t="shared" si="8"/>
        <v>1.3723941699088322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'[28]Sch C'!D37</f>
        <v>369</v>
      </c>
      <c r="D57" s="480">
        <f>'[28]Sch C'!F37</f>
        <v>256</v>
      </c>
      <c r="E57" s="480">
        <f>+'[28]Sch C'!H37</f>
        <v>0</v>
      </c>
      <c r="F57" s="166">
        <f t="shared" si="5"/>
        <v>625</v>
      </c>
      <c r="G57" s="626"/>
      <c r="H57" s="626"/>
      <c r="I57" s="166">
        <f t="shared" si="6"/>
        <v>625</v>
      </c>
      <c r="J57" s="167">
        <f t="shared" si="7"/>
        <v>6.4714738983713527E-5</v>
      </c>
      <c r="K57" s="458"/>
      <c r="L57" s="163"/>
      <c r="M57" s="163"/>
      <c r="O57" s="324">
        <f t="shared" si="8"/>
        <v>1.8146449102839555E-2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'[28]Sch C'!D38</f>
        <v>0</v>
      </c>
      <c r="D58" s="480">
        <f>'[28]Sch C'!F38</f>
        <v>0</v>
      </c>
      <c r="E58" s="480">
        <f>+'[28]Sch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'[28]Sch C'!D39</f>
        <v>7571</v>
      </c>
      <c r="D59" s="480">
        <f>'[28]Sch C'!F39</f>
        <v>0</v>
      </c>
      <c r="E59" s="480">
        <f>+'[28]Sch C'!H39</f>
        <v>0</v>
      </c>
      <c r="F59" s="166">
        <f t="shared" si="5"/>
        <v>7571</v>
      </c>
      <c r="G59" s="626"/>
      <c r="H59" s="626"/>
      <c r="I59" s="166">
        <f t="shared" si="6"/>
        <v>7571</v>
      </c>
      <c r="J59" s="167">
        <f t="shared" si="7"/>
        <v>7.8392846215311215E-4</v>
      </c>
      <c r="K59" s="458"/>
      <c r="L59" s="163"/>
      <c r="M59" s="163"/>
      <c r="O59" s="324">
        <f t="shared" si="8"/>
        <v>0.21981882585215726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'[28]Sch C'!D40</f>
        <v>2687</v>
      </c>
      <c r="D60" s="480">
        <f>'[28]Sch C'!F40</f>
        <v>0</v>
      </c>
      <c r="E60" s="480">
        <f>+'[28]Sch C'!H40</f>
        <v>0</v>
      </c>
      <c r="F60" s="166">
        <f t="shared" si="5"/>
        <v>2687</v>
      </c>
      <c r="G60" s="626"/>
      <c r="H60" s="626"/>
      <c r="I60" s="166">
        <f t="shared" si="6"/>
        <v>2687</v>
      </c>
      <c r="J60" s="167">
        <f t="shared" si="7"/>
        <v>2.7822160583878121E-4</v>
      </c>
      <c r="K60" s="458"/>
      <c r="L60" s="163"/>
      <c r="M60" s="163"/>
      <c r="O60" s="324">
        <f t="shared" si="8"/>
        <v>7.8015213982927822E-2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'[28]Sch C'!D41</f>
        <v>12736</v>
      </c>
      <c r="D61" s="480">
        <f>'[28]Sch C'!F41</f>
        <v>0</v>
      </c>
      <c r="E61" s="480">
        <f>+'[28]Sch C'!H41</f>
        <v>0</v>
      </c>
      <c r="F61" s="166">
        <f t="shared" si="5"/>
        <v>12736</v>
      </c>
      <c r="G61" s="626"/>
      <c r="H61" s="626"/>
      <c r="I61" s="166">
        <f t="shared" si="6"/>
        <v>12736</v>
      </c>
      <c r="J61" s="167">
        <f t="shared" si="7"/>
        <v>1.3187310651145208E-3</v>
      </c>
      <c r="K61" s="458"/>
      <c r="L61" s="163"/>
      <c r="M61" s="163"/>
      <c r="O61" s="324">
        <f t="shared" si="8"/>
        <v>0.36978108123802333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'[28]Sch C'!D42</f>
        <v>4603</v>
      </c>
      <c r="D62" s="480">
        <f>'[28]Sch C'!F42</f>
        <v>0</v>
      </c>
      <c r="E62" s="480">
        <f>+'[28]Sch C'!H42</f>
        <v>0</v>
      </c>
      <c r="F62" s="166">
        <f t="shared" si="5"/>
        <v>4603</v>
      </c>
      <c r="G62" s="626"/>
      <c r="H62" s="626"/>
      <c r="I62" s="166">
        <f t="shared" si="6"/>
        <v>4603</v>
      </c>
      <c r="J62" s="167">
        <f t="shared" si="7"/>
        <v>4.7661110966725335E-4</v>
      </c>
      <c r="K62" s="458"/>
      <c r="L62" s="163"/>
      <c r="M62" s="163"/>
      <c r="O62" s="324">
        <f t="shared" si="8"/>
        <v>0.13364496835259276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'[28]Sch C'!D43</f>
        <v>15123</v>
      </c>
      <c r="D63" s="480">
        <f>'[28]Sch C'!F43</f>
        <v>0</v>
      </c>
      <c r="E63" s="480">
        <f>+'[28]Sch C'!H43</f>
        <v>0</v>
      </c>
      <c r="F63" s="166">
        <f t="shared" si="5"/>
        <v>15123</v>
      </c>
      <c r="G63" s="626">
        <v>-15123</v>
      </c>
      <c r="H63" s="626"/>
      <c r="I63" s="166">
        <f t="shared" si="6"/>
        <v>0</v>
      </c>
      <c r="J63" s="167">
        <f t="shared" si="7"/>
        <v>0</v>
      </c>
      <c r="K63" s="458" t="s">
        <v>741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'[28]Sch C'!D44</f>
        <v>0</v>
      </c>
      <c r="D64" s="480">
        <f>'[28]Sch C'!F44</f>
        <v>0</v>
      </c>
      <c r="E64" s="480">
        <f>+'[28]Sch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'[28]Sch C'!D45</f>
        <v>89</v>
      </c>
      <c r="D65" s="480">
        <f>'[28]Sch C'!F45</f>
        <v>-1388</v>
      </c>
      <c r="E65" s="480">
        <f>+'[28]Sch C'!H45</f>
        <v>0</v>
      </c>
      <c r="F65" s="166">
        <f t="shared" si="5"/>
        <v>-1299</v>
      </c>
      <c r="G65" s="626">
        <v>20396</v>
      </c>
      <c r="H65" s="626"/>
      <c r="I65" s="166">
        <f t="shared" si="6"/>
        <v>19097</v>
      </c>
      <c r="J65" s="167">
        <f t="shared" si="7"/>
        <v>1.9773717925951634E-3</v>
      </c>
      <c r="K65" s="458"/>
      <c r="L65" s="163"/>
      <c r="M65" s="163"/>
      <c r="O65" s="324">
        <f t="shared" si="8"/>
        <v>0.55446838162708323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2514978</v>
      </c>
      <c r="D66" s="480">
        <f t="shared" si="9"/>
        <v>-465870</v>
      </c>
      <c r="E66" s="480">
        <f t="shared" si="9"/>
        <v>-280803</v>
      </c>
      <c r="F66" s="166">
        <f t="shared" ref="F66:I66" si="10">SUM(F30:F65)</f>
        <v>1768305</v>
      </c>
      <c r="G66" s="166">
        <f t="shared" si="10"/>
        <v>110041</v>
      </c>
      <c r="H66" s="166">
        <f t="shared" si="10"/>
        <v>10824</v>
      </c>
      <c r="I66" s="166">
        <f t="shared" si="10"/>
        <v>1889170</v>
      </c>
      <c r="J66" s="178">
        <f t="shared" si="7"/>
        <v>0.19561142951337934</v>
      </c>
      <c r="K66" s="465"/>
      <c r="L66" s="163"/>
      <c r="M66" s="163"/>
      <c r="O66" s="329">
        <f>I66/I$233</f>
        <v>54.850763602578247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'[28]Sch C'!D57</f>
        <v>825246</v>
      </c>
      <c r="D69" s="480">
        <f>'[28]Sch C'!F57</f>
        <v>0</v>
      </c>
      <c r="E69" s="480">
        <f>+'[28]Sch C'!H57</f>
        <v>0</v>
      </c>
      <c r="F69" s="166">
        <f>C69+D69+E69</f>
        <v>825246</v>
      </c>
      <c r="G69" s="626"/>
      <c r="H69" s="626"/>
      <c r="I69" s="166">
        <f>F69+G69+H69</f>
        <v>825246</v>
      </c>
      <c r="J69" s="167">
        <f t="shared" ref="J69:J84" si="11">IF($I$213=0,0,I69/$I$213)</f>
        <v>8.5448927179765849E-2</v>
      </c>
      <c r="K69" s="458"/>
      <c r="L69" s="182"/>
      <c r="M69" s="163"/>
      <c r="O69" s="324">
        <f t="shared" ref="O69:O84" si="12">I69/I$233</f>
        <v>23.960455258115093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'[28]Sch C'!D58</f>
        <v>0</v>
      </c>
      <c r="D70" s="480">
        <f>'[28]Sch C'!F58</f>
        <v>0</v>
      </c>
      <c r="E70" s="480">
        <f>+'[28]Sch C'!H58</f>
        <v>0</v>
      </c>
      <c r="F70" s="166">
        <f t="shared" ref="F70:F83" si="13">C70+D70+E70</f>
        <v>0</v>
      </c>
      <c r="G70" s="626"/>
      <c r="H70" s="626"/>
      <c r="I70" s="166">
        <f t="shared" ref="I70:I83" si="14">F70+G70+H70</f>
        <v>0</v>
      </c>
      <c r="J70" s="167">
        <f t="shared" si="11"/>
        <v>0</v>
      </c>
      <c r="K70" s="458"/>
      <c r="L70" s="182"/>
      <c r="M70" s="163"/>
      <c r="O70" s="324">
        <f t="shared" si="12"/>
        <v>0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'[28]Sch C'!D59</f>
        <v>0</v>
      </c>
      <c r="D71" s="480">
        <f>'[28]Sch C'!F59</f>
        <v>0</v>
      </c>
      <c r="E71" s="480">
        <f>+'[28]Sch C'!H59</f>
        <v>0</v>
      </c>
      <c r="F71" s="166">
        <f t="shared" si="13"/>
        <v>0</v>
      </c>
      <c r="G71" s="626"/>
      <c r="H71" s="62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'[28]Sch C'!D60</f>
        <v>25890</v>
      </c>
      <c r="D72" s="480">
        <f>'[28]Sch C'!F60</f>
        <v>0</v>
      </c>
      <c r="E72" s="480">
        <f>+'[28]Sch C'!H60</f>
        <v>0</v>
      </c>
      <c r="F72" s="166">
        <f t="shared" si="13"/>
        <v>25890</v>
      </c>
      <c r="G72" s="626"/>
      <c r="H72" s="626"/>
      <c r="I72" s="166">
        <f t="shared" si="14"/>
        <v>25890</v>
      </c>
      <c r="J72" s="167">
        <f t="shared" si="11"/>
        <v>2.6807433476613491E-3</v>
      </c>
      <c r="K72" s="458"/>
      <c r="L72" s="185"/>
      <c r="M72" s="163"/>
      <c r="O72" s="324">
        <f t="shared" si="12"/>
        <v>0.75169850763602575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'[28]Sch C'!D61</f>
        <v>12754</v>
      </c>
      <c r="D73" s="480">
        <f>'[28]Sch C'!F61</f>
        <v>0</v>
      </c>
      <c r="E73" s="480">
        <f>+'[28]Sch C'!H61</f>
        <v>0</v>
      </c>
      <c r="F73" s="166">
        <f t="shared" si="13"/>
        <v>12754</v>
      </c>
      <c r="G73" s="626"/>
      <c r="H73" s="626"/>
      <c r="I73" s="166">
        <f t="shared" si="14"/>
        <v>12754</v>
      </c>
      <c r="J73" s="167">
        <f t="shared" si="11"/>
        <v>1.3205948495972517E-3</v>
      </c>
      <c r="K73" s="458"/>
      <c r="L73" s="185"/>
      <c r="M73" s="163"/>
      <c r="O73" s="324">
        <f t="shared" si="12"/>
        <v>0.37030369897218512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'[28]Sch C'!D62</f>
        <v>0</v>
      </c>
      <c r="D74" s="480">
        <f>'[28]Sch C'!F62</f>
        <v>0</v>
      </c>
      <c r="E74" s="480">
        <f>+'[28]Sch C'!H62</f>
        <v>0</v>
      </c>
      <c r="F74" s="166">
        <f t="shared" si="13"/>
        <v>0</v>
      </c>
      <c r="G74" s="626"/>
      <c r="H74" s="62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'[28]Sch C'!D63</f>
        <v>0</v>
      </c>
      <c r="D75" s="480">
        <f>'[28]Sch C'!F63</f>
        <v>0</v>
      </c>
      <c r="E75" s="480">
        <f>+'[28]Sch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'[28]Sch C'!D64</f>
        <v>0</v>
      </c>
      <c r="D76" s="480">
        <f>'[28]Sch C'!F64</f>
        <v>0</v>
      </c>
      <c r="E76" s="480">
        <f>+'[28]Sch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'[28]Sch C'!D65</f>
        <v>9586</v>
      </c>
      <c r="D77" s="480">
        <f>'[28]Sch C'!F65</f>
        <v>0</v>
      </c>
      <c r="E77" s="480">
        <f>+'[28]Sch C'!H65</f>
        <v>0</v>
      </c>
      <c r="F77" s="166">
        <f t="shared" si="13"/>
        <v>9586</v>
      </c>
      <c r="G77" s="626"/>
      <c r="H77" s="626"/>
      <c r="I77" s="166">
        <f t="shared" si="14"/>
        <v>9586</v>
      </c>
      <c r="J77" s="167">
        <f t="shared" si="11"/>
        <v>9.925687806366045E-4</v>
      </c>
      <c r="K77" s="458"/>
      <c r="L77" s="187"/>
      <c r="M77" s="163"/>
      <c r="O77" s="324">
        <f t="shared" si="12"/>
        <v>0.27832297775971199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'[28]Sch C'!D66</f>
        <v>893</v>
      </c>
      <c r="D78" s="480">
        <f>'[28]Sch C'!F66</f>
        <v>0</v>
      </c>
      <c r="E78" s="480">
        <f>+'[28]Sch C'!H66</f>
        <v>0</v>
      </c>
      <c r="F78" s="166">
        <f t="shared" si="13"/>
        <v>893</v>
      </c>
      <c r="G78" s="626">
        <v>16902</v>
      </c>
      <c r="H78" s="626"/>
      <c r="I78" s="166">
        <f t="shared" si="14"/>
        <v>17795</v>
      </c>
      <c r="J78" s="167">
        <f t="shared" si="11"/>
        <v>1.8425580483442915E-3</v>
      </c>
      <c r="K78" s="458"/>
      <c r="L78" s="187"/>
      <c r="M78" s="163"/>
      <c r="O78" s="324">
        <f t="shared" si="12"/>
        <v>0.51666569885604785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'[28]Sch C'!D67</f>
        <v>0</v>
      </c>
      <c r="D79" s="480">
        <f>'[28]Sch C'!F67</f>
        <v>-687</v>
      </c>
      <c r="E79" s="480">
        <f>+'[28]Sch C'!H67</f>
        <v>0</v>
      </c>
      <c r="F79" s="166">
        <f t="shared" si="13"/>
        <v>-687</v>
      </c>
      <c r="G79" s="626"/>
      <c r="H79" s="626"/>
      <c r="I79" s="166">
        <f t="shared" si="14"/>
        <v>-687</v>
      </c>
      <c r="J79" s="167">
        <f t="shared" si="11"/>
        <v>-7.1134441090897911E-5</v>
      </c>
      <c r="K79" s="458"/>
      <c r="L79" s="187"/>
      <c r="M79" s="163"/>
      <c r="O79" s="324">
        <f t="shared" si="12"/>
        <v>-1.9946576853841241E-2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'[28]Sch C'!D68</f>
        <v>0</v>
      </c>
      <c r="D80" s="480">
        <f>'[28]Sch C'!F68</f>
        <v>0</v>
      </c>
      <c r="E80" s="480">
        <f>+'[28]Sch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'[28]Sch C'!D69</f>
        <v>4655</v>
      </c>
      <c r="D81" s="480">
        <f>'[28]Sch C'!F69</f>
        <v>0</v>
      </c>
      <c r="E81" s="480">
        <f>+'[28]Sch C'!H69</f>
        <v>0</v>
      </c>
      <c r="F81" s="166">
        <f t="shared" si="13"/>
        <v>4655</v>
      </c>
      <c r="G81" s="626"/>
      <c r="H81" s="626"/>
      <c r="I81" s="166">
        <f t="shared" si="14"/>
        <v>4655</v>
      </c>
      <c r="J81" s="167">
        <f t="shared" si="11"/>
        <v>4.8199537595069834E-4</v>
      </c>
      <c r="K81" s="458"/>
      <c r="L81" s="187"/>
      <c r="M81" s="163"/>
      <c r="O81" s="324">
        <f t="shared" si="12"/>
        <v>0.13515475291794901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'[28]Sch C'!D70</f>
        <v>0</v>
      </c>
      <c r="D82" s="480">
        <f>'[28]Sch C'!F70</f>
        <v>0</v>
      </c>
      <c r="E82" s="480">
        <f>+'[28]Sch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'[28]Sch C'!D71</f>
        <v>0</v>
      </c>
      <c r="D83" s="480">
        <f>'[28]Sch C'!F71</f>
        <v>0</v>
      </c>
      <c r="E83" s="480">
        <f>+'[28]Sch C'!H71</f>
        <v>0</v>
      </c>
      <c r="F83" s="166">
        <f t="shared" si="13"/>
        <v>0</v>
      </c>
      <c r="G83" s="626"/>
      <c r="H83" s="62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879024</v>
      </c>
      <c r="D84" s="480">
        <f t="shared" si="15"/>
        <v>-687</v>
      </c>
      <c r="E84" s="480">
        <f t="shared" si="15"/>
        <v>0</v>
      </c>
      <c r="F84" s="166">
        <f t="shared" ref="F84:I84" si="16">SUM(F69:F83)</f>
        <v>878337</v>
      </c>
      <c r="G84" s="166">
        <f t="shared" si="16"/>
        <v>16902</v>
      </c>
      <c r="H84" s="166">
        <f t="shared" si="16"/>
        <v>0</v>
      </c>
      <c r="I84" s="166">
        <f t="shared" si="16"/>
        <v>895239</v>
      </c>
      <c r="J84" s="167">
        <f t="shared" si="11"/>
        <v>9.2696253140865145E-2</v>
      </c>
      <c r="K84" s="458"/>
      <c r="L84" s="187"/>
      <c r="M84" s="163"/>
      <c r="O84" s="324">
        <f t="shared" si="12"/>
        <v>25.992654317403172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'[28]Sch C'!D75</f>
        <v>126952</v>
      </c>
      <c r="D87" s="480">
        <f>'[28]Sch C'!F75</f>
        <v>0</v>
      </c>
      <c r="E87" s="480">
        <f>+'[28]Sch C'!H75</f>
        <v>0</v>
      </c>
      <c r="F87" s="166">
        <f t="shared" ref="F87:F97" si="17">C87+D87+E87</f>
        <v>126952</v>
      </c>
      <c r="G87" s="626"/>
      <c r="H87" s="626"/>
      <c r="I87" s="166">
        <f t="shared" ref="I87:I97" si="18">F87+G87+H87</f>
        <v>126952</v>
      </c>
      <c r="J87" s="167">
        <f t="shared" ref="J87:J98" si="19">IF($I$213=0,0,I87/$I$213)</f>
        <v>1.3145064869536639E-2</v>
      </c>
      <c r="K87" s="458"/>
      <c r="L87" s="176">
        <v>4417</v>
      </c>
      <c r="M87" s="176">
        <v>4674</v>
      </c>
      <c r="O87" s="324">
        <f t="shared" ref="O87:O97" si="20">I87/I$233</f>
        <v>3.6859648104059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'[28]Sch C'!D76</f>
        <v>17926</v>
      </c>
      <c r="D88" s="480">
        <f>'[28]Sch C'!F76</f>
        <v>8657</v>
      </c>
      <c r="E88" s="480">
        <f>+'[28]Sch C'!H76</f>
        <v>0</v>
      </c>
      <c r="F88" s="166">
        <f t="shared" si="17"/>
        <v>26583</v>
      </c>
      <c r="G88" s="626"/>
      <c r="H88" s="626"/>
      <c r="I88" s="166">
        <f t="shared" si="18"/>
        <v>26583</v>
      </c>
      <c r="J88" s="167">
        <f t="shared" si="19"/>
        <v>2.7524990502464908E-3</v>
      </c>
      <c r="K88" s="458"/>
      <c r="L88" s="163"/>
      <c r="M88" s="163"/>
      <c r="O88" s="324">
        <f t="shared" si="20"/>
        <v>0.7718192904012543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'[28]Sch C'!D77</f>
        <v>16546</v>
      </c>
      <c r="D89" s="480">
        <f>'[28]Sch C'!F77</f>
        <v>0</v>
      </c>
      <c r="E89" s="480">
        <f>+'[28]Sch C'!H77</f>
        <v>0</v>
      </c>
      <c r="F89" s="166">
        <f t="shared" si="17"/>
        <v>16546</v>
      </c>
      <c r="G89" s="626"/>
      <c r="H89" s="626"/>
      <c r="I89" s="166">
        <f t="shared" si="18"/>
        <v>16546</v>
      </c>
      <c r="J89" s="167">
        <f t="shared" si="19"/>
        <v>1.7132321139592384E-3</v>
      </c>
      <c r="K89" s="458"/>
      <c r="L89" s="163"/>
      <c r="M89" s="163"/>
      <c r="O89" s="324">
        <f t="shared" si="20"/>
        <v>0.48040183496893329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'[28]Sch C'!D78</f>
        <v>0</v>
      </c>
      <c r="D90" s="480">
        <f>'[28]Sch C'!F78</f>
        <v>0</v>
      </c>
      <c r="E90" s="480">
        <f>+'[28]Sch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'[28]Sch C'!D79</f>
        <v>23969</v>
      </c>
      <c r="D91" s="480">
        <f>'[28]Sch C'!F79</f>
        <v>4247</v>
      </c>
      <c r="E91" s="480">
        <f>+'[28]Sch C'!H79</f>
        <v>0</v>
      </c>
      <c r="F91" s="166">
        <f t="shared" si="17"/>
        <v>28216</v>
      </c>
      <c r="G91" s="626">
        <v>-717</v>
      </c>
      <c r="H91" s="626"/>
      <c r="I91" s="166">
        <f t="shared" si="18"/>
        <v>27499</v>
      </c>
      <c r="J91" s="167">
        <f t="shared" si="19"/>
        <v>2.8473449717010212E-3</v>
      </c>
      <c r="K91" s="458"/>
      <c r="L91" s="163"/>
      <c r="M91" s="163"/>
      <c r="O91" s="324">
        <f t="shared" si="20"/>
        <v>0.79841472620637599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'[28]Sch C'!D80</f>
        <v>20491</v>
      </c>
      <c r="D92" s="480">
        <f>'[28]Sch C'!F80</f>
        <v>0</v>
      </c>
      <c r="E92" s="480">
        <f>+'[28]Sch C'!H80</f>
        <v>0</v>
      </c>
      <c r="F92" s="166">
        <f t="shared" si="17"/>
        <v>20491</v>
      </c>
      <c r="G92" s="626"/>
      <c r="H92" s="626"/>
      <c r="I92" s="166">
        <f t="shared" si="18"/>
        <v>20491</v>
      </c>
      <c r="J92" s="167">
        <f t="shared" si="19"/>
        <v>2.1217115464244383E-3</v>
      </c>
      <c r="K92" s="458"/>
      <c r="L92" s="163"/>
      <c r="M92" s="163"/>
      <c r="O92" s="324">
        <f t="shared" si="20"/>
        <v>0.5949422217060566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'[28]Sch C'!D81</f>
        <v>32250</v>
      </c>
      <c r="D93" s="480">
        <f>'[28]Sch C'!F81</f>
        <v>0</v>
      </c>
      <c r="E93" s="480">
        <f>+'[28]Sch C'!H81</f>
        <v>0</v>
      </c>
      <c r="F93" s="166">
        <f t="shared" si="17"/>
        <v>32250</v>
      </c>
      <c r="G93" s="626"/>
      <c r="H93" s="626"/>
      <c r="I93" s="166">
        <f t="shared" si="18"/>
        <v>32250</v>
      </c>
      <c r="J93" s="167">
        <f t="shared" si="19"/>
        <v>3.339280531559618E-3</v>
      </c>
      <c r="K93" s="458"/>
      <c r="L93" s="163"/>
      <c r="M93" s="163"/>
      <c r="O93" s="324">
        <f t="shared" si="20"/>
        <v>0.93635677370652115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'[28]Sch C'!D82</f>
        <v>6550</v>
      </c>
      <c r="D94" s="480">
        <f>'[28]Sch C'!F82</f>
        <v>0</v>
      </c>
      <c r="E94" s="480">
        <f>+'[28]Sch C'!H82</f>
        <v>0</v>
      </c>
      <c r="F94" s="166">
        <f t="shared" si="17"/>
        <v>6550</v>
      </c>
      <c r="G94" s="626"/>
      <c r="H94" s="626"/>
      <c r="I94" s="166">
        <f t="shared" si="18"/>
        <v>6550</v>
      </c>
      <c r="J94" s="167">
        <f t="shared" si="19"/>
        <v>6.782104645493178E-4</v>
      </c>
      <c r="K94" s="458"/>
      <c r="L94" s="163"/>
      <c r="M94" s="163"/>
      <c r="O94" s="324">
        <f t="shared" si="20"/>
        <v>0.19017478659775855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'[28]Sch C'!D83</f>
        <v>250</v>
      </c>
      <c r="D95" s="480">
        <f>'[28]Sch C'!F83</f>
        <v>0</v>
      </c>
      <c r="E95" s="480">
        <f>+'[28]Sch C'!H83</f>
        <v>0</v>
      </c>
      <c r="F95" s="166">
        <f t="shared" si="17"/>
        <v>250</v>
      </c>
      <c r="G95" s="626"/>
      <c r="H95" s="626"/>
      <c r="I95" s="166">
        <f t="shared" si="18"/>
        <v>250</v>
      </c>
      <c r="J95" s="167">
        <f t="shared" si="19"/>
        <v>2.588589559348541E-5</v>
      </c>
      <c r="K95" s="458"/>
      <c r="L95" s="163"/>
      <c r="M95" s="163"/>
      <c r="O95" s="324">
        <f t="shared" si="20"/>
        <v>7.2585796411358226E-3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'[28]Sch C'!D84</f>
        <v>212967</v>
      </c>
      <c r="D96" s="480">
        <f>'[28]Sch C'!F84</f>
        <v>0</v>
      </c>
      <c r="E96" s="480">
        <f>+'[28]Sch C'!H84</f>
        <v>0</v>
      </c>
      <c r="F96" s="166">
        <f t="shared" si="17"/>
        <v>212967</v>
      </c>
      <c r="G96" s="626"/>
      <c r="H96" s="626"/>
      <c r="I96" s="166">
        <f t="shared" si="18"/>
        <v>212967</v>
      </c>
      <c r="J96" s="167">
        <f t="shared" si="19"/>
        <v>2.205136610743123E-2</v>
      </c>
      <c r="K96" s="458"/>
      <c r="L96" s="163"/>
      <c r="M96" s="163"/>
      <c r="O96" s="324">
        <f t="shared" si="20"/>
        <v>6.1833517217350913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'[28]Sch C'!D85</f>
        <v>503</v>
      </c>
      <c r="D97" s="480">
        <f>'[28]Sch C'!F85</f>
        <v>0</v>
      </c>
      <c r="E97" s="480">
        <f>+'[28]Sch C'!H85</f>
        <v>0</v>
      </c>
      <c r="F97" s="166">
        <f t="shared" si="17"/>
        <v>503</v>
      </c>
      <c r="G97" s="626"/>
      <c r="H97" s="626"/>
      <c r="I97" s="166">
        <f t="shared" si="18"/>
        <v>503</v>
      </c>
      <c r="J97" s="167">
        <f t="shared" si="19"/>
        <v>5.2082421934092646E-5</v>
      </c>
      <c r="K97" s="458"/>
      <c r="L97" s="163"/>
      <c r="M97" s="163"/>
      <c r="O97" s="324">
        <f t="shared" si="20"/>
        <v>1.4604262237965276E-2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458404</v>
      </c>
      <c r="D98" s="480">
        <f t="shared" si="21"/>
        <v>12904</v>
      </c>
      <c r="E98" s="480">
        <f t="shared" si="21"/>
        <v>0</v>
      </c>
      <c r="F98" s="166">
        <f t="shared" ref="F98:I98" si="22">SUM(F87:F97)</f>
        <v>471308</v>
      </c>
      <c r="G98" s="166">
        <f t="shared" si="22"/>
        <v>-717</v>
      </c>
      <c r="H98" s="166">
        <f t="shared" si="22"/>
        <v>0</v>
      </c>
      <c r="I98" s="166">
        <f t="shared" si="22"/>
        <v>470591</v>
      </c>
      <c r="J98" s="167">
        <f t="shared" si="19"/>
        <v>4.8726677972935568E-2</v>
      </c>
      <c r="K98" s="458"/>
      <c r="L98" s="163"/>
      <c r="M98" s="163"/>
      <c r="O98" s="329">
        <f>I98/I$233</f>
        <v>13.663289007606991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'[28]Sch C'!D89</f>
        <v>285898</v>
      </c>
      <c r="D101" s="480">
        <f>'[28]Sch C'!F89</f>
        <v>0</v>
      </c>
      <c r="E101" s="480">
        <f>+'[28]Sch C'!H89</f>
        <v>0</v>
      </c>
      <c r="F101" s="166">
        <f t="shared" ref="F101:F106" si="23">C101+D101+E101</f>
        <v>285898</v>
      </c>
      <c r="G101" s="626"/>
      <c r="H101" s="626"/>
      <c r="I101" s="166">
        <f t="shared" ref="I101:I106" si="24">F101+G101+H101</f>
        <v>285898</v>
      </c>
      <c r="J101" s="167">
        <f t="shared" ref="J101:J107" si="25">IF($I$213=0,0,I101/$I$213)</f>
        <v>2.9602903113545166E-2</v>
      </c>
      <c r="K101" s="458"/>
      <c r="L101" s="176">
        <v>21869</v>
      </c>
      <c r="M101" s="176">
        <v>23044</v>
      </c>
      <c r="O101" s="329">
        <f t="shared" ref="O101:O106" si="26">I101/I$233</f>
        <v>8.3008536089657969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'[28]Sch C'!D90</f>
        <v>43547</v>
      </c>
      <c r="D102" s="480">
        <f>'[28]Sch C'!F90</f>
        <v>19495</v>
      </c>
      <c r="E102" s="480">
        <f>+'[28]Sch C'!H90</f>
        <v>0</v>
      </c>
      <c r="F102" s="166">
        <f t="shared" si="23"/>
        <v>63042</v>
      </c>
      <c r="G102" s="626"/>
      <c r="H102" s="626"/>
      <c r="I102" s="166">
        <f t="shared" si="24"/>
        <v>63042</v>
      </c>
      <c r="J102" s="167">
        <f t="shared" si="25"/>
        <v>6.5275945200180289E-3</v>
      </c>
      <c r="K102" s="458"/>
      <c r="L102" s="163"/>
      <c r="M102" s="163"/>
      <c r="O102" s="329">
        <f t="shared" si="26"/>
        <v>1.830381510945938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'[28]Sch C'!D91</f>
        <v>35772</v>
      </c>
      <c r="D103" s="480">
        <f>'[28]Sch C'!F91</f>
        <v>0</v>
      </c>
      <c r="E103" s="480">
        <f>+'[28]Sch C'!H91</f>
        <v>0</v>
      </c>
      <c r="F103" s="166">
        <f t="shared" si="23"/>
        <v>35772</v>
      </c>
      <c r="G103" s="626"/>
      <c r="H103" s="626"/>
      <c r="I103" s="166">
        <f t="shared" si="24"/>
        <v>35772</v>
      </c>
      <c r="J103" s="167">
        <f t="shared" si="25"/>
        <v>3.7039610286806403E-3</v>
      </c>
      <c r="K103" s="458"/>
      <c r="L103" s="163"/>
      <c r="M103" s="163"/>
      <c r="O103" s="329">
        <f t="shared" si="26"/>
        <v>1.0386156436908425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'[28]Sch C'!D92</f>
        <v>217662</v>
      </c>
      <c r="D104" s="480">
        <f>'[28]Sch C'!F92</f>
        <v>0</v>
      </c>
      <c r="E104" s="480">
        <f>+'[28]Sch C'!H92</f>
        <v>0</v>
      </c>
      <c r="F104" s="166">
        <f t="shared" si="23"/>
        <v>217662</v>
      </c>
      <c r="G104" s="626"/>
      <c r="H104" s="626"/>
      <c r="I104" s="166">
        <f t="shared" si="24"/>
        <v>217662</v>
      </c>
      <c r="J104" s="167">
        <f t="shared" si="25"/>
        <v>2.2537503226676886E-2</v>
      </c>
      <c r="K104" s="458"/>
      <c r="L104" s="163"/>
      <c r="M104" s="163"/>
      <c r="O104" s="329">
        <f t="shared" si="26"/>
        <v>6.319667847395622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'[28]Sch C'!D93</f>
        <v>22143</v>
      </c>
      <c r="D105" s="480">
        <f>'[28]Sch C'!F93</f>
        <v>2139</v>
      </c>
      <c r="E105" s="480">
        <f>+'[28]Sch C'!H93</f>
        <v>0</v>
      </c>
      <c r="F105" s="166">
        <f t="shared" si="23"/>
        <v>24282</v>
      </c>
      <c r="G105" s="626">
        <v>-240</v>
      </c>
      <c r="H105" s="626"/>
      <c r="I105" s="166">
        <f t="shared" si="24"/>
        <v>24042</v>
      </c>
      <c r="J105" s="167">
        <f t="shared" si="25"/>
        <v>2.489394807434305E-3</v>
      </c>
      <c r="K105" s="458"/>
      <c r="L105" s="163"/>
      <c r="M105" s="163"/>
      <c r="O105" s="329">
        <f t="shared" si="26"/>
        <v>0.69804308692874983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'[28]Sch C'!D94</f>
        <v>0</v>
      </c>
      <c r="D106" s="480">
        <f>'[28]Sch C'!F94</f>
        <v>0</v>
      </c>
      <c r="E106" s="480">
        <f>+'[28]Sch C'!H94</f>
        <v>0</v>
      </c>
      <c r="F106" s="166">
        <f t="shared" si="23"/>
        <v>0</v>
      </c>
      <c r="G106" s="626"/>
      <c r="H106" s="62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605022</v>
      </c>
      <c r="D107" s="480">
        <f t="shared" si="27"/>
        <v>21634</v>
      </c>
      <c r="E107" s="480">
        <f t="shared" si="27"/>
        <v>0</v>
      </c>
      <c r="F107" s="166">
        <f t="shared" ref="F107:I107" si="28">SUM(F101:F106)</f>
        <v>626656</v>
      </c>
      <c r="G107" s="166">
        <f t="shared" si="28"/>
        <v>-240</v>
      </c>
      <c r="H107" s="166">
        <f t="shared" si="28"/>
        <v>0</v>
      </c>
      <c r="I107" s="166">
        <f t="shared" si="28"/>
        <v>626416</v>
      </c>
      <c r="J107" s="167">
        <f t="shared" si="25"/>
        <v>6.4861356696355024E-2</v>
      </c>
      <c r="K107" s="458"/>
      <c r="L107" s="163"/>
      <c r="M107" s="163"/>
      <c r="O107" s="329">
        <f>I107/I$233</f>
        <v>18.187561697926949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'[28]Sch C'!D98</f>
        <v>29687</v>
      </c>
      <c r="D110" s="480">
        <f>'[28]Sch C'!F98</f>
        <v>0</v>
      </c>
      <c r="E110" s="480">
        <f>+'[28]Sch C'!H98</f>
        <v>0</v>
      </c>
      <c r="F110" s="166">
        <f t="shared" ref="F110:F115" si="29">C110+D110+E110</f>
        <v>29687</v>
      </c>
      <c r="G110" s="626"/>
      <c r="H110" s="626"/>
      <c r="I110" s="166">
        <f t="shared" ref="I110:I115" si="30">F110+G110+H110</f>
        <v>29687</v>
      </c>
      <c r="J110" s="167">
        <f t="shared" ref="J110:J116" si="31">IF($I$213=0,0,I110/$I$213)</f>
        <v>3.0738983299352057E-3</v>
      </c>
      <c r="K110" s="458"/>
      <c r="L110" s="176">
        <v>2410</v>
      </c>
      <c r="M110" s="176">
        <v>2548</v>
      </c>
      <c r="O110" s="329">
        <f t="shared" ref="O110:O115" si="32">I110/I$233</f>
        <v>0.86194181522559665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'[28]Sch C'!D99</f>
        <v>4518</v>
      </c>
      <c r="D111" s="480">
        <f>'[28]Sch C'!F99</f>
        <v>2024</v>
      </c>
      <c r="E111" s="480">
        <f>+'[28]Sch C'!H99</f>
        <v>0</v>
      </c>
      <c r="F111" s="166">
        <f t="shared" si="29"/>
        <v>6542</v>
      </c>
      <c r="G111" s="626"/>
      <c r="H111" s="626"/>
      <c r="I111" s="166">
        <f t="shared" si="30"/>
        <v>6542</v>
      </c>
      <c r="J111" s="167">
        <f t="shared" si="31"/>
        <v>6.7738211589032623E-4</v>
      </c>
      <c r="K111" s="458"/>
      <c r="L111" s="163"/>
      <c r="M111" s="163"/>
      <c r="O111" s="329">
        <f t="shared" si="32"/>
        <v>0.1899425120492422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'[28]Sch C'!D100</f>
        <v>13270</v>
      </c>
      <c r="D112" s="480">
        <f>'[28]Sch C'!F100</f>
        <v>0</v>
      </c>
      <c r="E112" s="480">
        <f>+'[28]Sch C'!H100</f>
        <v>0</v>
      </c>
      <c r="F112" s="166">
        <f t="shared" si="29"/>
        <v>13270</v>
      </c>
      <c r="G112" s="626"/>
      <c r="H112" s="626"/>
      <c r="I112" s="166">
        <f t="shared" si="30"/>
        <v>13270</v>
      </c>
      <c r="J112" s="167">
        <f t="shared" si="31"/>
        <v>1.3740233381022056E-3</v>
      </c>
      <c r="K112" s="458"/>
      <c r="L112" s="163"/>
      <c r="M112" s="163"/>
      <c r="O112" s="329">
        <f t="shared" si="32"/>
        <v>0.38528540735148947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'[28]Sch C'!D101</f>
        <v>0</v>
      </c>
      <c r="D113" s="480">
        <f>'[28]Sch C'!F101</f>
        <v>0</v>
      </c>
      <c r="E113" s="480">
        <f>+'[28]Sch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'[28]Sch C'!D102</f>
        <v>4150</v>
      </c>
      <c r="D114" s="480">
        <f>'[28]Sch C'!F102</f>
        <v>0</v>
      </c>
      <c r="E114" s="480">
        <f>+'[28]Sch C'!H102</f>
        <v>0</v>
      </c>
      <c r="F114" s="166">
        <f t="shared" si="29"/>
        <v>4150</v>
      </c>
      <c r="G114" s="626"/>
      <c r="H114" s="626"/>
      <c r="I114" s="166">
        <f t="shared" si="30"/>
        <v>4150</v>
      </c>
      <c r="J114" s="167">
        <f t="shared" si="31"/>
        <v>4.2970586685185783E-4</v>
      </c>
      <c r="K114" s="458"/>
      <c r="L114" s="163"/>
      <c r="M114" s="163"/>
      <c r="O114" s="329">
        <f t="shared" si="32"/>
        <v>0.12049242204285465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'[28]Sch C'!D103</f>
        <v>0</v>
      </c>
      <c r="D115" s="480">
        <f>'[28]Sch C'!F103</f>
        <v>0</v>
      </c>
      <c r="E115" s="480">
        <f>+'[28]Sch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51625</v>
      </c>
      <c r="D116" s="480">
        <f t="shared" si="33"/>
        <v>2024</v>
      </c>
      <c r="E116" s="480">
        <f t="shared" si="33"/>
        <v>0</v>
      </c>
      <c r="F116" s="166">
        <f t="shared" ref="F116:I116" si="34">SUM(F110:F115)</f>
        <v>53649</v>
      </c>
      <c r="G116" s="166">
        <f t="shared" si="34"/>
        <v>0</v>
      </c>
      <c r="H116" s="166">
        <f t="shared" si="34"/>
        <v>0</v>
      </c>
      <c r="I116" s="166">
        <f t="shared" si="34"/>
        <v>53649</v>
      </c>
      <c r="J116" s="167">
        <f t="shared" si="31"/>
        <v>5.5550096507795948E-3</v>
      </c>
      <c r="K116" s="458"/>
      <c r="L116" s="163"/>
      <c r="M116" s="163"/>
      <c r="O116" s="329">
        <f>I116/I$233</f>
        <v>1.5576621566691831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'[28]Sch C'!D115</f>
        <v>112882</v>
      </c>
      <c r="D119" s="480">
        <f>'[28]Sch C'!F115</f>
        <v>0</v>
      </c>
      <c r="E119" s="480">
        <f>+'[28]Sch C'!H115</f>
        <v>0</v>
      </c>
      <c r="F119" s="166">
        <f t="shared" ref="F119:F123" si="35">C119+D119+E119</f>
        <v>112882</v>
      </c>
      <c r="G119" s="626"/>
      <c r="H119" s="626"/>
      <c r="I119" s="166">
        <f t="shared" ref="I119:I123" si="36">F119+G119+H119</f>
        <v>112882</v>
      </c>
      <c r="J119" s="167">
        <f t="shared" ref="J119:J124" si="37">IF($I$213=0,0,I119/$I$213)</f>
        <v>1.1688206665535281E-2</v>
      </c>
      <c r="K119" s="458"/>
      <c r="L119" s="176">
        <v>10876</v>
      </c>
      <c r="M119" s="176">
        <v>11450</v>
      </c>
      <c r="O119" s="329">
        <f t="shared" ref="O119:O124" si="38">I119/I$233</f>
        <v>3.2774519482027755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'[28]Sch C'!D116</f>
        <v>17413</v>
      </c>
      <c r="D120" s="480">
        <f>'[28]Sch C'!F116</f>
        <v>7697</v>
      </c>
      <c r="E120" s="480">
        <f>+'[28]Sch C'!H116</f>
        <v>0</v>
      </c>
      <c r="F120" s="166">
        <f t="shared" si="35"/>
        <v>25110</v>
      </c>
      <c r="G120" s="626"/>
      <c r="H120" s="626"/>
      <c r="I120" s="166">
        <f t="shared" si="36"/>
        <v>25110</v>
      </c>
      <c r="J120" s="167">
        <f t="shared" si="37"/>
        <v>2.5999793534096744E-3</v>
      </c>
      <c r="K120" s="458"/>
      <c r="L120" s="163"/>
      <c r="M120" s="163"/>
      <c r="O120" s="329">
        <f t="shared" si="38"/>
        <v>0.729051739155682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'[28]Sch C'!D117</f>
        <v>26222</v>
      </c>
      <c r="D121" s="480">
        <f>'[28]Sch C'!F117</f>
        <v>0</v>
      </c>
      <c r="E121" s="480">
        <f>+'[28]Sch C'!H117</f>
        <v>0</v>
      </c>
      <c r="F121" s="166">
        <f t="shared" si="35"/>
        <v>26222</v>
      </c>
      <c r="G121" s="626"/>
      <c r="H121" s="626"/>
      <c r="I121" s="166">
        <f t="shared" si="36"/>
        <v>26222</v>
      </c>
      <c r="J121" s="167">
        <f t="shared" si="37"/>
        <v>2.7151198170094976E-3</v>
      </c>
      <c r="K121" s="458"/>
      <c r="L121" s="163"/>
      <c r="M121" s="163"/>
      <c r="O121" s="329">
        <f t="shared" si="38"/>
        <v>0.76133790139945412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'[28]Sch C'!D118</f>
        <v>225</v>
      </c>
      <c r="D122" s="480">
        <f>'[28]Sch C'!F118</f>
        <v>0</v>
      </c>
      <c r="E122" s="480">
        <f>+'[28]Sch C'!H118</f>
        <v>0</v>
      </c>
      <c r="F122" s="166">
        <f t="shared" si="35"/>
        <v>225</v>
      </c>
      <c r="G122" s="626"/>
      <c r="H122" s="626"/>
      <c r="I122" s="166">
        <f t="shared" si="36"/>
        <v>225</v>
      </c>
      <c r="J122" s="167">
        <f t="shared" si="37"/>
        <v>2.3297306034136869E-5</v>
      </c>
      <c r="K122" s="458"/>
      <c r="L122" s="163"/>
      <c r="M122" s="163"/>
      <c r="O122" s="329">
        <f t="shared" si="38"/>
        <v>6.5327216770222404E-3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'[28]Sch C'!D119</f>
        <v>0</v>
      </c>
      <c r="D123" s="480">
        <f>'[28]Sch C'!F119</f>
        <v>0</v>
      </c>
      <c r="E123" s="480">
        <f>+'[28]Sch C'!H119</f>
        <v>0</v>
      </c>
      <c r="F123" s="166">
        <f t="shared" si="35"/>
        <v>0</v>
      </c>
      <c r="G123" s="626"/>
      <c r="H123" s="62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156742</v>
      </c>
      <c r="D124" s="480">
        <f t="shared" si="39"/>
        <v>7697</v>
      </c>
      <c r="E124" s="480">
        <f t="shared" si="39"/>
        <v>0</v>
      </c>
      <c r="F124" s="166">
        <f t="shared" ref="F124:I124" si="40">SUM(F119:F123)</f>
        <v>164439</v>
      </c>
      <c r="G124" s="166">
        <f t="shared" si="40"/>
        <v>0</v>
      </c>
      <c r="H124" s="166">
        <f t="shared" si="40"/>
        <v>0</v>
      </c>
      <c r="I124" s="166">
        <f t="shared" si="40"/>
        <v>164439</v>
      </c>
      <c r="J124" s="167">
        <f t="shared" si="37"/>
        <v>1.7026603141988589E-2</v>
      </c>
      <c r="K124" s="458"/>
      <c r="L124" s="163"/>
      <c r="M124" s="163"/>
      <c r="O124" s="329">
        <f t="shared" si="38"/>
        <v>4.7743743104349337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'[28]Sch C'!D124</f>
        <v>0</v>
      </c>
      <c r="D128" s="480">
        <f>'[28]Sch C'!F124</f>
        <v>0</v>
      </c>
      <c r="E128" s="480">
        <f>+'[28]Sch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'[28]Sch C'!D125</f>
        <v>122260</v>
      </c>
      <c r="D129" s="480">
        <f>'[28]Sch C'!F125</f>
        <v>0</v>
      </c>
      <c r="E129" s="480">
        <f>+'[28]Sch C'!H125</f>
        <v>126924</v>
      </c>
      <c r="F129" s="166">
        <f t="shared" si="41"/>
        <v>249184</v>
      </c>
      <c r="G129" s="626"/>
      <c r="H129" s="626"/>
      <c r="I129" s="166">
        <f t="shared" si="42"/>
        <v>249184</v>
      </c>
      <c r="J129" s="167">
        <f>IF($I$213=0,0,I129/$I$213)</f>
        <v>2.5801404030268274E-2</v>
      </c>
      <c r="K129" s="458"/>
      <c r="L129" s="176">
        <v>2565</v>
      </c>
      <c r="M129" s="176">
        <v>2595</v>
      </c>
      <c r="O129" s="329">
        <f t="shared" si="43"/>
        <v>7.2348876371871551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'[28]Sch C'!D126</f>
        <v>78275</v>
      </c>
      <c r="D130" s="480">
        <f>'[28]Sch C'!F126</f>
        <v>0</v>
      </c>
      <c r="E130" s="480">
        <f>+'[28]Sch C'!H126</f>
        <v>0</v>
      </c>
      <c r="F130" s="166">
        <f t="shared" si="41"/>
        <v>78275</v>
      </c>
      <c r="G130" s="626"/>
      <c r="H130" s="626"/>
      <c r="I130" s="166">
        <f t="shared" si="42"/>
        <v>78275</v>
      </c>
      <c r="J130" s="167">
        <f>IF($I$213=0,0,I130/$I$213)</f>
        <v>8.1048739103202812E-3</v>
      </c>
      <c r="K130" s="458"/>
      <c r="L130" s="176">
        <v>2404</v>
      </c>
      <c r="M130" s="176">
        <v>2582</v>
      </c>
      <c r="O130" s="329">
        <f t="shared" si="43"/>
        <v>2.272661285639626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'[28]Sch C'!D127</f>
        <v>0</v>
      </c>
      <c r="D131" s="480">
        <f>'[28]Sch C'!F127</f>
        <v>0</v>
      </c>
      <c r="E131" s="480">
        <f>+'[28]Sch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'[28]Sch C'!D128</f>
        <v>41825</v>
      </c>
      <c r="D132" s="480">
        <f>'[28]Sch C'!F128</f>
        <v>0</v>
      </c>
      <c r="E132" s="480">
        <f>+'[28]Sch C'!H128</f>
        <v>0</v>
      </c>
      <c r="F132" s="166">
        <f t="shared" si="41"/>
        <v>41825</v>
      </c>
      <c r="G132" s="626"/>
      <c r="H132" s="626"/>
      <c r="I132" s="166">
        <f t="shared" si="42"/>
        <v>41825</v>
      </c>
      <c r="J132" s="167">
        <f>IF($I$213=0,0,I132/$I$213)</f>
        <v>4.3307103327901095E-3</v>
      </c>
      <c r="K132" s="458"/>
      <c r="L132" s="176">
        <v>2239</v>
      </c>
      <c r="M132" s="176">
        <v>2274</v>
      </c>
      <c r="O132" s="329">
        <f t="shared" si="43"/>
        <v>1.214360373962023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'[28]Sch C'!D130</f>
        <v>0</v>
      </c>
      <c r="D134" s="480">
        <f>'[28]Sch C'!F130</f>
        <v>0</v>
      </c>
      <c r="E134" s="480">
        <f>+'[28]Sch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'[28]Sch C'!D131</f>
        <v>0</v>
      </c>
      <c r="D135" s="480">
        <f>'[28]Sch C'!F131</f>
        <v>8337</v>
      </c>
      <c r="E135" s="480">
        <f>+'[28]Sch C'!H131</f>
        <v>15370</v>
      </c>
      <c r="F135" s="166">
        <f t="shared" si="44"/>
        <v>23707</v>
      </c>
      <c r="G135" s="626">
        <v>35648</v>
      </c>
      <c r="H135" s="626"/>
      <c r="I135" s="166">
        <f t="shared" si="45"/>
        <v>59355</v>
      </c>
      <c r="J135" s="167">
        <f>IF($I$213=0,0,I135/$I$213)</f>
        <v>6.1458293318053065E-3</v>
      </c>
      <c r="K135" s="458"/>
      <c r="L135" s="196"/>
      <c r="M135" s="196"/>
      <c r="O135" s="329">
        <f t="shared" si="43"/>
        <v>1.7233319783984671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'[28]Sch C'!D132</f>
        <v>0</v>
      </c>
      <c r="D136" s="480">
        <f>'[28]Sch C'!F132</f>
        <v>5338</v>
      </c>
      <c r="E136" s="480">
        <f>+'[28]Sch C'!H132</f>
        <v>0</v>
      </c>
      <c r="F136" s="166">
        <f t="shared" si="44"/>
        <v>5338</v>
      </c>
      <c r="G136" s="626">
        <v>11198</v>
      </c>
      <c r="H136" s="626"/>
      <c r="I136" s="166">
        <f t="shared" si="45"/>
        <v>16536</v>
      </c>
      <c r="J136" s="167">
        <f>IF($I$213=0,0,I136/$I$213)</f>
        <v>1.712196678135499E-3</v>
      </c>
      <c r="K136" s="458"/>
      <c r="L136" s="163"/>
      <c r="M136" s="163"/>
      <c r="O136" s="329">
        <f t="shared" si="43"/>
        <v>0.48011149178328782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'[28]Sch C'!D133</f>
        <v>0</v>
      </c>
      <c r="D137" s="480">
        <f>'[28]Sch C'!F133</f>
        <v>0</v>
      </c>
      <c r="E137" s="480">
        <f>+'[28]Sch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'[28]Sch C'!D134</f>
        <v>0</v>
      </c>
      <c r="D138" s="480">
        <f>'[28]Sch C'!F134</f>
        <v>2852</v>
      </c>
      <c r="E138" s="480">
        <f>+'[28]Sch C'!H134</f>
        <v>0</v>
      </c>
      <c r="F138" s="166">
        <f t="shared" si="44"/>
        <v>2852</v>
      </c>
      <c r="G138" s="626">
        <v>5983</v>
      </c>
      <c r="H138" s="626"/>
      <c r="I138" s="166">
        <f t="shared" si="45"/>
        <v>8835</v>
      </c>
      <c r="J138" s="167">
        <f>IF($I$213=0,0,I138/$I$213)</f>
        <v>9.1480755027377437E-4</v>
      </c>
      <c r="K138" s="458"/>
      <c r="L138" s="163"/>
      <c r="M138" s="163"/>
      <c r="O138" s="329">
        <f t="shared" si="43"/>
        <v>0.25651820451773999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'[28]Sch C'!D136</f>
        <v>717582</v>
      </c>
      <c r="D140" s="480">
        <f>'[28]Sch C'!F136</f>
        <v>0</v>
      </c>
      <c r="E140" s="480">
        <f>+'[28]Sch C'!H136</f>
        <v>0</v>
      </c>
      <c r="F140" s="166">
        <f t="shared" ref="F140:F143" si="46">C140+D140+E140</f>
        <v>717582</v>
      </c>
      <c r="G140" s="626"/>
      <c r="H140" s="626"/>
      <c r="I140" s="166">
        <f t="shared" ref="I140:I143" si="47">F140+G140+H140</f>
        <v>717582</v>
      </c>
      <c r="J140" s="167">
        <f>IF($I$213=0,0,I140/$I$213)</f>
        <v>7.4301010927057792E-2</v>
      </c>
      <c r="K140" s="458"/>
      <c r="L140" s="176">
        <v>21559</v>
      </c>
      <c r="M140" s="176">
        <v>22997</v>
      </c>
      <c r="O140" s="329">
        <f t="shared" si="43"/>
        <v>20.834504384182104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'[28]Sch C'!D137</f>
        <v>510745</v>
      </c>
      <c r="D141" s="480">
        <f>'[28]Sch C'!F137</f>
        <v>0</v>
      </c>
      <c r="E141" s="480">
        <f>+'[28]Sch C'!H137</f>
        <v>0</v>
      </c>
      <c r="F141" s="166">
        <f t="shared" si="46"/>
        <v>510745</v>
      </c>
      <c r="G141" s="626"/>
      <c r="H141" s="626"/>
      <c r="I141" s="166">
        <f t="shared" si="47"/>
        <v>510745</v>
      </c>
      <c r="J141" s="167">
        <f>IF($I$213=0,0,I141/$I$213)</f>
        <v>5.2884366979578823E-2</v>
      </c>
      <c r="K141" s="458"/>
      <c r="L141" s="176">
        <v>19620</v>
      </c>
      <c r="M141" s="176">
        <v>20451</v>
      </c>
      <c r="O141" s="329">
        <f t="shared" si="43"/>
        <v>14.829133035247663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'[28]Sch C'!D138</f>
        <v>1100336</v>
      </c>
      <c r="D142" s="480">
        <f>'[28]Sch C'!F138</f>
        <v>0</v>
      </c>
      <c r="E142" s="480">
        <f>+'[28]Sch C'!H138</f>
        <v>0</v>
      </c>
      <c r="F142" s="166">
        <f t="shared" si="46"/>
        <v>1100336</v>
      </c>
      <c r="G142" s="626"/>
      <c r="H142" s="626"/>
      <c r="I142" s="166">
        <f t="shared" si="47"/>
        <v>1100336</v>
      </c>
      <c r="J142" s="167">
        <f>IF($I$213=0,0,I142/$I$213)</f>
        <v>0.11393273125501345</v>
      </c>
      <c r="K142" s="458"/>
      <c r="L142" s="176">
        <v>79098</v>
      </c>
      <c r="M142" s="176">
        <v>83692</v>
      </c>
      <c r="O142" s="329">
        <f t="shared" si="43"/>
        <v>31.947505952035307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'[28]Sch C'!D139</f>
        <v>90564</v>
      </c>
      <c r="D143" s="480">
        <f>'[28]Sch C'!F139</f>
        <v>0</v>
      </c>
      <c r="E143" s="480">
        <f>+'[28]Sch C'!H139</f>
        <v>0</v>
      </c>
      <c r="F143" s="166">
        <f t="shared" si="46"/>
        <v>90564</v>
      </c>
      <c r="G143" s="626"/>
      <c r="H143" s="626"/>
      <c r="I143" s="166">
        <f t="shared" si="47"/>
        <v>90564</v>
      </c>
      <c r="J143" s="167">
        <f>IF($I$213=0,0,I143/$I$213)</f>
        <v>9.3773209941136505E-3</v>
      </c>
      <c r="K143" s="458"/>
      <c r="L143" s="176">
        <v>6386</v>
      </c>
      <c r="M143" s="176">
        <v>6991</v>
      </c>
      <c r="O143" s="329">
        <f t="shared" si="43"/>
        <v>2.6294640264792983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'[28]Sch C'!D141</f>
        <v>0</v>
      </c>
      <c r="D145" s="480">
        <f>'[28]Sch C'!F141</f>
        <v>48932</v>
      </c>
      <c r="E145" s="480">
        <f>+'[28]Sch C'!H141</f>
        <v>0</v>
      </c>
      <c r="F145" s="166">
        <f t="shared" ref="F145:F148" si="48">C145+D145+E145</f>
        <v>48932</v>
      </c>
      <c r="G145" s="626">
        <v>102657</v>
      </c>
      <c r="H145" s="626"/>
      <c r="I145" s="166">
        <f t="shared" ref="I145:I148" si="49">F145+G145+H145</f>
        <v>151589</v>
      </c>
      <c r="J145" s="167">
        <f>IF($I$213=0,0,I145/$I$213)</f>
        <v>1.5696068108483438E-2</v>
      </c>
      <c r="K145" s="458"/>
      <c r="L145" s="163"/>
      <c r="M145" s="163"/>
      <c r="O145" s="329">
        <f t="shared" si="43"/>
        <v>4.4012833168805532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'[28]Sch C'!D142</f>
        <v>0</v>
      </c>
      <c r="D146" s="480">
        <f>'[28]Sch C'!F142</f>
        <v>34828</v>
      </c>
      <c r="E146" s="480">
        <f>+'[28]Sch C'!H142</f>
        <v>0</v>
      </c>
      <c r="F146" s="166">
        <f t="shared" si="48"/>
        <v>34828</v>
      </c>
      <c r="G146" s="626">
        <v>73067</v>
      </c>
      <c r="H146" s="626"/>
      <c r="I146" s="166">
        <f t="shared" si="49"/>
        <v>107895</v>
      </c>
      <c r="J146" s="167">
        <f>IF($I$213=0,0,I146/$I$213)</f>
        <v>1.1171834820236433E-2</v>
      </c>
      <c r="K146" s="458"/>
      <c r="L146" s="163"/>
      <c r="M146" s="163"/>
      <c r="O146" s="329">
        <f t="shared" si="43"/>
        <v>3.1326578015213982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'[28]Sch C'!D143</f>
        <v>0</v>
      </c>
      <c r="D147" s="480">
        <f>'[28]Sch C'!F143</f>
        <v>75032</v>
      </c>
      <c r="E147" s="480">
        <f>+'[28]Sch C'!H143</f>
        <v>0</v>
      </c>
      <c r="F147" s="166">
        <f t="shared" si="48"/>
        <v>75032</v>
      </c>
      <c r="G147" s="626">
        <v>157414</v>
      </c>
      <c r="H147" s="626"/>
      <c r="I147" s="166">
        <f t="shared" si="49"/>
        <v>232446</v>
      </c>
      <c r="J147" s="167">
        <f>IF($I$213=0,0,I147/$I$213)</f>
        <v>2.4068291548493239E-2</v>
      </c>
      <c r="K147" s="458"/>
      <c r="L147" s="163"/>
      <c r="M147" s="163"/>
      <c r="O147" s="329">
        <f t="shared" si="43"/>
        <v>6.7489112130538293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'[28]Sch C'!D144</f>
        <v>398925</v>
      </c>
      <c r="D148" s="480">
        <f>'[28]Sch C'!F144</f>
        <v>6176</v>
      </c>
      <c r="E148" s="480">
        <f>+'[28]Sch C'!H144</f>
        <v>0</v>
      </c>
      <c r="F148" s="166">
        <f t="shared" si="48"/>
        <v>405101</v>
      </c>
      <c r="G148" s="626">
        <v>-385967</v>
      </c>
      <c r="H148" s="626"/>
      <c r="I148" s="166">
        <f t="shared" si="49"/>
        <v>19134</v>
      </c>
      <c r="J148" s="167">
        <f>IF($I$213=0,0,I148/$I$213)</f>
        <v>1.9812029051429992E-3</v>
      </c>
      <c r="K148" s="458"/>
      <c r="L148" s="163"/>
      <c r="M148" s="163"/>
      <c r="O148" s="329">
        <f t="shared" si="43"/>
        <v>0.5555426514139713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'[28]Sch C'!D146</f>
        <v>78549</v>
      </c>
      <c r="D150" s="480">
        <f>'[28]Sch C'!F146</f>
        <v>0</v>
      </c>
      <c r="E150" s="480">
        <f>+'[28]Sch C'!H146</f>
        <v>0</v>
      </c>
      <c r="F150" s="166">
        <f t="shared" ref="F150:F158" si="50">C150+D150+E150</f>
        <v>78549</v>
      </c>
      <c r="G150" s="626"/>
      <c r="H150" s="626"/>
      <c r="I150" s="166">
        <f t="shared" ref="I150:I158" si="51">F150+G150+H150</f>
        <v>78549</v>
      </c>
      <c r="J150" s="167">
        <f t="shared" ref="J150:J158" si="52">IF($I$213=0,0,I150/$I$213)</f>
        <v>8.1332448518907415E-3</v>
      </c>
      <c r="K150" s="458"/>
      <c r="L150" s="176">
        <v>449</v>
      </c>
      <c r="M150" s="176">
        <v>449</v>
      </c>
      <c r="O150" s="329">
        <f t="shared" si="43"/>
        <v>2.2806166889263109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'[28]Sch C'!D147</f>
        <v>15791</v>
      </c>
      <c r="D151" s="480">
        <f>'[28]Sch C'!F147</f>
        <v>0</v>
      </c>
      <c r="E151" s="480">
        <f>+'[28]Sch C'!H147</f>
        <v>0</v>
      </c>
      <c r="F151" s="166">
        <f t="shared" si="50"/>
        <v>15791</v>
      </c>
      <c r="G151" s="626"/>
      <c r="H151" s="626"/>
      <c r="I151" s="166">
        <f t="shared" si="51"/>
        <v>15791</v>
      </c>
      <c r="J151" s="167">
        <f t="shared" si="52"/>
        <v>1.6350567092669125E-3</v>
      </c>
      <c r="K151" s="458"/>
      <c r="L151" s="176">
        <v>272</v>
      </c>
      <c r="M151" s="176">
        <v>272</v>
      </c>
      <c r="O151" s="329">
        <f t="shared" si="43"/>
        <v>0.45848092445270311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'[28]Sch C'!D148</f>
        <v>0</v>
      </c>
      <c r="D152" s="480">
        <f>'[28]Sch C'!F148</f>
        <v>0</v>
      </c>
      <c r="E152" s="480">
        <f>+'[28]Sch C'!H148</f>
        <v>0</v>
      </c>
      <c r="F152" s="166">
        <f t="shared" si="50"/>
        <v>0</v>
      </c>
      <c r="G152" s="626"/>
      <c r="H152" s="62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'[28]Sch C'!D149</f>
        <v>59865</v>
      </c>
      <c r="D153" s="480">
        <f>'[28]Sch C'!F149</f>
        <v>0</v>
      </c>
      <c r="E153" s="480">
        <f>+'[28]Sch C'!H149</f>
        <v>0</v>
      </c>
      <c r="F153" s="166">
        <f t="shared" si="50"/>
        <v>59865</v>
      </c>
      <c r="G153" s="626"/>
      <c r="H153" s="626"/>
      <c r="I153" s="166">
        <f t="shared" si="51"/>
        <v>59865</v>
      </c>
      <c r="J153" s="167">
        <f t="shared" si="52"/>
        <v>6.1986365588160165E-3</v>
      </c>
      <c r="K153" s="458"/>
      <c r="L153" s="176">
        <v>2217</v>
      </c>
      <c r="M153" s="176">
        <v>2217</v>
      </c>
      <c r="O153" s="329">
        <f t="shared" si="43"/>
        <v>1.7381394808663841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'[28]Sch C'!D150</f>
        <v>19931</v>
      </c>
      <c r="D154" s="480">
        <f>'[28]Sch C'!F150</f>
        <v>0</v>
      </c>
      <c r="E154" s="480">
        <f>+'[28]Sch C'!H150</f>
        <v>0</v>
      </c>
      <c r="F154" s="166">
        <f t="shared" si="50"/>
        <v>19931</v>
      </c>
      <c r="G154" s="626"/>
      <c r="H154" s="626"/>
      <c r="I154" s="166">
        <f t="shared" si="51"/>
        <v>19931</v>
      </c>
      <c r="J154" s="167">
        <f t="shared" si="52"/>
        <v>2.0637271402950308E-3</v>
      </c>
      <c r="K154" s="458"/>
      <c r="L154" s="176">
        <v>53</v>
      </c>
      <c r="M154" s="176">
        <v>53</v>
      </c>
      <c r="O154" s="329">
        <f t="shared" si="43"/>
        <v>0.57868300330991229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'[28]Sch C'!D151</f>
        <v>242422</v>
      </c>
      <c r="D155" s="480">
        <f>'[28]Sch C'!F151</f>
        <v>4310</v>
      </c>
      <c r="E155" s="480">
        <f>+'[28]Sch C'!H151</f>
        <v>0</v>
      </c>
      <c r="F155" s="166">
        <f t="shared" si="50"/>
        <v>246732</v>
      </c>
      <c r="G155" s="626">
        <v>-10000</v>
      </c>
      <c r="H155" s="626"/>
      <c r="I155" s="166">
        <f t="shared" si="51"/>
        <v>236732</v>
      </c>
      <c r="J155" s="167">
        <f t="shared" si="52"/>
        <v>2.4512079342547954E-2</v>
      </c>
      <c r="K155" s="458"/>
      <c r="L155" s="163"/>
      <c r="M155" s="163"/>
      <c r="O155" s="329">
        <f t="shared" si="43"/>
        <v>6.8733523024214618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'[28]Sch C'!D152</f>
        <v>8570</v>
      </c>
      <c r="D156" s="480">
        <f>'[28]Sch C'!F152</f>
        <v>0</v>
      </c>
      <c r="E156" s="480">
        <f>+'[28]Sch C'!H152</f>
        <v>0</v>
      </c>
      <c r="F156" s="166">
        <f t="shared" si="50"/>
        <v>8570</v>
      </c>
      <c r="G156" s="626"/>
      <c r="H156" s="626"/>
      <c r="I156" s="166">
        <f t="shared" si="51"/>
        <v>8570</v>
      </c>
      <c r="J156" s="167">
        <f t="shared" si="52"/>
        <v>8.8736850094467987E-4</v>
      </c>
      <c r="K156" s="458"/>
      <c r="L156" s="163"/>
      <c r="M156" s="163"/>
      <c r="O156" s="329">
        <f t="shared" si="43"/>
        <v>0.24882411009813599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'[28]Sch C'!D153</f>
        <v>145</v>
      </c>
      <c r="D157" s="480">
        <f>'[28]Sch C'!F153</f>
        <v>0</v>
      </c>
      <c r="E157" s="480">
        <f>+'[28]Sch C'!H153</f>
        <v>0</v>
      </c>
      <c r="F157" s="166">
        <f t="shared" si="50"/>
        <v>145</v>
      </c>
      <c r="G157" s="626"/>
      <c r="H157" s="626"/>
      <c r="I157" s="166">
        <f t="shared" si="51"/>
        <v>145</v>
      </c>
      <c r="J157" s="167">
        <f t="shared" si="52"/>
        <v>1.5013819444221539E-5</v>
      </c>
      <c r="K157" s="458"/>
      <c r="L157" s="163"/>
      <c r="M157" s="163"/>
      <c r="O157" s="329">
        <f t="shared" si="43"/>
        <v>4.209976191858777E-3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'[28]Sch C'!D154</f>
        <v>64720</v>
      </c>
      <c r="D158" s="480">
        <f>'[28]Sch C'!F154</f>
        <v>7067</v>
      </c>
      <c r="E158" s="480">
        <f>+'[28]Sch C'!H154</f>
        <v>0</v>
      </c>
      <c r="F158" s="166">
        <f t="shared" si="50"/>
        <v>71787</v>
      </c>
      <c r="G158" s="626">
        <v>388275</v>
      </c>
      <c r="H158" s="626"/>
      <c r="I158" s="166">
        <f t="shared" si="51"/>
        <v>460062</v>
      </c>
      <c r="J158" s="167">
        <f t="shared" si="52"/>
        <v>4.7636467594120338E-2</v>
      </c>
      <c r="K158" s="458"/>
      <c r="L158" s="163"/>
      <c r="M158" s="163"/>
      <c r="O158" s="329">
        <f t="shared" si="43"/>
        <v>13.357586667440914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'[28]Sch C'!D156</f>
        <v>0</v>
      </c>
      <c r="D160" s="480">
        <f>'[28]Sch C'!F156</f>
        <v>0</v>
      </c>
      <c r="E160" s="480">
        <f>+'[28]Sch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'[28]Sch C'!D157</f>
        <v>0</v>
      </c>
      <c r="D161" s="480">
        <f>'[28]Sch C'!F157</f>
        <v>0</v>
      </c>
      <c r="E161" s="480">
        <f>+'[28]Sch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'[28]Sch C'!D158</f>
        <v>0</v>
      </c>
      <c r="D162" s="480">
        <f>'[28]Sch C'!F158</f>
        <v>0</v>
      </c>
      <c r="E162" s="480">
        <f>+'[28]Sch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'[28]Sch C'!D159</f>
        <v>0</v>
      </c>
      <c r="D163" s="480">
        <f>'[28]Sch C'!F159</f>
        <v>0</v>
      </c>
      <c r="E163" s="480">
        <f>+'[28]Sch C'!H159</f>
        <v>0</v>
      </c>
      <c r="F163" s="166">
        <f t="shared" si="53"/>
        <v>0</v>
      </c>
      <c r="G163" s="626"/>
      <c r="H163" s="62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'[28]Sch C'!D160</f>
        <v>0</v>
      </c>
      <c r="D164" s="480">
        <f>'[28]Sch C'!F160</f>
        <v>0</v>
      </c>
      <c r="E164" s="480">
        <f>+'[28]Sch C'!H160</f>
        <v>0</v>
      </c>
      <c r="F164" s="166">
        <f t="shared" si="53"/>
        <v>0</v>
      </c>
      <c r="G164" s="626"/>
      <c r="H164" s="62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'[28]Sch C'!D161</f>
        <v>24113</v>
      </c>
      <c r="D165" s="480">
        <f>'[28]Sch C'!F161</f>
        <v>0</v>
      </c>
      <c r="E165" s="480">
        <f>+'[28]Sch C'!H161</f>
        <v>0</v>
      </c>
      <c r="F165" s="166">
        <f t="shared" si="53"/>
        <v>24113</v>
      </c>
      <c r="G165" s="626">
        <v>-16902</v>
      </c>
      <c r="H165" s="626"/>
      <c r="I165" s="166">
        <f t="shared" si="54"/>
        <v>7211</v>
      </c>
      <c r="J165" s="167">
        <f t="shared" si="55"/>
        <v>7.4665277249849323E-4</v>
      </c>
      <c r="K165" s="458"/>
      <c r="L165" s="163"/>
      <c r="M165" s="163"/>
      <c r="O165" s="329">
        <f t="shared" si="43"/>
        <v>0.20936647116892165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3574618</v>
      </c>
      <c r="D166" s="480">
        <f t="shared" si="56"/>
        <v>192872</v>
      </c>
      <c r="E166" s="480">
        <f t="shared" si="56"/>
        <v>142294</v>
      </c>
      <c r="F166" s="166">
        <f t="shared" ref="F166:I166" si="57">SUM(F128:F165)</f>
        <v>3909784</v>
      </c>
      <c r="G166" s="166">
        <f t="shared" si="57"/>
        <v>361373</v>
      </c>
      <c r="H166" s="166">
        <f t="shared" si="57"/>
        <v>0</v>
      </c>
      <c r="I166" s="166">
        <f t="shared" si="57"/>
        <v>4271157</v>
      </c>
      <c r="J166" s="167">
        <f t="shared" si="55"/>
        <v>0.44225089666153744</v>
      </c>
      <c r="K166" s="458"/>
      <c r="L166" s="163"/>
      <c r="M166" s="163"/>
      <c r="O166" s="329">
        <f>I166/I$233</f>
        <v>124.01013297717903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'[28]Sch C'!D175</f>
        <v>0</v>
      </c>
      <c r="D169" s="480">
        <f>'[28]Sch C'!F175</f>
        <v>0</v>
      </c>
      <c r="E169" s="480">
        <f>+'[28]Sch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'[28]Sch C'!D176</f>
        <v>0</v>
      </c>
      <c r="D170" s="480">
        <f>'[28]Sch C'!F176</f>
        <v>0</v>
      </c>
      <c r="E170" s="480">
        <f>+'[28]Sch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'[28]Sch C'!D177</f>
        <v>215966</v>
      </c>
      <c r="D171" s="480">
        <f>'[28]Sch C'!F177</f>
        <v>0</v>
      </c>
      <c r="E171" s="480">
        <f>+'[28]Sch C'!H177</f>
        <v>0</v>
      </c>
      <c r="F171" s="166">
        <f t="shared" si="58"/>
        <v>215966</v>
      </c>
      <c r="G171" s="626"/>
      <c r="H171" s="626"/>
      <c r="I171" s="166">
        <f t="shared" si="59"/>
        <v>215966</v>
      </c>
      <c r="J171" s="167">
        <f t="shared" si="60"/>
        <v>2.2361893310970681E-2</v>
      </c>
      <c r="K171" s="468"/>
      <c r="L171" s="176">
        <v>6982</v>
      </c>
      <c r="M171" s="176">
        <v>7557</v>
      </c>
      <c r="N171" s="208"/>
      <c r="O171" s="329">
        <f t="shared" si="61"/>
        <v>6.2704256431101566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'[28]Sch C'!D178</f>
        <v>36490</v>
      </c>
      <c r="D172" s="480">
        <f>'[28]Sch C'!F178</f>
        <v>14727</v>
      </c>
      <c r="E172" s="480">
        <f>+'[28]Sch C'!H178</f>
        <v>0</v>
      </c>
      <c r="F172" s="166">
        <f t="shared" si="58"/>
        <v>51217</v>
      </c>
      <c r="G172" s="626"/>
      <c r="H172" s="626"/>
      <c r="I172" s="166">
        <f t="shared" si="59"/>
        <v>51217</v>
      </c>
      <c r="J172" s="167">
        <f t="shared" si="60"/>
        <v>5.3031916584461688E-3</v>
      </c>
      <c r="K172" s="469"/>
      <c r="L172" s="212"/>
      <c r="M172" s="212"/>
      <c r="N172" s="208"/>
      <c r="O172" s="329">
        <f t="shared" si="61"/>
        <v>1.4870506939202137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'[28]Sch C'!D179</f>
        <v>92625</v>
      </c>
      <c r="D173" s="480">
        <f>'[28]Sch C'!F179</f>
        <v>0</v>
      </c>
      <c r="E173" s="480">
        <f>+'[28]Sch C'!H179</f>
        <v>0</v>
      </c>
      <c r="F173" s="166">
        <f t="shared" si="58"/>
        <v>92625</v>
      </c>
      <c r="G173" s="626"/>
      <c r="H173" s="626"/>
      <c r="I173" s="166">
        <f t="shared" si="59"/>
        <v>92625</v>
      </c>
      <c r="J173" s="167">
        <f t="shared" si="60"/>
        <v>9.5907243173863448E-3</v>
      </c>
      <c r="K173" s="468"/>
      <c r="L173" s="176">
        <v>2339</v>
      </c>
      <c r="M173" s="176">
        <v>2483</v>
      </c>
      <c r="N173" s="208"/>
      <c r="O173" s="329">
        <f t="shared" si="61"/>
        <v>2.6893037570408223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'[28]Sch C'!D180</f>
        <v>13416</v>
      </c>
      <c r="D174" s="480">
        <f>'[28]Sch C'!F180</f>
        <v>6316</v>
      </c>
      <c r="E174" s="480">
        <f>+'[28]Sch C'!H180</f>
        <v>0</v>
      </c>
      <c r="F174" s="166">
        <f t="shared" si="58"/>
        <v>19732</v>
      </c>
      <c r="G174" s="626"/>
      <c r="H174" s="626"/>
      <c r="I174" s="166">
        <f t="shared" si="59"/>
        <v>19732</v>
      </c>
      <c r="J174" s="167">
        <f t="shared" si="60"/>
        <v>2.0431219674026165E-3</v>
      </c>
      <c r="K174" s="469"/>
      <c r="L174" s="212"/>
      <c r="M174" s="212"/>
      <c r="N174" s="208"/>
      <c r="O174" s="329">
        <f t="shared" si="61"/>
        <v>0.57290517391556817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'[28]Sch C'!D181</f>
        <v>0</v>
      </c>
      <c r="D175" s="480">
        <f>'[28]Sch C'!F181</f>
        <v>0</v>
      </c>
      <c r="E175" s="480">
        <f>+'[28]Sch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'[28]Sch C'!D182</f>
        <v>0</v>
      </c>
      <c r="D176" s="480">
        <f>'[28]Sch C'!F182</f>
        <v>0</v>
      </c>
      <c r="E176" s="480">
        <f>+'[28]Sch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'[28]Sch C'!D183</f>
        <v>172326</v>
      </c>
      <c r="D177" s="480">
        <f>'[28]Sch C'!F183</f>
        <v>0</v>
      </c>
      <c r="E177" s="480">
        <f>+'[28]Sch C'!H183</f>
        <v>0</v>
      </c>
      <c r="F177" s="166">
        <f t="shared" si="58"/>
        <v>172326</v>
      </c>
      <c r="G177" s="626"/>
      <c r="H177" s="626"/>
      <c r="I177" s="166">
        <f t="shared" si="59"/>
        <v>172326</v>
      </c>
      <c r="J177" s="167">
        <f t="shared" si="60"/>
        <v>1.7843251376171869E-2</v>
      </c>
      <c r="K177" s="468"/>
      <c r="L177" s="176">
        <v>4432</v>
      </c>
      <c r="M177" s="176">
        <v>4700</v>
      </c>
      <c r="N177" s="208"/>
      <c r="O177" s="329">
        <f t="shared" si="61"/>
        <v>5.0033679809534872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'[28]Sch C'!D184</f>
        <v>25598</v>
      </c>
      <c r="D178" s="480">
        <f>'[28]Sch C'!F184</f>
        <v>11751</v>
      </c>
      <c r="E178" s="480">
        <f>+'[28]Sch C'!H184</f>
        <v>0</v>
      </c>
      <c r="F178" s="166">
        <f t="shared" si="58"/>
        <v>37349</v>
      </c>
      <c r="G178" s="626"/>
      <c r="H178" s="626"/>
      <c r="I178" s="166">
        <f t="shared" si="59"/>
        <v>37349</v>
      </c>
      <c r="J178" s="167">
        <f t="shared" si="60"/>
        <v>3.8672492580843465E-3</v>
      </c>
      <c r="K178" s="469"/>
      <c r="L178" s="212"/>
      <c r="M178" s="212"/>
      <c r="N178" s="208"/>
      <c r="O178" s="329">
        <f t="shared" si="61"/>
        <v>1.0844027640671274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'[28]Sch C'!D185</f>
        <v>0</v>
      </c>
      <c r="D179" s="480">
        <f>'[28]Sch C'!F185</f>
        <v>0</v>
      </c>
      <c r="E179" s="480">
        <f>+'[28]Sch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'[28]Sch C'!D186</f>
        <v>0</v>
      </c>
      <c r="D180" s="480">
        <f>'[28]Sch C'!F186</f>
        <v>0</v>
      </c>
      <c r="E180" s="480">
        <f>+'[28]Sch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'[28]Sch C'!D187</f>
        <v>0</v>
      </c>
      <c r="D181" s="480">
        <f>'[28]Sch C'!F187</f>
        <v>0</v>
      </c>
      <c r="E181" s="480">
        <f>+'[28]Sch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'[28]Sch C'!D188</f>
        <v>1509</v>
      </c>
      <c r="D182" s="480">
        <f>'[28]Sch C'!F188</f>
        <v>0</v>
      </c>
      <c r="E182" s="480">
        <f>+'[28]Sch C'!H188</f>
        <v>0</v>
      </c>
      <c r="F182" s="166">
        <f t="shared" si="58"/>
        <v>1509</v>
      </c>
      <c r="G182" s="626"/>
      <c r="H182" s="626"/>
      <c r="I182" s="166">
        <f t="shared" si="59"/>
        <v>1509</v>
      </c>
      <c r="J182" s="167">
        <f t="shared" si="60"/>
        <v>1.5624726580227793E-4</v>
      </c>
      <c r="K182" s="458"/>
      <c r="L182" s="213"/>
      <c r="M182" s="208"/>
      <c r="N182" s="210"/>
      <c r="O182" s="329">
        <f t="shared" si="61"/>
        <v>4.3812786713895824E-2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'[28]Sch C'!D189</f>
        <v>0</v>
      </c>
      <c r="D183" s="480">
        <f>'[28]Sch C'!F189</f>
        <v>0</v>
      </c>
      <c r="E183" s="480">
        <f>+'[28]Sch C'!H189</f>
        <v>0</v>
      </c>
      <c r="F183" s="166">
        <f t="shared" si="58"/>
        <v>0</v>
      </c>
      <c r="G183" s="626"/>
      <c r="H183" s="62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'[28]Sch C'!D190</f>
        <v>0</v>
      </c>
      <c r="D184" s="480">
        <f>'[28]Sch C'!F190</f>
        <v>0</v>
      </c>
      <c r="E184" s="480">
        <f>+'[28]Sch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'[28]Sch C'!D191</f>
        <v>0</v>
      </c>
      <c r="D185" s="480">
        <f>'[28]Sch C'!F191</f>
        <v>0</v>
      </c>
      <c r="E185" s="480">
        <f>+'[28]Sch C'!H191</f>
        <v>0</v>
      </c>
      <c r="F185" s="166">
        <f t="shared" si="58"/>
        <v>0</v>
      </c>
      <c r="G185" s="626"/>
      <c r="H185" s="62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'[28]Sch C'!D192</f>
        <v>0</v>
      </c>
      <c r="D186" s="480">
        <f>'[28]Sch C'!F192</f>
        <v>0</v>
      </c>
      <c r="E186" s="480">
        <f>+'[28]Sch C'!H192</f>
        <v>0</v>
      </c>
      <c r="F186" s="166">
        <f t="shared" si="58"/>
        <v>0</v>
      </c>
      <c r="G186" s="626"/>
      <c r="H186" s="62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'[28]Sch C'!D193</f>
        <v>0</v>
      </c>
      <c r="D187" s="480">
        <f>'[28]Sch C'!F193</f>
        <v>0</v>
      </c>
      <c r="E187" s="480">
        <f>+'[28]Sch C'!H193</f>
        <v>0</v>
      </c>
      <c r="F187" s="166">
        <f t="shared" si="58"/>
        <v>0</v>
      </c>
      <c r="G187" s="626"/>
      <c r="H187" s="62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'[28]Sch C'!D194</f>
        <v>-90</v>
      </c>
      <c r="D188" s="480">
        <f>'[28]Sch C'!F194</f>
        <v>0</v>
      </c>
      <c r="E188" s="480">
        <f>+'[28]Sch C'!H194</f>
        <v>0</v>
      </c>
      <c r="F188" s="166">
        <f t="shared" si="58"/>
        <v>-90</v>
      </c>
      <c r="G188" s="626"/>
      <c r="H188" s="626"/>
      <c r="I188" s="166">
        <f t="shared" si="59"/>
        <v>-90</v>
      </c>
      <c r="J188" s="167">
        <f t="shared" si="60"/>
        <v>-9.3189224136547486E-6</v>
      </c>
      <c r="K188" s="458"/>
      <c r="L188" s="213"/>
      <c r="M188" s="208"/>
      <c r="O188" s="329">
        <f t="shared" si="61"/>
        <v>-2.6130886708088962E-3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'[28]Sch C'!D195</f>
        <v>0</v>
      </c>
      <c r="D189" s="480">
        <f>'[28]Sch C'!F195</f>
        <v>0</v>
      </c>
      <c r="E189" s="480">
        <f>+'[28]Sch C'!H195</f>
        <v>0</v>
      </c>
      <c r="F189" s="166">
        <f t="shared" si="58"/>
        <v>0</v>
      </c>
      <c r="G189" s="626"/>
      <c r="H189" s="62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'[28]Sch C'!D196</f>
        <v>0</v>
      </c>
      <c r="D190" s="480">
        <f>'[28]Sch C'!F196</f>
        <v>0</v>
      </c>
      <c r="E190" s="480">
        <f>+'[28]Sch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'[28]Sch C'!D197</f>
        <v>0</v>
      </c>
      <c r="D191" s="480">
        <f>'[28]Sch C'!F197</f>
        <v>0</v>
      </c>
      <c r="E191" s="480">
        <f>+'[28]Sch C'!H197</f>
        <v>0</v>
      </c>
      <c r="F191" s="166">
        <f t="shared" si="58"/>
        <v>0</v>
      </c>
      <c r="G191" s="626"/>
      <c r="H191" s="62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'[28]Sch C'!D198</f>
        <v>68946</v>
      </c>
      <c r="D192" s="480">
        <f>'[28]Sch C'!F198</f>
        <v>0</v>
      </c>
      <c r="E192" s="480">
        <f>+'[28]Sch C'!H198</f>
        <v>-1967</v>
      </c>
      <c r="F192" s="166">
        <f t="shared" si="58"/>
        <v>66979</v>
      </c>
      <c r="G192" s="626"/>
      <c r="H192" s="626"/>
      <c r="I192" s="166">
        <f t="shared" si="59"/>
        <v>66979</v>
      </c>
      <c r="J192" s="167">
        <f t="shared" si="60"/>
        <v>6.9352456038242376E-3</v>
      </c>
      <c r="K192" s="458"/>
      <c r="L192" s="213"/>
      <c r="M192" s="208"/>
      <c r="O192" s="329">
        <f t="shared" si="61"/>
        <v>1.944689623134545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'[28]Sch C'!D199</f>
        <v>388275</v>
      </c>
      <c r="D193" s="480">
        <f>'[28]Sch C'!F199</f>
        <v>0</v>
      </c>
      <c r="E193" s="480">
        <f>+'[28]Sch C'!H199</f>
        <v>0</v>
      </c>
      <c r="F193" s="166">
        <f t="shared" si="58"/>
        <v>388275</v>
      </c>
      <c r="G193" s="626">
        <v>-388275</v>
      </c>
      <c r="H193" s="62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'[28]Sch C'!D200</f>
        <v>0</v>
      </c>
      <c r="D194" s="480">
        <f>'[28]Sch C'!F200</f>
        <v>0</v>
      </c>
      <c r="E194" s="480">
        <f>+'[28]Sch C'!H200</f>
        <v>0</v>
      </c>
      <c r="F194" s="166">
        <f t="shared" si="58"/>
        <v>0</v>
      </c>
      <c r="G194" s="626"/>
      <c r="H194" s="62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'[28]Sch C'!D201</f>
        <v>0</v>
      </c>
      <c r="D195" s="480">
        <f>'[28]Sch C'!F201</f>
        <v>0</v>
      </c>
      <c r="E195" s="480">
        <f>+'[28]Sch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'[28]Sch C'!D202</f>
        <v>0</v>
      </c>
      <c r="D196" s="480">
        <f>'[28]Sch C'!F202</f>
        <v>0</v>
      </c>
      <c r="E196" s="480">
        <f>+'[28]Sch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'[28]Sch C'!D203</f>
        <v>0</v>
      </c>
      <c r="D197" s="480">
        <f>'[28]Sch C'!F203</f>
        <v>0</v>
      </c>
      <c r="E197" s="480">
        <f>+'[28]Sch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'[28]Sch C'!D204</f>
        <v>0</v>
      </c>
      <c r="D198" s="480">
        <f>'[28]Sch C'!F204</f>
        <v>0</v>
      </c>
      <c r="E198" s="480">
        <f>+'[28]Sch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'[28]Sch C'!D205</f>
        <v>287068</v>
      </c>
      <c r="D199" s="480">
        <f>'[28]Sch C'!F205</f>
        <v>0</v>
      </c>
      <c r="E199" s="480">
        <f>+'[28]Sch C'!H205</f>
        <v>0</v>
      </c>
      <c r="F199" s="166">
        <f t="shared" si="58"/>
        <v>287068</v>
      </c>
      <c r="G199" s="626"/>
      <c r="H199" s="626"/>
      <c r="I199" s="166">
        <f t="shared" si="59"/>
        <v>287068</v>
      </c>
      <c r="J199" s="167">
        <f t="shared" si="60"/>
        <v>2.9724049104922681E-2</v>
      </c>
      <c r="K199" s="458"/>
      <c r="L199" s="213"/>
      <c r="M199" s="208"/>
      <c r="O199" s="329">
        <f t="shared" si="61"/>
        <v>8.3348237616863123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'[28]Sch C'!D206</f>
        <v>20989</v>
      </c>
      <c r="D200" s="480">
        <f>'[28]Sch C'!F206</f>
        <v>0</v>
      </c>
      <c r="E200" s="480">
        <f>+'[28]Sch C'!H206</f>
        <v>0</v>
      </c>
      <c r="F200" s="166">
        <f t="shared" si="58"/>
        <v>20989</v>
      </c>
      <c r="G200" s="626"/>
      <c r="H200" s="626"/>
      <c r="I200" s="166">
        <f t="shared" si="59"/>
        <v>20989</v>
      </c>
      <c r="J200" s="167">
        <f t="shared" si="60"/>
        <v>2.1732762504466613E-3</v>
      </c>
      <c r="K200" s="458"/>
      <c r="L200" s="213"/>
      <c r="M200" s="208"/>
      <c r="O200" s="329">
        <f t="shared" si="61"/>
        <v>0.6094013123511991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'[28]Sch C'!D207</f>
        <v>27962</v>
      </c>
      <c r="D201" s="480">
        <f>'[28]Sch C'!F207</f>
        <v>-1644</v>
      </c>
      <c r="E201" s="480">
        <f>+'[28]Sch C'!H207</f>
        <v>0</v>
      </c>
      <c r="F201" s="166">
        <f t="shared" si="58"/>
        <v>26318</v>
      </c>
      <c r="G201" s="626"/>
      <c r="H201" s="626"/>
      <c r="I201" s="166">
        <f t="shared" si="59"/>
        <v>26318</v>
      </c>
      <c r="J201" s="167">
        <f t="shared" si="60"/>
        <v>2.725060000917396E-3</v>
      </c>
      <c r="K201" s="458"/>
      <c r="L201" s="213"/>
      <c r="M201" s="208"/>
      <c r="O201" s="329">
        <f t="shared" si="61"/>
        <v>0.7641251959816503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1351080</v>
      </c>
      <c r="D202" s="480">
        <f t="shared" si="62"/>
        <v>31150</v>
      </c>
      <c r="E202" s="480">
        <f t="shared" si="62"/>
        <v>-1967</v>
      </c>
      <c r="F202" s="166">
        <f t="shared" ref="F202:I202" si="63">SUM(F169:F201)</f>
        <v>1380263</v>
      </c>
      <c r="G202" s="166">
        <f t="shared" si="63"/>
        <v>-388275</v>
      </c>
      <c r="H202" s="166">
        <f t="shared" si="63"/>
        <v>0</v>
      </c>
      <c r="I202" s="166">
        <f t="shared" si="63"/>
        <v>991988</v>
      </c>
      <c r="J202" s="167">
        <f>IF($I$213=0,0,I202/$I$213)</f>
        <v>0.10271399119196162</v>
      </c>
      <c r="K202" s="458"/>
      <c r="L202" s="163"/>
      <c r="M202" s="163"/>
      <c r="O202" s="329">
        <f>I202/I$233</f>
        <v>28.80169560420417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'[28]Sch C'!D211</f>
        <v>267010</v>
      </c>
      <c r="D205" s="480">
        <f>'[28]Sch C'!F211</f>
        <v>0</v>
      </c>
      <c r="E205" s="480">
        <f>+'[28]Sch C'!H211</f>
        <v>0</v>
      </c>
      <c r="F205" s="166">
        <f t="shared" ref="F205:F210" si="64">C205+D205+E205</f>
        <v>267010</v>
      </c>
      <c r="G205" s="626">
        <v>-43518</v>
      </c>
      <c r="H205" s="626"/>
      <c r="I205" s="166">
        <f t="shared" ref="I205:I210" si="65">F205+G205+H205</f>
        <v>223492</v>
      </c>
      <c r="J205" s="167">
        <f t="shared" ref="J205:J211" si="66">IF($I$213=0,0,I205/$I$213)</f>
        <v>2.3141162311916964E-2</v>
      </c>
      <c r="K205" s="458"/>
      <c r="L205" s="176">
        <v>15172</v>
      </c>
      <c r="M205" s="176">
        <v>15899</v>
      </c>
      <c r="O205" s="329">
        <f t="shared" ref="O205:O210" si="67">I205/I$233</f>
        <v>6.4889379246269092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'[28]Sch C'!D212</f>
        <v>36826</v>
      </c>
      <c r="D206" s="480">
        <f>'[28]Sch C'!F212</f>
        <v>18207</v>
      </c>
      <c r="E206" s="480">
        <f>+'[28]Sch C'!H212</f>
        <v>0</v>
      </c>
      <c r="F206" s="166">
        <f t="shared" si="64"/>
        <v>55033</v>
      </c>
      <c r="G206" s="626"/>
      <c r="H206" s="626"/>
      <c r="I206" s="166">
        <f t="shared" si="65"/>
        <v>55033</v>
      </c>
      <c r="J206" s="167">
        <f t="shared" si="66"/>
        <v>5.6983139687851302E-3</v>
      </c>
      <c r="K206" s="458"/>
      <c r="L206" s="163"/>
      <c r="M206" s="163"/>
      <c r="O206" s="329">
        <f t="shared" si="67"/>
        <v>1.597845653562511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'[28]Sch C'!D213</f>
        <v>8726</v>
      </c>
      <c r="D207" s="480">
        <f>'[28]Sch C'!F213</f>
        <v>0</v>
      </c>
      <c r="E207" s="480">
        <f>+'[28]Sch C'!H213</f>
        <v>0</v>
      </c>
      <c r="F207" s="166">
        <f t="shared" si="64"/>
        <v>8726</v>
      </c>
      <c r="G207" s="626"/>
      <c r="H207" s="626"/>
      <c r="I207" s="166">
        <f t="shared" si="65"/>
        <v>8726</v>
      </c>
      <c r="J207" s="167">
        <f t="shared" si="66"/>
        <v>9.0352129979501478E-4</v>
      </c>
      <c r="K207" s="458"/>
      <c r="L207" s="163"/>
      <c r="M207" s="163"/>
      <c r="O207" s="329">
        <f t="shared" si="67"/>
        <v>0.25335346379420476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'[28]Sch C'!D214</f>
        <v>0</v>
      </c>
      <c r="D208" s="480">
        <f>'[28]Sch C'!F214</f>
        <v>0</v>
      </c>
      <c r="E208" s="480">
        <f>+'[28]Sch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'[28]Sch C'!D215</f>
        <v>0</v>
      </c>
      <c r="D209" s="480">
        <f>'[28]Sch C'!F215</f>
        <v>0</v>
      </c>
      <c r="E209" s="480">
        <f>+'[28]Sch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'[28]Sch C'!D216</f>
        <v>28831</v>
      </c>
      <c r="D210" s="480">
        <f>'[28]Sch C'!F216</f>
        <v>0</v>
      </c>
      <c r="E210" s="480">
        <f>+'[28]Sch C'!H216</f>
        <v>-566</v>
      </c>
      <c r="F210" s="166">
        <f t="shared" si="64"/>
        <v>28265</v>
      </c>
      <c r="G210" s="626">
        <v>-20396</v>
      </c>
      <c r="H210" s="626"/>
      <c r="I210" s="166">
        <f t="shared" si="65"/>
        <v>7869</v>
      </c>
      <c r="J210" s="167">
        <f t="shared" si="66"/>
        <v>8.147844497005468E-4</v>
      </c>
      <c r="K210" s="458"/>
      <c r="L210" s="163"/>
      <c r="M210" s="163"/>
      <c r="O210" s="329">
        <f t="shared" si="67"/>
        <v>0.22847105278439114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341393</v>
      </c>
      <c r="D211" s="480">
        <f t="shared" si="68"/>
        <v>18207</v>
      </c>
      <c r="E211" s="480">
        <f t="shared" si="68"/>
        <v>-566</v>
      </c>
      <c r="F211" s="166">
        <f t="shared" ref="F211:I211" si="69">SUM(F205:F210)</f>
        <v>359034</v>
      </c>
      <c r="G211" s="166">
        <f t="shared" si="69"/>
        <v>-63914</v>
      </c>
      <c r="H211" s="166">
        <f t="shared" si="69"/>
        <v>0</v>
      </c>
      <c r="I211" s="166">
        <f t="shared" si="69"/>
        <v>295120</v>
      </c>
      <c r="J211" s="167">
        <f t="shared" si="66"/>
        <v>3.0557782030197659E-2</v>
      </c>
      <c r="K211" s="458"/>
      <c r="L211" s="163"/>
      <c r="M211" s="163"/>
      <c r="O211" s="329">
        <f>I211/I$233</f>
        <v>8.568608094768015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9932886</v>
      </c>
      <c r="D213" s="480">
        <f t="shared" si="70"/>
        <v>-180069</v>
      </c>
      <c r="E213" s="480">
        <f t="shared" si="70"/>
        <v>-141042</v>
      </c>
      <c r="F213" s="166">
        <f t="shared" ref="F213:I213" si="71">SUM(F30:F211)/2</f>
        <v>9611775</v>
      </c>
      <c r="G213" s="166">
        <f t="shared" si="71"/>
        <v>35170</v>
      </c>
      <c r="H213" s="166">
        <f t="shared" si="71"/>
        <v>10824</v>
      </c>
      <c r="I213" s="166">
        <f t="shared" si="71"/>
        <v>9657769</v>
      </c>
      <c r="J213" s="167">
        <f>IF($I$213=0,0,I213/$I$213)</f>
        <v>1</v>
      </c>
      <c r="K213" s="458"/>
      <c r="L213" s="176">
        <f>SUM(L30:L205)</f>
        <v>219752</v>
      </c>
      <c r="M213" s="176">
        <f>SUM(M30:M205)</f>
        <v>232442</v>
      </c>
      <c r="O213" s="329">
        <f>I213/I$233</f>
        <v>280.4067417687707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'[28]Sch C'!D221</f>
        <v>9932886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130100.99999999814</v>
      </c>
      <c r="D220" s="480">
        <f t="shared" si="72"/>
        <v>180069</v>
      </c>
      <c r="E220" s="480">
        <f t="shared" si="72"/>
        <v>141042</v>
      </c>
      <c r="F220" s="166">
        <f t="shared" ref="F220:I220" si="73">F26-F213</f>
        <v>451211.99999999814</v>
      </c>
      <c r="G220" s="166">
        <f t="shared" si="73"/>
        <v>-831421</v>
      </c>
      <c r="H220" s="166">
        <f t="shared" si="73"/>
        <v>-10824</v>
      </c>
      <c r="I220" s="166">
        <f t="shared" si="73"/>
        <v>-391033.00000000186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'[28]Sch D'!C9</f>
        <v>22632</v>
      </c>
      <c r="D224" s="480"/>
      <c r="E224" s="480"/>
      <c r="F224" s="224">
        <f>C224+D224+E224</f>
        <v>22632</v>
      </c>
      <c r="G224" s="627"/>
      <c r="H224" s="223"/>
      <c r="I224" s="224">
        <f>F224+G224+H224</f>
        <v>22632</v>
      </c>
      <c r="J224" s="167">
        <f t="shared" ref="J224:J233" si="74">IF($I$233=0,0,I224/$I$233)</f>
        <v>0.65710469775274372</v>
      </c>
      <c r="K224" s="458"/>
      <c r="L224" s="163"/>
      <c r="M224" s="163"/>
    </row>
    <row r="225" spans="1:13">
      <c r="A225" s="158"/>
      <c r="B225" s="165" t="s">
        <v>201</v>
      </c>
      <c r="C225" s="504">
        <f>'[28]Sch D'!D9</f>
        <v>1326</v>
      </c>
      <c r="D225" s="480"/>
      <c r="E225" s="480"/>
      <c r="F225" s="224">
        <f t="shared" ref="F225:F232" si="75">C225+D225+E225</f>
        <v>1326</v>
      </c>
      <c r="G225" s="627"/>
      <c r="H225" s="223"/>
      <c r="I225" s="224">
        <f t="shared" ref="I225:I232" si="76">F225+G225+H225</f>
        <v>1326</v>
      </c>
      <c r="J225" s="167">
        <f t="shared" si="74"/>
        <v>3.8499506416584402E-2</v>
      </c>
      <c r="K225" s="458"/>
      <c r="L225" s="163"/>
      <c r="M225" s="163"/>
    </row>
    <row r="226" spans="1:13">
      <c r="A226" s="158"/>
      <c r="B226" s="165" t="s">
        <v>64</v>
      </c>
      <c r="C226" s="504">
        <f>'[28]Sch D'!E9</f>
        <v>2674</v>
      </c>
      <c r="D226" s="480"/>
      <c r="E226" s="480"/>
      <c r="F226" s="224">
        <f t="shared" si="75"/>
        <v>2674</v>
      </c>
      <c r="G226" s="627"/>
      <c r="H226" s="223"/>
      <c r="I226" s="224">
        <f t="shared" si="76"/>
        <v>2674</v>
      </c>
      <c r="J226" s="167">
        <f t="shared" si="74"/>
        <v>7.7637767841588753E-2</v>
      </c>
      <c r="K226" s="458"/>
      <c r="L226" s="163"/>
      <c r="M226" s="163"/>
    </row>
    <row r="227" spans="1:13">
      <c r="A227" s="158"/>
      <c r="B227" s="194" t="s">
        <v>315</v>
      </c>
      <c r="C227" s="504">
        <f>'[28]Sch D'!F9</f>
        <v>644</v>
      </c>
      <c r="D227" s="480"/>
      <c r="E227" s="480"/>
      <c r="F227" s="224">
        <f t="shared" si="75"/>
        <v>644</v>
      </c>
      <c r="G227" s="627"/>
      <c r="H227" s="223"/>
      <c r="I227" s="224">
        <f t="shared" si="76"/>
        <v>644</v>
      </c>
      <c r="J227" s="167">
        <f t="shared" si="74"/>
        <v>1.8698101155565878E-2</v>
      </c>
      <c r="K227" s="458"/>
      <c r="L227" s="163"/>
      <c r="M227" s="163"/>
    </row>
    <row r="228" spans="1:13">
      <c r="A228" s="158"/>
      <c r="B228" s="165" t="s">
        <v>65</v>
      </c>
      <c r="C228" s="504">
        <f>'[28]Sch D'!G9</f>
        <v>3482</v>
      </c>
      <c r="D228" s="480"/>
      <c r="E228" s="480"/>
      <c r="F228" s="224">
        <f t="shared" si="75"/>
        <v>3482</v>
      </c>
      <c r="G228" s="627"/>
      <c r="H228" s="223"/>
      <c r="I228" s="224">
        <f t="shared" si="76"/>
        <v>3482</v>
      </c>
      <c r="J228" s="167">
        <f t="shared" si="74"/>
        <v>0.10109749724173973</v>
      </c>
      <c r="K228" s="458"/>
      <c r="L228" s="163"/>
      <c r="M228" s="163"/>
    </row>
    <row r="229" spans="1:13">
      <c r="A229" s="158"/>
      <c r="B229" s="165" t="s">
        <v>66</v>
      </c>
      <c r="C229" s="504">
        <f>'[28]Sch D'!H9</f>
        <v>1795</v>
      </c>
      <c r="D229" s="480"/>
      <c r="E229" s="480"/>
      <c r="F229" s="224">
        <f t="shared" si="75"/>
        <v>1795</v>
      </c>
      <c r="G229" s="627"/>
      <c r="H229" s="223"/>
      <c r="I229" s="224">
        <f t="shared" si="76"/>
        <v>1795</v>
      </c>
      <c r="J229" s="167">
        <f t="shared" si="74"/>
        <v>5.2116601823355209E-2</v>
      </c>
      <c r="K229" s="458"/>
      <c r="L229" s="163"/>
      <c r="M229" s="163"/>
    </row>
    <row r="230" spans="1:13">
      <c r="A230" s="158"/>
      <c r="B230" s="165" t="s">
        <v>219</v>
      </c>
      <c r="C230" s="504">
        <f>'[28]Sch D'!I9</f>
        <v>1391</v>
      </c>
      <c r="D230" s="480"/>
      <c r="E230" s="480"/>
      <c r="F230" s="224">
        <f t="shared" si="75"/>
        <v>1391</v>
      </c>
      <c r="G230" s="627"/>
      <c r="H230" s="223"/>
      <c r="I230" s="224">
        <f t="shared" si="76"/>
        <v>1391</v>
      </c>
      <c r="J230" s="167">
        <f t="shared" si="74"/>
        <v>4.0386737123279719E-2</v>
      </c>
      <c r="K230" s="458"/>
      <c r="L230" s="163"/>
      <c r="M230" s="163"/>
    </row>
    <row r="231" spans="1:13">
      <c r="A231" s="158"/>
      <c r="B231" s="165" t="s">
        <v>218</v>
      </c>
      <c r="C231" s="504">
        <f>'[28]Sch D'!J9</f>
        <v>266</v>
      </c>
      <c r="D231" s="480"/>
      <c r="E231" s="480"/>
      <c r="F231" s="224">
        <f t="shared" si="75"/>
        <v>266</v>
      </c>
      <c r="G231" s="627"/>
      <c r="H231" s="223"/>
      <c r="I231" s="224">
        <f t="shared" si="76"/>
        <v>266</v>
      </c>
      <c r="J231" s="167">
        <f>IF($I$233=0,0,I231/$I$233)</f>
        <v>7.7231287381685151E-3</v>
      </c>
      <c r="K231" s="458"/>
      <c r="L231" s="163"/>
      <c r="M231" s="163"/>
    </row>
    <row r="232" spans="1:13">
      <c r="A232" s="158"/>
      <c r="B232" s="165" t="s">
        <v>170</v>
      </c>
      <c r="C232" s="504">
        <f>'[28]Sch D'!K9</f>
        <v>232</v>
      </c>
      <c r="D232" s="480"/>
      <c r="E232" s="480"/>
      <c r="F232" s="224">
        <f t="shared" si="75"/>
        <v>232</v>
      </c>
      <c r="G232" s="627"/>
      <c r="H232" s="223"/>
      <c r="I232" s="224">
        <f t="shared" si="76"/>
        <v>232</v>
      </c>
      <c r="J232" s="167">
        <f t="shared" si="74"/>
        <v>6.7359619069740431E-3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34442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34442</v>
      </c>
      <c r="G233" s="226">
        <f t="shared" si="78"/>
        <v>0</v>
      </c>
      <c r="H233" s="226">
        <f t="shared" si="78"/>
        <v>0</v>
      </c>
      <c r="I233" s="226">
        <f t="shared" si="78"/>
        <v>34442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 t="s">
        <v>548</v>
      </c>
      <c r="H235" s="221"/>
      <c r="I235" s="221"/>
      <c r="J235" s="162" t="s">
        <v>552</v>
      </c>
      <c r="K235" s="460"/>
      <c r="L235" s="163"/>
      <c r="M235" s="163"/>
    </row>
    <row r="236" spans="1:13">
      <c r="A236" s="158"/>
      <c r="B236" s="194" t="s">
        <v>203</v>
      </c>
      <c r="C236" s="504">
        <f>'[28]Sch D'!N22</f>
        <v>176</v>
      </c>
      <c r="D236" s="480"/>
      <c r="E236" s="480"/>
      <c r="F236" s="224">
        <f>C236+E236</f>
        <v>176</v>
      </c>
      <c r="G236" s="627">
        <v>16</v>
      </c>
      <c r="H236" s="224"/>
      <c r="I236" s="224">
        <f>F236+G236+H236</f>
        <v>192</v>
      </c>
      <c r="J236" s="442" t="s">
        <v>549</v>
      </c>
      <c r="K236" s="460"/>
      <c r="L236" s="163"/>
      <c r="M236" s="163"/>
    </row>
    <row r="237" spans="1:13">
      <c r="A237" s="158"/>
      <c r="B237" s="194" t="s">
        <v>271</v>
      </c>
      <c r="C237" s="504">
        <f>'[28]Sch D'!N24</f>
        <v>176</v>
      </c>
      <c r="D237" s="480"/>
      <c r="E237" s="480"/>
      <c r="F237" s="224">
        <f>C237+E237</f>
        <v>176</v>
      </c>
      <c r="G237" s="627">
        <v>16</v>
      </c>
      <c r="H237" s="224"/>
      <c r="I237" s="224">
        <f>F237+G237+H237</f>
        <v>192</v>
      </c>
      <c r="J237" s="442" t="s">
        <v>551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 t="s">
        <v>550</v>
      </c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'[28]Sch D'!N28</f>
        <v>64240</v>
      </c>
      <c r="D240" s="427"/>
      <c r="E240" s="427"/>
      <c r="F240" s="223">
        <f>F236*F238</f>
        <v>64240</v>
      </c>
      <c r="G240"/>
      <c r="H240" s="228"/>
      <c r="I240" s="223">
        <f>I236*I238</f>
        <v>70080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'[28]Sch D'!N30</f>
        <v>0.53614570361145708</v>
      </c>
      <c r="D241" s="228"/>
      <c r="E241" s="228"/>
      <c r="F241" s="232">
        <f>F233/F240</f>
        <v>0.53614570361145708</v>
      </c>
      <c r="G241"/>
      <c r="H241" s="233"/>
      <c r="I241" s="232">
        <f>I233/I240</f>
        <v>0.49146689497716894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'[28]Sch D'!N32</f>
        <v>0.37294520547945204</v>
      </c>
      <c r="D242" s="228"/>
      <c r="E242" s="228"/>
      <c r="F242" s="232">
        <f>(F224+F225)/F240</f>
        <v>0.37294520547945204</v>
      </c>
      <c r="G242"/>
      <c r="H242" s="233"/>
      <c r="I242" s="232">
        <f>(I224+I225)/I240</f>
        <v>0.34186643835616437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'[28]Sch D'!N34</f>
        <v>0.695604204169328</v>
      </c>
      <c r="D243" s="228"/>
      <c r="E243" s="228"/>
      <c r="F243" s="232">
        <f>(F242/F241)</f>
        <v>0.695604204169328</v>
      </c>
      <c r="G243"/>
      <c r="H243" s="233"/>
      <c r="I243" s="232">
        <f>(I242/I241)</f>
        <v>0.69560420416932811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'[28]Sch B'!C90</f>
        <v>251.84754521963825</v>
      </c>
      <c r="K246" s="460"/>
    </row>
    <row r="247" spans="1:13">
      <c r="H247" s="140" t="s">
        <v>322</v>
      </c>
      <c r="I247" s="480">
        <f>'[28]Sch B'!E90</f>
        <v>297.5936507936508</v>
      </c>
      <c r="K247" s="460"/>
    </row>
    <row r="248" spans="1:13">
      <c r="H248" s="140" t="s">
        <v>323</v>
      </c>
      <c r="I248" s="480">
        <f>'[28]Sch B'!G90</f>
        <v>175.05241935483872</v>
      </c>
      <c r="K248" s="460"/>
    </row>
    <row r="249" spans="1:13">
      <c r="H249" s="140" t="s">
        <v>324</v>
      </c>
      <c r="I249" s="480">
        <f>'[28]Sch B'!I90</f>
        <v>270.321608040201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" sqref="F1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  <cellWatches>
    <cellWatch r="I191"/>
  </cellWatch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E28CAB"/>
  </sheetPr>
  <dimension ref="A1:P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35.332031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 t="s">
        <v>631</v>
      </c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230</v>
      </c>
      <c r="D2" s="234"/>
      <c r="E2" s="234"/>
    </row>
    <row r="3" spans="1:16" ht="13.15" customHeight="1">
      <c r="A3" s="143"/>
      <c r="B3" s="138" t="s">
        <v>71</v>
      </c>
      <c r="C3" s="557">
        <f>'[29]Sch A Pg 1'!B39</f>
        <v>42917</v>
      </c>
      <c r="D3" s="620"/>
      <c r="E3" s="142"/>
      <c r="F3" s="371"/>
      <c r="G3" s="495"/>
      <c r="H3" s="371"/>
    </row>
    <row r="4" spans="1:16" ht="13.15" customHeight="1">
      <c r="A4" s="143"/>
      <c r="B4" s="145" t="s">
        <v>72</v>
      </c>
      <c r="C4" s="557">
        <f>'[29]Sch A Pg 1'!G39</f>
        <v>43281</v>
      </c>
      <c r="D4" s="620"/>
      <c r="E4" s="142"/>
      <c r="F4" s="371"/>
      <c r="G4" s="495"/>
      <c r="H4" s="371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'[29]Sch B'!E10</f>
        <v>1921550</v>
      </c>
      <c r="D12" s="480">
        <f>'[29]Sch B'!G10</f>
        <v>0</v>
      </c>
      <c r="E12" s="480"/>
      <c r="F12" s="166">
        <f t="shared" ref="F12:F25" si="0">C12+D12+E12</f>
        <v>1921550</v>
      </c>
      <c r="G12" s="626"/>
      <c r="H12" s="166"/>
      <c r="I12" s="166">
        <f t="shared" ref="I12:I25" si="1">F12+G12+H12</f>
        <v>1921550</v>
      </c>
      <c r="J12" s="167">
        <f>IF($I$26=0,0,I12/$I$26)</f>
        <v>0.1896687087642924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'[29]Sch B'!E12</f>
        <v>1156692</v>
      </c>
      <c r="D13" s="480">
        <f>'[29]Sch B'!G12</f>
        <v>0</v>
      </c>
      <c r="E13" s="480"/>
      <c r="F13" s="166">
        <f t="shared" si="0"/>
        <v>1156692</v>
      </c>
      <c r="G13" s="626">
        <v>-1156692</v>
      </c>
      <c r="H13" s="166"/>
      <c r="I13" s="166">
        <f t="shared" si="1"/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'[29]Sch B'!E13</f>
        <v>79787</v>
      </c>
      <c r="D14" s="480">
        <f>'[29]Sch B'!G13</f>
        <v>0</v>
      </c>
      <c r="E14" s="480"/>
      <c r="F14" s="166">
        <f t="shared" si="0"/>
        <v>79787</v>
      </c>
      <c r="G14" s="626"/>
      <c r="H14" s="166"/>
      <c r="I14" s="166">
        <f t="shared" si="1"/>
        <v>79787</v>
      </c>
      <c r="J14" s="167">
        <f>IF($I$26=0,0,I14/$I$26)</f>
        <v>7.875463696586921E-3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'[29]Sch B'!E14</f>
        <v>0</v>
      </c>
      <c r="D15" s="480">
        <f>'[29]Sch B'!G14</f>
        <v>52230</v>
      </c>
      <c r="E15" s="480"/>
      <c r="F15" s="166">
        <f t="shared" si="0"/>
        <v>52230</v>
      </c>
      <c r="G15" s="626"/>
      <c r="H15" s="166"/>
      <c r="I15" s="166">
        <f t="shared" si="1"/>
        <v>52230</v>
      </c>
      <c r="J15" s="167">
        <f>IF($I$26=0,0,I15/$I$26)</f>
        <v>5.155419665769297E-3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'[29]Sch B'!E15</f>
        <v>3158029</v>
      </c>
      <c r="D16" s="480">
        <f>'[29]Sch B'!G15</f>
        <v>52230</v>
      </c>
      <c r="E16" s="480"/>
      <c r="F16" s="166">
        <f t="shared" si="0"/>
        <v>3210259</v>
      </c>
      <c r="G16" s="626"/>
      <c r="H16" s="166"/>
      <c r="I16" s="166">
        <f>SUM(I12:I15)</f>
        <v>2053567</v>
      </c>
      <c r="J16" s="167">
        <f t="shared" ref="J16:J26" si="2">IF($I$26=0,0,I16/$I$26)</f>
        <v>0.20269959212664862</v>
      </c>
      <c r="K16" s="458"/>
      <c r="L16" s="333" t="s">
        <v>325</v>
      </c>
      <c r="M16" s="334">
        <f>I26</f>
        <v>10131086</v>
      </c>
      <c r="O16" s="324">
        <f>IFERROR(I16/I224,0)</f>
        <v>192.31756883311482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'[29]Sch B'!E20</f>
        <v>0</v>
      </c>
      <c r="D17" s="480">
        <f>'[29]Sch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9126456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'[29]Sch B'!E26</f>
        <v>5346424</v>
      </c>
      <c r="D18" s="480">
        <f>'[29]Sch B'!G26</f>
        <v>0</v>
      </c>
      <c r="E18" s="480"/>
      <c r="F18" s="166">
        <f t="shared" si="0"/>
        <v>5346424</v>
      </c>
      <c r="G18" s="626"/>
      <c r="H18" s="166"/>
      <c r="I18" s="166">
        <f t="shared" si="1"/>
        <v>5346424</v>
      </c>
      <c r="J18" s="167">
        <f t="shared" si="2"/>
        <v>0.52772466841165888</v>
      </c>
      <c r="K18" s="458"/>
      <c r="L18" s="335" t="s">
        <v>327</v>
      </c>
      <c r="M18" s="336">
        <f>I233</f>
        <v>27207</v>
      </c>
      <c r="O18" s="324">
        <f t="shared" si="3"/>
        <v>610.81046498343426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'[29]Sch B'!E32</f>
        <v>1139720</v>
      </c>
      <c r="D19" s="480">
        <f>'[29]Sch B'!G32</f>
        <v>0</v>
      </c>
      <c r="E19" s="480"/>
      <c r="F19" s="166">
        <f t="shared" si="0"/>
        <v>1139720</v>
      </c>
      <c r="G19" s="626"/>
      <c r="H19" s="166"/>
      <c r="I19" s="166">
        <f t="shared" si="1"/>
        <v>1139720</v>
      </c>
      <c r="J19" s="170">
        <f t="shared" si="2"/>
        <v>0.11249731766169985</v>
      </c>
      <c r="K19" s="464"/>
      <c r="L19" s="335" t="s">
        <v>328</v>
      </c>
      <c r="M19" s="336">
        <f>I236</f>
        <v>103</v>
      </c>
      <c r="O19" s="324">
        <f t="shared" si="3"/>
        <v>589.30713547052744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'[29]Sch B'!E37</f>
        <v>0</v>
      </c>
      <c r="D20" s="480">
        <f>'[29]Sch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37595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'[29]Sch B'!E42</f>
        <v>1347842</v>
      </c>
      <c r="D21" s="480">
        <f>'[29]Sch B'!G42</f>
        <v>0</v>
      </c>
      <c r="E21" s="480"/>
      <c r="F21" s="166">
        <f t="shared" si="0"/>
        <v>1347842</v>
      </c>
      <c r="G21" s="626"/>
      <c r="H21" s="166"/>
      <c r="I21" s="166">
        <f t="shared" si="1"/>
        <v>1347842</v>
      </c>
      <c r="J21" s="167">
        <f t="shared" si="2"/>
        <v>0.13304022885601799</v>
      </c>
      <c r="K21" s="458"/>
      <c r="L21" s="337"/>
      <c r="M21" s="336"/>
      <c r="O21" s="324">
        <f t="shared" si="3"/>
        <v>291.86704200952795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'[29]Sch B'!E47</f>
        <v>0</v>
      </c>
      <c r="D22" s="480">
        <f>'[29]Sch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203651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'[29]Sch B'!E52</f>
        <v>239442</v>
      </c>
      <c r="D23" s="480">
        <f>'[29]Sch B'!G52</f>
        <v>0</v>
      </c>
      <c r="E23" s="480"/>
      <c r="F23" s="166">
        <f t="shared" si="0"/>
        <v>239442</v>
      </c>
      <c r="G23" s="626"/>
      <c r="H23" s="166"/>
      <c r="I23" s="166">
        <f t="shared" si="1"/>
        <v>239442</v>
      </c>
      <c r="J23" s="167">
        <f t="shared" si="2"/>
        <v>2.3634386283958107E-2</v>
      </c>
      <c r="K23" s="458"/>
      <c r="L23" s="338" t="s">
        <v>233</v>
      </c>
      <c r="M23" s="339">
        <f>M213</f>
        <v>212879</v>
      </c>
      <c r="O23" s="324">
        <f t="shared" si="3"/>
        <v>195.62254901960785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'[29]Sch B'!E57</f>
        <v>0</v>
      </c>
      <c r="D24" s="480">
        <f>'[29]Sch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'[29]Sch B'!E72</f>
        <v>56321</v>
      </c>
      <c r="D25" s="480">
        <f>'[29]Sch B'!G72</f>
        <v>-52230</v>
      </c>
      <c r="E25" s="480"/>
      <c r="F25" s="166">
        <f t="shared" si="0"/>
        <v>4091</v>
      </c>
      <c r="G25" s="626"/>
      <c r="H25" s="166"/>
      <c r="I25" s="166">
        <f t="shared" si="1"/>
        <v>4091</v>
      </c>
      <c r="J25" s="167">
        <f t="shared" si="2"/>
        <v>4.0380666001650758E-4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11287778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11287778</v>
      </c>
      <c r="G26" s="166">
        <f>SUM(G12:G25)</f>
        <v>-1156692</v>
      </c>
      <c r="H26" s="166">
        <f>SUM(H12:H25)</f>
        <v>0</v>
      </c>
      <c r="I26" s="166">
        <f>SUM(I16:I25)</f>
        <v>10131086</v>
      </c>
      <c r="J26" s="167">
        <f t="shared" si="2"/>
        <v>1</v>
      </c>
      <c r="K26" s="458"/>
      <c r="L26" s="163"/>
      <c r="M26" s="163"/>
      <c r="O26" s="324">
        <f>IFERROR(I26/I233,0)</f>
        <v>372.37056639835339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'[29]Sch C'!D10</f>
        <v>136805</v>
      </c>
      <c r="D30" s="480">
        <f>'[29]Sch C'!F10</f>
        <v>4323</v>
      </c>
      <c r="E30" s="480">
        <f>+'[29]Sch C'!H10</f>
        <v>0</v>
      </c>
      <c r="F30" s="166">
        <f t="shared" ref="F30:F65" si="5">C30+D30+E30</f>
        <v>141128</v>
      </c>
      <c r="G30" s="626"/>
      <c r="H30" s="166"/>
      <c r="I30" s="166">
        <f t="shared" ref="I30:I65" si="6">F30+G30+H30</f>
        <v>141128</v>
      </c>
      <c r="J30" s="167">
        <f>IF($I$213=0,0,I30/$I$213)</f>
        <v>1.5463614791984971E-2</v>
      </c>
      <c r="K30" s="458"/>
      <c r="L30" s="176">
        <v>2080</v>
      </c>
      <c r="M30" s="176">
        <v>2080</v>
      </c>
      <c r="O30" s="324">
        <f>I30/I$233</f>
        <v>5.1871944720108791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'[29]Sch C'!D11</f>
        <v>0</v>
      </c>
      <c r="D31" s="480">
        <f>'[29]Sch C'!F11</f>
        <v>0</v>
      </c>
      <c r="E31" s="480">
        <f>+'[29]Sch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'[29]Sch C'!D12</f>
        <v>358227</v>
      </c>
      <c r="D32" s="480">
        <f>'[29]Sch C'!F12</f>
        <v>11319</v>
      </c>
      <c r="E32" s="480">
        <f>+'[29]Sch C'!H12</f>
        <v>0</v>
      </c>
      <c r="F32" s="166">
        <f t="shared" si="5"/>
        <v>369546</v>
      </c>
      <c r="G32" s="626"/>
      <c r="H32" s="166"/>
      <c r="I32" s="166">
        <f t="shared" si="6"/>
        <v>369546</v>
      </c>
      <c r="J32" s="167">
        <f t="shared" si="7"/>
        <v>4.0491730853685154E-2</v>
      </c>
      <c r="K32" s="458"/>
      <c r="L32" s="176">
        <v>16744</v>
      </c>
      <c r="M32" s="176">
        <v>17477</v>
      </c>
      <c r="O32" s="324">
        <f t="shared" si="8"/>
        <v>13.582754438196053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'[29]Sch C'!D13</f>
        <v>764681</v>
      </c>
      <c r="D33" s="480">
        <f>'[29]Sch C'!F13</f>
        <v>-700362</v>
      </c>
      <c r="E33" s="480">
        <f>+'[29]Sch C'!H13</f>
        <v>0</v>
      </c>
      <c r="F33" s="166">
        <f t="shared" si="5"/>
        <v>64319</v>
      </c>
      <c r="G33" s="626"/>
      <c r="H33" s="166"/>
      <c r="I33" s="166">
        <f t="shared" si="6"/>
        <v>64319</v>
      </c>
      <c r="J33" s="167">
        <f t="shared" si="7"/>
        <v>7.0475330182931907E-3</v>
      </c>
      <c r="K33" s="458"/>
      <c r="L33" s="163"/>
      <c r="M33" s="163"/>
      <c r="O33" s="324">
        <f t="shared" si="8"/>
        <v>2.3640607196677328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'[29]Sch C'!D14</f>
        <v>0</v>
      </c>
      <c r="D34" s="480">
        <f>'[29]Sch C'!F14</f>
        <v>0</v>
      </c>
      <c r="E34" s="480">
        <f>+'[29]Sch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'[29]Sch C'!D15</f>
        <v>3147630</v>
      </c>
      <c r="D35" s="480">
        <f>'[29]Sch C'!F15+3147630</f>
        <v>0</v>
      </c>
      <c r="E35" s="480">
        <f>+'[29]Sch C'!H15</f>
        <v>0</v>
      </c>
      <c r="F35" s="166">
        <f t="shared" si="5"/>
        <v>3147630</v>
      </c>
      <c r="G35" s="626"/>
      <c r="H35" s="480">
        <v>-3147630</v>
      </c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'[29]Sch C'!D16</f>
        <v>0</v>
      </c>
      <c r="D36" s="480">
        <f>'[29]Sch C'!F16-292891</f>
        <v>0</v>
      </c>
      <c r="E36" s="480">
        <f>+'[29]Sch C'!H16</f>
        <v>0</v>
      </c>
      <c r="F36" s="166">
        <f t="shared" si="5"/>
        <v>0</v>
      </c>
      <c r="G36" s="626"/>
      <c r="H36" s="480">
        <v>292891</v>
      </c>
      <c r="I36" s="166">
        <f t="shared" si="6"/>
        <v>292891</v>
      </c>
      <c r="J36" s="167">
        <f t="shared" si="7"/>
        <v>3.2092523099875793E-2</v>
      </c>
      <c r="K36" s="458"/>
      <c r="L36" s="163"/>
      <c r="M36" s="163"/>
      <c r="O36" s="324">
        <f t="shared" si="8"/>
        <v>10.765280993861873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'[29]Sch C'!D17</f>
        <v>14912</v>
      </c>
      <c r="D37" s="480">
        <f>'[29]Sch C'!F17</f>
        <v>-14912</v>
      </c>
      <c r="E37" s="480">
        <f>+'[29]Sch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'[29]Sch C'!D18</f>
        <v>19057</v>
      </c>
      <c r="D38" s="480">
        <f>'[29]Sch C'!F18</f>
        <v>0</v>
      </c>
      <c r="E38" s="480">
        <f>+'[29]Sch C'!H18</f>
        <v>0</v>
      </c>
      <c r="F38" s="166">
        <f t="shared" si="5"/>
        <v>19057</v>
      </c>
      <c r="G38" s="626"/>
      <c r="H38" s="166"/>
      <c r="I38" s="166">
        <f t="shared" si="6"/>
        <v>19057</v>
      </c>
      <c r="J38" s="167">
        <f t="shared" si="7"/>
        <v>2.0881051746702117E-3</v>
      </c>
      <c r="K38" s="458"/>
      <c r="L38" s="163"/>
      <c r="M38" s="163"/>
      <c r="O38" s="324">
        <f t="shared" si="8"/>
        <v>0.70044473848641897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'[29]Sch C'!D19</f>
        <v>28824</v>
      </c>
      <c r="D39" s="480">
        <f>'[29]Sch C'!F19</f>
        <v>0</v>
      </c>
      <c r="E39" s="480">
        <f>+'[29]Sch C'!H19</f>
        <v>0</v>
      </c>
      <c r="F39" s="166">
        <f t="shared" si="5"/>
        <v>28824</v>
      </c>
      <c r="G39" s="626"/>
      <c r="H39" s="166"/>
      <c r="I39" s="166">
        <f t="shared" si="6"/>
        <v>28824</v>
      </c>
      <c r="J39" s="167">
        <f t="shared" si="7"/>
        <v>3.1582905785115275E-3</v>
      </c>
      <c r="K39" s="458"/>
      <c r="L39" s="163"/>
      <c r="M39" s="163"/>
      <c r="O39" s="324">
        <f t="shared" si="8"/>
        <v>1.059433234094167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'[29]Sch C'!D20</f>
        <v>42730</v>
      </c>
      <c r="D40" s="480">
        <f>'[29]Sch C'!F20</f>
        <v>0</v>
      </c>
      <c r="E40" s="480">
        <f>+'[29]Sch C'!H20</f>
        <v>0</v>
      </c>
      <c r="F40" s="166">
        <f t="shared" si="5"/>
        <v>42730</v>
      </c>
      <c r="G40" s="626"/>
      <c r="H40" s="166"/>
      <c r="I40" s="166">
        <f t="shared" si="6"/>
        <v>42730</v>
      </c>
      <c r="J40" s="167">
        <f t="shared" si="7"/>
        <v>4.6819926595822077E-3</v>
      </c>
      <c r="K40" s="458"/>
      <c r="L40" s="163"/>
      <c r="M40" s="163"/>
      <c r="O40" s="324">
        <f t="shared" si="8"/>
        <v>1.5705516962546404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'[29]Sch C'!D21</f>
        <v>55656</v>
      </c>
      <c r="D41" s="480">
        <f>'[29]Sch C'!F21-3750</f>
        <v>0</v>
      </c>
      <c r="E41" s="480">
        <f>+'[29]Sch C'!H21</f>
        <v>0</v>
      </c>
      <c r="F41" s="166">
        <f t="shared" si="5"/>
        <v>55656</v>
      </c>
      <c r="G41" s="626"/>
      <c r="H41" s="480">
        <v>3750</v>
      </c>
      <c r="I41" s="166">
        <f t="shared" si="6"/>
        <v>59406</v>
      </c>
      <c r="J41" s="167">
        <f t="shared" si="7"/>
        <v>6.5092079554210308E-3</v>
      </c>
      <c r="K41" s="458"/>
      <c r="L41" s="163"/>
      <c r="M41" s="163"/>
      <c r="O41" s="324">
        <f t="shared" si="8"/>
        <v>2.1834821920829199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'[29]Sch C'!D22</f>
        <v>0</v>
      </c>
      <c r="D42" s="480">
        <f>'[29]Sch C'!F22</f>
        <v>0</v>
      </c>
      <c r="E42" s="480">
        <f>+'[29]Sch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'[29]Sch C'!D23</f>
        <v>26311</v>
      </c>
      <c r="D43" s="480">
        <f>'[29]Sch C'!F23</f>
        <v>0</v>
      </c>
      <c r="E43" s="480">
        <f>+'[29]Sch C'!H23</f>
        <v>0</v>
      </c>
      <c r="F43" s="166">
        <f t="shared" si="5"/>
        <v>26311</v>
      </c>
      <c r="G43" s="626"/>
      <c r="H43" s="166"/>
      <c r="I43" s="166">
        <f t="shared" si="6"/>
        <v>26311</v>
      </c>
      <c r="J43" s="167">
        <f t="shared" si="7"/>
        <v>2.8829372540666387E-3</v>
      </c>
      <c r="K43" s="458"/>
      <c r="L43" s="163"/>
      <c r="M43" s="163"/>
      <c r="O43" s="324">
        <f t="shared" si="8"/>
        <v>0.96706729885691178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'[29]Sch C'!D24</f>
        <v>0</v>
      </c>
      <c r="D44" s="480">
        <f>'[29]Sch C'!F24</f>
        <v>0</v>
      </c>
      <c r="E44" s="480">
        <f>+'[29]Sch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'[29]Sch C'!D25</f>
        <v>0</v>
      </c>
      <c r="D45" s="480">
        <f>'[29]Sch C'!F25</f>
        <v>0</v>
      </c>
      <c r="E45" s="480">
        <f>+'[29]Sch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'[29]Sch C'!D26</f>
        <v>341072</v>
      </c>
      <c r="D46" s="480">
        <f>'[29]Sch C'!F26</f>
        <v>0</v>
      </c>
      <c r="E46" s="480">
        <f>+'[29]Sch C'!H26</f>
        <v>0</v>
      </c>
      <c r="F46" s="166">
        <f t="shared" si="5"/>
        <v>341072</v>
      </c>
      <c r="G46" s="626"/>
      <c r="H46" s="166"/>
      <c r="I46" s="166">
        <f t="shared" si="6"/>
        <v>341072</v>
      </c>
      <c r="J46" s="167">
        <f t="shared" si="7"/>
        <v>3.7371790320360934E-2</v>
      </c>
      <c r="K46" s="458"/>
      <c r="L46" s="163"/>
      <c r="M46" s="163"/>
      <c r="O46" s="324">
        <f t="shared" si="8"/>
        <v>12.536185540485905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'[29]Sch C'!D27</f>
        <v>36130</v>
      </c>
      <c r="D47" s="480">
        <f>'[29]Sch C'!F27</f>
        <v>-121</v>
      </c>
      <c r="E47" s="480">
        <f>+'[29]Sch C'!H27</f>
        <v>0</v>
      </c>
      <c r="F47" s="166">
        <f t="shared" si="5"/>
        <v>36009</v>
      </c>
      <c r="G47" s="626"/>
      <c r="H47" s="166"/>
      <c r="I47" s="166">
        <f t="shared" si="6"/>
        <v>36009</v>
      </c>
      <c r="J47" s="167">
        <f t="shared" si="7"/>
        <v>3.9455622204281702E-3</v>
      </c>
      <c r="K47" s="458"/>
      <c r="L47" s="163"/>
      <c r="M47" s="163"/>
      <c r="O47" s="324">
        <f t="shared" si="8"/>
        <v>1.3235196824346676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'[29]Sch C'!D28</f>
        <v>0</v>
      </c>
      <c r="D48" s="480">
        <f>'[29]Sch C'!F28</f>
        <v>0</v>
      </c>
      <c r="E48" s="480">
        <f>+'[29]Sch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'[29]Sch C'!D29</f>
        <v>122395</v>
      </c>
      <c r="D49" s="480">
        <f>'[29]Sch C'!F29</f>
        <v>-122395</v>
      </c>
      <c r="E49" s="480">
        <f>+'[29]Sch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'[29]Sch C'!D30</f>
        <v>0</v>
      </c>
      <c r="D50" s="480">
        <f>'[29]Sch C'!F30</f>
        <v>0</v>
      </c>
      <c r="E50" s="480">
        <f>+'[29]Sch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'[29]Sch C'!D31</f>
        <v>82129</v>
      </c>
      <c r="D51" s="480">
        <f>'[29]Sch C'!F31</f>
        <v>0</v>
      </c>
      <c r="E51" s="480">
        <f>+'[29]Sch C'!H31</f>
        <v>0</v>
      </c>
      <c r="F51" s="166">
        <f t="shared" si="5"/>
        <v>82129</v>
      </c>
      <c r="G51" s="626"/>
      <c r="H51" s="166"/>
      <c r="I51" s="166">
        <f t="shared" si="6"/>
        <v>82129</v>
      </c>
      <c r="J51" s="167">
        <f t="shared" si="7"/>
        <v>8.9990024605388994E-3</v>
      </c>
      <c r="K51" s="458"/>
      <c r="L51" s="163"/>
      <c r="M51" s="163"/>
      <c r="O51" s="324">
        <f t="shared" si="8"/>
        <v>3.018671665380233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'[29]Sch C'!D32</f>
        <v>54508</v>
      </c>
      <c r="D52" s="480">
        <f>'[29]Sch C'!F32</f>
        <v>0</v>
      </c>
      <c r="E52" s="480">
        <f>+'[29]Sch C'!H32</f>
        <v>0</v>
      </c>
      <c r="F52" s="166">
        <f t="shared" si="5"/>
        <v>54508</v>
      </c>
      <c r="G52" s="626"/>
      <c r="H52" s="166"/>
      <c r="I52" s="166">
        <f t="shared" si="6"/>
        <v>54508</v>
      </c>
      <c r="J52" s="167">
        <f t="shared" si="7"/>
        <v>5.9725264659140414E-3</v>
      </c>
      <c r="K52" s="458"/>
      <c r="L52" s="163"/>
      <c r="M52" s="163"/>
      <c r="O52" s="324">
        <f t="shared" si="8"/>
        <v>2.0034549932002794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'[29]Sch C'!D33</f>
        <v>0</v>
      </c>
      <c r="D53" s="480">
        <f>'[29]Sch C'!F33</f>
        <v>0</v>
      </c>
      <c r="E53" s="480">
        <f>+'[29]Sch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'[29]Sch C'!D34</f>
        <v>0</v>
      </c>
      <c r="D54" s="480">
        <f>'[29]Sch C'!F34</f>
        <v>0</v>
      </c>
      <c r="E54" s="480">
        <f>+'[29]Sch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'[29]Sch C'!D35</f>
        <v>14876</v>
      </c>
      <c r="D55" s="480">
        <f>'[29]Sch C'!F35</f>
        <v>-14876</v>
      </c>
      <c r="E55" s="480">
        <f>+'[29]Sch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'[29]Sch C'!D36</f>
        <v>44779</v>
      </c>
      <c r="D56" s="480">
        <f>'[29]Sch C'!F36</f>
        <v>1415</v>
      </c>
      <c r="E56" s="480">
        <f>+'[29]Sch C'!H36</f>
        <v>0</v>
      </c>
      <c r="F56" s="166">
        <f t="shared" si="5"/>
        <v>46194</v>
      </c>
      <c r="G56" s="626"/>
      <c r="H56" s="166"/>
      <c r="I56" s="166">
        <f t="shared" si="6"/>
        <v>46194</v>
      </c>
      <c r="J56" s="167">
        <f t="shared" si="7"/>
        <v>5.0615485353789026E-3</v>
      </c>
      <c r="K56" s="458"/>
      <c r="L56" s="176">
        <v>2664</v>
      </c>
      <c r="M56" s="176">
        <v>2680</v>
      </c>
      <c r="O56" s="324">
        <f t="shared" si="8"/>
        <v>1.6978718712096152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'[29]Sch C'!D37</f>
        <v>0</v>
      </c>
      <c r="D57" s="480">
        <f>'[29]Sch C'!F37</f>
        <v>5818</v>
      </c>
      <c r="E57" s="480">
        <f>+'[29]Sch C'!H37</f>
        <v>0</v>
      </c>
      <c r="F57" s="166">
        <f t="shared" si="5"/>
        <v>5818</v>
      </c>
      <c r="G57" s="626"/>
      <c r="H57" s="166"/>
      <c r="I57" s="166">
        <f t="shared" si="6"/>
        <v>5818</v>
      </c>
      <c r="J57" s="167">
        <f t="shared" si="7"/>
        <v>6.3748732257077668E-4</v>
      </c>
      <c r="K57" s="458"/>
      <c r="L57" s="163"/>
      <c r="M57" s="163"/>
      <c r="O57" s="324">
        <f t="shared" si="8"/>
        <v>0.21384202594920426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'[29]Sch C'!D38</f>
        <v>0</v>
      </c>
      <c r="D58" s="480">
        <f>'[29]Sch C'!F38</f>
        <v>0</v>
      </c>
      <c r="E58" s="480">
        <f>+'[29]Sch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'[29]Sch C'!D39</f>
        <v>20590</v>
      </c>
      <c r="D59" s="480">
        <f>'[29]Sch C'!F39-2795</f>
        <v>0</v>
      </c>
      <c r="E59" s="480">
        <f>+'[29]Sch C'!H39</f>
        <v>0</v>
      </c>
      <c r="F59" s="166">
        <f t="shared" si="5"/>
        <v>20590</v>
      </c>
      <c r="G59" s="626"/>
      <c r="H59" s="480">
        <v>2795</v>
      </c>
      <c r="I59" s="166">
        <f t="shared" si="6"/>
        <v>23385</v>
      </c>
      <c r="J59" s="167">
        <f t="shared" si="7"/>
        <v>2.5623308763007241E-3</v>
      </c>
      <c r="K59" s="458"/>
      <c r="L59" s="163"/>
      <c r="M59" s="163"/>
      <c r="O59" s="324">
        <f t="shared" si="8"/>
        <v>0.85952144668651453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'[29]Sch C'!D40</f>
        <v>0</v>
      </c>
      <c r="D60" s="480">
        <f>'[29]Sch C'!F40</f>
        <v>0</v>
      </c>
      <c r="E60" s="480">
        <f>+'[29]Sch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'[29]Sch C'!D41</f>
        <v>109295</v>
      </c>
      <c r="D61" s="480">
        <f>'[29]Sch C'!F41</f>
        <v>0</v>
      </c>
      <c r="E61" s="480">
        <f>+'[29]Sch C'!H41</f>
        <v>0</v>
      </c>
      <c r="F61" s="166">
        <f t="shared" si="5"/>
        <v>109295</v>
      </c>
      <c r="G61" s="626"/>
      <c r="H61" s="166"/>
      <c r="I61" s="166">
        <f t="shared" si="6"/>
        <v>109295</v>
      </c>
      <c r="J61" s="167">
        <f t="shared" si="7"/>
        <v>1.1975623396420254E-2</v>
      </c>
      <c r="K61" s="458"/>
      <c r="L61" s="163"/>
      <c r="M61" s="163"/>
      <c r="O61" s="324">
        <f t="shared" si="8"/>
        <v>4.0171647002609623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'[29]Sch C'!D42</f>
        <v>10926</v>
      </c>
      <c r="D62" s="480">
        <f>'[29]Sch C'!F42</f>
        <v>0</v>
      </c>
      <c r="E62" s="480">
        <f>+'[29]Sch C'!H42</f>
        <v>0</v>
      </c>
      <c r="F62" s="166">
        <f t="shared" si="5"/>
        <v>10926</v>
      </c>
      <c r="G62" s="626"/>
      <c r="H62" s="166"/>
      <c r="I62" s="166">
        <f t="shared" si="6"/>
        <v>10926</v>
      </c>
      <c r="J62" s="167">
        <f t="shared" si="7"/>
        <v>1.1971788391901522E-3</v>
      </c>
      <c r="K62" s="458"/>
      <c r="L62" s="163"/>
      <c r="M62" s="163"/>
      <c r="O62" s="324">
        <f t="shared" si="8"/>
        <v>0.40158782666225606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'[29]Sch C'!D43</f>
        <v>14693</v>
      </c>
      <c r="D63" s="480">
        <f>'[29]Sch C'!F43</f>
        <v>-14693</v>
      </c>
      <c r="E63" s="480">
        <f>+'[29]Sch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 t="s">
        <v>502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'[29]Sch C'!D44</f>
        <v>0</v>
      </c>
      <c r="D64" s="480">
        <f>'[29]Sch C'!F44</f>
        <v>0</v>
      </c>
      <c r="E64" s="480">
        <f>+'[29]Sch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'[29]Sch C'!D45</f>
        <v>871</v>
      </c>
      <c r="D65" s="480">
        <f>'[29]Sch C'!F45</f>
        <v>0</v>
      </c>
      <c r="E65" s="480">
        <f>+'[29]Sch C'!H45</f>
        <v>0</v>
      </c>
      <c r="F65" s="166">
        <f t="shared" si="5"/>
        <v>871</v>
      </c>
      <c r="G65" s="626"/>
      <c r="H65" s="166"/>
      <c r="I65" s="166">
        <f t="shared" si="6"/>
        <v>871</v>
      </c>
      <c r="J65" s="167">
        <f t="shared" si="7"/>
        <v>9.5436826737563851E-5</v>
      </c>
      <c r="K65" s="458"/>
      <c r="L65" s="163"/>
      <c r="M65" s="163"/>
      <c r="O65" s="324">
        <f t="shared" si="8"/>
        <v>3.2013819972801116E-2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5447097</v>
      </c>
      <c r="D66" s="480">
        <f t="shared" si="9"/>
        <v>-844484</v>
      </c>
      <c r="E66" s="480">
        <f t="shared" si="9"/>
        <v>0</v>
      </c>
      <c r="F66" s="166">
        <f t="shared" ref="F66:I66" si="10">SUM(F30:F65)</f>
        <v>4602613</v>
      </c>
      <c r="G66" s="166">
        <f t="shared" si="10"/>
        <v>0</v>
      </c>
      <c r="H66" s="166">
        <f t="shared" si="10"/>
        <v>-2848194</v>
      </c>
      <c r="I66" s="166">
        <f t="shared" si="10"/>
        <v>1754419</v>
      </c>
      <c r="J66" s="178">
        <f t="shared" si="7"/>
        <v>0.19223442264993115</v>
      </c>
      <c r="K66" s="465"/>
      <c r="L66" s="163"/>
      <c r="M66" s="163"/>
      <c r="O66" s="329">
        <f>I66/I$233</f>
        <v>64.48410335575403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'[29]Sch C'!D57</f>
        <v>0</v>
      </c>
      <c r="D69" s="480">
        <f>'[29]Sch C'!F57</f>
        <v>0</v>
      </c>
      <c r="E69" s="480">
        <f>+'[29]Sch C'!H57</f>
        <v>0</v>
      </c>
      <c r="F69" s="166">
        <f t="shared" ref="F69:F83" si="11">C69+D69+E69</f>
        <v>0</v>
      </c>
      <c r="G69" s="626"/>
      <c r="H69" s="166"/>
      <c r="I69" s="166">
        <f t="shared" ref="I69:I83" si="12">F69+G69+H69</f>
        <v>0</v>
      </c>
      <c r="J69" s="167">
        <f t="shared" ref="J69:J84" si="13">IF($I$213=0,0,I69/$I$213)</f>
        <v>0</v>
      </c>
      <c r="K69" s="458"/>
      <c r="L69" s="182"/>
      <c r="M69" s="163"/>
      <c r="O69" s="324">
        <f t="shared" ref="O69:O84" si="14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'[29]Sch C'!D58</f>
        <v>0</v>
      </c>
      <c r="D70" s="480">
        <f>'[29]Sch C'!F58-267242</f>
        <v>0</v>
      </c>
      <c r="E70" s="480">
        <f>+'[29]Sch C'!H58</f>
        <v>0</v>
      </c>
      <c r="F70" s="166">
        <f t="shared" si="11"/>
        <v>0</v>
      </c>
      <c r="G70" s="626"/>
      <c r="H70" s="480">
        <v>267242</v>
      </c>
      <c r="I70" s="166">
        <f t="shared" si="12"/>
        <v>267242</v>
      </c>
      <c r="J70" s="167">
        <f t="shared" si="13"/>
        <v>2.9282122216992005E-2</v>
      </c>
      <c r="K70" s="458"/>
      <c r="L70" s="182"/>
      <c r="M70" s="163"/>
      <c r="O70" s="324">
        <f t="shared" si="14"/>
        <v>9.822545668394163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'[29]Sch C'!D59</f>
        <v>0</v>
      </c>
      <c r="D71" s="480">
        <f>'[29]Sch C'!F59-388101</f>
        <v>0</v>
      </c>
      <c r="E71" s="480">
        <f>+'[29]Sch C'!H59</f>
        <v>0</v>
      </c>
      <c r="F71" s="166">
        <f t="shared" si="11"/>
        <v>0</v>
      </c>
      <c r="G71" s="626"/>
      <c r="H71" s="480">
        <v>388101</v>
      </c>
      <c r="I71" s="166">
        <f t="shared" si="12"/>
        <v>388101</v>
      </c>
      <c r="J71" s="167">
        <f t="shared" si="13"/>
        <v>4.2524831106400998E-2</v>
      </c>
      <c r="K71" s="458"/>
      <c r="L71" s="182"/>
      <c r="M71" s="163"/>
      <c r="O71" s="324">
        <f t="shared" si="14"/>
        <v>14.264748042783108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'[29]Sch C'!D60</f>
        <v>57288</v>
      </c>
      <c r="D72" s="480">
        <f>'[29]Sch C'!F60</f>
        <v>0</v>
      </c>
      <c r="E72" s="480">
        <f>+'[29]Sch C'!H60</f>
        <v>0</v>
      </c>
      <c r="F72" s="166">
        <f t="shared" si="11"/>
        <v>57288</v>
      </c>
      <c r="G72" s="626"/>
      <c r="H72" s="166"/>
      <c r="I72" s="166">
        <f t="shared" si="12"/>
        <v>57288</v>
      </c>
      <c r="J72" s="167">
        <f t="shared" si="13"/>
        <v>6.2771353962589637E-3</v>
      </c>
      <c r="K72" s="458"/>
      <c r="L72" s="185"/>
      <c r="M72" s="163"/>
      <c r="O72" s="324">
        <f t="shared" si="14"/>
        <v>2.1056345793362001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'[29]Sch C'!D61</f>
        <v>17906</v>
      </c>
      <c r="D73" s="480">
        <f>'[29]Sch C'!F61-70101</f>
        <v>0</v>
      </c>
      <c r="E73" s="480">
        <f>+'[29]Sch C'!H61</f>
        <v>0</v>
      </c>
      <c r="F73" s="166">
        <f t="shared" si="11"/>
        <v>17906</v>
      </c>
      <c r="G73" s="626"/>
      <c r="H73" s="480">
        <v>70101</v>
      </c>
      <c r="I73" s="166">
        <f t="shared" si="12"/>
        <v>88007</v>
      </c>
      <c r="J73" s="167">
        <f t="shared" si="13"/>
        <v>9.6430640765703575E-3</v>
      </c>
      <c r="K73" s="458"/>
      <c r="L73" s="185"/>
      <c r="M73" s="163"/>
      <c r="O73" s="324">
        <f t="shared" si="14"/>
        <v>3.2347190061381261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'[29]Sch C'!D62</f>
        <v>0</v>
      </c>
      <c r="D74" s="480">
        <f>'[29]Sch C'!F62</f>
        <v>0</v>
      </c>
      <c r="E74" s="480">
        <f>+'[29]Sch C'!H62</f>
        <v>0</v>
      </c>
      <c r="F74" s="166">
        <f t="shared" si="11"/>
        <v>0</v>
      </c>
      <c r="G74" s="626"/>
      <c r="H74" s="166"/>
      <c r="I74" s="166">
        <f t="shared" si="12"/>
        <v>0</v>
      </c>
      <c r="J74" s="167">
        <f t="shared" si="13"/>
        <v>0</v>
      </c>
      <c r="K74" s="458"/>
      <c r="L74" s="187"/>
      <c r="M74" s="163"/>
      <c r="O74" s="324">
        <f t="shared" si="14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'[29]Sch C'!D63</f>
        <v>0</v>
      </c>
      <c r="D75" s="480">
        <f>'[29]Sch C'!F63</f>
        <v>0</v>
      </c>
      <c r="E75" s="480">
        <f>+'[29]Sch C'!H63</f>
        <v>0</v>
      </c>
      <c r="F75" s="166">
        <f t="shared" si="11"/>
        <v>0</v>
      </c>
      <c r="G75" s="626"/>
      <c r="H75" s="166"/>
      <c r="I75" s="166">
        <f t="shared" si="12"/>
        <v>0</v>
      </c>
      <c r="J75" s="167">
        <f t="shared" si="13"/>
        <v>0</v>
      </c>
      <c r="K75" s="458"/>
      <c r="L75" s="187"/>
      <c r="M75" s="163"/>
      <c r="O75" s="324">
        <f t="shared" si="14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'[29]Sch C'!D64</f>
        <v>0</v>
      </c>
      <c r="D76" s="480">
        <f>'[29]Sch C'!F64</f>
        <v>0</v>
      </c>
      <c r="E76" s="480">
        <f>+'[29]Sch C'!H64</f>
        <v>0</v>
      </c>
      <c r="F76" s="166">
        <f t="shared" si="11"/>
        <v>0</v>
      </c>
      <c r="G76" s="626"/>
      <c r="H76" s="166"/>
      <c r="I76" s="166">
        <f t="shared" si="12"/>
        <v>0</v>
      </c>
      <c r="J76" s="167">
        <f t="shared" si="13"/>
        <v>0</v>
      </c>
      <c r="K76" s="458"/>
      <c r="L76" s="187"/>
      <c r="M76" s="163"/>
      <c r="O76" s="324">
        <f t="shared" si="14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'[29]Sch C'!D65</f>
        <v>10957</v>
      </c>
      <c r="D77" s="480">
        <f>'[29]Sch C'!F65</f>
        <v>0</v>
      </c>
      <c r="E77" s="480">
        <f>+'[29]Sch C'!H65</f>
        <v>0</v>
      </c>
      <c r="F77" s="166">
        <f t="shared" si="11"/>
        <v>10957</v>
      </c>
      <c r="G77" s="626"/>
      <c r="H77" s="166"/>
      <c r="I77" s="166">
        <f t="shared" si="12"/>
        <v>10957</v>
      </c>
      <c r="J77" s="167">
        <f t="shared" si="13"/>
        <v>1.2005755574781712E-3</v>
      </c>
      <c r="K77" s="458"/>
      <c r="L77" s="187"/>
      <c r="M77" s="163"/>
      <c r="O77" s="324">
        <f t="shared" si="14"/>
        <v>0.40272723931341198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'[29]Sch C'!D66</f>
        <v>0</v>
      </c>
      <c r="D78" s="480">
        <f>'[29]Sch C'!F66</f>
        <v>0</v>
      </c>
      <c r="E78" s="480">
        <f>+'[29]Sch C'!H66</f>
        <v>0</v>
      </c>
      <c r="F78" s="166">
        <f t="shared" si="11"/>
        <v>0</v>
      </c>
      <c r="G78" s="626"/>
      <c r="H78" s="166"/>
      <c r="I78" s="166">
        <f t="shared" si="12"/>
        <v>0</v>
      </c>
      <c r="J78" s="167">
        <f t="shared" si="13"/>
        <v>0</v>
      </c>
      <c r="K78" s="458"/>
      <c r="L78" s="187"/>
      <c r="M78" s="163"/>
      <c r="O78" s="324">
        <f t="shared" si="14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'[29]Sch C'!D67</f>
        <v>0</v>
      </c>
      <c r="D79" s="480">
        <f>'[29]Sch C'!F67-11403</f>
        <v>0</v>
      </c>
      <c r="E79" s="480">
        <f>+'[29]Sch C'!H67</f>
        <v>0</v>
      </c>
      <c r="F79" s="166">
        <f t="shared" si="11"/>
        <v>0</v>
      </c>
      <c r="G79" s="626"/>
      <c r="H79" s="480">
        <v>11403</v>
      </c>
      <c r="I79" s="166">
        <f t="shared" si="12"/>
        <v>11403</v>
      </c>
      <c r="J79" s="167">
        <f t="shared" si="13"/>
        <v>1.2494444722025723E-3</v>
      </c>
      <c r="K79" s="458"/>
      <c r="L79" s="187"/>
      <c r="M79" s="163"/>
      <c r="O79" s="324">
        <f t="shared" si="14"/>
        <v>0.41912007939133311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'[29]Sch C'!D68</f>
        <v>0</v>
      </c>
      <c r="D80" s="480">
        <f>'[29]Sch C'!F68</f>
        <v>0</v>
      </c>
      <c r="E80" s="480">
        <f>+'[29]Sch C'!H68</f>
        <v>0</v>
      </c>
      <c r="F80" s="166">
        <f t="shared" si="11"/>
        <v>0</v>
      </c>
      <c r="G80" s="626"/>
      <c r="H80" s="166"/>
      <c r="I80" s="166">
        <f t="shared" si="12"/>
        <v>0</v>
      </c>
      <c r="J80" s="167">
        <f t="shared" si="13"/>
        <v>0</v>
      </c>
      <c r="K80" s="458"/>
      <c r="L80" s="187"/>
      <c r="M80" s="163"/>
      <c r="O80" s="324">
        <f t="shared" si="14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'[29]Sch C'!D69</f>
        <v>0</v>
      </c>
      <c r="D81" s="480">
        <f>'[29]Sch C'!F69</f>
        <v>0</v>
      </c>
      <c r="E81" s="480">
        <f>+'[29]Sch C'!H69</f>
        <v>0</v>
      </c>
      <c r="F81" s="166">
        <f t="shared" si="11"/>
        <v>0</v>
      </c>
      <c r="G81" s="626"/>
      <c r="H81" s="166"/>
      <c r="I81" s="166">
        <f t="shared" si="12"/>
        <v>0</v>
      </c>
      <c r="J81" s="167">
        <f t="shared" si="13"/>
        <v>0</v>
      </c>
      <c r="K81" s="458"/>
      <c r="L81" s="187"/>
      <c r="M81" s="163"/>
      <c r="O81" s="324">
        <f t="shared" si="14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'[29]Sch C'!D70</f>
        <v>0</v>
      </c>
      <c r="D82" s="480">
        <f>'[29]Sch C'!F70</f>
        <v>0</v>
      </c>
      <c r="E82" s="480">
        <f>+'[29]Sch C'!H70</f>
        <v>0</v>
      </c>
      <c r="F82" s="166">
        <f t="shared" si="11"/>
        <v>0</v>
      </c>
      <c r="G82" s="626"/>
      <c r="H82" s="166"/>
      <c r="I82" s="166">
        <f t="shared" si="12"/>
        <v>0</v>
      </c>
      <c r="J82" s="167">
        <f t="shared" si="13"/>
        <v>0</v>
      </c>
      <c r="K82" s="458"/>
      <c r="L82" s="187"/>
      <c r="M82" s="163"/>
      <c r="O82" s="324">
        <f t="shared" si="14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'[29]Sch C'!D71</f>
        <v>0</v>
      </c>
      <c r="D83" s="480">
        <f>'[29]Sch C'!F71</f>
        <v>0</v>
      </c>
      <c r="E83" s="480">
        <f>+'[29]Sch C'!H71</f>
        <v>0</v>
      </c>
      <c r="F83" s="166">
        <f t="shared" si="11"/>
        <v>0</v>
      </c>
      <c r="G83" s="626"/>
      <c r="H83" s="166"/>
      <c r="I83" s="166">
        <f t="shared" si="12"/>
        <v>0</v>
      </c>
      <c r="J83" s="167">
        <f t="shared" si="13"/>
        <v>0</v>
      </c>
      <c r="K83" s="458"/>
      <c r="L83" s="187"/>
      <c r="M83" s="163"/>
      <c r="O83" s="324">
        <f t="shared" si="14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86151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86151</v>
      </c>
      <c r="G84" s="166">
        <f t="shared" si="16"/>
        <v>0</v>
      </c>
      <c r="H84" s="166">
        <f t="shared" si="16"/>
        <v>736847</v>
      </c>
      <c r="I84" s="166">
        <f t="shared" si="16"/>
        <v>822998</v>
      </c>
      <c r="J84" s="167">
        <f t="shared" si="13"/>
        <v>9.0177172825903068E-2</v>
      </c>
      <c r="K84" s="458"/>
      <c r="L84" s="187"/>
      <c r="M84" s="163"/>
      <c r="O84" s="324">
        <f t="shared" si="14"/>
        <v>30.24949461535634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'[29]Sch C'!D75</f>
        <v>81786</v>
      </c>
      <c r="D87" s="480">
        <f>'[29]Sch C'!F75</f>
        <v>2584</v>
      </c>
      <c r="E87" s="480">
        <f>+'[29]Sch C'!H75</f>
        <v>0</v>
      </c>
      <c r="F87" s="166">
        <f t="shared" ref="F87:F97" si="17">C87+D87+E87</f>
        <v>84370</v>
      </c>
      <c r="G87" s="626"/>
      <c r="H87" s="166"/>
      <c r="I87" s="166">
        <f t="shared" ref="I87:I97" si="18">F87+G87+H87</f>
        <v>84370</v>
      </c>
      <c r="J87" s="167">
        <f t="shared" ref="J87:J98" si="19">IF($I$213=0,0,I87/$I$213)</f>
        <v>9.2445523212953632E-3</v>
      </c>
      <c r="K87" s="458"/>
      <c r="L87" s="176">
        <v>4371</v>
      </c>
      <c r="M87" s="176">
        <v>4667</v>
      </c>
      <c r="O87" s="324">
        <f t="shared" ref="O87:O97" si="20">I87/I$233</f>
        <v>3.101040173484765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'[29]Sch C'!D76</f>
        <v>0</v>
      </c>
      <c r="D88" s="480">
        <f>'[29]Sch C'!F76</f>
        <v>10626</v>
      </c>
      <c r="E88" s="480">
        <f>+'[29]Sch C'!H76</f>
        <v>0</v>
      </c>
      <c r="F88" s="166">
        <f t="shared" si="17"/>
        <v>10626</v>
      </c>
      <c r="G88" s="626"/>
      <c r="H88" s="166"/>
      <c r="I88" s="166">
        <f t="shared" si="18"/>
        <v>10626</v>
      </c>
      <c r="J88" s="167">
        <f t="shared" si="19"/>
        <v>1.1643073718867432E-3</v>
      </c>
      <c r="K88" s="458"/>
      <c r="L88" s="163"/>
      <c r="M88" s="163"/>
      <c r="O88" s="324">
        <f t="shared" si="20"/>
        <v>0.39056125261881136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'[29]Sch C'!D77</f>
        <v>7633</v>
      </c>
      <c r="D89" s="480">
        <f>'[29]Sch C'!F77</f>
        <v>0</v>
      </c>
      <c r="E89" s="480">
        <f>+'[29]Sch C'!H77</f>
        <v>0</v>
      </c>
      <c r="F89" s="166">
        <f t="shared" si="17"/>
        <v>7633</v>
      </c>
      <c r="G89" s="626"/>
      <c r="H89" s="166"/>
      <c r="I89" s="166">
        <f t="shared" si="18"/>
        <v>7633</v>
      </c>
      <c r="J89" s="167">
        <f t="shared" si="19"/>
        <v>8.3635969975640056E-4</v>
      </c>
      <c r="K89" s="458"/>
      <c r="L89" s="163"/>
      <c r="M89" s="163"/>
      <c r="O89" s="324">
        <f t="shared" si="20"/>
        <v>0.28055279891204471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'[29]Sch C'!D78</f>
        <v>56924</v>
      </c>
      <c r="D90" s="480">
        <f>'[29]Sch C'!F78</f>
        <v>0</v>
      </c>
      <c r="E90" s="480">
        <f>+'[29]Sch C'!H78</f>
        <v>0</v>
      </c>
      <c r="F90" s="166">
        <f t="shared" si="17"/>
        <v>56924</v>
      </c>
      <c r="G90" s="626"/>
      <c r="H90" s="166"/>
      <c r="I90" s="166">
        <f t="shared" si="18"/>
        <v>56924</v>
      </c>
      <c r="J90" s="167">
        <f t="shared" si="19"/>
        <v>6.2372513492641611E-3</v>
      </c>
      <c r="K90" s="458"/>
      <c r="L90" s="163"/>
      <c r="M90" s="163"/>
      <c r="O90" s="324">
        <f t="shared" si="20"/>
        <v>2.0922556694968208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'[29]Sch C'!D79</f>
        <v>13471</v>
      </c>
      <c r="D91" s="480">
        <f>'[29]Sch C'!F79</f>
        <v>0</v>
      </c>
      <c r="E91" s="480">
        <f>+'[29]Sch C'!H79</f>
        <v>0</v>
      </c>
      <c r="F91" s="166">
        <f t="shared" si="17"/>
        <v>13471</v>
      </c>
      <c r="G91" s="626"/>
      <c r="H91" s="166"/>
      <c r="I91" s="166">
        <f t="shared" si="18"/>
        <v>13471</v>
      </c>
      <c r="J91" s="167">
        <f t="shared" si="19"/>
        <v>1.4760384534807378E-3</v>
      </c>
      <c r="K91" s="458"/>
      <c r="L91" s="163"/>
      <c r="M91" s="163"/>
      <c r="O91" s="324">
        <f t="shared" si="20"/>
        <v>0.49512992979747861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'[29]Sch C'!D80</f>
        <v>44729</v>
      </c>
      <c r="D92" s="480">
        <f>'[29]Sch C'!F80</f>
        <v>0</v>
      </c>
      <c r="E92" s="480">
        <f>+'[29]Sch C'!H80</f>
        <v>0</v>
      </c>
      <c r="F92" s="166">
        <f t="shared" si="17"/>
        <v>44729</v>
      </c>
      <c r="G92" s="626"/>
      <c r="H92" s="166"/>
      <c r="I92" s="166">
        <f t="shared" si="18"/>
        <v>44729</v>
      </c>
      <c r="J92" s="167">
        <f t="shared" si="19"/>
        <v>4.9010262033805894E-3</v>
      </c>
      <c r="K92" s="458"/>
      <c r="L92" s="163"/>
      <c r="M92" s="163"/>
      <c r="O92" s="324">
        <f t="shared" si="20"/>
        <v>1.6440254346307936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'[29]Sch C'!D81</f>
        <v>19544</v>
      </c>
      <c r="D93" s="480">
        <f>'[29]Sch C'!F81</f>
        <v>0</v>
      </c>
      <c r="E93" s="480">
        <f>+'[29]Sch C'!H81</f>
        <v>0</v>
      </c>
      <c r="F93" s="166">
        <f t="shared" si="17"/>
        <v>19544</v>
      </c>
      <c r="G93" s="626"/>
      <c r="H93" s="166"/>
      <c r="I93" s="166">
        <f t="shared" si="18"/>
        <v>19544</v>
      </c>
      <c r="J93" s="167">
        <f t="shared" si="19"/>
        <v>2.1414665232594118E-3</v>
      </c>
      <c r="K93" s="458"/>
      <c r="L93" s="163"/>
      <c r="M93" s="163"/>
      <c r="O93" s="324">
        <f t="shared" si="20"/>
        <v>0.71834454368361078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'[29]Sch C'!D82</f>
        <v>425</v>
      </c>
      <c r="D94" s="480">
        <f>'[29]Sch C'!F82</f>
        <v>0</v>
      </c>
      <c r="E94" s="480">
        <f>+'[29]Sch C'!H82</f>
        <v>0</v>
      </c>
      <c r="F94" s="166">
        <f t="shared" si="17"/>
        <v>425</v>
      </c>
      <c r="G94" s="626"/>
      <c r="H94" s="166"/>
      <c r="I94" s="166">
        <f t="shared" si="18"/>
        <v>425</v>
      </c>
      <c r="J94" s="167">
        <f t="shared" si="19"/>
        <v>4.6567912013162612E-5</v>
      </c>
      <c r="K94" s="458"/>
      <c r="L94" s="163"/>
      <c r="M94" s="163"/>
      <c r="O94" s="324">
        <f t="shared" si="20"/>
        <v>1.5620979894879995E-2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'[29]Sch C'!D83</f>
        <v>14303</v>
      </c>
      <c r="D95" s="480">
        <f>'[29]Sch C'!F83</f>
        <v>0</v>
      </c>
      <c r="E95" s="480">
        <f>+'[29]Sch C'!H83</f>
        <v>0</v>
      </c>
      <c r="F95" s="166">
        <f t="shared" si="17"/>
        <v>14303</v>
      </c>
      <c r="G95" s="626"/>
      <c r="H95" s="166"/>
      <c r="I95" s="166">
        <f t="shared" si="18"/>
        <v>14303</v>
      </c>
      <c r="J95" s="167">
        <f t="shared" si="19"/>
        <v>1.5672019894688585E-3</v>
      </c>
      <c r="K95" s="458"/>
      <c r="L95" s="163"/>
      <c r="M95" s="163"/>
      <c r="O95" s="324">
        <f t="shared" si="20"/>
        <v>0.52571029514463186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'[29]Sch C'!D84</f>
        <v>112320</v>
      </c>
      <c r="D96" s="480">
        <f>'[29]Sch C'!F84</f>
        <v>0</v>
      </c>
      <c r="E96" s="480">
        <f>+'[29]Sch C'!H84</f>
        <v>0</v>
      </c>
      <c r="F96" s="166">
        <f t="shared" si="17"/>
        <v>112320</v>
      </c>
      <c r="G96" s="626"/>
      <c r="H96" s="166"/>
      <c r="I96" s="166">
        <f t="shared" si="18"/>
        <v>112320</v>
      </c>
      <c r="J96" s="167">
        <f t="shared" si="19"/>
        <v>1.2307077358396293E-2</v>
      </c>
      <c r="K96" s="458"/>
      <c r="L96" s="163"/>
      <c r="M96" s="163"/>
      <c r="O96" s="324">
        <f t="shared" si="20"/>
        <v>4.1283493218656959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'[29]Sch C'!D85</f>
        <v>113</v>
      </c>
      <c r="D97" s="480">
        <f>'[29]Sch C'!F85</f>
        <v>0</v>
      </c>
      <c r="E97" s="480">
        <f>+'[29]Sch C'!H85</f>
        <v>0</v>
      </c>
      <c r="F97" s="166">
        <f t="shared" si="17"/>
        <v>113</v>
      </c>
      <c r="G97" s="626"/>
      <c r="H97" s="166"/>
      <c r="I97" s="166">
        <f t="shared" si="18"/>
        <v>113</v>
      </c>
      <c r="J97" s="167">
        <f t="shared" si="19"/>
        <v>1.2381586017617354E-5</v>
      </c>
      <c r="K97" s="458"/>
      <c r="L97" s="163"/>
      <c r="M97" s="163"/>
      <c r="O97" s="324">
        <f t="shared" si="20"/>
        <v>4.153342889697504E-3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351248</v>
      </c>
      <c r="D98" s="480">
        <f t="shared" si="21"/>
        <v>13210</v>
      </c>
      <c r="E98" s="480">
        <f t="shared" si="21"/>
        <v>0</v>
      </c>
      <c r="F98" s="166">
        <f t="shared" ref="F98:I98" si="22">SUM(F87:F97)</f>
        <v>364458</v>
      </c>
      <c r="G98" s="166">
        <f t="shared" si="22"/>
        <v>0</v>
      </c>
      <c r="H98" s="166">
        <f t="shared" si="22"/>
        <v>0</v>
      </c>
      <c r="I98" s="166">
        <f t="shared" si="22"/>
        <v>364458</v>
      </c>
      <c r="J98" s="167">
        <f t="shared" si="19"/>
        <v>3.9934230768219336E-2</v>
      </c>
      <c r="K98" s="458"/>
      <c r="L98" s="163"/>
      <c r="M98" s="163"/>
      <c r="O98" s="329">
        <f>I98/I$233</f>
        <v>13.39574374241923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'[29]Sch C'!D89</f>
        <v>335384</v>
      </c>
      <c r="D101" s="480">
        <f>'[29]Sch C'!F89</f>
        <v>10598</v>
      </c>
      <c r="E101" s="480">
        <f>+'[29]Sch C'!H89</f>
        <v>0</v>
      </c>
      <c r="F101" s="166">
        <f t="shared" ref="F101:F106" si="23">C101+D101+E101</f>
        <v>345982</v>
      </c>
      <c r="G101" s="626"/>
      <c r="H101" s="166"/>
      <c r="I101" s="166">
        <f t="shared" ref="I101:I106" si="24">F101+G101+H101</f>
        <v>345982</v>
      </c>
      <c r="J101" s="167">
        <f t="shared" ref="J101:J107" si="25">IF($I$213=0,0,I101/$I$213)</f>
        <v>3.7909786668560062E-2</v>
      </c>
      <c r="K101" s="458"/>
      <c r="L101" s="176">
        <v>22257</v>
      </c>
      <c r="M101" s="176">
        <v>22986</v>
      </c>
      <c r="O101" s="329">
        <f t="shared" ref="O101:O106" si="26">I101/I$233</f>
        <v>12.716653802330283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'[29]Sch C'!D90</f>
        <v>0</v>
      </c>
      <c r="D102" s="480">
        <f>'[29]Sch C'!F90</f>
        <v>43574</v>
      </c>
      <c r="E102" s="480">
        <f>+'[29]Sch C'!H90</f>
        <v>0</v>
      </c>
      <c r="F102" s="166">
        <f t="shared" si="23"/>
        <v>43574</v>
      </c>
      <c r="G102" s="626"/>
      <c r="H102" s="166"/>
      <c r="I102" s="166">
        <f t="shared" si="24"/>
        <v>43574</v>
      </c>
      <c r="J102" s="167">
        <f t="shared" si="25"/>
        <v>4.7744710542624649E-3</v>
      </c>
      <c r="K102" s="458"/>
      <c r="L102" s="163"/>
      <c r="M102" s="163"/>
      <c r="O102" s="329">
        <f t="shared" si="26"/>
        <v>1.6015731245635314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'[29]Sch C'!D91</f>
        <v>20363</v>
      </c>
      <c r="D103" s="480">
        <f>'[29]Sch C'!F91</f>
        <v>0</v>
      </c>
      <c r="E103" s="480">
        <f>+'[29]Sch C'!H91</f>
        <v>0</v>
      </c>
      <c r="F103" s="166">
        <f t="shared" si="23"/>
        <v>20363</v>
      </c>
      <c r="G103" s="626"/>
      <c r="H103" s="166"/>
      <c r="I103" s="166">
        <f t="shared" si="24"/>
        <v>20363</v>
      </c>
      <c r="J103" s="167">
        <f t="shared" si="25"/>
        <v>2.2312056289977185E-3</v>
      </c>
      <c r="K103" s="458"/>
      <c r="L103" s="163"/>
      <c r="M103" s="163"/>
      <c r="O103" s="329">
        <f t="shared" si="26"/>
        <v>0.74844709082221483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'[29]Sch C'!D92</f>
        <v>204815</v>
      </c>
      <c r="D104" s="480">
        <f>'[29]Sch C'!F92</f>
        <v>0</v>
      </c>
      <c r="E104" s="480">
        <f>+'[29]Sch C'!H92</f>
        <v>0</v>
      </c>
      <c r="F104" s="166">
        <f t="shared" si="23"/>
        <v>204815</v>
      </c>
      <c r="G104" s="626"/>
      <c r="H104" s="166"/>
      <c r="I104" s="166">
        <f t="shared" si="24"/>
        <v>204815</v>
      </c>
      <c r="J104" s="167">
        <f t="shared" si="25"/>
        <v>2.2441898585825647E-2</v>
      </c>
      <c r="K104" s="458"/>
      <c r="L104" s="163"/>
      <c r="M104" s="163"/>
      <c r="O104" s="329">
        <f t="shared" si="26"/>
        <v>7.5280258756937553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'[29]Sch C'!D93</f>
        <v>14104</v>
      </c>
      <c r="D105" s="480">
        <f>'[29]Sch C'!F93</f>
        <v>0</v>
      </c>
      <c r="E105" s="480">
        <f>+'[29]Sch C'!H93</f>
        <v>0</v>
      </c>
      <c r="F105" s="166">
        <f t="shared" si="23"/>
        <v>14104</v>
      </c>
      <c r="G105" s="626"/>
      <c r="H105" s="166"/>
      <c r="I105" s="166">
        <f t="shared" si="24"/>
        <v>14104</v>
      </c>
      <c r="J105" s="167">
        <f t="shared" si="25"/>
        <v>1.5453972494909305E-3</v>
      </c>
      <c r="K105" s="458"/>
      <c r="L105" s="163"/>
      <c r="M105" s="163"/>
      <c r="O105" s="329">
        <f t="shared" si="26"/>
        <v>0.51839600102914696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'[29]Sch C'!D94</f>
        <v>1338</v>
      </c>
      <c r="D106" s="480">
        <f>'[29]Sch C'!F94</f>
        <v>-1438</v>
      </c>
      <c r="E106" s="480">
        <f>+'[29]Sch C'!H94</f>
        <v>0</v>
      </c>
      <c r="F106" s="166">
        <f t="shared" si="23"/>
        <v>-100</v>
      </c>
      <c r="G106" s="626"/>
      <c r="H106" s="166"/>
      <c r="I106" s="166">
        <f t="shared" si="24"/>
        <v>-100</v>
      </c>
      <c r="J106" s="167">
        <f t="shared" si="25"/>
        <v>-1.0957155767802967E-5</v>
      </c>
      <c r="K106" s="458"/>
      <c r="L106" s="163"/>
      <c r="M106" s="163"/>
      <c r="O106" s="329">
        <f t="shared" si="26"/>
        <v>-3.6755246811482341E-3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576004</v>
      </c>
      <c r="D107" s="480">
        <f t="shared" si="27"/>
        <v>52734</v>
      </c>
      <c r="E107" s="480">
        <f t="shared" si="27"/>
        <v>0</v>
      </c>
      <c r="F107" s="166">
        <f t="shared" ref="F107:I107" si="28">SUM(F101:F106)</f>
        <v>628738</v>
      </c>
      <c r="G107" s="166">
        <f t="shared" si="28"/>
        <v>0</v>
      </c>
      <c r="H107" s="166">
        <f t="shared" si="28"/>
        <v>0</v>
      </c>
      <c r="I107" s="166">
        <f t="shared" si="28"/>
        <v>628738</v>
      </c>
      <c r="J107" s="167">
        <f t="shared" si="25"/>
        <v>6.889180203136902E-2</v>
      </c>
      <c r="K107" s="458"/>
      <c r="L107" s="163"/>
      <c r="M107" s="163"/>
      <c r="O107" s="329">
        <f>I107/I$233</f>
        <v>23.109420369757782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'[29]Sch C'!D98</f>
        <v>0</v>
      </c>
      <c r="D110" s="480">
        <f>'[29]Sch C'!F98</f>
        <v>0</v>
      </c>
      <c r="E110" s="480">
        <f>+'[29]Sch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'[29]Sch C'!D99</f>
        <v>0</v>
      </c>
      <c r="D111" s="480">
        <f>'[29]Sch C'!F99</f>
        <v>0</v>
      </c>
      <c r="E111" s="480">
        <f>+'[29]Sch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'[29]Sch C'!D100</f>
        <v>540</v>
      </c>
      <c r="D112" s="480">
        <f>'[29]Sch C'!F100</f>
        <v>0</v>
      </c>
      <c r="E112" s="480">
        <f>+'[29]Sch C'!H100</f>
        <v>0</v>
      </c>
      <c r="F112" s="166">
        <f t="shared" si="29"/>
        <v>540</v>
      </c>
      <c r="G112" s="626"/>
      <c r="H112" s="166"/>
      <c r="I112" s="166">
        <f t="shared" si="30"/>
        <v>540</v>
      </c>
      <c r="J112" s="167">
        <f t="shared" si="31"/>
        <v>5.9168641146136026E-5</v>
      </c>
      <c r="K112" s="458"/>
      <c r="L112" s="163"/>
      <c r="M112" s="163"/>
      <c r="O112" s="329">
        <f t="shared" si="32"/>
        <v>1.9847833278200461E-2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'[29]Sch C'!D101</f>
        <v>88126</v>
      </c>
      <c r="D113" s="480">
        <f>'[29]Sch C'!F101</f>
        <v>0</v>
      </c>
      <c r="E113" s="480">
        <f>+'[29]Sch C'!H101</f>
        <v>0</v>
      </c>
      <c r="F113" s="166">
        <f t="shared" si="29"/>
        <v>88126</v>
      </c>
      <c r="G113" s="626"/>
      <c r="H113" s="166"/>
      <c r="I113" s="166">
        <f t="shared" si="30"/>
        <v>88126</v>
      </c>
      <c r="J113" s="167">
        <f t="shared" si="31"/>
        <v>9.6561030919340429E-3</v>
      </c>
      <c r="K113" s="458"/>
      <c r="L113" s="163"/>
      <c r="M113" s="163"/>
      <c r="O113" s="329">
        <f t="shared" si="32"/>
        <v>3.2390928805086925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'[29]Sch C'!D102</f>
        <v>0</v>
      </c>
      <c r="D114" s="480">
        <f>'[29]Sch C'!F102</f>
        <v>0</v>
      </c>
      <c r="E114" s="480">
        <f>+'[29]Sch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'[29]Sch C'!D103</f>
        <v>0</v>
      </c>
      <c r="D115" s="480">
        <f>'[29]Sch C'!F103</f>
        <v>0</v>
      </c>
      <c r="E115" s="480">
        <f>+'[29]Sch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88666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88666</v>
      </c>
      <c r="G116" s="166">
        <f t="shared" si="34"/>
        <v>0</v>
      </c>
      <c r="H116" s="166">
        <f t="shared" si="34"/>
        <v>0</v>
      </c>
      <c r="I116" s="166">
        <f t="shared" si="34"/>
        <v>88666</v>
      </c>
      <c r="J116" s="167">
        <f t="shared" si="31"/>
        <v>9.7152717330801792E-3</v>
      </c>
      <c r="K116" s="458"/>
      <c r="L116" s="163"/>
      <c r="M116" s="163"/>
      <c r="O116" s="329">
        <f>I116/I$233</f>
        <v>3.2589407137868931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'[29]Sch C'!D115</f>
        <v>0</v>
      </c>
      <c r="D119" s="480">
        <f>'[29]Sch C'!F115</f>
        <v>0</v>
      </c>
      <c r="E119" s="480">
        <f>+'[29]Sch C'!H115</f>
        <v>0</v>
      </c>
      <c r="F119" s="166">
        <f>C119+D119+E119</f>
        <v>0</v>
      </c>
      <c r="G119" s="626"/>
      <c r="H119" s="166"/>
      <c r="I119" s="166">
        <f>F119+G119+H119</f>
        <v>0</v>
      </c>
      <c r="J119" s="167">
        <f t="shared" ref="J119:J124" si="35">IF($I$213=0,0,I119/$I$213)</f>
        <v>0</v>
      </c>
      <c r="K119" s="458"/>
      <c r="L119" s="176">
        <v>0</v>
      </c>
      <c r="M119" s="176">
        <v>0</v>
      </c>
      <c r="O119" s="329">
        <f t="shared" ref="O119:O124" si="36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'[29]Sch C'!D116</f>
        <v>0</v>
      </c>
      <c r="D120" s="480">
        <f>'[29]Sch C'!F116</f>
        <v>0</v>
      </c>
      <c r="E120" s="480">
        <f>+'[29]Sch C'!H116</f>
        <v>0</v>
      </c>
      <c r="F120" s="166">
        <f>C120+D120+E120</f>
        <v>0</v>
      </c>
      <c r="G120" s="626"/>
      <c r="H120" s="166"/>
      <c r="I120" s="166">
        <f>F120+G120+H120</f>
        <v>0</v>
      </c>
      <c r="J120" s="167">
        <f t="shared" si="35"/>
        <v>0</v>
      </c>
      <c r="K120" s="458"/>
      <c r="L120" s="163"/>
      <c r="M120" s="163"/>
      <c r="O120" s="329">
        <f t="shared" si="36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'[29]Sch C'!D117</f>
        <v>2511</v>
      </c>
      <c r="D121" s="480">
        <f>'[29]Sch C'!F117</f>
        <v>0</v>
      </c>
      <c r="E121" s="480">
        <f>+'[29]Sch C'!H117</f>
        <v>0</v>
      </c>
      <c r="F121" s="166">
        <f>C121+D121+E121</f>
        <v>2511</v>
      </c>
      <c r="G121" s="626"/>
      <c r="H121" s="166"/>
      <c r="I121" s="166">
        <f>F121+G121+H121</f>
        <v>2511</v>
      </c>
      <c r="J121" s="167">
        <f t="shared" si="35"/>
        <v>2.7513418132953251E-4</v>
      </c>
      <c r="K121" s="458"/>
      <c r="L121" s="163"/>
      <c r="M121" s="163"/>
      <c r="O121" s="329">
        <f t="shared" si="36"/>
        <v>9.2292424743632154E-2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'[29]Sch C'!D118</f>
        <v>131790</v>
      </c>
      <c r="D122" s="480">
        <f>'[29]Sch C'!F118</f>
        <v>0</v>
      </c>
      <c r="E122" s="480">
        <f>+'[29]Sch C'!H118</f>
        <v>0</v>
      </c>
      <c r="F122" s="166">
        <f>C122+D122+E122</f>
        <v>131790</v>
      </c>
      <c r="G122" s="626"/>
      <c r="H122" s="166"/>
      <c r="I122" s="166">
        <f>F122+G122+H122</f>
        <v>131790</v>
      </c>
      <c r="J122" s="167">
        <f t="shared" si="35"/>
        <v>1.444043558638753E-2</v>
      </c>
      <c r="K122" s="458"/>
      <c r="L122" s="163"/>
      <c r="M122" s="163"/>
      <c r="O122" s="329">
        <f t="shared" si="36"/>
        <v>4.8439739772852572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'[29]Sch C'!D119</f>
        <v>0</v>
      </c>
      <c r="D123" s="480">
        <f>'[29]Sch C'!F119</f>
        <v>0</v>
      </c>
      <c r="E123" s="480">
        <f>+'[29]Sch C'!H119</f>
        <v>0</v>
      </c>
      <c r="F123" s="166">
        <f>C123+D123+E123</f>
        <v>0</v>
      </c>
      <c r="G123" s="626"/>
      <c r="H123" s="166"/>
      <c r="I123" s="166">
        <f>F123+G123+H123</f>
        <v>0</v>
      </c>
      <c r="J123" s="167">
        <f t="shared" si="35"/>
        <v>0</v>
      </c>
      <c r="K123" s="458"/>
      <c r="L123" s="163"/>
      <c r="M123" s="163"/>
      <c r="O123" s="329">
        <f t="shared" si="36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7">SUM(C119:C123)</f>
        <v>134301</v>
      </c>
      <c r="D124" s="480">
        <f t="shared" si="37"/>
        <v>0</v>
      </c>
      <c r="E124" s="480">
        <f t="shared" si="37"/>
        <v>0</v>
      </c>
      <c r="F124" s="166">
        <f t="shared" ref="F124:I124" si="38">SUM(F119:F123)</f>
        <v>134301</v>
      </c>
      <c r="G124" s="166">
        <f t="shared" si="38"/>
        <v>0</v>
      </c>
      <c r="H124" s="166">
        <f t="shared" si="38"/>
        <v>0</v>
      </c>
      <c r="I124" s="166">
        <f t="shared" si="38"/>
        <v>134301</v>
      </c>
      <c r="J124" s="167">
        <f t="shared" si="35"/>
        <v>1.4715569767717063E-2</v>
      </c>
      <c r="K124" s="458"/>
      <c r="L124" s="163"/>
      <c r="M124" s="163"/>
      <c r="O124" s="329">
        <f t="shared" si="36"/>
        <v>4.93626640202889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'[29]Sch C'!D124</f>
        <v>0</v>
      </c>
      <c r="D128" s="480">
        <f>'[29]Sch C'!F124</f>
        <v>0</v>
      </c>
      <c r="E128" s="480">
        <f>+'[29]Sch C'!H124</f>
        <v>0</v>
      </c>
      <c r="F128" s="166">
        <f>C128+D128+E128</f>
        <v>0</v>
      </c>
      <c r="G128" s="626"/>
      <c r="H128" s="166"/>
      <c r="I128" s="166">
        <f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39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'[29]Sch C'!D125</f>
        <v>320552</v>
      </c>
      <c r="D129" s="480">
        <f>'[29]Sch C'!F125</f>
        <v>10129</v>
      </c>
      <c r="E129" s="480">
        <f>+'[29]Sch C'!H125</f>
        <v>0</v>
      </c>
      <c r="F129" s="166">
        <f>C129+D129+E129</f>
        <v>330681</v>
      </c>
      <c r="G129" s="626"/>
      <c r="H129" s="166"/>
      <c r="I129" s="166">
        <f>F129+G129+H129</f>
        <v>330681</v>
      </c>
      <c r="J129" s="167">
        <f>IF($I$213=0,0,I129/$I$213)</f>
        <v>3.6233232264528528E-2</v>
      </c>
      <c r="K129" s="458"/>
      <c r="L129" s="176">
        <v>7735</v>
      </c>
      <c r="M129" s="176">
        <v>8124</v>
      </c>
      <c r="O129" s="329">
        <f t="shared" si="39"/>
        <v>12.154261770867791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'[29]Sch C'!D126</f>
        <v>0</v>
      </c>
      <c r="D130" s="480">
        <f>'[29]Sch C'!F126</f>
        <v>0</v>
      </c>
      <c r="E130" s="480">
        <f>+'[29]Sch C'!H126</f>
        <v>0</v>
      </c>
      <c r="F130" s="166">
        <f>C130+D130+E130</f>
        <v>0</v>
      </c>
      <c r="G130" s="626"/>
      <c r="H130" s="166"/>
      <c r="I130" s="166">
        <f>F130+G130+H130</f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39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'[29]Sch C'!D127</f>
        <v>0</v>
      </c>
      <c r="D131" s="480">
        <f>'[29]Sch C'!F127</f>
        <v>0</v>
      </c>
      <c r="E131" s="480">
        <f>+'[29]Sch C'!H127</f>
        <v>0</v>
      </c>
      <c r="F131" s="166">
        <f>C131+D131+E131</f>
        <v>0</v>
      </c>
      <c r="G131" s="626"/>
      <c r="H131" s="166"/>
      <c r="I131" s="166">
        <f>F131+G131+H131</f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39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'[29]Sch C'!D128</f>
        <v>89509</v>
      </c>
      <c r="D132" s="480">
        <f>'[29]Sch C'!F128</f>
        <v>2828</v>
      </c>
      <c r="E132" s="480">
        <f>+'[29]Sch C'!H128</f>
        <v>0</v>
      </c>
      <c r="F132" s="166">
        <f>C132+D132+E132</f>
        <v>92337</v>
      </c>
      <c r="G132" s="626"/>
      <c r="H132" s="166"/>
      <c r="I132" s="166">
        <f>F132+G132+H132</f>
        <v>92337</v>
      </c>
      <c r="J132" s="167">
        <f>IF($I$213=0,0,I132/$I$213)</f>
        <v>1.0117508921316225E-2</v>
      </c>
      <c r="K132" s="458"/>
      <c r="L132" s="176">
        <v>4188</v>
      </c>
      <c r="M132" s="176">
        <v>4328</v>
      </c>
      <c r="O132" s="329">
        <f t="shared" si="39"/>
        <v>3.3938692248318447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/>
      <c r="G133"/>
      <c r="H13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'[29]Sch C'!D130</f>
        <v>0</v>
      </c>
      <c r="D134" s="480">
        <f>'[29]Sch C'!F130</f>
        <v>0</v>
      </c>
      <c r="E134" s="480">
        <f>+'[29]Sch C'!H130</f>
        <v>0</v>
      </c>
      <c r="F134" s="166">
        <f>C134+D134+E134</f>
        <v>0</v>
      </c>
      <c r="G134" s="626"/>
      <c r="H134" s="166"/>
      <c r="I134" s="166">
        <f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39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'[29]Sch C'!D131</f>
        <v>0</v>
      </c>
      <c r="D135" s="480">
        <f>'[29]Sch C'!F131</f>
        <v>41647</v>
      </c>
      <c r="E135" s="480">
        <f>+'[29]Sch C'!H131</f>
        <v>0</v>
      </c>
      <c r="F135" s="166">
        <f>C135+D135+E135</f>
        <v>41647</v>
      </c>
      <c r="G135" s="626"/>
      <c r="H135" s="166"/>
      <c r="I135" s="166">
        <f>F135+G135+H135</f>
        <v>41647</v>
      </c>
      <c r="J135" s="167">
        <f>IF($I$213=0,0,I135/$I$213)</f>
        <v>4.5633266626169018E-3</v>
      </c>
      <c r="K135" s="458"/>
      <c r="L135" s="196"/>
      <c r="M135" s="196"/>
      <c r="O135" s="329">
        <f t="shared" si="39"/>
        <v>1.530745763957805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'[29]Sch C'!D132</f>
        <v>0</v>
      </c>
      <c r="D136" s="480">
        <f>'[29]Sch C'!F132</f>
        <v>0</v>
      </c>
      <c r="E136" s="480">
        <f>+'[29]Sch C'!H132</f>
        <v>0</v>
      </c>
      <c r="F136" s="166">
        <f>C136+D136+E136</f>
        <v>0</v>
      </c>
      <c r="G136" s="626"/>
      <c r="H136" s="166"/>
      <c r="I136" s="166">
        <f>F136+G136+H136</f>
        <v>0</v>
      </c>
      <c r="J136" s="167">
        <f>IF($I$213=0,0,I136/$I$213)</f>
        <v>0</v>
      </c>
      <c r="K136" s="458"/>
      <c r="L136" s="163"/>
      <c r="M136" s="163"/>
      <c r="O136" s="329">
        <f t="shared" si="39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'[29]Sch C'!D133</f>
        <v>0</v>
      </c>
      <c r="D137" s="480">
        <f>'[29]Sch C'!F133</f>
        <v>0</v>
      </c>
      <c r="E137" s="480">
        <f>+'[29]Sch C'!H133</f>
        <v>0</v>
      </c>
      <c r="F137" s="166">
        <f>C137+D137+E137</f>
        <v>0</v>
      </c>
      <c r="G137" s="626"/>
      <c r="H137" s="166"/>
      <c r="I137" s="166">
        <f>F137+G137+H137</f>
        <v>0</v>
      </c>
      <c r="J137" s="167">
        <f>IF($I$213=0,0,I137/$I$213)</f>
        <v>0</v>
      </c>
      <c r="K137" s="458"/>
      <c r="L137" s="163"/>
      <c r="M137" s="163"/>
      <c r="O137" s="329">
        <f t="shared" si="39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'[29]Sch C'!D134</f>
        <v>0</v>
      </c>
      <c r="D138" s="480">
        <f>'[29]Sch C'!F134</f>
        <v>11629</v>
      </c>
      <c r="E138" s="480">
        <f>+'[29]Sch C'!H134</f>
        <v>0</v>
      </c>
      <c r="F138" s="166">
        <f>C138+D138+E138</f>
        <v>11629</v>
      </c>
      <c r="G138" s="626"/>
      <c r="H138" s="166"/>
      <c r="I138" s="166">
        <f>F138+G138+H138</f>
        <v>11629</v>
      </c>
      <c r="J138" s="167">
        <f>IF($I$213=0,0,I138/$I$213)</f>
        <v>1.2742076442378071E-3</v>
      </c>
      <c r="K138" s="458"/>
      <c r="L138" s="163"/>
      <c r="M138" s="163"/>
      <c r="O138" s="329">
        <f t="shared" si="39"/>
        <v>0.42742676517072814</v>
      </c>
      <c r="P138" s="324">
        <f>SUMMARY!L140</f>
        <v>0.57311755736724024</v>
      </c>
    </row>
    <row r="139" spans="1:16" s="162" customFormat="1" ht="15.5">
      <c r="A139" s="164" t="s">
        <v>78</v>
      </c>
      <c r="B139" s="165" t="s">
        <v>56</v>
      </c>
      <c r="C139" s="188"/>
      <c r="D139" s="188"/>
      <c r="E139" s="188"/>
      <c r="F139"/>
      <c r="G139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'[29]Sch C'!D136</f>
        <v>472441</v>
      </c>
      <c r="D140" s="480">
        <f>'[29]Sch C'!F136</f>
        <v>14928</v>
      </c>
      <c r="E140" s="480">
        <f>+'[29]Sch C'!H136</f>
        <v>0</v>
      </c>
      <c r="F140" s="166">
        <f>C140+D140+E140</f>
        <v>487369</v>
      </c>
      <c r="G140" s="626"/>
      <c r="H140" s="166"/>
      <c r="I140" s="166">
        <f>F140+G140+H140</f>
        <v>487369</v>
      </c>
      <c r="J140" s="167">
        <f>IF($I$213=0,0,I140/$I$213)</f>
        <v>5.3401780493983642E-2</v>
      </c>
      <c r="K140" s="458"/>
      <c r="L140" s="176">
        <v>13999</v>
      </c>
      <c r="M140" s="176">
        <v>14430</v>
      </c>
      <c r="O140" s="329">
        <f t="shared" si="39"/>
        <v>17.913367883265337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'[29]Sch C'!D137</f>
        <v>561354</v>
      </c>
      <c r="D141" s="480">
        <f>'[29]Sch C'!F137</f>
        <v>17738</v>
      </c>
      <c r="E141" s="480">
        <f>+'[29]Sch C'!H137</f>
        <v>0</v>
      </c>
      <c r="F141" s="166">
        <f>C141+D141+E141</f>
        <v>579092</v>
      </c>
      <c r="G141" s="626"/>
      <c r="H141" s="166"/>
      <c r="I141" s="166">
        <f>F141+G141+H141</f>
        <v>579092</v>
      </c>
      <c r="J141" s="167">
        <f>IF($I$213=0,0,I141/$I$213)</f>
        <v>6.3452012478885558E-2</v>
      </c>
      <c r="K141" s="458"/>
      <c r="L141" s="176">
        <v>19800</v>
      </c>
      <c r="M141" s="176">
        <v>20368</v>
      </c>
      <c r="O141" s="329">
        <f t="shared" si="39"/>
        <v>21.284669386554931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'[29]Sch C'!D138</f>
        <v>835388</v>
      </c>
      <c r="D142" s="480">
        <f>'[29]Sch C'!F138</f>
        <v>26397</v>
      </c>
      <c r="E142" s="480">
        <f>+'[29]Sch C'!H138</f>
        <v>0</v>
      </c>
      <c r="F142" s="166">
        <f>C142+D142+E142</f>
        <v>861785</v>
      </c>
      <c r="G142" s="626"/>
      <c r="H142" s="166"/>
      <c r="I142" s="166">
        <f>F142+G142+H142</f>
        <v>861785</v>
      </c>
      <c r="J142" s="167">
        <f>IF($I$213=0,0,I142/$I$213)</f>
        <v>9.4427124833560805E-2</v>
      </c>
      <c r="K142" s="458"/>
      <c r="L142" s="176">
        <v>57389</v>
      </c>
      <c r="M142" s="176">
        <v>59737</v>
      </c>
      <c r="O142" s="329">
        <f t="shared" si="39"/>
        <v>31.675120373433309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'[29]Sch C'!D139</f>
        <v>0</v>
      </c>
      <c r="D143" s="480">
        <f>'[29]Sch C'!F139</f>
        <v>0</v>
      </c>
      <c r="E143" s="480">
        <f>+'[29]Sch C'!H139</f>
        <v>0</v>
      </c>
      <c r="F143" s="166">
        <f>C143+D143+E143</f>
        <v>0</v>
      </c>
      <c r="G143" s="626"/>
      <c r="H143" s="166"/>
      <c r="I143" s="166">
        <f>F143+G143+H143</f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39"/>
        <v>0</v>
      </c>
      <c r="P143" s="324">
        <f>SUMMARY!L145</f>
        <v>1.9999236429814966</v>
      </c>
    </row>
    <row r="144" spans="1:16" s="162" customFormat="1" ht="15.5">
      <c r="A144" s="164" t="s">
        <v>88</v>
      </c>
      <c r="B144" s="165" t="s">
        <v>145</v>
      </c>
      <c r="C144" s="188"/>
      <c r="D144" s="188"/>
      <c r="E144" s="188"/>
      <c r="F144"/>
      <c r="G144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'[29]Sch C'!D141</f>
        <v>0</v>
      </c>
      <c r="D145" s="480">
        <f>'[29]Sch C'!F141</f>
        <v>61381</v>
      </c>
      <c r="E145" s="480">
        <f>+'[29]Sch C'!H141</f>
        <v>0</v>
      </c>
      <c r="F145" s="166">
        <f>C145+D145+E145</f>
        <v>61381</v>
      </c>
      <c r="G145" s="626"/>
      <c r="H145" s="166"/>
      <c r="I145" s="166">
        <f>F145+G145+H145</f>
        <v>61381</v>
      </c>
      <c r="J145" s="167">
        <f>IF($I$213=0,0,I145/$I$213)</f>
        <v>6.7256117818351394E-3</v>
      </c>
      <c r="K145" s="458"/>
      <c r="L145" s="163"/>
      <c r="M145" s="163"/>
      <c r="O145" s="329">
        <f t="shared" si="39"/>
        <v>2.2560738045355975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'[29]Sch C'!D142</f>
        <v>0</v>
      </c>
      <c r="D146" s="480">
        <f>'[29]Sch C'!F142</f>
        <v>72933</v>
      </c>
      <c r="E146" s="480">
        <f>+'[29]Sch C'!H142</f>
        <v>0</v>
      </c>
      <c r="F146" s="166">
        <f>C146+D146+E146</f>
        <v>72933</v>
      </c>
      <c r="G146" s="626"/>
      <c r="H146" s="166"/>
      <c r="I146" s="166">
        <f>F146+G146+H146</f>
        <v>72933</v>
      </c>
      <c r="J146" s="167">
        <f>IF($I$213=0,0,I146/$I$213)</f>
        <v>7.9913824161317384E-3</v>
      </c>
      <c r="K146" s="458"/>
      <c r="L146" s="163"/>
      <c r="M146" s="163"/>
      <c r="O146" s="329">
        <f t="shared" si="39"/>
        <v>2.6806704157018415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'[29]Sch C'!D143</f>
        <v>0</v>
      </c>
      <c r="D147" s="480">
        <f>'[29]Sch C'!F143</f>
        <v>108537</v>
      </c>
      <c r="E147" s="480">
        <f>+'[29]Sch C'!H143</f>
        <v>0</v>
      </c>
      <c r="F147" s="166">
        <f>C147+D147+E147</f>
        <v>108537</v>
      </c>
      <c r="G147" s="626"/>
      <c r="H147" s="166"/>
      <c r="I147" s="166">
        <f>F147+G147+H147</f>
        <v>108537</v>
      </c>
      <c r="J147" s="167">
        <f>IF($I$213=0,0,I147/$I$213)</f>
        <v>1.1892568155700308E-2</v>
      </c>
      <c r="K147" s="458"/>
      <c r="L147" s="163"/>
      <c r="M147" s="163"/>
      <c r="O147" s="329">
        <f t="shared" si="39"/>
        <v>3.9893042231778586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'[29]Sch C'!D144</f>
        <v>0</v>
      </c>
      <c r="D148" s="480">
        <f>'[29]Sch C'!F144</f>
        <v>0</v>
      </c>
      <c r="E148" s="480">
        <f>+'[29]Sch C'!H144</f>
        <v>0</v>
      </c>
      <c r="F148" s="166">
        <f>C148+D148+E148</f>
        <v>0</v>
      </c>
      <c r="G148" s="626"/>
      <c r="H148" s="166"/>
      <c r="I148" s="166">
        <f>F148+G148+H148</f>
        <v>0</v>
      </c>
      <c r="J148" s="167">
        <f>IF($I$213=0,0,I148/$I$213)</f>
        <v>0</v>
      </c>
      <c r="K148" s="458"/>
      <c r="L148" s="163"/>
      <c r="M148" s="163"/>
      <c r="O148" s="329">
        <f t="shared" si="39"/>
        <v>0</v>
      </c>
      <c r="P148" s="324">
        <f>SUMMARY!L150</f>
        <v>0.58146571018408233</v>
      </c>
    </row>
    <row r="149" spans="1:16" s="162" customFormat="1" ht="15.5">
      <c r="A149" s="164" t="s">
        <v>79</v>
      </c>
      <c r="B149" s="165" t="s">
        <v>90</v>
      </c>
      <c r="C149" s="188"/>
      <c r="D149" s="188"/>
      <c r="E149" s="188"/>
      <c r="F149"/>
      <c r="G149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'[29]Sch C'!D146</f>
        <v>99750</v>
      </c>
      <c r="D150" s="480">
        <f>'[29]Sch C'!F146</f>
        <v>0</v>
      </c>
      <c r="E150" s="480">
        <f>+'[29]Sch C'!H146</f>
        <v>0</v>
      </c>
      <c r="F150" s="166">
        <f t="shared" ref="F150:F158" si="40">C150+D150+E150</f>
        <v>99750</v>
      </c>
      <c r="G150" s="626"/>
      <c r="H150" s="166"/>
      <c r="I150" s="166">
        <f t="shared" ref="I150:I158" si="41">F150+G150+H150</f>
        <v>99750</v>
      </c>
      <c r="J150" s="167">
        <f t="shared" ref="J150:J158" si="42">IF($I$213=0,0,I150/$I$213)</f>
        <v>1.0929762878383461E-2</v>
      </c>
      <c r="K150" s="458"/>
      <c r="L150" s="176">
        <v>0</v>
      </c>
      <c r="M150" s="176">
        <v>0</v>
      </c>
      <c r="O150" s="329">
        <f t="shared" si="39"/>
        <v>3.6663358694453634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'[29]Sch C'!D147</f>
        <v>4881</v>
      </c>
      <c r="D151" s="480">
        <f>'[29]Sch C'!F147</f>
        <v>0</v>
      </c>
      <c r="E151" s="480">
        <f>+'[29]Sch C'!H147</f>
        <v>0</v>
      </c>
      <c r="F151" s="166">
        <f t="shared" si="40"/>
        <v>4881</v>
      </c>
      <c r="G151" s="626"/>
      <c r="H151" s="166"/>
      <c r="I151" s="166">
        <f t="shared" si="41"/>
        <v>4881</v>
      </c>
      <c r="J151" s="167">
        <f t="shared" si="42"/>
        <v>5.3481877302646288E-4</v>
      </c>
      <c r="K151" s="458"/>
      <c r="L151" s="176">
        <v>0</v>
      </c>
      <c r="M151" s="176">
        <v>0</v>
      </c>
      <c r="O151" s="329">
        <f t="shared" si="39"/>
        <v>0.17940235968684529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'[29]Sch C'!D148</f>
        <v>1770</v>
      </c>
      <c r="D152" s="480">
        <f>'[29]Sch C'!F148</f>
        <v>0</v>
      </c>
      <c r="E152" s="480">
        <f>+'[29]Sch C'!H148</f>
        <v>0</v>
      </c>
      <c r="F152" s="166">
        <f t="shared" si="40"/>
        <v>1770</v>
      </c>
      <c r="G152" s="626"/>
      <c r="H152" s="166"/>
      <c r="I152" s="166">
        <f t="shared" si="41"/>
        <v>1770</v>
      </c>
      <c r="J152" s="167">
        <f t="shared" si="42"/>
        <v>1.9394165709011254E-4</v>
      </c>
      <c r="K152" s="458"/>
      <c r="L152" s="176">
        <v>0</v>
      </c>
      <c r="M152" s="176">
        <v>0</v>
      </c>
      <c r="O152" s="329">
        <f t="shared" si="39"/>
        <v>6.5056786856323739E-2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'[29]Sch C'!D149</f>
        <v>111702</v>
      </c>
      <c r="D153" s="480">
        <f>'[29]Sch C'!F149</f>
        <v>0</v>
      </c>
      <c r="E153" s="480">
        <f>+'[29]Sch C'!H149</f>
        <v>0</v>
      </c>
      <c r="F153" s="166">
        <f t="shared" si="40"/>
        <v>111702</v>
      </c>
      <c r="G153" s="626"/>
      <c r="H153" s="166"/>
      <c r="I153" s="166">
        <f t="shared" si="41"/>
        <v>111702</v>
      </c>
      <c r="J153" s="167">
        <f t="shared" si="42"/>
        <v>1.2239362135751271E-2</v>
      </c>
      <c r="K153" s="458"/>
      <c r="L153" s="176">
        <v>0</v>
      </c>
      <c r="M153" s="176">
        <v>0</v>
      </c>
      <c r="O153" s="329">
        <f t="shared" si="39"/>
        <v>4.1056345793362006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'[29]Sch C'!D150</f>
        <v>13157</v>
      </c>
      <c r="D154" s="480">
        <f>'[29]Sch C'!F150</f>
        <v>0</v>
      </c>
      <c r="E154" s="480">
        <f>+'[29]Sch C'!H150</f>
        <v>0</v>
      </c>
      <c r="F154" s="166">
        <f t="shared" si="40"/>
        <v>13157</v>
      </c>
      <c r="G154" s="626"/>
      <c r="H154" s="166"/>
      <c r="I154" s="166">
        <f t="shared" si="41"/>
        <v>13157</v>
      </c>
      <c r="J154" s="167">
        <f t="shared" si="42"/>
        <v>1.4416329843698365E-3</v>
      </c>
      <c r="K154" s="458"/>
      <c r="L154" s="176">
        <v>0</v>
      </c>
      <c r="M154" s="176">
        <v>0</v>
      </c>
      <c r="O154" s="329">
        <f t="shared" si="39"/>
        <v>0.48358878229867314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'[29]Sch C'!D151</f>
        <v>142291</v>
      </c>
      <c r="D155" s="480">
        <f>'[29]Sch C'!F151</f>
        <v>0</v>
      </c>
      <c r="E155" s="480">
        <f>+'[29]Sch C'!H151</f>
        <v>0</v>
      </c>
      <c r="F155" s="166">
        <f t="shared" si="40"/>
        <v>142291</v>
      </c>
      <c r="G155" s="626"/>
      <c r="H155" s="166"/>
      <c r="I155" s="166">
        <f t="shared" si="41"/>
        <v>142291</v>
      </c>
      <c r="J155" s="167">
        <f t="shared" si="42"/>
        <v>1.559104651356452E-2</v>
      </c>
      <c r="K155" s="458"/>
      <c r="L155" s="163"/>
      <c r="M155" s="163"/>
      <c r="O155" s="329">
        <f t="shared" si="39"/>
        <v>5.2299408240526333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'[29]Sch C'!D152</f>
        <v>6528</v>
      </c>
      <c r="D156" s="480">
        <f>'[29]Sch C'!F152</f>
        <v>-2532</v>
      </c>
      <c r="E156" s="480">
        <f>+'[29]Sch C'!H152</f>
        <v>0</v>
      </c>
      <c r="F156" s="166">
        <f t="shared" si="40"/>
        <v>3996</v>
      </c>
      <c r="G156" s="626"/>
      <c r="H156" s="166"/>
      <c r="I156" s="166">
        <f t="shared" si="41"/>
        <v>3996</v>
      </c>
      <c r="J156" s="167">
        <f t="shared" si="42"/>
        <v>4.378479444814066E-4</v>
      </c>
      <c r="K156" s="458"/>
      <c r="L156" s="163"/>
      <c r="M156" s="163"/>
      <c r="O156" s="329">
        <f t="shared" si="39"/>
        <v>0.14687396625868343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'[29]Sch C'!D153</f>
        <v>0</v>
      </c>
      <c r="D157" s="480">
        <f>'[29]Sch C'!F153</f>
        <v>0</v>
      </c>
      <c r="E157" s="480">
        <f>+'[29]Sch C'!H153</f>
        <v>0</v>
      </c>
      <c r="F157" s="166">
        <f t="shared" si="40"/>
        <v>0</v>
      </c>
      <c r="G157" s="626"/>
      <c r="H157" s="166"/>
      <c r="I157" s="166">
        <f t="shared" si="41"/>
        <v>0</v>
      </c>
      <c r="J157" s="167">
        <f t="shared" si="42"/>
        <v>0</v>
      </c>
      <c r="K157" s="458"/>
      <c r="L157" s="163"/>
      <c r="M157" s="163"/>
      <c r="O157" s="329">
        <f t="shared" si="39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'[29]Sch C'!D154</f>
        <v>0</v>
      </c>
      <c r="D158" s="480">
        <f>'[29]Sch C'!F154</f>
        <v>0</v>
      </c>
      <c r="E158" s="480">
        <f>+'[29]Sch C'!H154</f>
        <v>0</v>
      </c>
      <c r="F158" s="166">
        <f t="shared" si="40"/>
        <v>0</v>
      </c>
      <c r="G158" s="626"/>
      <c r="H158" s="166"/>
      <c r="I158" s="166">
        <f t="shared" si="41"/>
        <v>0</v>
      </c>
      <c r="J158" s="167">
        <f t="shared" si="42"/>
        <v>0</v>
      </c>
      <c r="K158" s="458"/>
      <c r="L158" s="163"/>
      <c r="M158" s="163"/>
      <c r="O158" s="329">
        <f t="shared" si="39"/>
        <v>0</v>
      </c>
      <c r="P158" s="324">
        <f>SUMMARY!L160</f>
        <v>1.5994484918386225</v>
      </c>
    </row>
    <row r="159" spans="1:16" s="162" customFormat="1" ht="15.5">
      <c r="A159" s="164"/>
      <c r="B159" s="201" t="s">
        <v>93</v>
      </c>
      <c r="C159" s="479"/>
      <c r="D159" s="479"/>
      <c r="E159" s="479"/>
      <c r="F159"/>
      <c r="G15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'[29]Sch C'!D156</f>
        <v>0</v>
      </c>
      <c r="D160" s="480">
        <f>'[29]Sch C'!F156</f>
        <v>0</v>
      </c>
      <c r="E160" s="480">
        <f>+'[29]Sch C'!H156</f>
        <v>0</v>
      </c>
      <c r="F160" s="166">
        <f t="shared" ref="F160:F165" si="43">C160+D160+E160</f>
        <v>0</v>
      </c>
      <c r="G160" s="626"/>
      <c r="H160" s="166"/>
      <c r="I160" s="166">
        <f t="shared" ref="I160:I165" si="44">F160+G160+H160</f>
        <v>0</v>
      </c>
      <c r="J160" s="167">
        <f t="shared" ref="J160:J166" si="45">IF($I$213=0,0,I160/$I$213)</f>
        <v>0</v>
      </c>
      <c r="K160" s="458"/>
      <c r="L160" s="163"/>
      <c r="M160" s="163"/>
      <c r="O160" s="329">
        <f t="shared" si="39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'[29]Sch C'!D157</f>
        <v>0</v>
      </c>
      <c r="D161" s="480">
        <f>'[29]Sch C'!F157</f>
        <v>0</v>
      </c>
      <c r="E161" s="480">
        <f>+'[29]Sch C'!H157</f>
        <v>0</v>
      </c>
      <c r="F161" s="166">
        <f t="shared" si="43"/>
        <v>0</v>
      </c>
      <c r="G161" s="626"/>
      <c r="H161" s="166"/>
      <c r="I161" s="166">
        <f t="shared" si="44"/>
        <v>0</v>
      </c>
      <c r="J161" s="167">
        <f t="shared" si="45"/>
        <v>0</v>
      </c>
      <c r="K161" s="458"/>
      <c r="L161" s="163"/>
      <c r="M161" s="163"/>
      <c r="O161" s="329">
        <f t="shared" si="39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'[29]Sch C'!D158</f>
        <v>0</v>
      </c>
      <c r="D162" s="480">
        <f>'[29]Sch C'!F158</f>
        <v>0</v>
      </c>
      <c r="E162" s="480">
        <f>+'[29]Sch C'!H158</f>
        <v>0</v>
      </c>
      <c r="F162" s="166">
        <f t="shared" si="43"/>
        <v>0</v>
      </c>
      <c r="G162" s="626"/>
      <c r="H162" s="166"/>
      <c r="I162" s="166">
        <f t="shared" si="44"/>
        <v>0</v>
      </c>
      <c r="J162" s="167">
        <f t="shared" si="45"/>
        <v>0</v>
      </c>
      <c r="K162" s="458"/>
      <c r="L162" s="163"/>
      <c r="M162" s="163"/>
      <c r="O162" s="329">
        <f t="shared" si="39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'[29]Sch C'!D159</f>
        <v>0</v>
      </c>
      <c r="D163" s="480">
        <f>'[29]Sch C'!F159</f>
        <v>0</v>
      </c>
      <c r="E163" s="480">
        <f>+'[29]Sch C'!H159</f>
        <v>0</v>
      </c>
      <c r="F163" s="166">
        <f t="shared" si="43"/>
        <v>0</v>
      </c>
      <c r="G163" s="626"/>
      <c r="H163" s="166"/>
      <c r="I163" s="166">
        <f t="shared" si="44"/>
        <v>0</v>
      </c>
      <c r="J163" s="167">
        <f t="shared" si="45"/>
        <v>0</v>
      </c>
      <c r="K163" s="458"/>
      <c r="L163" s="163"/>
      <c r="M163" s="163"/>
      <c r="O163" s="329">
        <f t="shared" si="39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'[29]Sch C'!D160</f>
        <v>0</v>
      </c>
      <c r="D164" s="480">
        <f>'[29]Sch C'!F160</f>
        <v>0</v>
      </c>
      <c r="E164" s="480">
        <f>+'[29]Sch C'!H160</f>
        <v>0</v>
      </c>
      <c r="F164" s="166">
        <f t="shared" si="43"/>
        <v>0</v>
      </c>
      <c r="G164" s="626"/>
      <c r="H164" s="166"/>
      <c r="I164" s="166">
        <f t="shared" si="44"/>
        <v>0</v>
      </c>
      <c r="J164" s="167">
        <f>IF($I$213=0,0,I164/$I$213)</f>
        <v>0</v>
      </c>
      <c r="K164" s="458"/>
      <c r="L164" s="163"/>
      <c r="M164" s="163"/>
      <c r="O164" s="329">
        <f t="shared" si="39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'[29]Sch C'!D161</f>
        <v>1032</v>
      </c>
      <c r="D165" s="480">
        <f>'[29]Sch C'!F161</f>
        <v>0</v>
      </c>
      <c r="E165" s="480">
        <f>+'[29]Sch C'!H161</f>
        <v>0</v>
      </c>
      <c r="F165" s="166">
        <f t="shared" si="43"/>
        <v>1032</v>
      </c>
      <c r="G165" s="626"/>
      <c r="H165" s="166"/>
      <c r="I165" s="166">
        <f t="shared" si="44"/>
        <v>1032</v>
      </c>
      <c r="J165" s="167">
        <f t="shared" si="45"/>
        <v>1.1307784752372663E-4</v>
      </c>
      <c r="K165" s="458"/>
      <c r="L165" s="163"/>
      <c r="M165" s="163"/>
      <c r="O165" s="329">
        <f t="shared" si="39"/>
        <v>3.7931414709449773E-2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46">SUM(C128:C165)</f>
        <v>2660355</v>
      </c>
      <c r="D166" s="480">
        <f t="shared" si="46"/>
        <v>365615</v>
      </c>
      <c r="E166" s="480">
        <f t="shared" si="46"/>
        <v>0</v>
      </c>
      <c r="F166" s="166">
        <f t="shared" ref="F166:I166" si="47">SUM(F128:F165)</f>
        <v>3025970</v>
      </c>
      <c r="G166" s="166">
        <f t="shared" si="47"/>
        <v>0</v>
      </c>
      <c r="H166" s="166">
        <f t="shared" si="47"/>
        <v>0</v>
      </c>
      <c r="I166" s="166">
        <f t="shared" si="47"/>
        <v>3025970</v>
      </c>
      <c r="J166" s="167">
        <f t="shared" si="45"/>
        <v>0.33156024638698744</v>
      </c>
      <c r="K166" s="458"/>
      <c r="L166" s="163"/>
      <c r="M166" s="163"/>
      <c r="O166" s="329">
        <f>I166/I$233</f>
        <v>111.22027419414121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 ht="26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'[29]Sch C'!D175</f>
        <v>0</v>
      </c>
      <c r="D169" s="480">
        <f>'[29]Sch C'!F175</f>
        <v>0</v>
      </c>
      <c r="E169" s="480">
        <f>+'[29]Sch C'!H175</f>
        <v>0</v>
      </c>
      <c r="F169" s="166">
        <f t="shared" ref="F169:F201" si="48">C169+D169+E169</f>
        <v>0</v>
      </c>
      <c r="G169" s="626"/>
      <c r="H169" s="166"/>
      <c r="I169" s="166">
        <f t="shared" ref="I169:I201" si="49">F169+G169+H169</f>
        <v>0</v>
      </c>
      <c r="J169" s="167">
        <f t="shared" ref="J169:J201" si="50">IF($I$213=0,0,I169/$I$213)</f>
        <v>0</v>
      </c>
      <c r="K169" s="468"/>
      <c r="L169" s="176">
        <v>0</v>
      </c>
      <c r="M169" s="176">
        <v>0</v>
      </c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'[29]Sch C'!D176</f>
        <v>0</v>
      </c>
      <c r="D170" s="480">
        <f>'[29]Sch C'!F176</f>
        <v>0</v>
      </c>
      <c r="E170" s="480">
        <f>+'[29]Sch C'!H176</f>
        <v>0</v>
      </c>
      <c r="F170" s="166">
        <f t="shared" si="48"/>
        <v>0</v>
      </c>
      <c r="G170" s="626"/>
      <c r="H170" s="166"/>
      <c r="I170" s="166">
        <f t="shared" si="49"/>
        <v>0</v>
      </c>
      <c r="J170" s="167">
        <f t="shared" si="50"/>
        <v>0</v>
      </c>
      <c r="K170" s="469"/>
      <c r="L170" s="212"/>
      <c r="M170" s="212"/>
      <c r="O170" s="329">
        <f t="shared" ref="O170:O201" si="5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'[29]Sch C'!D177</f>
        <v>746160</v>
      </c>
      <c r="D171" s="480">
        <f>'[29]Sch C'!F177</f>
        <v>23577</v>
      </c>
      <c r="E171" s="480">
        <f>+'[29]Sch C'!H177</f>
        <v>0</v>
      </c>
      <c r="F171" s="166">
        <f t="shared" si="48"/>
        <v>769737</v>
      </c>
      <c r="G171" s="626"/>
      <c r="H171" s="166"/>
      <c r="I171" s="166">
        <f t="shared" si="49"/>
        <v>769737</v>
      </c>
      <c r="J171" s="167">
        <f t="shared" si="50"/>
        <v>8.4341282092413525E-2</v>
      </c>
      <c r="K171" s="468"/>
      <c r="L171" s="176">
        <v>26568</v>
      </c>
      <c r="M171" s="176">
        <v>28344</v>
      </c>
      <c r="O171" s="329">
        <f t="shared" si="51"/>
        <v>28.291873414929981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'[29]Sch C'!D178</f>
        <v>0</v>
      </c>
      <c r="D172" s="480">
        <f>'[29]Sch C'!F178</f>
        <v>96944</v>
      </c>
      <c r="E172" s="480">
        <f>+'[29]Sch C'!H178</f>
        <v>0</v>
      </c>
      <c r="F172" s="166">
        <f t="shared" si="48"/>
        <v>96944</v>
      </c>
      <c r="G172" s="626"/>
      <c r="H172" s="166"/>
      <c r="I172" s="166">
        <f t="shared" si="49"/>
        <v>96944</v>
      </c>
      <c r="J172" s="167">
        <f t="shared" si="50"/>
        <v>1.0622305087538909E-2</v>
      </c>
      <c r="K172" s="469"/>
      <c r="L172" s="212"/>
      <c r="M172" s="212"/>
      <c r="O172" s="329">
        <f t="shared" si="51"/>
        <v>3.5632006468923438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'[29]Sch C'!D179</f>
        <v>147616</v>
      </c>
      <c r="D173" s="480">
        <f>'[29]Sch C'!F179</f>
        <v>4664</v>
      </c>
      <c r="E173" s="480">
        <f>+'[29]Sch C'!H179</f>
        <v>0</v>
      </c>
      <c r="F173" s="166">
        <f t="shared" si="48"/>
        <v>152280</v>
      </c>
      <c r="G173" s="626"/>
      <c r="H173" s="166"/>
      <c r="I173" s="166">
        <f t="shared" si="49"/>
        <v>152280</v>
      </c>
      <c r="J173" s="167">
        <f t="shared" si="50"/>
        <v>1.668555680321036E-2</v>
      </c>
      <c r="K173" s="468"/>
      <c r="L173" s="176">
        <v>3621</v>
      </c>
      <c r="M173" s="176">
        <v>4008</v>
      </c>
      <c r="O173" s="329">
        <f t="shared" si="51"/>
        <v>5.5970889844525304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'[29]Sch C'!D180</f>
        <v>0</v>
      </c>
      <c r="D174" s="480">
        <f>'[29]Sch C'!F180</f>
        <v>19179</v>
      </c>
      <c r="E174" s="480">
        <f>+'[29]Sch C'!H180</f>
        <v>0</v>
      </c>
      <c r="F174" s="166">
        <f t="shared" si="48"/>
        <v>19179</v>
      </c>
      <c r="G174" s="626"/>
      <c r="H174" s="166"/>
      <c r="I174" s="166">
        <f t="shared" si="49"/>
        <v>19179</v>
      </c>
      <c r="J174" s="167">
        <f t="shared" si="50"/>
        <v>2.101472904706931E-3</v>
      </c>
      <c r="K174" s="469"/>
      <c r="L174" s="212"/>
      <c r="M174" s="212"/>
      <c r="O174" s="329">
        <f t="shared" si="51"/>
        <v>0.70492887859741982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'[29]Sch C'!D181</f>
        <v>0</v>
      </c>
      <c r="D175" s="480">
        <f>'[29]Sch C'!F181</f>
        <v>0</v>
      </c>
      <c r="E175" s="480">
        <f>+'[29]Sch C'!H181</f>
        <v>0</v>
      </c>
      <c r="F175" s="166">
        <f t="shared" si="48"/>
        <v>0</v>
      </c>
      <c r="G175" s="626"/>
      <c r="H175" s="166"/>
      <c r="I175" s="166">
        <f t="shared" si="49"/>
        <v>0</v>
      </c>
      <c r="J175" s="167">
        <f t="shared" si="50"/>
        <v>0</v>
      </c>
      <c r="K175" s="468"/>
      <c r="L175" s="176">
        <v>0</v>
      </c>
      <c r="M175" s="176">
        <v>0</v>
      </c>
      <c r="O175" s="329">
        <f t="shared" si="5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'[29]Sch C'!D182</f>
        <v>0</v>
      </c>
      <c r="D176" s="480">
        <f>'[29]Sch C'!F182</f>
        <v>0</v>
      </c>
      <c r="E176" s="480">
        <f>+'[29]Sch C'!H182</f>
        <v>0</v>
      </c>
      <c r="F176" s="166">
        <f t="shared" si="48"/>
        <v>0</v>
      </c>
      <c r="G176" s="626"/>
      <c r="H176" s="166"/>
      <c r="I176" s="166">
        <f t="shared" si="49"/>
        <v>0</v>
      </c>
      <c r="J176" s="167">
        <f t="shared" si="50"/>
        <v>0</v>
      </c>
      <c r="K176" s="469"/>
      <c r="L176" s="212"/>
      <c r="M176" s="212"/>
      <c r="O176" s="329">
        <f t="shared" si="5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'[29]Sch C'!D183</f>
        <v>455853</v>
      </c>
      <c r="D177" s="480">
        <f>'[29]Sch C'!F183</f>
        <v>14404</v>
      </c>
      <c r="E177" s="480">
        <f>+'[29]Sch C'!H183</f>
        <v>0</v>
      </c>
      <c r="F177" s="166">
        <f t="shared" si="48"/>
        <v>470257</v>
      </c>
      <c r="G177" s="626"/>
      <c r="H177" s="166"/>
      <c r="I177" s="166">
        <f t="shared" si="49"/>
        <v>470257</v>
      </c>
      <c r="J177" s="167">
        <f t="shared" si="50"/>
        <v>5.15267919989972E-2</v>
      </c>
      <c r="K177" s="468"/>
      <c r="L177" s="176">
        <v>14300</v>
      </c>
      <c r="M177" s="176">
        <v>15408</v>
      </c>
      <c r="O177" s="329">
        <f t="shared" si="51"/>
        <v>17.28441209982725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'[29]Sch C'!D184</f>
        <v>0</v>
      </c>
      <c r="D178" s="480">
        <f>'[29]Sch C'!F184</f>
        <v>59226</v>
      </c>
      <c r="E178" s="480">
        <f>+'[29]Sch C'!H184</f>
        <v>0</v>
      </c>
      <c r="F178" s="166">
        <f t="shared" si="48"/>
        <v>59226</v>
      </c>
      <c r="G178" s="626"/>
      <c r="H178" s="166"/>
      <c r="I178" s="166">
        <f t="shared" si="49"/>
        <v>59226</v>
      </c>
      <c r="J178" s="167">
        <f t="shared" si="50"/>
        <v>6.4894850750389851E-3</v>
      </c>
      <c r="K178" s="469"/>
      <c r="L178" s="212"/>
      <c r="M178" s="212"/>
      <c r="O178" s="329">
        <f t="shared" si="51"/>
        <v>2.1768662476568532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'[29]Sch C'!D185</f>
        <v>0</v>
      </c>
      <c r="D179" s="480">
        <f>'[29]Sch C'!F185</f>
        <v>0</v>
      </c>
      <c r="E179" s="480">
        <f>+'[29]Sch C'!H185</f>
        <v>0</v>
      </c>
      <c r="F179" s="166">
        <f t="shared" si="48"/>
        <v>0</v>
      </c>
      <c r="G179" s="626"/>
      <c r="H179" s="166"/>
      <c r="I179" s="166">
        <f t="shared" si="49"/>
        <v>0</v>
      </c>
      <c r="J179" s="167">
        <f t="shared" si="50"/>
        <v>0</v>
      </c>
      <c r="K179" s="468"/>
      <c r="L179" s="176">
        <v>0</v>
      </c>
      <c r="M179" s="176">
        <v>0</v>
      </c>
      <c r="O179" s="329">
        <f t="shared" si="5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'[29]Sch C'!D186</f>
        <v>0</v>
      </c>
      <c r="D180" s="480">
        <f>'[29]Sch C'!F186</f>
        <v>0</v>
      </c>
      <c r="E180" s="480">
        <f>+'[29]Sch C'!H186</f>
        <v>0</v>
      </c>
      <c r="F180" s="166">
        <f t="shared" si="48"/>
        <v>0</v>
      </c>
      <c r="G180" s="626"/>
      <c r="H180" s="166"/>
      <c r="I180" s="166">
        <f t="shared" si="49"/>
        <v>0</v>
      </c>
      <c r="J180" s="167">
        <f t="shared" si="50"/>
        <v>0</v>
      </c>
      <c r="K180" s="458"/>
      <c r="L180" s="213"/>
      <c r="M180" s="208"/>
      <c r="O180" s="329">
        <f t="shared" si="5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'[29]Sch C'!D187</f>
        <v>0</v>
      </c>
      <c r="D181" s="480">
        <f>'[29]Sch C'!F187</f>
        <v>0</v>
      </c>
      <c r="E181" s="480">
        <f>+'[29]Sch C'!H187</f>
        <v>0</v>
      </c>
      <c r="F181" s="166">
        <f t="shared" si="48"/>
        <v>0</v>
      </c>
      <c r="G181" s="626"/>
      <c r="H181" s="166"/>
      <c r="I181" s="166">
        <f t="shared" si="49"/>
        <v>0</v>
      </c>
      <c r="J181" s="167">
        <f t="shared" si="50"/>
        <v>0</v>
      </c>
      <c r="K181" s="458"/>
      <c r="L181" s="213"/>
      <c r="M181" s="208"/>
      <c r="O181" s="329">
        <f t="shared" si="5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'[29]Sch C'!D188</f>
        <v>12266</v>
      </c>
      <c r="D182" s="480">
        <f>'[29]Sch C'!F188</f>
        <v>0</v>
      </c>
      <c r="E182" s="480">
        <f>+'[29]Sch C'!H188</f>
        <v>0</v>
      </c>
      <c r="F182" s="166">
        <f t="shared" si="48"/>
        <v>12266</v>
      </c>
      <c r="G182" s="626"/>
      <c r="H182" s="166"/>
      <c r="I182" s="166">
        <f t="shared" si="49"/>
        <v>12266</v>
      </c>
      <c r="J182" s="167">
        <f t="shared" si="50"/>
        <v>1.344004726478712E-3</v>
      </c>
      <c r="K182" s="458"/>
      <c r="L182" s="213"/>
      <c r="M182" s="208"/>
      <c r="O182" s="329">
        <f t="shared" si="51"/>
        <v>0.45083985738964238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'[29]Sch C'!D189</f>
        <v>0</v>
      </c>
      <c r="D183" s="480">
        <f>'[29]Sch C'!F189</f>
        <v>0</v>
      </c>
      <c r="E183" s="480">
        <f>+'[29]Sch C'!H189</f>
        <v>0</v>
      </c>
      <c r="F183" s="166">
        <f t="shared" si="48"/>
        <v>0</v>
      </c>
      <c r="G183" s="626"/>
      <c r="H183" s="166"/>
      <c r="I183" s="166">
        <f t="shared" si="49"/>
        <v>0</v>
      </c>
      <c r="J183" s="167">
        <f t="shared" si="50"/>
        <v>0</v>
      </c>
      <c r="K183" s="458"/>
      <c r="L183" s="213"/>
      <c r="M183" s="208"/>
      <c r="O183" s="329">
        <f t="shared" si="5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'[29]Sch C'!D190</f>
        <v>0</v>
      </c>
      <c r="D184" s="480">
        <f>'[29]Sch C'!F190</f>
        <v>0</v>
      </c>
      <c r="E184" s="480">
        <f>+'[29]Sch C'!H190</f>
        <v>0</v>
      </c>
      <c r="F184" s="166">
        <f t="shared" si="48"/>
        <v>0</v>
      </c>
      <c r="G184" s="626"/>
      <c r="H184" s="166"/>
      <c r="I184" s="166">
        <f t="shared" si="49"/>
        <v>0</v>
      </c>
      <c r="J184" s="167">
        <f t="shared" si="50"/>
        <v>0</v>
      </c>
      <c r="K184" s="458"/>
      <c r="L184" s="213"/>
      <c r="M184" s="208"/>
      <c r="O184" s="329">
        <f t="shared" si="5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'[29]Sch C'!D191</f>
        <v>0</v>
      </c>
      <c r="D185" s="480">
        <f>'[29]Sch C'!F191</f>
        <v>0</v>
      </c>
      <c r="E185" s="480">
        <f>+'[29]Sch C'!H191</f>
        <v>0</v>
      </c>
      <c r="F185" s="166">
        <f t="shared" si="48"/>
        <v>0</v>
      </c>
      <c r="G185" s="626"/>
      <c r="H185" s="166"/>
      <c r="I185" s="166">
        <f t="shared" si="49"/>
        <v>0</v>
      </c>
      <c r="J185" s="167">
        <f t="shared" si="50"/>
        <v>0</v>
      </c>
      <c r="K185" s="458"/>
      <c r="L185" s="213"/>
      <c r="M185" s="208"/>
      <c r="O185" s="329">
        <f t="shared" si="5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'[29]Sch C'!D192</f>
        <v>0</v>
      </c>
      <c r="D186" s="480">
        <f>'[29]Sch C'!F192</f>
        <v>0</v>
      </c>
      <c r="E186" s="480">
        <f>+'[29]Sch C'!H192</f>
        <v>0</v>
      </c>
      <c r="F186" s="166">
        <f t="shared" si="48"/>
        <v>0</v>
      </c>
      <c r="G186" s="626"/>
      <c r="H186" s="166"/>
      <c r="I186" s="166">
        <f t="shared" si="49"/>
        <v>0</v>
      </c>
      <c r="J186" s="167">
        <f t="shared" si="50"/>
        <v>0</v>
      </c>
      <c r="K186" s="458"/>
      <c r="L186" s="213"/>
      <c r="M186" s="208"/>
      <c r="O186" s="329">
        <f t="shared" si="5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'[29]Sch C'!D193</f>
        <v>0</v>
      </c>
      <c r="D187" s="480">
        <f>'[29]Sch C'!F193</f>
        <v>0</v>
      </c>
      <c r="E187" s="480">
        <f>+'[29]Sch C'!H193</f>
        <v>0</v>
      </c>
      <c r="F187" s="166">
        <f t="shared" si="48"/>
        <v>0</v>
      </c>
      <c r="G187" s="626"/>
      <c r="H187" s="166"/>
      <c r="I187" s="166">
        <f t="shared" si="49"/>
        <v>0</v>
      </c>
      <c r="J187" s="167">
        <f t="shared" si="50"/>
        <v>0</v>
      </c>
      <c r="K187" s="458"/>
      <c r="L187" s="213"/>
      <c r="M187" s="208"/>
      <c r="O187" s="329">
        <f t="shared" si="5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'[29]Sch C'!D194</f>
        <v>936</v>
      </c>
      <c r="D188" s="480">
        <f>'[29]Sch C'!F194</f>
        <v>0</v>
      </c>
      <c r="E188" s="480">
        <f>+'[29]Sch C'!H194</f>
        <v>0</v>
      </c>
      <c r="F188" s="166">
        <f t="shared" si="48"/>
        <v>936</v>
      </c>
      <c r="G188" s="626"/>
      <c r="H188" s="166"/>
      <c r="I188" s="166">
        <f t="shared" si="49"/>
        <v>936</v>
      </c>
      <c r="J188" s="167">
        <f t="shared" si="50"/>
        <v>1.0255897798663577E-4</v>
      </c>
      <c r="K188" s="458"/>
      <c r="L188" s="213"/>
      <c r="M188" s="208"/>
      <c r="O188" s="329">
        <f t="shared" si="51"/>
        <v>3.4402911015547467E-2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'[29]Sch C'!D195</f>
        <v>3250</v>
      </c>
      <c r="D189" s="480">
        <f>'[29]Sch C'!F195</f>
        <v>0</v>
      </c>
      <c r="E189" s="480">
        <f>+'[29]Sch C'!H195</f>
        <v>0</v>
      </c>
      <c r="F189" s="166">
        <f t="shared" si="48"/>
        <v>3250</v>
      </c>
      <c r="G189" s="626"/>
      <c r="H189" s="166"/>
      <c r="I189" s="166">
        <f t="shared" si="49"/>
        <v>3250</v>
      </c>
      <c r="J189" s="167">
        <f t="shared" si="50"/>
        <v>3.5610756245359643E-4</v>
      </c>
      <c r="K189" s="458"/>
      <c r="L189" s="213"/>
      <c r="M189" s="208"/>
      <c r="O189" s="329">
        <f t="shared" si="51"/>
        <v>0.11945455213731761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'[29]Sch C'!D196</f>
        <v>0</v>
      </c>
      <c r="D190" s="480">
        <f>'[29]Sch C'!F196</f>
        <v>0</v>
      </c>
      <c r="E190" s="480">
        <f>+'[29]Sch C'!H196</f>
        <v>0</v>
      </c>
      <c r="F190" s="166">
        <f t="shared" si="48"/>
        <v>0</v>
      </c>
      <c r="G190" s="626"/>
      <c r="H190" s="166"/>
      <c r="I190" s="166">
        <f t="shared" si="49"/>
        <v>0</v>
      </c>
      <c r="J190" s="167">
        <f t="shared" si="50"/>
        <v>0</v>
      </c>
      <c r="K190" s="458"/>
      <c r="L190" s="213"/>
      <c r="M190" s="208"/>
      <c r="O190" s="329">
        <f t="shared" si="5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'[29]Sch C'!D197</f>
        <v>88522</v>
      </c>
      <c r="D191" s="480">
        <f>'[29]Sch C'!F197</f>
        <v>0</v>
      </c>
      <c r="E191" s="480">
        <f>+'[29]Sch C'!H197</f>
        <v>0</v>
      </c>
      <c r="F191" s="166">
        <f t="shared" si="48"/>
        <v>88522</v>
      </c>
      <c r="G191" s="626"/>
      <c r="H191" s="166"/>
      <c r="I191" s="166">
        <f t="shared" si="49"/>
        <v>88522</v>
      </c>
      <c r="J191" s="167">
        <f t="shared" si="50"/>
        <v>9.6994934287745437E-3</v>
      </c>
      <c r="K191" s="458"/>
      <c r="L191" s="213"/>
      <c r="M191" s="208"/>
      <c r="O191" s="329">
        <f t="shared" si="51"/>
        <v>3.2536479582460398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'[29]Sch C'!D198</f>
        <v>0</v>
      </c>
      <c r="D192" s="480">
        <f>'[29]Sch C'!F198</f>
        <v>0</v>
      </c>
      <c r="E192" s="480">
        <f>+'[29]Sch C'!H198</f>
        <v>0</v>
      </c>
      <c r="F192" s="166">
        <f t="shared" si="48"/>
        <v>0</v>
      </c>
      <c r="G192" s="626"/>
      <c r="H192" s="166"/>
      <c r="I192" s="166">
        <f t="shared" si="49"/>
        <v>0</v>
      </c>
      <c r="J192" s="167">
        <f t="shared" si="50"/>
        <v>0</v>
      </c>
      <c r="K192" s="458"/>
      <c r="L192" s="213"/>
      <c r="M192" s="208"/>
      <c r="O192" s="329">
        <f t="shared" si="51"/>
        <v>0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'[29]Sch C'!D199</f>
        <v>0</v>
      </c>
      <c r="D193" s="480">
        <f>'[29]Sch C'!F199</f>
        <v>0</v>
      </c>
      <c r="E193" s="480">
        <f>+'[29]Sch C'!H199</f>
        <v>0</v>
      </c>
      <c r="F193" s="166">
        <f t="shared" si="48"/>
        <v>0</v>
      </c>
      <c r="G193" s="626"/>
      <c r="H193" s="166"/>
      <c r="I193" s="166">
        <f t="shared" si="49"/>
        <v>0</v>
      </c>
      <c r="J193" s="167">
        <f t="shared" si="50"/>
        <v>0</v>
      </c>
      <c r="K193" s="458"/>
      <c r="L193" s="213"/>
      <c r="M193" s="208"/>
      <c r="O193" s="329">
        <f t="shared" si="5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'[29]Sch C'!D200</f>
        <v>0</v>
      </c>
      <c r="D194" s="480">
        <f>'[29]Sch C'!F200</f>
        <v>0</v>
      </c>
      <c r="E194" s="480">
        <f>+'[29]Sch C'!H200</f>
        <v>0</v>
      </c>
      <c r="F194" s="166">
        <f t="shared" si="48"/>
        <v>0</v>
      </c>
      <c r="G194" s="626"/>
      <c r="H194" s="166"/>
      <c r="I194" s="166">
        <f t="shared" si="49"/>
        <v>0</v>
      </c>
      <c r="J194" s="167">
        <f t="shared" si="50"/>
        <v>0</v>
      </c>
      <c r="K194" s="458"/>
      <c r="L194" s="213"/>
      <c r="M194" s="208"/>
      <c r="O194" s="329">
        <f t="shared" si="5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'[29]Sch C'!D201</f>
        <v>0</v>
      </c>
      <c r="D195" s="480">
        <f>'[29]Sch C'!F201</f>
        <v>0</v>
      </c>
      <c r="E195" s="480">
        <f>+'[29]Sch C'!H201</f>
        <v>0</v>
      </c>
      <c r="F195" s="166">
        <f t="shared" si="48"/>
        <v>0</v>
      </c>
      <c r="G195" s="626"/>
      <c r="H195" s="166"/>
      <c r="I195" s="166">
        <f t="shared" si="49"/>
        <v>0</v>
      </c>
      <c r="J195" s="167">
        <f t="shared" si="50"/>
        <v>0</v>
      </c>
      <c r="K195" s="458"/>
      <c r="L195" s="213"/>
      <c r="M195" s="208"/>
      <c r="O195" s="329">
        <f t="shared" si="5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'[29]Sch C'!D202</f>
        <v>0</v>
      </c>
      <c r="D196" s="480">
        <f>'[29]Sch C'!F202</f>
        <v>0</v>
      </c>
      <c r="E196" s="480">
        <f>+'[29]Sch C'!H202</f>
        <v>0</v>
      </c>
      <c r="F196" s="166">
        <f t="shared" si="48"/>
        <v>0</v>
      </c>
      <c r="G196" s="626"/>
      <c r="H196" s="166"/>
      <c r="I196" s="166">
        <f t="shared" si="49"/>
        <v>0</v>
      </c>
      <c r="J196" s="167">
        <f t="shared" si="50"/>
        <v>0</v>
      </c>
      <c r="K196" s="458"/>
      <c r="L196" s="213"/>
      <c r="M196" s="208"/>
      <c r="O196" s="329">
        <f t="shared" si="5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'[29]Sch C'!D203</f>
        <v>0</v>
      </c>
      <c r="D197" s="480">
        <f>'[29]Sch C'!F203</f>
        <v>0</v>
      </c>
      <c r="E197" s="480">
        <f>+'[29]Sch C'!H203</f>
        <v>0</v>
      </c>
      <c r="F197" s="166">
        <f t="shared" si="48"/>
        <v>0</v>
      </c>
      <c r="G197" s="626"/>
      <c r="H197" s="166"/>
      <c r="I197" s="166">
        <f t="shared" si="49"/>
        <v>0</v>
      </c>
      <c r="J197" s="167">
        <f t="shared" si="50"/>
        <v>0</v>
      </c>
      <c r="K197" s="458"/>
      <c r="L197" s="213"/>
      <c r="M197" s="208"/>
      <c r="O197" s="329">
        <f t="shared" si="5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'[29]Sch C'!D204</f>
        <v>0</v>
      </c>
      <c r="D198" s="480">
        <f>'[29]Sch C'!F204</f>
        <v>0</v>
      </c>
      <c r="E198" s="480">
        <f>+'[29]Sch C'!H204</f>
        <v>0</v>
      </c>
      <c r="F198" s="166">
        <f t="shared" si="48"/>
        <v>0</v>
      </c>
      <c r="G198" s="626"/>
      <c r="H198" s="166"/>
      <c r="I198" s="166">
        <f t="shared" si="49"/>
        <v>0</v>
      </c>
      <c r="J198" s="167">
        <f t="shared" si="50"/>
        <v>0</v>
      </c>
      <c r="K198" s="458"/>
      <c r="L198" s="213"/>
      <c r="M198" s="208"/>
      <c r="O198" s="329">
        <f t="shared" si="5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'[29]Sch C'!D205</f>
        <v>404380</v>
      </c>
      <c r="D199" s="480">
        <f>'[29]Sch C'!F205</f>
        <v>0</v>
      </c>
      <c r="E199" s="480">
        <f>+'[29]Sch C'!H205</f>
        <v>0</v>
      </c>
      <c r="F199" s="166">
        <f t="shared" si="48"/>
        <v>404380</v>
      </c>
      <c r="G199" s="626"/>
      <c r="H199" s="166"/>
      <c r="I199" s="166">
        <f t="shared" si="49"/>
        <v>404380</v>
      </c>
      <c r="J199" s="167">
        <f t="shared" si="50"/>
        <v>4.4308546493841638E-2</v>
      </c>
      <c r="K199" s="458"/>
      <c r="L199" s="213"/>
      <c r="M199" s="208"/>
      <c r="O199" s="329">
        <f t="shared" si="51"/>
        <v>14.863086705627229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'[29]Sch C'!D206</f>
        <v>10188</v>
      </c>
      <c r="D200" s="480">
        <f>'[29]Sch C'!F206</f>
        <v>0</v>
      </c>
      <c r="E200" s="480">
        <f>+'[29]Sch C'!H206</f>
        <v>0</v>
      </c>
      <c r="F200" s="166">
        <f t="shared" si="48"/>
        <v>10188</v>
      </c>
      <c r="G200" s="626"/>
      <c r="H200" s="166"/>
      <c r="I200" s="166">
        <f t="shared" si="49"/>
        <v>10188</v>
      </c>
      <c r="J200" s="167">
        <f t="shared" si="50"/>
        <v>1.1163150296237664E-3</v>
      </c>
      <c r="K200" s="458"/>
      <c r="L200" s="213"/>
      <c r="M200" s="208"/>
      <c r="O200" s="329">
        <f t="shared" si="51"/>
        <v>0.37446245451538207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'[29]Sch C'!D207</f>
        <v>19786</v>
      </c>
      <c r="D201" s="480">
        <f>'[29]Sch C'!F207</f>
        <v>0</v>
      </c>
      <c r="E201" s="480">
        <f>+'[29]Sch C'!H207</f>
        <v>0</v>
      </c>
      <c r="F201" s="166">
        <f t="shared" si="48"/>
        <v>19786</v>
      </c>
      <c r="G201" s="626"/>
      <c r="H201" s="166"/>
      <c r="I201" s="166">
        <f t="shared" si="49"/>
        <v>19786</v>
      </c>
      <c r="J201" s="167">
        <f t="shared" si="50"/>
        <v>2.1679828402174951E-3</v>
      </c>
      <c r="K201" s="458"/>
      <c r="L201" s="213"/>
      <c r="M201" s="208"/>
      <c r="O201" s="329">
        <f t="shared" si="51"/>
        <v>0.72723931341198955</v>
      </c>
      <c r="P201" s="324">
        <f>SUMMARY!L203</f>
        <v>0.38409432252006021</v>
      </c>
    </row>
    <row r="202" spans="1:16" s="162" customFormat="1" ht="26">
      <c r="A202" s="158"/>
      <c r="B202" s="204" t="s">
        <v>122</v>
      </c>
      <c r="C202" s="480">
        <f t="shared" ref="C202:E202" si="52">SUM(C169:C201)</f>
        <v>1888957</v>
      </c>
      <c r="D202" s="480">
        <f t="shared" si="52"/>
        <v>217994</v>
      </c>
      <c r="E202" s="480">
        <f t="shared" si="52"/>
        <v>0</v>
      </c>
      <c r="F202" s="166">
        <f t="shared" ref="F202:I202" si="53">SUM(F169:F201)</f>
        <v>2106951</v>
      </c>
      <c r="G202" s="166">
        <f t="shared" si="53"/>
        <v>0</v>
      </c>
      <c r="H202" s="166">
        <f t="shared" si="53"/>
        <v>0</v>
      </c>
      <c r="I202" s="166">
        <f t="shared" si="53"/>
        <v>2106951</v>
      </c>
      <c r="J202" s="167">
        <f>IF($I$213=0,0,I202/$I$213)</f>
        <v>0.23086190302128232</v>
      </c>
      <c r="K202" s="458"/>
      <c r="L202" s="163"/>
      <c r="M202" s="163"/>
      <c r="O202" s="329">
        <f>I202/I$233</f>
        <v>77.441504024699526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'[29]Sch C'!D211</f>
        <v>148363</v>
      </c>
      <c r="D205" s="480">
        <f>'[29]Sch C'!F211</f>
        <v>4688</v>
      </c>
      <c r="E205" s="480">
        <f>+'[29]Sch C'!H211</f>
        <v>0</v>
      </c>
      <c r="F205" s="166">
        <f t="shared" ref="F205:F210" si="54">C205+D205+E205</f>
        <v>153051</v>
      </c>
      <c r="G205" s="626"/>
      <c r="H205" s="166"/>
      <c r="I205" s="166">
        <f t="shared" ref="I205:I210" si="55">F205+G205+H205</f>
        <v>153051</v>
      </c>
      <c r="J205" s="167">
        <f t="shared" ref="J205:J211" si="56">IF($I$213=0,0,I205/$I$213)</f>
        <v>1.6770036474180121E-2</v>
      </c>
      <c r="K205" s="458"/>
      <c r="L205" s="176">
        <v>7935</v>
      </c>
      <c r="M205" s="176">
        <v>8242</v>
      </c>
      <c r="O205" s="329">
        <f t="shared" ref="O205:O210" si="57">I205/I$233</f>
        <v>5.6254272797441836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'[29]Sch C'!D212</f>
        <v>0</v>
      </c>
      <c r="D206" s="480">
        <f>'[29]Sch C'!F212</f>
        <v>19276</v>
      </c>
      <c r="E206" s="480">
        <f>+'[29]Sch C'!H212</f>
        <v>0</v>
      </c>
      <c r="F206" s="166">
        <f t="shared" si="54"/>
        <v>19276</v>
      </c>
      <c r="G206" s="626"/>
      <c r="H206" s="166"/>
      <c r="I206" s="166">
        <f t="shared" si="55"/>
        <v>19276</v>
      </c>
      <c r="J206" s="167">
        <f t="shared" si="56"/>
        <v>2.1121013458017001E-3</v>
      </c>
      <c r="K206" s="458"/>
      <c r="L206" s="163"/>
      <c r="M206" s="163"/>
      <c r="O206" s="329">
        <f t="shared" si="57"/>
        <v>0.70849413753813362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'[29]Sch C'!D213</f>
        <v>16413</v>
      </c>
      <c r="D207" s="480">
        <f>'[29]Sch C'!F213</f>
        <v>0</v>
      </c>
      <c r="E207" s="480">
        <f>+'[29]Sch C'!H213</f>
        <v>0</v>
      </c>
      <c r="F207" s="166">
        <f t="shared" si="54"/>
        <v>16413</v>
      </c>
      <c r="G207" s="626"/>
      <c r="H207" s="166"/>
      <c r="I207" s="166">
        <f t="shared" si="55"/>
        <v>16413</v>
      </c>
      <c r="J207" s="167">
        <f t="shared" si="56"/>
        <v>1.7983979761695011E-3</v>
      </c>
      <c r="K207" s="458"/>
      <c r="L207" s="163"/>
      <c r="M207" s="163"/>
      <c r="O207" s="329">
        <f t="shared" si="57"/>
        <v>0.60326386591685965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'[29]Sch C'!D214</f>
        <v>0</v>
      </c>
      <c r="D208" s="480">
        <f>'[29]Sch C'!F214</f>
        <v>0</v>
      </c>
      <c r="E208" s="480">
        <f>+'[29]Sch C'!H214</f>
        <v>0</v>
      </c>
      <c r="F208" s="166">
        <f t="shared" si="54"/>
        <v>0</v>
      </c>
      <c r="G208" s="626"/>
      <c r="H208" s="166"/>
      <c r="I208" s="166">
        <f t="shared" si="55"/>
        <v>0</v>
      </c>
      <c r="J208" s="167">
        <f t="shared" si="56"/>
        <v>0</v>
      </c>
      <c r="K208" s="458"/>
      <c r="L208" s="163"/>
      <c r="M208" s="163"/>
      <c r="O208" s="329">
        <f t="shared" si="5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'[29]Sch C'!D215</f>
        <v>0</v>
      </c>
      <c r="D209" s="480">
        <f>'[29]Sch C'!F215</f>
        <v>0</v>
      </c>
      <c r="E209" s="480">
        <f>+'[29]Sch C'!H215</f>
        <v>0</v>
      </c>
      <c r="F209" s="166">
        <f t="shared" si="54"/>
        <v>0</v>
      </c>
      <c r="G209" s="626"/>
      <c r="H209" s="166"/>
      <c r="I209" s="166">
        <f t="shared" si="55"/>
        <v>0</v>
      </c>
      <c r="J209" s="167">
        <f t="shared" si="56"/>
        <v>0</v>
      </c>
      <c r="K209" s="458"/>
      <c r="L209" s="163"/>
      <c r="M209" s="163"/>
      <c r="O209" s="329">
        <f t="shared" si="5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'[29]Sch C'!D216</f>
        <v>11215</v>
      </c>
      <c r="D210" s="480">
        <f>'[29]Sch C'!F216</f>
        <v>0</v>
      </c>
      <c r="E210" s="480">
        <f>+'[29]Sch C'!H216</f>
        <v>0</v>
      </c>
      <c r="F210" s="166">
        <f t="shared" si="54"/>
        <v>11215</v>
      </c>
      <c r="G210" s="626"/>
      <c r="H210" s="166"/>
      <c r="I210" s="166">
        <f t="shared" si="55"/>
        <v>11215</v>
      </c>
      <c r="J210" s="167">
        <f t="shared" si="56"/>
        <v>1.2288450193591028E-3</v>
      </c>
      <c r="K210" s="458"/>
      <c r="L210" s="163"/>
      <c r="M210" s="163"/>
      <c r="O210" s="329">
        <f t="shared" si="57"/>
        <v>0.41221009299077443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58">SUM(C205:C210)</f>
        <v>175991</v>
      </c>
      <c r="D211" s="480">
        <f t="shared" si="58"/>
        <v>23964</v>
      </c>
      <c r="E211" s="480">
        <f t="shared" si="58"/>
        <v>0</v>
      </c>
      <c r="F211" s="166">
        <f t="shared" ref="F211:I211" si="59">SUM(F205:F210)</f>
        <v>199955</v>
      </c>
      <c r="G211" s="166">
        <f t="shared" si="59"/>
        <v>0</v>
      </c>
      <c r="H211" s="166">
        <f t="shared" si="59"/>
        <v>0</v>
      </c>
      <c r="I211" s="166">
        <f t="shared" si="59"/>
        <v>199955</v>
      </c>
      <c r="J211" s="167">
        <f t="shared" si="56"/>
        <v>2.1909380815510422E-2</v>
      </c>
      <c r="K211" s="458"/>
      <c r="L211" s="163"/>
      <c r="M211" s="163"/>
      <c r="O211" s="329">
        <f>I211/I$233</f>
        <v>7.3493953761899515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60">SUM(C30:C211)/2</f>
        <v>11408770</v>
      </c>
      <c r="D213" s="480">
        <f>SUM(D30:D211)/2</f>
        <v>-170967</v>
      </c>
      <c r="E213" s="480">
        <f t="shared" si="60"/>
        <v>0</v>
      </c>
      <c r="F213" s="166">
        <f t="shared" ref="F213:I213" si="61">SUM(F30:F211)/2</f>
        <v>11237803</v>
      </c>
      <c r="G213" s="166">
        <f t="shared" si="61"/>
        <v>0</v>
      </c>
      <c r="H213" s="166">
        <f t="shared" si="61"/>
        <v>-2111347</v>
      </c>
      <c r="I213" s="166">
        <f t="shared" si="61"/>
        <v>9126456</v>
      </c>
      <c r="J213" s="167">
        <f>IF($I$213=0,0,I213/$I$213)</f>
        <v>1</v>
      </c>
      <c r="K213" s="458"/>
      <c r="L213" s="176">
        <f>SUM(L30:L205)</f>
        <v>203651</v>
      </c>
      <c r="M213" s="176">
        <f>SUM(M30:M205)</f>
        <v>212879</v>
      </c>
      <c r="O213" s="329">
        <f>I213/I$233</f>
        <v>335.44514279413386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'[29]Sch C'!D221</f>
        <v>11408770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62">C26-C213</f>
        <v>-120992</v>
      </c>
      <c r="D220" s="480">
        <f t="shared" si="62"/>
        <v>170967</v>
      </c>
      <c r="E220" s="480">
        <f t="shared" si="62"/>
        <v>0</v>
      </c>
      <c r="F220" s="166">
        <f t="shared" ref="F220:I220" si="63">F26-F213</f>
        <v>49975</v>
      </c>
      <c r="G220" s="166">
        <f t="shared" si="63"/>
        <v>-1156692</v>
      </c>
      <c r="H220" s="166">
        <f t="shared" si="63"/>
        <v>2111347</v>
      </c>
      <c r="I220" s="166">
        <f t="shared" si="63"/>
        <v>1004630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'[29]Sch D'!C9</f>
        <v>10678</v>
      </c>
      <c r="D224" s="480"/>
      <c r="E224" s="480"/>
      <c r="F224" s="224">
        <f t="shared" ref="F224:F232" si="64">C224+D224+E224</f>
        <v>10678</v>
      </c>
      <c r="G224" s="627"/>
      <c r="H224" s="223"/>
      <c r="I224" s="224">
        <f t="shared" ref="I224:I232" si="65">F224+G224+H224</f>
        <v>10678</v>
      </c>
      <c r="J224" s="167">
        <f t="shared" ref="J224:J233" si="66">IF($I$233=0,0,I224/$I$233)</f>
        <v>0.39247252545300843</v>
      </c>
      <c r="K224" s="458"/>
      <c r="L224" s="163"/>
      <c r="M224" s="163"/>
    </row>
    <row r="225" spans="1:13">
      <c r="A225" s="158"/>
      <c r="B225" s="165" t="s">
        <v>201</v>
      </c>
      <c r="C225" s="504">
        <f>'[29]Sch D'!D9</f>
        <v>0</v>
      </c>
      <c r="D225" s="480"/>
      <c r="E225" s="480"/>
      <c r="F225" s="224">
        <f t="shared" si="64"/>
        <v>0</v>
      </c>
      <c r="G225" s="627"/>
      <c r="H225" s="223"/>
      <c r="I225" s="224">
        <f t="shared" si="65"/>
        <v>0</v>
      </c>
      <c r="J225" s="167">
        <f t="shared" si="66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'[29]Sch D'!E9</f>
        <v>8753</v>
      </c>
      <c r="D226" s="480"/>
      <c r="E226" s="480"/>
      <c r="F226" s="224">
        <f t="shared" si="64"/>
        <v>8753</v>
      </c>
      <c r="G226" s="627"/>
      <c r="H226" s="223"/>
      <c r="I226" s="224">
        <f t="shared" si="65"/>
        <v>8753</v>
      </c>
      <c r="J226" s="167">
        <f t="shared" si="66"/>
        <v>0.32171867534090492</v>
      </c>
      <c r="K226" s="458"/>
      <c r="L226" s="163"/>
      <c r="M226" s="163"/>
    </row>
    <row r="227" spans="1:13">
      <c r="A227" s="158"/>
      <c r="B227" s="194" t="s">
        <v>315</v>
      </c>
      <c r="C227" s="504">
        <f>'[29]Sch D'!F9</f>
        <v>1934</v>
      </c>
      <c r="D227" s="480"/>
      <c r="E227" s="480"/>
      <c r="F227" s="224">
        <f t="shared" si="64"/>
        <v>1934</v>
      </c>
      <c r="G227" s="627"/>
      <c r="H227" s="223"/>
      <c r="I227" s="224">
        <f t="shared" si="65"/>
        <v>1934</v>
      </c>
      <c r="J227" s="167">
        <f t="shared" si="66"/>
        <v>7.1084647333406845E-2</v>
      </c>
      <c r="K227" s="458"/>
      <c r="L227" s="163"/>
      <c r="M227" s="163"/>
    </row>
    <row r="228" spans="1:13">
      <c r="A228" s="158"/>
      <c r="B228" s="165" t="s">
        <v>65</v>
      </c>
      <c r="C228" s="504">
        <f>'[29]Sch D'!G9</f>
        <v>0</v>
      </c>
      <c r="D228" s="480"/>
      <c r="E228" s="480"/>
      <c r="F228" s="224">
        <f t="shared" si="64"/>
        <v>0</v>
      </c>
      <c r="G228" s="627"/>
      <c r="H228" s="223"/>
      <c r="I228" s="224">
        <f t="shared" si="65"/>
        <v>0</v>
      </c>
      <c r="J228" s="167">
        <f t="shared" si="66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'[29]Sch D'!H9</f>
        <v>4618</v>
      </c>
      <c r="D229" s="480"/>
      <c r="E229" s="480"/>
      <c r="F229" s="224">
        <f t="shared" si="64"/>
        <v>4618</v>
      </c>
      <c r="G229" s="627"/>
      <c r="H229" s="223"/>
      <c r="I229" s="224">
        <f t="shared" si="65"/>
        <v>4618</v>
      </c>
      <c r="J229" s="167">
        <f t="shared" si="66"/>
        <v>0.16973572977542545</v>
      </c>
      <c r="K229" s="458"/>
      <c r="L229" s="163"/>
      <c r="M229" s="163"/>
    </row>
    <row r="230" spans="1:13">
      <c r="A230" s="158"/>
      <c r="B230" s="165" t="s">
        <v>219</v>
      </c>
      <c r="C230" s="504">
        <f>'[29]Sch D'!I9</f>
        <v>0</v>
      </c>
      <c r="D230" s="480"/>
      <c r="E230" s="480"/>
      <c r="F230" s="224">
        <f t="shared" si="64"/>
        <v>0</v>
      </c>
      <c r="G230" s="627"/>
      <c r="H230" s="223"/>
      <c r="I230" s="224">
        <f t="shared" si="65"/>
        <v>0</v>
      </c>
      <c r="J230" s="167">
        <f t="shared" si="66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'[29]Sch D'!J9</f>
        <v>1224</v>
      </c>
      <c r="D231" s="480"/>
      <c r="E231" s="480"/>
      <c r="F231" s="224">
        <f t="shared" si="64"/>
        <v>1224</v>
      </c>
      <c r="G231" s="627"/>
      <c r="H231" s="223"/>
      <c r="I231" s="224">
        <f t="shared" si="65"/>
        <v>1224</v>
      </c>
      <c r="J231" s="167">
        <f>IF($I$233=0,0,I231/$I$233)</f>
        <v>4.4988422097254385E-2</v>
      </c>
      <c r="K231" s="458"/>
      <c r="L231" s="163"/>
      <c r="M231" s="163"/>
    </row>
    <row r="232" spans="1:13">
      <c r="A232" s="158"/>
      <c r="B232" s="165" t="s">
        <v>170</v>
      </c>
      <c r="C232" s="504">
        <f>'[29]Sch D'!K9</f>
        <v>0</v>
      </c>
      <c r="D232" s="480"/>
      <c r="E232" s="480"/>
      <c r="F232" s="224">
        <f t="shared" si="64"/>
        <v>0</v>
      </c>
      <c r="G232" s="627"/>
      <c r="H232" s="223"/>
      <c r="I232" s="224">
        <f t="shared" si="65"/>
        <v>0</v>
      </c>
      <c r="J232" s="167">
        <f t="shared" si="66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67">SUM(C224:C232)</f>
        <v>27207</v>
      </c>
      <c r="D233" s="504">
        <f t="shared" si="67"/>
        <v>0</v>
      </c>
      <c r="E233" s="504">
        <f t="shared" si="67"/>
        <v>0</v>
      </c>
      <c r="F233" s="226">
        <f t="shared" ref="F233:I233" si="68">SUM(F224:F232)</f>
        <v>27207</v>
      </c>
      <c r="G233" s="226">
        <f t="shared" si="68"/>
        <v>0</v>
      </c>
      <c r="H233" s="226">
        <f t="shared" si="68"/>
        <v>0</v>
      </c>
      <c r="I233" s="226">
        <f t="shared" si="68"/>
        <v>27207</v>
      </c>
      <c r="J233" s="167">
        <f t="shared" si="66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323"/>
      <c r="B236" s="194" t="s">
        <v>203</v>
      </c>
      <c r="C236" s="504">
        <f>'[29]Sch D'!N22</f>
        <v>103</v>
      </c>
      <c r="D236" s="480"/>
      <c r="E236" s="480"/>
      <c r="F236" s="224">
        <f>C236+E236</f>
        <v>103</v>
      </c>
      <c r="G236" s="627"/>
      <c r="H236" s="224"/>
      <c r="I236" s="224">
        <f>F236+G236+H236</f>
        <v>103</v>
      </c>
      <c r="K236" s="460"/>
      <c r="L236" s="163"/>
      <c r="M236" s="163"/>
    </row>
    <row r="237" spans="1:13">
      <c r="A237" s="158"/>
      <c r="B237" s="194" t="s">
        <v>271</v>
      </c>
      <c r="C237" s="504">
        <f>'[29]Sch D'!N24</f>
        <v>90</v>
      </c>
      <c r="D237" s="480"/>
      <c r="E237" s="480"/>
      <c r="F237" s="224">
        <f>C237+E237</f>
        <v>90</v>
      </c>
      <c r="G237" s="627"/>
      <c r="H237" s="441"/>
      <c r="I237" s="224">
        <f>F237+G237+H237</f>
        <v>90</v>
      </c>
      <c r="J237" s="442" t="s">
        <v>383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588" t="s">
        <v>419</v>
      </c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588" t="s">
        <v>466</v>
      </c>
      <c r="L239" s="163"/>
      <c r="M239" s="163"/>
    </row>
    <row r="240" spans="1:13" ht="26.5">
      <c r="A240" s="158"/>
      <c r="B240" s="231" t="s">
        <v>316</v>
      </c>
      <c r="C240" s="504">
        <f>'[29]Sch D'!N28</f>
        <v>37595</v>
      </c>
      <c r="D240" s="427"/>
      <c r="E240" s="427"/>
      <c r="F240" s="223">
        <f>F236*F238</f>
        <v>37595</v>
      </c>
      <c r="G240"/>
      <c r="H240" s="228"/>
      <c r="I240" s="223">
        <f>I236*I238</f>
        <v>37595</v>
      </c>
      <c r="J240" s="162"/>
      <c r="K240" s="589" t="s">
        <v>472</v>
      </c>
      <c r="L240" s="163"/>
      <c r="M240" s="163"/>
    </row>
    <row r="241" spans="1:13" ht="26.5">
      <c r="A241" s="158"/>
      <c r="B241" s="231" t="s">
        <v>317</v>
      </c>
      <c r="C241" s="505">
        <f>'[29]Sch D'!N30</f>
        <v>0.72368666046016761</v>
      </c>
      <c r="D241" s="228"/>
      <c r="E241" s="228"/>
      <c r="F241" s="232">
        <f>IFERROR(F233/F240,"0")</f>
        <v>0.72368666046016761</v>
      </c>
      <c r="G241"/>
      <c r="H241" s="233"/>
      <c r="I241" s="232">
        <f>IFERROR(I233/I240,"0")</f>
        <v>0.72368666046016761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'[29]Sch D'!N32</f>
        <v>0.28402713126745577</v>
      </c>
      <c r="D242" s="228"/>
      <c r="E242" s="228"/>
      <c r="F242" s="232">
        <f>IFERROR((F224+F225)/F240,"0")</f>
        <v>0.28402713126745577</v>
      </c>
      <c r="G242"/>
      <c r="H242" s="233"/>
      <c r="I242" s="232">
        <f>IFERROR((I224+I225)/I240,"0")</f>
        <v>0.28402713126745577</v>
      </c>
      <c r="J242" s="162"/>
      <c r="K242" s="460"/>
      <c r="L242" s="163"/>
      <c r="M242" s="163"/>
    </row>
    <row r="243" spans="1:13" ht="39.5">
      <c r="A243" s="158"/>
      <c r="B243" s="231" t="s">
        <v>319</v>
      </c>
      <c r="C243" s="505">
        <f>'[29]Sch D'!N34</f>
        <v>0.39247252545300837</v>
      </c>
      <c r="D243" s="228"/>
      <c r="E243" s="228"/>
      <c r="F243" s="232">
        <f>IFERROR((F242/F241),"0")</f>
        <v>0.39247252545300837</v>
      </c>
      <c r="G243"/>
      <c r="H243" s="233"/>
      <c r="I243" s="232">
        <f>IFERROR((I242/I241),"0")</f>
        <v>0.39247252545300837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'[29]Sch B'!C90</f>
        <v>295.98891315846726</v>
      </c>
      <c r="K246" s="460"/>
    </row>
    <row r="247" spans="1:13">
      <c r="H247" s="140" t="s">
        <v>322</v>
      </c>
      <c r="I247" s="480">
        <f>'[29]Sch B'!E90</f>
        <v>259.21242138976646</v>
      </c>
      <c r="K247" s="460"/>
    </row>
    <row r="248" spans="1:13">
      <c r="H248" s="140" t="s">
        <v>323</v>
      </c>
      <c r="I248" s="480">
        <f>'[29]Sch B'!G90</f>
        <v>316.53595992112503</v>
      </c>
      <c r="K248" s="460"/>
    </row>
    <row r="249" spans="1:13">
      <c r="H249" s="140" t="s">
        <v>324</v>
      </c>
      <c r="I249" s="480">
        <f>'[29]Sch B'!I90</f>
        <v>295.80660681610328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tabColor rgb="FFE28CAB"/>
  </sheetPr>
  <dimension ref="A1:Q277"/>
  <sheetViews>
    <sheetView showGridLines="0" topLeftCell="A7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429</v>
      </c>
      <c r="D2" s="234"/>
      <c r="E2" s="234"/>
      <c r="F2" s="142"/>
      <c r="G2" s="142"/>
      <c r="H2" s="411"/>
    </row>
    <row r="3" spans="1:16">
      <c r="A3" s="143"/>
      <c r="B3" s="138" t="s">
        <v>71</v>
      </c>
      <c r="C3" s="557">
        <f>'[30]Sch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'[30]Sch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F9"/>
      <c r="G9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'[30]Sch B'!E10</f>
        <v>3070059</v>
      </c>
      <c r="D12" s="480">
        <f>'[30]Sch B'!G10</f>
        <v>0</v>
      </c>
      <c r="E12" s="480"/>
      <c r="F12" s="166">
        <f t="shared" ref="F12:F25" si="0">C12+D12+E12</f>
        <v>3070059</v>
      </c>
      <c r="G12" s="626"/>
      <c r="H12" s="607"/>
      <c r="I12" s="166">
        <f>F12+G12+H12</f>
        <v>3070059</v>
      </c>
      <c r="J12" s="167">
        <f>IF($I$26=0,0,I12/$I$26)</f>
        <v>0.3152756140304504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'[30]Sch B'!E12</f>
        <v>1026136</v>
      </c>
      <c r="D13" s="480">
        <f>'[30]Sch B'!G12</f>
        <v>1191341.90018669</v>
      </c>
      <c r="E13" s="480"/>
      <c r="F13" s="166">
        <f t="shared" si="0"/>
        <v>2217477.90018669</v>
      </c>
      <c r="G13" s="626">
        <v>-71455</v>
      </c>
      <c r="H13" s="607"/>
      <c r="I13" s="166">
        <f t="shared" ref="I13:I25" si="1">F13+G13+H13</f>
        <v>2146022.90018669</v>
      </c>
      <c r="J13" s="167">
        <f>IF($I$26=0,0,I13/$I$26)</f>
        <v>0.22038295927855675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'[30]Sch B'!E13</f>
        <v>21830</v>
      </c>
      <c r="D14" s="480">
        <f>'[30]Sch B'!G13</f>
        <v>0</v>
      </c>
      <c r="E14" s="480"/>
      <c r="F14" s="166">
        <f t="shared" si="0"/>
        <v>21830</v>
      </c>
      <c r="G14" s="626"/>
      <c r="H14" s="607"/>
      <c r="I14" s="166">
        <f t="shared" si="1"/>
        <v>21830</v>
      </c>
      <c r="J14" s="167">
        <f>IF($I$26=0,0,I14/$I$26)</f>
        <v>2.2418027322226486E-3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'[30]Sch B'!E14</f>
        <v>82322</v>
      </c>
      <c r="D15" s="480">
        <f>'[30]Sch B'!G14</f>
        <v>0</v>
      </c>
      <c r="E15" s="480"/>
      <c r="F15" s="166">
        <f t="shared" si="0"/>
        <v>82322</v>
      </c>
      <c r="G15" s="626"/>
      <c r="H15" s="607"/>
      <c r="I15" s="166">
        <f t="shared" si="1"/>
        <v>82322</v>
      </c>
      <c r="J15" s="167">
        <f>IF($I$26=0,0,I15/$I$26)</f>
        <v>8.4539479854343954E-3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'[30]Sch B'!E15</f>
        <v>4200347</v>
      </c>
      <c r="D16" s="480">
        <f>'[30]Sch B'!G15</f>
        <v>1191341.90018669</v>
      </c>
      <c r="E16" s="480"/>
      <c r="F16" s="166">
        <f t="shared" si="0"/>
        <v>5391688.9001866896</v>
      </c>
      <c r="G16" s="626"/>
      <c r="H16" s="607"/>
      <c r="I16" s="166">
        <f>SUM(I12:I15)</f>
        <v>5320233.9001866896</v>
      </c>
      <c r="J16" s="167">
        <f t="shared" ref="J16:J26" si="2">IF($I$26=0,0,I16/$I$26)</f>
        <v>0.54635432402666417</v>
      </c>
      <c r="K16" s="457"/>
      <c r="L16" s="333" t="s">
        <v>325</v>
      </c>
      <c r="M16" s="334">
        <f>I26</f>
        <v>9737698.9001866896</v>
      </c>
      <c r="O16" s="324">
        <f>IFERROR(I16/I224,0)</f>
        <v>320.03331930863146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'[30]Sch B'!E20</f>
        <v>0</v>
      </c>
      <c r="D17" s="480">
        <f>'[30]Sch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7155747.6699999999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'[30]Sch B'!E26</f>
        <v>1176120</v>
      </c>
      <c r="D18" s="480">
        <f>'[30]Sch B'!G26</f>
        <v>0</v>
      </c>
      <c r="E18" s="480"/>
      <c r="F18" s="166">
        <f t="shared" si="0"/>
        <v>1176120</v>
      </c>
      <c r="G18" s="626"/>
      <c r="H18" s="607"/>
      <c r="I18" s="166">
        <f t="shared" si="1"/>
        <v>1176120</v>
      </c>
      <c r="J18" s="167">
        <f t="shared" si="2"/>
        <v>0.12078007464139723</v>
      </c>
      <c r="K18" s="458"/>
      <c r="L18" s="335" t="s">
        <v>327</v>
      </c>
      <c r="M18" s="336">
        <f>I233</f>
        <v>29528</v>
      </c>
      <c r="O18" s="324">
        <f t="shared" si="3"/>
        <v>564.62794047047532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'[30]Sch B'!E32</f>
        <v>1534016.2010869565</v>
      </c>
      <c r="D19" s="480">
        <f>'[30]Sch B'!G32</f>
        <v>0</v>
      </c>
      <c r="E19" s="480"/>
      <c r="F19" s="166">
        <f t="shared" si="0"/>
        <v>1534016.2010869565</v>
      </c>
      <c r="G19" s="626"/>
      <c r="H19" s="607"/>
      <c r="I19" s="166">
        <f t="shared" si="1"/>
        <v>1534016.2010869565</v>
      </c>
      <c r="J19" s="170">
        <f t="shared" si="2"/>
        <v>0.15753374763493114</v>
      </c>
      <c r="K19" s="464"/>
      <c r="L19" s="335" t="s">
        <v>328</v>
      </c>
      <c r="M19" s="336">
        <f>I236</f>
        <v>120</v>
      </c>
      <c r="O19" s="324">
        <f t="shared" si="3"/>
        <v>438.16515312395217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'[30]Sch B'!E37</f>
        <v>381353</v>
      </c>
      <c r="D20" s="480">
        <f>'[30]Sch B'!G37</f>
        <v>0</v>
      </c>
      <c r="E20" s="480"/>
      <c r="F20" s="166">
        <f t="shared" si="0"/>
        <v>381353</v>
      </c>
      <c r="G20" s="626"/>
      <c r="H20" s="607"/>
      <c r="I20" s="166">
        <f t="shared" si="1"/>
        <v>381353</v>
      </c>
      <c r="J20" s="167">
        <f t="shared" si="2"/>
        <v>3.9162537670238376E-2</v>
      </c>
      <c r="K20" s="458"/>
      <c r="L20" s="335" t="s">
        <v>329</v>
      </c>
      <c r="M20" s="336">
        <f>I240</f>
        <v>43800</v>
      </c>
      <c r="O20" s="324">
        <f t="shared" si="3"/>
        <v>108.86468741079075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'[30]Sch B'!E42</f>
        <v>599428</v>
      </c>
      <c r="D21" s="480">
        <f>'[30]Sch B'!G42</f>
        <v>0</v>
      </c>
      <c r="E21" s="480"/>
      <c r="F21" s="166">
        <f t="shared" si="0"/>
        <v>599428</v>
      </c>
      <c r="G21" s="626"/>
      <c r="H21" s="607"/>
      <c r="I21" s="166">
        <f t="shared" si="1"/>
        <v>599428</v>
      </c>
      <c r="J21" s="167">
        <f t="shared" si="2"/>
        <v>6.1557458917579376E-2</v>
      </c>
      <c r="K21" s="458"/>
      <c r="L21" s="337"/>
      <c r="M21" s="336"/>
      <c r="O21" s="324">
        <f t="shared" si="3"/>
        <v>260.39443961772372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'[30]Sch B'!E47</f>
        <v>622636.36227544909</v>
      </c>
      <c r="D22" s="480">
        <f>'[30]Sch B'!G47</f>
        <v>0</v>
      </c>
      <c r="E22" s="480"/>
      <c r="F22" s="166">
        <f t="shared" si="0"/>
        <v>622636.36227544909</v>
      </c>
      <c r="G22" s="626"/>
      <c r="H22" s="607"/>
      <c r="I22" s="166">
        <f t="shared" si="1"/>
        <v>622636.36227544909</v>
      </c>
      <c r="J22" s="167">
        <f t="shared" si="2"/>
        <v>6.3940810725161362E-2</v>
      </c>
      <c r="K22" s="458"/>
      <c r="L22" s="335" t="s">
        <v>148</v>
      </c>
      <c r="M22" s="336">
        <f>L213</f>
        <v>183910</v>
      </c>
      <c r="O22" s="324">
        <f t="shared" si="3"/>
        <v>484.54191616766468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'[30]Sch B'!E52</f>
        <v>24711.637724550899</v>
      </c>
      <c r="D23" s="480">
        <f>'[30]Sch B'!G52</f>
        <v>0</v>
      </c>
      <c r="E23" s="480"/>
      <c r="F23" s="166">
        <f t="shared" si="0"/>
        <v>24711.637724550899</v>
      </c>
      <c r="G23" s="626"/>
      <c r="H23" s="607"/>
      <c r="I23" s="166">
        <f t="shared" si="1"/>
        <v>24711.637724550899</v>
      </c>
      <c r="J23" s="167">
        <f t="shared" si="2"/>
        <v>2.5377286746951205E-3</v>
      </c>
      <c r="K23" s="458"/>
      <c r="L23" s="338" t="s">
        <v>233</v>
      </c>
      <c r="M23" s="339">
        <f>M213</f>
        <v>194909</v>
      </c>
      <c r="O23" s="324">
        <f t="shared" si="3"/>
        <v>484.54191616766468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'[30]Sch B'!E57</f>
        <v>77406.798913043473</v>
      </c>
      <c r="D24" s="480">
        <f>'[30]Sch B'!G57</f>
        <v>0</v>
      </c>
      <c r="E24" s="480"/>
      <c r="F24" s="166">
        <f t="shared" si="0"/>
        <v>77406.798913043473</v>
      </c>
      <c r="G24" s="626"/>
      <c r="H24" s="607"/>
      <c r="I24" s="166">
        <f t="shared" si="1"/>
        <v>77406.798913043473</v>
      </c>
      <c r="J24" s="167">
        <f t="shared" si="2"/>
        <v>7.9491879659125061E-3</v>
      </c>
      <c r="K24" s="458"/>
      <c r="L24" s="163"/>
      <c r="M24" s="163"/>
      <c r="O24" s="324">
        <f t="shared" si="3"/>
        <v>432.44021739130432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'[30]Sch B'!E72</f>
        <v>1793</v>
      </c>
      <c r="D25" s="480">
        <f>'[30]Sch B'!G72</f>
        <v>0</v>
      </c>
      <c r="E25" s="480"/>
      <c r="F25" s="166">
        <f t="shared" si="0"/>
        <v>1793</v>
      </c>
      <c r="G25" s="626"/>
      <c r="H25" s="607"/>
      <c r="I25" s="166">
        <f t="shared" si="1"/>
        <v>1793</v>
      </c>
      <c r="J25" s="167">
        <f t="shared" si="2"/>
        <v>1.8412974342076082E-4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8617812</v>
      </c>
      <c r="D26" s="480">
        <f t="shared" ref="D26:F26" si="4">SUM(D16:D25)</f>
        <v>1191341.90018669</v>
      </c>
      <c r="E26" s="480">
        <f t="shared" si="4"/>
        <v>0</v>
      </c>
      <c r="F26" s="166">
        <f t="shared" si="4"/>
        <v>9809153.9001866896</v>
      </c>
      <c r="G26" s="166">
        <f>SUM(G12:G25)</f>
        <v>-71455</v>
      </c>
      <c r="H26" s="166">
        <f>SUM(H12:H25)</f>
        <v>0</v>
      </c>
      <c r="I26" s="166">
        <f>SUM(I16:I25)</f>
        <v>9737698.9001866896</v>
      </c>
      <c r="J26" s="167">
        <f t="shared" si="2"/>
        <v>1</v>
      </c>
      <c r="K26" s="458"/>
      <c r="L26" s="163"/>
      <c r="M26" s="163"/>
      <c r="O26" s="324">
        <f>IFERROR(I26/I233,0)</f>
        <v>329.77847806105018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'[30]Sch C'!D10</f>
        <v>222222</v>
      </c>
      <c r="D30" s="480">
        <f>'[30]Sch C'!F10</f>
        <v>-91116.83</v>
      </c>
      <c r="E30" s="480">
        <f>+'[30]Sch C'!H10</f>
        <v>0</v>
      </c>
      <c r="F30" s="166">
        <f t="shared" ref="F30:F65" si="5">C30+D30+E30</f>
        <v>131105.16999999998</v>
      </c>
      <c r="G30" s="626">
        <v>91117</v>
      </c>
      <c r="H30" s="607"/>
      <c r="I30" s="166">
        <f t="shared" ref="I30:I65" si="6">F30+G30+H30</f>
        <v>222222.16999999998</v>
      </c>
      <c r="J30" s="167">
        <f>IF($I$213=0,0,I30/$I$213)</f>
        <v>3.1055059547676865E-2</v>
      </c>
      <c r="K30" s="458"/>
      <c r="L30" s="176">
        <v>2080</v>
      </c>
      <c r="M30" s="176">
        <v>2080</v>
      </c>
      <c r="O30" s="324">
        <f>I30/I$233</f>
        <v>7.5258117718775397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'[30]Sch C'!D11</f>
        <v>0</v>
      </c>
      <c r="D31" s="480">
        <f>'[30]Sch C'!F11</f>
        <v>0</v>
      </c>
      <c r="E31" s="480">
        <f>+'[30]Sch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'[30]Sch C'!D12</f>
        <v>184619</v>
      </c>
      <c r="D32" s="480">
        <f>'[30]Sch C'!F12</f>
        <v>0</v>
      </c>
      <c r="E32" s="480">
        <f>+'[30]Sch C'!H12</f>
        <v>0</v>
      </c>
      <c r="F32" s="166">
        <f t="shared" si="5"/>
        <v>184619</v>
      </c>
      <c r="G32" s="626">
        <v>3498</v>
      </c>
      <c r="H32" s="607"/>
      <c r="I32" s="166">
        <f t="shared" si="6"/>
        <v>188117</v>
      </c>
      <c r="J32" s="167">
        <f t="shared" si="7"/>
        <v>2.6288937044086687E-2</v>
      </c>
      <c r="K32" s="458"/>
      <c r="L32" s="176">
        <v>10826</v>
      </c>
      <c r="M32" s="176">
        <v>11607</v>
      </c>
      <c r="O32" s="324">
        <f t="shared" si="8"/>
        <v>6.3708005960444325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'[30]Sch C'!D13</f>
        <v>239384</v>
      </c>
      <c r="D33" s="480">
        <f>'[30]Sch C'!F13</f>
        <v>-167483</v>
      </c>
      <c r="E33" s="480">
        <f>+'[30]Sch C'!H13</f>
        <v>0</v>
      </c>
      <c r="F33" s="166">
        <f t="shared" si="5"/>
        <v>71901</v>
      </c>
      <c r="G33" s="626"/>
      <c r="H33" s="607"/>
      <c r="I33" s="166">
        <f t="shared" si="6"/>
        <v>71901</v>
      </c>
      <c r="J33" s="167">
        <f t="shared" si="7"/>
        <v>1.0048006625700372E-2</v>
      </c>
      <c r="K33" s="458"/>
      <c r="L33" s="163"/>
      <c r="M33" s="163"/>
      <c r="O33" s="324">
        <f t="shared" si="8"/>
        <v>2.435010837171498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'[30]Sch C'!D14</f>
        <v>0</v>
      </c>
      <c r="D34" s="480">
        <f>'[30]Sch C'!F14</f>
        <v>0</v>
      </c>
      <c r="E34" s="480">
        <f>+'[30]Sch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'[30]Sch C'!D15</f>
        <v>0</v>
      </c>
      <c r="D35" s="480">
        <f>'[30]Sch C'!F15</f>
        <v>0</v>
      </c>
      <c r="E35" s="480">
        <f>+'[30]Sch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'[30]Sch C'!D16</f>
        <v>430868</v>
      </c>
      <c r="D36" s="480">
        <f>'[30]Sch C'!F16</f>
        <v>0</v>
      </c>
      <c r="E36" s="480">
        <f>+'[30]Sch C'!H16</f>
        <v>-52851</v>
      </c>
      <c r="F36" s="166">
        <f t="shared" si="5"/>
        <v>378017</v>
      </c>
      <c r="G36" s="626"/>
      <c r="H36" s="607">
        <v>163562</v>
      </c>
      <c r="I36" s="166">
        <f t="shared" si="6"/>
        <v>541579</v>
      </c>
      <c r="J36" s="167">
        <f t="shared" si="7"/>
        <v>7.5684474212322245E-2</v>
      </c>
      <c r="K36" s="458"/>
      <c r="L36" s="163"/>
      <c r="M36" s="163"/>
      <c r="O36" s="324">
        <f t="shared" si="8"/>
        <v>18.341201571389867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'[30]Sch C'!D17</f>
        <v>0</v>
      </c>
      <c r="D37" s="480">
        <f>'[30]Sch C'!F17</f>
        <v>0</v>
      </c>
      <c r="E37" s="480">
        <f>+'[30]Sch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'[30]Sch C'!D18</f>
        <v>20433</v>
      </c>
      <c r="D38" s="480">
        <f>'[30]Sch C'!F18</f>
        <v>0</v>
      </c>
      <c r="E38" s="480">
        <f>+'[30]Sch C'!H18</f>
        <v>0</v>
      </c>
      <c r="F38" s="166">
        <f t="shared" si="5"/>
        <v>20433</v>
      </c>
      <c r="G38" s="626"/>
      <c r="H38" s="607"/>
      <c r="I38" s="166">
        <f t="shared" si="6"/>
        <v>20433</v>
      </c>
      <c r="J38" s="167">
        <f t="shared" si="7"/>
        <v>2.8554668138542679E-3</v>
      </c>
      <c r="K38" s="458"/>
      <c r="L38" s="163"/>
      <c r="M38" s="163"/>
      <c r="O38" s="324">
        <f t="shared" si="8"/>
        <v>0.69198726632348961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'[30]Sch C'!D19</f>
        <v>20099</v>
      </c>
      <c r="D39" s="480">
        <f>'[30]Sch C'!F19</f>
        <v>-1733</v>
      </c>
      <c r="E39" s="480">
        <f>+'[30]Sch C'!H19</f>
        <v>0</v>
      </c>
      <c r="F39" s="166">
        <f t="shared" si="5"/>
        <v>18366</v>
      </c>
      <c r="G39" s="626"/>
      <c r="H39" s="607"/>
      <c r="I39" s="166">
        <f t="shared" si="6"/>
        <v>18366</v>
      </c>
      <c r="J39" s="167">
        <f t="shared" si="7"/>
        <v>2.5666081095897558E-3</v>
      </c>
      <c r="K39" s="458"/>
      <c r="L39" s="163"/>
      <c r="M39" s="163"/>
      <c r="O39" s="324">
        <f t="shared" si="8"/>
        <v>0.62198591167705231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'[30]Sch C'!D20</f>
        <v>13950</v>
      </c>
      <c r="D40" s="480">
        <f>'[30]Sch C'!F20</f>
        <v>0</v>
      </c>
      <c r="E40" s="480">
        <f>+'[30]Sch C'!H20</f>
        <v>0</v>
      </c>
      <c r="F40" s="166">
        <f t="shared" si="5"/>
        <v>13950</v>
      </c>
      <c r="G40" s="626"/>
      <c r="H40" s="607"/>
      <c r="I40" s="166">
        <f t="shared" si="6"/>
        <v>13950</v>
      </c>
      <c r="J40" s="167">
        <f t="shared" si="7"/>
        <v>1.9494818212336435E-3</v>
      </c>
      <c r="K40" s="458"/>
      <c r="L40" s="163"/>
      <c r="M40" s="163"/>
      <c r="O40" s="324">
        <f t="shared" si="8"/>
        <v>0.47243294500135463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'[30]Sch C'!D21</f>
        <v>2214</v>
      </c>
      <c r="D41" s="480">
        <f>'[30]Sch C'!F21</f>
        <v>0</v>
      </c>
      <c r="E41" s="480">
        <f>+'[30]Sch C'!H21</f>
        <v>0</v>
      </c>
      <c r="F41" s="166">
        <f t="shared" si="5"/>
        <v>2214</v>
      </c>
      <c r="G41" s="626"/>
      <c r="H41" s="607"/>
      <c r="I41" s="166">
        <f t="shared" si="6"/>
        <v>2214</v>
      </c>
      <c r="J41" s="167">
        <f t="shared" si="7"/>
        <v>3.094016309828879E-4</v>
      </c>
      <c r="K41" s="458"/>
      <c r="L41" s="163"/>
      <c r="M41" s="163"/>
      <c r="O41" s="324">
        <f t="shared" si="8"/>
        <v>7.4979680303440807E-2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'[30]Sch C'!D22</f>
        <v>0</v>
      </c>
      <c r="D42" s="480">
        <f>'[30]Sch C'!F22</f>
        <v>0</v>
      </c>
      <c r="E42" s="480">
        <f>+'[30]Sch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'[30]Sch C'!D23</f>
        <v>3425</v>
      </c>
      <c r="D43" s="480">
        <f>'[30]Sch C'!F23</f>
        <v>0</v>
      </c>
      <c r="E43" s="480">
        <f>+'[30]Sch C'!H23</f>
        <v>0</v>
      </c>
      <c r="F43" s="166">
        <f t="shared" si="5"/>
        <v>3425</v>
      </c>
      <c r="G43" s="626"/>
      <c r="H43" s="607"/>
      <c r="I43" s="166">
        <f t="shared" si="6"/>
        <v>3425</v>
      </c>
      <c r="J43" s="167">
        <f t="shared" si="7"/>
        <v>4.7863621775808088E-4</v>
      </c>
      <c r="K43" s="458"/>
      <c r="L43" s="163"/>
      <c r="M43" s="163"/>
      <c r="O43" s="324">
        <f t="shared" si="8"/>
        <v>0.11599160119208886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'[30]Sch C'!D24</f>
        <v>73036</v>
      </c>
      <c r="D44" s="480">
        <f>'[30]Sch C'!F24</f>
        <v>0</v>
      </c>
      <c r="E44" s="480">
        <f>+'[30]Sch C'!H24</f>
        <v>-19329</v>
      </c>
      <c r="F44" s="166">
        <f t="shared" si="5"/>
        <v>53707</v>
      </c>
      <c r="G44" s="626"/>
      <c r="H44" s="607"/>
      <c r="I44" s="166">
        <f t="shared" si="6"/>
        <v>53707</v>
      </c>
      <c r="J44" s="167">
        <f t="shared" si="7"/>
        <v>7.505435137849124E-3</v>
      </c>
      <c r="K44" s="458"/>
      <c r="L44" s="163"/>
      <c r="M44" s="163"/>
      <c r="O44" s="324">
        <f t="shared" si="8"/>
        <v>1.8188499051747493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'[30]Sch C'!D25</f>
        <v>0</v>
      </c>
      <c r="D45" s="480">
        <f>'[30]Sch C'!F25</f>
        <v>0</v>
      </c>
      <c r="E45" s="480">
        <f>+'[30]Sch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'[30]Sch C'!D26</f>
        <v>499745</v>
      </c>
      <c r="D46" s="480">
        <f>'[30]Sch C'!F26</f>
        <v>0</v>
      </c>
      <c r="E46" s="480">
        <f>+'[30]Sch C'!H26</f>
        <v>0</v>
      </c>
      <c r="F46" s="166">
        <f t="shared" si="5"/>
        <v>499745</v>
      </c>
      <c r="G46" s="626"/>
      <c r="H46" s="607"/>
      <c r="I46" s="166">
        <f t="shared" si="6"/>
        <v>499745</v>
      </c>
      <c r="J46" s="167">
        <f t="shared" si="7"/>
        <v>6.9838264713434198E-2</v>
      </c>
      <c r="K46" s="458"/>
      <c r="L46" s="163"/>
      <c r="M46" s="163"/>
      <c r="O46" s="324">
        <f t="shared" si="8"/>
        <v>16.924444594960715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'[30]Sch C'!D27</f>
        <v>0</v>
      </c>
      <c r="D47" s="480">
        <f>'[30]Sch C'!F27</f>
        <v>0</v>
      </c>
      <c r="E47" s="480">
        <f>+'[30]Sch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'[30]Sch C'!D28</f>
        <v>0</v>
      </c>
      <c r="D48" s="480">
        <f>'[30]Sch C'!F28</f>
        <v>0</v>
      </c>
      <c r="E48" s="480">
        <f>+'[30]Sch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'[30]Sch C'!D29</f>
        <v>158333</v>
      </c>
      <c r="D49" s="480">
        <f>'[30]Sch C'!F29</f>
        <v>-158333</v>
      </c>
      <c r="E49" s="480">
        <f>+'[30]Sch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'[30]Sch C'!D30</f>
        <v>0</v>
      </c>
      <c r="D50" s="480">
        <f>'[30]Sch C'!F30</f>
        <v>0</v>
      </c>
      <c r="E50" s="480">
        <f>+'[30]Sch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'[30]Sch C'!D31</f>
        <v>105612</v>
      </c>
      <c r="D51" s="480">
        <f>'[30]Sch C'!F31</f>
        <v>0</v>
      </c>
      <c r="E51" s="480">
        <f>+'[30]Sch C'!H31</f>
        <v>-61877</v>
      </c>
      <c r="F51" s="166">
        <f t="shared" si="5"/>
        <v>43735</v>
      </c>
      <c r="G51" s="626"/>
      <c r="H51" s="607"/>
      <c r="I51" s="166">
        <f t="shared" si="6"/>
        <v>43735</v>
      </c>
      <c r="J51" s="167">
        <f t="shared" si="7"/>
        <v>6.1118700682188812E-3</v>
      </c>
      <c r="K51" s="458"/>
      <c r="L51" s="163"/>
      <c r="M51" s="163"/>
      <c r="O51" s="324">
        <f t="shared" si="8"/>
        <v>1.4811365483608778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'[30]Sch C'!D32</f>
        <v>81970</v>
      </c>
      <c r="D52" s="480">
        <f>'[30]Sch C'!F32</f>
        <v>0</v>
      </c>
      <c r="E52" s="480">
        <f>+'[30]Sch C'!H32</f>
        <v>-36887</v>
      </c>
      <c r="F52" s="166">
        <f t="shared" si="5"/>
        <v>45083</v>
      </c>
      <c r="G52" s="626"/>
      <c r="H52" s="607"/>
      <c r="I52" s="166">
        <f t="shared" si="6"/>
        <v>45083</v>
      </c>
      <c r="J52" s="167">
        <f t="shared" si="7"/>
        <v>6.3002501037043978E-3</v>
      </c>
      <c r="K52" s="458"/>
      <c r="L52" s="163"/>
      <c r="M52" s="163"/>
      <c r="O52" s="324">
        <f t="shared" si="8"/>
        <v>1.5267881332972095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'[30]Sch C'!D33</f>
        <v>0</v>
      </c>
      <c r="D53" s="480">
        <f>'[30]Sch C'!F33</f>
        <v>0</v>
      </c>
      <c r="E53" s="480">
        <f>+'[30]Sch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'[30]Sch C'!D34</f>
        <v>0</v>
      </c>
      <c r="D54" s="480">
        <f>'[30]Sch C'!F34</f>
        <v>0</v>
      </c>
      <c r="E54" s="480">
        <f>+'[30]Sch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'[30]Sch C'!D35</f>
        <v>130</v>
      </c>
      <c r="D55" s="480">
        <f>'[30]Sch C'!F35</f>
        <v>-130</v>
      </c>
      <c r="E55" s="480">
        <f>+'[30]Sch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'[30]Sch C'!D36</f>
        <v>0</v>
      </c>
      <c r="D56" s="480">
        <f>'[30]Sch C'!F36</f>
        <v>0</v>
      </c>
      <c r="E56" s="480">
        <f>+'[30]Sch C'!H36</f>
        <v>0</v>
      </c>
      <c r="F56" s="166">
        <f t="shared" si="5"/>
        <v>0</v>
      </c>
      <c r="G56" s="626"/>
      <c r="H56" s="607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'[30]Sch C'!D37</f>
        <v>0</v>
      </c>
      <c r="D57" s="480">
        <f>'[30]Sch C'!F37</f>
        <v>0</v>
      </c>
      <c r="E57" s="480">
        <f>+'[30]Sch C'!H37</f>
        <v>0</v>
      </c>
      <c r="F57" s="166">
        <f t="shared" si="5"/>
        <v>0</v>
      </c>
      <c r="G57" s="626"/>
      <c r="H57" s="607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'[30]Sch C'!D38</f>
        <v>0</v>
      </c>
      <c r="D58" s="480">
        <f>'[30]Sch C'!F38</f>
        <v>0</v>
      </c>
      <c r="E58" s="480">
        <f>+'[30]Sch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'[30]Sch C'!D39</f>
        <v>8235</v>
      </c>
      <c r="D59" s="480">
        <f>'[30]Sch C'!F39</f>
        <v>0</v>
      </c>
      <c r="E59" s="480">
        <f>+'[30]Sch C'!H39</f>
        <v>0</v>
      </c>
      <c r="F59" s="166">
        <f t="shared" si="5"/>
        <v>8235</v>
      </c>
      <c r="G59" s="626"/>
      <c r="H59" s="607"/>
      <c r="I59" s="166">
        <f t="shared" si="6"/>
        <v>8235</v>
      </c>
      <c r="J59" s="167">
        <f t="shared" si="7"/>
        <v>1.1508231396314733E-3</v>
      </c>
      <c r="K59" s="458"/>
      <c r="L59" s="163"/>
      <c r="M59" s="163"/>
      <c r="O59" s="324">
        <f t="shared" si="8"/>
        <v>0.27888783527499322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'[30]Sch C'!D40</f>
        <v>4586</v>
      </c>
      <c r="D60" s="480">
        <f>'[30]Sch C'!F40</f>
        <v>0</v>
      </c>
      <c r="E60" s="480">
        <f>+'[30]Sch C'!H40</f>
        <v>0</v>
      </c>
      <c r="F60" s="166">
        <f t="shared" si="5"/>
        <v>4586</v>
      </c>
      <c r="G60" s="626"/>
      <c r="H60" s="607"/>
      <c r="I60" s="166">
        <f t="shared" si="6"/>
        <v>4586</v>
      </c>
      <c r="J60" s="167">
        <f t="shared" si="7"/>
        <v>6.4088341449300998E-4</v>
      </c>
      <c r="K60" s="458"/>
      <c r="L60" s="163"/>
      <c r="M60" s="163"/>
      <c r="O60" s="324">
        <f t="shared" si="8"/>
        <v>0.15531021403413708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'[30]Sch C'!D41</f>
        <v>20866</v>
      </c>
      <c r="D61" s="480">
        <f>'[30]Sch C'!F41</f>
        <v>0</v>
      </c>
      <c r="E61" s="480">
        <f>+'[30]Sch C'!H41</f>
        <v>0</v>
      </c>
      <c r="F61" s="166">
        <f t="shared" si="5"/>
        <v>20866</v>
      </c>
      <c r="G61" s="626"/>
      <c r="H61" s="607"/>
      <c r="I61" s="166">
        <f t="shared" si="6"/>
        <v>20866</v>
      </c>
      <c r="J61" s="167">
        <f t="shared" si="7"/>
        <v>2.9159776116029538E-3</v>
      </c>
      <c r="K61" s="458"/>
      <c r="L61" s="163"/>
      <c r="M61" s="163"/>
      <c r="O61" s="324">
        <f t="shared" si="8"/>
        <v>0.70665131400704417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'[30]Sch C'!D42</f>
        <v>7079</v>
      </c>
      <c r="D62" s="480">
        <f>'[30]Sch C'!F42</f>
        <v>0</v>
      </c>
      <c r="E62" s="480">
        <f>+'[30]Sch C'!H42</f>
        <v>0</v>
      </c>
      <c r="F62" s="166">
        <f t="shared" si="5"/>
        <v>7079</v>
      </c>
      <c r="G62" s="626">
        <v>818</v>
      </c>
      <c r="H62" s="607"/>
      <c r="I62" s="166">
        <f t="shared" si="6"/>
        <v>7897</v>
      </c>
      <c r="J62" s="167">
        <f t="shared" si="7"/>
        <v>1.103588382959289E-3</v>
      </c>
      <c r="K62" s="458"/>
      <c r="L62" s="163"/>
      <c r="M62" s="163"/>
      <c r="O62" s="324">
        <f t="shared" si="8"/>
        <v>0.26744107287997831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'[30]Sch C'!D43</f>
        <v>9478</v>
      </c>
      <c r="D63" s="480">
        <f>'[30]Sch C'!F43</f>
        <v>0</v>
      </c>
      <c r="E63" s="480">
        <f>+'[30]Sch C'!H43</f>
        <v>0</v>
      </c>
      <c r="F63" s="166">
        <f t="shared" si="5"/>
        <v>9478</v>
      </c>
      <c r="G63" s="626">
        <v>-9478</v>
      </c>
      <c r="H63" s="607"/>
      <c r="I63" s="166">
        <f t="shared" si="6"/>
        <v>0</v>
      </c>
      <c r="J63" s="167">
        <f t="shared" si="7"/>
        <v>0</v>
      </c>
      <c r="K63" s="162" t="s">
        <v>714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'[30]Sch C'!D44</f>
        <v>0</v>
      </c>
      <c r="D64" s="480">
        <f>'[30]Sch C'!F44</f>
        <v>0</v>
      </c>
      <c r="E64" s="480">
        <f>+'[30]Sch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'[30]Sch C'!D45</f>
        <v>1023</v>
      </c>
      <c r="D65" s="480">
        <f>'[30]Sch C'!F45</f>
        <v>-1152</v>
      </c>
      <c r="E65" s="480">
        <f>+'[30]Sch C'!H45</f>
        <v>0</v>
      </c>
      <c r="F65" s="166">
        <f t="shared" si="5"/>
        <v>-129</v>
      </c>
      <c r="G65" s="626">
        <v>37582</v>
      </c>
      <c r="H65" s="607"/>
      <c r="I65" s="166">
        <f t="shared" si="6"/>
        <v>37453</v>
      </c>
      <c r="J65" s="167">
        <f t="shared" si="7"/>
        <v>5.2339743835601183E-3</v>
      </c>
      <c r="K65" s="458"/>
      <c r="L65" s="163"/>
      <c r="M65" s="163"/>
      <c r="O65" s="324">
        <f t="shared" si="8"/>
        <v>1.2683893253860743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2107307</v>
      </c>
      <c r="D66" s="480">
        <f t="shared" si="9"/>
        <v>-419947.83</v>
      </c>
      <c r="E66" s="480">
        <f t="shared" si="9"/>
        <v>-170944</v>
      </c>
      <c r="F66" s="166">
        <f t="shared" ref="F66:I66" si="10">SUM(F30:F65)</f>
        <v>1516415.17</v>
      </c>
      <c r="G66" s="166">
        <f t="shared" si="10"/>
        <v>123537</v>
      </c>
      <c r="H66" s="166">
        <f t="shared" si="10"/>
        <v>163562</v>
      </c>
      <c r="I66" s="166">
        <f t="shared" si="10"/>
        <v>1803514.17</v>
      </c>
      <c r="J66" s="178">
        <f t="shared" si="7"/>
        <v>0.25203713897865826</v>
      </c>
      <c r="K66" s="465"/>
      <c r="L66" s="163"/>
      <c r="M66" s="163"/>
      <c r="O66" s="329">
        <f>I66/I$233</f>
        <v>61.078101124356543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'[30]Sch C'!D57</f>
        <v>588234</v>
      </c>
      <c r="D69" s="480">
        <f>'[30]Sch C'!F57+588234</f>
        <v>0</v>
      </c>
      <c r="E69" s="480">
        <f>+'[30]Sch C'!H57</f>
        <v>0</v>
      </c>
      <c r="F69" s="166">
        <f t="shared" ref="F69:F83" si="11">C69+D69+E69</f>
        <v>588234</v>
      </c>
      <c r="G69" s="626"/>
      <c r="H69" s="480">
        <v>-588234</v>
      </c>
      <c r="I69" s="166">
        <f>F69+G69+H69</f>
        <v>0</v>
      </c>
      <c r="J69" s="167">
        <f t="shared" ref="J69:J84" si="12">IF($I$213=0,0,I69/$I$213)</f>
        <v>0</v>
      </c>
      <c r="K69" s="458"/>
      <c r="L69" s="182"/>
      <c r="M69" s="163"/>
      <c r="O69" s="324">
        <f t="shared" ref="O69:O84" si="13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'[30]Sch C'!D58</f>
        <v>11323</v>
      </c>
      <c r="D70" s="480">
        <f>'[30]Sch C'!F58-124675</f>
        <v>0</v>
      </c>
      <c r="E70" s="480">
        <f>+'[30]Sch C'!H58</f>
        <v>0</v>
      </c>
      <c r="F70" s="166">
        <f t="shared" si="11"/>
        <v>11323</v>
      </c>
      <c r="G70" s="626"/>
      <c r="H70" s="480">
        <v>124675</v>
      </c>
      <c r="I70" s="166">
        <f t="shared" ref="I70:I83" si="14">F70+G70+H70</f>
        <v>135998</v>
      </c>
      <c r="J70" s="167">
        <f t="shared" si="12"/>
        <v>1.9005421413916347E-2</v>
      </c>
      <c r="K70" s="458"/>
      <c r="L70" s="182"/>
      <c r="M70" s="163"/>
      <c r="O70" s="324">
        <f t="shared" si="13"/>
        <v>4.6057301544296942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'[30]Sch C'!D59</f>
        <v>0</v>
      </c>
      <c r="D71" s="480">
        <f>'[30]Sch C'!F59</f>
        <v>0</v>
      </c>
      <c r="E71" s="480">
        <f>+'[30]Sch C'!H59</f>
        <v>0</v>
      </c>
      <c r="F71" s="166">
        <f t="shared" si="11"/>
        <v>0</v>
      </c>
      <c r="G71" s="626"/>
      <c r="H71" s="607"/>
      <c r="I71" s="166">
        <f t="shared" si="14"/>
        <v>0</v>
      </c>
      <c r="J71" s="167">
        <f t="shared" si="12"/>
        <v>0</v>
      </c>
      <c r="K71" s="458"/>
      <c r="L71" s="182"/>
      <c r="M71" s="163"/>
      <c r="O71" s="324">
        <f t="shared" si="13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'[30]Sch C'!D60</f>
        <v>28241</v>
      </c>
      <c r="D72" s="480">
        <f>'[30]Sch C'!F60</f>
        <v>0</v>
      </c>
      <c r="E72" s="480">
        <f>+'[30]Sch C'!H60</f>
        <v>0</v>
      </c>
      <c r="F72" s="166">
        <f t="shared" si="11"/>
        <v>28241</v>
      </c>
      <c r="G72" s="626"/>
      <c r="H72" s="607"/>
      <c r="I72" s="166">
        <f t="shared" si="14"/>
        <v>28241</v>
      </c>
      <c r="J72" s="167">
        <f t="shared" si="12"/>
        <v>3.9466176425418872E-3</v>
      </c>
      <c r="K72" s="458"/>
      <c r="L72" s="185"/>
      <c r="M72" s="163"/>
      <c r="O72" s="324">
        <f t="shared" si="13"/>
        <v>0.95641425088052023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'[30]Sch C'!D61</f>
        <v>7866</v>
      </c>
      <c r="D73" s="480">
        <f>'[30]Sch C'!F61</f>
        <v>0</v>
      </c>
      <c r="E73" s="480">
        <f>+'[30]Sch C'!H61</f>
        <v>0</v>
      </c>
      <c r="F73" s="166">
        <f t="shared" si="11"/>
        <v>7866</v>
      </c>
      <c r="G73" s="626"/>
      <c r="H73" s="607"/>
      <c r="I73" s="166">
        <f t="shared" si="14"/>
        <v>7866</v>
      </c>
      <c r="J73" s="167">
        <f t="shared" si="12"/>
        <v>1.0992562011343254E-3</v>
      </c>
      <c r="K73" s="458"/>
      <c r="L73" s="185"/>
      <c r="M73" s="163"/>
      <c r="O73" s="324">
        <f t="shared" si="13"/>
        <v>0.26639122189108644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'[30]Sch C'!D62</f>
        <v>13468</v>
      </c>
      <c r="D74" s="480">
        <f>'[30]Sch C'!F62</f>
        <v>0</v>
      </c>
      <c r="E74" s="480">
        <f>+'[30]Sch C'!H62</f>
        <v>0</v>
      </c>
      <c r="F74" s="166">
        <f t="shared" si="11"/>
        <v>13468</v>
      </c>
      <c r="G74" s="626"/>
      <c r="H74" s="607"/>
      <c r="I74" s="166">
        <f t="shared" si="14"/>
        <v>13468</v>
      </c>
      <c r="J74" s="167">
        <f t="shared" si="12"/>
        <v>1.8821233812454988E-3</v>
      </c>
      <c r="K74" s="458"/>
      <c r="L74" s="187"/>
      <c r="M74" s="163"/>
      <c r="O74" s="324">
        <f t="shared" si="13"/>
        <v>0.45610945543213222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'[30]Sch C'!D63</f>
        <v>0</v>
      </c>
      <c r="D75" s="480">
        <f>'[30]Sch C'!F63</f>
        <v>0</v>
      </c>
      <c r="E75" s="480">
        <f>+'[30]Sch C'!H63</f>
        <v>0</v>
      </c>
      <c r="F75" s="166">
        <f t="shared" si="11"/>
        <v>0</v>
      </c>
      <c r="G75" s="626"/>
      <c r="H75" s="607"/>
      <c r="I75" s="166">
        <f t="shared" si="14"/>
        <v>0</v>
      </c>
      <c r="J75" s="167">
        <f t="shared" si="12"/>
        <v>0</v>
      </c>
      <c r="K75" s="458"/>
      <c r="L75" s="187"/>
      <c r="M75" s="163"/>
      <c r="O75" s="324">
        <f t="shared" si="13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'[30]Sch C'!D64</f>
        <v>0</v>
      </c>
      <c r="D76" s="480">
        <f>'[30]Sch C'!F64</f>
        <v>0</v>
      </c>
      <c r="E76" s="480">
        <f>+'[30]Sch C'!H64</f>
        <v>0</v>
      </c>
      <c r="F76" s="166">
        <f t="shared" si="11"/>
        <v>0</v>
      </c>
      <c r="G76" s="626"/>
      <c r="H76" s="607"/>
      <c r="I76" s="166">
        <f t="shared" si="14"/>
        <v>0</v>
      </c>
      <c r="J76" s="167">
        <f t="shared" si="12"/>
        <v>0</v>
      </c>
      <c r="K76" s="458"/>
      <c r="L76" s="187"/>
      <c r="M76" s="163"/>
      <c r="O76" s="324">
        <f t="shared" si="13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'[30]Sch C'!D65</f>
        <v>6195</v>
      </c>
      <c r="D77" s="480">
        <f>'[30]Sch C'!F65</f>
        <v>0</v>
      </c>
      <c r="E77" s="480">
        <f>+'[30]Sch C'!H65</f>
        <v>0</v>
      </c>
      <c r="F77" s="166">
        <f t="shared" si="11"/>
        <v>6195</v>
      </c>
      <c r="G77" s="626"/>
      <c r="H77" s="607"/>
      <c r="I77" s="166">
        <f t="shared" si="14"/>
        <v>6195</v>
      </c>
      <c r="J77" s="167">
        <f t="shared" si="12"/>
        <v>8.6573762598870401E-4</v>
      </c>
      <c r="K77" s="458"/>
      <c r="L77" s="187"/>
      <c r="M77" s="163"/>
      <c r="O77" s="324">
        <f t="shared" si="13"/>
        <v>0.20980086697371986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'[30]Sch C'!D66</f>
        <v>5741</v>
      </c>
      <c r="D78" s="480">
        <f>'[30]Sch C'!F66</f>
        <v>0</v>
      </c>
      <c r="E78" s="480">
        <f>+'[30]Sch C'!H66</f>
        <v>0</v>
      </c>
      <c r="F78" s="166">
        <f t="shared" si="11"/>
        <v>5741</v>
      </c>
      <c r="G78" s="626">
        <v>17646</v>
      </c>
      <c r="H78" s="607"/>
      <c r="I78" s="166">
        <f t="shared" si="14"/>
        <v>23387</v>
      </c>
      <c r="J78" s="167">
        <f t="shared" si="12"/>
        <v>3.2682818174330623E-3</v>
      </c>
      <c r="K78" s="458"/>
      <c r="L78" s="187"/>
      <c r="M78" s="163"/>
      <c r="O78" s="324">
        <f t="shared" si="13"/>
        <v>0.79202790571660797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'[30]Sch C'!D67</f>
        <v>46045</v>
      </c>
      <c r="D79" s="480">
        <f>'[30]Sch C'!F67</f>
        <v>-3660</v>
      </c>
      <c r="E79" s="480">
        <f>+'[30]Sch C'!H67</f>
        <v>0</v>
      </c>
      <c r="F79" s="166">
        <f t="shared" si="11"/>
        <v>42385</v>
      </c>
      <c r="G79" s="626"/>
      <c r="H79" s="607"/>
      <c r="I79" s="166">
        <f t="shared" si="14"/>
        <v>42385</v>
      </c>
      <c r="J79" s="167">
        <f t="shared" si="12"/>
        <v>5.9232105371317548E-3</v>
      </c>
      <c r="K79" s="458"/>
      <c r="L79" s="187"/>
      <c r="M79" s="163"/>
      <c r="O79" s="324">
        <f t="shared" si="13"/>
        <v>1.4354172311026823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'[30]Sch C'!D68</f>
        <v>0</v>
      </c>
      <c r="D80" s="480">
        <f>'[30]Sch C'!F68</f>
        <v>0</v>
      </c>
      <c r="E80" s="480">
        <f>+'[30]Sch C'!H68</f>
        <v>0</v>
      </c>
      <c r="F80" s="166">
        <f t="shared" si="11"/>
        <v>0</v>
      </c>
      <c r="G80" s="626"/>
      <c r="H80" s="607"/>
      <c r="I80" s="166">
        <f t="shared" si="14"/>
        <v>0</v>
      </c>
      <c r="J80" s="167">
        <f t="shared" si="12"/>
        <v>0</v>
      </c>
      <c r="K80" s="458"/>
      <c r="L80" s="187"/>
      <c r="M80" s="163"/>
      <c r="O80" s="324">
        <f t="shared" si="13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'[30]Sch C'!D69</f>
        <v>3910</v>
      </c>
      <c r="D81" s="480">
        <f>'[30]Sch C'!F69</f>
        <v>0</v>
      </c>
      <c r="E81" s="480">
        <f>+'[30]Sch C'!H69</f>
        <v>0</v>
      </c>
      <c r="F81" s="166">
        <f t="shared" si="11"/>
        <v>3910</v>
      </c>
      <c r="G81" s="626"/>
      <c r="H81" s="607"/>
      <c r="I81" s="166">
        <f t="shared" si="14"/>
        <v>3910</v>
      </c>
      <c r="J81" s="167">
        <f t="shared" si="12"/>
        <v>5.4641390114864121E-4</v>
      </c>
      <c r="K81" s="458"/>
      <c r="L81" s="187"/>
      <c r="M81" s="163"/>
      <c r="O81" s="324">
        <f t="shared" si="13"/>
        <v>0.13241668924410729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'[30]Sch C'!D70</f>
        <v>0</v>
      </c>
      <c r="D82" s="480">
        <f>'[30]Sch C'!F70</f>
        <v>0</v>
      </c>
      <c r="E82" s="480">
        <f>+'[30]Sch C'!H70</f>
        <v>0</v>
      </c>
      <c r="F82" s="166">
        <f t="shared" si="11"/>
        <v>0</v>
      </c>
      <c r="G82" s="626"/>
      <c r="H82" s="607"/>
      <c r="I82" s="166">
        <f t="shared" si="14"/>
        <v>0</v>
      </c>
      <c r="J82" s="167">
        <f t="shared" si="12"/>
        <v>0</v>
      </c>
      <c r="K82" s="458"/>
      <c r="L82" s="187"/>
      <c r="M82" s="163"/>
      <c r="O82" s="324">
        <f t="shared" si="13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'[30]Sch C'!D71</f>
        <v>0</v>
      </c>
      <c r="D83" s="480">
        <f>'[30]Sch C'!F71</f>
        <v>0</v>
      </c>
      <c r="E83" s="480">
        <f>+'[30]Sch C'!H71</f>
        <v>0</v>
      </c>
      <c r="F83" s="166">
        <f t="shared" si="11"/>
        <v>0</v>
      </c>
      <c r="G83" s="626"/>
      <c r="H83" s="607"/>
      <c r="I83" s="166">
        <f t="shared" si="14"/>
        <v>0</v>
      </c>
      <c r="J83" s="167">
        <f t="shared" si="12"/>
        <v>0</v>
      </c>
      <c r="K83" s="458"/>
      <c r="L83" s="187"/>
      <c r="M83" s="163"/>
      <c r="O83" s="324">
        <f t="shared" si="13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711023</v>
      </c>
      <c r="D84" s="480">
        <f t="shared" si="15"/>
        <v>-3660</v>
      </c>
      <c r="E84" s="480">
        <f t="shared" si="15"/>
        <v>0</v>
      </c>
      <c r="F84" s="166">
        <f t="shared" ref="F84:I84" si="16">SUM(F69:F83)</f>
        <v>707363</v>
      </c>
      <c r="G84" s="166">
        <f t="shared" si="16"/>
        <v>17646</v>
      </c>
      <c r="H84" s="166">
        <f t="shared" si="16"/>
        <v>-463559</v>
      </c>
      <c r="I84" s="166">
        <f t="shared" si="16"/>
        <v>261450</v>
      </c>
      <c r="J84" s="167">
        <f t="shared" si="12"/>
        <v>3.6537062520540217E-2</v>
      </c>
      <c r="K84" s="458"/>
      <c r="L84" s="187"/>
      <c r="M84" s="163"/>
      <c r="O84" s="324">
        <f t="shared" si="13"/>
        <v>8.8543077756705504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'[30]Sch C'!D75</f>
        <v>85553</v>
      </c>
      <c r="D87" s="480">
        <f>'[30]Sch C'!F75</f>
        <v>0</v>
      </c>
      <c r="E87" s="480">
        <f>+'[30]Sch C'!H75</f>
        <v>0</v>
      </c>
      <c r="F87" s="166">
        <f t="shared" ref="F87:F97" si="17">C87+D87+E87</f>
        <v>85553</v>
      </c>
      <c r="G87" s="626"/>
      <c r="H87" s="607"/>
      <c r="I87" s="166">
        <f t="shared" ref="I87:I97" si="18">F87+G87+H87</f>
        <v>85553</v>
      </c>
      <c r="J87" s="167">
        <f t="shared" ref="J87:J98" si="19">IF($I$213=0,0,I87/$I$213)</f>
        <v>1.1955843602294042E-2</v>
      </c>
      <c r="K87" s="458"/>
      <c r="L87" s="176">
        <v>4086</v>
      </c>
      <c r="M87" s="176">
        <v>4355</v>
      </c>
      <c r="O87" s="324">
        <f t="shared" ref="O87:O97" si="20">I87/I$233</f>
        <v>2.8973516662151177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'[30]Sch C'!D76</f>
        <v>13127</v>
      </c>
      <c r="D88" s="480">
        <f>'[30]Sch C'!F76</f>
        <v>4645</v>
      </c>
      <c r="E88" s="480">
        <f>+'[30]Sch C'!H76</f>
        <v>0</v>
      </c>
      <c r="F88" s="166">
        <f t="shared" si="17"/>
        <v>17772</v>
      </c>
      <c r="G88" s="626"/>
      <c r="H88" s="607"/>
      <c r="I88" s="166">
        <f t="shared" si="18"/>
        <v>17772</v>
      </c>
      <c r="J88" s="167">
        <f t="shared" si="19"/>
        <v>2.4835979159114202E-3</v>
      </c>
      <c r="K88" s="458"/>
      <c r="L88" s="163"/>
      <c r="M88" s="163"/>
      <c r="O88" s="324">
        <f t="shared" si="20"/>
        <v>0.60186941208344624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'[30]Sch C'!D77</f>
        <v>20718</v>
      </c>
      <c r="D89" s="480">
        <f>'[30]Sch C'!F77</f>
        <v>0</v>
      </c>
      <c r="E89" s="480">
        <f>+'[30]Sch C'!H77</f>
        <v>0</v>
      </c>
      <c r="F89" s="166">
        <f t="shared" si="17"/>
        <v>20718</v>
      </c>
      <c r="G89" s="626"/>
      <c r="H89" s="607"/>
      <c r="I89" s="166">
        <f t="shared" si="18"/>
        <v>20718</v>
      </c>
      <c r="J89" s="167">
        <f t="shared" si="19"/>
        <v>2.8952949370837722E-3</v>
      </c>
      <c r="K89" s="458"/>
      <c r="L89" s="163"/>
      <c r="M89" s="163"/>
      <c r="O89" s="324">
        <f t="shared" si="20"/>
        <v>0.70163912218910862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'[30]Sch C'!D78</f>
        <v>0</v>
      </c>
      <c r="D90" s="480">
        <f>'[30]Sch C'!F78</f>
        <v>0</v>
      </c>
      <c r="E90" s="480">
        <f>+'[30]Sch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'[30]Sch C'!D79</f>
        <v>10901</v>
      </c>
      <c r="D91" s="480">
        <f>'[30]Sch C'!F79</f>
        <v>0</v>
      </c>
      <c r="E91" s="480">
        <f>+'[30]Sch C'!H79</f>
        <v>0</v>
      </c>
      <c r="F91" s="166">
        <f t="shared" si="17"/>
        <v>10901</v>
      </c>
      <c r="G91" s="626"/>
      <c r="H91" s="607"/>
      <c r="I91" s="166">
        <f t="shared" si="18"/>
        <v>10901</v>
      </c>
      <c r="J91" s="167">
        <f t="shared" si="19"/>
        <v>1.5233907765783473E-3</v>
      </c>
      <c r="K91" s="458"/>
      <c r="L91" s="163"/>
      <c r="M91" s="163"/>
      <c r="O91" s="324">
        <f t="shared" si="20"/>
        <v>0.36917502031969657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'[30]Sch C'!D80</f>
        <v>30222</v>
      </c>
      <c r="D92" s="480">
        <f>'[30]Sch C'!F80</f>
        <v>0</v>
      </c>
      <c r="E92" s="480">
        <f>+'[30]Sch C'!H80</f>
        <v>0</v>
      </c>
      <c r="F92" s="166">
        <f t="shared" si="17"/>
        <v>30222</v>
      </c>
      <c r="G92" s="626"/>
      <c r="H92" s="607"/>
      <c r="I92" s="166">
        <f t="shared" si="18"/>
        <v>30222</v>
      </c>
      <c r="J92" s="167">
        <f t="shared" si="19"/>
        <v>4.223458035937145E-3</v>
      </c>
      <c r="K92" s="458"/>
      <c r="L92" s="163"/>
      <c r="M92" s="163"/>
      <c r="O92" s="324">
        <f t="shared" si="20"/>
        <v>1.0235031156868057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'[30]Sch C'!D81</f>
        <v>17872</v>
      </c>
      <c r="D93" s="480">
        <f>'[30]Sch C'!F81</f>
        <v>0</v>
      </c>
      <c r="E93" s="480">
        <f>+'[30]Sch C'!H81</f>
        <v>0</v>
      </c>
      <c r="F93" s="166">
        <f t="shared" si="17"/>
        <v>17872</v>
      </c>
      <c r="G93" s="626"/>
      <c r="H93" s="607"/>
      <c r="I93" s="166">
        <f t="shared" si="18"/>
        <v>17872</v>
      </c>
      <c r="J93" s="167">
        <f t="shared" si="19"/>
        <v>2.4975726959919481E-3</v>
      </c>
      <c r="K93" s="458"/>
      <c r="L93" s="163"/>
      <c r="M93" s="163"/>
      <c r="O93" s="324">
        <f t="shared" si="20"/>
        <v>0.60525602817664592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'[30]Sch C'!D82</f>
        <v>4825</v>
      </c>
      <c r="D94" s="480">
        <f>'[30]Sch C'!F82</f>
        <v>0</v>
      </c>
      <c r="E94" s="480">
        <f>+'[30]Sch C'!H82</f>
        <v>0</v>
      </c>
      <c r="F94" s="166">
        <f t="shared" si="17"/>
        <v>4825</v>
      </c>
      <c r="G94" s="626"/>
      <c r="H94" s="607"/>
      <c r="I94" s="166">
        <f t="shared" si="18"/>
        <v>4825</v>
      </c>
      <c r="J94" s="167">
        <f t="shared" si="19"/>
        <v>6.7428313888547161E-4</v>
      </c>
      <c r="K94" s="458"/>
      <c r="L94" s="163"/>
      <c r="M94" s="163"/>
      <c r="O94" s="324">
        <f t="shared" si="20"/>
        <v>0.16340422649688432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'[30]Sch C'!D83</f>
        <v>3488</v>
      </c>
      <c r="D95" s="480">
        <f>'[30]Sch C'!F83</f>
        <v>0</v>
      </c>
      <c r="E95" s="480">
        <f>+'[30]Sch C'!H83</f>
        <v>0</v>
      </c>
      <c r="F95" s="166">
        <f t="shared" si="17"/>
        <v>3488</v>
      </c>
      <c r="G95" s="626"/>
      <c r="H95" s="607"/>
      <c r="I95" s="166">
        <f t="shared" si="18"/>
        <v>3488</v>
      </c>
      <c r="J95" s="167">
        <f t="shared" si="19"/>
        <v>4.8744032920881348E-4</v>
      </c>
      <c r="K95" s="458"/>
      <c r="L95" s="163"/>
      <c r="M95" s="163"/>
      <c r="O95" s="324">
        <f t="shared" si="20"/>
        <v>0.11812516933080466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'[30]Sch C'!D84</f>
        <v>75976</v>
      </c>
      <c r="D96" s="480">
        <f>'[30]Sch C'!F84</f>
        <v>0</v>
      </c>
      <c r="E96" s="480">
        <f>+'[30]Sch C'!H84</f>
        <v>0</v>
      </c>
      <c r="F96" s="166">
        <f t="shared" si="17"/>
        <v>75976</v>
      </c>
      <c r="G96" s="626"/>
      <c r="H96" s="607"/>
      <c r="I96" s="166">
        <f t="shared" si="18"/>
        <v>75976</v>
      </c>
      <c r="J96" s="167">
        <f t="shared" si="19"/>
        <v>1.0617478913981885E-2</v>
      </c>
      <c r="K96" s="458"/>
      <c r="L96" s="163"/>
      <c r="M96" s="163"/>
      <c r="O96" s="324">
        <f t="shared" si="20"/>
        <v>2.573015442969385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'[30]Sch C'!D85</f>
        <v>0</v>
      </c>
      <c r="D97" s="480">
        <f>'[30]Sch C'!F85</f>
        <v>0</v>
      </c>
      <c r="E97" s="480">
        <f>+'[30]Sch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262682</v>
      </c>
      <c r="D98" s="480">
        <f t="shared" si="21"/>
        <v>4645</v>
      </c>
      <c r="E98" s="480">
        <f t="shared" si="21"/>
        <v>0</v>
      </c>
      <c r="F98" s="166">
        <f t="shared" ref="F98:I98" si="22">SUM(F87:F97)</f>
        <v>267327</v>
      </c>
      <c r="G98" s="166">
        <f t="shared" si="22"/>
        <v>0</v>
      </c>
      <c r="H98" s="166">
        <f t="shared" si="22"/>
        <v>0</v>
      </c>
      <c r="I98" s="166">
        <f t="shared" si="22"/>
        <v>267327</v>
      </c>
      <c r="J98" s="167">
        <f t="shared" si="19"/>
        <v>3.7358360345872844E-2</v>
      </c>
      <c r="K98" s="458"/>
      <c r="L98" s="163"/>
      <c r="M98" s="163"/>
      <c r="O98" s="329">
        <f>I98/I$233</f>
        <v>9.0533392034678943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'[30]Sch C'!D89</f>
        <v>216358</v>
      </c>
      <c r="D101" s="480">
        <f>'[30]Sch C'!F89</f>
        <v>0</v>
      </c>
      <c r="E101" s="480">
        <f>+'[30]Sch C'!H89</f>
        <v>0</v>
      </c>
      <c r="F101" s="166">
        <f t="shared" ref="F101:F106" si="23">C101+D101+E101</f>
        <v>216358</v>
      </c>
      <c r="G101" s="626"/>
      <c r="H101" s="607"/>
      <c r="I101" s="166">
        <f t="shared" ref="I101:I106" si="24">F101+G101+H101</f>
        <v>216358</v>
      </c>
      <c r="J101" s="167">
        <f t="shared" ref="J101:J107" si="25">IF($I$213=0,0,I101/$I$213)</f>
        <v>3.0235554686628575E-2</v>
      </c>
      <c r="K101" s="458"/>
      <c r="L101" s="176">
        <v>17426</v>
      </c>
      <c r="M101" s="176">
        <v>18747</v>
      </c>
      <c r="O101" s="329">
        <f t="shared" ref="O101:O106" si="26">I101/I$233</f>
        <v>7.327214846924953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'[30]Sch C'!D90</f>
        <v>35708</v>
      </c>
      <c r="D102" s="480">
        <f>'[30]Sch C'!F90</f>
        <v>11748</v>
      </c>
      <c r="E102" s="480">
        <f>+'[30]Sch C'!H90</f>
        <v>0</v>
      </c>
      <c r="F102" s="166">
        <f t="shared" si="23"/>
        <v>47456</v>
      </c>
      <c r="G102" s="626"/>
      <c r="H102" s="607"/>
      <c r="I102" s="166">
        <f t="shared" si="24"/>
        <v>47456</v>
      </c>
      <c r="J102" s="167">
        <f t="shared" si="25"/>
        <v>6.6318716350153252E-3</v>
      </c>
      <c r="K102" s="458"/>
      <c r="L102" s="163"/>
      <c r="M102" s="163"/>
      <c r="O102" s="329">
        <f t="shared" si="26"/>
        <v>1.6071525331888377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'[30]Sch C'!D91</f>
        <v>17873</v>
      </c>
      <c r="D103" s="480">
        <f>'[30]Sch C'!F91</f>
        <v>0</v>
      </c>
      <c r="E103" s="480">
        <f>+'[30]Sch C'!H91</f>
        <v>0</v>
      </c>
      <c r="F103" s="166">
        <f t="shared" si="23"/>
        <v>17873</v>
      </c>
      <c r="G103" s="626"/>
      <c r="H103" s="607"/>
      <c r="I103" s="166">
        <f t="shared" si="24"/>
        <v>17873</v>
      </c>
      <c r="J103" s="167">
        <f t="shared" si="25"/>
        <v>2.4977124437927534E-3</v>
      </c>
      <c r="K103" s="458"/>
      <c r="L103" s="163"/>
      <c r="M103" s="163"/>
      <c r="O103" s="329">
        <f t="shared" si="26"/>
        <v>0.60528989433757785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'[30]Sch C'!D92</f>
        <v>183382</v>
      </c>
      <c r="D104" s="480">
        <f>'[30]Sch C'!F92</f>
        <v>0</v>
      </c>
      <c r="E104" s="480">
        <f>+'[30]Sch C'!H92</f>
        <v>0</v>
      </c>
      <c r="F104" s="166">
        <f t="shared" si="23"/>
        <v>183382</v>
      </c>
      <c r="G104" s="626"/>
      <c r="H104" s="607"/>
      <c r="I104" s="166">
        <f t="shared" si="24"/>
        <v>183382</v>
      </c>
      <c r="J104" s="167">
        <f t="shared" si="25"/>
        <v>2.5627231207273692E-2</v>
      </c>
      <c r="K104" s="458"/>
      <c r="L104" s="163"/>
      <c r="M104" s="163"/>
      <c r="O104" s="329">
        <f t="shared" si="26"/>
        <v>6.2104443240314282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'[30]Sch C'!D93</f>
        <v>18006</v>
      </c>
      <c r="D105" s="480">
        <f>'[30]Sch C'!F93</f>
        <v>2523</v>
      </c>
      <c r="E105" s="480">
        <f>+'[30]Sch C'!H93</f>
        <v>0</v>
      </c>
      <c r="F105" s="166">
        <f t="shared" si="23"/>
        <v>20529</v>
      </c>
      <c r="G105" s="626"/>
      <c r="H105" s="607"/>
      <c r="I105" s="166">
        <f t="shared" si="24"/>
        <v>20529</v>
      </c>
      <c r="J105" s="167">
        <f t="shared" si="25"/>
        <v>2.8688826027315744E-3</v>
      </c>
      <c r="K105" s="458"/>
      <c r="L105" s="163"/>
      <c r="M105" s="163"/>
      <c r="O105" s="329">
        <f t="shared" si="26"/>
        <v>0.69523841777296125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'[30]Sch C'!D94</f>
        <v>0</v>
      </c>
      <c r="D106" s="480">
        <f>'[30]Sch C'!F94</f>
        <v>0</v>
      </c>
      <c r="E106" s="480">
        <f>+'[30]Sch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471327</v>
      </c>
      <c r="D107" s="480">
        <f t="shared" si="27"/>
        <v>14271</v>
      </c>
      <c r="E107" s="480">
        <f t="shared" si="27"/>
        <v>0</v>
      </c>
      <c r="F107" s="166">
        <f t="shared" ref="F107:I107" si="28">SUM(F101:F106)</f>
        <v>485598</v>
      </c>
      <c r="G107" s="166">
        <f t="shared" si="28"/>
        <v>0</v>
      </c>
      <c r="H107" s="166">
        <f t="shared" si="28"/>
        <v>0</v>
      </c>
      <c r="I107" s="166">
        <f t="shared" si="28"/>
        <v>485598</v>
      </c>
      <c r="J107" s="167">
        <f t="shared" si="25"/>
        <v>6.7861252575441913E-2</v>
      </c>
      <c r="K107" s="458"/>
      <c r="L107" s="163"/>
      <c r="M107" s="163"/>
      <c r="O107" s="329">
        <f>I107/I$233</f>
        <v>16.445340016255756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'[30]Sch C'!D98</f>
        <v>0</v>
      </c>
      <c r="D110" s="480">
        <f>'[30]Sch C'!F98</f>
        <v>0</v>
      </c>
      <c r="E110" s="480">
        <f>+'[30]Sch C'!H98</f>
        <v>0</v>
      </c>
      <c r="F110" s="166">
        <f t="shared" ref="F110:F115" si="29">C110+D110+E110</f>
        <v>0</v>
      </c>
      <c r="G110" s="626"/>
      <c r="H110" s="607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'[30]Sch C'!D99</f>
        <v>0</v>
      </c>
      <c r="D111" s="480">
        <f>'[30]Sch C'!F99</f>
        <v>0</v>
      </c>
      <c r="E111" s="480">
        <f>+'[30]Sch C'!H99</f>
        <v>0</v>
      </c>
      <c r="F111" s="166">
        <f t="shared" si="29"/>
        <v>0</v>
      </c>
      <c r="G111" s="626"/>
      <c r="H111" s="607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'[30]Sch C'!D100</f>
        <v>1973</v>
      </c>
      <c r="D112" s="480">
        <f>'[30]Sch C'!F100</f>
        <v>0</v>
      </c>
      <c r="E112" s="480">
        <f>+'[30]Sch C'!H100</f>
        <v>0</v>
      </c>
      <c r="F112" s="166">
        <f t="shared" si="29"/>
        <v>1973</v>
      </c>
      <c r="G112" s="626"/>
      <c r="H112" s="607"/>
      <c r="I112" s="166">
        <f t="shared" si="30"/>
        <v>1973</v>
      </c>
      <c r="J112" s="167">
        <f t="shared" si="31"/>
        <v>2.7572241098881568E-4</v>
      </c>
      <c r="K112" s="458"/>
      <c r="L112" s="163"/>
      <c r="M112" s="163"/>
      <c r="O112" s="329">
        <f t="shared" si="32"/>
        <v>6.6817935518829585E-2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'[30]Sch C'!D101</f>
        <v>14400</v>
      </c>
      <c r="D113" s="480">
        <f>'[30]Sch C'!F101</f>
        <v>0</v>
      </c>
      <c r="E113" s="480">
        <f>+'[30]Sch C'!H101</f>
        <v>0</v>
      </c>
      <c r="F113" s="166">
        <f t="shared" si="29"/>
        <v>14400</v>
      </c>
      <c r="G113" s="626"/>
      <c r="H113" s="607"/>
      <c r="I113" s="166">
        <f t="shared" si="30"/>
        <v>14400</v>
      </c>
      <c r="J113" s="167">
        <f t="shared" si="31"/>
        <v>2.0123683315960189E-3</v>
      </c>
      <c r="K113" s="458"/>
      <c r="L113" s="163"/>
      <c r="M113" s="163"/>
      <c r="O113" s="329">
        <f t="shared" si="32"/>
        <v>0.48767271742075319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'[30]Sch C'!D102</f>
        <v>6305</v>
      </c>
      <c r="D114" s="480">
        <f>'[30]Sch C'!F102</f>
        <v>0</v>
      </c>
      <c r="E114" s="480">
        <f>+'[30]Sch C'!H102</f>
        <v>0</v>
      </c>
      <c r="F114" s="166">
        <f t="shared" si="29"/>
        <v>6305</v>
      </c>
      <c r="G114" s="626"/>
      <c r="H114" s="607"/>
      <c r="I114" s="166">
        <f t="shared" si="30"/>
        <v>6305</v>
      </c>
      <c r="J114" s="167">
        <f t="shared" si="31"/>
        <v>8.8110988407728472E-4</v>
      </c>
      <c r="K114" s="458"/>
      <c r="L114" s="163"/>
      <c r="M114" s="163"/>
      <c r="O114" s="329">
        <f t="shared" si="32"/>
        <v>0.21352614467623951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'[30]Sch C'!D103</f>
        <v>3968</v>
      </c>
      <c r="D115" s="480">
        <f>'[30]Sch C'!F103</f>
        <v>0</v>
      </c>
      <c r="E115" s="480">
        <f>+'[30]Sch C'!H103</f>
        <v>0</v>
      </c>
      <c r="F115" s="166">
        <f t="shared" si="29"/>
        <v>3968</v>
      </c>
      <c r="G115" s="626"/>
      <c r="H115" s="607"/>
      <c r="I115" s="166">
        <f t="shared" si="30"/>
        <v>3968</v>
      </c>
      <c r="J115" s="167">
        <f t="shared" si="31"/>
        <v>5.545192735953475E-4</v>
      </c>
      <c r="K115" s="458"/>
      <c r="L115" s="163"/>
      <c r="M115" s="163"/>
      <c r="O115" s="329">
        <f t="shared" si="32"/>
        <v>0.13438092657816311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26646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26646</v>
      </c>
      <c r="G116" s="166">
        <f t="shared" si="34"/>
        <v>0</v>
      </c>
      <c r="H116" s="166">
        <f t="shared" si="34"/>
        <v>0</v>
      </c>
      <c r="I116" s="166">
        <f t="shared" si="34"/>
        <v>26646</v>
      </c>
      <c r="J116" s="167">
        <f t="shared" si="31"/>
        <v>3.7237199002574666E-3</v>
      </c>
      <c r="K116" s="458"/>
      <c r="L116" s="163"/>
      <c r="M116" s="163"/>
      <c r="O116" s="329">
        <f>I116/I$233</f>
        <v>0.90239772419398534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'[30]Sch C'!D115</f>
        <v>98832</v>
      </c>
      <c r="D119" s="480">
        <f>'[30]Sch C'!F115</f>
        <v>0</v>
      </c>
      <c r="E119" s="480">
        <f>+'[30]Sch C'!H115</f>
        <v>0</v>
      </c>
      <c r="F119" s="166">
        <f>C119+D119+E119</f>
        <v>98832</v>
      </c>
      <c r="G119" s="626"/>
      <c r="H119" s="607"/>
      <c r="I119" s="166">
        <f t="shared" ref="I119:I123" si="35">F119+G119+H119</f>
        <v>98832</v>
      </c>
      <c r="J119" s="167">
        <f t="shared" ref="J119:J124" si="36">IF($I$213=0,0,I119/$I$213)</f>
        <v>1.3811554649187343E-2</v>
      </c>
      <c r="K119" s="458"/>
      <c r="L119" s="176">
        <v>8513</v>
      </c>
      <c r="M119" s="176">
        <v>9208</v>
      </c>
      <c r="O119" s="329">
        <f t="shared" ref="O119:O124" si="37">I119/I$233</f>
        <v>3.3470604172311025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'[30]Sch C'!D116</f>
        <v>16573</v>
      </c>
      <c r="D120" s="480">
        <f>'[30]Sch C'!F116</f>
        <v>5367</v>
      </c>
      <c r="E120" s="480">
        <f>+'[30]Sch C'!H116</f>
        <v>0</v>
      </c>
      <c r="F120" s="166">
        <f>C120+D120+E120</f>
        <v>21940</v>
      </c>
      <c r="G120" s="626"/>
      <c r="H120" s="607"/>
      <c r="I120" s="166">
        <f t="shared" si="35"/>
        <v>21940</v>
      </c>
      <c r="J120" s="167">
        <f t="shared" si="36"/>
        <v>3.0660667496678231E-3</v>
      </c>
      <c r="K120" s="458"/>
      <c r="L120" s="163"/>
      <c r="M120" s="163"/>
      <c r="O120" s="329">
        <f t="shared" si="37"/>
        <v>0.74302357084800863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'[30]Sch C'!D117</f>
        <v>19599</v>
      </c>
      <c r="D121" s="480">
        <f>'[30]Sch C'!F117</f>
        <v>0</v>
      </c>
      <c r="E121" s="480">
        <f>+'[30]Sch C'!H117</f>
        <v>0</v>
      </c>
      <c r="F121" s="166">
        <f>C121+D121+E121</f>
        <v>19599</v>
      </c>
      <c r="G121" s="626"/>
      <c r="H121" s="607"/>
      <c r="I121" s="166">
        <f t="shared" si="35"/>
        <v>19599</v>
      </c>
      <c r="J121" s="167">
        <f t="shared" si="36"/>
        <v>2.7389171479826652E-3</v>
      </c>
      <c r="K121" s="458"/>
      <c r="L121" s="163"/>
      <c r="M121" s="163"/>
      <c r="O121" s="329">
        <f t="shared" si="37"/>
        <v>0.6637428881062043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'[30]Sch C'!D118</f>
        <v>24454</v>
      </c>
      <c r="D122" s="480">
        <f>'[30]Sch C'!F118</f>
        <v>0</v>
      </c>
      <c r="E122" s="480">
        <f>+'[30]Sch C'!H118</f>
        <v>0</v>
      </c>
      <c r="F122" s="166">
        <f>C122+D122+E122</f>
        <v>24454</v>
      </c>
      <c r="G122" s="626"/>
      <c r="H122" s="607"/>
      <c r="I122" s="166">
        <f t="shared" si="35"/>
        <v>24454</v>
      </c>
      <c r="J122" s="167">
        <f t="shared" si="36"/>
        <v>3.4173927208922951E-3</v>
      </c>
      <c r="K122" s="458"/>
      <c r="L122" s="163"/>
      <c r="M122" s="163"/>
      <c r="O122" s="329">
        <f t="shared" si="37"/>
        <v>0.82816309943104849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'[30]Sch C'!D119</f>
        <v>906</v>
      </c>
      <c r="D123" s="480">
        <f>'[30]Sch C'!F119</f>
        <v>0</v>
      </c>
      <c r="E123" s="480">
        <f>+'[30]Sch C'!H119</f>
        <v>0</v>
      </c>
      <c r="F123" s="166">
        <f>C123+D123+E123</f>
        <v>906</v>
      </c>
      <c r="G123" s="626"/>
      <c r="H123" s="607"/>
      <c r="I123" s="166">
        <f t="shared" si="35"/>
        <v>906</v>
      </c>
      <c r="J123" s="167">
        <f t="shared" si="36"/>
        <v>1.2661150752958287E-4</v>
      </c>
      <c r="K123" s="458"/>
      <c r="L123" s="163"/>
      <c r="M123" s="163"/>
      <c r="O123" s="329">
        <f t="shared" si="37"/>
        <v>3.0682741804389055E-2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8">SUM(C119:C123)</f>
        <v>160364</v>
      </c>
      <c r="D124" s="480">
        <f t="shared" si="38"/>
        <v>5367</v>
      </c>
      <c r="E124" s="480">
        <f t="shared" si="38"/>
        <v>0</v>
      </c>
      <c r="F124" s="166">
        <f t="shared" ref="F124:I124" si="39">SUM(F119:F123)</f>
        <v>165731</v>
      </c>
      <c r="G124" s="166">
        <f t="shared" si="39"/>
        <v>0</v>
      </c>
      <c r="H124" s="166">
        <f t="shared" si="39"/>
        <v>0</v>
      </c>
      <c r="I124" s="166">
        <f t="shared" si="39"/>
        <v>165731</v>
      </c>
      <c r="J124" s="167">
        <f t="shared" si="36"/>
        <v>2.316054277525971E-2</v>
      </c>
      <c r="K124" s="458"/>
      <c r="L124" s="163"/>
      <c r="M124" s="163"/>
      <c r="O124" s="329">
        <f t="shared" si="37"/>
        <v>5.6126727174207529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'[30]Sch C'!D124</f>
        <v>0</v>
      </c>
      <c r="D128" s="480">
        <f>'[30]Sch C'!F124</f>
        <v>0</v>
      </c>
      <c r="E128" s="480">
        <f>+'[30]Sch C'!H124</f>
        <v>0</v>
      </c>
      <c r="F128" s="166">
        <f>C128+D128+E128</f>
        <v>0</v>
      </c>
      <c r="G128" s="626"/>
      <c r="H128" s="607"/>
      <c r="I128" s="166">
        <f t="shared" ref="I128:I132" si="40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1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'[30]Sch C'!D125</f>
        <v>117851</v>
      </c>
      <c r="D129" s="480">
        <f>'[30]Sch C'!F125</f>
        <v>0</v>
      </c>
      <c r="E129" s="480">
        <f>+'[30]Sch C'!H125</f>
        <v>47601</v>
      </c>
      <c r="F129" s="166">
        <f>C129+D129+E129</f>
        <v>165452</v>
      </c>
      <c r="G129" s="626"/>
      <c r="H129" s="607"/>
      <c r="I129" s="166">
        <f t="shared" si="40"/>
        <v>165452</v>
      </c>
      <c r="J129" s="167">
        <f>IF($I$213=0,0,I129/$I$213)</f>
        <v>2.3121553138835037E-2</v>
      </c>
      <c r="K129" s="458"/>
      <c r="L129" s="176">
        <v>2740</v>
      </c>
      <c r="M129" s="176">
        <v>2909</v>
      </c>
      <c r="O129" s="329">
        <f t="shared" si="41"/>
        <v>5.603224058520726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'[30]Sch C'!D126</f>
        <v>71046</v>
      </c>
      <c r="D130" s="480">
        <f>'[30]Sch C'!F126</f>
        <v>0</v>
      </c>
      <c r="E130" s="480">
        <f>+'[30]Sch C'!H126</f>
        <v>0</v>
      </c>
      <c r="F130" s="166">
        <f>C130+D130+E130</f>
        <v>71046</v>
      </c>
      <c r="G130" s="626"/>
      <c r="H130" s="607"/>
      <c r="I130" s="166">
        <f t="shared" si="40"/>
        <v>71046</v>
      </c>
      <c r="J130" s="167">
        <f>IF($I$213=0,0,I130/$I$213)</f>
        <v>9.9285222560118579E-3</v>
      </c>
      <c r="K130" s="458"/>
      <c r="L130" s="176">
        <v>2048</v>
      </c>
      <c r="M130" s="176">
        <v>2337</v>
      </c>
      <c r="O130" s="329">
        <f t="shared" si="41"/>
        <v>2.4060552695746411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'[30]Sch C'!D127</f>
        <v>0</v>
      </c>
      <c r="D131" s="480">
        <f>'[30]Sch C'!F127</f>
        <v>0</v>
      </c>
      <c r="E131" s="480">
        <f>+'[30]Sch C'!H127</f>
        <v>0</v>
      </c>
      <c r="F131" s="166">
        <f>C131+D131+E131</f>
        <v>0</v>
      </c>
      <c r="G131" s="626"/>
      <c r="H131" s="607"/>
      <c r="I131" s="166">
        <f t="shared" si="40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1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'[30]Sch C'!D128</f>
        <v>43899</v>
      </c>
      <c r="D132" s="480">
        <f>'[30]Sch C'!F128</f>
        <v>0</v>
      </c>
      <c r="E132" s="480">
        <f>+'[30]Sch C'!H128</f>
        <v>0</v>
      </c>
      <c r="F132" s="166">
        <f>C132+D132+E132</f>
        <v>43899</v>
      </c>
      <c r="G132" s="626"/>
      <c r="H132" s="607"/>
      <c r="I132" s="166">
        <f t="shared" si="40"/>
        <v>43899</v>
      </c>
      <c r="J132" s="167">
        <f>IF($I$213=0,0,I132/$I$213)</f>
        <v>6.134788707550947E-3</v>
      </c>
      <c r="K132" s="458"/>
      <c r="L132" s="176">
        <v>2085</v>
      </c>
      <c r="M132" s="176">
        <v>2273</v>
      </c>
      <c r="O132" s="329">
        <f t="shared" si="41"/>
        <v>1.4866905987537253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'[30]Sch C'!D130</f>
        <v>0</v>
      </c>
      <c r="D134" s="480">
        <f>'[30]Sch C'!F130</f>
        <v>0</v>
      </c>
      <c r="E134" s="480">
        <f>+'[30]Sch C'!H130</f>
        <v>0</v>
      </c>
      <c r="F134" s="166">
        <f>C134+D134+E134</f>
        <v>0</v>
      </c>
      <c r="G134" s="626"/>
      <c r="H134" s="607"/>
      <c r="I134" s="166">
        <f t="shared" ref="I134:I138" si="42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1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'[30]Sch C'!D131</f>
        <v>0</v>
      </c>
      <c r="D135" s="480">
        <f>'[30]Sch C'!F131</f>
        <v>6399</v>
      </c>
      <c r="E135" s="480">
        <f>+'[30]Sch C'!H131</f>
        <v>5250</v>
      </c>
      <c r="F135" s="166">
        <f>C135+D135+E135</f>
        <v>11649</v>
      </c>
      <c r="G135" s="626">
        <v>24453</v>
      </c>
      <c r="H135" s="607"/>
      <c r="I135" s="166">
        <f t="shared" si="42"/>
        <v>36102</v>
      </c>
      <c r="J135" s="167">
        <f>IF($I$213=0,0,I135/$I$213)</f>
        <v>5.0451751046721857E-3</v>
      </c>
      <c r="K135" s="458"/>
      <c r="L135" s="196"/>
      <c r="M135" s="196"/>
      <c r="O135" s="329">
        <f t="shared" si="41"/>
        <v>1.2226361419669467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'[30]Sch C'!D132</f>
        <v>0</v>
      </c>
      <c r="D136" s="480">
        <f>'[30]Sch C'!F132</f>
        <v>3858</v>
      </c>
      <c r="E136" s="480">
        <f>+'[30]Sch C'!H132</f>
        <v>0</v>
      </c>
      <c r="F136" s="166">
        <f>C136+D136+E136</f>
        <v>3858</v>
      </c>
      <c r="G136" s="626">
        <v>10500</v>
      </c>
      <c r="H136" s="607"/>
      <c r="I136" s="166">
        <f t="shared" si="42"/>
        <v>14358</v>
      </c>
      <c r="J136" s="167">
        <f>IF($I$213=0,0,I136/$I$213)</f>
        <v>2.0064989239621973E-3</v>
      </c>
      <c r="K136" s="458"/>
      <c r="L136" s="163"/>
      <c r="M136" s="163"/>
      <c r="O136" s="329">
        <f t="shared" si="41"/>
        <v>0.48625033866160933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'[30]Sch C'!D133</f>
        <v>0</v>
      </c>
      <c r="D137" s="480">
        <f>'[30]Sch C'!F133</f>
        <v>0</v>
      </c>
      <c r="E137" s="480">
        <f>+'[30]Sch C'!H133</f>
        <v>0</v>
      </c>
      <c r="F137" s="166">
        <f>C137+D137+E137</f>
        <v>0</v>
      </c>
      <c r="G137" s="626"/>
      <c r="H137" s="607"/>
      <c r="I137" s="166">
        <f t="shared" si="42"/>
        <v>0</v>
      </c>
      <c r="J137" s="167">
        <f>IF($I$213=0,0,I137/$I$213)</f>
        <v>0</v>
      </c>
      <c r="K137" s="458"/>
      <c r="L137" s="163"/>
      <c r="M137" s="163"/>
      <c r="O137" s="329">
        <f t="shared" si="41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'[30]Sch C'!D134</f>
        <v>0</v>
      </c>
      <c r="D138" s="480">
        <f>'[30]Sch C'!F134</f>
        <v>2384</v>
      </c>
      <c r="E138" s="480">
        <f>+'[30]Sch C'!H134</f>
        <v>0</v>
      </c>
      <c r="F138" s="166">
        <f>C138+D138+E138</f>
        <v>2384</v>
      </c>
      <c r="G138" s="626">
        <v>6488</v>
      </c>
      <c r="H138" s="607"/>
      <c r="I138" s="166">
        <f t="shared" si="42"/>
        <v>8872</v>
      </c>
      <c r="J138" s="167">
        <f>IF($I$213=0,0,I138/$I$213)</f>
        <v>1.2398424887444361E-3</v>
      </c>
      <c r="K138" s="458"/>
      <c r="L138" s="163"/>
      <c r="M138" s="163"/>
      <c r="O138" s="329">
        <f t="shared" si="41"/>
        <v>0.30046057978867513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'[30]Sch C'!D136</f>
        <v>632243</v>
      </c>
      <c r="D140" s="480">
        <f>'[30]Sch C'!F136</f>
        <v>0</v>
      </c>
      <c r="E140" s="480">
        <f>+'[30]Sch C'!H136</f>
        <v>0</v>
      </c>
      <c r="F140" s="166">
        <f>C140+D140+E140</f>
        <v>632243</v>
      </c>
      <c r="G140" s="626"/>
      <c r="H140" s="607"/>
      <c r="I140" s="166">
        <f t="shared" ref="I140:I143" si="43">F140+G140+H140</f>
        <v>632243</v>
      </c>
      <c r="J140" s="167">
        <f>IF($I$213=0,0,I140/$I$213)</f>
        <v>8.8354568824532076E-2</v>
      </c>
      <c r="K140" s="458"/>
      <c r="L140" s="176">
        <v>19873</v>
      </c>
      <c r="M140" s="176">
        <v>21113</v>
      </c>
      <c r="O140" s="329">
        <f t="shared" si="41"/>
        <v>21.411643186128419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'[30]Sch C'!D137</f>
        <v>342814</v>
      </c>
      <c r="D141" s="480">
        <f>'[30]Sch C'!F137</f>
        <v>0</v>
      </c>
      <c r="E141" s="480">
        <f>+'[30]Sch C'!H137</f>
        <v>0</v>
      </c>
      <c r="F141" s="166">
        <f>C141+D141+E141</f>
        <v>342814</v>
      </c>
      <c r="G141" s="626"/>
      <c r="H141" s="607"/>
      <c r="I141" s="166">
        <f t="shared" si="43"/>
        <v>342814</v>
      </c>
      <c r="J141" s="167">
        <f>IF($I$213=0,0,I141/$I$213)</f>
        <v>4.7907502585260948E-2</v>
      </c>
      <c r="K141" s="458"/>
      <c r="L141" s="176">
        <v>13021</v>
      </c>
      <c r="M141" s="176">
        <v>13899</v>
      </c>
      <c r="O141" s="329">
        <f t="shared" si="41"/>
        <v>11.609794093741533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'[30]Sch C'!D138</f>
        <v>844651</v>
      </c>
      <c r="D142" s="480">
        <f>'[30]Sch C'!F138</f>
        <v>0</v>
      </c>
      <c r="E142" s="480">
        <f>+'[30]Sch C'!H138</f>
        <v>0</v>
      </c>
      <c r="F142" s="166">
        <f>C142+D142+E142</f>
        <v>844651</v>
      </c>
      <c r="G142" s="626"/>
      <c r="H142" s="607"/>
      <c r="I142" s="166">
        <f t="shared" si="43"/>
        <v>844651</v>
      </c>
      <c r="J142" s="167">
        <f>IF($I$213=0,0,I142/$I$213)</f>
        <v>0.1180381196979798</v>
      </c>
      <c r="K142" s="458"/>
      <c r="L142" s="176">
        <v>55081</v>
      </c>
      <c r="M142" s="176">
        <v>57626</v>
      </c>
      <c r="O142" s="329">
        <f t="shared" si="41"/>
        <v>28.605086697371984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'[30]Sch C'!D139</f>
        <v>126684</v>
      </c>
      <c r="D143" s="480">
        <f>'[30]Sch C'!F139</f>
        <v>0</v>
      </c>
      <c r="E143" s="480">
        <f>+'[30]Sch C'!H139</f>
        <v>0</v>
      </c>
      <c r="F143" s="166">
        <f>C143+D143+E143</f>
        <v>126684</v>
      </c>
      <c r="G143" s="626"/>
      <c r="H143" s="607"/>
      <c r="I143" s="166">
        <f t="shared" si="43"/>
        <v>126684</v>
      </c>
      <c r="J143" s="167">
        <f>IF($I$213=0,0,I143/$I$213)</f>
        <v>1.7703810397215976E-2</v>
      </c>
      <c r="K143" s="458"/>
      <c r="L143" s="176">
        <v>9315</v>
      </c>
      <c r="M143" s="176">
        <v>9752</v>
      </c>
      <c r="O143" s="329">
        <f t="shared" si="41"/>
        <v>4.2903007315090758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'[30]Sch C'!D141</f>
        <v>0</v>
      </c>
      <c r="D145" s="480">
        <f>'[30]Sch C'!F141</f>
        <v>34330</v>
      </c>
      <c r="E145" s="480">
        <f>+'[30]Sch C'!H141</f>
        <v>0</v>
      </c>
      <c r="F145" s="166">
        <f>C145+D145+E145</f>
        <v>34330</v>
      </c>
      <c r="G145" s="626">
        <v>93443</v>
      </c>
      <c r="H145" s="607"/>
      <c r="I145" s="166">
        <f t="shared" ref="I145:I148" si="44">F145+G145+H145</f>
        <v>127773</v>
      </c>
      <c r="J145" s="167">
        <f>IF($I$213=0,0,I145/$I$213)</f>
        <v>1.7855995752292925E-2</v>
      </c>
      <c r="K145" s="458"/>
      <c r="L145" s="163"/>
      <c r="M145" s="163"/>
      <c r="O145" s="329">
        <f t="shared" si="41"/>
        <v>4.3271809807640205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'[30]Sch C'!D142</f>
        <v>0</v>
      </c>
      <c r="D146" s="480">
        <f>'[30]Sch C'!F142</f>
        <v>18615</v>
      </c>
      <c r="E146" s="480">
        <f>+'[30]Sch C'!H142</f>
        <v>0</v>
      </c>
      <c r="F146" s="166">
        <f>C146+D146+E146</f>
        <v>18615</v>
      </c>
      <c r="G146" s="626">
        <v>50667</v>
      </c>
      <c r="H146" s="607"/>
      <c r="I146" s="166">
        <f t="shared" si="44"/>
        <v>69282</v>
      </c>
      <c r="J146" s="167">
        <f>IF($I$213=0,0,I146/$I$213)</f>
        <v>9.6820071353913469E-3</v>
      </c>
      <c r="K146" s="458"/>
      <c r="L146" s="163"/>
      <c r="M146" s="163"/>
      <c r="O146" s="329">
        <f t="shared" si="41"/>
        <v>2.346315361690599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'[30]Sch C'!D143</f>
        <v>0</v>
      </c>
      <c r="D147" s="480">
        <f>'[30]Sch C'!F143</f>
        <v>45864</v>
      </c>
      <c r="E147" s="480">
        <f>+'[30]Sch C'!H143</f>
        <v>0</v>
      </c>
      <c r="F147" s="166">
        <f>C147+D147+E147</f>
        <v>45864</v>
      </c>
      <c r="G147" s="626">
        <v>124836</v>
      </c>
      <c r="H147" s="607"/>
      <c r="I147" s="166">
        <f t="shared" si="44"/>
        <v>170700</v>
      </c>
      <c r="J147" s="167">
        <f>IF($I$213=0,0,I147/$I$213)</f>
        <v>2.385494959746114E-2</v>
      </c>
      <c r="K147" s="458"/>
      <c r="L147" s="163"/>
      <c r="M147" s="163"/>
      <c r="O147" s="329">
        <f t="shared" si="41"/>
        <v>5.7809536710918454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'[30]Sch C'!D144</f>
        <v>329111</v>
      </c>
      <c r="D148" s="480">
        <f>'[30]Sch C'!F144</f>
        <v>6879</v>
      </c>
      <c r="E148" s="480">
        <f>+'[30]Sch C'!H144</f>
        <v>0</v>
      </c>
      <c r="F148" s="166">
        <f>C148+D148+E148</f>
        <v>335990</v>
      </c>
      <c r="G148" s="626">
        <v>-310387</v>
      </c>
      <c r="H148" s="607"/>
      <c r="I148" s="166">
        <f t="shared" si="44"/>
        <v>25603</v>
      </c>
      <c r="J148" s="167">
        <f>IF($I$213=0,0,I148/$I$213)</f>
        <v>3.5779629440175608E-3</v>
      </c>
      <c r="K148" s="458"/>
      <c r="L148" s="163"/>
      <c r="M148" s="163"/>
      <c r="O148" s="329">
        <f t="shared" si="41"/>
        <v>0.86707531834191276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'[30]Sch C'!D146</f>
        <v>48125</v>
      </c>
      <c r="D150" s="480">
        <f>'[30]Sch C'!F146</f>
        <v>0</v>
      </c>
      <c r="E150" s="480">
        <f>+'[30]Sch C'!H146</f>
        <v>0</v>
      </c>
      <c r="F150" s="166">
        <f t="shared" ref="F150:F158" si="45">C150+D150+E150</f>
        <v>48125</v>
      </c>
      <c r="G150" s="626"/>
      <c r="H150" s="607"/>
      <c r="I150" s="166">
        <f t="shared" ref="I150:I158" si="46">F150+G150+H150</f>
        <v>48125</v>
      </c>
      <c r="J150" s="167">
        <f t="shared" ref="J150:J158" si="47">IF($I$213=0,0,I150/$I$213)</f>
        <v>6.7253629137540563E-3</v>
      </c>
      <c r="K150" s="458"/>
      <c r="L150" s="176">
        <v>144</v>
      </c>
      <c r="M150" s="176">
        <v>144</v>
      </c>
      <c r="O150" s="329">
        <f t="shared" si="41"/>
        <v>1.6298089948523435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'[30]Sch C'!D147</f>
        <v>1723</v>
      </c>
      <c r="D151" s="480">
        <f>'[30]Sch C'!F147</f>
        <v>0</v>
      </c>
      <c r="E151" s="480">
        <f>+'[30]Sch C'!H147</f>
        <v>0</v>
      </c>
      <c r="F151" s="166">
        <f t="shared" si="45"/>
        <v>1723</v>
      </c>
      <c r="G151" s="626"/>
      <c r="H151" s="607"/>
      <c r="I151" s="166">
        <f t="shared" si="46"/>
        <v>1723</v>
      </c>
      <c r="J151" s="167">
        <f t="shared" si="47"/>
        <v>2.4078546078749589E-4</v>
      </c>
      <c r="K151" s="458"/>
      <c r="L151" s="176">
        <v>5</v>
      </c>
      <c r="M151" s="176">
        <v>5</v>
      </c>
      <c r="O151" s="329">
        <f t="shared" si="41"/>
        <v>5.8351395285830401E-2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'[30]Sch C'!D148</f>
        <v>0</v>
      </c>
      <c r="D152" s="480">
        <f>'[30]Sch C'!F148</f>
        <v>0</v>
      </c>
      <c r="E152" s="480">
        <f>+'[30]Sch C'!H148</f>
        <v>0</v>
      </c>
      <c r="F152" s="166">
        <f t="shared" si="45"/>
        <v>0</v>
      </c>
      <c r="G152" s="626"/>
      <c r="H152" s="607"/>
      <c r="I152" s="166">
        <f t="shared" si="46"/>
        <v>0</v>
      </c>
      <c r="J152" s="167">
        <f t="shared" si="47"/>
        <v>0</v>
      </c>
      <c r="K152" s="458"/>
      <c r="L152" s="176">
        <v>0</v>
      </c>
      <c r="M152" s="176">
        <v>0</v>
      </c>
      <c r="O152" s="329">
        <f t="shared" si="41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'[30]Sch C'!D149</f>
        <v>172110</v>
      </c>
      <c r="D153" s="480">
        <f>'[30]Sch C'!F149</f>
        <v>0</v>
      </c>
      <c r="E153" s="480">
        <f>+'[30]Sch C'!H149</f>
        <v>0</v>
      </c>
      <c r="F153" s="166">
        <f t="shared" si="45"/>
        <v>172110</v>
      </c>
      <c r="G153" s="626"/>
      <c r="H153" s="607"/>
      <c r="I153" s="166">
        <f t="shared" si="46"/>
        <v>172110</v>
      </c>
      <c r="J153" s="167">
        <f t="shared" si="47"/>
        <v>2.4051993996596584E-2</v>
      </c>
      <c r="K153" s="458"/>
      <c r="L153" s="176">
        <v>6884</v>
      </c>
      <c r="M153" s="176">
        <v>6884</v>
      </c>
      <c r="O153" s="329">
        <f t="shared" si="41"/>
        <v>5.82870495800596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'[30]Sch C'!D150</f>
        <v>15399</v>
      </c>
      <c r="D154" s="480">
        <f>'[30]Sch C'!F150</f>
        <v>0</v>
      </c>
      <c r="E154" s="480">
        <f>+'[30]Sch C'!H150</f>
        <v>0</v>
      </c>
      <c r="F154" s="166">
        <f t="shared" si="45"/>
        <v>15399</v>
      </c>
      <c r="G154" s="626">
        <v>-587</v>
      </c>
      <c r="H154" s="607"/>
      <c r="I154" s="166">
        <f t="shared" si="46"/>
        <v>14812</v>
      </c>
      <c r="J154" s="167">
        <f t="shared" si="47"/>
        <v>2.0699444255277938E-3</v>
      </c>
      <c r="K154" s="458"/>
      <c r="L154" s="176">
        <v>192</v>
      </c>
      <c r="M154" s="176">
        <v>192</v>
      </c>
      <c r="O154" s="329">
        <f t="shared" si="41"/>
        <v>0.50162557572473587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'[30]Sch C'!D151</f>
        <v>97573</v>
      </c>
      <c r="D155" s="480">
        <f>'[30]Sch C'!F151</f>
        <v>3349</v>
      </c>
      <c r="E155" s="480">
        <f>+'[30]Sch C'!H151</f>
        <v>0</v>
      </c>
      <c r="F155" s="166">
        <f t="shared" si="45"/>
        <v>100922</v>
      </c>
      <c r="G155" s="626"/>
      <c r="H155" s="607"/>
      <c r="I155" s="166">
        <f t="shared" si="46"/>
        <v>100922</v>
      </c>
      <c r="J155" s="167">
        <f t="shared" si="47"/>
        <v>1.4103627552870377E-2</v>
      </c>
      <c r="K155" s="458"/>
      <c r="L155" s="163"/>
      <c r="M155" s="163"/>
      <c r="O155" s="329">
        <f t="shared" si="41"/>
        <v>3.417840693578976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'[30]Sch C'!D152</f>
        <v>7211</v>
      </c>
      <c r="D156" s="480">
        <f>'[30]Sch C'!F152</f>
        <v>0</v>
      </c>
      <c r="E156" s="480">
        <f>+'[30]Sch C'!H152</f>
        <v>0</v>
      </c>
      <c r="F156" s="166">
        <f t="shared" si="45"/>
        <v>7211</v>
      </c>
      <c r="G156" s="626"/>
      <c r="H156" s="607"/>
      <c r="I156" s="166">
        <f t="shared" si="46"/>
        <v>7211</v>
      </c>
      <c r="J156" s="167">
        <f t="shared" si="47"/>
        <v>1.0077213916068676E-3</v>
      </c>
      <c r="K156" s="458"/>
      <c r="L156" s="163"/>
      <c r="M156" s="163"/>
      <c r="O156" s="329">
        <f t="shared" si="41"/>
        <v>0.24420888648062855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'[30]Sch C'!D153</f>
        <v>1883</v>
      </c>
      <c r="D157" s="480">
        <f>'[30]Sch C'!F153</f>
        <v>0</v>
      </c>
      <c r="E157" s="480">
        <f>+'[30]Sch C'!H153</f>
        <v>0</v>
      </c>
      <c r="F157" s="166">
        <f t="shared" si="45"/>
        <v>1883</v>
      </c>
      <c r="G157" s="626"/>
      <c r="H157" s="607"/>
      <c r="I157" s="166">
        <f t="shared" si="46"/>
        <v>1883</v>
      </c>
      <c r="J157" s="167">
        <f t="shared" si="47"/>
        <v>2.6314510891634052E-4</v>
      </c>
      <c r="K157" s="458"/>
      <c r="L157" s="163"/>
      <c r="M157" s="163"/>
      <c r="O157" s="329">
        <f t="shared" si="41"/>
        <v>6.376998103494988E-2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'[30]Sch C'!D154</f>
        <v>0</v>
      </c>
      <c r="D158" s="480">
        <f>'[30]Sch C'!F154</f>
        <v>0</v>
      </c>
      <c r="E158" s="480">
        <f>+'[30]Sch C'!H154</f>
        <v>0</v>
      </c>
      <c r="F158" s="166">
        <f t="shared" si="45"/>
        <v>0</v>
      </c>
      <c r="G158" s="626"/>
      <c r="H158" s="607"/>
      <c r="I158" s="166">
        <f t="shared" si="46"/>
        <v>0</v>
      </c>
      <c r="J158" s="167">
        <f t="shared" si="47"/>
        <v>0</v>
      </c>
      <c r="K158" s="458"/>
      <c r="L158" s="163"/>
      <c r="M158" s="163"/>
      <c r="O158" s="329">
        <f t="shared" si="41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'[30]Sch C'!D156</f>
        <v>0</v>
      </c>
      <c r="D160" s="480">
        <f>'[30]Sch C'!F156</f>
        <v>0</v>
      </c>
      <c r="E160" s="480">
        <f>+'[30]Sch C'!H156</f>
        <v>0</v>
      </c>
      <c r="F160" s="166">
        <f t="shared" ref="F160:F165" si="48">C160+D160+E160</f>
        <v>0</v>
      </c>
      <c r="G160" s="626"/>
      <c r="H160" s="607"/>
      <c r="I160" s="166">
        <f t="shared" ref="I160:I165" si="49">F160+G160+H160</f>
        <v>0</v>
      </c>
      <c r="J160" s="167">
        <f t="shared" ref="J160:J166" si="50">IF($I$213=0,0,I160/$I$213)</f>
        <v>0</v>
      </c>
      <c r="K160" s="458"/>
      <c r="L160" s="163"/>
      <c r="M160" s="163"/>
      <c r="O160" s="329">
        <f t="shared" si="41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'[30]Sch C'!D157</f>
        <v>0</v>
      </c>
      <c r="D161" s="480">
        <f>'[30]Sch C'!F157</f>
        <v>0</v>
      </c>
      <c r="E161" s="480">
        <f>+'[30]Sch C'!H157</f>
        <v>0</v>
      </c>
      <c r="F161" s="166">
        <f t="shared" si="48"/>
        <v>0</v>
      </c>
      <c r="G161" s="626"/>
      <c r="H161" s="607"/>
      <c r="I161" s="166">
        <f t="shared" si="49"/>
        <v>0</v>
      </c>
      <c r="J161" s="167">
        <f t="shared" si="50"/>
        <v>0</v>
      </c>
      <c r="K161" s="458"/>
      <c r="L161" s="163"/>
      <c r="M161" s="163"/>
      <c r="O161" s="329">
        <f t="shared" si="41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'[30]Sch C'!D158</f>
        <v>0</v>
      </c>
      <c r="D162" s="480">
        <f>'[30]Sch C'!F158</f>
        <v>0</v>
      </c>
      <c r="E162" s="480">
        <f>+'[30]Sch C'!H158</f>
        <v>0</v>
      </c>
      <c r="F162" s="166">
        <f t="shared" si="48"/>
        <v>0</v>
      </c>
      <c r="G162" s="626"/>
      <c r="H162" s="607"/>
      <c r="I162" s="166">
        <f t="shared" si="49"/>
        <v>0</v>
      </c>
      <c r="J162" s="167">
        <f t="shared" si="50"/>
        <v>0</v>
      </c>
      <c r="K162" s="458"/>
      <c r="L162" s="163"/>
      <c r="M162" s="163"/>
      <c r="O162" s="329">
        <f t="shared" si="41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'[30]Sch C'!D159</f>
        <v>0</v>
      </c>
      <c r="D163" s="480">
        <f>'[30]Sch C'!F159</f>
        <v>0</v>
      </c>
      <c r="E163" s="480">
        <f>+'[30]Sch C'!H159</f>
        <v>0</v>
      </c>
      <c r="F163" s="166">
        <f t="shared" si="48"/>
        <v>0</v>
      </c>
      <c r="G163" s="626"/>
      <c r="H163" s="607"/>
      <c r="I163" s="166">
        <f t="shared" si="49"/>
        <v>0</v>
      </c>
      <c r="J163" s="167">
        <f t="shared" si="50"/>
        <v>0</v>
      </c>
      <c r="K163" s="458"/>
      <c r="L163" s="163"/>
      <c r="M163" s="163"/>
      <c r="O163" s="329">
        <f t="shared" si="41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'[30]Sch C'!D160</f>
        <v>0</v>
      </c>
      <c r="D164" s="480">
        <f>'[30]Sch C'!F160</f>
        <v>0</v>
      </c>
      <c r="E164" s="480">
        <f>+'[30]Sch C'!H160</f>
        <v>0</v>
      </c>
      <c r="F164" s="166">
        <f t="shared" si="48"/>
        <v>0</v>
      </c>
      <c r="G164" s="626"/>
      <c r="H164" s="607"/>
      <c r="I164" s="166">
        <f t="shared" si="49"/>
        <v>0</v>
      </c>
      <c r="J164" s="167">
        <f>IF($I$213=0,0,I164/$I$213)</f>
        <v>0</v>
      </c>
      <c r="K164" s="458"/>
      <c r="L164" s="163"/>
      <c r="M164" s="163"/>
      <c r="O164" s="329">
        <f t="shared" si="41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'[30]Sch C'!D161</f>
        <v>18595</v>
      </c>
      <c r="D165" s="480">
        <f>'[30]Sch C'!F161</f>
        <v>0</v>
      </c>
      <c r="E165" s="480">
        <f>+'[30]Sch C'!H161</f>
        <v>0</v>
      </c>
      <c r="F165" s="166">
        <f t="shared" si="48"/>
        <v>18595</v>
      </c>
      <c r="G165" s="626">
        <v>-17646</v>
      </c>
      <c r="H165" s="607"/>
      <c r="I165" s="166">
        <f t="shared" si="49"/>
        <v>949</v>
      </c>
      <c r="J165" s="167">
        <f t="shared" si="50"/>
        <v>1.3262066296420986E-4</v>
      </c>
      <c r="K165" s="458"/>
      <c r="L165" s="163"/>
      <c r="M165" s="163"/>
      <c r="O165" s="329">
        <f t="shared" si="41"/>
        <v>3.2138986724464913E-2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1">SUM(C128:C165)</f>
        <v>2870918</v>
      </c>
      <c r="D166" s="480">
        <f t="shared" si="51"/>
        <v>121678</v>
      </c>
      <c r="E166" s="480">
        <f t="shared" si="51"/>
        <v>52851</v>
      </c>
      <c r="F166" s="166">
        <f t="shared" ref="F166:I166" si="52">SUM(F128:F165)</f>
        <v>3045447</v>
      </c>
      <c r="G166" s="166">
        <f t="shared" si="52"/>
        <v>-18233</v>
      </c>
      <c r="H166" s="166">
        <f t="shared" si="52"/>
        <v>0</v>
      </c>
      <c r="I166" s="166">
        <f t="shared" si="52"/>
        <v>3027214</v>
      </c>
      <c r="J166" s="167">
        <f t="shared" si="50"/>
        <v>0.42304649906695213</v>
      </c>
      <c r="K166" s="458"/>
      <c r="L166" s="163"/>
      <c r="M166" s="163"/>
      <c r="O166" s="329">
        <f>I166/I$233</f>
        <v>102.52011649959361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'[30]Sch C'!D175</f>
        <v>0</v>
      </c>
      <c r="D169" s="480">
        <f>'[30]Sch C'!F175</f>
        <v>0</v>
      </c>
      <c r="E169" s="480">
        <f>+'[30]Sch C'!H175</f>
        <v>0</v>
      </c>
      <c r="F169" s="166">
        <f t="shared" ref="F169:F201" si="53">C169+D169+E169</f>
        <v>0</v>
      </c>
      <c r="G169" s="626"/>
      <c r="H169" s="607"/>
      <c r="I169" s="166">
        <f t="shared" ref="I169:I201" si="54">F169+G169+H169</f>
        <v>0</v>
      </c>
      <c r="J169" s="167">
        <f t="shared" ref="J169:J201" si="55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'[30]Sch C'!D176</f>
        <v>0</v>
      </c>
      <c r="D170" s="480">
        <f>'[30]Sch C'!F176</f>
        <v>0</v>
      </c>
      <c r="E170" s="480">
        <f>+'[30]Sch C'!H176</f>
        <v>0</v>
      </c>
      <c r="F170" s="166">
        <f t="shared" si="53"/>
        <v>0</v>
      </c>
      <c r="G170" s="626"/>
      <c r="H170" s="607"/>
      <c r="I170" s="166">
        <f t="shared" si="54"/>
        <v>0</v>
      </c>
      <c r="J170" s="167">
        <f t="shared" si="55"/>
        <v>0</v>
      </c>
      <c r="K170" s="469"/>
      <c r="L170" s="212"/>
      <c r="M170" s="212"/>
      <c r="N170" s="208"/>
      <c r="O170" s="329">
        <f t="shared" ref="O170:O201" si="56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'[30]Sch C'!D177</f>
        <v>260483</v>
      </c>
      <c r="D171" s="480">
        <f>'[30]Sch C'!F177</f>
        <v>0</v>
      </c>
      <c r="E171" s="480">
        <f>+'[30]Sch C'!H177</f>
        <v>0</v>
      </c>
      <c r="F171" s="166">
        <f t="shared" si="53"/>
        <v>260483</v>
      </c>
      <c r="G171" s="626"/>
      <c r="H171" s="607"/>
      <c r="I171" s="166">
        <f t="shared" si="54"/>
        <v>260483</v>
      </c>
      <c r="J171" s="167">
        <f t="shared" si="55"/>
        <v>3.6401926397161513E-2</v>
      </c>
      <c r="K171" s="468"/>
      <c r="L171" s="176">
        <v>9120</v>
      </c>
      <c r="M171" s="176">
        <v>9814</v>
      </c>
      <c r="N171" s="208"/>
      <c r="O171" s="329">
        <f t="shared" si="56"/>
        <v>8.8215591980493091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'[30]Sch C'!D178</f>
        <v>41363</v>
      </c>
      <c r="D172" s="480">
        <f>'[30]Sch C'!F178</f>
        <v>14144</v>
      </c>
      <c r="E172" s="480">
        <f>+'[30]Sch C'!H178</f>
        <v>0</v>
      </c>
      <c r="F172" s="166">
        <f t="shared" si="53"/>
        <v>55507</v>
      </c>
      <c r="G172" s="626"/>
      <c r="H172" s="607"/>
      <c r="I172" s="166">
        <f t="shared" si="54"/>
        <v>55507</v>
      </c>
      <c r="J172" s="167">
        <f t="shared" si="55"/>
        <v>7.7569811792986268E-3</v>
      </c>
      <c r="K172" s="469"/>
      <c r="L172" s="212"/>
      <c r="M172" s="212"/>
      <c r="N172" s="208"/>
      <c r="O172" s="329">
        <f t="shared" si="56"/>
        <v>1.8798089948523435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'[30]Sch C'!D179</f>
        <v>67679</v>
      </c>
      <c r="D173" s="480">
        <f>'[30]Sch C'!F179</f>
        <v>0</v>
      </c>
      <c r="E173" s="480">
        <f>+'[30]Sch C'!H179</f>
        <v>0</v>
      </c>
      <c r="F173" s="166">
        <f t="shared" si="53"/>
        <v>67679</v>
      </c>
      <c r="G173" s="626"/>
      <c r="H173" s="607"/>
      <c r="I173" s="166">
        <f t="shared" si="54"/>
        <v>67679</v>
      </c>
      <c r="J173" s="167">
        <f t="shared" si="55"/>
        <v>9.4579914107004847E-3</v>
      </c>
      <c r="K173" s="468"/>
      <c r="L173" s="176">
        <v>1590</v>
      </c>
      <c r="M173" s="176">
        <v>1758</v>
      </c>
      <c r="N173" s="208"/>
      <c r="O173" s="329">
        <f t="shared" si="56"/>
        <v>2.292027905716608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'[30]Sch C'!D180</f>
        <v>13291</v>
      </c>
      <c r="D174" s="480">
        <f>'[30]Sch C'!F180</f>
        <v>3675</v>
      </c>
      <c r="E174" s="480">
        <f>+'[30]Sch C'!H180</f>
        <v>0</v>
      </c>
      <c r="F174" s="166">
        <f t="shared" si="53"/>
        <v>16966</v>
      </c>
      <c r="G174" s="626"/>
      <c r="H174" s="607"/>
      <c r="I174" s="166">
        <f t="shared" si="54"/>
        <v>16966</v>
      </c>
      <c r="J174" s="167">
        <f t="shared" si="55"/>
        <v>2.3709611884623651E-3</v>
      </c>
      <c r="K174" s="469"/>
      <c r="L174" s="212"/>
      <c r="M174" s="212"/>
      <c r="N174" s="208"/>
      <c r="O174" s="329">
        <f t="shared" si="56"/>
        <v>0.5745732863722568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'[30]Sch C'!D181</f>
        <v>0</v>
      </c>
      <c r="D175" s="480">
        <f>'[30]Sch C'!F181</f>
        <v>0</v>
      </c>
      <c r="E175" s="480">
        <f>+'[30]Sch C'!H181</f>
        <v>0</v>
      </c>
      <c r="F175" s="166">
        <f t="shared" si="53"/>
        <v>0</v>
      </c>
      <c r="G175" s="626"/>
      <c r="H175" s="607"/>
      <c r="I175" s="166">
        <f t="shared" si="54"/>
        <v>0</v>
      </c>
      <c r="J175" s="167">
        <f t="shared" si="55"/>
        <v>0</v>
      </c>
      <c r="K175" s="468"/>
      <c r="L175" s="176">
        <v>0</v>
      </c>
      <c r="M175" s="176">
        <v>0</v>
      </c>
      <c r="N175" s="208"/>
      <c r="O175" s="329">
        <f t="shared" si="56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'[30]Sch C'!D182</f>
        <v>0</v>
      </c>
      <c r="D176" s="480">
        <f>'[30]Sch C'!F182</f>
        <v>0</v>
      </c>
      <c r="E176" s="480">
        <f>+'[30]Sch C'!H182</f>
        <v>0</v>
      </c>
      <c r="F176" s="166">
        <f t="shared" si="53"/>
        <v>0</v>
      </c>
      <c r="G176" s="626"/>
      <c r="H176" s="607"/>
      <c r="I176" s="166">
        <f t="shared" si="54"/>
        <v>0</v>
      </c>
      <c r="J176" s="167">
        <f t="shared" si="55"/>
        <v>0</v>
      </c>
      <c r="K176" s="469"/>
      <c r="L176" s="212"/>
      <c r="M176" s="212"/>
      <c r="N176" s="208"/>
      <c r="O176" s="329">
        <f t="shared" si="56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'[30]Sch C'!D183</f>
        <v>160665</v>
      </c>
      <c r="D177" s="480">
        <f>'[30]Sch C'!F183</f>
        <v>0</v>
      </c>
      <c r="E177" s="480">
        <f>+'[30]Sch C'!H183</f>
        <v>0</v>
      </c>
      <c r="F177" s="166">
        <f t="shared" si="53"/>
        <v>160665</v>
      </c>
      <c r="G177" s="626"/>
      <c r="H177" s="607"/>
      <c r="I177" s="166">
        <f t="shared" si="54"/>
        <v>160665</v>
      </c>
      <c r="J177" s="167">
        <f t="shared" si="55"/>
        <v>2.2452580416380166E-2</v>
      </c>
      <c r="K177" s="468"/>
      <c r="L177" s="176">
        <v>5284</v>
      </c>
      <c r="M177" s="176">
        <v>5752</v>
      </c>
      <c r="N177" s="208"/>
      <c r="O177" s="329">
        <f t="shared" si="56"/>
        <v>5.4411067461392575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'[30]Sch C'!D184</f>
        <v>26741</v>
      </c>
      <c r="D178" s="480">
        <f>'[30]Sch C'!F184</f>
        <v>8724</v>
      </c>
      <c r="E178" s="480">
        <f>+'[30]Sch C'!H184</f>
        <v>0</v>
      </c>
      <c r="F178" s="166">
        <f t="shared" si="53"/>
        <v>35465</v>
      </c>
      <c r="G178" s="626"/>
      <c r="H178" s="607"/>
      <c r="I178" s="166">
        <f t="shared" si="54"/>
        <v>35465</v>
      </c>
      <c r="J178" s="167">
        <f t="shared" si="55"/>
        <v>4.9561557555592231E-3</v>
      </c>
      <c r="K178" s="469"/>
      <c r="L178" s="212"/>
      <c r="M178" s="212"/>
      <c r="N178" s="208"/>
      <c r="O178" s="329">
        <f t="shared" si="56"/>
        <v>1.2010633974532647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'[30]Sch C'!D185</f>
        <v>0</v>
      </c>
      <c r="D179" s="480">
        <f>'[30]Sch C'!F185</f>
        <v>0</v>
      </c>
      <c r="E179" s="480">
        <f>+'[30]Sch C'!H185</f>
        <v>0</v>
      </c>
      <c r="F179" s="166">
        <f t="shared" si="53"/>
        <v>0</v>
      </c>
      <c r="G179" s="626"/>
      <c r="H179" s="607"/>
      <c r="I179" s="166">
        <f t="shared" si="54"/>
        <v>0</v>
      </c>
      <c r="J179" s="167">
        <f t="shared" si="55"/>
        <v>0</v>
      </c>
      <c r="K179" s="468"/>
      <c r="L179" s="176">
        <v>0</v>
      </c>
      <c r="M179" s="176">
        <v>0</v>
      </c>
      <c r="N179" s="208"/>
      <c r="O179" s="329">
        <f t="shared" si="56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'[30]Sch C'!D186</f>
        <v>0</v>
      </c>
      <c r="D180" s="480">
        <f>'[30]Sch C'!F186</f>
        <v>0</v>
      </c>
      <c r="E180" s="480">
        <f>+'[30]Sch C'!H186</f>
        <v>0</v>
      </c>
      <c r="F180" s="166">
        <f t="shared" si="53"/>
        <v>0</v>
      </c>
      <c r="G180" s="626"/>
      <c r="H180" s="607"/>
      <c r="I180" s="166">
        <f t="shared" si="54"/>
        <v>0</v>
      </c>
      <c r="J180" s="167">
        <f t="shared" si="55"/>
        <v>0</v>
      </c>
      <c r="K180" s="458"/>
      <c r="L180" s="213"/>
      <c r="M180" s="208"/>
      <c r="N180" s="210"/>
      <c r="O180" s="329">
        <f t="shared" si="56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'[30]Sch C'!D187</f>
        <v>0</v>
      </c>
      <c r="D181" s="480">
        <f>'[30]Sch C'!F187</f>
        <v>0</v>
      </c>
      <c r="E181" s="480">
        <f>+'[30]Sch C'!H187</f>
        <v>0</v>
      </c>
      <c r="F181" s="166">
        <f t="shared" si="53"/>
        <v>0</v>
      </c>
      <c r="G181" s="626"/>
      <c r="H181" s="607"/>
      <c r="I181" s="166">
        <f t="shared" si="54"/>
        <v>0</v>
      </c>
      <c r="J181" s="167">
        <f t="shared" si="55"/>
        <v>0</v>
      </c>
      <c r="K181" s="458"/>
      <c r="L181" s="213"/>
      <c r="M181" s="208"/>
      <c r="N181" s="210"/>
      <c r="O181" s="329">
        <f t="shared" si="56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'[30]Sch C'!D188</f>
        <v>806</v>
      </c>
      <c r="D182" s="480">
        <f>'[30]Sch C'!F188</f>
        <v>0</v>
      </c>
      <c r="E182" s="480">
        <f>+'[30]Sch C'!H188</f>
        <v>0</v>
      </c>
      <c r="F182" s="166">
        <f t="shared" si="53"/>
        <v>806</v>
      </c>
      <c r="G182" s="626"/>
      <c r="H182" s="607"/>
      <c r="I182" s="166">
        <f t="shared" si="54"/>
        <v>806</v>
      </c>
      <c r="J182" s="167">
        <f t="shared" si="55"/>
        <v>1.1263672744905496E-4</v>
      </c>
      <c r="K182" s="458"/>
      <c r="L182" s="213"/>
      <c r="M182" s="208"/>
      <c r="N182" s="210"/>
      <c r="O182" s="329">
        <f t="shared" si="56"/>
        <v>2.7296125711189379E-2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'[30]Sch C'!D189</f>
        <v>0</v>
      </c>
      <c r="D183" s="480">
        <f>'[30]Sch C'!F189</f>
        <v>0</v>
      </c>
      <c r="E183" s="480">
        <f>+'[30]Sch C'!H189</f>
        <v>0</v>
      </c>
      <c r="F183" s="166">
        <f t="shared" si="53"/>
        <v>0</v>
      </c>
      <c r="G183" s="626"/>
      <c r="H183" s="607"/>
      <c r="I183" s="166">
        <f t="shared" si="54"/>
        <v>0</v>
      </c>
      <c r="J183" s="167">
        <f t="shared" si="55"/>
        <v>0</v>
      </c>
      <c r="K183" s="458"/>
      <c r="L183" s="213"/>
      <c r="M183" s="208"/>
      <c r="N183" s="210"/>
      <c r="O183" s="329">
        <f t="shared" si="56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'[30]Sch C'!D190</f>
        <v>0</v>
      </c>
      <c r="D184" s="480">
        <f>'[30]Sch C'!F190</f>
        <v>0</v>
      </c>
      <c r="E184" s="480">
        <f>+'[30]Sch C'!H190</f>
        <v>0</v>
      </c>
      <c r="F184" s="166">
        <f t="shared" si="53"/>
        <v>0</v>
      </c>
      <c r="G184" s="626"/>
      <c r="H184" s="607"/>
      <c r="I184" s="166">
        <f t="shared" si="54"/>
        <v>0</v>
      </c>
      <c r="J184" s="167">
        <f t="shared" si="55"/>
        <v>0</v>
      </c>
      <c r="K184" s="458"/>
      <c r="L184" s="213"/>
      <c r="M184" s="208"/>
      <c r="N184" s="210"/>
      <c r="O184" s="329">
        <f t="shared" si="56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'[30]Sch C'!D191</f>
        <v>0</v>
      </c>
      <c r="D185" s="480">
        <f>'[30]Sch C'!F191</f>
        <v>0</v>
      </c>
      <c r="E185" s="480">
        <f>+'[30]Sch C'!H191</f>
        <v>0</v>
      </c>
      <c r="F185" s="166">
        <f t="shared" si="53"/>
        <v>0</v>
      </c>
      <c r="G185" s="626"/>
      <c r="H185" s="607"/>
      <c r="I185" s="166">
        <f t="shared" si="54"/>
        <v>0</v>
      </c>
      <c r="J185" s="167">
        <f t="shared" si="55"/>
        <v>0</v>
      </c>
      <c r="K185" s="458"/>
      <c r="L185" s="213"/>
      <c r="M185" s="208"/>
      <c r="N185" s="210"/>
      <c r="O185" s="329">
        <f t="shared" si="56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'[30]Sch C'!D192</f>
        <v>0</v>
      </c>
      <c r="D186" s="480">
        <f>'[30]Sch C'!F192</f>
        <v>0</v>
      </c>
      <c r="E186" s="480">
        <f>+'[30]Sch C'!H192</f>
        <v>0</v>
      </c>
      <c r="F186" s="166">
        <f t="shared" si="53"/>
        <v>0</v>
      </c>
      <c r="G186" s="626"/>
      <c r="H186" s="607"/>
      <c r="I186" s="166">
        <f t="shared" si="54"/>
        <v>0</v>
      </c>
      <c r="J186" s="167">
        <f t="shared" si="55"/>
        <v>0</v>
      </c>
      <c r="K186" s="458"/>
      <c r="L186" s="213"/>
      <c r="M186" s="208"/>
      <c r="N186" s="210"/>
      <c r="O186" s="329">
        <f t="shared" si="56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'[30]Sch C'!D193</f>
        <v>0</v>
      </c>
      <c r="D187" s="480">
        <f>'[30]Sch C'!F193</f>
        <v>0</v>
      </c>
      <c r="E187" s="480">
        <f>+'[30]Sch C'!H193</f>
        <v>0</v>
      </c>
      <c r="F187" s="166">
        <f t="shared" si="53"/>
        <v>0</v>
      </c>
      <c r="G187" s="626"/>
      <c r="H187" s="607"/>
      <c r="I187" s="166">
        <f t="shared" si="54"/>
        <v>0</v>
      </c>
      <c r="J187" s="167">
        <f t="shared" si="55"/>
        <v>0</v>
      </c>
      <c r="K187" s="458"/>
      <c r="L187" s="213"/>
      <c r="M187" s="208"/>
      <c r="N187" s="210"/>
      <c r="O187" s="329">
        <f t="shared" si="56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'[30]Sch C'!D194</f>
        <v>0</v>
      </c>
      <c r="D188" s="480">
        <f>'[30]Sch C'!F194</f>
        <v>0</v>
      </c>
      <c r="E188" s="480">
        <f>+'[30]Sch C'!H194</f>
        <v>0</v>
      </c>
      <c r="F188" s="166">
        <f t="shared" si="53"/>
        <v>0</v>
      </c>
      <c r="G188" s="626"/>
      <c r="H188" s="607"/>
      <c r="I188" s="166">
        <f t="shared" si="54"/>
        <v>0</v>
      </c>
      <c r="J188" s="167">
        <f t="shared" si="55"/>
        <v>0</v>
      </c>
      <c r="K188" s="458"/>
      <c r="L188" s="213"/>
      <c r="M188" s="208"/>
      <c r="O188" s="329">
        <f t="shared" si="56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'[30]Sch C'!D195</f>
        <v>3938</v>
      </c>
      <c r="D189" s="480">
        <f>'[30]Sch C'!F195</f>
        <v>0</v>
      </c>
      <c r="E189" s="480">
        <f>+'[30]Sch C'!H195</f>
        <v>0</v>
      </c>
      <c r="F189" s="166">
        <f t="shared" si="53"/>
        <v>3938</v>
      </c>
      <c r="G189" s="626"/>
      <c r="H189" s="607"/>
      <c r="I189" s="166">
        <f t="shared" si="54"/>
        <v>3938</v>
      </c>
      <c r="J189" s="167">
        <f t="shared" si="55"/>
        <v>5.5032683957118912E-4</v>
      </c>
      <c r="K189" s="458"/>
      <c r="L189" s="213"/>
      <c r="M189" s="208"/>
      <c r="O189" s="329">
        <f t="shared" si="56"/>
        <v>0.13336494175020319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'[30]Sch C'!D196</f>
        <v>0</v>
      </c>
      <c r="D190" s="480">
        <f>'[30]Sch C'!F196</f>
        <v>0</v>
      </c>
      <c r="E190" s="480">
        <f>+'[30]Sch C'!H196</f>
        <v>0</v>
      </c>
      <c r="F190" s="166">
        <f t="shared" si="53"/>
        <v>0</v>
      </c>
      <c r="G190" s="626"/>
      <c r="H190" s="607"/>
      <c r="I190" s="166">
        <f t="shared" si="54"/>
        <v>0</v>
      </c>
      <c r="J190" s="167">
        <f t="shared" si="55"/>
        <v>0</v>
      </c>
      <c r="K190" s="458"/>
      <c r="L190" s="213"/>
      <c r="M190" s="208"/>
      <c r="O190" s="329">
        <f t="shared" si="56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'[30]Sch C'!D197</f>
        <v>0</v>
      </c>
      <c r="D191" s="480">
        <f>'[30]Sch C'!F197</f>
        <v>0</v>
      </c>
      <c r="E191" s="480">
        <f>+'[30]Sch C'!H197</f>
        <v>0</v>
      </c>
      <c r="F191" s="166">
        <f t="shared" si="53"/>
        <v>0</v>
      </c>
      <c r="G191" s="626"/>
      <c r="H191" s="607"/>
      <c r="I191" s="166">
        <f t="shared" si="54"/>
        <v>0</v>
      </c>
      <c r="J191" s="167">
        <f t="shared" si="55"/>
        <v>0</v>
      </c>
      <c r="K191" s="458"/>
      <c r="L191" s="213"/>
      <c r="M191" s="208"/>
      <c r="O191" s="329">
        <f t="shared" si="56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'[30]Sch C'!D198</f>
        <v>38642</v>
      </c>
      <c r="D192" s="480">
        <f>'[30]Sch C'!F198</f>
        <v>0</v>
      </c>
      <c r="E192" s="480">
        <f>+'[30]Sch C'!H198</f>
        <v>-1910</v>
      </c>
      <c r="F192" s="166">
        <f t="shared" si="53"/>
        <v>36732</v>
      </c>
      <c r="G192" s="626"/>
      <c r="H192" s="607"/>
      <c r="I192" s="166">
        <f t="shared" si="54"/>
        <v>36732</v>
      </c>
      <c r="J192" s="167">
        <f t="shared" si="55"/>
        <v>5.1332162191795117E-3</v>
      </c>
      <c r="K192" s="458"/>
      <c r="L192" s="213"/>
      <c r="M192" s="208"/>
      <c r="O192" s="329">
        <f t="shared" si="56"/>
        <v>1.2439718233541046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'[30]Sch C'!D199</f>
        <v>0</v>
      </c>
      <c r="D193" s="480">
        <f>'[30]Sch C'!F199</f>
        <v>0</v>
      </c>
      <c r="E193" s="480">
        <f>+'[30]Sch C'!H199</f>
        <v>0</v>
      </c>
      <c r="F193" s="166">
        <f t="shared" si="53"/>
        <v>0</v>
      </c>
      <c r="G193" s="626"/>
      <c r="H193" s="607"/>
      <c r="I193" s="166">
        <f t="shared" si="54"/>
        <v>0</v>
      </c>
      <c r="J193" s="167">
        <f t="shared" si="55"/>
        <v>0</v>
      </c>
      <c r="K193" s="458"/>
      <c r="L193" s="213"/>
      <c r="M193" s="208"/>
      <c r="O193" s="329">
        <f t="shared" si="56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'[30]Sch C'!D200</f>
        <v>0</v>
      </c>
      <c r="D194" s="480">
        <f>'[30]Sch C'!F200</f>
        <v>0</v>
      </c>
      <c r="E194" s="480">
        <f>+'[30]Sch C'!H200</f>
        <v>0</v>
      </c>
      <c r="F194" s="166">
        <f t="shared" si="53"/>
        <v>0</v>
      </c>
      <c r="G194" s="626"/>
      <c r="H194" s="607"/>
      <c r="I194" s="166">
        <f t="shared" si="54"/>
        <v>0</v>
      </c>
      <c r="J194" s="167">
        <f t="shared" si="55"/>
        <v>0</v>
      </c>
      <c r="K194" s="458"/>
      <c r="L194" s="213"/>
      <c r="M194" s="208"/>
      <c r="O194" s="329">
        <f t="shared" si="56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'[30]Sch C'!D201</f>
        <v>0</v>
      </c>
      <c r="D195" s="480">
        <f>'[30]Sch C'!F201</f>
        <v>0</v>
      </c>
      <c r="E195" s="480">
        <f>+'[30]Sch C'!H201</f>
        <v>0</v>
      </c>
      <c r="F195" s="166">
        <f t="shared" si="53"/>
        <v>0</v>
      </c>
      <c r="G195" s="626"/>
      <c r="H195" s="607"/>
      <c r="I195" s="166">
        <f t="shared" si="54"/>
        <v>0</v>
      </c>
      <c r="J195" s="167">
        <f t="shared" si="55"/>
        <v>0</v>
      </c>
      <c r="K195" s="458"/>
      <c r="L195" s="213"/>
      <c r="M195" s="208"/>
      <c r="O195" s="329">
        <f t="shared" si="56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'[30]Sch C'!D202</f>
        <v>0</v>
      </c>
      <c r="D196" s="480">
        <f>'[30]Sch C'!F202</f>
        <v>0</v>
      </c>
      <c r="E196" s="480">
        <f>+'[30]Sch C'!H202</f>
        <v>0</v>
      </c>
      <c r="F196" s="166">
        <f t="shared" si="53"/>
        <v>0</v>
      </c>
      <c r="G196" s="626"/>
      <c r="H196" s="607"/>
      <c r="I196" s="166">
        <f t="shared" si="54"/>
        <v>0</v>
      </c>
      <c r="J196" s="167">
        <f t="shared" si="55"/>
        <v>0</v>
      </c>
      <c r="K196" s="458"/>
      <c r="L196" s="213"/>
      <c r="M196" s="208"/>
      <c r="O196" s="329">
        <f t="shared" si="56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'[30]Sch C'!D203</f>
        <v>0</v>
      </c>
      <c r="D197" s="480">
        <f>'[30]Sch C'!F203</f>
        <v>0</v>
      </c>
      <c r="E197" s="480">
        <f>+'[30]Sch C'!H203</f>
        <v>0</v>
      </c>
      <c r="F197" s="166">
        <f t="shared" si="53"/>
        <v>0</v>
      </c>
      <c r="G197" s="626"/>
      <c r="H197" s="607"/>
      <c r="I197" s="166">
        <f t="shared" si="54"/>
        <v>0</v>
      </c>
      <c r="J197" s="167">
        <f t="shared" si="55"/>
        <v>0</v>
      </c>
      <c r="K197" s="458"/>
      <c r="L197" s="213"/>
      <c r="M197" s="208"/>
      <c r="O197" s="329">
        <f t="shared" si="56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'[30]Sch C'!D204</f>
        <v>0</v>
      </c>
      <c r="D198" s="480">
        <f>'[30]Sch C'!F204</f>
        <v>0</v>
      </c>
      <c r="E198" s="480">
        <f>+'[30]Sch C'!H204</f>
        <v>0</v>
      </c>
      <c r="F198" s="166">
        <f t="shared" si="53"/>
        <v>0</v>
      </c>
      <c r="G198" s="626"/>
      <c r="H198" s="607"/>
      <c r="I198" s="166">
        <f t="shared" si="54"/>
        <v>0</v>
      </c>
      <c r="J198" s="167">
        <f t="shared" si="55"/>
        <v>0</v>
      </c>
      <c r="K198" s="458"/>
      <c r="L198" s="213"/>
      <c r="M198" s="208"/>
      <c r="O198" s="329">
        <f t="shared" si="56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'[30]Sch C'!D205</f>
        <v>142085</v>
      </c>
      <c r="D199" s="480">
        <f>'[30]Sch C'!F205</f>
        <v>0</v>
      </c>
      <c r="E199" s="480">
        <f>+'[30]Sch C'!H205</f>
        <v>0</v>
      </c>
      <c r="F199" s="166">
        <f t="shared" si="53"/>
        <v>142085</v>
      </c>
      <c r="G199" s="626"/>
      <c r="H199" s="607"/>
      <c r="I199" s="166">
        <f t="shared" si="54"/>
        <v>142085</v>
      </c>
      <c r="J199" s="167">
        <f t="shared" si="55"/>
        <v>1.985606627741808E-2</v>
      </c>
      <c r="K199" s="458"/>
      <c r="L199" s="213"/>
      <c r="M199" s="208"/>
      <c r="O199" s="329">
        <f t="shared" si="56"/>
        <v>4.8118734760227584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'[30]Sch C'!D206</f>
        <v>10948</v>
      </c>
      <c r="D200" s="480">
        <f>'[30]Sch C'!F206</f>
        <v>0</v>
      </c>
      <c r="E200" s="480">
        <f>+'[30]Sch C'!H206</f>
        <v>0</v>
      </c>
      <c r="F200" s="166">
        <f t="shared" si="53"/>
        <v>10948</v>
      </c>
      <c r="G200" s="626"/>
      <c r="H200" s="607"/>
      <c r="I200" s="166">
        <f t="shared" si="54"/>
        <v>10948</v>
      </c>
      <c r="J200" s="167">
        <f t="shared" si="55"/>
        <v>1.5299589232161954E-3</v>
      </c>
      <c r="K200" s="458"/>
      <c r="L200" s="213"/>
      <c r="M200" s="208"/>
      <c r="O200" s="329">
        <f t="shared" si="56"/>
        <v>0.3707667298835004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'[30]Sch C'!D207</f>
        <v>14909</v>
      </c>
      <c r="D201" s="480">
        <f>'[30]Sch C'!F207+808.5</f>
        <v>0</v>
      </c>
      <c r="E201" s="480">
        <f>+'[30]Sch C'!H207</f>
        <v>0</v>
      </c>
      <c r="F201" s="166">
        <f t="shared" si="53"/>
        <v>14909</v>
      </c>
      <c r="G201" s="626"/>
      <c r="H201" s="607">
        <v>-808.5</v>
      </c>
      <c r="I201" s="166">
        <f t="shared" si="54"/>
        <v>14100.5</v>
      </c>
      <c r="J201" s="167">
        <f t="shared" si="55"/>
        <v>1.970513865254838E-3</v>
      </c>
      <c r="K201" s="684" t="s">
        <v>718</v>
      </c>
      <c r="L201" s="213"/>
      <c r="M201" s="208"/>
      <c r="O201" s="329">
        <f t="shared" si="56"/>
        <v>0.47752980222162017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57">SUM(C169:C201)</f>
        <v>781550</v>
      </c>
      <c r="D202" s="480">
        <f t="shared" si="57"/>
        <v>26543</v>
      </c>
      <c r="E202" s="480">
        <f t="shared" si="57"/>
        <v>-1910</v>
      </c>
      <c r="F202" s="166">
        <f t="shared" ref="F202:I202" si="58">SUM(F169:F201)</f>
        <v>806183</v>
      </c>
      <c r="G202" s="166">
        <f t="shared" si="58"/>
        <v>0</v>
      </c>
      <c r="H202" s="166">
        <f t="shared" si="58"/>
        <v>-808.5</v>
      </c>
      <c r="I202" s="166">
        <f t="shared" si="58"/>
        <v>805374.5</v>
      </c>
      <c r="J202" s="167">
        <f>IF($I$213=0,0,I202/$I$213)</f>
        <v>0.11254931519965125</v>
      </c>
      <c r="K202" s="458"/>
      <c r="L202" s="163"/>
      <c r="M202" s="163"/>
      <c r="O202" s="329">
        <f>I202/I$233</f>
        <v>27.274942427526415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'[30]Sch C'!D211</f>
        <v>230939</v>
      </c>
      <c r="D205" s="480">
        <f>'[30]Sch C'!F211</f>
        <v>0</v>
      </c>
      <c r="E205" s="480">
        <f>+'[30]Sch C'!H211</f>
        <v>0</v>
      </c>
      <c r="F205" s="166">
        <f t="shared" ref="F205:F210" si="59">C205+D205+E205</f>
        <v>230939</v>
      </c>
      <c r="G205" s="626">
        <v>-3498</v>
      </c>
      <c r="H205" s="607"/>
      <c r="I205" s="166">
        <f t="shared" ref="I205:I210" si="60">F205+G205+H205</f>
        <v>227441</v>
      </c>
      <c r="J205" s="167">
        <f t="shared" ref="J205:J211" si="61">IF($I$213=0,0,I205/$I$213)</f>
        <v>3.1784379562953484E-2</v>
      </c>
      <c r="K205" s="458"/>
      <c r="L205" s="176">
        <v>13597</v>
      </c>
      <c r="M205" s="176">
        <v>14454</v>
      </c>
      <c r="O205" s="329">
        <f t="shared" ref="O205:O210" si="62">I205/I$233</f>
        <v>7.7025535085342725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'[30]Sch C'!D212</f>
        <v>48278</v>
      </c>
      <c r="D206" s="480">
        <f>'[30]Sch C'!F212</f>
        <v>12540</v>
      </c>
      <c r="E206" s="480">
        <f>+'[30]Sch C'!H212</f>
        <v>0</v>
      </c>
      <c r="F206" s="166">
        <f t="shared" si="59"/>
        <v>60818</v>
      </c>
      <c r="G206" s="626"/>
      <c r="H206" s="607"/>
      <c r="I206" s="166">
        <f t="shared" si="60"/>
        <v>60818</v>
      </c>
      <c r="J206" s="167">
        <f t="shared" si="61"/>
        <v>8.4991817493754642E-3</v>
      </c>
      <c r="K206" s="458"/>
      <c r="L206" s="163"/>
      <c r="M206" s="163"/>
      <c r="O206" s="329">
        <f t="shared" si="62"/>
        <v>2.0596721755621781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'[30]Sch C'!D213</f>
        <v>12466</v>
      </c>
      <c r="D207" s="480">
        <f>'[30]Sch C'!F213</f>
        <v>0</v>
      </c>
      <c r="E207" s="480">
        <f>+'[30]Sch C'!H213</f>
        <v>0</v>
      </c>
      <c r="F207" s="166">
        <f t="shared" si="59"/>
        <v>12466</v>
      </c>
      <c r="G207" s="626"/>
      <c r="H207" s="607"/>
      <c r="I207" s="166">
        <f t="shared" si="60"/>
        <v>12466</v>
      </c>
      <c r="J207" s="167">
        <f t="shared" si="61"/>
        <v>1.7420960848386093E-3</v>
      </c>
      <c r="K207" s="458"/>
      <c r="L207" s="163"/>
      <c r="M207" s="163"/>
      <c r="O207" s="329">
        <f t="shared" si="62"/>
        <v>0.42217556217827146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'[30]Sch C'!D214</f>
        <v>0</v>
      </c>
      <c r="D208" s="480">
        <f>'[30]Sch C'!F214</f>
        <v>0</v>
      </c>
      <c r="E208" s="480">
        <f>+'[30]Sch C'!H214</f>
        <v>0</v>
      </c>
      <c r="F208" s="166">
        <f t="shared" si="59"/>
        <v>0</v>
      </c>
      <c r="G208" s="626"/>
      <c r="H208" s="607"/>
      <c r="I208" s="166">
        <f t="shared" si="60"/>
        <v>0</v>
      </c>
      <c r="J208" s="167">
        <f t="shared" si="61"/>
        <v>0</v>
      </c>
      <c r="K208" s="458"/>
      <c r="L208" s="163"/>
      <c r="M208" s="163"/>
      <c r="O208" s="329">
        <f t="shared" si="62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'[30]Sch C'!D215</f>
        <v>0</v>
      </c>
      <c r="D209" s="480">
        <f>'[30]Sch C'!F215</f>
        <v>0</v>
      </c>
      <c r="E209" s="480">
        <f>+'[30]Sch C'!H215</f>
        <v>0</v>
      </c>
      <c r="F209" s="166">
        <f t="shared" si="59"/>
        <v>0</v>
      </c>
      <c r="G209" s="626"/>
      <c r="H209" s="607"/>
      <c r="I209" s="166">
        <f t="shared" si="60"/>
        <v>0</v>
      </c>
      <c r="J209" s="167">
        <f t="shared" si="61"/>
        <v>0</v>
      </c>
      <c r="K209" s="458"/>
      <c r="L209" s="163"/>
      <c r="M209" s="163"/>
      <c r="O209" s="329">
        <f t="shared" si="62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'[30]Sch C'!D216</f>
        <v>52981</v>
      </c>
      <c r="D210" s="480">
        <f>'[30]Sch C'!F216</f>
        <v>0</v>
      </c>
      <c r="E210" s="480">
        <f>+'[30]Sch C'!H216</f>
        <v>-260</v>
      </c>
      <c r="F210" s="166">
        <f t="shared" si="59"/>
        <v>52721</v>
      </c>
      <c r="G210" s="626">
        <f>-818-2153-37582</f>
        <v>-40553</v>
      </c>
      <c r="H210" s="607"/>
      <c r="I210" s="166">
        <f t="shared" si="60"/>
        <v>12168</v>
      </c>
      <c r="J210" s="167">
        <f t="shared" si="61"/>
        <v>1.7004512401986361E-3</v>
      </c>
      <c r="K210" s="458"/>
      <c r="L210" s="163"/>
      <c r="M210" s="163"/>
      <c r="O210" s="329">
        <f t="shared" si="62"/>
        <v>0.41208344622053644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3">SUM(C205:C210)</f>
        <v>344664</v>
      </c>
      <c r="D211" s="480">
        <f t="shared" si="63"/>
        <v>12540</v>
      </c>
      <c r="E211" s="480">
        <f t="shared" si="63"/>
        <v>-260</v>
      </c>
      <c r="F211" s="166">
        <f t="shared" ref="F211:I211" si="64">SUM(F205:F210)</f>
        <v>356944</v>
      </c>
      <c r="G211" s="166">
        <f t="shared" si="64"/>
        <v>-44051</v>
      </c>
      <c r="H211" s="166">
        <f t="shared" si="64"/>
        <v>0</v>
      </c>
      <c r="I211" s="166">
        <f t="shared" si="64"/>
        <v>312893</v>
      </c>
      <c r="J211" s="167">
        <f t="shared" si="61"/>
        <v>4.3726108637366194E-2</v>
      </c>
      <c r="K211" s="458"/>
      <c r="L211" s="163"/>
      <c r="M211" s="163"/>
      <c r="O211" s="329">
        <f>I211/I$233</f>
        <v>10.59648469249526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65">SUM(C30:C211)/2</f>
        <v>7736481</v>
      </c>
      <c r="D213" s="480">
        <f t="shared" si="65"/>
        <v>-238563.83000000002</v>
      </c>
      <c r="E213" s="480">
        <f t="shared" si="65"/>
        <v>-120263</v>
      </c>
      <c r="F213" s="166">
        <f t="shared" ref="F213:I213" si="66">SUM(F30:F211)/2</f>
        <v>7377654.1699999999</v>
      </c>
      <c r="G213" s="166">
        <f t="shared" si="66"/>
        <v>78899</v>
      </c>
      <c r="H213" s="166">
        <f t="shared" si="66"/>
        <v>-300805.5</v>
      </c>
      <c r="I213" s="166">
        <f t="shared" si="66"/>
        <v>7155747.6699999999</v>
      </c>
      <c r="J213" s="167">
        <f>IF($I$213=0,0,I213/$I$213)</f>
        <v>1</v>
      </c>
      <c r="K213" s="458"/>
      <c r="L213" s="176">
        <f>SUM(L30:L205)</f>
        <v>183910</v>
      </c>
      <c r="M213" s="176">
        <f>SUM(M30:M205)</f>
        <v>194909</v>
      </c>
      <c r="O213" s="329">
        <f>I213/I$233</f>
        <v>242.33770218098076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'[30]Sch C'!D221</f>
        <v>7736481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67">C26-C213</f>
        <v>881331</v>
      </c>
      <c r="D220" s="480">
        <f t="shared" si="67"/>
        <v>1429905.7301866901</v>
      </c>
      <c r="E220" s="480">
        <f t="shared" si="67"/>
        <v>120263</v>
      </c>
      <c r="F220" s="166">
        <f t="shared" ref="F220:I220" si="68">F26-F213</f>
        <v>2431499.7301866896</v>
      </c>
      <c r="G220" s="166">
        <f t="shared" si="68"/>
        <v>-150354</v>
      </c>
      <c r="H220" s="166">
        <f t="shared" si="68"/>
        <v>300805.5</v>
      </c>
      <c r="I220" s="166">
        <f t="shared" si="68"/>
        <v>2581951.2301866896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'[30]Sch D'!C9</f>
        <v>16624</v>
      </c>
      <c r="D224" s="480"/>
      <c r="E224" s="480"/>
      <c r="F224" s="224">
        <f t="shared" ref="F224:F232" si="69">C224+D224+E224</f>
        <v>16624</v>
      </c>
      <c r="G224" s="627"/>
      <c r="H224" s="223"/>
      <c r="I224" s="224">
        <f>F224+G224+H224</f>
        <v>16624</v>
      </c>
      <c r="J224" s="167">
        <f t="shared" ref="J224:J233" si="70">IF($I$233=0,0,I224/$I$233)</f>
        <v>0.5629910593335139</v>
      </c>
      <c r="K224" s="458"/>
      <c r="L224" s="163"/>
      <c r="M224" s="163"/>
    </row>
    <row r="225" spans="1:13">
      <c r="A225" s="158"/>
      <c r="B225" s="165" t="s">
        <v>201</v>
      </c>
      <c r="C225" s="504">
        <f>'[30]Sch D'!D9</f>
        <v>0</v>
      </c>
      <c r="D225" s="480"/>
      <c r="E225" s="480"/>
      <c r="F225" s="224">
        <f t="shared" si="69"/>
        <v>0</v>
      </c>
      <c r="G225" s="627"/>
      <c r="H225" s="223"/>
      <c r="I225" s="224">
        <f t="shared" ref="I225:I232" si="71">F225+G225+H225</f>
        <v>0</v>
      </c>
      <c r="J225" s="167">
        <f t="shared" si="70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'[30]Sch D'!E9</f>
        <v>2083</v>
      </c>
      <c r="D226" s="480"/>
      <c r="E226" s="480"/>
      <c r="F226" s="224">
        <f t="shared" si="69"/>
        <v>2083</v>
      </c>
      <c r="G226" s="627"/>
      <c r="H226" s="223"/>
      <c r="I226" s="224">
        <f t="shared" si="71"/>
        <v>2083</v>
      </c>
      <c r="J226" s="167">
        <f t="shared" si="70"/>
        <v>7.0543213221349224E-2</v>
      </c>
      <c r="K226" s="458"/>
      <c r="L226" s="163"/>
      <c r="M226" s="163"/>
    </row>
    <row r="227" spans="1:13">
      <c r="A227" s="158"/>
      <c r="B227" s="194" t="s">
        <v>315</v>
      </c>
      <c r="C227" s="504">
        <f>'[30]Sch D'!F9</f>
        <v>3501</v>
      </c>
      <c r="D227" s="480"/>
      <c r="E227" s="480"/>
      <c r="F227" s="224">
        <f t="shared" si="69"/>
        <v>3501</v>
      </c>
      <c r="G227" s="627"/>
      <c r="H227" s="223"/>
      <c r="I227" s="224">
        <f t="shared" si="71"/>
        <v>3501</v>
      </c>
      <c r="J227" s="167">
        <f t="shared" si="70"/>
        <v>0.11856542942292062</v>
      </c>
      <c r="K227" s="458"/>
      <c r="L227" s="163"/>
      <c r="M227" s="163"/>
    </row>
    <row r="228" spans="1:13">
      <c r="A228" s="158"/>
      <c r="B228" s="165" t="s">
        <v>65</v>
      </c>
      <c r="C228" s="504">
        <f>'[30]Sch D'!G9</f>
        <v>3503</v>
      </c>
      <c r="D228" s="480"/>
      <c r="E228" s="480"/>
      <c r="F228" s="224">
        <f t="shared" si="69"/>
        <v>3503</v>
      </c>
      <c r="G228" s="627"/>
      <c r="H228" s="223"/>
      <c r="I228" s="224">
        <f t="shared" si="71"/>
        <v>3503</v>
      </c>
      <c r="J228" s="167">
        <f t="shared" si="70"/>
        <v>0.11863316174478461</v>
      </c>
      <c r="K228" s="458"/>
      <c r="L228" s="163"/>
      <c r="M228" s="163"/>
    </row>
    <row r="229" spans="1:13">
      <c r="A229" s="158"/>
      <c r="B229" s="165" t="s">
        <v>66</v>
      </c>
      <c r="C229" s="504">
        <f>'[30]Sch D'!H9</f>
        <v>2302</v>
      </c>
      <c r="D229" s="480"/>
      <c r="E229" s="480"/>
      <c r="F229" s="224">
        <f t="shared" si="69"/>
        <v>2302</v>
      </c>
      <c r="G229" s="627"/>
      <c r="H229" s="223"/>
      <c r="I229" s="224">
        <f t="shared" si="71"/>
        <v>2302</v>
      </c>
      <c r="J229" s="167">
        <f t="shared" si="70"/>
        <v>7.7959902465456518E-2</v>
      </c>
      <c r="K229" s="458"/>
      <c r="L229" s="163"/>
      <c r="M229" s="163"/>
    </row>
    <row r="230" spans="1:13">
      <c r="A230" s="158"/>
      <c r="B230" s="165" t="s">
        <v>219</v>
      </c>
      <c r="C230" s="504">
        <f>'[30]Sch D'!I9</f>
        <v>1285</v>
      </c>
      <c r="D230" s="480"/>
      <c r="E230" s="480"/>
      <c r="F230" s="224">
        <f t="shared" si="69"/>
        <v>1285</v>
      </c>
      <c r="G230" s="627"/>
      <c r="H230" s="223"/>
      <c r="I230" s="224">
        <f t="shared" si="71"/>
        <v>1285</v>
      </c>
      <c r="J230" s="167">
        <f t="shared" si="70"/>
        <v>4.351801679761582E-2</v>
      </c>
      <c r="K230" s="458"/>
      <c r="L230" s="163"/>
      <c r="M230" s="163"/>
    </row>
    <row r="231" spans="1:13">
      <c r="A231" s="158"/>
      <c r="B231" s="165" t="s">
        <v>218</v>
      </c>
      <c r="C231" s="504">
        <f>'[30]Sch D'!J9</f>
        <v>51</v>
      </c>
      <c r="D231" s="480"/>
      <c r="E231" s="480"/>
      <c r="F231" s="224">
        <f t="shared" si="69"/>
        <v>51</v>
      </c>
      <c r="G231" s="627"/>
      <c r="H231" s="223"/>
      <c r="I231" s="224">
        <f t="shared" si="71"/>
        <v>51</v>
      </c>
      <c r="J231" s="167">
        <f>IF($I$233=0,0,I231/$I$233)</f>
        <v>1.7271742075318341E-3</v>
      </c>
      <c r="K231" s="458"/>
      <c r="L231" s="163"/>
      <c r="M231" s="163"/>
    </row>
    <row r="232" spans="1:13">
      <c r="A232" s="158"/>
      <c r="B232" s="165" t="s">
        <v>170</v>
      </c>
      <c r="C232" s="504">
        <f>'[30]Sch D'!K9</f>
        <v>179</v>
      </c>
      <c r="D232" s="480"/>
      <c r="E232" s="480"/>
      <c r="F232" s="224">
        <f t="shared" si="69"/>
        <v>179</v>
      </c>
      <c r="G232" s="627"/>
      <c r="H232" s="223"/>
      <c r="I232" s="224">
        <f t="shared" si="71"/>
        <v>179</v>
      </c>
      <c r="J232" s="167">
        <f t="shared" si="70"/>
        <v>6.0620428068274184E-3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2">SUM(C224:C232)</f>
        <v>29528</v>
      </c>
      <c r="D233" s="504">
        <f t="shared" si="72"/>
        <v>0</v>
      </c>
      <c r="E233" s="504">
        <f t="shared" si="72"/>
        <v>0</v>
      </c>
      <c r="F233" s="226">
        <f t="shared" ref="F233:I233" si="73">SUM(F224:F232)</f>
        <v>29528</v>
      </c>
      <c r="G233" s="226">
        <f t="shared" si="73"/>
        <v>0</v>
      </c>
      <c r="H233" s="226">
        <f t="shared" si="73"/>
        <v>0</v>
      </c>
      <c r="I233" s="226">
        <f t="shared" si="73"/>
        <v>29528</v>
      </c>
      <c r="J233" s="167">
        <f t="shared" si="70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'[30]Sch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'[30]Sch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'[30]Sch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'[30]Sch D'!N30</f>
        <v>0.6741552511415525</v>
      </c>
      <c r="D241" s="228"/>
      <c r="E241" s="228"/>
      <c r="F241" s="232">
        <f>F233/F240</f>
        <v>0.6741552511415525</v>
      </c>
      <c r="G241"/>
      <c r="H241" s="233"/>
      <c r="I241" s="232">
        <f>I233/I240</f>
        <v>0.6741552511415525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'[30]Sch D'!N32</f>
        <v>0.37954337899543378</v>
      </c>
      <c r="D242" s="228"/>
      <c r="E242" s="228"/>
      <c r="F242" s="232">
        <f>(F224+F225)/F240</f>
        <v>0.37954337899543378</v>
      </c>
      <c r="G242"/>
      <c r="H242" s="233"/>
      <c r="I242" s="232">
        <f>(I224+I225)/I240</f>
        <v>0.37954337899543378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'[30]Sch D'!N34</f>
        <v>0.5629910593335139</v>
      </c>
      <c r="D243" s="228"/>
      <c r="E243" s="228"/>
      <c r="F243" s="232">
        <f>(F242/F241)</f>
        <v>0.5629910593335139</v>
      </c>
      <c r="G243"/>
      <c r="H243" s="233"/>
      <c r="I243" s="232">
        <f>(I242/I241)</f>
        <v>0.5629910593335139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'[30]Sch B'!C90</f>
        <v>259.56550580431178</v>
      </c>
      <c r="K246" s="460"/>
    </row>
    <row r="247" spans="1:13">
      <c r="H247" s="140" t="s">
        <v>322</v>
      </c>
      <c r="I247" s="480">
        <f>'[30]Sch B'!E90</f>
        <v>235.00327332242225</v>
      </c>
      <c r="K247" s="460"/>
    </row>
    <row r="248" spans="1:13">
      <c r="H248" s="140" t="s">
        <v>323</v>
      </c>
      <c r="I248" s="480">
        <f>'[30]Sch B'!G90</f>
        <v>251.45469798657717</v>
      </c>
      <c r="K248" s="460"/>
    </row>
    <row r="249" spans="1:13">
      <c r="H249" s="140" t="s">
        <v>324</v>
      </c>
      <c r="I249" s="480">
        <f>'[30]Sch B'!I90</f>
        <v>303.77235772357722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343</v>
      </c>
      <c r="D2" s="234"/>
      <c r="E2" s="142"/>
      <c r="F2" s="142"/>
      <c r="G2" s="142"/>
      <c r="H2" s="411" t="s">
        <v>581</v>
      </c>
    </row>
    <row r="3" spans="1:16">
      <c r="A3" s="143"/>
      <c r="B3" s="138" t="s">
        <v>71</v>
      </c>
      <c r="C3" s="557">
        <f>'[4]Sch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'[4]Sch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'[4]Sch B'!E10</f>
        <v>5652986</v>
      </c>
      <c r="D12" s="480">
        <f>'[4]Sch B'!G10</f>
        <v>0</v>
      </c>
      <c r="E12" s="480"/>
      <c r="F12" s="166">
        <f>C12+D12+E12</f>
        <v>5652986</v>
      </c>
      <c r="G12" s="626"/>
      <c r="H12" s="166"/>
      <c r="I12" s="166">
        <f>F12+G12+H12</f>
        <v>5652986</v>
      </c>
      <c r="J12" s="167">
        <f>IF($I$26=0,0,I12/$I$26)</f>
        <v>0.59406207580494663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'[4]Sch B'!E12</f>
        <v>0</v>
      </c>
      <c r="D13" s="480">
        <f>'[4]Sch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'[4]Sch B'!E13</f>
        <v>326696</v>
      </c>
      <c r="D14" s="480">
        <f>'[4]Sch B'!G13</f>
        <v>0</v>
      </c>
      <c r="E14" s="480"/>
      <c r="F14" s="166">
        <f t="shared" si="0"/>
        <v>326696</v>
      </c>
      <c r="G14" s="626"/>
      <c r="H14" s="166"/>
      <c r="I14" s="166">
        <f t="shared" si="1"/>
        <v>326696</v>
      </c>
      <c r="J14" s="167">
        <f>IF($I$26=0,0,I14/$I$26)</f>
        <v>3.4331891838609338E-2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'[4]Sch B'!E14</f>
        <v>0</v>
      </c>
      <c r="D15" s="480">
        <f>'[4]Sch B'!G14</f>
        <v>0</v>
      </c>
      <c r="E15" s="480"/>
      <c r="F15" s="166">
        <f t="shared" si="0"/>
        <v>0</v>
      </c>
      <c r="G15" s="626">
        <v>82364.800000000003</v>
      </c>
      <c r="H15" s="166"/>
      <c r="I15" s="166">
        <f t="shared" si="1"/>
        <v>82364.800000000003</v>
      </c>
      <c r="J15" s="167">
        <f>IF($I$26=0,0,I15/$I$26)</f>
        <v>8.6555678824004282E-3</v>
      </c>
      <c r="K15" s="162" t="s">
        <v>646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'[4]Sch B'!E15</f>
        <v>5979682</v>
      </c>
      <c r="D16" s="480">
        <f>'[4]Sch B'!G15</f>
        <v>0</v>
      </c>
      <c r="E16" s="480"/>
      <c r="F16" s="166">
        <f t="shared" si="0"/>
        <v>5979682</v>
      </c>
      <c r="G16" s="626"/>
      <c r="H16" s="166"/>
      <c r="I16" s="166">
        <f>SUM(I12:I15)</f>
        <v>6062046.7999999998</v>
      </c>
      <c r="J16" s="167">
        <f t="shared" ref="J16:J26" si="2">IF($I$26=0,0,I16/$I$26)</f>
        <v>0.63704953552595645</v>
      </c>
      <c r="K16" s="458"/>
      <c r="L16" s="333" t="s">
        <v>325</v>
      </c>
      <c r="M16" s="334">
        <f>I26</f>
        <v>9515817</v>
      </c>
      <c r="O16" s="324">
        <f>IFERROR(I16/I224,0)</f>
        <v>203.10405735919858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'[4]Sch B'!E20</f>
        <v>0</v>
      </c>
      <c r="D17" s="480">
        <f>'[4]Sch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10245412.18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'[4]Sch B'!E26</f>
        <v>1124308</v>
      </c>
      <c r="D18" s="480">
        <f>'[4]Sch B'!G26</f>
        <v>0</v>
      </c>
      <c r="E18" s="480"/>
      <c r="F18" s="166">
        <f t="shared" si="0"/>
        <v>1124308</v>
      </c>
      <c r="G18" s="626"/>
      <c r="H18" s="166"/>
      <c r="I18" s="166">
        <f t="shared" si="1"/>
        <v>1124308</v>
      </c>
      <c r="J18" s="167">
        <f t="shared" si="2"/>
        <v>0.11815149450646224</v>
      </c>
      <c r="K18" s="458"/>
      <c r="L18" s="335" t="s">
        <v>327</v>
      </c>
      <c r="M18" s="336">
        <f>I233</f>
        <v>41221</v>
      </c>
      <c r="O18" s="324">
        <f t="shared" si="3"/>
        <v>553.5736090595766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'[4]Sch B'!E32</f>
        <v>1010408</v>
      </c>
      <c r="D19" s="480">
        <f>'[4]Sch B'!G32</f>
        <v>0</v>
      </c>
      <c r="E19" s="480"/>
      <c r="F19" s="166">
        <f t="shared" si="0"/>
        <v>1010408</v>
      </c>
      <c r="G19" s="626"/>
      <c r="H19" s="166"/>
      <c r="I19" s="166">
        <f t="shared" si="1"/>
        <v>1010408</v>
      </c>
      <c r="J19" s="170">
        <f t="shared" si="2"/>
        <v>0.10618194948473683</v>
      </c>
      <c r="K19" s="464"/>
      <c r="L19" s="335" t="s">
        <v>328</v>
      </c>
      <c r="M19" s="336">
        <f>I236</f>
        <v>140</v>
      </c>
      <c r="O19" s="324">
        <f t="shared" si="3"/>
        <v>477.05760151085929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'[4]Sch B'!E37</f>
        <v>0</v>
      </c>
      <c r="D20" s="480">
        <f>'[4]Sch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51100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'[4]Sch B'!E42</f>
        <v>428789</v>
      </c>
      <c r="D21" s="480">
        <f>'[4]Sch B'!G42</f>
        <v>0</v>
      </c>
      <c r="E21" s="480"/>
      <c r="F21" s="166">
        <f t="shared" si="0"/>
        <v>428789</v>
      </c>
      <c r="G21" s="626"/>
      <c r="H21" s="166"/>
      <c r="I21" s="166">
        <f t="shared" si="1"/>
        <v>428789</v>
      </c>
      <c r="J21" s="167">
        <f t="shared" si="2"/>
        <v>4.5060660582270554E-2</v>
      </c>
      <c r="K21" s="458"/>
      <c r="L21" s="337"/>
      <c r="M21" s="336"/>
      <c r="O21" s="324">
        <f t="shared" si="3"/>
        <v>201.4985902255639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'[4]Sch B'!E47</f>
        <v>732036</v>
      </c>
      <c r="D22" s="480">
        <f>'[4]Sch B'!G47</f>
        <v>0</v>
      </c>
      <c r="E22" s="480"/>
      <c r="F22" s="166">
        <f t="shared" si="0"/>
        <v>732036</v>
      </c>
      <c r="G22" s="626"/>
      <c r="H22" s="166"/>
      <c r="I22" s="166">
        <f t="shared" si="1"/>
        <v>732036</v>
      </c>
      <c r="J22" s="167">
        <f t="shared" si="2"/>
        <v>7.6928339416363303E-2</v>
      </c>
      <c r="K22" s="458"/>
      <c r="L22" s="335" t="s">
        <v>148</v>
      </c>
      <c r="M22" s="336">
        <f>L213</f>
        <v>240414</v>
      </c>
      <c r="O22" s="324">
        <f t="shared" si="3"/>
        <v>170.24093023255813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'[4]Sch B'!E52</f>
        <v>0</v>
      </c>
      <c r="D23" s="480">
        <f>'[4]Sch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253918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'[4]Sch B'!E57</f>
        <v>173188</v>
      </c>
      <c r="D24" s="480">
        <f>'[4]Sch B'!G57</f>
        <v>0</v>
      </c>
      <c r="E24" s="480"/>
      <c r="F24" s="166">
        <f t="shared" si="0"/>
        <v>173188</v>
      </c>
      <c r="G24" s="626"/>
      <c r="H24" s="166"/>
      <c r="I24" s="166">
        <f t="shared" si="1"/>
        <v>173188</v>
      </c>
      <c r="J24" s="167">
        <f t="shared" si="2"/>
        <v>1.8200013724517822E-2</v>
      </c>
      <c r="K24" s="458"/>
      <c r="L24" s="163"/>
      <c r="M24" s="163"/>
      <c r="O24" s="324">
        <f t="shared" si="3"/>
        <v>217.29987452948558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'[4]Sch B'!E72</f>
        <v>118832</v>
      </c>
      <c r="D25" s="480">
        <f>'[4]Sch B'!G72</f>
        <v>-51426</v>
      </c>
      <c r="E25" s="480"/>
      <c r="F25" s="166">
        <f t="shared" si="0"/>
        <v>67406</v>
      </c>
      <c r="G25" s="626">
        <v>-82364.800000000003</v>
      </c>
      <c r="H25" s="166"/>
      <c r="I25" s="166">
        <f t="shared" si="1"/>
        <v>-14958.800000000003</v>
      </c>
      <c r="J25" s="167">
        <f t="shared" si="2"/>
        <v>-1.5719932403071646E-3</v>
      </c>
      <c r="K25" s="162" t="s">
        <v>646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9567243</v>
      </c>
      <c r="D26" s="480">
        <f t="shared" ref="D26:F26" si="4">SUM(D16:D25)</f>
        <v>-51426</v>
      </c>
      <c r="E26" s="480">
        <f t="shared" si="4"/>
        <v>0</v>
      </c>
      <c r="F26" s="166">
        <f t="shared" si="4"/>
        <v>9515817</v>
      </c>
      <c r="G26" s="166">
        <f>SUM(G12:G25)</f>
        <v>0</v>
      </c>
      <c r="H26" s="166">
        <f>SUM(H12:H25)</f>
        <v>0</v>
      </c>
      <c r="I26" s="166">
        <f>SUM(I16:I25)</f>
        <v>9515817</v>
      </c>
      <c r="J26" s="167">
        <f t="shared" si="2"/>
        <v>1</v>
      </c>
      <c r="K26" s="458"/>
      <c r="L26" s="163"/>
      <c r="M26" s="163"/>
      <c r="O26" s="324">
        <f>IFERROR(I26/I233,0)</f>
        <v>230.84876640547293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'[4]Sch C'!D10</f>
        <v>0</v>
      </c>
      <c r="D30" s="480">
        <f>'[4]Sch C'!F10</f>
        <v>118965</v>
      </c>
      <c r="E30" s="480">
        <f>+'[4]Sch C'!H10</f>
        <v>0</v>
      </c>
      <c r="F30" s="166">
        <f t="shared" ref="F30:F65" si="5">C30+D30+E30</f>
        <v>118965</v>
      </c>
      <c r="G30" s="626"/>
      <c r="H30" s="166"/>
      <c r="I30" s="166">
        <f t="shared" ref="I30:I65" si="6">F30+G30+H30</f>
        <v>118965</v>
      </c>
      <c r="J30" s="167">
        <f>IF($I$213=0,0,I30/$I$213)</f>
        <v>1.1611538697508996E-2</v>
      </c>
      <c r="K30" s="458"/>
      <c r="L30" s="176">
        <v>1824</v>
      </c>
      <c r="M30" s="176">
        <v>1934</v>
      </c>
      <c r="O30" s="324">
        <f>I30/I$233</f>
        <v>2.8860289658183937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'[4]Sch C'!D11</f>
        <v>0</v>
      </c>
      <c r="D31" s="480">
        <f>'[4]Sch C'!F11</f>
        <v>0</v>
      </c>
      <c r="E31" s="480">
        <f>+'[4]Sch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'[4]Sch C'!D12</f>
        <v>330167</v>
      </c>
      <c r="D32" s="480">
        <f>'[4]Sch C'!F12</f>
        <v>-119169</v>
      </c>
      <c r="E32" s="480">
        <f>+'[4]Sch C'!H12</f>
        <v>0</v>
      </c>
      <c r="F32" s="166">
        <f t="shared" si="5"/>
        <v>210998</v>
      </c>
      <c r="G32" s="626"/>
      <c r="H32" s="166"/>
      <c r="I32" s="166">
        <f t="shared" si="6"/>
        <v>210998</v>
      </c>
      <c r="J32" s="167">
        <f t="shared" si="7"/>
        <v>2.0594388619316631E-2</v>
      </c>
      <c r="K32" s="458"/>
      <c r="L32" s="176">
        <v>10026</v>
      </c>
      <c r="M32" s="176">
        <v>10486</v>
      </c>
      <c r="O32" s="324">
        <f t="shared" si="8"/>
        <v>5.1187016326629626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'[4]Sch C'!D13</f>
        <v>74628</v>
      </c>
      <c r="D33" s="480">
        <f>'[4]Sch C'!F13</f>
        <v>-8066</v>
      </c>
      <c r="E33" s="480">
        <f>+'[4]Sch C'!H13</f>
        <v>0</v>
      </c>
      <c r="F33" s="166">
        <f t="shared" si="5"/>
        <v>66562</v>
      </c>
      <c r="G33" s="626"/>
      <c r="H33" s="166"/>
      <c r="I33" s="166">
        <f t="shared" si="6"/>
        <v>66562</v>
      </c>
      <c r="J33" s="167">
        <f t="shared" si="7"/>
        <v>6.4967615583036509E-3</v>
      </c>
      <c r="K33" s="458"/>
      <c r="L33" s="163"/>
      <c r="M33" s="163"/>
      <c r="O33" s="324">
        <f t="shared" si="8"/>
        <v>1.6147594672618326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'[4]Sch C'!D14</f>
        <v>4500</v>
      </c>
      <c r="D34" s="480">
        <f>'[4]Sch C'!F14</f>
        <v>0</v>
      </c>
      <c r="E34" s="480">
        <f>+'[4]Sch C'!H14</f>
        <v>0</v>
      </c>
      <c r="F34" s="166">
        <f t="shared" si="5"/>
        <v>4500</v>
      </c>
      <c r="G34" s="626"/>
      <c r="H34" s="166"/>
      <c r="I34" s="166">
        <f t="shared" si="6"/>
        <v>4500</v>
      </c>
      <c r="J34" s="167">
        <f t="shared" si="7"/>
        <v>4.3922098212743649E-4</v>
      </c>
      <c r="K34" s="458"/>
      <c r="L34" s="163"/>
      <c r="M34" s="163"/>
      <c r="O34" s="324">
        <f t="shared" si="8"/>
        <v>0.10916765726207515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'[4]Sch C'!D15</f>
        <v>0</v>
      </c>
      <c r="D35" s="480">
        <f>'[4]Sch C'!F15</f>
        <v>578168</v>
      </c>
      <c r="E35" s="480">
        <f>+'[4]Sch C'!H15</f>
        <v>0</v>
      </c>
      <c r="F35" s="166">
        <f t="shared" si="5"/>
        <v>578168</v>
      </c>
      <c r="G35" s="626"/>
      <c r="H35" s="166"/>
      <c r="I35" s="166">
        <f t="shared" si="6"/>
        <v>578168</v>
      </c>
      <c r="J35" s="167">
        <f t="shared" si="7"/>
        <v>5.6431892621034603E-2</v>
      </c>
      <c r="K35" s="458"/>
      <c r="L35" s="163"/>
      <c r="M35" s="163"/>
      <c r="O35" s="324">
        <f t="shared" si="8"/>
        <v>14.026054680866549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'[4]Sch C'!D16</f>
        <v>578168</v>
      </c>
      <c r="D36" s="480">
        <f>'[4]Sch C'!F16</f>
        <v>-578168</v>
      </c>
      <c r="E36" s="480">
        <f>+'[4]Sch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'[4]Sch C'!D17</f>
        <v>0</v>
      </c>
      <c r="D37" s="480">
        <f>'[4]Sch C'!F17</f>
        <v>0</v>
      </c>
      <c r="E37" s="480">
        <f>+'[4]Sch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'[4]Sch C'!D18</f>
        <v>13506</v>
      </c>
      <c r="D38" s="480">
        <f>'[4]Sch C'!F18</f>
        <v>0</v>
      </c>
      <c r="E38" s="480">
        <f>+'[4]Sch C'!H18</f>
        <v>0</v>
      </c>
      <c r="F38" s="166">
        <f t="shared" si="5"/>
        <v>13506</v>
      </c>
      <c r="G38" s="626"/>
      <c r="H38" s="166"/>
      <c r="I38" s="166">
        <f t="shared" si="6"/>
        <v>13506</v>
      </c>
      <c r="J38" s="167">
        <f t="shared" si="7"/>
        <v>1.3182485743584793E-3</v>
      </c>
      <c r="K38" s="458"/>
      <c r="L38" s="163"/>
      <c r="M38" s="163"/>
      <c r="O38" s="324">
        <f t="shared" si="8"/>
        <v>0.32764852866257488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'[4]Sch C'!D19</f>
        <v>22135</v>
      </c>
      <c r="D39" s="480">
        <f>'[4]Sch C'!F19</f>
        <v>0</v>
      </c>
      <c r="E39" s="480">
        <f>+'[4]Sch C'!H19</f>
        <v>0</v>
      </c>
      <c r="F39" s="166">
        <f t="shared" si="5"/>
        <v>22135</v>
      </c>
      <c r="G39" s="626"/>
      <c r="H39" s="166"/>
      <c r="I39" s="166">
        <f t="shared" si="6"/>
        <v>22135</v>
      </c>
      <c r="J39" s="167">
        <f t="shared" si="7"/>
        <v>2.1604792087535126E-3</v>
      </c>
      <c r="K39" s="458"/>
      <c r="L39" s="163"/>
      <c r="M39" s="163"/>
      <c r="O39" s="324">
        <f t="shared" si="8"/>
        <v>0.53698357633245186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'[4]Sch C'!D20</f>
        <v>23453</v>
      </c>
      <c r="D40" s="480">
        <f>'[4]Sch C'!F20</f>
        <v>-317</v>
      </c>
      <c r="E40" s="480">
        <f>+'[4]Sch C'!H20</f>
        <v>0</v>
      </c>
      <c r="F40" s="166">
        <f t="shared" si="5"/>
        <v>23136</v>
      </c>
      <c r="G40" s="626"/>
      <c r="H40" s="166"/>
      <c r="I40" s="166">
        <f t="shared" si="6"/>
        <v>23136</v>
      </c>
      <c r="J40" s="167">
        <f t="shared" si="7"/>
        <v>2.2581814761111936E-3</v>
      </c>
      <c r="K40" s="458"/>
      <c r="L40" s="163"/>
      <c r="M40" s="163"/>
      <c r="O40" s="324">
        <f t="shared" si="8"/>
        <v>0.56126731520341577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'[4]Sch C'!D21</f>
        <v>60514</v>
      </c>
      <c r="D41" s="480">
        <f>'[4]Sch C'!F21</f>
        <v>-20826</v>
      </c>
      <c r="E41" s="480">
        <f>+'[4]Sch C'!H21</f>
        <v>0</v>
      </c>
      <c r="F41" s="166">
        <f t="shared" si="5"/>
        <v>39688</v>
      </c>
      <c r="G41" s="626"/>
      <c r="H41" s="166"/>
      <c r="I41" s="166">
        <f t="shared" si="6"/>
        <v>39688</v>
      </c>
      <c r="J41" s="167">
        <f t="shared" si="7"/>
        <v>3.8737338530385997E-3</v>
      </c>
      <c r="K41" s="458"/>
      <c r="L41" s="163"/>
      <c r="M41" s="163"/>
      <c r="O41" s="324">
        <f t="shared" si="8"/>
        <v>0.96281021809271972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'[4]Sch C'!D22</f>
        <v>0</v>
      </c>
      <c r="D42" s="480">
        <f>'[4]Sch C'!F22</f>
        <v>0</v>
      </c>
      <c r="E42" s="480">
        <f>+'[4]Sch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'[4]Sch C'!D23</f>
        <v>8593</v>
      </c>
      <c r="D43" s="480">
        <f>'[4]Sch C'!F23</f>
        <v>0</v>
      </c>
      <c r="E43" s="480">
        <f>+'[4]Sch C'!H23</f>
        <v>0</v>
      </c>
      <c r="F43" s="166">
        <f t="shared" si="5"/>
        <v>8593</v>
      </c>
      <c r="G43" s="626"/>
      <c r="H43" s="166"/>
      <c r="I43" s="166">
        <f t="shared" si="6"/>
        <v>8593</v>
      </c>
      <c r="J43" s="167">
        <f t="shared" si="7"/>
        <v>8.3871686653801375E-4</v>
      </c>
      <c r="K43" s="458"/>
      <c r="L43" s="163"/>
      <c r="M43" s="163"/>
      <c r="O43" s="324">
        <f t="shared" si="8"/>
        <v>0.20846170641178041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'[4]Sch C'!D24</f>
        <v>44416</v>
      </c>
      <c r="D44" s="480">
        <f>'[4]Sch C'!F24</f>
        <v>0</v>
      </c>
      <c r="E44" s="480">
        <f>+'[4]Sch C'!H24</f>
        <v>0</v>
      </c>
      <c r="F44" s="166">
        <f t="shared" si="5"/>
        <v>44416</v>
      </c>
      <c r="G44" s="626"/>
      <c r="H44" s="166"/>
      <c r="I44" s="166">
        <f t="shared" si="6"/>
        <v>44416</v>
      </c>
      <c r="J44" s="167">
        <f t="shared" si="7"/>
        <v>4.3352086982604929E-3</v>
      </c>
      <c r="K44" s="458"/>
      <c r="L44" s="163"/>
      <c r="M44" s="163"/>
      <c r="O44" s="324">
        <f t="shared" si="8"/>
        <v>1.0775090366560733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'[4]Sch C'!D25</f>
        <v>-29500</v>
      </c>
      <c r="D45" s="480">
        <f>'[4]Sch C'!F25</f>
        <v>0</v>
      </c>
      <c r="E45" s="480">
        <f>+'[4]Sch C'!H25</f>
        <v>0</v>
      </c>
      <c r="F45" s="166">
        <f t="shared" si="5"/>
        <v>-29500</v>
      </c>
      <c r="G45" s="626"/>
      <c r="H45" s="166"/>
      <c r="I45" s="166">
        <f t="shared" si="6"/>
        <v>-29500</v>
      </c>
      <c r="J45" s="167">
        <f t="shared" si="7"/>
        <v>-2.8793375495020836E-3</v>
      </c>
      <c r="K45" s="458"/>
      <c r="L45" s="163"/>
      <c r="M45" s="163"/>
      <c r="O45" s="324">
        <f t="shared" si="8"/>
        <v>-0.71565464205138163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'[4]Sch C'!D26</f>
        <v>775526</v>
      </c>
      <c r="D46" s="480">
        <f>'[4]Sch C'!F26</f>
        <v>0</v>
      </c>
      <c r="E46" s="480">
        <f>+'[4]Sch C'!H26</f>
        <v>0</v>
      </c>
      <c r="F46" s="166">
        <f t="shared" si="5"/>
        <v>775526</v>
      </c>
      <c r="G46" s="626"/>
      <c r="H46" s="166"/>
      <c r="I46" s="166">
        <f t="shared" si="6"/>
        <v>775526</v>
      </c>
      <c r="J46" s="167">
        <f t="shared" si="7"/>
        <v>7.5694953641191623E-2</v>
      </c>
      <c r="K46" s="458"/>
      <c r="L46" s="163"/>
      <c r="M46" s="163"/>
      <c r="O46" s="324">
        <f t="shared" si="8"/>
        <v>18.813857014628468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'[4]Sch C'!D27</f>
        <v>0</v>
      </c>
      <c r="D47" s="480">
        <f>'[4]Sch C'!F27</f>
        <v>0</v>
      </c>
      <c r="E47" s="480">
        <f>+'[4]Sch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'[4]Sch C'!D28</f>
        <v>0</v>
      </c>
      <c r="D48" s="480">
        <f>'[4]Sch C'!F28</f>
        <v>0</v>
      </c>
      <c r="E48" s="480">
        <f>+'[4]Sch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'[4]Sch C'!D29</f>
        <v>179856</v>
      </c>
      <c r="D49" s="480">
        <f>'[4]Sch C'!F29</f>
        <v>-179856</v>
      </c>
      <c r="E49" s="480">
        <f>+'[4]Sch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'[4]Sch C'!D30</f>
        <v>0</v>
      </c>
      <c r="D50" s="480">
        <f>'[4]Sch C'!F30</f>
        <v>0</v>
      </c>
      <c r="E50" s="480">
        <f>+'[4]Sch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'[4]Sch C'!D31</f>
        <v>0</v>
      </c>
      <c r="D51" s="480">
        <f>'[4]Sch C'!F31</f>
        <v>0</v>
      </c>
      <c r="E51" s="480">
        <f>+'[4]Sch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'[4]Sch C'!D32</f>
        <v>115977</v>
      </c>
      <c r="D52" s="480">
        <f>'[4]Sch C'!F32</f>
        <v>0</v>
      </c>
      <c r="E52" s="480">
        <f>+'[4]Sch C'!H32</f>
        <v>0</v>
      </c>
      <c r="F52" s="166">
        <f t="shared" si="5"/>
        <v>115977</v>
      </c>
      <c r="G52" s="626"/>
      <c r="H52" s="166"/>
      <c r="I52" s="166">
        <f t="shared" si="6"/>
        <v>115977</v>
      </c>
      <c r="J52" s="167">
        <f t="shared" si="7"/>
        <v>1.1319895965376378E-2</v>
      </c>
      <c r="K52" s="458"/>
      <c r="L52" s="163"/>
      <c r="M52" s="163"/>
      <c r="O52" s="324">
        <f t="shared" si="8"/>
        <v>2.8135416413963754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'[4]Sch C'!D33</f>
        <v>0</v>
      </c>
      <c r="D53" s="480">
        <f>'[4]Sch C'!F33</f>
        <v>0</v>
      </c>
      <c r="E53" s="480">
        <f>+'[4]Sch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'[4]Sch C'!D34</f>
        <v>747</v>
      </c>
      <c r="D54" s="480">
        <f>'[4]Sch C'!F34</f>
        <v>0</v>
      </c>
      <c r="E54" s="480">
        <f>+'[4]Sch C'!H34</f>
        <v>0</v>
      </c>
      <c r="F54" s="166">
        <f t="shared" si="5"/>
        <v>747</v>
      </c>
      <c r="G54" s="626"/>
      <c r="H54" s="166"/>
      <c r="I54" s="166">
        <f t="shared" si="6"/>
        <v>747</v>
      </c>
      <c r="J54" s="167">
        <f t="shared" si="7"/>
        <v>7.2910683033154455E-5</v>
      </c>
      <c r="K54" s="458"/>
      <c r="L54" s="163"/>
      <c r="M54" s="163"/>
      <c r="O54" s="324">
        <f t="shared" si="8"/>
        <v>1.8121831105504475E-2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'[4]Sch C'!D35</f>
        <v>125240</v>
      </c>
      <c r="D55" s="480">
        <f>'[4]Sch C'!F35</f>
        <v>-125240</v>
      </c>
      <c r="E55" s="480">
        <f>+'[4]Sch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'[4]Sch C'!D36</f>
        <v>0</v>
      </c>
      <c r="D56" s="480">
        <f>'[4]Sch C'!F36</f>
        <v>0</v>
      </c>
      <c r="E56" s="480">
        <f>+'[4]Sch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'[4]Sch C'!D37</f>
        <v>0</v>
      </c>
      <c r="D57" s="480">
        <f>'[4]Sch C'!F37</f>
        <v>0</v>
      </c>
      <c r="E57" s="480">
        <f>+'[4]Sch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'[4]Sch C'!D38</f>
        <v>80</v>
      </c>
      <c r="D58" s="480">
        <f>'[4]Sch C'!F38</f>
        <v>-80</v>
      </c>
      <c r="E58" s="480">
        <f>+'[4]Sch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'[4]Sch C'!D39</f>
        <v>13957</v>
      </c>
      <c r="D59" s="480">
        <f>'[4]Sch C'!F39</f>
        <v>0</v>
      </c>
      <c r="E59" s="480">
        <f>+'[4]Sch C'!H39</f>
        <v>0</v>
      </c>
      <c r="F59" s="166">
        <f t="shared" si="5"/>
        <v>13957</v>
      </c>
      <c r="G59" s="626"/>
      <c r="H59" s="166"/>
      <c r="I59" s="166">
        <f t="shared" si="6"/>
        <v>13957</v>
      </c>
      <c r="J59" s="167">
        <f t="shared" si="7"/>
        <v>1.3622682772339179E-3</v>
      </c>
      <c r="K59" s="458"/>
      <c r="L59" s="163"/>
      <c r="M59" s="163"/>
      <c r="O59" s="324">
        <f t="shared" si="8"/>
        <v>0.33858955386817396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'[4]Sch C'!D40</f>
        <v>6255</v>
      </c>
      <c r="D60" s="480">
        <f>'[4]Sch C'!F40</f>
        <v>-6255</v>
      </c>
      <c r="E60" s="480">
        <f>+'[4]Sch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'[4]Sch C'!D41</f>
        <v>247649</v>
      </c>
      <c r="D61" s="480">
        <f>'[4]Sch C'!F41</f>
        <v>-10391</v>
      </c>
      <c r="E61" s="480">
        <f>+'[4]Sch C'!H41</f>
        <v>0</v>
      </c>
      <c r="F61" s="166">
        <f t="shared" si="5"/>
        <v>237258</v>
      </c>
      <c r="G61" s="626"/>
      <c r="H61" s="166"/>
      <c r="I61" s="166">
        <f t="shared" si="6"/>
        <v>237258</v>
      </c>
      <c r="J61" s="167">
        <f t="shared" si="7"/>
        <v>2.3157487061686962E-2</v>
      </c>
      <c r="K61" s="458"/>
      <c r="L61" s="163"/>
      <c r="M61" s="163"/>
      <c r="O61" s="324">
        <f t="shared" si="8"/>
        <v>5.7557555614856506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'[4]Sch C'!D42</f>
        <v>559</v>
      </c>
      <c r="D62" s="480">
        <f>'[4]Sch C'!F42</f>
        <v>0</v>
      </c>
      <c r="E62" s="480">
        <f>+'[4]Sch C'!H42</f>
        <v>0</v>
      </c>
      <c r="F62" s="166">
        <f t="shared" si="5"/>
        <v>559</v>
      </c>
      <c r="G62" s="626"/>
      <c r="H62" s="166"/>
      <c r="I62" s="166">
        <f t="shared" si="6"/>
        <v>559</v>
      </c>
      <c r="J62" s="167">
        <f t="shared" si="7"/>
        <v>5.4561006446497112E-5</v>
      </c>
      <c r="K62" s="458"/>
      <c r="L62" s="163"/>
      <c r="M62" s="163"/>
      <c r="O62" s="324">
        <f t="shared" si="8"/>
        <v>1.3561048979888891E-2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'[4]Sch C'!D43</f>
        <v>8574</v>
      </c>
      <c r="D63" s="480">
        <f>'[4]Sch C'!F43</f>
        <v>-8574</v>
      </c>
      <c r="E63" s="480">
        <f>+'[4]Sch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'[4]Sch C'!D44</f>
        <v>27</v>
      </c>
      <c r="D64" s="480">
        <f>'[4]Sch C'!F44</f>
        <v>0</v>
      </c>
      <c r="E64" s="480">
        <f>+'[4]Sch C'!H44</f>
        <v>0</v>
      </c>
      <c r="F64" s="166">
        <f t="shared" si="5"/>
        <v>27</v>
      </c>
      <c r="G64" s="626"/>
      <c r="H64" s="166"/>
      <c r="I64" s="166">
        <f t="shared" si="6"/>
        <v>27</v>
      </c>
      <c r="J64" s="167">
        <f t="shared" si="7"/>
        <v>2.6353258927646191E-6</v>
      </c>
      <c r="K64" s="458"/>
      <c r="L64" s="163"/>
      <c r="M64" s="163"/>
      <c r="O64" s="324">
        <f t="shared" si="8"/>
        <v>6.5500594357245092E-4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'[4]Sch C'!D45</f>
        <v>12274</v>
      </c>
      <c r="D65" s="480">
        <f>'[4]Sch C'!F45</f>
        <v>-8059</v>
      </c>
      <c r="E65" s="480">
        <f>+'[4]Sch C'!H45</f>
        <v>0</v>
      </c>
      <c r="F65" s="166">
        <f t="shared" si="5"/>
        <v>4215</v>
      </c>
      <c r="G65" s="626">
        <v>-5091.82</v>
      </c>
      <c r="H65" s="166"/>
      <c r="I65" s="166">
        <f t="shared" si="6"/>
        <v>-876.81999999999971</v>
      </c>
      <c r="J65" s="167">
        <f t="shared" si="7"/>
        <v>-8.5581720344217495E-5</v>
      </c>
      <c r="K65" s="457" t="s">
        <v>374</v>
      </c>
      <c r="L65" s="163"/>
      <c r="M65" s="163"/>
      <c r="O65" s="324">
        <f t="shared" si="8"/>
        <v>-2.1271196720118381E-2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2617301</v>
      </c>
      <c r="D66" s="480">
        <f t="shared" si="9"/>
        <v>-367868</v>
      </c>
      <c r="E66" s="480">
        <f t="shared" si="9"/>
        <v>0</v>
      </c>
      <c r="F66" s="166">
        <f t="shared" ref="F66:I66" si="10">SUM(F30:F65)</f>
        <v>2249433</v>
      </c>
      <c r="G66" s="166">
        <f t="shared" si="10"/>
        <v>-5091.82</v>
      </c>
      <c r="H66" s="166">
        <f t="shared" si="10"/>
        <v>0</v>
      </c>
      <c r="I66" s="166">
        <f t="shared" si="10"/>
        <v>2244341.1800000002</v>
      </c>
      <c r="J66" s="178">
        <f t="shared" si="7"/>
        <v>0.21905816384636662</v>
      </c>
      <c r="K66" s="465"/>
      <c r="L66" s="163"/>
      <c r="M66" s="163"/>
      <c r="O66" s="329">
        <f>I66/I$233</f>
        <v>54.446548603866965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'[4]Sch C'!D57</f>
        <v>0</v>
      </c>
      <c r="D69" s="480">
        <f>'[4]Sch C'!F57</f>
        <v>0</v>
      </c>
      <c r="E69" s="480">
        <f>+'[4]Sch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'[4]Sch C'!D58</f>
        <v>176899</v>
      </c>
      <c r="D70" s="480">
        <f>'[4]Sch C'!F58</f>
        <v>0</v>
      </c>
      <c r="E70" s="480">
        <f>+'[4]Sch C'!H58</f>
        <v>0</v>
      </c>
      <c r="F70" s="166">
        <f t="shared" ref="F70:F83" si="13">C70+D70+E70</f>
        <v>176899</v>
      </c>
      <c r="G70" s="626"/>
      <c r="H70" s="166"/>
      <c r="I70" s="166">
        <f t="shared" ref="I70:I83" si="14">F70+G70+H70</f>
        <v>176899</v>
      </c>
      <c r="J70" s="167">
        <f t="shared" si="11"/>
        <v>1.726616722608031E-2</v>
      </c>
      <c r="K70" s="458"/>
      <c r="L70" s="182"/>
      <c r="M70" s="163"/>
      <c r="O70" s="324">
        <f t="shared" si="12"/>
        <v>4.2914776448897403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'[4]Sch C'!D59</f>
        <v>210740</v>
      </c>
      <c r="D71" s="480">
        <f>'[4]Sch C'!F59</f>
        <v>0</v>
      </c>
      <c r="E71" s="480">
        <f>+'[4]Sch C'!H59</f>
        <v>0</v>
      </c>
      <c r="F71" s="166">
        <f t="shared" si="13"/>
        <v>210740</v>
      </c>
      <c r="G71" s="626"/>
      <c r="H71" s="166"/>
      <c r="I71" s="166">
        <f t="shared" si="14"/>
        <v>210740</v>
      </c>
      <c r="J71" s="167">
        <f t="shared" si="11"/>
        <v>2.0569206616341325E-2</v>
      </c>
      <c r="K71" s="458"/>
      <c r="L71" s="182"/>
      <c r="M71" s="163"/>
      <c r="O71" s="324">
        <f t="shared" si="12"/>
        <v>5.1124426869799375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'[4]Sch C'!D60</f>
        <v>59072</v>
      </c>
      <c r="D72" s="480">
        <f>'[4]Sch C'!F60</f>
        <v>0</v>
      </c>
      <c r="E72" s="480">
        <f>+'[4]Sch C'!H60</f>
        <v>0</v>
      </c>
      <c r="F72" s="166">
        <f t="shared" si="13"/>
        <v>59072</v>
      </c>
      <c r="G72" s="626"/>
      <c r="H72" s="166"/>
      <c r="I72" s="166">
        <f t="shared" si="14"/>
        <v>59072</v>
      </c>
      <c r="J72" s="167">
        <f t="shared" si="11"/>
        <v>5.7657026347182061E-3</v>
      </c>
      <c r="K72" s="458"/>
      <c r="L72" s="185"/>
      <c r="M72" s="163"/>
      <c r="O72" s="324">
        <f t="shared" si="12"/>
        <v>1.4330559666189564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'[4]Sch C'!D61</f>
        <v>33502</v>
      </c>
      <c r="D73" s="480">
        <f>'[4]Sch C'!F61</f>
        <v>0</v>
      </c>
      <c r="E73" s="480">
        <f>+'[4]Sch C'!H61</f>
        <v>0</v>
      </c>
      <c r="F73" s="166">
        <f t="shared" si="13"/>
        <v>33502</v>
      </c>
      <c r="G73" s="626"/>
      <c r="H73" s="166"/>
      <c r="I73" s="166">
        <f t="shared" si="14"/>
        <v>33502</v>
      </c>
      <c r="J73" s="167">
        <f t="shared" si="11"/>
        <v>3.2699514096074171E-3</v>
      </c>
      <c r="K73" s="458"/>
      <c r="L73" s="185"/>
      <c r="M73" s="163"/>
      <c r="O73" s="324">
        <f t="shared" si="12"/>
        <v>0.81274107857645372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'[4]Sch C'!D62</f>
        <v>0</v>
      </c>
      <c r="D74" s="480">
        <f>'[4]Sch C'!F62</f>
        <v>0</v>
      </c>
      <c r="E74" s="480">
        <f>+'[4]Sch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'[4]Sch C'!D63</f>
        <v>0</v>
      </c>
      <c r="D75" s="480">
        <f>'[4]Sch C'!F63</f>
        <v>0</v>
      </c>
      <c r="E75" s="480">
        <f>+'[4]Sch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'[4]Sch C'!D64</f>
        <v>0</v>
      </c>
      <c r="D76" s="480">
        <f>'[4]Sch C'!F64</f>
        <v>0</v>
      </c>
      <c r="E76" s="480">
        <f>+'[4]Sch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'[4]Sch C'!D65</f>
        <v>0</v>
      </c>
      <c r="D77" s="480">
        <f>'[4]Sch C'!F65</f>
        <v>0</v>
      </c>
      <c r="E77" s="480">
        <f>+'[4]Sch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'[4]Sch C'!D66</f>
        <v>74200</v>
      </c>
      <c r="D78" s="480">
        <f>'[4]Sch C'!F66</f>
        <v>0</v>
      </c>
      <c r="E78" s="480">
        <f>+'[4]Sch C'!H66</f>
        <v>0</v>
      </c>
      <c r="F78" s="166">
        <f t="shared" si="13"/>
        <v>74200</v>
      </c>
      <c r="G78" s="626"/>
      <c r="H78" s="166"/>
      <c r="I78" s="166">
        <f t="shared" si="14"/>
        <v>74200</v>
      </c>
      <c r="J78" s="167">
        <f t="shared" si="11"/>
        <v>7.2422659719679526E-3</v>
      </c>
      <c r="K78" s="458"/>
      <c r="L78" s="187"/>
      <c r="M78" s="163"/>
      <c r="O78" s="324">
        <f t="shared" si="12"/>
        <v>1.8000533708546615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'[4]Sch C'!D67</f>
        <v>123400</v>
      </c>
      <c r="D79" s="480">
        <f>'[4]Sch C'!F67</f>
        <v>0</v>
      </c>
      <c r="E79" s="480">
        <f>+'[4]Sch C'!H67</f>
        <v>0</v>
      </c>
      <c r="F79" s="166">
        <f t="shared" si="13"/>
        <v>123400</v>
      </c>
      <c r="G79" s="626"/>
      <c r="H79" s="166"/>
      <c r="I79" s="166">
        <f t="shared" si="14"/>
        <v>123400</v>
      </c>
      <c r="J79" s="167">
        <f t="shared" si="11"/>
        <v>1.2044415376561259E-2</v>
      </c>
      <c r="K79" s="458"/>
      <c r="L79" s="187"/>
      <c r="M79" s="163"/>
      <c r="O79" s="324">
        <f t="shared" si="12"/>
        <v>2.9936197569200167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'[4]Sch C'!D68</f>
        <v>9820</v>
      </c>
      <c r="D80" s="480">
        <f>'[4]Sch C'!F68</f>
        <v>0</v>
      </c>
      <c r="E80" s="480">
        <f>+'[4]Sch C'!H68</f>
        <v>0</v>
      </c>
      <c r="F80" s="166">
        <f t="shared" si="13"/>
        <v>9820</v>
      </c>
      <c r="G80" s="626"/>
      <c r="H80" s="166"/>
      <c r="I80" s="166">
        <f t="shared" si="14"/>
        <v>9820</v>
      </c>
      <c r="J80" s="167">
        <f t="shared" si="11"/>
        <v>9.5847778766476144E-4</v>
      </c>
      <c r="K80" s="458"/>
      <c r="L80" s="187"/>
      <c r="M80" s="163"/>
      <c r="O80" s="324">
        <f t="shared" si="12"/>
        <v>0.23822808762523956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'[4]Sch C'!D69</f>
        <v>0</v>
      </c>
      <c r="D81" s="480">
        <f>'[4]Sch C'!F69</f>
        <v>0</v>
      </c>
      <c r="E81" s="480">
        <f>+'[4]Sch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'[4]Sch C'!D70</f>
        <v>0</v>
      </c>
      <c r="D82" s="480">
        <f>'[4]Sch C'!F70</f>
        <v>0</v>
      </c>
      <c r="E82" s="480">
        <f>+'[4]Sch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'[4]Sch C'!D71</f>
        <v>0</v>
      </c>
      <c r="D83" s="480">
        <f>'[4]Sch C'!F71</f>
        <v>0</v>
      </c>
      <c r="E83" s="480">
        <f>+'[4]Sch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687633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687633</v>
      </c>
      <c r="G84" s="166">
        <f t="shared" si="16"/>
        <v>0</v>
      </c>
      <c r="H84" s="166">
        <f t="shared" si="16"/>
        <v>0</v>
      </c>
      <c r="I84" s="166">
        <f t="shared" si="16"/>
        <v>687633</v>
      </c>
      <c r="J84" s="167">
        <f t="shared" si="11"/>
        <v>6.7116187022941226E-2</v>
      </c>
      <c r="K84" s="458"/>
      <c r="L84" s="187"/>
      <c r="M84" s="163"/>
      <c r="O84" s="324">
        <f t="shared" si="12"/>
        <v>16.681618592465007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'[4]Sch C'!D75</f>
        <v>82423</v>
      </c>
      <c r="D87" s="480">
        <f>'[4]Sch C'!F75</f>
        <v>0</v>
      </c>
      <c r="E87" s="480">
        <f>+'[4]Sch C'!H75</f>
        <v>0</v>
      </c>
      <c r="F87" s="166">
        <f t="shared" ref="F87:F97" si="17">C87+D87+E87</f>
        <v>82423</v>
      </c>
      <c r="G87" s="626"/>
      <c r="H87" s="166"/>
      <c r="I87" s="166">
        <f t="shared" ref="I87:I97" si="18">F87+G87+H87</f>
        <v>82423</v>
      </c>
      <c r="J87" s="167">
        <f t="shared" ref="J87:J98" si="19">IF($I$213=0,0,I87/$I$213)</f>
        <v>8.044869113308822E-3</v>
      </c>
      <c r="K87" s="458"/>
      <c r="L87" s="176">
        <v>4545</v>
      </c>
      <c r="M87" s="176">
        <v>4743</v>
      </c>
      <c r="O87" s="324">
        <f t="shared" ref="O87:O97" si="20">I87/I$233</f>
        <v>1.9995390698915601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'[4]Sch C'!D76</f>
        <v>15530</v>
      </c>
      <c r="D88" s="480">
        <f>'[4]Sch C'!F76</f>
        <v>0</v>
      </c>
      <c r="E88" s="480">
        <f>+'[4]Sch C'!H76</f>
        <v>0</v>
      </c>
      <c r="F88" s="166">
        <f t="shared" si="17"/>
        <v>15530</v>
      </c>
      <c r="G88" s="626"/>
      <c r="H88" s="166"/>
      <c r="I88" s="166">
        <f t="shared" si="18"/>
        <v>15530</v>
      </c>
      <c r="J88" s="167">
        <f t="shared" si="19"/>
        <v>1.5158004116531307E-3</v>
      </c>
      <c r="K88" s="458"/>
      <c r="L88" s="163"/>
      <c r="M88" s="163"/>
      <c r="O88" s="324">
        <f t="shared" si="20"/>
        <v>0.37674971495111714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'[4]Sch C'!D77</f>
        <v>22111</v>
      </c>
      <c r="D89" s="480">
        <f>'[4]Sch C'!F77</f>
        <v>0</v>
      </c>
      <c r="E89" s="480">
        <f>+'[4]Sch C'!H77</f>
        <v>0</v>
      </c>
      <c r="F89" s="166">
        <f t="shared" si="17"/>
        <v>22111</v>
      </c>
      <c r="G89" s="626"/>
      <c r="H89" s="166"/>
      <c r="I89" s="166">
        <f t="shared" si="18"/>
        <v>22111</v>
      </c>
      <c r="J89" s="167">
        <f t="shared" si="19"/>
        <v>2.1581366968488331E-3</v>
      </c>
      <c r="K89" s="458"/>
      <c r="L89" s="163"/>
      <c r="M89" s="163"/>
      <c r="O89" s="324">
        <f t="shared" si="20"/>
        <v>0.53640134882705415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'[4]Sch C'!D78</f>
        <v>0</v>
      </c>
      <c r="D90" s="480">
        <f>'[4]Sch C'!F78</f>
        <v>0</v>
      </c>
      <c r="E90" s="480">
        <f>+'[4]Sch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'[4]Sch C'!D79</f>
        <v>9628</v>
      </c>
      <c r="D91" s="480">
        <f>'[4]Sch C'!F79</f>
        <v>0</v>
      </c>
      <c r="E91" s="480">
        <f>+'[4]Sch C'!H79</f>
        <v>0</v>
      </c>
      <c r="F91" s="166">
        <f t="shared" si="17"/>
        <v>9628</v>
      </c>
      <c r="G91" s="626"/>
      <c r="H91" s="166"/>
      <c r="I91" s="166">
        <f t="shared" si="18"/>
        <v>9628</v>
      </c>
      <c r="J91" s="167">
        <f t="shared" si="19"/>
        <v>9.3973769242732409E-4</v>
      </c>
      <c r="K91" s="458"/>
      <c r="L91" s="163"/>
      <c r="M91" s="163"/>
      <c r="O91" s="324">
        <f t="shared" si="20"/>
        <v>0.23357026758205768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'[4]Sch C'!D80</f>
        <v>21283</v>
      </c>
      <c r="D92" s="480">
        <f>'[4]Sch C'!F80</f>
        <v>0</v>
      </c>
      <c r="E92" s="480">
        <f>+'[4]Sch C'!H80</f>
        <v>0</v>
      </c>
      <c r="F92" s="166">
        <f t="shared" si="17"/>
        <v>21283</v>
      </c>
      <c r="G92" s="626"/>
      <c r="H92" s="166"/>
      <c r="I92" s="166">
        <f t="shared" si="18"/>
        <v>21283</v>
      </c>
      <c r="J92" s="167">
        <f t="shared" si="19"/>
        <v>2.0773200361373844E-3</v>
      </c>
      <c r="K92" s="458"/>
      <c r="L92" s="163"/>
      <c r="M92" s="163"/>
      <c r="O92" s="324">
        <f t="shared" si="20"/>
        <v>0.51631449989083233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'[4]Sch C'!D81</f>
        <v>47747</v>
      </c>
      <c r="D93" s="480">
        <f>'[4]Sch C'!F81</f>
        <v>0</v>
      </c>
      <c r="E93" s="480">
        <f>+'[4]Sch C'!H81</f>
        <v>0</v>
      </c>
      <c r="F93" s="166">
        <f t="shared" si="17"/>
        <v>47747</v>
      </c>
      <c r="G93" s="626"/>
      <c r="H93" s="166"/>
      <c r="I93" s="166">
        <f t="shared" si="18"/>
        <v>47747</v>
      </c>
      <c r="J93" s="167">
        <f t="shared" si="19"/>
        <v>4.6603298296974908E-3</v>
      </c>
      <c r="K93" s="458"/>
      <c r="L93" s="163"/>
      <c r="M93" s="163"/>
      <c r="O93" s="324">
        <f t="shared" si="20"/>
        <v>1.1583173625094005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'[4]Sch C'!D82</f>
        <v>22424</v>
      </c>
      <c r="D94" s="480">
        <f>'[4]Sch C'!F82</f>
        <v>0</v>
      </c>
      <c r="E94" s="480">
        <f>+'[4]Sch C'!H82</f>
        <v>0</v>
      </c>
      <c r="F94" s="166">
        <f t="shared" si="17"/>
        <v>22424</v>
      </c>
      <c r="G94" s="626"/>
      <c r="H94" s="166"/>
      <c r="I94" s="166">
        <f t="shared" si="18"/>
        <v>22424</v>
      </c>
      <c r="J94" s="167">
        <f t="shared" si="19"/>
        <v>2.1886869562723634E-3</v>
      </c>
      <c r="K94" s="458"/>
      <c r="L94" s="163"/>
      <c r="M94" s="163"/>
      <c r="O94" s="324">
        <f t="shared" si="20"/>
        <v>0.54399456587661632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'[4]Sch C'!D83</f>
        <v>2646</v>
      </c>
      <c r="D95" s="480">
        <f>'[4]Sch C'!F83</f>
        <v>0</v>
      </c>
      <c r="E95" s="480">
        <f>+'[4]Sch C'!H83</f>
        <v>0</v>
      </c>
      <c r="F95" s="166">
        <f t="shared" si="17"/>
        <v>2646</v>
      </c>
      <c r="G95" s="626"/>
      <c r="H95" s="166"/>
      <c r="I95" s="166">
        <f t="shared" si="18"/>
        <v>2646</v>
      </c>
      <c r="J95" s="167">
        <f t="shared" si="19"/>
        <v>2.5826193749093268E-4</v>
      </c>
      <c r="K95" s="458"/>
      <c r="L95" s="163"/>
      <c r="M95" s="163"/>
      <c r="O95" s="324">
        <f t="shared" si="20"/>
        <v>6.4190582470100191E-2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'[4]Sch C'!D84</f>
        <v>175229</v>
      </c>
      <c r="D96" s="480">
        <f>'[4]Sch C'!F84</f>
        <v>0</v>
      </c>
      <c r="E96" s="480">
        <f>+'[4]Sch C'!H84</f>
        <v>0</v>
      </c>
      <c r="F96" s="166">
        <f t="shared" si="17"/>
        <v>175229</v>
      </c>
      <c r="G96" s="626"/>
      <c r="H96" s="166"/>
      <c r="I96" s="166">
        <f t="shared" si="18"/>
        <v>175229</v>
      </c>
      <c r="J96" s="167">
        <f t="shared" si="19"/>
        <v>1.7103167439379681E-2</v>
      </c>
      <c r="K96" s="458"/>
      <c r="L96" s="163"/>
      <c r="M96" s="163"/>
      <c r="O96" s="324">
        <f t="shared" si="20"/>
        <v>4.2509643143058149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'[4]Sch C'!D85</f>
        <v>0</v>
      </c>
      <c r="D97" s="480">
        <f>'[4]Sch C'!F85</f>
        <v>0</v>
      </c>
      <c r="E97" s="480">
        <f>+'[4]Sch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399021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399021</v>
      </c>
      <c r="G98" s="166">
        <f t="shared" si="22"/>
        <v>0</v>
      </c>
      <c r="H98" s="166">
        <f t="shared" si="22"/>
        <v>0</v>
      </c>
      <c r="I98" s="166">
        <f t="shared" si="22"/>
        <v>399021</v>
      </c>
      <c r="J98" s="167">
        <f t="shared" si="19"/>
        <v>3.8946310113215962E-2</v>
      </c>
      <c r="K98" s="458"/>
      <c r="L98" s="163"/>
      <c r="M98" s="163"/>
      <c r="O98" s="329">
        <f>I98/I$233</f>
        <v>9.6800417263045535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'[4]Sch C'!D89</f>
        <v>362275</v>
      </c>
      <c r="D101" s="480">
        <f>'[4]Sch C'!F89</f>
        <v>0</v>
      </c>
      <c r="E101" s="480">
        <f>+'[4]Sch C'!H89</f>
        <v>0</v>
      </c>
      <c r="F101" s="166">
        <f t="shared" ref="F101:F106" si="23">C101+D101+E101</f>
        <v>362275</v>
      </c>
      <c r="G101" s="626"/>
      <c r="H101" s="166"/>
      <c r="I101" s="166">
        <f t="shared" ref="I101:I106" si="24">F101+G101+H101</f>
        <v>362275</v>
      </c>
      <c r="J101" s="167">
        <f t="shared" ref="J101:J107" si="25">IF($I$213=0,0,I101/$I$213)</f>
        <v>3.535972917782601E-2</v>
      </c>
      <c r="K101" s="458"/>
      <c r="L101" s="176">
        <v>26862</v>
      </c>
      <c r="M101" s="176">
        <v>27598</v>
      </c>
      <c r="O101" s="329">
        <f t="shared" ref="O101:O106" si="26">I101/I$233</f>
        <v>8.788602896581839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'[4]Sch C'!D90</f>
        <v>62622</v>
      </c>
      <c r="D102" s="480">
        <f>'[4]Sch C'!F90</f>
        <v>0</v>
      </c>
      <c r="E102" s="480">
        <f>+'[4]Sch C'!H90</f>
        <v>0</v>
      </c>
      <c r="F102" s="166">
        <f t="shared" si="23"/>
        <v>62622</v>
      </c>
      <c r="G102" s="626"/>
      <c r="H102" s="166"/>
      <c r="I102" s="166">
        <f t="shared" si="24"/>
        <v>62622</v>
      </c>
      <c r="J102" s="167">
        <f t="shared" si="25"/>
        <v>6.1121991872854064E-3</v>
      </c>
      <c r="K102" s="458"/>
      <c r="L102" s="163"/>
      <c r="M102" s="163"/>
      <c r="O102" s="329">
        <f t="shared" si="26"/>
        <v>1.5191771184590379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'[4]Sch C'!D91</f>
        <v>-12855</v>
      </c>
      <c r="D103" s="480">
        <f>'[4]Sch C'!F91</f>
        <v>0</v>
      </c>
      <c r="E103" s="480">
        <f>+'[4]Sch C'!H91</f>
        <v>0</v>
      </c>
      <c r="F103" s="166">
        <f t="shared" si="23"/>
        <v>-12855</v>
      </c>
      <c r="G103" s="626"/>
      <c r="H103" s="166"/>
      <c r="I103" s="166">
        <f t="shared" si="24"/>
        <v>-12855</v>
      </c>
      <c r="J103" s="167">
        <f t="shared" si="25"/>
        <v>-1.2547079389440435E-3</v>
      </c>
      <c r="K103" s="458"/>
      <c r="L103" s="163"/>
      <c r="M103" s="163"/>
      <c r="O103" s="329">
        <f t="shared" si="26"/>
        <v>-0.31185560757866138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'[4]Sch C'!D92</f>
        <v>257982</v>
      </c>
      <c r="D104" s="480">
        <f>'[4]Sch C'!F92</f>
        <v>-3563</v>
      </c>
      <c r="E104" s="480">
        <f>+'[4]Sch C'!H92</f>
        <v>0</v>
      </c>
      <c r="F104" s="166">
        <f t="shared" si="23"/>
        <v>254419</v>
      </c>
      <c r="G104" s="626"/>
      <c r="H104" s="166"/>
      <c r="I104" s="166">
        <f t="shared" si="24"/>
        <v>254419</v>
      </c>
      <c r="J104" s="167">
        <f t="shared" si="25"/>
        <v>2.4832480678195615E-2</v>
      </c>
      <c r="K104" s="458"/>
      <c r="L104" s="163"/>
      <c r="M104" s="163"/>
      <c r="O104" s="329">
        <f t="shared" si="26"/>
        <v>6.1720724873244217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'[4]Sch C'!D93</f>
        <v>37499</v>
      </c>
      <c r="D105" s="480">
        <f>'[4]Sch C'!F93</f>
        <v>0</v>
      </c>
      <c r="E105" s="480">
        <f>+'[4]Sch C'!H93</f>
        <v>0</v>
      </c>
      <c r="F105" s="166">
        <f t="shared" si="23"/>
        <v>37499</v>
      </c>
      <c r="G105" s="626"/>
      <c r="H105" s="166"/>
      <c r="I105" s="166">
        <f t="shared" si="24"/>
        <v>37499</v>
      </c>
      <c r="J105" s="167">
        <f t="shared" si="25"/>
        <v>3.6600772463992758E-3</v>
      </c>
      <c r="K105" s="458"/>
      <c r="L105" s="163"/>
      <c r="M105" s="163"/>
      <c r="O105" s="329">
        <f t="shared" si="26"/>
        <v>0.90970621770456805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'[4]Sch C'!D94</f>
        <v>0</v>
      </c>
      <c r="D106" s="480">
        <f>'[4]Sch C'!F94</f>
        <v>0</v>
      </c>
      <c r="E106" s="480">
        <f>+'[4]Sch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707523</v>
      </c>
      <c r="D107" s="480">
        <f t="shared" si="27"/>
        <v>-3563</v>
      </c>
      <c r="E107" s="480">
        <f t="shared" si="27"/>
        <v>0</v>
      </c>
      <c r="F107" s="166">
        <f t="shared" ref="F107:I107" si="28">SUM(F101:F106)</f>
        <v>703960</v>
      </c>
      <c r="G107" s="166">
        <f t="shared" si="28"/>
        <v>0</v>
      </c>
      <c r="H107" s="166">
        <f t="shared" si="28"/>
        <v>0</v>
      </c>
      <c r="I107" s="166">
        <f t="shared" si="28"/>
        <v>703960</v>
      </c>
      <c r="J107" s="167">
        <f t="shared" si="25"/>
        <v>6.8709778350762266E-2</v>
      </c>
      <c r="K107" s="458"/>
      <c r="L107" s="163"/>
      <c r="M107" s="163"/>
      <c r="O107" s="329">
        <f>I107/I$233</f>
        <v>17.077703112491207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'[4]Sch C'!D98</f>
        <v>0</v>
      </c>
      <c r="D110" s="480">
        <f>'[4]Sch C'!F98</f>
        <v>0</v>
      </c>
      <c r="E110" s="480">
        <f>+'[4]Sch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'[4]Sch C'!D99</f>
        <v>0</v>
      </c>
      <c r="D111" s="480">
        <f>'[4]Sch C'!F99</f>
        <v>0</v>
      </c>
      <c r="E111" s="480">
        <f>+'[4]Sch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'[4]Sch C'!D100</f>
        <v>682</v>
      </c>
      <c r="D112" s="480">
        <f>'[4]Sch C'!F100</f>
        <v>0</v>
      </c>
      <c r="E112" s="480">
        <f>+'[4]Sch C'!H100</f>
        <v>0</v>
      </c>
      <c r="F112" s="166">
        <f t="shared" si="29"/>
        <v>682</v>
      </c>
      <c r="G112" s="626"/>
      <c r="H112" s="166"/>
      <c r="I112" s="166">
        <f t="shared" si="30"/>
        <v>682</v>
      </c>
      <c r="J112" s="167">
        <f t="shared" si="31"/>
        <v>6.6566379957980375E-5</v>
      </c>
      <c r="K112" s="458"/>
      <c r="L112" s="163"/>
      <c r="M112" s="163"/>
      <c r="O112" s="329">
        <f t="shared" si="32"/>
        <v>1.6544964945052278E-2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'[4]Sch C'!D101</f>
        <v>124659</v>
      </c>
      <c r="D113" s="480">
        <f>'[4]Sch C'!F101</f>
        <v>0</v>
      </c>
      <c r="E113" s="480">
        <f>+'[4]Sch C'!H101</f>
        <v>0</v>
      </c>
      <c r="F113" s="166">
        <f t="shared" si="29"/>
        <v>124659</v>
      </c>
      <c r="G113" s="626"/>
      <c r="H113" s="166"/>
      <c r="I113" s="166">
        <f t="shared" si="30"/>
        <v>124659</v>
      </c>
      <c r="J113" s="167">
        <f t="shared" si="31"/>
        <v>1.2167299646894246E-2</v>
      </c>
      <c r="K113" s="458"/>
      <c r="L113" s="163"/>
      <c r="M113" s="163"/>
      <c r="O113" s="329">
        <f t="shared" si="32"/>
        <v>3.0241624414740058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'[4]Sch C'!D102</f>
        <v>6555</v>
      </c>
      <c r="D114" s="480">
        <f>'[4]Sch C'!F102</f>
        <v>0</v>
      </c>
      <c r="E114" s="480">
        <f>+'[4]Sch C'!H102</f>
        <v>0</v>
      </c>
      <c r="F114" s="166">
        <f t="shared" si="29"/>
        <v>6555</v>
      </c>
      <c r="G114" s="626"/>
      <c r="H114" s="166"/>
      <c r="I114" s="166">
        <f t="shared" si="30"/>
        <v>6555</v>
      </c>
      <c r="J114" s="167">
        <f t="shared" si="31"/>
        <v>6.3979856396563246E-4</v>
      </c>
      <c r="K114" s="458"/>
      <c r="L114" s="163"/>
      <c r="M114" s="163"/>
      <c r="O114" s="329">
        <f t="shared" si="32"/>
        <v>0.15902088741175616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'[4]Sch C'!D103</f>
        <v>0</v>
      </c>
      <c r="D115" s="480">
        <f>'[4]Sch C'!F103</f>
        <v>0</v>
      </c>
      <c r="E115" s="480">
        <f>+'[4]Sch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131896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131896</v>
      </c>
      <c r="G116" s="166">
        <f t="shared" si="34"/>
        <v>0</v>
      </c>
      <c r="H116" s="166">
        <f t="shared" si="34"/>
        <v>0</v>
      </c>
      <c r="I116" s="166">
        <f t="shared" si="34"/>
        <v>131896</v>
      </c>
      <c r="J116" s="167">
        <f t="shared" si="31"/>
        <v>1.2873664590817858E-2</v>
      </c>
      <c r="K116" s="458"/>
      <c r="L116" s="163"/>
      <c r="M116" s="163"/>
      <c r="O116" s="329">
        <f>I116/I$233</f>
        <v>3.1997282938308143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'[4]Sch C'!D115</f>
        <v>0</v>
      </c>
      <c r="D119" s="480">
        <f>'[4]Sch C'!F115</f>
        <v>0</v>
      </c>
      <c r="E119" s="480">
        <f>+'[4]Sch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'[4]Sch C'!D116</f>
        <v>0</v>
      </c>
      <c r="D120" s="480">
        <f>'[4]Sch C'!F116</f>
        <v>0</v>
      </c>
      <c r="E120" s="480">
        <f>+'[4]Sch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'[4]Sch C'!D117</f>
        <v>15504</v>
      </c>
      <c r="D121" s="480">
        <f>'[4]Sch C'!F117</f>
        <v>0</v>
      </c>
      <c r="E121" s="480">
        <f>+'[4]Sch C'!H117</f>
        <v>0</v>
      </c>
      <c r="F121" s="166">
        <f t="shared" si="35"/>
        <v>15504</v>
      </c>
      <c r="G121" s="626"/>
      <c r="H121" s="166"/>
      <c r="I121" s="166">
        <f t="shared" si="36"/>
        <v>15504</v>
      </c>
      <c r="J121" s="167">
        <f t="shared" si="37"/>
        <v>1.5132626904230612E-3</v>
      </c>
      <c r="K121" s="458"/>
      <c r="L121" s="163"/>
      <c r="M121" s="163"/>
      <c r="O121" s="329">
        <f t="shared" si="38"/>
        <v>0.37611896848693627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'[4]Sch C'!D118</f>
        <v>190288</v>
      </c>
      <c r="D122" s="480">
        <f>'[4]Sch C'!F118</f>
        <v>0</v>
      </c>
      <c r="E122" s="480">
        <f>+'[4]Sch C'!H118</f>
        <v>0</v>
      </c>
      <c r="F122" s="166">
        <f t="shared" si="35"/>
        <v>190288</v>
      </c>
      <c r="G122" s="626"/>
      <c r="H122" s="166"/>
      <c r="I122" s="166">
        <f t="shared" si="36"/>
        <v>190288</v>
      </c>
      <c r="J122" s="167">
        <f t="shared" si="37"/>
        <v>1.8572996054903475E-2</v>
      </c>
      <c r="K122" s="458"/>
      <c r="L122" s="163"/>
      <c r="M122" s="163"/>
      <c r="O122" s="329">
        <f t="shared" si="38"/>
        <v>4.6162878144635018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'[4]Sch C'!D119</f>
        <v>115</v>
      </c>
      <c r="D123" s="480">
        <f>'[4]Sch C'!F119</f>
        <v>0</v>
      </c>
      <c r="E123" s="480">
        <f>+'[4]Sch C'!H119</f>
        <v>0</v>
      </c>
      <c r="F123" s="166">
        <f t="shared" si="35"/>
        <v>115</v>
      </c>
      <c r="G123" s="626"/>
      <c r="H123" s="166"/>
      <c r="I123" s="166">
        <f t="shared" si="36"/>
        <v>115</v>
      </c>
      <c r="J123" s="167">
        <f t="shared" si="37"/>
        <v>1.1224536209923376E-5</v>
      </c>
      <c r="K123" s="458"/>
      <c r="L123" s="163"/>
      <c r="M123" s="163"/>
      <c r="O123" s="329">
        <f t="shared" si="38"/>
        <v>2.7898401300308095E-3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205907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205907</v>
      </c>
      <c r="G124" s="166">
        <f t="shared" si="40"/>
        <v>0</v>
      </c>
      <c r="H124" s="166">
        <f t="shared" si="40"/>
        <v>0</v>
      </c>
      <c r="I124" s="166">
        <f t="shared" si="40"/>
        <v>205907</v>
      </c>
      <c r="J124" s="167">
        <f t="shared" si="37"/>
        <v>2.009748328153646E-2</v>
      </c>
      <c r="K124" s="458"/>
      <c r="L124" s="163"/>
      <c r="M124" s="163"/>
      <c r="O124" s="329">
        <f t="shared" si="38"/>
        <v>4.995196623080469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'[4]Sch C'!D124</f>
        <v>0</v>
      </c>
      <c r="D128" s="480">
        <f>'[4]Sch C'!F124</f>
        <v>0</v>
      </c>
      <c r="E128" s="480">
        <f>+'[4]Sch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'[4]Sch C'!D125</f>
        <v>232690</v>
      </c>
      <c r="D129" s="480">
        <f>'[4]Sch C'!F125</f>
        <v>0</v>
      </c>
      <c r="E129" s="480">
        <f>+'[4]Sch C'!H125</f>
        <v>0</v>
      </c>
      <c r="F129" s="166">
        <f t="shared" si="41"/>
        <v>232690</v>
      </c>
      <c r="G129" s="626"/>
      <c r="H129" s="166"/>
      <c r="I129" s="166">
        <f t="shared" si="42"/>
        <v>232690</v>
      </c>
      <c r="J129" s="167">
        <f>IF($I$213=0,0,I129/$I$213)</f>
        <v>2.2711628962496264E-2</v>
      </c>
      <c r="K129" s="458"/>
      <c r="L129" s="176">
        <v>7271</v>
      </c>
      <c r="M129" s="176">
        <v>7512</v>
      </c>
      <c r="O129" s="329">
        <f t="shared" si="43"/>
        <v>5.6449382596249489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'[4]Sch C'!D126</f>
        <v>0</v>
      </c>
      <c r="D130" s="480">
        <f>'[4]Sch C'!F126</f>
        <v>0</v>
      </c>
      <c r="E130" s="480">
        <f>+'[4]Sch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'[4]Sch C'!D127</f>
        <v>0</v>
      </c>
      <c r="D131" s="480">
        <f>'[4]Sch C'!F127</f>
        <v>0</v>
      </c>
      <c r="E131" s="480">
        <f>+'[4]Sch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'[4]Sch C'!D128</f>
        <v>124846</v>
      </c>
      <c r="D132" s="480">
        <f>'[4]Sch C'!F128</f>
        <v>0</v>
      </c>
      <c r="E132" s="480">
        <f>+'[4]Sch C'!H128</f>
        <v>0</v>
      </c>
      <c r="F132" s="166">
        <f t="shared" si="41"/>
        <v>124846</v>
      </c>
      <c r="G132" s="626"/>
      <c r="H132" s="166"/>
      <c r="I132" s="166">
        <f t="shared" si="42"/>
        <v>124846</v>
      </c>
      <c r="J132" s="167">
        <f>IF($I$213=0,0,I132/$I$213)</f>
        <v>1.2185551718818207E-2</v>
      </c>
      <c r="K132" s="458"/>
      <c r="L132" s="176">
        <v>7338</v>
      </c>
      <c r="M132" s="176">
        <v>7794</v>
      </c>
      <c r="O132" s="329">
        <f t="shared" si="43"/>
        <v>3.0286989641202298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'[4]Sch C'!D130</f>
        <v>0</v>
      </c>
      <c r="D134" s="480">
        <f>'[4]Sch C'!F130</f>
        <v>0</v>
      </c>
      <c r="E134" s="480">
        <f>+'[4]Sch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'[4]Sch C'!D131</f>
        <v>55416</v>
      </c>
      <c r="D135" s="480">
        <f>'[4]Sch C'!F131</f>
        <v>0</v>
      </c>
      <c r="E135" s="480">
        <f>+'[4]Sch C'!H131</f>
        <v>0</v>
      </c>
      <c r="F135" s="166">
        <f t="shared" si="44"/>
        <v>55416</v>
      </c>
      <c r="G135" s="626"/>
      <c r="H135" s="166"/>
      <c r="I135" s="166">
        <f t="shared" si="45"/>
        <v>55416</v>
      </c>
      <c r="J135" s="167">
        <f>IF($I$213=0,0,I135/$I$213)</f>
        <v>5.4088599879053376E-3</v>
      </c>
      <c r="K135" s="458"/>
      <c r="L135" s="196"/>
      <c r="M135" s="196"/>
      <c r="O135" s="329">
        <f t="shared" si="43"/>
        <v>1.3443633099633683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'[4]Sch C'!D132</f>
        <v>0</v>
      </c>
      <c r="D136" s="480">
        <f>'[4]Sch C'!F132</f>
        <v>0</v>
      </c>
      <c r="E136" s="480">
        <f>+'[4]Sch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'[4]Sch C'!D133</f>
        <v>0</v>
      </c>
      <c r="D137" s="480">
        <f>'[4]Sch C'!F133</f>
        <v>0</v>
      </c>
      <c r="E137" s="480">
        <f>+'[4]Sch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'[4]Sch C'!D134</f>
        <v>20749</v>
      </c>
      <c r="D138" s="480">
        <f>'[4]Sch C'!F134</f>
        <v>0</v>
      </c>
      <c r="E138" s="480">
        <f>+'[4]Sch C'!H134</f>
        <v>0</v>
      </c>
      <c r="F138" s="166">
        <f t="shared" si="44"/>
        <v>20749</v>
      </c>
      <c r="G138" s="626"/>
      <c r="H138" s="166"/>
      <c r="I138" s="166">
        <f t="shared" si="45"/>
        <v>20749</v>
      </c>
      <c r="J138" s="167">
        <f>IF($I$213=0,0,I138/$I$213)</f>
        <v>2.0251991462582621E-3</v>
      </c>
      <c r="K138" s="458"/>
      <c r="L138" s="163"/>
      <c r="M138" s="163"/>
      <c r="O138" s="329">
        <f t="shared" si="43"/>
        <v>0.50335993789573275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'[4]Sch C'!D136</f>
        <v>1171832</v>
      </c>
      <c r="D140" s="480">
        <f>'[4]Sch C'!F136</f>
        <v>0</v>
      </c>
      <c r="E140" s="480">
        <f>+'[4]Sch C'!H136</f>
        <v>0</v>
      </c>
      <c r="F140" s="166">
        <f t="shared" ref="F140:F143" si="46">C140+D140+E140</f>
        <v>1171832</v>
      </c>
      <c r="G140" s="626"/>
      <c r="H140" s="166"/>
      <c r="I140" s="166">
        <f t="shared" ref="I140:I143" si="47">F140+G140+H140</f>
        <v>1171832</v>
      </c>
      <c r="J140" s="167">
        <f>IF($I$213=0,0,I140/$I$213)</f>
        <v>0.11437626709519071</v>
      </c>
      <c r="K140" s="458"/>
      <c r="L140" s="176">
        <v>30442</v>
      </c>
      <c r="M140" s="176">
        <v>32710</v>
      </c>
      <c r="O140" s="329">
        <f t="shared" si="43"/>
        <v>28.428034254384901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'[4]Sch C'!D137</f>
        <v>346376</v>
      </c>
      <c r="D141" s="480">
        <f>'[4]Sch C'!F137</f>
        <v>0</v>
      </c>
      <c r="E141" s="480">
        <f>+'[4]Sch C'!H137</f>
        <v>0</v>
      </c>
      <c r="F141" s="166">
        <f t="shared" si="46"/>
        <v>346376</v>
      </c>
      <c r="G141" s="626"/>
      <c r="H141" s="166"/>
      <c r="I141" s="166">
        <f t="shared" si="47"/>
        <v>346376</v>
      </c>
      <c r="J141" s="167">
        <f>IF($I$213=0,0,I141/$I$213)</f>
        <v>3.3807912645638434E-2</v>
      </c>
      <c r="K141" s="458"/>
      <c r="L141" s="176">
        <v>14682</v>
      </c>
      <c r="M141" s="176">
        <v>15675</v>
      </c>
      <c r="O141" s="329">
        <f t="shared" si="43"/>
        <v>8.4029014337352326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'[4]Sch C'!D138</f>
        <v>1149730</v>
      </c>
      <c r="D142" s="480">
        <f>'[4]Sch C'!F138</f>
        <v>44295</v>
      </c>
      <c r="E142" s="480">
        <f>+'[4]Sch C'!H138</f>
        <v>0</v>
      </c>
      <c r="F142" s="166">
        <f t="shared" si="46"/>
        <v>1194025</v>
      </c>
      <c r="G142" s="626"/>
      <c r="H142" s="166"/>
      <c r="I142" s="166">
        <f t="shared" si="47"/>
        <v>1194025</v>
      </c>
      <c r="J142" s="167">
        <f>IF($I$213=0,0,I142/$I$213)</f>
        <v>0.11654240737438053</v>
      </c>
      <c r="K142" s="458"/>
      <c r="L142" s="176">
        <v>112144</v>
      </c>
      <c r="M142" s="176">
        <v>119571</v>
      </c>
      <c r="O142" s="329">
        <f t="shared" si="43"/>
        <v>28.966424880522062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'[4]Sch C'!D139</f>
        <v>44295</v>
      </c>
      <c r="D143" s="480">
        <f>'[4]Sch C'!F139</f>
        <v>-44295</v>
      </c>
      <c r="E143" s="480">
        <f>+'[4]Sch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'[4]Sch C'!D141</f>
        <v>482299</v>
      </c>
      <c r="D145" s="480">
        <f>'[4]Sch C'!F141</f>
        <v>-273920</v>
      </c>
      <c r="E145" s="480">
        <f>+'[4]Sch C'!H141</f>
        <v>0</v>
      </c>
      <c r="F145" s="166">
        <f t="shared" ref="F145:F148" si="48">C145+D145+E145</f>
        <v>208379</v>
      </c>
      <c r="G145" s="626"/>
      <c r="H145" s="166"/>
      <c r="I145" s="166">
        <f t="shared" ref="I145:I148" si="49">F145+G145+H145</f>
        <v>208379</v>
      </c>
      <c r="J145" s="167">
        <f>IF($I$213=0,0,I145/$I$213)</f>
        <v>2.0338762007718465E-2</v>
      </c>
      <c r="K145" s="458"/>
      <c r="L145" s="163"/>
      <c r="M145" s="163"/>
      <c r="O145" s="329">
        <f t="shared" si="43"/>
        <v>5.0551660561364349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'[4]Sch C'!D142</f>
        <v>0</v>
      </c>
      <c r="D146" s="480">
        <f>'[4]Sch C'!F142</f>
        <v>61594</v>
      </c>
      <c r="E146" s="480">
        <f>+'[4]Sch C'!H142</f>
        <v>0</v>
      </c>
      <c r="F146" s="166">
        <f t="shared" si="48"/>
        <v>61594</v>
      </c>
      <c r="G146" s="626"/>
      <c r="H146" s="166"/>
      <c r="I146" s="166">
        <f t="shared" si="49"/>
        <v>61594</v>
      </c>
      <c r="J146" s="167">
        <f>IF($I$213=0,0,I146/$I$213)</f>
        <v>6.0118615940349604E-3</v>
      </c>
      <c r="K146" s="458"/>
      <c r="L146" s="163"/>
      <c r="M146" s="163"/>
      <c r="O146" s="329">
        <f t="shared" si="43"/>
        <v>1.4942383736445015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'[4]Sch C'!D143</f>
        <v>0</v>
      </c>
      <c r="D147" s="480">
        <f>'[4]Sch C'!F143</f>
        <v>212326</v>
      </c>
      <c r="E147" s="480">
        <f>+'[4]Sch C'!H143</f>
        <v>0</v>
      </c>
      <c r="F147" s="166">
        <f t="shared" si="48"/>
        <v>212326</v>
      </c>
      <c r="G147" s="626"/>
      <c r="H147" s="166"/>
      <c r="I147" s="166">
        <f t="shared" si="49"/>
        <v>212326</v>
      </c>
      <c r="J147" s="167">
        <f>IF($I$213=0,0,I147/$I$213)</f>
        <v>2.0724007611375574E-2</v>
      </c>
      <c r="K147" s="458" t="s">
        <v>422</v>
      </c>
      <c r="L147" s="163"/>
      <c r="M147" s="163"/>
      <c r="O147" s="329">
        <f t="shared" si="43"/>
        <v>5.1509182212949707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'[4]Sch C'!D144</f>
        <v>0</v>
      </c>
      <c r="D148" s="480">
        <f>'[4]Sch C'!F144</f>
        <v>0</v>
      </c>
      <c r="E148" s="480">
        <f>+'[4]Sch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'[4]Sch C'!D146</f>
        <v>48000</v>
      </c>
      <c r="D150" s="480">
        <f>'[4]Sch C'!F146</f>
        <v>0</v>
      </c>
      <c r="E150" s="480">
        <f>+'[4]Sch C'!H146</f>
        <v>0</v>
      </c>
      <c r="F150" s="166">
        <f t="shared" ref="F150:F158" si="50">C150+D150+E150</f>
        <v>48000</v>
      </c>
      <c r="G150" s="626"/>
      <c r="H150" s="166"/>
      <c r="I150" s="166">
        <f t="shared" ref="I150:I158" si="51">F150+G150+H150</f>
        <v>48000</v>
      </c>
      <c r="J150" s="167">
        <f t="shared" ref="J150:J158" si="52">IF($I$213=0,0,I150/$I$213)</f>
        <v>4.6850238093593226E-3</v>
      </c>
      <c r="K150" s="458"/>
      <c r="L150" s="176">
        <v>178</v>
      </c>
      <c r="M150" s="176">
        <v>178</v>
      </c>
      <c r="O150" s="329">
        <f t="shared" si="43"/>
        <v>1.1644550107954683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'[4]Sch C'!D147</f>
        <v>226513</v>
      </c>
      <c r="D151" s="480">
        <f>'[4]Sch C'!F147</f>
        <v>0</v>
      </c>
      <c r="E151" s="480">
        <f>+'[4]Sch C'!H147</f>
        <v>0</v>
      </c>
      <c r="F151" s="166">
        <f t="shared" si="50"/>
        <v>226513</v>
      </c>
      <c r="G151" s="626"/>
      <c r="H151" s="166"/>
      <c r="I151" s="166">
        <f t="shared" si="51"/>
        <v>226513</v>
      </c>
      <c r="J151" s="167">
        <f t="shared" si="52"/>
        <v>2.2108724961029339E-2</v>
      </c>
      <c r="K151" s="458"/>
      <c r="L151" s="176">
        <v>3590</v>
      </c>
      <c r="M151" s="176">
        <v>3590</v>
      </c>
      <c r="O151" s="329">
        <f t="shared" si="43"/>
        <v>5.4950874554232065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'[4]Sch C'!D148</f>
        <v>183086</v>
      </c>
      <c r="D152" s="480">
        <f>'[4]Sch C'!F148</f>
        <v>0</v>
      </c>
      <c r="E152" s="480">
        <f>+'[4]Sch C'!H148</f>
        <v>0</v>
      </c>
      <c r="F152" s="166">
        <f t="shared" si="50"/>
        <v>183086</v>
      </c>
      <c r="G152" s="626"/>
      <c r="H152" s="166"/>
      <c r="I152" s="166">
        <f t="shared" si="51"/>
        <v>183086</v>
      </c>
      <c r="J152" s="167">
        <f t="shared" si="52"/>
        <v>1.7870047274174187E-2</v>
      </c>
      <c r="K152" s="458"/>
      <c r="L152" s="176">
        <v>3919</v>
      </c>
      <c r="M152" s="176">
        <v>3918</v>
      </c>
      <c r="O152" s="329">
        <f t="shared" si="43"/>
        <v>4.4415710438853981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'[4]Sch C'!D149</f>
        <v>221122</v>
      </c>
      <c r="D153" s="480">
        <f>'[4]Sch C'!F149</f>
        <v>0</v>
      </c>
      <c r="E153" s="480">
        <f>+'[4]Sch C'!H149</f>
        <v>0</v>
      </c>
      <c r="F153" s="166">
        <f t="shared" si="50"/>
        <v>221122</v>
      </c>
      <c r="G153" s="626"/>
      <c r="H153" s="166"/>
      <c r="I153" s="166">
        <f t="shared" si="51"/>
        <v>221122</v>
      </c>
      <c r="J153" s="167">
        <f t="shared" si="52"/>
        <v>2.1582538224440669E-2</v>
      </c>
      <c r="K153" s="458"/>
      <c r="L153" s="176">
        <v>8923</v>
      </c>
      <c r="M153" s="176">
        <v>8923</v>
      </c>
      <c r="O153" s="329">
        <f t="shared" si="43"/>
        <v>5.3643046020232408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'[4]Sch C'!D150</f>
        <v>12418</v>
      </c>
      <c r="D154" s="480">
        <f>'[4]Sch C'!F150</f>
        <v>0</v>
      </c>
      <c r="E154" s="480">
        <f>+'[4]Sch C'!H150</f>
        <v>0</v>
      </c>
      <c r="F154" s="166">
        <f t="shared" si="50"/>
        <v>12418</v>
      </c>
      <c r="G154" s="626"/>
      <c r="H154" s="166"/>
      <c r="I154" s="166">
        <f t="shared" si="51"/>
        <v>12418</v>
      </c>
      <c r="J154" s="167">
        <f t="shared" si="52"/>
        <v>1.2120547013463347E-3</v>
      </c>
      <c r="K154" s="458"/>
      <c r="L154" s="176">
        <v>0</v>
      </c>
      <c r="M154" s="176">
        <v>0</v>
      </c>
      <c r="O154" s="329">
        <f t="shared" si="43"/>
        <v>0.30125421508454431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'[4]Sch C'!D151</f>
        <v>195788</v>
      </c>
      <c r="D155" s="480">
        <f>'[4]Sch C'!F151</f>
        <v>0</v>
      </c>
      <c r="E155" s="480">
        <f>+'[4]Sch C'!H151</f>
        <v>0</v>
      </c>
      <c r="F155" s="166">
        <f t="shared" si="50"/>
        <v>195788</v>
      </c>
      <c r="G155" s="626"/>
      <c r="H155" s="166"/>
      <c r="I155" s="166">
        <f t="shared" si="51"/>
        <v>195788</v>
      </c>
      <c r="J155" s="167">
        <f t="shared" si="52"/>
        <v>1.9109821699725898E-2</v>
      </c>
      <c r="K155" s="458"/>
      <c r="L155" s="163"/>
      <c r="M155" s="163"/>
      <c r="O155" s="329">
        <f t="shared" si="43"/>
        <v>4.7497149511171486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'[4]Sch C'!D152</f>
        <v>11106</v>
      </c>
      <c r="D156" s="480">
        <f>'[4]Sch C'!F152</f>
        <v>0</v>
      </c>
      <c r="E156" s="480">
        <f>+'[4]Sch C'!H152</f>
        <v>0</v>
      </c>
      <c r="F156" s="166">
        <f t="shared" si="50"/>
        <v>11106</v>
      </c>
      <c r="G156" s="626"/>
      <c r="H156" s="166"/>
      <c r="I156" s="166">
        <f t="shared" si="51"/>
        <v>11106</v>
      </c>
      <c r="J156" s="167">
        <f t="shared" si="52"/>
        <v>1.0839973838905133E-3</v>
      </c>
      <c r="K156" s="458"/>
      <c r="L156" s="163"/>
      <c r="M156" s="163"/>
      <c r="O156" s="329">
        <f t="shared" si="43"/>
        <v>0.2694257781228015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'[4]Sch C'!D153</f>
        <v>0</v>
      </c>
      <c r="D157" s="480">
        <f>'[4]Sch C'!F153</f>
        <v>0</v>
      </c>
      <c r="E157" s="480">
        <f>+'[4]Sch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'[4]Sch C'!D154</f>
        <v>0</v>
      </c>
      <c r="D158" s="480">
        <f>'[4]Sch C'!F154</f>
        <v>0</v>
      </c>
      <c r="E158" s="480">
        <f>+'[4]Sch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'[4]Sch C'!D156</f>
        <v>0</v>
      </c>
      <c r="D160" s="480">
        <f>'[4]Sch C'!F156</f>
        <v>0</v>
      </c>
      <c r="E160" s="480">
        <f>+'[4]Sch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'[4]Sch C'!D157</f>
        <v>0</v>
      </c>
      <c r="D161" s="480">
        <f>'[4]Sch C'!F157</f>
        <v>0</v>
      </c>
      <c r="E161" s="480">
        <f>+'[4]Sch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'[4]Sch C'!D158</f>
        <v>0</v>
      </c>
      <c r="D162" s="480">
        <f>'[4]Sch C'!F158</f>
        <v>0</v>
      </c>
      <c r="E162" s="480">
        <f>+'[4]Sch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'[4]Sch C'!D159</f>
        <v>0</v>
      </c>
      <c r="D163" s="480">
        <f>'[4]Sch C'!F159</f>
        <v>0</v>
      </c>
      <c r="E163" s="480">
        <f>+'[4]Sch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'[4]Sch C'!D160</f>
        <v>859</v>
      </c>
      <c r="D164" s="480">
        <f>'[4]Sch C'!F160</f>
        <v>0</v>
      </c>
      <c r="E164" s="480">
        <f>+'[4]Sch C'!H160</f>
        <v>0</v>
      </c>
      <c r="F164" s="166">
        <f t="shared" si="53"/>
        <v>859</v>
      </c>
      <c r="G164" s="626"/>
      <c r="H164" s="166"/>
      <c r="I164" s="166">
        <f t="shared" si="54"/>
        <v>859</v>
      </c>
      <c r="J164" s="167">
        <f>IF($I$213=0,0,I164/$I$213)</f>
        <v>8.3842405254992881E-5</v>
      </c>
      <c r="K164" s="458"/>
      <c r="L164" s="163"/>
      <c r="M164" s="163"/>
      <c r="O164" s="329">
        <f t="shared" si="43"/>
        <v>2.0838892797360568E-2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'[4]Sch C'!D161</f>
        <v>19040</v>
      </c>
      <c r="D165" s="480">
        <f>'[4]Sch C'!F161</f>
        <v>0</v>
      </c>
      <c r="E165" s="480">
        <f>+'[4]Sch C'!H161</f>
        <v>0</v>
      </c>
      <c r="F165" s="166">
        <f t="shared" si="53"/>
        <v>19040</v>
      </c>
      <c r="G165" s="626"/>
      <c r="H165" s="166"/>
      <c r="I165" s="166">
        <f t="shared" si="54"/>
        <v>19040</v>
      </c>
      <c r="J165" s="167">
        <f t="shared" si="55"/>
        <v>1.8583927777125313E-3</v>
      </c>
      <c r="K165" s="458"/>
      <c r="L165" s="163"/>
      <c r="M165" s="163"/>
      <c r="O165" s="329">
        <f t="shared" si="43"/>
        <v>0.46190048761553576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4546165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4546165</v>
      </c>
      <c r="G166" s="166">
        <f t="shared" si="57"/>
        <v>0</v>
      </c>
      <c r="H166" s="166">
        <f t="shared" si="57"/>
        <v>0</v>
      </c>
      <c r="I166" s="166">
        <f t="shared" si="57"/>
        <v>4546165</v>
      </c>
      <c r="J166" s="167">
        <f t="shared" si="55"/>
        <v>0.44372690138075049</v>
      </c>
      <c r="K166" s="458"/>
      <c r="L166" s="163"/>
      <c r="M166" s="163"/>
      <c r="O166" s="329">
        <f>I166/I$233</f>
        <v>110.28759612818709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'[4]Sch C'!D175</f>
        <v>0</v>
      </c>
      <c r="D169" s="480">
        <f>'[4]Sch C'!F175</f>
        <v>0</v>
      </c>
      <c r="E169" s="480">
        <f>+'[4]Sch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'[4]Sch C'!D176</f>
        <v>0</v>
      </c>
      <c r="D170" s="480">
        <f>'[4]Sch C'!F176</f>
        <v>0</v>
      </c>
      <c r="E170" s="480">
        <f>+'[4]Sch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'[4]Sch C'!D177</f>
        <v>0</v>
      </c>
      <c r="D171" s="480">
        <f>'[4]Sch C'!F177</f>
        <v>0</v>
      </c>
      <c r="E171" s="480">
        <f>+'[4]Sch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'[4]Sch C'!D178</f>
        <v>0</v>
      </c>
      <c r="D172" s="480">
        <f>'[4]Sch C'!F178</f>
        <v>0</v>
      </c>
      <c r="E172" s="480">
        <f>+'[4]Sch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'[4]Sch C'!D179</f>
        <v>0</v>
      </c>
      <c r="D173" s="480">
        <f>'[4]Sch C'!F179</f>
        <v>0</v>
      </c>
      <c r="E173" s="480">
        <f>+'[4]Sch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'[4]Sch C'!D180</f>
        <v>0</v>
      </c>
      <c r="D174" s="480">
        <f>'[4]Sch C'!F180</f>
        <v>0</v>
      </c>
      <c r="E174" s="480">
        <f>+'[4]Sch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'[4]Sch C'!D181</f>
        <v>0</v>
      </c>
      <c r="D175" s="480">
        <f>'[4]Sch C'!F181</f>
        <v>0</v>
      </c>
      <c r="E175" s="480">
        <f>+'[4]Sch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'[4]Sch C'!D182</f>
        <v>0</v>
      </c>
      <c r="D176" s="480">
        <f>'[4]Sch C'!F182</f>
        <v>0</v>
      </c>
      <c r="E176" s="480">
        <f>+'[4]Sch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'[4]Sch C'!D183</f>
        <v>0</v>
      </c>
      <c r="D177" s="480">
        <f>'[4]Sch C'!F183</f>
        <v>0</v>
      </c>
      <c r="E177" s="480">
        <f>+'[4]Sch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'[4]Sch C'!D184</f>
        <v>0</v>
      </c>
      <c r="D178" s="480">
        <f>'[4]Sch C'!F184</f>
        <v>0</v>
      </c>
      <c r="E178" s="480">
        <f>+'[4]Sch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'[4]Sch C'!D185</f>
        <v>0</v>
      </c>
      <c r="D179" s="480">
        <f>'[4]Sch C'!F185</f>
        <v>0</v>
      </c>
      <c r="E179" s="480">
        <f>+'[4]Sch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'[4]Sch C'!D186</f>
        <v>0</v>
      </c>
      <c r="D180" s="480">
        <f>'[4]Sch C'!F186</f>
        <v>0</v>
      </c>
      <c r="E180" s="480">
        <f>+'[4]Sch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'[4]Sch C'!D187</f>
        <v>0</v>
      </c>
      <c r="D181" s="480">
        <f>'[4]Sch C'!F187</f>
        <v>0</v>
      </c>
      <c r="E181" s="480">
        <f>+'[4]Sch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'[4]Sch C'!D188</f>
        <v>0</v>
      </c>
      <c r="D182" s="480">
        <f>'[4]Sch C'!F188</f>
        <v>0</v>
      </c>
      <c r="E182" s="480">
        <f>+'[4]Sch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'[4]Sch C'!D189</f>
        <v>0</v>
      </c>
      <c r="D183" s="480">
        <f>'[4]Sch C'!F189</f>
        <v>0</v>
      </c>
      <c r="E183" s="480">
        <f>+'[4]Sch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'[4]Sch C'!D190</f>
        <v>0</v>
      </c>
      <c r="D184" s="480">
        <f>'[4]Sch C'!F190</f>
        <v>0</v>
      </c>
      <c r="E184" s="480">
        <f>+'[4]Sch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'[4]Sch C'!D191</f>
        <v>0</v>
      </c>
      <c r="D185" s="480">
        <f>'[4]Sch C'!F191</f>
        <v>0</v>
      </c>
      <c r="E185" s="480">
        <f>+'[4]Sch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'[4]Sch C'!D192</f>
        <v>0</v>
      </c>
      <c r="D186" s="480">
        <f>'[4]Sch C'!F192</f>
        <v>0</v>
      </c>
      <c r="E186" s="480">
        <f>+'[4]Sch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'[4]Sch C'!D193</f>
        <v>0</v>
      </c>
      <c r="D187" s="480">
        <f>'[4]Sch C'!F193</f>
        <v>0</v>
      </c>
      <c r="E187" s="480">
        <f>+'[4]Sch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'[4]Sch C'!D194</f>
        <v>384233</v>
      </c>
      <c r="D188" s="480">
        <f>'[4]Sch C'!F194</f>
        <v>0</v>
      </c>
      <c r="E188" s="480">
        <f>+'[4]Sch C'!H194</f>
        <v>0</v>
      </c>
      <c r="F188" s="166">
        <f t="shared" si="58"/>
        <v>384233</v>
      </c>
      <c r="G188" s="626"/>
      <c r="H188" s="166"/>
      <c r="I188" s="166">
        <f t="shared" si="59"/>
        <v>384233</v>
      </c>
      <c r="J188" s="167">
        <f t="shared" si="60"/>
        <v>3.7502932361282514E-2</v>
      </c>
      <c r="K188" s="458"/>
      <c r="L188" s="213"/>
      <c r="M188" s="208"/>
      <c r="O188" s="329">
        <f t="shared" si="61"/>
        <v>9.3212925450619828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'[4]Sch C'!D195</f>
        <v>108883</v>
      </c>
      <c r="D189" s="480">
        <f>'[4]Sch C'!F195</f>
        <v>0</v>
      </c>
      <c r="E189" s="480">
        <f>+'[4]Sch C'!H195</f>
        <v>0</v>
      </c>
      <c r="F189" s="166">
        <f t="shared" si="58"/>
        <v>108883</v>
      </c>
      <c r="G189" s="626"/>
      <c r="H189" s="166"/>
      <c r="I189" s="166">
        <f t="shared" si="59"/>
        <v>108883</v>
      </c>
      <c r="J189" s="167">
        <f t="shared" si="60"/>
        <v>1.0627488488218149E-2</v>
      </c>
      <c r="K189" s="458"/>
      <c r="L189" s="213"/>
      <c r="M189" s="208"/>
      <c r="O189" s="329">
        <f t="shared" si="61"/>
        <v>2.6414448945925622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'[4]Sch C'!D196</f>
        <v>0</v>
      </c>
      <c r="D190" s="480">
        <f>'[4]Sch C'!F196</f>
        <v>0</v>
      </c>
      <c r="E190" s="480">
        <f>+'[4]Sch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'[4]Sch C'!D197</f>
        <v>317605</v>
      </c>
      <c r="D191" s="480">
        <f>'[4]Sch C'!F197</f>
        <v>0</v>
      </c>
      <c r="E191" s="480">
        <f>+'[4]Sch C'!H197</f>
        <v>0</v>
      </c>
      <c r="F191" s="166">
        <f t="shared" si="58"/>
        <v>317605</v>
      </c>
      <c r="G191" s="626"/>
      <c r="H191" s="166"/>
      <c r="I191" s="166">
        <f t="shared" si="59"/>
        <v>317605</v>
      </c>
      <c r="J191" s="167">
        <f t="shared" si="60"/>
        <v>3.0999728895240993E-2</v>
      </c>
      <c r="K191" s="458"/>
      <c r="L191" s="213"/>
      <c r="M191" s="208"/>
      <c r="O191" s="329">
        <f t="shared" si="61"/>
        <v>7.7049319521603064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'[4]Sch C'!D198</f>
        <v>37864</v>
      </c>
      <c r="D192" s="480">
        <f>'[4]Sch C'!F198</f>
        <v>0</v>
      </c>
      <c r="E192" s="480">
        <f>+'[4]Sch C'!H198</f>
        <v>0</v>
      </c>
      <c r="F192" s="166">
        <f t="shared" si="58"/>
        <v>37864</v>
      </c>
      <c r="G192" s="626"/>
      <c r="H192" s="166"/>
      <c r="I192" s="166">
        <f t="shared" si="59"/>
        <v>37864</v>
      </c>
      <c r="J192" s="167">
        <f t="shared" si="60"/>
        <v>3.6957029482829456E-3</v>
      </c>
      <c r="K192" s="458"/>
      <c r="L192" s="213"/>
      <c r="M192" s="208"/>
      <c r="O192" s="329">
        <f t="shared" si="61"/>
        <v>0.91856092768249198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'[4]Sch C'!D199</f>
        <v>0</v>
      </c>
      <c r="D193" s="480">
        <f>'[4]Sch C'!F199</f>
        <v>0</v>
      </c>
      <c r="E193" s="480">
        <f>+'[4]Sch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'[4]Sch C'!D200</f>
        <v>0</v>
      </c>
      <c r="D194" s="480">
        <f>'[4]Sch C'!F200</f>
        <v>0</v>
      </c>
      <c r="E194" s="480">
        <f>+'[4]Sch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'[4]Sch C'!D201</f>
        <v>0</v>
      </c>
      <c r="D195" s="480">
        <f>'[4]Sch C'!F201</f>
        <v>0</v>
      </c>
      <c r="E195" s="480">
        <f>+'[4]Sch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'[4]Sch C'!D202</f>
        <v>0</v>
      </c>
      <c r="D196" s="480">
        <f>'[4]Sch C'!F202</f>
        <v>0</v>
      </c>
      <c r="E196" s="480">
        <f>+'[4]Sch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'[4]Sch C'!D203</f>
        <v>0</v>
      </c>
      <c r="D197" s="480">
        <f>'[4]Sch C'!F203</f>
        <v>0</v>
      </c>
      <c r="E197" s="480">
        <f>+'[4]Sch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'[4]Sch C'!D204</f>
        <v>0</v>
      </c>
      <c r="D198" s="480">
        <f>'[4]Sch C'!F204</f>
        <v>0</v>
      </c>
      <c r="E198" s="480">
        <f>+'[4]Sch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'[4]Sch C'!D205</f>
        <v>245981</v>
      </c>
      <c r="D199" s="480">
        <f>'[4]Sch C'!F205</f>
        <v>0</v>
      </c>
      <c r="E199" s="480">
        <f>+'[4]Sch C'!H205</f>
        <v>0</v>
      </c>
      <c r="F199" s="166">
        <f t="shared" si="58"/>
        <v>245981</v>
      </c>
      <c r="G199" s="626"/>
      <c r="H199" s="166"/>
      <c r="I199" s="166">
        <f t="shared" si="59"/>
        <v>245981</v>
      </c>
      <c r="J199" s="167">
        <f t="shared" si="60"/>
        <v>2.4008892534375322E-2</v>
      </c>
      <c r="K199" s="458"/>
      <c r="L199" s="213"/>
      <c r="M199" s="208"/>
      <c r="O199" s="329">
        <f t="shared" si="61"/>
        <v>5.9673710002183356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'[4]Sch C'!D206</f>
        <v>11346</v>
      </c>
      <c r="D200" s="480">
        <f>'[4]Sch C'!F206</f>
        <v>0</v>
      </c>
      <c r="E200" s="480">
        <f>+'[4]Sch C'!H206</f>
        <v>0</v>
      </c>
      <c r="F200" s="166">
        <f t="shared" si="58"/>
        <v>11346</v>
      </c>
      <c r="G200" s="626"/>
      <c r="H200" s="166"/>
      <c r="I200" s="166">
        <f t="shared" si="59"/>
        <v>11346</v>
      </c>
      <c r="J200" s="167">
        <f t="shared" si="60"/>
        <v>1.1074225029373099E-3</v>
      </c>
      <c r="K200" s="458"/>
      <c r="L200" s="213"/>
      <c r="M200" s="208"/>
      <c r="O200" s="329">
        <f t="shared" si="61"/>
        <v>0.27524805317677881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'[4]Sch C'!D207</f>
        <v>0</v>
      </c>
      <c r="D201" s="480">
        <f>'[4]Sch C'!F207</f>
        <v>0</v>
      </c>
      <c r="E201" s="480">
        <f>+'[4]Sch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1105912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1105912</v>
      </c>
      <c r="G202" s="166">
        <f t="shared" si="63"/>
        <v>0</v>
      </c>
      <c r="H202" s="166">
        <f t="shared" si="63"/>
        <v>0</v>
      </c>
      <c r="I202" s="166">
        <f t="shared" si="63"/>
        <v>1105912</v>
      </c>
      <c r="J202" s="167">
        <f>IF($I$213=0,0,I202/$I$213)</f>
        <v>0.10794216773033723</v>
      </c>
      <c r="K202" s="458"/>
      <c r="L202" s="163"/>
      <c r="M202" s="163"/>
      <c r="O202" s="329">
        <f>I202/I$233</f>
        <v>26.828849372892456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'[4]Sch C'!D211</f>
        <v>155770</v>
      </c>
      <c r="D205" s="480">
        <f>'[4]Sch C'!F211</f>
        <v>0</v>
      </c>
      <c r="E205" s="480">
        <f>+'[4]Sch C'!H211</f>
        <v>0</v>
      </c>
      <c r="F205" s="166">
        <f t="shared" ref="F205:F210" si="64">C205+D205+E205</f>
        <v>155770</v>
      </c>
      <c r="G205" s="626"/>
      <c r="H205" s="166"/>
      <c r="I205" s="166">
        <f t="shared" ref="I205:I210" si="65">F205+G205+H205</f>
        <v>155770</v>
      </c>
      <c r="J205" s="167">
        <f t="shared" ref="J205:J211" si="66">IF($I$213=0,0,I205/$I$213)</f>
        <v>1.5203878307997952E-2</v>
      </c>
      <c r="K205" s="458"/>
      <c r="L205" s="176">
        <v>8670</v>
      </c>
      <c r="M205" s="176">
        <v>9286</v>
      </c>
      <c r="O205" s="329">
        <f t="shared" ref="O205:O210" si="67">I205/I$233</f>
        <v>3.7788991048252103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'[4]Sch C'!D212</f>
        <v>54754</v>
      </c>
      <c r="D206" s="480">
        <f>'[4]Sch C'!F212</f>
        <v>0</v>
      </c>
      <c r="E206" s="480">
        <f>+'[4]Sch C'!H212</f>
        <v>0</v>
      </c>
      <c r="F206" s="166">
        <f t="shared" si="64"/>
        <v>54754</v>
      </c>
      <c r="G206" s="626"/>
      <c r="H206" s="166"/>
      <c r="I206" s="166">
        <f t="shared" si="65"/>
        <v>54754</v>
      </c>
      <c r="J206" s="167">
        <f t="shared" si="66"/>
        <v>5.3442457012012569E-3</v>
      </c>
      <c r="K206" s="458"/>
      <c r="L206" s="163"/>
      <c r="M206" s="163"/>
      <c r="O206" s="329">
        <f t="shared" si="67"/>
        <v>1.3283035346061474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'[4]Sch C'!D213</f>
        <v>7231</v>
      </c>
      <c r="D207" s="480">
        <f>'[4]Sch C'!F213</f>
        <v>0</v>
      </c>
      <c r="E207" s="480">
        <f>+'[4]Sch C'!H213</f>
        <v>0</v>
      </c>
      <c r="F207" s="166">
        <f t="shared" si="64"/>
        <v>7231</v>
      </c>
      <c r="G207" s="626"/>
      <c r="H207" s="166"/>
      <c r="I207" s="166">
        <f t="shared" si="65"/>
        <v>7231</v>
      </c>
      <c r="J207" s="167">
        <f t="shared" si="66"/>
        <v>7.0577931594744292E-4</v>
      </c>
      <c r="K207" s="458"/>
      <c r="L207" s="163"/>
      <c r="M207" s="163"/>
      <c r="O207" s="329">
        <f t="shared" si="67"/>
        <v>0.17542029548045898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'[4]Sch C'!D214</f>
        <v>0</v>
      </c>
      <c r="D208" s="480">
        <f>'[4]Sch C'!F214</f>
        <v>0</v>
      </c>
      <c r="E208" s="480">
        <f>+'[4]Sch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'[4]Sch C'!D215</f>
        <v>0</v>
      </c>
      <c r="D209" s="480">
        <f>'[4]Sch C'!F215</f>
        <v>0</v>
      </c>
      <c r="E209" s="480">
        <f>+'[4]Sch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'[4]Sch C'!D216</f>
        <v>2822</v>
      </c>
      <c r="D210" s="480">
        <f>'[4]Sch C'!F216</f>
        <v>0</v>
      </c>
      <c r="E210" s="480">
        <f>+'[4]Sch C'!H216</f>
        <v>0</v>
      </c>
      <c r="F210" s="166">
        <f t="shared" si="64"/>
        <v>2822</v>
      </c>
      <c r="G210" s="626"/>
      <c r="H210" s="166"/>
      <c r="I210" s="166">
        <f t="shared" si="65"/>
        <v>2822</v>
      </c>
      <c r="J210" s="167">
        <f t="shared" si="66"/>
        <v>2.7544035812525016E-4</v>
      </c>
      <c r="K210" s="458"/>
      <c r="L210" s="163"/>
      <c r="M210" s="163"/>
      <c r="O210" s="329">
        <f t="shared" si="67"/>
        <v>6.8460250843016907E-2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220577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220577</v>
      </c>
      <c r="G211" s="166">
        <f t="shared" si="69"/>
        <v>0</v>
      </c>
      <c r="H211" s="166">
        <f t="shared" si="69"/>
        <v>0</v>
      </c>
      <c r="I211" s="166">
        <f t="shared" si="69"/>
        <v>220577</v>
      </c>
      <c r="J211" s="167">
        <f t="shared" si="66"/>
        <v>2.15293436832719E-2</v>
      </c>
      <c r="K211" s="458"/>
      <c r="L211" s="163"/>
      <c r="M211" s="163"/>
      <c r="O211" s="329">
        <f>I211/I$233</f>
        <v>5.3510831857548338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10621935</v>
      </c>
      <c r="D213" s="480">
        <f t="shared" si="70"/>
        <v>-371431</v>
      </c>
      <c r="E213" s="480">
        <f t="shared" si="70"/>
        <v>0</v>
      </c>
      <c r="F213" s="166">
        <f t="shared" ref="F213:I213" si="71">SUM(F30:F211)/2</f>
        <v>10250504</v>
      </c>
      <c r="G213" s="166">
        <f t="shared" si="71"/>
        <v>-5091.82</v>
      </c>
      <c r="H213" s="166">
        <f t="shared" si="71"/>
        <v>0</v>
      </c>
      <c r="I213" s="166">
        <f t="shared" si="71"/>
        <v>10245412.18</v>
      </c>
      <c r="J213" s="167">
        <f>IF($I$213=0,0,I213/$I$213)</f>
        <v>1</v>
      </c>
      <c r="K213" s="458"/>
      <c r="L213" s="176">
        <f>SUM(L30:L205)</f>
        <v>240414</v>
      </c>
      <c r="M213" s="176">
        <f>SUM(M30:M205)</f>
        <v>253918</v>
      </c>
      <c r="O213" s="329">
        <f>I213/I$233</f>
        <v>248.54836563887338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'[4]Sch C'!D221</f>
        <v>10621935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-1054692</v>
      </c>
      <c r="D220" s="480">
        <f t="shared" si="72"/>
        <v>320005</v>
      </c>
      <c r="E220" s="480">
        <f t="shared" si="72"/>
        <v>0</v>
      </c>
      <c r="F220" s="166">
        <f t="shared" ref="F220:I220" si="73">F26-F213</f>
        <v>-734687</v>
      </c>
      <c r="G220" s="166">
        <f t="shared" si="73"/>
        <v>5091.82</v>
      </c>
      <c r="H220" s="166">
        <f t="shared" si="73"/>
        <v>0</v>
      </c>
      <c r="I220" s="166">
        <f t="shared" si="73"/>
        <v>-729595.1799999997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'[4]Sch D'!C9</f>
        <v>29847</v>
      </c>
      <c r="D224" s="480"/>
      <c r="E224" s="480"/>
      <c r="F224" s="224">
        <f>C224+D224+E224</f>
        <v>29847</v>
      </c>
      <c r="G224" s="627"/>
      <c r="H224" s="223"/>
      <c r="I224" s="224">
        <f>F224+G224+H224</f>
        <v>29847</v>
      </c>
      <c r="J224" s="167">
        <f t="shared" ref="J224:J233" si="74">IF($I$233=0,0,I224/$I$233)</f>
        <v>0.72407268140025716</v>
      </c>
      <c r="K224" s="458"/>
      <c r="L224" s="163"/>
      <c r="M224" s="163"/>
    </row>
    <row r="225" spans="1:13">
      <c r="A225" s="158"/>
      <c r="B225" s="165" t="s">
        <v>201</v>
      </c>
      <c r="C225" s="504">
        <f>'[4]Sch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'[4]Sch D'!E9</f>
        <v>2031</v>
      </c>
      <c r="D226" s="480"/>
      <c r="E226" s="480"/>
      <c r="F226" s="224">
        <f t="shared" si="75"/>
        <v>2031</v>
      </c>
      <c r="G226" s="627"/>
      <c r="H226" s="223"/>
      <c r="I226" s="224">
        <f t="shared" si="76"/>
        <v>2031</v>
      </c>
      <c r="J226" s="167">
        <f t="shared" si="74"/>
        <v>4.9271002644283253E-2</v>
      </c>
      <c r="K226" s="458"/>
      <c r="L226" s="163"/>
      <c r="M226" s="163"/>
    </row>
    <row r="227" spans="1:13">
      <c r="A227" s="158"/>
      <c r="B227" s="194" t="s">
        <v>315</v>
      </c>
      <c r="C227" s="504">
        <f>'[4]Sch D'!F9</f>
        <v>2118</v>
      </c>
      <c r="D227" s="480"/>
      <c r="E227" s="480"/>
      <c r="F227" s="224">
        <f t="shared" si="75"/>
        <v>2118</v>
      </c>
      <c r="G227" s="627"/>
      <c r="H227" s="223"/>
      <c r="I227" s="224">
        <f t="shared" si="76"/>
        <v>2118</v>
      </c>
      <c r="J227" s="167">
        <f t="shared" si="74"/>
        <v>5.1381577351350037E-2</v>
      </c>
      <c r="K227" s="458"/>
      <c r="L227" s="163"/>
      <c r="M227" s="163"/>
    </row>
    <row r="228" spans="1:13">
      <c r="A228" s="158"/>
      <c r="B228" s="165" t="s">
        <v>65</v>
      </c>
      <c r="C228" s="504">
        <f>'[4]Sch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'[4]Sch D'!H9</f>
        <v>2128</v>
      </c>
      <c r="D229" s="480"/>
      <c r="E229" s="480"/>
      <c r="F229" s="224">
        <f t="shared" si="75"/>
        <v>2128</v>
      </c>
      <c r="G229" s="627"/>
      <c r="H229" s="223"/>
      <c r="I229" s="224">
        <f t="shared" si="76"/>
        <v>2128</v>
      </c>
      <c r="J229" s="167">
        <f t="shared" si="74"/>
        <v>5.1624172145265761E-2</v>
      </c>
      <c r="K229" s="458"/>
      <c r="L229" s="163"/>
      <c r="M229" s="163"/>
    </row>
    <row r="230" spans="1:13">
      <c r="A230" s="158"/>
      <c r="B230" s="165" t="s">
        <v>219</v>
      </c>
      <c r="C230" s="504">
        <f>'[4]Sch D'!I9</f>
        <v>4300</v>
      </c>
      <c r="D230" s="480"/>
      <c r="E230" s="480"/>
      <c r="F230" s="224">
        <f t="shared" si="75"/>
        <v>4300</v>
      </c>
      <c r="G230" s="627"/>
      <c r="H230" s="223"/>
      <c r="I230" s="224">
        <f t="shared" si="76"/>
        <v>4300</v>
      </c>
      <c r="J230" s="167">
        <f t="shared" si="74"/>
        <v>0.10431576138376071</v>
      </c>
      <c r="K230" s="458"/>
      <c r="L230" s="163"/>
      <c r="M230" s="163"/>
    </row>
    <row r="231" spans="1:13">
      <c r="A231" s="158"/>
      <c r="B231" s="165" t="s">
        <v>218</v>
      </c>
      <c r="C231" s="504">
        <f>'[4]Sch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'[4]Sch D'!K9</f>
        <v>797</v>
      </c>
      <c r="D232" s="480"/>
      <c r="E232" s="480"/>
      <c r="F232" s="224">
        <f t="shared" si="75"/>
        <v>797</v>
      </c>
      <c r="G232" s="627"/>
      <c r="H232" s="223"/>
      <c r="I232" s="224">
        <f t="shared" si="76"/>
        <v>797</v>
      </c>
      <c r="J232" s="167">
        <f t="shared" si="74"/>
        <v>1.9334805075083089E-2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41221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41221</v>
      </c>
      <c r="G233" s="226">
        <f t="shared" si="78"/>
        <v>0</v>
      </c>
      <c r="H233" s="226">
        <f t="shared" si="78"/>
        <v>0</v>
      </c>
      <c r="I233" s="226">
        <f t="shared" si="78"/>
        <v>41221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'[4]Sch D'!N22</f>
        <v>140</v>
      </c>
      <c r="D236" s="480"/>
      <c r="E236" s="480"/>
      <c r="F236" s="224">
        <f>C236+E236</f>
        <v>140</v>
      </c>
      <c r="G236" s="627"/>
      <c r="H236" s="224"/>
      <c r="I236" s="224">
        <f>F236+G236+H236</f>
        <v>140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'[4]Sch D'!N24</f>
        <v>140</v>
      </c>
      <c r="D237" s="480"/>
      <c r="E237" s="480"/>
      <c r="F237" s="224">
        <f>C237+E237</f>
        <v>140</v>
      </c>
      <c r="G237" s="627"/>
      <c r="H237" s="224"/>
      <c r="I237" s="224">
        <f>F237+G237+H237</f>
        <v>140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'[4]Sch D'!N28</f>
        <v>51100</v>
      </c>
      <c r="D240" s="427"/>
      <c r="E240" s="427"/>
      <c r="F240" s="223">
        <f>F236*F238</f>
        <v>51100</v>
      </c>
      <c r="G240"/>
      <c r="H240" s="228"/>
      <c r="I240" s="223">
        <f>I236*I238</f>
        <v>51100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'[4]Sch D'!N30</f>
        <v>0.8066731898238747</v>
      </c>
      <c r="D241" s="228"/>
      <c r="E241" s="228"/>
      <c r="F241" s="232">
        <f>F233/F240</f>
        <v>0.8066731898238747</v>
      </c>
      <c r="G241"/>
      <c r="H241" s="233"/>
      <c r="I241" s="232">
        <f>I233/I240</f>
        <v>0.8066731898238747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'[4]Sch D'!N32</f>
        <v>0.5840900195694716</v>
      </c>
      <c r="D242" s="228"/>
      <c r="E242" s="228"/>
      <c r="F242" s="232">
        <f>(F224+F225)/F240</f>
        <v>0.5840900195694716</v>
      </c>
      <c r="G242"/>
      <c r="H242" s="233"/>
      <c r="I242" s="232">
        <f>(I224+I225)/I240</f>
        <v>0.5840900195694716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'[4]Sch D'!N34</f>
        <v>0.72407268140025716</v>
      </c>
      <c r="D243" s="228"/>
      <c r="E243" s="228"/>
      <c r="F243" s="232">
        <f>(F242/F241)</f>
        <v>0.72407268140025716</v>
      </c>
      <c r="G243"/>
      <c r="H243" s="233"/>
      <c r="I243" s="232">
        <f>(I242/I241)</f>
        <v>0.72407268140025716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'[4]Sch B'!C90</f>
        <v>201.49918166939443</v>
      </c>
      <c r="K246" s="460"/>
    </row>
    <row r="247" spans="1:13">
      <c r="H247" s="140" t="s">
        <v>322</v>
      </c>
      <c r="I247" s="480">
        <f>'[4]Sch B'!E90</f>
        <v>201.49906191369607</v>
      </c>
      <c r="K247" s="460"/>
    </row>
    <row r="248" spans="1:13">
      <c r="H248" s="140" t="s">
        <v>323</v>
      </c>
      <c r="I248" s="480">
        <f>'[4]Sch B'!G90</f>
        <v>201.49886104783599</v>
      </c>
      <c r="K248" s="460"/>
    </row>
    <row r="249" spans="1:13">
      <c r="H249" s="140" t="s">
        <v>324</v>
      </c>
      <c r="I249" s="480">
        <f>'[4]Sch B'!I90</f>
        <v>201.49724770642203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>
    <tabColor rgb="FFE28CAB"/>
  </sheetPr>
  <dimension ref="A1:Q277"/>
  <sheetViews>
    <sheetView showGridLines="0" topLeftCell="A10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430</v>
      </c>
      <c r="D2" s="234"/>
      <c r="E2" s="142"/>
      <c r="F2" s="142"/>
      <c r="G2" s="142"/>
      <c r="H2" s="411"/>
    </row>
    <row r="3" spans="1:16">
      <c r="A3" s="143"/>
      <c r="B3" s="138" t="s">
        <v>71</v>
      </c>
      <c r="C3" s="557">
        <f>'[31]Sch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'[31]Sch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 t="s">
        <v>182</v>
      </c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'[31]Sch B'!E10</f>
        <v>1380891</v>
      </c>
      <c r="D12" s="480">
        <f>'[31]Sch B'!G10</f>
        <v>0</v>
      </c>
      <c r="E12" s="480"/>
      <c r="F12" s="166">
        <f t="shared" ref="F12:F25" si="0">C12+D12+E12</f>
        <v>1380891</v>
      </c>
      <c r="G12" s="626"/>
      <c r="H12" s="166"/>
      <c r="I12" s="166">
        <f>F12+G12+H12</f>
        <v>1380891</v>
      </c>
      <c r="J12" s="167">
        <f>IF($I$26=0,0,I12/$I$26)</f>
        <v>0.30993328165126455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'[31]Sch B'!E12</f>
        <v>408250</v>
      </c>
      <c r="D13" s="480">
        <f>'[31]Sch B'!G12</f>
        <v>470096</v>
      </c>
      <c r="E13" s="480"/>
      <c r="F13" s="166">
        <f t="shared" si="0"/>
        <v>878346</v>
      </c>
      <c r="G13" s="626">
        <v>10030</v>
      </c>
      <c r="H13" s="166"/>
      <c r="I13" s="166">
        <f t="shared" ref="I13:I25" si="1">F13+G13+H13</f>
        <v>888376</v>
      </c>
      <c r="J13" s="167">
        <f>IF($I$26=0,0,I13/$I$26)</f>
        <v>0.19939103739558284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'[31]Sch B'!E13</f>
        <v>1776</v>
      </c>
      <c r="D14" s="480">
        <f>'[31]Sch B'!G13</f>
        <v>0</v>
      </c>
      <c r="E14" s="480"/>
      <c r="F14" s="166">
        <f t="shared" si="0"/>
        <v>1776</v>
      </c>
      <c r="G14" s="626"/>
      <c r="H14" s="166"/>
      <c r="I14" s="166">
        <f t="shared" si="1"/>
        <v>1776</v>
      </c>
      <c r="J14" s="167">
        <f>IF($I$26=0,0,I14/$I$26)</f>
        <v>3.9861329258619678E-4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'[31]Sch B'!E14</f>
        <v>55394</v>
      </c>
      <c r="D15" s="480">
        <f>'[31]Sch B'!G14</f>
        <v>0</v>
      </c>
      <c r="E15" s="480"/>
      <c r="F15" s="166">
        <f t="shared" si="0"/>
        <v>55394</v>
      </c>
      <c r="G15" s="626"/>
      <c r="H15" s="166"/>
      <c r="I15" s="166">
        <f t="shared" si="1"/>
        <v>55394</v>
      </c>
      <c r="J15" s="167">
        <f>IF($I$26=0,0,I15/$I$26)</f>
        <v>1.2432874284639517E-2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'[31]Sch B'!E15</f>
        <v>1846311</v>
      </c>
      <c r="D16" s="480">
        <f>'[31]Sch B'!G15</f>
        <v>470096</v>
      </c>
      <c r="E16" s="480"/>
      <c r="F16" s="166">
        <f t="shared" si="0"/>
        <v>2316407</v>
      </c>
      <c r="G16" s="626"/>
      <c r="H16" s="166"/>
      <c r="I16" s="166">
        <f>SUM(I12:I15)</f>
        <v>2326437</v>
      </c>
      <c r="J16" s="167">
        <f t="shared" ref="J16:J26" si="2">IF($I$26=0,0,I16/$I$26)</f>
        <v>0.52215580662407313</v>
      </c>
      <c r="K16" s="458"/>
      <c r="L16" s="333" t="s">
        <v>325</v>
      </c>
      <c r="M16" s="334">
        <f>I26</f>
        <v>4455446</v>
      </c>
      <c r="O16" s="324">
        <f>IFERROR(I16/I224,0)</f>
        <v>313.1561448377978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'[31]Sch B'!E20</f>
        <v>0</v>
      </c>
      <c r="D17" s="480">
        <f>'[31]Sch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3112795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'[31]Sch B'!E26</f>
        <v>1372248</v>
      </c>
      <c r="D18" s="480">
        <f>'[31]Sch B'!G26</f>
        <v>0</v>
      </c>
      <c r="E18" s="480"/>
      <c r="F18" s="166">
        <f t="shared" si="0"/>
        <v>1372248</v>
      </c>
      <c r="G18" s="626"/>
      <c r="H18" s="166"/>
      <c r="I18" s="166">
        <f t="shared" si="1"/>
        <v>1372248</v>
      </c>
      <c r="J18" s="167">
        <f t="shared" si="2"/>
        <v>0.30799340851622936</v>
      </c>
      <c r="K18" s="458"/>
      <c r="L18" s="335" t="s">
        <v>327</v>
      </c>
      <c r="M18" s="336">
        <f>I233</f>
        <v>13173</v>
      </c>
      <c r="O18" s="324">
        <f t="shared" si="3"/>
        <v>580.72280998730423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'[31]Sch B'!E32</f>
        <v>269354.68508287292</v>
      </c>
      <c r="D19" s="480">
        <f>'[31]Sch B'!G32</f>
        <v>0</v>
      </c>
      <c r="E19" s="480"/>
      <c r="F19" s="166">
        <f t="shared" si="0"/>
        <v>269354.68508287292</v>
      </c>
      <c r="G19" s="626"/>
      <c r="H19" s="166"/>
      <c r="I19" s="166">
        <f t="shared" si="1"/>
        <v>269354.68508287292</v>
      </c>
      <c r="J19" s="170">
        <f t="shared" si="2"/>
        <v>6.0455156472073258E-2</v>
      </c>
      <c r="K19" s="464"/>
      <c r="L19" s="335" t="s">
        <v>328</v>
      </c>
      <c r="M19" s="336">
        <f>I236</f>
        <v>60</v>
      </c>
      <c r="O19" s="324">
        <f t="shared" si="3"/>
        <v>404.43646408839777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'[31]Sch B'!E37</f>
        <v>0</v>
      </c>
      <c r="D20" s="480">
        <f>'[31]Sch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21900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'[31]Sch B'!E42</f>
        <v>389578</v>
      </c>
      <c r="D21" s="480">
        <f>'[31]Sch B'!G42</f>
        <v>0</v>
      </c>
      <c r="E21" s="480"/>
      <c r="F21" s="166">
        <f t="shared" si="0"/>
        <v>389578</v>
      </c>
      <c r="G21" s="626"/>
      <c r="H21" s="166"/>
      <c r="I21" s="166">
        <f t="shared" si="1"/>
        <v>389578</v>
      </c>
      <c r="J21" s="167">
        <f t="shared" si="2"/>
        <v>8.743860883960887E-2</v>
      </c>
      <c r="K21" s="458"/>
      <c r="L21" s="337"/>
      <c r="M21" s="336"/>
      <c r="O21" s="324">
        <f t="shared" si="3"/>
        <v>171.92321270962049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'[31]Sch B'!E47</f>
        <v>65017.360613810743</v>
      </c>
      <c r="D22" s="480">
        <f>'[31]Sch B'!G47</f>
        <v>0</v>
      </c>
      <c r="E22" s="480"/>
      <c r="F22" s="166">
        <f t="shared" si="0"/>
        <v>65017.360613810743</v>
      </c>
      <c r="G22" s="626"/>
      <c r="H22" s="166"/>
      <c r="I22" s="166">
        <f t="shared" si="1"/>
        <v>65017.360613810743</v>
      </c>
      <c r="J22" s="167">
        <f t="shared" si="2"/>
        <v>1.4592783890504057E-2</v>
      </c>
      <c r="K22" s="458"/>
      <c r="L22" s="335" t="s">
        <v>148</v>
      </c>
      <c r="M22" s="336">
        <f>L213</f>
        <v>79853</v>
      </c>
      <c r="O22" s="324">
        <f t="shared" si="3"/>
        <v>189.55498721227622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'[31]Sch B'!E52</f>
        <v>9098.6393861892593</v>
      </c>
      <c r="D23" s="480">
        <f>'[31]Sch B'!G52</f>
        <v>0</v>
      </c>
      <c r="E23" s="480"/>
      <c r="F23" s="166">
        <f t="shared" si="0"/>
        <v>9098.6393861892593</v>
      </c>
      <c r="G23" s="626"/>
      <c r="H23" s="166"/>
      <c r="I23" s="166">
        <f t="shared" si="1"/>
        <v>9098.6393861892593</v>
      </c>
      <c r="J23" s="167">
        <f t="shared" si="2"/>
        <v>2.0421388534816176E-3</v>
      </c>
      <c r="K23" s="458"/>
      <c r="L23" s="338" t="s">
        <v>233</v>
      </c>
      <c r="M23" s="339">
        <f>M213</f>
        <v>84620</v>
      </c>
      <c r="O23" s="324">
        <f t="shared" si="3"/>
        <v>189.55498721227625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'[31]Sch B'!E57</f>
        <v>23457.314917127074</v>
      </c>
      <c r="D24" s="480">
        <f>'[31]Sch B'!G57</f>
        <v>0</v>
      </c>
      <c r="E24" s="480"/>
      <c r="F24" s="166">
        <f t="shared" si="0"/>
        <v>23457.314917127074</v>
      </c>
      <c r="G24" s="626"/>
      <c r="H24" s="166"/>
      <c r="I24" s="166">
        <f t="shared" si="1"/>
        <v>23457.314917127074</v>
      </c>
      <c r="J24" s="167">
        <f t="shared" si="2"/>
        <v>5.2648634765469216E-3</v>
      </c>
      <c r="K24" s="458"/>
      <c r="L24" s="163"/>
      <c r="M24" s="163"/>
      <c r="O24" s="324">
        <f t="shared" si="3"/>
        <v>404.43646408839783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'[31]Sch B'!E72</f>
        <v>255</v>
      </c>
      <c r="D25" s="480">
        <f>'[31]Sch B'!G72</f>
        <v>0</v>
      </c>
      <c r="E25" s="480"/>
      <c r="F25" s="166">
        <f t="shared" si="0"/>
        <v>255</v>
      </c>
      <c r="G25" s="626"/>
      <c r="H25" s="166"/>
      <c r="I25" s="166">
        <f t="shared" si="1"/>
        <v>255</v>
      </c>
      <c r="J25" s="167">
        <f t="shared" si="2"/>
        <v>5.7233327482815414E-5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3975320</v>
      </c>
      <c r="D26" s="480">
        <f t="shared" ref="D26:F26" si="4">SUM(D16:D25)</f>
        <v>470096</v>
      </c>
      <c r="E26" s="480">
        <f t="shared" si="4"/>
        <v>0</v>
      </c>
      <c r="F26" s="166">
        <f t="shared" si="4"/>
        <v>4445416</v>
      </c>
      <c r="G26" s="166">
        <f>SUM(G12:G25)</f>
        <v>10030</v>
      </c>
      <c r="H26" s="166">
        <f>SUM(H12:H25)</f>
        <v>0</v>
      </c>
      <c r="I26" s="166">
        <f>SUM(I16:I25)</f>
        <v>4455446</v>
      </c>
      <c r="J26" s="167">
        <f t="shared" si="2"/>
        <v>1</v>
      </c>
      <c r="K26" s="458"/>
      <c r="L26" s="163"/>
      <c r="M26" s="163"/>
      <c r="O26" s="324">
        <f>IFERROR(I26/I233,0)</f>
        <v>338.22561299628029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'[31]Sch C'!D10</f>
        <v>220754</v>
      </c>
      <c r="D30" s="480">
        <f>'[31]Sch C'!F10</f>
        <v>-109140</v>
      </c>
      <c r="E30" s="480">
        <f>+'[31]Sch C'!H10</f>
        <v>0</v>
      </c>
      <c r="F30" s="166">
        <f t="shared" ref="F30:F65" si="5">C30+D30+E30</f>
        <v>111614</v>
      </c>
      <c r="G30" s="626">
        <v>109140</v>
      </c>
      <c r="H30" s="166"/>
      <c r="I30" s="166">
        <f t="shared" ref="I30:I65" si="6">F30+G30+H30</f>
        <v>220754</v>
      </c>
      <c r="J30" s="167">
        <f>IF($I$213=0,0,I30/$I$213)</f>
        <v>7.0918258349811025E-2</v>
      </c>
      <c r="K30" s="458"/>
      <c r="L30" s="176">
        <v>2080</v>
      </c>
      <c r="M30" s="176">
        <v>2080</v>
      </c>
      <c r="O30" s="324">
        <f>I30/I$233</f>
        <v>16.758065740529872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'[31]Sch C'!D11</f>
        <v>0</v>
      </c>
      <c r="D31" s="480">
        <f>'[31]Sch C'!F11</f>
        <v>0</v>
      </c>
      <c r="E31" s="480">
        <f>+'[31]Sch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'[31]Sch C'!D12</f>
        <v>51146</v>
      </c>
      <c r="D32" s="480">
        <f>'[31]Sch C'!F12</f>
        <v>0</v>
      </c>
      <c r="E32" s="480">
        <f>+'[31]Sch C'!H12</f>
        <v>0</v>
      </c>
      <c r="F32" s="166">
        <f t="shared" si="5"/>
        <v>51146</v>
      </c>
      <c r="G32" s="626"/>
      <c r="H32" s="166"/>
      <c r="I32" s="166">
        <f t="shared" si="6"/>
        <v>51146</v>
      </c>
      <c r="J32" s="167">
        <f t="shared" si="7"/>
        <v>1.6430892493723485E-2</v>
      </c>
      <c r="K32" s="458"/>
      <c r="L32" s="176">
        <v>2474</v>
      </c>
      <c r="M32" s="176">
        <v>2814</v>
      </c>
      <c r="O32" s="324">
        <f t="shared" si="8"/>
        <v>3.882638730737114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'[31]Sch C'!D13</f>
        <v>127351</v>
      </c>
      <c r="D33" s="480">
        <f>'[31]Sch C'!F13</f>
        <v>-81742</v>
      </c>
      <c r="E33" s="480">
        <f>+'[31]Sch C'!H13</f>
        <v>0</v>
      </c>
      <c r="F33" s="166">
        <f t="shared" si="5"/>
        <v>45609</v>
      </c>
      <c r="G33" s="626"/>
      <c r="H33" s="166"/>
      <c r="I33" s="166">
        <f t="shared" si="6"/>
        <v>45609</v>
      </c>
      <c r="J33" s="167">
        <f t="shared" si="7"/>
        <v>1.4652105262312488E-2</v>
      </c>
      <c r="K33" s="458"/>
      <c r="L33" s="163"/>
      <c r="M33" s="163"/>
      <c r="O33" s="324">
        <f t="shared" si="8"/>
        <v>3.4623092689592347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'[31]Sch C'!D14</f>
        <v>0</v>
      </c>
      <c r="D34" s="480">
        <f>'[31]Sch C'!F14</f>
        <v>0</v>
      </c>
      <c r="E34" s="480">
        <f>+'[31]Sch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'[31]Sch C'!D15</f>
        <v>0</v>
      </c>
      <c r="D35" s="480">
        <f>'[31]Sch C'!F15</f>
        <v>0</v>
      </c>
      <c r="E35" s="480">
        <f>+'[31]Sch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'[31]Sch C'!D16</f>
        <v>198000</v>
      </c>
      <c r="D36" s="480">
        <f>'[31]Sch C'!F16</f>
        <v>0</v>
      </c>
      <c r="E36" s="480">
        <f>+'[31]Sch C'!H16</f>
        <v>-32642</v>
      </c>
      <c r="F36" s="166">
        <f t="shared" si="5"/>
        <v>165358</v>
      </c>
      <c r="G36" s="626"/>
      <c r="H36" s="166">
        <v>62058</v>
      </c>
      <c r="I36" s="166">
        <f t="shared" si="6"/>
        <v>227416</v>
      </c>
      <c r="J36" s="167">
        <f t="shared" si="7"/>
        <v>7.3058457110089167E-2</v>
      </c>
      <c r="K36" s="458" t="s">
        <v>374</v>
      </c>
      <c r="L36" s="163"/>
      <c r="M36" s="163"/>
      <c r="O36" s="324">
        <f t="shared" si="8"/>
        <v>17.263797160859333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'[31]Sch C'!D17</f>
        <v>0</v>
      </c>
      <c r="D37" s="480">
        <f>'[31]Sch C'!F17</f>
        <v>0</v>
      </c>
      <c r="E37" s="480">
        <f>+'[31]Sch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'[31]Sch C'!D18</f>
        <v>12023</v>
      </c>
      <c r="D38" s="480">
        <f>'[31]Sch C'!F18</f>
        <v>0</v>
      </c>
      <c r="E38" s="480">
        <f>+'[31]Sch C'!H18</f>
        <v>0</v>
      </c>
      <c r="F38" s="166">
        <f t="shared" si="5"/>
        <v>12023</v>
      </c>
      <c r="G38" s="626"/>
      <c r="H38" s="166"/>
      <c r="I38" s="166">
        <f t="shared" si="6"/>
        <v>12023</v>
      </c>
      <c r="J38" s="167">
        <f t="shared" si="7"/>
        <v>3.8624451658397035E-3</v>
      </c>
      <c r="K38" s="458"/>
      <c r="L38" s="163"/>
      <c r="M38" s="163"/>
      <c r="O38" s="324">
        <f t="shared" si="8"/>
        <v>0.91270022014727092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'[31]Sch C'!D19</f>
        <v>8148</v>
      </c>
      <c r="D39" s="480">
        <f>'[31]Sch C'!F19</f>
        <v>-985</v>
      </c>
      <c r="E39" s="480">
        <f>+'[31]Sch C'!H19</f>
        <v>0</v>
      </c>
      <c r="F39" s="166">
        <f t="shared" si="5"/>
        <v>7163</v>
      </c>
      <c r="G39" s="626"/>
      <c r="H39" s="166"/>
      <c r="I39" s="166">
        <f t="shared" si="6"/>
        <v>7163</v>
      </c>
      <c r="J39" s="167">
        <f t="shared" si="7"/>
        <v>2.3011473611336437E-3</v>
      </c>
      <c r="K39" s="458"/>
      <c r="L39" s="163"/>
      <c r="M39" s="163"/>
      <c r="O39" s="324">
        <f t="shared" si="8"/>
        <v>0.54376375920443332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'[31]Sch C'!D20</f>
        <v>7986</v>
      </c>
      <c r="D40" s="480">
        <f>'[31]Sch C'!F20</f>
        <v>1099</v>
      </c>
      <c r="E40" s="480">
        <f>+'[31]Sch C'!H20</f>
        <v>0</v>
      </c>
      <c r="F40" s="166">
        <f t="shared" si="5"/>
        <v>9085</v>
      </c>
      <c r="G40" s="626"/>
      <c r="H40" s="166"/>
      <c r="I40" s="166">
        <f t="shared" si="6"/>
        <v>9085</v>
      </c>
      <c r="J40" s="167">
        <f t="shared" si="7"/>
        <v>2.9185988797848878E-3</v>
      </c>
      <c r="K40" s="458"/>
      <c r="L40" s="163"/>
      <c r="M40" s="163"/>
      <c r="O40" s="324">
        <f t="shared" si="8"/>
        <v>0.68966826083655963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'[31]Sch C'!D21</f>
        <v>1195</v>
      </c>
      <c r="D41" s="480">
        <f>'[31]Sch C'!F21</f>
        <v>0</v>
      </c>
      <c r="E41" s="480">
        <f>+'[31]Sch C'!H21</f>
        <v>0</v>
      </c>
      <c r="F41" s="166">
        <f t="shared" si="5"/>
        <v>1195</v>
      </c>
      <c r="G41" s="626"/>
      <c r="H41" s="166"/>
      <c r="I41" s="166">
        <f t="shared" si="6"/>
        <v>1195</v>
      </c>
      <c r="J41" s="167">
        <f t="shared" si="7"/>
        <v>3.8389935732998802E-4</v>
      </c>
      <c r="K41" s="458"/>
      <c r="L41" s="163"/>
      <c r="M41" s="163"/>
      <c r="O41" s="324">
        <f t="shared" si="8"/>
        <v>9.0715858194792373E-2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'[31]Sch C'!D22</f>
        <v>0</v>
      </c>
      <c r="D42" s="480">
        <f>'[31]Sch C'!F22</f>
        <v>0</v>
      </c>
      <c r="E42" s="480">
        <f>+'[31]Sch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'[31]Sch C'!D23</f>
        <v>1896</v>
      </c>
      <c r="D43" s="480">
        <f>'[31]Sch C'!F23</f>
        <v>0</v>
      </c>
      <c r="E43" s="480">
        <f>+'[31]Sch C'!H23</f>
        <v>0</v>
      </c>
      <c r="F43" s="166">
        <f t="shared" si="5"/>
        <v>1896</v>
      </c>
      <c r="G43" s="626"/>
      <c r="H43" s="166"/>
      <c r="I43" s="166">
        <f t="shared" si="6"/>
        <v>1896</v>
      </c>
      <c r="J43" s="167">
        <f t="shared" si="7"/>
        <v>6.0909889665075926E-4</v>
      </c>
      <c r="K43" s="458"/>
      <c r="L43" s="163"/>
      <c r="M43" s="163"/>
      <c r="O43" s="324">
        <f t="shared" si="8"/>
        <v>0.14393076747893419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'[31]Sch C'!D24</f>
        <v>46367</v>
      </c>
      <c r="D44" s="480">
        <f>'[31]Sch C'!F24</f>
        <v>0</v>
      </c>
      <c r="E44" s="480">
        <f>+'[31]Sch C'!H24</f>
        <v>-11171</v>
      </c>
      <c r="F44" s="166">
        <f t="shared" si="5"/>
        <v>35196</v>
      </c>
      <c r="G44" s="626"/>
      <c r="H44" s="166"/>
      <c r="I44" s="166">
        <f t="shared" si="6"/>
        <v>35196</v>
      </c>
      <c r="J44" s="167">
        <f t="shared" si="7"/>
        <v>1.1306880151118207E-2</v>
      </c>
      <c r="K44" s="458"/>
      <c r="L44" s="163"/>
      <c r="M44" s="163"/>
      <c r="O44" s="324">
        <f t="shared" si="8"/>
        <v>2.6718287406057843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'[31]Sch C'!D25</f>
        <v>0</v>
      </c>
      <c r="D45" s="480">
        <f>'[31]Sch C'!F25</f>
        <v>0</v>
      </c>
      <c r="E45" s="480">
        <f>+'[31]Sch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'[31]Sch C'!D26</f>
        <v>211604</v>
      </c>
      <c r="D46" s="480">
        <f>'[31]Sch C'!F26</f>
        <v>0</v>
      </c>
      <c r="E46" s="480">
        <f>+'[31]Sch C'!H26</f>
        <v>0</v>
      </c>
      <c r="F46" s="166">
        <f t="shared" si="5"/>
        <v>211604</v>
      </c>
      <c r="G46" s="626"/>
      <c r="H46" s="166"/>
      <c r="I46" s="166">
        <f t="shared" si="6"/>
        <v>211604</v>
      </c>
      <c r="J46" s="167">
        <f t="shared" si="7"/>
        <v>6.7978777915024921E-2</v>
      </c>
      <c r="K46" s="458"/>
      <c r="L46" s="163"/>
      <c r="M46" s="163"/>
      <c r="O46" s="324">
        <f t="shared" si="8"/>
        <v>16.063463144310333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'[31]Sch C'!D27</f>
        <v>0</v>
      </c>
      <c r="D47" s="480">
        <f>'[31]Sch C'!F27</f>
        <v>0</v>
      </c>
      <c r="E47" s="480">
        <f>+'[31]Sch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'[31]Sch C'!D28</f>
        <v>0</v>
      </c>
      <c r="D48" s="480">
        <f>'[31]Sch C'!F28</f>
        <v>0</v>
      </c>
      <c r="E48" s="480">
        <f>+'[31]Sch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'[31]Sch C'!D29</f>
        <v>26823</v>
      </c>
      <c r="D49" s="480">
        <f>'[31]Sch C'!F29</f>
        <v>-26823</v>
      </c>
      <c r="E49" s="480">
        <f>+'[31]Sch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'[31]Sch C'!D30</f>
        <v>0</v>
      </c>
      <c r="D50" s="480">
        <f>'[31]Sch C'!F30</f>
        <v>0</v>
      </c>
      <c r="E50" s="480">
        <f>+'[31]Sch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'[31]Sch C'!D31</f>
        <v>18337</v>
      </c>
      <c r="D51" s="480">
        <f>'[31]Sch C'!F31</f>
        <v>0</v>
      </c>
      <c r="E51" s="480">
        <f>+'[31]Sch C'!H31</f>
        <v>-10744</v>
      </c>
      <c r="F51" s="166">
        <f t="shared" si="5"/>
        <v>7593</v>
      </c>
      <c r="G51" s="626"/>
      <c r="H51" s="166"/>
      <c r="I51" s="166">
        <f t="shared" si="6"/>
        <v>7593</v>
      </c>
      <c r="J51" s="167">
        <f t="shared" si="7"/>
        <v>2.4392868788339741E-3</v>
      </c>
      <c r="K51" s="458"/>
      <c r="L51" s="163"/>
      <c r="M51" s="163"/>
      <c r="O51" s="324">
        <f t="shared" si="8"/>
        <v>0.57640628558414941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'[31]Sch C'!D32</f>
        <v>33416</v>
      </c>
      <c r="D52" s="480">
        <f>'[31]Sch C'!F32</f>
        <v>0</v>
      </c>
      <c r="E52" s="480">
        <f>+'[31]Sch C'!H32</f>
        <v>-15037</v>
      </c>
      <c r="F52" s="166">
        <f t="shared" si="5"/>
        <v>18379</v>
      </c>
      <c r="G52" s="626"/>
      <c r="H52" s="166"/>
      <c r="I52" s="166">
        <f t="shared" si="6"/>
        <v>18379</v>
      </c>
      <c r="J52" s="167">
        <f t="shared" si="7"/>
        <v>5.9043399902659827E-3</v>
      </c>
      <c r="K52" s="458"/>
      <c r="L52" s="163"/>
      <c r="M52" s="163"/>
      <c r="O52" s="324">
        <f t="shared" si="8"/>
        <v>1.3952023077507021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'[31]Sch C'!D33</f>
        <v>0</v>
      </c>
      <c r="D53" s="480">
        <f>'[31]Sch C'!F33</f>
        <v>0</v>
      </c>
      <c r="E53" s="480">
        <f>+'[31]Sch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'[31]Sch C'!D34</f>
        <v>0</v>
      </c>
      <c r="D54" s="480">
        <f>'[31]Sch C'!F34</f>
        <v>0</v>
      </c>
      <c r="E54" s="480">
        <f>+'[31]Sch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'[31]Sch C'!D35</f>
        <v>51</v>
      </c>
      <c r="D55" s="480">
        <f>'[31]Sch C'!F35</f>
        <v>-51</v>
      </c>
      <c r="E55" s="480">
        <f>+'[31]Sch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'[31]Sch C'!D36</f>
        <v>7582</v>
      </c>
      <c r="D56" s="480">
        <f>'[31]Sch C'!F36</f>
        <v>0</v>
      </c>
      <c r="E56" s="480">
        <f>+'[31]Sch C'!H36</f>
        <v>0</v>
      </c>
      <c r="F56" s="166">
        <f t="shared" si="5"/>
        <v>7582</v>
      </c>
      <c r="G56" s="626">
        <v>585</v>
      </c>
      <c r="H56" s="166"/>
      <c r="I56" s="166">
        <f t="shared" si="6"/>
        <v>8167</v>
      </c>
      <c r="J56" s="167">
        <f t="shared" si="7"/>
        <v>2.6236870722292989E-3</v>
      </c>
      <c r="K56" s="458"/>
      <c r="L56" s="176">
        <v>480</v>
      </c>
      <c r="M56" s="176">
        <v>513</v>
      </c>
      <c r="O56" s="324">
        <f t="shared" si="8"/>
        <v>0.61998026265846806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'[31]Sch C'!D37</f>
        <v>1105</v>
      </c>
      <c r="D57" s="480">
        <f>'[31]Sch C'!F37</f>
        <v>474</v>
      </c>
      <c r="E57" s="480">
        <f>+'[31]Sch C'!H37</f>
        <v>0</v>
      </c>
      <c r="F57" s="166">
        <f t="shared" si="5"/>
        <v>1579</v>
      </c>
      <c r="G57" s="626"/>
      <c r="H57" s="166"/>
      <c r="I57" s="166">
        <f t="shared" si="6"/>
        <v>1579</v>
      </c>
      <c r="J57" s="167">
        <f t="shared" si="7"/>
        <v>5.0726115918330636E-4</v>
      </c>
      <c r="K57" s="458"/>
      <c r="L57" s="163"/>
      <c r="M57" s="163"/>
      <c r="O57" s="324">
        <f t="shared" si="8"/>
        <v>0.1198663933803993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'[31]Sch C'!D38</f>
        <v>400</v>
      </c>
      <c r="D58" s="480">
        <f>'[31]Sch C'!F38</f>
        <v>-400</v>
      </c>
      <c r="E58" s="480">
        <f>+'[31]Sch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'[31]Sch C'!D39</f>
        <v>6023</v>
      </c>
      <c r="D59" s="480">
        <f>'[31]Sch C'!F39</f>
        <v>0</v>
      </c>
      <c r="E59" s="480">
        <f>+'[31]Sch C'!H39</f>
        <v>0</v>
      </c>
      <c r="F59" s="166">
        <f t="shared" si="5"/>
        <v>6023</v>
      </c>
      <c r="G59" s="626"/>
      <c r="H59" s="166"/>
      <c r="I59" s="166">
        <f t="shared" si="6"/>
        <v>6023</v>
      </c>
      <c r="J59" s="167">
        <f t="shared" si="7"/>
        <v>1.9349170118816048E-3</v>
      </c>
      <c r="K59" s="458"/>
      <c r="L59" s="163"/>
      <c r="M59" s="163"/>
      <c r="O59" s="324">
        <f t="shared" si="8"/>
        <v>0.45722310787216275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'[31]Sch C'!D40</f>
        <v>4995</v>
      </c>
      <c r="D60" s="480">
        <f>'[31]Sch C'!F40</f>
        <v>0</v>
      </c>
      <c r="E60" s="480">
        <f>+'[31]Sch C'!H40</f>
        <v>0</v>
      </c>
      <c r="F60" s="166">
        <f t="shared" si="5"/>
        <v>4995</v>
      </c>
      <c r="G60" s="626"/>
      <c r="H60" s="166"/>
      <c r="I60" s="166">
        <f t="shared" si="6"/>
        <v>4995</v>
      </c>
      <c r="J60" s="167">
        <f t="shared" si="7"/>
        <v>1.6046671881701172E-3</v>
      </c>
      <c r="K60" s="458"/>
      <c r="L60" s="163"/>
      <c r="M60" s="163"/>
      <c r="O60" s="324">
        <f t="shared" si="8"/>
        <v>0.37918469596902754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'[31]Sch C'!D41</f>
        <v>6390</v>
      </c>
      <c r="D61" s="480">
        <f>'[31]Sch C'!F41</f>
        <v>0</v>
      </c>
      <c r="E61" s="480">
        <f>+'[31]Sch C'!H41</f>
        <v>0</v>
      </c>
      <c r="F61" s="166">
        <f t="shared" si="5"/>
        <v>6390</v>
      </c>
      <c r="G61" s="626"/>
      <c r="H61" s="166"/>
      <c r="I61" s="166">
        <f t="shared" si="6"/>
        <v>6390</v>
      </c>
      <c r="J61" s="167">
        <f t="shared" si="7"/>
        <v>2.0528174839653753E-3</v>
      </c>
      <c r="K61" s="458"/>
      <c r="L61" s="163"/>
      <c r="M61" s="163"/>
      <c r="O61" s="324">
        <f t="shared" si="8"/>
        <v>0.48508312457299019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'[31]Sch C'!D42</f>
        <v>1128</v>
      </c>
      <c r="D62" s="480">
        <f>'[31]Sch C'!F42</f>
        <v>0</v>
      </c>
      <c r="E62" s="480">
        <f>+'[31]Sch C'!H42</f>
        <v>0</v>
      </c>
      <c r="F62" s="166">
        <f t="shared" si="5"/>
        <v>1128</v>
      </c>
      <c r="G62" s="626"/>
      <c r="H62" s="166"/>
      <c r="I62" s="166">
        <f t="shared" si="6"/>
        <v>1128</v>
      </c>
      <c r="J62" s="167">
        <f t="shared" si="7"/>
        <v>3.6237529294412259E-4</v>
      </c>
      <c r="K62" s="458"/>
      <c r="L62" s="163"/>
      <c r="M62" s="163"/>
      <c r="O62" s="324">
        <f t="shared" si="8"/>
        <v>8.5629697107720337E-2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'[31]Sch C'!D43</f>
        <v>7043</v>
      </c>
      <c r="D63" s="480">
        <f>'[31]Sch C'!F43</f>
        <v>0</v>
      </c>
      <c r="E63" s="480">
        <f>+'[31]Sch C'!H43</f>
        <v>0</v>
      </c>
      <c r="F63" s="166">
        <f t="shared" si="5"/>
        <v>7043</v>
      </c>
      <c r="G63" s="626">
        <v>-7043</v>
      </c>
      <c r="H63" s="166"/>
      <c r="I63" s="166">
        <f t="shared" si="6"/>
        <v>0</v>
      </c>
      <c r="J63" s="167">
        <f t="shared" si="7"/>
        <v>0</v>
      </c>
      <c r="K63" s="162" t="s">
        <v>615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'[31]Sch C'!D44</f>
        <v>23</v>
      </c>
      <c r="D64" s="480">
        <f>'[31]Sch C'!F44</f>
        <v>0</v>
      </c>
      <c r="E64" s="480">
        <f>+'[31]Sch C'!H44</f>
        <v>0</v>
      </c>
      <c r="F64" s="166">
        <f t="shared" si="5"/>
        <v>23</v>
      </c>
      <c r="G64" s="626"/>
      <c r="H64" s="166"/>
      <c r="I64" s="166">
        <f t="shared" si="6"/>
        <v>23</v>
      </c>
      <c r="J64" s="167">
        <f t="shared" si="7"/>
        <v>7.3888579235060451E-6</v>
      </c>
      <c r="K64" s="458"/>
      <c r="L64" s="163"/>
      <c r="M64" s="163"/>
      <c r="O64" s="324">
        <f t="shared" si="8"/>
        <v>1.7459955970545813E-3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'[31]Sch C'!D45</f>
        <v>0</v>
      </c>
      <c r="D65" s="480">
        <f>'[31]Sch C'!F45</f>
        <v>-75</v>
      </c>
      <c r="E65" s="480">
        <f>+'[31]Sch C'!H45</f>
        <v>0</v>
      </c>
      <c r="F65" s="166">
        <f t="shared" si="5"/>
        <v>-75</v>
      </c>
      <c r="G65" s="626">
        <v>3406</v>
      </c>
      <c r="H65" s="166"/>
      <c r="I65" s="166">
        <f t="shared" si="6"/>
        <v>3331</v>
      </c>
      <c r="J65" s="167">
        <f t="shared" si="7"/>
        <v>1.0700993801390712E-3</v>
      </c>
      <c r="K65" s="458" t="s">
        <v>476</v>
      </c>
      <c r="L65" s="163"/>
      <c r="M65" s="163"/>
      <c r="O65" s="324">
        <f t="shared" si="8"/>
        <v>0.25286571016473086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999786</v>
      </c>
      <c r="D66" s="480">
        <f t="shared" si="9"/>
        <v>-217643</v>
      </c>
      <c r="E66" s="480">
        <f t="shared" si="9"/>
        <v>-69594</v>
      </c>
      <c r="F66" s="166">
        <f t="shared" ref="F66:I66" si="10">SUM(F30:F65)</f>
        <v>712549</v>
      </c>
      <c r="G66" s="166">
        <f t="shared" si="10"/>
        <v>106088</v>
      </c>
      <c r="H66" s="166">
        <f t="shared" si="10"/>
        <v>62058</v>
      </c>
      <c r="I66" s="166">
        <f t="shared" si="10"/>
        <v>880695</v>
      </c>
      <c r="J66" s="178">
        <f t="shared" si="7"/>
        <v>0.28292740125835464</v>
      </c>
      <c r="K66" s="465"/>
      <c r="L66" s="163"/>
      <c r="M66" s="163"/>
      <c r="O66" s="329">
        <f>I66/I$233</f>
        <v>66.856069232521065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'[31]Sch C'!D57</f>
        <v>284838</v>
      </c>
      <c r="D69" s="480">
        <f>'[31]Sch C'!F57+284838</f>
        <v>0</v>
      </c>
      <c r="E69" s="480">
        <f>+'[31]Sch C'!H57</f>
        <v>0</v>
      </c>
      <c r="F69" s="166">
        <f t="shared" ref="F69:F83" si="11">C69+D69+E69</f>
        <v>284838</v>
      </c>
      <c r="G69" s="626"/>
      <c r="H69" s="480">
        <v>-284838</v>
      </c>
      <c r="I69" s="166">
        <f>F69+G69+H69</f>
        <v>0</v>
      </c>
      <c r="J69" s="167">
        <f t="shared" ref="J69:J84" si="12">IF($I$213=0,0,I69/$I$213)</f>
        <v>0</v>
      </c>
      <c r="K69" s="458"/>
      <c r="L69" s="182"/>
      <c r="M69" s="163"/>
      <c r="O69" s="324">
        <f t="shared" ref="O69:O84" si="13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'[31]Sch C'!D58</f>
        <v>17358</v>
      </c>
      <c r="D70" s="480">
        <f>'[31]Sch C'!F58-37429</f>
        <v>0</v>
      </c>
      <c r="E70" s="480">
        <f>+'[31]Sch C'!H58</f>
        <v>0</v>
      </c>
      <c r="F70" s="166">
        <f t="shared" si="11"/>
        <v>17358</v>
      </c>
      <c r="G70" s="626"/>
      <c r="H70" s="480">
        <v>37429</v>
      </c>
      <c r="I70" s="166">
        <f t="shared" ref="I70:I83" si="14">F70+G70+H70</f>
        <v>54787</v>
      </c>
      <c r="J70" s="167">
        <f t="shared" si="12"/>
        <v>1.7600580828483727E-2</v>
      </c>
      <c r="K70" s="458"/>
      <c r="L70" s="182"/>
      <c r="M70" s="163"/>
      <c r="O70" s="324">
        <f t="shared" si="13"/>
        <v>4.1590374250360584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'[31]Sch C'!D59</f>
        <v>0</v>
      </c>
      <c r="D71" s="480">
        <f>'[31]Sch C'!F59</f>
        <v>0</v>
      </c>
      <c r="E71" s="480">
        <f>+'[31]Sch C'!H59</f>
        <v>0</v>
      </c>
      <c r="F71" s="166">
        <f t="shared" si="11"/>
        <v>0</v>
      </c>
      <c r="G71" s="626"/>
      <c r="H71" s="166"/>
      <c r="I71" s="166">
        <f t="shared" si="14"/>
        <v>0</v>
      </c>
      <c r="J71" s="167">
        <f t="shared" si="12"/>
        <v>0</v>
      </c>
      <c r="K71" s="458"/>
      <c r="L71" s="182"/>
      <c r="M71" s="163"/>
      <c r="O71" s="324">
        <f t="shared" si="13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'[31]Sch C'!D60</f>
        <v>13239</v>
      </c>
      <c r="D72" s="480">
        <f>'[31]Sch C'!F60</f>
        <v>0</v>
      </c>
      <c r="E72" s="480">
        <f>+'[31]Sch C'!H60</f>
        <v>0</v>
      </c>
      <c r="F72" s="166">
        <f t="shared" si="11"/>
        <v>13239</v>
      </c>
      <c r="G72" s="626"/>
      <c r="H72" s="166"/>
      <c r="I72" s="166">
        <f t="shared" si="14"/>
        <v>13239</v>
      </c>
      <c r="J72" s="167">
        <f t="shared" si="12"/>
        <v>4.2530908717085449E-3</v>
      </c>
      <c r="K72" s="458"/>
      <c r="L72" s="185"/>
      <c r="M72" s="163"/>
      <c r="O72" s="324">
        <f t="shared" si="13"/>
        <v>1.0050102482350263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'[31]Sch C'!D61</f>
        <v>4436</v>
      </c>
      <c r="D73" s="480">
        <f>'[31]Sch C'!F61</f>
        <v>0</v>
      </c>
      <c r="E73" s="480">
        <f>+'[31]Sch C'!H61</f>
        <v>0</v>
      </c>
      <c r="F73" s="166">
        <f t="shared" si="11"/>
        <v>4436</v>
      </c>
      <c r="G73" s="626"/>
      <c r="H73" s="166"/>
      <c r="I73" s="166">
        <f t="shared" si="14"/>
        <v>4436</v>
      </c>
      <c r="J73" s="167">
        <f t="shared" si="12"/>
        <v>1.4250858151596878E-3</v>
      </c>
      <c r="K73" s="458"/>
      <c r="L73" s="185"/>
      <c r="M73" s="163"/>
      <c r="O73" s="324">
        <f t="shared" si="13"/>
        <v>0.33674941167539663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'[31]Sch C'!D62</f>
        <v>8661</v>
      </c>
      <c r="D74" s="480">
        <f>'[31]Sch C'!F62</f>
        <v>0</v>
      </c>
      <c r="E74" s="480">
        <f>+'[31]Sch C'!H62</f>
        <v>0</v>
      </c>
      <c r="F74" s="166">
        <f t="shared" si="11"/>
        <v>8661</v>
      </c>
      <c r="G74" s="626"/>
      <c r="H74" s="166"/>
      <c r="I74" s="166">
        <f t="shared" si="14"/>
        <v>8661</v>
      </c>
      <c r="J74" s="167">
        <f t="shared" si="12"/>
        <v>2.7823868902385157E-3</v>
      </c>
      <c r="K74" s="458"/>
      <c r="L74" s="187"/>
      <c r="M74" s="163"/>
      <c r="O74" s="324">
        <f t="shared" si="13"/>
        <v>0.65748121156911865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'[31]Sch C'!D63</f>
        <v>0</v>
      </c>
      <c r="D75" s="480">
        <f>'[31]Sch C'!F63</f>
        <v>0</v>
      </c>
      <c r="E75" s="480">
        <f>+'[31]Sch C'!H63</f>
        <v>0</v>
      </c>
      <c r="F75" s="166">
        <f t="shared" si="11"/>
        <v>0</v>
      </c>
      <c r="G75" s="626"/>
      <c r="H75" s="166"/>
      <c r="I75" s="166">
        <f t="shared" si="14"/>
        <v>0</v>
      </c>
      <c r="J75" s="167">
        <f t="shared" si="12"/>
        <v>0</v>
      </c>
      <c r="K75" s="458"/>
      <c r="L75" s="187"/>
      <c r="M75" s="163"/>
      <c r="O75" s="324">
        <f t="shared" si="13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'[31]Sch C'!D64</f>
        <v>0</v>
      </c>
      <c r="D76" s="480">
        <f>'[31]Sch C'!F64</f>
        <v>0</v>
      </c>
      <c r="E76" s="480">
        <f>+'[31]Sch C'!H64</f>
        <v>0</v>
      </c>
      <c r="F76" s="166">
        <f t="shared" si="11"/>
        <v>0</v>
      </c>
      <c r="G76" s="626"/>
      <c r="H76" s="166"/>
      <c r="I76" s="166">
        <f t="shared" si="14"/>
        <v>0</v>
      </c>
      <c r="J76" s="167">
        <f t="shared" si="12"/>
        <v>0</v>
      </c>
      <c r="K76" s="458"/>
      <c r="L76" s="187"/>
      <c r="M76" s="163"/>
      <c r="O76" s="324">
        <f t="shared" si="13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'[31]Sch C'!D65</f>
        <v>6419</v>
      </c>
      <c r="D77" s="480">
        <f>'[31]Sch C'!F65</f>
        <v>0</v>
      </c>
      <c r="E77" s="480">
        <f>+'[31]Sch C'!H65</f>
        <v>0</v>
      </c>
      <c r="F77" s="166">
        <f t="shared" si="11"/>
        <v>6419</v>
      </c>
      <c r="G77" s="626"/>
      <c r="H77" s="166"/>
      <c r="I77" s="166">
        <f t="shared" si="14"/>
        <v>6419</v>
      </c>
      <c r="J77" s="167">
        <f t="shared" si="12"/>
        <v>2.0621338700428393E-3</v>
      </c>
      <c r="K77" s="458"/>
      <c r="L77" s="187"/>
      <c r="M77" s="163"/>
      <c r="O77" s="324">
        <f t="shared" si="13"/>
        <v>0.48728459728231988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'[31]Sch C'!D66</f>
        <v>4246</v>
      </c>
      <c r="D78" s="480">
        <f>'[31]Sch C'!F66</f>
        <v>0</v>
      </c>
      <c r="E78" s="480">
        <f>+'[31]Sch C'!H66</f>
        <v>0</v>
      </c>
      <c r="F78" s="166">
        <f t="shared" si="11"/>
        <v>4246</v>
      </c>
      <c r="G78" s="626"/>
      <c r="H78" s="166"/>
      <c r="I78" s="166">
        <f t="shared" si="14"/>
        <v>4246</v>
      </c>
      <c r="J78" s="167">
        <f t="shared" si="12"/>
        <v>1.3640474236176813E-3</v>
      </c>
      <c r="K78" s="458"/>
      <c r="L78" s="187"/>
      <c r="M78" s="163"/>
      <c r="O78" s="324">
        <f t="shared" si="13"/>
        <v>0.32232596978668487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'[31]Sch C'!D67</f>
        <v>20878</v>
      </c>
      <c r="D79" s="480">
        <f>'[31]Sch C'!F67</f>
        <v>-1166</v>
      </c>
      <c r="E79" s="480">
        <f>+'[31]Sch C'!H67</f>
        <v>0</v>
      </c>
      <c r="F79" s="166">
        <f t="shared" si="11"/>
        <v>19712</v>
      </c>
      <c r="G79" s="626"/>
      <c r="H79" s="166"/>
      <c r="I79" s="166">
        <f t="shared" si="14"/>
        <v>19712</v>
      </c>
      <c r="J79" s="167">
        <f t="shared" si="12"/>
        <v>6.3325724951370068E-3</v>
      </c>
      <c r="K79" s="458"/>
      <c r="L79" s="187"/>
      <c r="M79" s="163"/>
      <c r="O79" s="324">
        <f t="shared" si="13"/>
        <v>1.496394139527822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'[31]Sch C'!D68</f>
        <v>0</v>
      </c>
      <c r="D80" s="480">
        <f>'[31]Sch C'!F68</f>
        <v>0</v>
      </c>
      <c r="E80" s="480">
        <f>+'[31]Sch C'!H68</f>
        <v>0</v>
      </c>
      <c r="F80" s="166">
        <f t="shared" si="11"/>
        <v>0</v>
      </c>
      <c r="G80" s="626"/>
      <c r="H80" s="166"/>
      <c r="I80" s="166">
        <f t="shared" si="14"/>
        <v>0</v>
      </c>
      <c r="J80" s="167">
        <f t="shared" si="12"/>
        <v>0</v>
      </c>
      <c r="K80" s="458"/>
      <c r="L80" s="187"/>
      <c r="M80" s="163"/>
      <c r="O80" s="324">
        <f t="shared" si="13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'[31]Sch C'!D69</f>
        <v>1774</v>
      </c>
      <c r="D81" s="480">
        <f>'[31]Sch C'!F69</f>
        <v>0</v>
      </c>
      <c r="E81" s="480">
        <f>+'[31]Sch C'!H69</f>
        <v>0</v>
      </c>
      <c r="F81" s="166">
        <f t="shared" si="11"/>
        <v>1774</v>
      </c>
      <c r="G81" s="626"/>
      <c r="H81" s="166"/>
      <c r="I81" s="166">
        <f t="shared" si="14"/>
        <v>1774</v>
      </c>
      <c r="J81" s="167">
        <f t="shared" si="12"/>
        <v>5.6990582418694449E-4</v>
      </c>
      <c r="K81" s="458"/>
      <c r="L81" s="187"/>
      <c r="M81" s="163"/>
      <c r="O81" s="324">
        <f t="shared" si="13"/>
        <v>0.13466939952934032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'[31]Sch C'!D70</f>
        <v>0</v>
      </c>
      <c r="D82" s="480">
        <f>'[31]Sch C'!F70</f>
        <v>0</v>
      </c>
      <c r="E82" s="480">
        <f>+'[31]Sch C'!H70</f>
        <v>0</v>
      </c>
      <c r="F82" s="166">
        <f t="shared" si="11"/>
        <v>0</v>
      </c>
      <c r="G82" s="626"/>
      <c r="H82" s="166"/>
      <c r="I82" s="166">
        <f t="shared" si="14"/>
        <v>0</v>
      </c>
      <c r="J82" s="167">
        <f t="shared" si="12"/>
        <v>0</v>
      </c>
      <c r="K82" s="458"/>
      <c r="L82" s="187"/>
      <c r="M82" s="163"/>
      <c r="O82" s="324">
        <f t="shared" si="13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'[31]Sch C'!D71</f>
        <v>0</v>
      </c>
      <c r="D83" s="480">
        <f>'[31]Sch C'!F71</f>
        <v>0</v>
      </c>
      <c r="E83" s="480">
        <f>+'[31]Sch C'!H71</f>
        <v>0</v>
      </c>
      <c r="F83" s="166">
        <f t="shared" si="11"/>
        <v>0</v>
      </c>
      <c r="G83" s="626"/>
      <c r="H83" s="166"/>
      <c r="I83" s="166">
        <f t="shared" si="14"/>
        <v>0</v>
      </c>
      <c r="J83" s="167">
        <f t="shared" si="12"/>
        <v>0</v>
      </c>
      <c r="K83" s="458"/>
      <c r="L83" s="187"/>
      <c r="M83" s="163"/>
      <c r="O83" s="324">
        <f t="shared" si="13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361849</v>
      </c>
      <c r="D84" s="480">
        <f t="shared" si="15"/>
        <v>-1166</v>
      </c>
      <c r="E84" s="480">
        <f t="shared" si="15"/>
        <v>0</v>
      </c>
      <c r="F84" s="166">
        <f t="shared" ref="F84:I84" si="16">SUM(F69:F83)</f>
        <v>360683</v>
      </c>
      <c r="G84" s="166">
        <f t="shared" si="16"/>
        <v>0</v>
      </c>
      <c r="H84" s="166">
        <f t="shared" si="16"/>
        <v>-247409</v>
      </c>
      <c r="I84" s="166">
        <f t="shared" si="16"/>
        <v>113274</v>
      </c>
      <c r="J84" s="167">
        <f t="shared" si="12"/>
        <v>3.6389804018574945E-2</v>
      </c>
      <c r="K84" s="458"/>
      <c r="L84" s="187"/>
      <c r="M84" s="163"/>
      <c r="O84" s="324">
        <f t="shared" si="13"/>
        <v>8.5989524026417676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'[31]Sch C'!D75</f>
        <v>37990</v>
      </c>
      <c r="D87" s="480">
        <f>'[31]Sch C'!F75</f>
        <v>0</v>
      </c>
      <c r="E87" s="480">
        <f>+'[31]Sch C'!H75</f>
        <v>0</v>
      </c>
      <c r="F87" s="166">
        <f t="shared" ref="F87:F97" si="17">C87+D87+E87</f>
        <v>37990</v>
      </c>
      <c r="G87" s="626"/>
      <c r="H87" s="166"/>
      <c r="I87" s="166">
        <f t="shared" ref="I87:I97" si="18">F87+G87+H87</f>
        <v>37990</v>
      </c>
      <c r="J87" s="167">
        <f t="shared" ref="J87:J98" si="19">IF($I$213=0,0,I87/$I$213)</f>
        <v>1.2204465761478029E-2</v>
      </c>
      <c r="K87" s="458"/>
      <c r="L87" s="176">
        <v>1856</v>
      </c>
      <c r="M87" s="176">
        <v>1966</v>
      </c>
      <c r="O87" s="324">
        <f t="shared" ref="O87:O97" si="20">I87/I$233</f>
        <v>2.8839292492218931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'[31]Sch C'!D76</f>
        <v>5752</v>
      </c>
      <c r="D88" s="480">
        <f>'[31]Sch C'!F76</f>
        <v>2374</v>
      </c>
      <c r="E88" s="480">
        <f>+'[31]Sch C'!H76</f>
        <v>0</v>
      </c>
      <c r="F88" s="166">
        <f t="shared" si="17"/>
        <v>8126</v>
      </c>
      <c r="G88" s="626"/>
      <c r="H88" s="166"/>
      <c r="I88" s="166">
        <f t="shared" si="18"/>
        <v>8126</v>
      </c>
      <c r="J88" s="167">
        <f t="shared" si="19"/>
        <v>2.6105156298439182E-3</v>
      </c>
      <c r="K88" s="458"/>
      <c r="L88" s="163"/>
      <c r="M88" s="163"/>
      <c r="O88" s="324">
        <f t="shared" si="20"/>
        <v>0.61686783572458814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'[31]Sch C'!D77</f>
        <v>6249</v>
      </c>
      <c r="D89" s="480">
        <f>'[31]Sch C'!F77</f>
        <v>0</v>
      </c>
      <c r="E89" s="480">
        <f>+'[31]Sch C'!H77</f>
        <v>0</v>
      </c>
      <c r="F89" s="166">
        <f t="shared" si="17"/>
        <v>6249</v>
      </c>
      <c r="G89" s="626"/>
      <c r="H89" s="166"/>
      <c r="I89" s="166">
        <f t="shared" si="18"/>
        <v>6249</v>
      </c>
      <c r="J89" s="167">
        <f t="shared" si="19"/>
        <v>2.0075205723473597E-3</v>
      </c>
      <c r="K89" s="458"/>
      <c r="L89" s="163"/>
      <c r="M89" s="163"/>
      <c r="O89" s="324">
        <f t="shared" si="20"/>
        <v>0.47437941243452514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'[31]Sch C'!D78</f>
        <v>0</v>
      </c>
      <c r="D90" s="480">
        <f>'[31]Sch C'!F78</f>
        <v>0</v>
      </c>
      <c r="E90" s="480">
        <f>+'[31]Sch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'[31]Sch C'!D79</f>
        <v>7686</v>
      </c>
      <c r="D91" s="480">
        <f>'[31]Sch C'!F79</f>
        <v>0</v>
      </c>
      <c r="E91" s="480">
        <f>+'[31]Sch C'!H79</f>
        <v>0</v>
      </c>
      <c r="F91" s="166">
        <f t="shared" si="17"/>
        <v>7686</v>
      </c>
      <c r="G91" s="626">
        <v>401</v>
      </c>
      <c r="H91" s="166"/>
      <c r="I91" s="166">
        <f t="shared" si="18"/>
        <v>8087</v>
      </c>
      <c r="J91" s="167">
        <f t="shared" si="19"/>
        <v>2.5979866968431908E-3</v>
      </c>
      <c r="K91" s="458"/>
      <c r="L91" s="163"/>
      <c r="M91" s="163"/>
      <c r="O91" s="324">
        <f t="shared" si="20"/>
        <v>0.6139072344948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'[31]Sch C'!D80</f>
        <v>7235</v>
      </c>
      <c r="D92" s="480">
        <f>'[31]Sch C'!F80</f>
        <v>0</v>
      </c>
      <c r="E92" s="480">
        <f>+'[31]Sch C'!H80</f>
        <v>0</v>
      </c>
      <c r="F92" s="166">
        <f t="shared" si="17"/>
        <v>7235</v>
      </c>
      <c r="G92" s="626">
        <v>-357</v>
      </c>
      <c r="H92" s="166"/>
      <c r="I92" s="166">
        <f t="shared" si="18"/>
        <v>6878</v>
      </c>
      <c r="J92" s="167">
        <f t="shared" si="19"/>
        <v>2.209589773820634E-3</v>
      </c>
      <c r="K92" s="458"/>
      <c r="L92" s="163"/>
      <c r="M92" s="163"/>
      <c r="O92" s="324">
        <f t="shared" si="20"/>
        <v>0.52212859637136566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'[31]Sch C'!D81</f>
        <v>14258</v>
      </c>
      <c r="D93" s="480">
        <f>'[31]Sch C'!F81</f>
        <v>0</v>
      </c>
      <c r="E93" s="480">
        <f>+'[31]Sch C'!H81</f>
        <v>0</v>
      </c>
      <c r="F93" s="166">
        <f t="shared" si="17"/>
        <v>14258</v>
      </c>
      <c r="G93" s="626"/>
      <c r="H93" s="166"/>
      <c r="I93" s="166">
        <f t="shared" si="18"/>
        <v>14258</v>
      </c>
      <c r="J93" s="167">
        <f t="shared" si="19"/>
        <v>4.5804494031890953E-3</v>
      </c>
      <c r="K93" s="458"/>
      <c r="L93" s="163"/>
      <c r="M93" s="163"/>
      <c r="O93" s="324">
        <f t="shared" si="20"/>
        <v>1.0823654444697488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'[31]Sch C'!D82</f>
        <v>6666</v>
      </c>
      <c r="D94" s="480">
        <f>'[31]Sch C'!F82</f>
        <v>0</v>
      </c>
      <c r="E94" s="480">
        <f>+'[31]Sch C'!H82</f>
        <v>0</v>
      </c>
      <c r="F94" s="166">
        <f t="shared" si="17"/>
        <v>6666</v>
      </c>
      <c r="G94" s="626"/>
      <c r="H94" s="166"/>
      <c r="I94" s="166">
        <f t="shared" si="18"/>
        <v>6666</v>
      </c>
      <c r="J94" s="167">
        <f t="shared" si="19"/>
        <v>2.1414837790474477E-3</v>
      </c>
      <c r="K94" s="458"/>
      <c r="L94" s="163"/>
      <c r="M94" s="163"/>
      <c r="O94" s="324">
        <f t="shared" si="20"/>
        <v>0.50603507173764517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'[31]Sch C'!D83</f>
        <v>2542</v>
      </c>
      <c r="D95" s="480">
        <f>'[31]Sch C'!F83</f>
        <v>4790</v>
      </c>
      <c r="E95" s="480">
        <f>+'[31]Sch C'!H83</f>
        <v>0</v>
      </c>
      <c r="F95" s="166">
        <f t="shared" si="17"/>
        <v>7332</v>
      </c>
      <c r="G95" s="626"/>
      <c r="H95" s="166"/>
      <c r="I95" s="166">
        <f t="shared" si="18"/>
        <v>7332</v>
      </c>
      <c r="J95" s="167">
        <f t="shared" si="19"/>
        <v>2.3554394041367965E-3</v>
      </c>
      <c r="K95" s="458"/>
      <c r="L95" s="163"/>
      <c r="M95" s="163"/>
      <c r="O95" s="324">
        <f t="shared" si="20"/>
        <v>0.55659303120018222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'[31]Sch C'!D84</f>
        <v>49237</v>
      </c>
      <c r="D96" s="480">
        <f>'[31]Sch C'!F84</f>
        <v>0</v>
      </c>
      <c r="E96" s="480">
        <f>+'[31]Sch C'!H84</f>
        <v>0</v>
      </c>
      <c r="F96" s="166">
        <f t="shared" si="17"/>
        <v>49237</v>
      </c>
      <c r="G96" s="626"/>
      <c r="H96" s="166"/>
      <c r="I96" s="166">
        <f t="shared" si="18"/>
        <v>49237</v>
      </c>
      <c r="J96" s="167">
        <f t="shared" si="19"/>
        <v>1.5817617286072484E-2</v>
      </c>
      <c r="K96" s="458"/>
      <c r="L96" s="163"/>
      <c r="M96" s="163"/>
      <c r="O96" s="324">
        <f t="shared" si="20"/>
        <v>3.7377210961815837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'[31]Sch C'!D85</f>
        <v>0</v>
      </c>
      <c r="D97" s="480">
        <f>'[31]Sch C'!F85</f>
        <v>0</v>
      </c>
      <c r="E97" s="480">
        <f>+'[31]Sch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137615</v>
      </c>
      <c r="D98" s="480">
        <f t="shared" si="21"/>
        <v>7164</v>
      </c>
      <c r="E98" s="480">
        <f t="shared" si="21"/>
        <v>0</v>
      </c>
      <c r="F98" s="166">
        <f t="shared" ref="F98:I98" si="22">SUM(F87:F97)</f>
        <v>144779</v>
      </c>
      <c r="G98" s="166">
        <f t="shared" si="22"/>
        <v>44</v>
      </c>
      <c r="H98" s="166">
        <f t="shared" si="22"/>
        <v>0</v>
      </c>
      <c r="I98" s="166">
        <f t="shared" si="22"/>
        <v>144823</v>
      </c>
      <c r="J98" s="167">
        <f t="shared" si="19"/>
        <v>4.6525068306778959E-2</v>
      </c>
      <c r="K98" s="458"/>
      <c r="L98" s="163"/>
      <c r="M98" s="163"/>
      <c r="O98" s="329">
        <f>I98/I$233</f>
        <v>10.993926971836332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'[31]Sch C'!D89</f>
        <v>88386</v>
      </c>
      <c r="D101" s="480">
        <f>'[31]Sch C'!F89</f>
        <v>0</v>
      </c>
      <c r="E101" s="480">
        <f>+'[31]Sch C'!H89</f>
        <v>0</v>
      </c>
      <c r="F101" s="166">
        <f t="shared" ref="F101:F106" si="23">C101+D101+E101</f>
        <v>88386</v>
      </c>
      <c r="G101" s="626"/>
      <c r="H101" s="166"/>
      <c r="I101" s="166">
        <f t="shared" ref="I101:I106" si="24">F101+G101+H101</f>
        <v>88386</v>
      </c>
      <c r="J101" s="167">
        <f t="shared" ref="J101:J107" si="25">IF($I$213=0,0,I101/$I$213)</f>
        <v>2.8394417235956752E-2</v>
      </c>
      <c r="K101" s="458"/>
      <c r="L101" s="176">
        <v>7289</v>
      </c>
      <c r="M101" s="176">
        <v>7617</v>
      </c>
      <c r="O101" s="329">
        <f t="shared" ref="O101:O106" si="26">I101/I$233</f>
        <v>6.7096333409246185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'[31]Sch C'!D90</f>
        <v>12216</v>
      </c>
      <c r="D102" s="480">
        <f>'[31]Sch C'!F90</f>
        <v>5523</v>
      </c>
      <c r="E102" s="480">
        <f>+'[31]Sch C'!H90</f>
        <v>0</v>
      </c>
      <c r="F102" s="166">
        <f t="shared" si="23"/>
        <v>17739</v>
      </c>
      <c r="G102" s="626"/>
      <c r="H102" s="166"/>
      <c r="I102" s="166">
        <f t="shared" si="24"/>
        <v>17739</v>
      </c>
      <c r="J102" s="167">
        <f t="shared" si="25"/>
        <v>5.6987369871771189E-3</v>
      </c>
      <c r="K102" s="458"/>
      <c r="L102" s="163"/>
      <c r="M102" s="163"/>
      <c r="O102" s="329">
        <f t="shared" si="26"/>
        <v>1.3466180824413574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'[31]Sch C'!D91</f>
        <v>7390</v>
      </c>
      <c r="D103" s="480">
        <f>'[31]Sch C'!F91</f>
        <v>0</v>
      </c>
      <c r="E103" s="480">
        <f>+'[31]Sch C'!H91</f>
        <v>0</v>
      </c>
      <c r="F103" s="166">
        <f t="shared" si="23"/>
        <v>7390</v>
      </c>
      <c r="G103" s="626"/>
      <c r="H103" s="166"/>
      <c r="I103" s="166">
        <f t="shared" si="24"/>
        <v>7390</v>
      </c>
      <c r="J103" s="167">
        <f t="shared" si="25"/>
        <v>2.3740721762917248E-3</v>
      </c>
      <c r="K103" s="458"/>
      <c r="L103" s="163"/>
      <c r="M103" s="163"/>
      <c r="O103" s="329">
        <f t="shared" si="26"/>
        <v>0.5609959766188416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'[31]Sch C'!D92</f>
        <v>76770</v>
      </c>
      <c r="D104" s="480">
        <f>'[31]Sch C'!F92</f>
        <v>0</v>
      </c>
      <c r="E104" s="480">
        <f>+'[31]Sch C'!H92</f>
        <v>0</v>
      </c>
      <c r="F104" s="166">
        <f t="shared" si="23"/>
        <v>76770</v>
      </c>
      <c r="G104" s="626"/>
      <c r="H104" s="166"/>
      <c r="I104" s="166">
        <f t="shared" si="24"/>
        <v>76770</v>
      </c>
      <c r="J104" s="167">
        <f t="shared" si="25"/>
        <v>2.4662722729893873E-2</v>
      </c>
      <c r="K104" s="458"/>
      <c r="L104" s="163"/>
      <c r="M104" s="163"/>
      <c r="O104" s="329">
        <f t="shared" si="26"/>
        <v>5.827829651560009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'[31]Sch C'!D93</f>
        <v>9869</v>
      </c>
      <c r="D105" s="480">
        <f>'[31]Sch C'!F93</f>
        <v>0</v>
      </c>
      <c r="E105" s="480">
        <f>+'[31]Sch C'!H93</f>
        <v>0</v>
      </c>
      <c r="F105" s="166">
        <f t="shared" si="23"/>
        <v>9869</v>
      </c>
      <c r="G105" s="626"/>
      <c r="H105" s="166"/>
      <c r="I105" s="166">
        <f t="shared" si="24"/>
        <v>9869</v>
      </c>
      <c r="J105" s="167">
        <f t="shared" si="25"/>
        <v>3.1704625585687461E-3</v>
      </c>
      <c r="K105" s="458"/>
      <c r="L105" s="163"/>
      <c r="M105" s="163"/>
      <c r="O105" s="329">
        <f t="shared" si="26"/>
        <v>0.7491839368405071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'[31]Sch C'!D94</f>
        <v>0</v>
      </c>
      <c r="D106" s="480">
        <f>'[31]Sch C'!F94</f>
        <v>0</v>
      </c>
      <c r="E106" s="480">
        <f>+'[31]Sch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194631</v>
      </c>
      <c r="D107" s="480">
        <f t="shared" si="27"/>
        <v>5523</v>
      </c>
      <c r="E107" s="480">
        <f t="shared" si="27"/>
        <v>0</v>
      </c>
      <c r="F107" s="166">
        <f t="shared" ref="F107:I107" si="28">SUM(F101:F106)</f>
        <v>200154</v>
      </c>
      <c r="G107" s="166">
        <f t="shared" si="28"/>
        <v>0</v>
      </c>
      <c r="H107" s="166">
        <f t="shared" si="28"/>
        <v>0</v>
      </c>
      <c r="I107" s="166">
        <f t="shared" si="28"/>
        <v>200154</v>
      </c>
      <c r="J107" s="167">
        <f t="shared" si="25"/>
        <v>6.430041168788822E-2</v>
      </c>
      <c r="K107" s="458"/>
      <c r="L107" s="163"/>
      <c r="M107" s="163"/>
      <c r="O107" s="329">
        <f>I107/I$233</f>
        <v>15.194260988385334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'[31]Sch C'!D98</f>
        <v>19268</v>
      </c>
      <c r="D110" s="480">
        <f>'[31]Sch C'!F98</f>
        <v>0</v>
      </c>
      <c r="E110" s="480">
        <f>+'[31]Sch C'!H98</f>
        <v>0</v>
      </c>
      <c r="F110" s="166">
        <f t="shared" ref="F110:F115" si="29">C110+D110+E110</f>
        <v>19268</v>
      </c>
      <c r="G110" s="626"/>
      <c r="H110" s="166"/>
      <c r="I110" s="166">
        <f t="shared" ref="I110:I115" si="30">F110+G110+H110</f>
        <v>19268</v>
      </c>
      <c r="J110" s="167">
        <f t="shared" ref="J110:J116" si="31">IF($I$213=0,0,I110/$I$213)</f>
        <v>6.1899354117441081E-3</v>
      </c>
      <c r="K110" s="458"/>
      <c r="L110" s="176">
        <v>1928</v>
      </c>
      <c r="M110" s="176">
        <v>2049</v>
      </c>
      <c r="O110" s="329">
        <f t="shared" ref="O110:O115" si="32">I110/I$233</f>
        <v>1.4626888332194641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'[31]Sch C'!D99</f>
        <v>2847</v>
      </c>
      <c r="D111" s="480">
        <f>'[31]Sch C'!F99</f>
        <v>1204</v>
      </c>
      <c r="E111" s="480">
        <f>+'[31]Sch C'!H99</f>
        <v>0</v>
      </c>
      <c r="F111" s="166">
        <f t="shared" si="29"/>
        <v>4051</v>
      </c>
      <c r="G111" s="626"/>
      <c r="H111" s="166"/>
      <c r="I111" s="166">
        <f t="shared" si="30"/>
        <v>4051</v>
      </c>
      <c r="J111" s="167">
        <f t="shared" si="31"/>
        <v>1.301402758614043E-3</v>
      </c>
      <c r="K111" s="458"/>
      <c r="L111" s="163"/>
      <c r="M111" s="163"/>
      <c r="O111" s="329">
        <f t="shared" si="32"/>
        <v>0.3075229636377439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'[31]Sch C'!D100</f>
        <v>5638</v>
      </c>
      <c r="D112" s="480">
        <f>'[31]Sch C'!F100</f>
        <v>0</v>
      </c>
      <c r="E112" s="480">
        <f>+'[31]Sch C'!H100</f>
        <v>0</v>
      </c>
      <c r="F112" s="166">
        <f t="shared" si="29"/>
        <v>5638</v>
      </c>
      <c r="G112" s="626"/>
      <c r="H112" s="166"/>
      <c r="I112" s="166">
        <f t="shared" si="30"/>
        <v>5638</v>
      </c>
      <c r="J112" s="167">
        <f t="shared" si="31"/>
        <v>1.8112339553359601E-3</v>
      </c>
      <c r="K112" s="458"/>
      <c r="L112" s="163"/>
      <c r="M112" s="163"/>
      <c r="O112" s="329">
        <f t="shared" si="32"/>
        <v>0.42799665983450996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'[31]Sch C'!D101</f>
        <v>452</v>
      </c>
      <c r="D113" s="480">
        <f>'[31]Sch C'!F101</f>
        <v>0</v>
      </c>
      <c r="E113" s="480">
        <f>+'[31]Sch C'!H101</f>
        <v>0</v>
      </c>
      <c r="F113" s="166">
        <f t="shared" si="29"/>
        <v>452</v>
      </c>
      <c r="G113" s="626"/>
      <c r="H113" s="166"/>
      <c r="I113" s="166">
        <f t="shared" si="30"/>
        <v>452</v>
      </c>
      <c r="J113" s="167">
        <f t="shared" si="31"/>
        <v>1.4520712093151009E-4</v>
      </c>
      <c r="K113" s="458"/>
      <c r="L113" s="163"/>
      <c r="M113" s="163"/>
      <c r="O113" s="329">
        <f t="shared" si="32"/>
        <v>3.4312609124724815E-2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'[31]Sch C'!D102</f>
        <v>1804</v>
      </c>
      <c r="D114" s="480">
        <f>'[31]Sch C'!F102</f>
        <v>0</v>
      </c>
      <c r="E114" s="480">
        <f>+'[31]Sch C'!H102</f>
        <v>0</v>
      </c>
      <c r="F114" s="166">
        <f t="shared" si="29"/>
        <v>1804</v>
      </c>
      <c r="G114" s="626"/>
      <c r="H114" s="166"/>
      <c r="I114" s="166">
        <f t="shared" si="30"/>
        <v>1804</v>
      </c>
      <c r="J114" s="167">
        <f t="shared" si="31"/>
        <v>5.7954346495673508E-4</v>
      </c>
      <c r="K114" s="458"/>
      <c r="L114" s="163"/>
      <c r="M114" s="163"/>
      <c r="O114" s="329">
        <f t="shared" si="32"/>
        <v>0.13694678509071587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'[31]Sch C'!D103</f>
        <v>0</v>
      </c>
      <c r="D115" s="480">
        <f>'[31]Sch C'!F103</f>
        <v>0</v>
      </c>
      <c r="E115" s="480">
        <f>+'[31]Sch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30009</v>
      </c>
      <c r="D116" s="480">
        <f t="shared" si="33"/>
        <v>1204</v>
      </c>
      <c r="E116" s="480">
        <f t="shared" si="33"/>
        <v>0</v>
      </c>
      <c r="F116" s="166">
        <f t="shared" ref="F116:I116" si="34">SUM(F110:F115)</f>
        <v>31213</v>
      </c>
      <c r="G116" s="166">
        <f t="shared" si="34"/>
        <v>0</v>
      </c>
      <c r="H116" s="166">
        <f t="shared" si="34"/>
        <v>0</v>
      </c>
      <c r="I116" s="166">
        <f t="shared" si="34"/>
        <v>31213</v>
      </c>
      <c r="J116" s="167">
        <f t="shared" si="31"/>
        <v>1.0027322711582356E-2</v>
      </c>
      <c r="K116" s="458"/>
      <c r="L116" s="163"/>
      <c r="M116" s="163"/>
      <c r="O116" s="329">
        <f>I116/I$233</f>
        <v>2.3694678509071587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'[31]Sch C'!D115</f>
        <v>45838</v>
      </c>
      <c r="D119" s="480">
        <f>'[31]Sch C'!F115</f>
        <v>0</v>
      </c>
      <c r="E119" s="480">
        <f>+'[31]Sch C'!H115</f>
        <v>0</v>
      </c>
      <c r="F119" s="166">
        <f>C119+D119+E119</f>
        <v>45838</v>
      </c>
      <c r="G119" s="626"/>
      <c r="H119" s="166"/>
      <c r="I119" s="166">
        <f t="shared" ref="I119:I123" si="35">F119+G119+H119</f>
        <v>45838</v>
      </c>
      <c r="J119" s="167">
        <f t="shared" ref="J119:J124" si="36">IF($I$213=0,0,I119/$I$213)</f>
        <v>1.4725672586855221E-2</v>
      </c>
      <c r="K119" s="458"/>
      <c r="L119" s="176">
        <v>4243</v>
      </c>
      <c r="M119" s="176">
        <v>4477</v>
      </c>
      <c r="O119" s="329">
        <f t="shared" ref="O119:O124" si="37">I119/I$233</f>
        <v>3.4796933120777349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'[31]Sch C'!D116</f>
        <v>6388</v>
      </c>
      <c r="D120" s="480">
        <f>'[31]Sch C'!F116</f>
        <v>2864</v>
      </c>
      <c r="E120" s="480">
        <f>+'[31]Sch C'!H116</f>
        <v>0</v>
      </c>
      <c r="F120" s="166">
        <f>C120+D120+E120</f>
        <v>9252</v>
      </c>
      <c r="G120" s="626"/>
      <c r="H120" s="166"/>
      <c r="I120" s="166">
        <f t="shared" si="35"/>
        <v>9252</v>
      </c>
      <c r="J120" s="167">
        <f t="shared" si="36"/>
        <v>2.9722484134033882E-3</v>
      </c>
      <c r="K120" s="458"/>
      <c r="L120" s="163"/>
      <c r="M120" s="163"/>
      <c r="O120" s="329">
        <f t="shared" si="37"/>
        <v>0.70234570712821676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'[31]Sch C'!D117</f>
        <v>9517</v>
      </c>
      <c r="D121" s="480">
        <f>'[31]Sch C'!F117</f>
        <v>0</v>
      </c>
      <c r="E121" s="480">
        <f>+'[31]Sch C'!H117</f>
        <v>0</v>
      </c>
      <c r="F121" s="166">
        <f>C121+D121+E121</f>
        <v>9517</v>
      </c>
      <c r="G121" s="626"/>
      <c r="H121" s="166"/>
      <c r="I121" s="166">
        <f t="shared" si="35"/>
        <v>9517</v>
      </c>
      <c r="J121" s="167">
        <f t="shared" si="36"/>
        <v>3.057380906869871E-3</v>
      </c>
      <c r="K121" s="458"/>
      <c r="L121" s="163"/>
      <c r="M121" s="163"/>
      <c r="O121" s="329">
        <f t="shared" si="37"/>
        <v>0.7224626129203674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'[31]Sch C'!D118</f>
        <v>2213</v>
      </c>
      <c r="D122" s="480">
        <f>'[31]Sch C'!F118</f>
        <v>0</v>
      </c>
      <c r="E122" s="480">
        <f>+'[31]Sch C'!H118</f>
        <v>0</v>
      </c>
      <c r="F122" s="166">
        <f>C122+D122+E122</f>
        <v>2213</v>
      </c>
      <c r="G122" s="626"/>
      <c r="H122" s="166"/>
      <c r="I122" s="166">
        <f t="shared" si="35"/>
        <v>2213</v>
      </c>
      <c r="J122" s="167">
        <f t="shared" si="36"/>
        <v>7.1093663411821205E-4</v>
      </c>
      <c r="K122" s="458"/>
      <c r="L122" s="163"/>
      <c r="M122" s="163"/>
      <c r="O122" s="329">
        <f t="shared" si="37"/>
        <v>0.16799514157746906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'[31]Sch C'!D119</f>
        <v>0</v>
      </c>
      <c r="D123" s="480">
        <f>'[31]Sch C'!F119</f>
        <v>0</v>
      </c>
      <c r="E123" s="480">
        <f>+'[31]Sch C'!H119</f>
        <v>0</v>
      </c>
      <c r="F123" s="166">
        <f>C123+D123+E123</f>
        <v>0</v>
      </c>
      <c r="G123" s="626"/>
      <c r="H123" s="166"/>
      <c r="I123" s="166">
        <f t="shared" si="35"/>
        <v>0</v>
      </c>
      <c r="J123" s="167">
        <f t="shared" si="36"/>
        <v>0</v>
      </c>
      <c r="K123" s="458"/>
      <c r="L123" s="163"/>
      <c r="M123" s="163"/>
      <c r="O123" s="329">
        <f t="shared" si="37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8">SUM(C119:C123)</f>
        <v>63956</v>
      </c>
      <c r="D124" s="480">
        <f t="shared" si="38"/>
        <v>2864</v>
      </c>
      <c r="E124" s="480">
        <f t="shared" si="38"/>
        <v>0</v>
      </c>
      <c r="F124" s="166">
        <f t="shared" ref="F124:I124" si="39">SUM(F119:F123)</f>
        <v>66820</v>
      </c>
      <c r="G124" s="166">
        <f t="shared" si="39"/>
        <v>0</v>
      </c>
      <c r="H124" s="166">
        <f t="shared" si="39"/>
        <v>0</v>
      </c>
      <c r="I124" s="166">
        <f t="shared" si="39"/>
        <v>66820</v>
      </c>
      <c r="J124" s="167">
        <f t="shared" si="36"/>
        <v>2.1466238541246692E-2</v>
      </c>
      <c r="K124" s="458"/>
      <c r="L124" s="163"/>
      <c r="M124" s="163"/>
      <c r="O124" s="329">
        <f t="shared" si="37"/>
        <v>5.0724967737037883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'[31]Sch C'!D124</f>
        <v>0</v>
      </c>
      <c r="D128" s="480">
        <f>'[31]Sch C'!F124</f>
        <v>0</v>
      </c>
      <c r="E128" s="480">
        <f>+'[31]Sch C'!H124</f>
        <v>0</v>
      </c>
      <c r="F128" s="166">
        <f>C128+D128+E128</f>
        <v>0</v>
      </c>
      <c r="G128" s="626"/>
      <c r="H128" s="166"/>
      <c r="I128" s="166">
        <f t="shared" ref="I128:I132" si="40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1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'[31]Sch C'!D125</f>
        <v>87042</v>
      </c>
      <c r="D129" s="480">
        <f>'[31]Sch C'!F125</f>
        <v>0</v>
      </c>
      <c r="E129" s="480">
        <f>+'[31]Sch C'!H125</f>
        <v>29561</v>
      </c>
      <c r="F129" s="166">
        <f>C129+D129+E129</f>
        <v>116603</v>
      </c>
      <c r="G129" s="626"/>
      <c r="H129" s="166"/>
      <c r="I129" s="166">
        <f t="shared" si="40"/>
        <v>116603</v>
      </c>
      <c r="J129" s="167">
        <f>IF($I$213=0,0,I129/$I$213)</f>
        <v>3.7459260889329361E-2</v>
      </c>
      <c r="K129" s="458" t="s">
        <v>374</v>
      </c>
      <c r="L129" s="176">
        <v>2457</v>
      </c>
      <c r="M129" s="176">
        <v>2558</v>
      </c>
      <c r="O129" s="329">
        <f t="shared" si="41"/>
        <v>8.8516662871024057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'[31]Sch C'!D126</f>
        <v>45546</v>
      </c>
      <c r="D130" s="480">
        <f>'[31]Sch C'!F126</f>
        <v>0</v>
      </c>
      <c r="E130" s="480">
        <f>+'[31]Sch C'!H126</f>
        <v>0</v>
      </c>
      <c r="F130" s="166">
        <f>C130+D130+E130</f>
        <v>45546</v>
      </c>
      <c r="G130" s="626"/>
      <c r="H130" s="166"/>
      <c r="I130" s="166">
        <f t="shared" si="40"/>
        <v>45546</v>
      </c>
      <c r="J130" s="167">
        <f>IF($I$213=0,0,I130/$I$213)</f>
        <v>1.4631866216695927E-2</v>
      </c>
      <c r="K130" s="458"/>
      <c r="L130" s="176">
        <v>337</v>
      </c>
      <c r="M130" s="176">
        <v>337</v>
      </c>
      <c r="O130" s="329">
        <f t="shared" si="41"/>
        <v>3.4575267592803463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'[31]Sch C'!D127</f>
        <v>0</v>
      </c>
      <c r="D131" s="480">
        <f>'[31]Sch C'!F127</f>
        <v>0</v>
      </c>
      <c r="E131" s="480">
        <f>+'[31]Sch C'!H127</f>
        <v>0</v>
      </c>
      <c r="F131" s="166">
        <f>C131+D131+E131</f>
        <v>0</v>
      </c>
      <c r="G131" s="626"/>
      <c r="H131" s="166"/>
      <c r="I131" s="166">
        <f t="shared" si="40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1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'[31]Sch C'!D128</f>
        <v>27435</v>
      </c>
      <c r="D132" s="480">
        <f>'[31]Sch C'!F128</f>
        <v>0</v>
      </c>
      <c r="E132" s="480">
        <f>+'[31]Sch C'!H128</f>
        <v>0</v>
      </c>
      <c r="F132" s="166">
        <f>C132+D132+E132</f>
        <v>27435</v>
      </c>
      <c r="G132" s="626"/>
      <c r="H132" s="166"/>
      <c r="I132" s="166">
        <f t="shared" si="40"/>
        <v>27435</v>
      </c>
      <c r="J132" s="167">
        <f>IF($I$213=0,0,I132/$I$213)</f>
        <v>8.8136224839734066E-3</v>
      </c>
      <c r="K132" s="458"/>
      <c r="L132" s="176">
        <v>2197</v>
      </c>
      <c r="M132" s="176">
        <v>2310</v>
      </c>
      <c r="O132" s="329">
        <f t="shared" si="41"/>
        <v>2.0826690958779319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'[31]Sch C'!D130</f>
        <v>0</v>
      </c>
      <c r="D134" s="480">
        <f>'[31]Sch C'!F130</f>
        <v>0</v>
      </c>
      <c r="E134" s="480">
        <f>+'[31]Sch C'!H130</f>
        <v>0</v>
      </c>
      <c r="F134" s="166">
        <f>C134+D134+E134</f>
        <v>0</v>
      </c>
      <c r="G134" s="626"/>
      <c r="H134" s="166"/>
      <c r="I134" s="166">
        <f t="shared" ref="I134:I138" si="42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1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'[31]Sch C'!D131</f>
        <v>0</v>
      </c>
      <c r="D135" s="480">
        <f>'[31]Sch C'!F131</f>
        <v>5439</v>
      </c>
      <c r="E135" s="480">
        <f>+'[31]Sch C'!H131</f>
        <v>3081</v>
      </c>
      <c r="F135" s="166">
        <f>C135+D135+E135</f>
        <v>8520</v>
      </c>
      <c r="G135" s="626">
        <v>17335</v>
      </c>
      <c r="H135" s="166"/>
      <c r="I135" s="166">
        <f t="shared" si="42"/>
        <v>25855</v>
      </c>
      <c r="J135" s="167">
        <f>IF($I$213=0,0,I135/$I$213)</f>
        <v>8.3060400700977737E-3</v>
      </c>
      <c r="K135" s="458" t="s">
        <v>374</v>
      </c>
      <c r="L135" s="196"/>
      <c r="M135" s="196"/>
      <c r="O135" s="329">
        <f t="shared" si="41"/>
        <v>1.962726789645487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'[31]Sch C'!D132</f>
        <v>0</v>
      </c>
      <c r="D136" s="480">
        <f>'[31]Sch C'!F132</f>
        <v>2846</v>
      </c>
      <c r="E136" s="480">
        <f>+'[31]Sch C'!H132</f>
        <v>0</v>
      </c>
      <c r="F136" s="166">
        <f>C136+D136+E136</f>
        <v>2846</v>
      </c>
      <c r="G136" s="626">
        <v>6771</v>
      </c>
      <c r="H136" s="166"/>
      <c r="I136" s="166">
        <f t="shared" si="42"/>
        <v>9617</v>
      </c>
      <c r="J136" s="167">
        <f>IF($I$213=0,0,I136/$I$213)</f>
        <v>3.089506376102506E-3</v>
      </c>
      <c r="K136" s="458"/>
      <c r="L136" s="163"/>
      <c r="M136" s="163"/>
      <c r="O136" s="329">
        <f t="shared" si="41"/>
        <v>0.73005389812495258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'[31]Sch C'!D133</f>
        <v>0</v>
      </c>
      <c r="D137" s="480">
        <f>'[31]Sch C'!F133</f>
        <v>0</v>
      </c>
      <c r="E137" s="480">
        <f>+'[31]Sch C'!H133</f>
        <v>0</v>
      </c>
      <c r="F137" s="166">
        <f>C137+D137+E137</f>
        <v>0</v>
      </c>
      <c r="G137" s="626"/>
      <c r="H137" s="166"/>
      <c r="I137" s="166">
        <f t="shared" si="42"/>
        <v>0</v>
      </c>
      <c r="J137" s="167">
        <f>IF($I$213=0,0,I137/$I$213)</f>
        <v>0</v>
      </c>
      <c r="K137" s="458"/>
      <c r="L137" s="163"/>
      <c r="M137" s="163"/>
      <c r="O137" s="329">
        <f t="shared" si="41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'[31]Sch C'!D134</f>
        <v>0</v>
      </c>
      <c r="D138" s="480">
        <f>'[31]Sch C'!F134</f>
        <v>1714</v>
      </c>
      <c r="E138" s="480">
        <f>+'[31]Sch C'!H134</f>
        <v>0</v>
      </c>
      <c r="F138" s="166">
        <f>C138+D138+E138</f>
        <v>1714</v>
      </c>
      <c r="G138" s="626">
        <v>4079</v>
      </c>
      <c r="H138" s="166"/>
      <c r="I138" s="166">
        <f t="shared" si="42"/>
        <v>5793</v>
      </c>
      <c r="J138" s="167">
        <f>IF($I$213=0,0,I138/$I$213)</f>
        <v>1.8610284326465443E-3</v>
      </c>
      <c r="K138" s="458"/>
      <c r="L138" s="163"/>
      <c r="M138" s="163"/>
      <c r="O138" s="329">
        <f t="shared" si="41"/>
        <v>0.43976315190161697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'[31]Sch C'!D136</f>
        <v>117307</v>
      </c>
      <c r="D140" s="480">
        <f>'[31]Sch C'!F136</f>
        <v>0</v>
      </c>
      <c r="E140" s="480">
        <f>+'[31]Sch C'!H136</f>
        <v>0</v>
      </c>
      <c r="F140" s="166">
        <f>C140+D140+E140</f>
        <v>117307</v>
      </c>
      <c r="G140" s="626"/>
      <c r="H140" s="166"/>
      <c r="I140" s="166">
        <f t="shared" ref="I140:I143" si="43">F140+G140+H140</f>
        <v>117307</v>
      </c>
      <c r="J140" s="167">
        <f>IF($I$213=0,0,I140/$I$213)</f>
        <v>3.7685424192727114E-2</v>
      </c>
      <c r="K140" s="458"/>
      <c r="L140" s="176">
        <v>4052</v>
      </c>
      <c r="M140" s="176">
        <v>4179</v>
      </c>
      <c r="O140" s="329">
        <f t="shared" si="41"/>
        <v>8.9051089349426853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'[31]Sch C'!D137</f>
        <v>229200</v>
      </c>
      <c r="D141" s="480">
        <f>'[31]Sch C'!F137</f>
        <v>0</v>
      </c>
      <c r="E141" s="480">
        <f>+'[31]Sch C'!H137</f>
        <v>0</v>
      </c>
      <c r="F141" s="166">
        <f>C141+D141+E141</f>
        <v>229200</v>
      </c>
      <c r="G141" s="626"/>
      <c r="H141" s="166"/>
      <c r="I141" s="166">
        <f t="shared" si="43"/>
        <v>229200</v>
      </c>
      <c r="J141" s="167">
        <f>IF($I$213=0,0,I141/$I$213)</f>
        <v>7.3631575481199377E-2</v>
      </c>
      <c r="K141" s="458"/>
      <c r="L141" s="176">
        <v>9222</v>
      </c>
      <c r="M141" s="176">
        <v>9726</v>
      </c>
      <c r="O141" s="329">
        <f t="shared" si="41"/>
        <v>17.399225688909134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'[31]Sch C'!D138</f>
        <v>344139</v>
      </c>
      <c r="D142" s="480">
        <f>'[31]Sch C'!F138</f>
        <v>0</v>
      </c>
      <c r="E142" s="480">
        <f>+'[31]Sch C'!H138</f>
        <v>0</v>
      </c>
      <c r="F142" s="166">
        <f>C142+D142+E142</f>
        <v>344139</v>
      </c>
      <c r="G142" s="626"/>
      <c r="H142" s="166"/>
      <c r="I142" s="166">
        <f t="shared" si="43"/>
        <v>344139</v>
      </c>
      <c r="J142" s="167">
        <f>IF($I$213=0,0,I142/$I$213)</f>
        <v>0.11055626856249769</v>
      </c>
      <c r="K142" s="458"/>
      <c r="L142" s="176">
        <v>27749</v>
      </c>
      <c r="M142" s="176">
        <v>29984</v>
      </c>
      <c r="O142" s="329">
        <f t="shared" si="41"/>
        <v>26.124572990207241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'[31]Sch C'!D139</f>
        <v>7864</v>
      </c>
      <c r="D143" s="480">
        <f>'[31]Sch C'!F139</f>
        <v>0</v>
      </c>
      <c r="E143" s="480">
        <f>+'[31]Sch C'!H139</f>
        <v>0</v>
      </c>
      <c r="F143" s="166">
        <f>C143+D143+E143</f>
        <v>7864</v>
      </c>
      <c r="G143" s="626"/>
      <c r="H143" s="166"/>
      <c r="I143" s="166">
        <f t="shared" si="43"/>
        <v>7864</v>
      </c>
      <c r="J143" s="167">
        <f>IF($I$213=0,0,I143/$I$213)</f>
        <v>2.5263469004544147E-3</v>
      </c>
      <c r="K143" s="458"/>
      <c r="L143" s="176">
        <v>733</v>
      </c>
      <c r="M143" s="176">
        <v>741</v>
      </c>
      <c r="O143" s="329">
        <f t="shared" si="41"/>
        <v>0.59697866848857517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'[31]Sch C'!D141</f>
        <v>0</v>
      </c>
      <c r="D145" s="480">
        <f>'[31]Sch C'!F141</f>
        <v>7330</v>
      </c>
      <c r="E145" s="480">
        <f>+'[31]Sch C'!H141</f>
        <v>0</v>
      </c>
      <c r="F145" s="166">
        <f>C145+D145+E145</f>
        <v>7330</v>
      </c>
      <c r="G145" s="626">
        <v>17439</v>
      </c>
      <c r="H145" s="166"/>
      <c r="I145" s="166">
        <f t="shared" ref="I145:I148" si="44">F145+G145+H145</f>
        <v>24769</v>
      </c>
      <c r="J145" s="167">
        <f>IF($I$213=0,0,I145/$I$213)</f>
        <v>7.9571574742313585E-3</v>
      </c>
      <c r="K145" s="458"/>
      <c r="L145" s="163"/>
      <c r="M145" s="163"/>
      <c r="O145" s="329">
        <f t="shared" si="41"/>
        <v>1.8802854323236924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'[31]Sch C'!D142</f>
        <v>0</v>
      </c>
      <c r="D146" s="480">
        <f>'[31]Sch C'!F142</f>
        <v>14322</v>
      </c>
      <c r="E146" s="480">
        <f>+'[31]Sch C'!H142</f>
        <v>0</v>
      </c>
      <c r="F146" s="166">
        <f>C146+D146+E146</f>
        <v>14322</v>
      </c>
      <c r="G146" s="626">
        <v>34074</v>
      </c>
      <c r="H146" s="166"/>
      <c r="I146" s="166">
        <f t="shared" si="44"/>
        <v>48396</v>
      </c>
      <c r="J146" s="167">
        <f>IF($I$213=0,0,I146/$I$213)</f>
        <v>1.5547442089826025E-2</v>
      </c>
      <c r="K146" s="458"/>
      <c r="L146" s="163"/>
      <c r="M146" s="163"/>
      <c r="O146" s="329">
        <f t="shared" si="41"/>
        <v>3.6738783876110226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'[31]Sch C'!D143</f>
        <v>0</v>
      </c>
      <c r="D147" s="480">
        <f>'[31]Sch C'!F143</f>
        <v>21505</v>
      </c>
      <c r="E147" s="480">
        <f>+'[31]Sch C'!H143</f>
        <v>0</v>
      </c>
      <c r="F147" s="166">
        <f>C147+D147+E147</f>
        <v>21505</v>
      </c>
      <c r="G147" s="626">
        <v>51161</v>
      </c>
      <c r="H147" s="166"/>
      <c r="I147" s="166">
        <f t="shared" si="44"/>
        <v>72666</v>
      </c>
      <c r="J147" s="167">
        <f>IF($I$213=0,0,I147/$I$213)</f>
        <v>2.3344293472586534E-2</v>
      </c>
      <c r="K147" s="458"/>
      <c r="L147" s="163"/>
      <c r="M147" s="163"/>
      <c r="O147" s="329">
        <f t="shared" si="41"/>
        <v>5.5162833067638353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'[31]Sch C'!D144</f>
        <v>132027</v>
      </c>
      <c r="D148" s="480">
        <f>'[31]Sch C'!F144</f>
        <v>491</v>
      </c>
      <c r="E148" s="480">
        <f>+'[31]Sch C'!H144</f>
        <v>0</v>
      </c>
      <c r="F148" s="166">
        <f>C148+D148+E148</f>
        <v>132518</v>
      </c>
      <c r="G148" s="626">
        <v>-130859</v>
      </c>
      <c r="H148" s="166"/>
      <c r="I148" s="166">
        <f t="shared" si="44"/>
        <v>1659</v>
      </c>
      <c r="J148" s="167">
        <f>IF($I$213=0,0,I148/$I$213)</f>
        <v>5.3296153456941432E-4</v>
      </c>
      <c r="K148" s="458"/>
      <c r="L148" s="163"/>
      <c r="M148" s="163"/>
      <c r="O148" s="329">
        <f t="shared" si="41"/>
        <v>0.1259394215440674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'[31]Sch C'!D146</f>
        <v>14400</v>
      </c>
      <c r="D150" s="480">
        <f>'[31]Sch C'!F146</f>
        <v>0</v>
      </c>
      <c r="E150" s="480">
        <f>+'[31]Sch C'!H146</f>
        <v>0</v>
      </c>
      <c r="F150" s="166">
        <f t="shared" ref="F150:F158" si="45">C150+D150+E150</f>
        <v>14400</v>
      </c>
      <c r="G150" s="626"/>
      <c r="H150" s="166"/>
      <c r="I150" s="166">
        <f t="shared" ref="I150:I158" si="46">F150+G150+H150</f>
        <v>14400</v>
      </c>
      <c r="J150" s="167">
        <f t="shared" ref="J150:J158" si="47">IF($I$213=0,0,I150/$I$213)</f>
        <v>4.6260675694994374E-3</v>
      </c>
      <c r="K150" s="458"/>
      <c r="L150" s="176">
        <v>264</v>
      </c>
      <c r="M150" s="176">
        <v>264</v>
      </c>
      <c r="O150" s="329">
        <f t="shared" si="41"/>
        <v>1.0931450694602596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'[31]Sch C'!D147</f>
        <v>255</v>
      </c>
      <c r="D151" s="480">
        <f>'[31]Sch C'!F147</f>
        <v>0</v>
      </c>
      <c r="E151" s="480">
        <f>+'[31]Sch C'!H147</f>
        <v>0</v>
      </c>
      <c r="F151" s="166">
        <f t="shared" si="45"/>
        <v>255</v>
      </c>
      <c r="G151" s="626"/>
      <c r="H151" s="166"/>
      <c r="I151" s="166">
        <f t="shared" si="46"/>
        <v>255</v>
      </c>
      <c r="J151" s="167">
        <f t="shared" si="47"/>
        <v>8.1919946543219197E-5</v>
      </c>
      <c r="K151" s="458"/>
      <c r="L151" s="176">
        <v>5</v>
      </c>
      <c r="M151" s="176">
        <v>5</v>
      </c>
      <c r="O151" s="329">
        <f t="shared" si="41"/>
        <v>1.9357777271692099E-2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'[31]Sch C'!D148</f>
        <v>0</v>
      </c>
      <c r="D152" s="480">
        <f>'[31]Sch C'!F148</f>
        <v>0</v>
      </c>
      <c r="E152" s="480">
        <f>+'[31]Sch C'!H148</f>
        <v>0</v>
      </c>
      <c r="F152" s="166">
        <f t="shared" si="45"/>
        <v>0</v>
      </c>
      <c r="G152" s="626"/>
      <c r="H152" s="166"/>
      <c r="I152" s="166">
        <f t="shared" si="46"/>
        <v>0</v>
      </c>
      <c r="J152" s="167">
        <f t="shared" si="47"/>
        <v>0</v>
      </c>
      <c r="K152" s="458"/>
      <c r="L152" s="176">
        <v>0</v>
      </c>
      <c r="M152" s="176">
        <v>0</v>
      </c>
      <c r="O152" s="329">
        <f t="shared" si="41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'[31]Sch C'!D149</f>
        <v>0</v>
      </c>
      <c r="D153" s="480">
        <f>'[31]Sch C'!F149</f>
        <v>0</v>
      </c>
      <c r="E153" s="480">
        <f>+'[31]Sch C'!H149</f>
        <v>0</v>
      </c>
      <c r="F153" s="166">
        <f t="shared" si="45"/>
        <v>0</v>
      </c>
      <c r="G153" s="626"/>
      <c r="H153" s="166"/>
      <c r="I153" s="166">
        <f t="shared" si="46"/>
        <v>0</v>
      </c>
      <c r="J153" s="167">
        <f t="shared" si="47"/>
        <v>0</v>
      </c>
      <c r="K153" s="458"/>
      <c r="L153" s="176">
        <v>0</v>
      </c>
      <c r="M153" s="176">
        <v>0</v>
      </c>
      <c r="O153" s="329">
        <f t="shared" si="41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'[31]Sch C'!D150</f>
        <v>929</v>
      </c>
      <c r="D154" s="480">
        <f>'[31]Sch C'!F150</f>
        <v>0</v>
      </c>
      <c r="E154" s="480">
        <f>+'[31]Sch C'!H150</f>
        <v>0</v>
      </c>
      <c r="F154" s="166">
        <f t="shared" si="45"/>
        <v>929</v>
      </c>
      <c r="G154" s="626"/>
      <c r="H154" s="166"/>
      <c r="I154" s="166">
        <f t="shared" si="46"/>
        <v>929</v>
      </c>
      <c r="J154" s="167">
        <f t="shared" si="47"/>
        <v>2.9844560917117893E-4</v>
      </c>
      <c r="K154" s="458"/>
      <c r="L154" s="176">
        <v>23</v>
      </c>
      <c r="M154" s="176">
        <v>23</v>
      </c>
      <c r="O154" s="329">
        <f t="shared" si="41"/>
        <v>7.0523039550595912E-2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'[31]Sch C'!D151</f>
        <v>49238</v>
      </c>
      <c r="D155" s="480">
        <f>'[31]Sch C'!F151</f>
        <v>14707</v>
      </c>
      <c r="E155" s="480">
        <f>+'[31]Sch C'!H151</f>
        <v>0</v>
      </c>
      <c r="F155" s="166">
        <f t="shared" si="45"/>
        <v>63945</v>
      </c>
      <c r="G155" s="626">
        <f>-373-401</f>
        <v>-774</v>
      </c>
      <c r="H155" s="166"/>
      <c r="I155" s="166">
        <f t="shared" si="46"/>
        <v>63171</v>
      </c>
      <c r="J155" s="167">
        <f t="shared" si="47"/>
        <v>2.0293980168947841E-2</v>
      </c>
      <c r="K155" s="458"/>
      <c r="L155" s="163"/>
      <c r="M155" s="163"/>
      <c r="O155" s="329">
        <f t="shared" si="41"/>
        <v>4.7954907765884762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'[31]Sch C'!D152</f>
        <v>3973</v>
      </c>
      <c r="D156" s="480">
        <f>'[31]Sch C'!F152</f>
        <v>0</v>
      </c>
      <c r="E156" s="480">
        <f>+'[31]Sch C'!H152</f>
        <v>0</v>
      </c>
      <c r="F156" s="166">
        <f t="shared" si="45"/>
        <v>3973</v>
      </c>
      <c r="G156" s="626"/>
      <c r="H156" s="166"/>
      <c r="I156" s="166">
        <f t="shared" si="46"/>
        <v>3973</v>
      </c>
      <c r="J156" s="167">
        <f t="shared" si="47"/>
        <v>1.2763448926125878E-3</v>
      </c>
      <c r="K156" s="458"/>
      <c r="L156" s="163"/>
      <c r="M156" s="163"/>
      <c r="O156" s="329">
        <f t="shared" si="41"/>
        <v>0.30160176117816745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'[31]Sch C'!D153</f>
        <v>262</v>
      </c>
      <c r="D157" s="480">
        <f>'[31]Sch C'!F153</f>
        <v>0</v>
      </c>
      <c r="E157" s="480">
        <f>+'[31]Sch C'!H153</f>
        <v>0</v>
      </c>
      <c r="F157" s="166">
        <f t="shared" si="45"/>
        <v>262</v>
      </c>
      <c r="G157" s="626"/>
      <c r="H157" s="166"/>
      <c r="I157" s="166">
        <f t="shared" si="46"/>
        <v>262</v>
      </c>
      <c r="J157" s="167">
        <f t="shared" si="47"/>
        <v>8.4168729389503641E-5</v>
      </c>
      <c r="K157" s="458"/>
      <c r="L157" s="163"/>
      <c r="M157" s="163"/>
      <c r="O157" s="329">
        <f t="shared" si="41"/>
        <v>1.9889167236013056E-2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'[31]Sch C'!D154</f>
        <v>0</v>
      </c>
      <c r="D158" s="480">
        <f>'[31]Sch C'!F154</f>
        <v>0</v>
      </c>
      <c r="E158" s="480">
        <f>+'[31]Sch C'!H154</f>
        <v>0</v>
      </c>
      <c r="F158" s="166">
        <f t="shared" si="45"/>
        <v>0</v>
      </c>
      <c r="G158" s="626"/>
      <c r="H158" s="166"/>
      <c r="I158" s="166">
        <f t="shared" si="46"/>
        <v>0</v>
      </c>
      <c r="J158" s="167">
        <f t="shared" si="47"/>
        <v>0</v>
      </c>
      <c r="K158" s="458"/>
      <c r="L158" s="163"/>
      <c r="M158" s="163"/>
      <c r="O158" s="329">
        <f t="shared" si="41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'[31]Sch C'!D156</f>
        <v>0</v>
      </c>
      <c r="D160" s="480">
        <f>'[31]Sch C'!F156</f>
        <v>0</v>
      </c>
      <c r="E160" s="480">
        <f>+'[31]Sch C'!H156</f>
        <v>0</v>
      </c>
      <c r="F160" s="166">
        <f t="shared" ref="F160:F165" si="48">C160+D160+E160</f>
        <v>0</v>
      </c>
      <c r="G160" s="626"/>
      <c r="H160" s="166"/>
      <c r="I160" s="166">
        <f t="shared" ref="I160:I165" si="49">F160+G160+H160</f>
        <v>0</v>
      </c>
      <c r="J160" s="167">
        <f t="shared" ref="J160:J166" si="50">IF($I$213=0,0,I160/$I$213)</f>
        <v>0</v>
      </c>
      <c r="K160" s="458"/>
      <c r="L160" s="163"/>
      <c r="M160" s="163"/>
      <c r="O160" s="329">
        <f t="shared" si="41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'[31]Sch C'!D157</f>
        <v>0</v>
      </c>
      <c r="D161" s="480">
        <f>'[31]Sch C'!F157</f>
        <v>0</v>
      </c>
      <c r="E161" s="480">
        <f>+'[31]Sch C'!H157</f>
        <v>0</v>
      </c>
      <c r="F161" s="166">
        <f t="shared" si="48"/>
        <v>0</v>
      </c>
      <c r="G161" s="626"/>
      <c r="H161" s="166"/>
      <c r="I161" s="166">
        <f t="shared" si="49"/>
        <v>0</v>
      </c>
      <c r="J161" s="167">
        <f t="shared" si="50"/>
        <v>0</v>
      </c>
      <c r="K161" s="458"/>
      <c r="L161" s="163"/>
      <c r="M161" s="163"/>
      <c r="O161" s="329">
        <f t="shared" si="41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'[31]Sch C'!D158</f>
        <v>0</v>
      </c>
      <c r="D162" s="480">
        <f>'[31]Sch C'!F158</f>
        <v>0</v>
      </c>
      <c r="E162" s="480">
        <f>+'[31]Sch C'!H158</f>
        <v>0</v>
      </c>
      <c r="F162" s="166">
        <f t="shared" si="48"/>
        <v>0</v>
      </c>
      <c r="G162" s="626"/>
      <c r="H162" s="166"/>
      <c r="I162" s="166">
        <f t="shared" si="49"/>
        <v>0</v>
      </c>
      <c r="J162" s="167">
        <f t="shared" si="50"/>
        <v>0</v>
      </c>
      <c r="K162" s="458"/>
      <c r="L162" s="163"/>
      <c r="M162" s="163"/>
      <c r="O162" s="329">
        <f t="shared" si="41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'[31]Sch C'!D159</f>
        <v>0</v>
      </c>
      <c r="D163" s="480">
        <f>'[31]Sch C'!F159</f>
        <v>0</v>
      </c>
      <c r="E163" s="480">
        <f>+'[31]Sch C'!H159</f>
        <v>0</v>
      </c>
      <c r="F163" s="166">
        <f t="shared" si="48"/>
        <v>0</v>
      </c>
      <c r="G163" s="626"/>
      <c r="H163" s="166"/>
      <c r="I163" s="166">
        <f t="shared" si="49"/>
        <v>0</v>
      </c>
      <c r="J163" s="167">
        <f t="shared" si="50"/>
        <v>0</v>
      </c>
      <c r="K163" s="458"/>
      <c r="L163" s="163"/>
      <c r="M163" s="163"/>
      <c r="O163" s="329">
        <f t="shared" si="41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'[31]Sch C'!D160</f>
        <v>0</v>
      </c>
      <c r="D164" s="480">
        <f>'[31]Sch C'!F160</f>
        <v>0</v>
      </c>
      <c r="E164" s="480">
        <f>+'[31]Sch C'!H160</f>
        <v>0</v>
      </c>
      <c r="F164" s="166">
        <f t="shared" si="48"/>
        <v>0</v>
      </c>
      <c r="G164" s="626"/>
      <c r="H164" s="166"/>
      <c r="I164" s="166">
        <f t="shared" si="49"/>
        <v>0</v>
      </c>
      <c r="J164" s="167">
        <f>IF($I$213=0,0,I164/$I$213)</f>
        <v>0</v>
      </c>
      <c r="K164" s="458"/>
      <c r="L164" s="163"/>
      <c r="M164" s="163"/>
      <c r="O164" s="329">
        <f t="shared" si="41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'[31]Sch C'!D161</f>
        <v>2804</v>
      </c>
      <c r="D165" s="480">
        <f>'[31]Sch C'!F161</f>
        <v>0</v>
      </c>
      <c r="E165" s="480">
        <f>+'[31]Sch C'!H161</f>
        <v>0</v>
      </c>
      <c r="F165" s="166">
        <f t="shared" si="48"/>
        <v>2804</v>
      </c>
      <c r="G165" s="626"/>
      <c r="H165" s="166"/>
      <c r="I165" s="166">
        <f t="shared" si="49"/>
        <v>2804</v>
      </c>
      <c r="J165" s="167">
        <f t="shared" si="50"/>
        <v>9.0079815728308485E-4</v>
      </c>
      <c r="K165" s="458"/>
      <c r="L165" s="163"/>
      <c r="M165" s="163"/>
      <c r="O165" s="329">
        <f t="shared" si="41"/>
        <v>0.21285963713656722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1">SUM(C128:C165)</f>
        <v>1062421</v>
      </c>
      <c r="D166" s="480">
        <f t="shared" si="51"/>
        <v>68354</v>
      </c>
      <c r="E166" s="480">
        <f t="shared" si="51"/>
        <v>32642</v>
      </c>
      <c r="F166" s="166">
        <f t="shared" ref="F166:I166" si="52">SUM(F128:F165)</f>
        <v>1163417</v>
      </c>
      <c r="G166" s="166">
        <f t="shared" si="52"/>
        <v>-774</v>
      </c>
      <c r="H166" s="166">
        <f t="shared" si="52"/>
        <v>0</v>
      </c>
      <c r="I166" s="166">
        <f t="shared" si="52"/>
        <v>1162643</v>
      </c>
      <c r="J166" s="167">
        <f t="shared" si="50"/>
        <v>0.3735045192503843</v>
      </c>
      <c r="K166" s="458"/>
      <c r="L166" s="163"/>
      <c r="M166" s="163"/>
      <c r="O166" s="329">
        <f>I166/I$233</f>
        <v>88.259546041144759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'[31]Sch C'!D175</f>
        <v>0</v>
      </c>
      <c r="D169" s="480">
        <f>'[31]Sch C'!F175</f>
        <v>0</v>
      </c>
      <c r="E169" s="480">
        <f>+'[31]Sch C'!H175</f>
        <v>0</v>
      </c>
      <c r="F169" s="166">
        <f t="shared" ref="F169:F201" si="53">C169+D169+E169</f>
        <v>0</v>
      </c>
      <c r="G169" s="626"/>
      <c r="H169" s="166"/>
      <c r="I169" s="166">
        <f t="shared" ref="I169:I201" si="54">F169+G169+H169</f>
        <v>0</v>
      </c>
      <c r="J169" s="167">
        <f t="shared" ref="J169:J201" si="55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'[31]Sch C'!D176</f>
        <v>0</v>
      </c>
      <c r="D170" s="480">
        <f>'[31]Sch C'!F176</f>
        <v>0</v>
      </c>
      <c r="E170" s="480">
        <f>+'[31]Sch C'!H176</f>
        <v>0</v>
      </c>
      <c r="F170" s="166">
        <f t="shared" si="53"/>
        <v>0</v>
      </c>
      <c r="G170" s="626"/>
      <c r="H170" s="166"/>
      <c r="I170" s="166">
        <f t="shared" si="54"/>
        <v>0</v>
      </c>
      <c r="J170" s="167">
        <f t="shared" si="55"/>
        <v>0</v>
      </c>
      <c r="K170" s="469"/>
      <c r="L170" s="212"/>
      <c r="M170" s="212"/>
      <c r="N170" s="208"/>
      <c r="O170" s="329">
        <f t="shared" ref="O170:O201" si="56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'[31]Sch C'!D177</f>
        <v>164831</v>
      </c>
      <c r="D171" s="480">
        <f>'[31]Sch C'!F177</f>
        <v>0</v>
      </c>
      <c r="E171" s="480">
        <f>+'[31]Sch C'!H177</f>
        <v>0</v>
      </c>
      <c r="F171" s="166">
        <f t="shared" si="53"/>
        <v>164831</v>
      </c>
      <c r="G171" s="626"/>
      <c r="H171" s="166"/>
      <c r="I171" s="166">
        <f t="shared" si="54"/>
        <v>164831</v>
      </c>
      <c r="J171" s="167">
        <f t="shared" si="55"/>
        <v>5.2952732190844565E-2</v>
      </c>
      <c r="K171" s="468"/>
      <c r="L171" s="176">
        <v>4734</v>
      </c>
      <c r="M171" s="176">
        <v>4916</v>
      </c>
      <c r="N171" s="208"/>
      <c r="O171" s="329">
        <f t="shared" si="56"/>
        <v>12.512791315569727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'[31]Sch C'!D178</f>
        <v>19414</v>
      </c>
      <c r="D172" s="480">
        <f>'[31]Sch C'!F178</f>
        <v>10300</v>
      </c>
      <c r="E172" s="480">
        <f>+'[31]Sch C'!H178</f>
        <v>0</v>
      </c>
      <c r="F172" s="166">
        <f t="shared" si="53"/>
        <v>29714</v>
      </c>
      <c r="G172" s="626"/>
      <c r="H172" s="166"/>
      <c r="I172" s="166">
        <f t="shared" si="54"/>
        <v>29714</v>
      </c>
      <c r="J172" s="167">
        <f t="shared" si="55"/>
        <v>9.5457619277851576E-3</v>
      </c>
      <c r="K172" s="469"/>
      <c r="L172" s="212"/>
      <c r="M172" s="212"/>
      <c r="N172" s="208"/>
      <c r="O172" s="329">
        <f t="shared" si="56"/>
        <v>2.2556744856904274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'[31]Sch C'!D179</f>
        <v>4092</v>
      </c>
      <c r="D173" s="480">
        <f>'[31]Sch C'!F179</f>
        <v>0</v>
      </c>
      <c r="E173" s="480">
        <f>+'[31]Sch C'!H179</f>
        <v>0</v>
      </c>
      <c r="F173" s="166">
        <f t="shared" si="53"/>
        <v>4092</v>
      </c>
      <c r="G173" s="626"/>
      <c r="H173" s="166"/>
      <c r="I173" s="166">
        <f t="shared" si="54"/>
        <v>4092</v>
      </c>
      <c r="J173" s="167">
        <f t="shared" si="55"/>
        <v>1.3145742009994233E-3</v>
      </c>
      <c r="K173" s="468"/>
      <c r="L173" s="176">
        <v>99</v>
      </c>
      <c r="M173" s="176">
        <v>102</v>
      </c>
      <c r="N173" s="208"/>
      <c r="O173" s="329">
        <f t="shared" si="56"/>
        <v>0.31063539057162376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'[31]Sch C'!D180</f>
        <v>452</v>
      </c>
      <c r="D174" s="480">
        <f>'[31]Sch C'!F180</f>
        <v>256</v>
      </c>
      <c r="E174" s="480">
        <f>+'[31]Sch C'!H180</f>
        <v>0</v>
      </c>
      <c r="F174" s="166">
        <f t="shared" si="53"/>
        <v>708</v>
      </c>
      <c r="G174" s="626"/>
      <c r="H174" s="166"/>
      <c r="I174" s="166">
        <f t="shared" si="54"/>
        <v>708</v>
      </c>
      <c r="J174" s="167">
        <f t="shared" si="55"/>
        <v>2.2744832216705564E-4</v>
      </c>
      <c r="K174" s="469"/>
      <c r="L174" s="212"/>
      <c r="M174" s="212"/>
      <c r="N174" s="208"/>
      <c r="O174" s="329">
        <f t="shared" si="56"/>
        <v>5.3746299248462762E-2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'[31]Sch C'!D181</f>
        <v>0</v>
      </c>
      <c r="D175" s="480">
        <f>'[31]Sch C'!F181</f>
        <v>0</v>
      </c>
      <c r="E175" s="480">
        <f>+'[31]Sch C'!H181</f>
        <v>0</v>
      </c>
      <c r="F175" s="166">
        <f t="shared" si="53"/>
        <v>0</v>
      </c>
      <c r="G175" s="626"/>
      <c r="H175" s="166"/>
      <c r="I175" s="166">
        <f t="shared" si="54"/>
        <v>0</v>
      </c>
      <c r="J175" s="167">
        <f t="shared" si="55"/>
        <v>0</v>
      </c>
      <c r="K175" s="468"/>
      <c r="L175" s="176">
        <v>0</v>
      </c>
      <c r="M175" s="176">
        <v>0</v>
      </c>
      <c r="N175" s="208"/>
      <c r="O175" s="329">
        <f t="shared" si="56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'[31]Sch C'!D182</f>
        <v>0</v>
      </c>
      <c r="D176" s="480">
        <f>'[31]Sch C'!F182</f>
        <v>0</v>
      </c>
      <c r="E176" s="480">
        <f>+'[31]Sch C'!H182</f>
        <v>0</v>
      </c>
      <c r="F176" s="166">
        <f t="shared" si="53"/>
        <v>0</v>
      </c>
      <c r="G176" s="626"/>
      <c r="H176" s="166"/>
      <c r="I176" s="166">
        <f t="shared" si="54"/>
        <v>0</v>
      </c>
      <c r="J176" s="167">
        <f t="shared" si="55"/>
        <v>0</v>
      </c>
      <c r="K176" s="469"/>
      <c r="L176" s="212"/>
      <c r="M176" s="212"/>
      <c r="N176" s="208"/>
      <c r="O176" s="329">
        <f t="shared" si="56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'[31]Sch C'!D183</f>
        <v>96050</v>
      </c>
      <c r="D177" s="480">
        <f>'[31]Sch C'!F183</f>
        <v>0</v>
      </c>
      <c r="E177" s="480">
        <f>+'[31]Sch C'!H183</f>
        <v>0</v>
      </c>
      <c r="F177" s="166">
        <f t="shared" si="53"/>
        <v>96050</v>
      </c>
      <c r="G177" s="626"/>
      <c r="H177" s="166"/>
      <c r="I177" s="166">
        <f t="shared" si="54"/>
        <v>96050</v>
      </c>
      <c r="J177" s="167">
        <f t="shared" si="55"/>
        <v>3.0856513197945898E-2</v>
      </c>
      <c r="K177" s="468"/>
      <c r="L177" s="176">
        <v>2745</v>
      </c>
      <c r="M177" s="176">
        <v>2920</v>
      </c>
      <c r="N177" s="208"/>
      <c r="O177" s="329">
        <f t="shared" si="56"/>
        <v>7.2914294390040233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'[31]Sch C'!D184</f>
        <v>13486</v>
      </c>
      <c r="D178" s="480">
        <f>'[31]Sch C'!F184</f>
        <v>6002</v>
      </c>
      <c r="E178" s="480">
        <f>+'[31]Sch C'!H184</f>
        <v>0</v>
      </c>
      <c r="F178" s="166">
        <f t="shared" si="53"/>
        <v>19488</v>
      </c>
      <c r="G178" s="626"/>
      <c r="H178" s="166"/>
      <c r="I178" s="166">
        <f t="shared" si="54"/>
        <v>19488</v>
      </c>
      <c r="J178" s="167">
        <f t="shared" si="55"/>
        <v>6.260611444055905E-3</v>
      </c>
      <c r="K178" s="469"/>
      <c r="L178" s="212"/>
      <c r="M178" s="212"/>
      <c r="N178" s="208"/>
      <c r="O178" s="329">
        <f t="shared" si="56"/>
        <v>1.4793896606695514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'[31]Sch C'!D185</f>
        <v>0</v>
      </c>
      <c r="D179" s="480">
        <f>'[31]Sch C'!F185</f>
        <v>0</v>
      </c>
      <c r="E179" s="480">
        <f>+'[31]Sch C'!H185</f>
        <v>0</v>
      </c>
      <c r="F179" s="166">
        <f t="shared" si="53"/>
        <v>0</v>
      </c>
      <c r="G179" s="626"/>
      <c r="H179" s="166"/>
      <c r="I179" s="166">
        <f t="shared" si="54"/>
        <v>0</v>
      </c>
      <c r="J179" s="167">
        <f t="shared" si="55"/>
        <v>0</v>
      </c>
      <c r="K179" s="468"/>
      <c r="L179" s="176">
        <v>0</v>
      </c>
      <c r="M179" s="176">
        <v>0</v>
      </c>
      <c r="N179" s="208"/>
      <c r="O179" s="329">
        <f t="shared" si="56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'[31]Sch C'!D186</f>
        <v>0</v>
      </c>
      <c r="D180" s="480">
        <f>'[31]Sch C'!F186</f>
        <v>0</v>
      </c>
      <c r="E180" s="480">
        <f>+'[31]Sch C'!H186</f>
        <v>0</v>
      </c>
      <c r="F180" s="166">
        <f t="shared" si="53"/>
        <v>0</v>
      </c>
      <c r="G180" s="626"/>
      <c r="H180" s="166"/>
      <c r="I180" s="166">
        <f t="shared" si="54"/>
        <v>0</v>
      </c>
      <c r="J180" s="167">
        <f t="shared" si="55"/>
        <v>0</v>
      </c>
      <c r="K180" s="458"/>
      <c r="L180" s="213"/>
      <c r="M180" s="208"/>
      <c r="N180" s="210"/>
      <c r="O180" s="329">
        <f t="shared" si="56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'[31]Sch C'!D187</f>
        <v>0</v>
      </c>
      <c r="D181" s="480">
        <f>'[31]Sch C'!F187</f>
        <v>0</v>
      </c>
      <c r="E181" s="480">
        <f>+'[31]Sch C'!H187</f>
        <v>0</v>
      </c>
      <c r="F181" s="166">
        <f t="shared" si="53"/>
        <v>0</v>
      </c>
      <c r="G181" s="626"/>
      <c r="H181" s="166"/>
      <c r="I181" s="166">
        <f t="shared" si="54"/>
        <v>0</v>
      </c>
      <c r="J181" s="167">
        <f t="shared" si="55"/>
        <v>0</v>
      </c>
      <c r="K181" s="458"/>
      <c r="L181" s="213"/>
      <c r="M181" s="208"/>
      <c r="N181" s="210"/>
      <c r="O181" s="329">
        <f t="shared" si="56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'[31]Sch C'!D188</f>
        <v>56</v>
      </c>
      <c r="D182" s="480">
        <f>'[31]Sch C'!F188</f>
        <v>0</v>
      </c>
      <c r="E182" s="480">
        <f>+'[31]Sch C'!H188</f>
        <v>0</v>
      </c>
      <c r="F182" s="166">
        <f t="shared" si="53"/>
        <v>56</v>
      </c>
      <c r="G182" s="626"/>
      <c r="H182" s="166"/>
      <c r="I182" s="166">
        <f t="shared" si="54"/>
        <v>56</v>
      </c>
      <c r="J182" s="167">
        <f t="shared" si="55"/>
        <v>1.799026277027559E-5</v>
      </c>
      <c r="K182" s="458"/>
      <c r="L182" s="213"/>
      <c r="M182" s="208"/>
      <c r="N182" s="210"/>
      <c r="O182" s="329">
        <f t="shared" si="56"/>
        <v>4.2511197145676761E-3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'[31]Sch C'!D189</f>
        <v>0</v>
      </c>
      <c r="D183" s="480">
        <f>'[31]Sch C'!F189</f>
        <v>0</v>
      </c>
      <c r="E183" s="480">
        <f>+'[31]Sch C'!H189</f>
        <v>0</v>
      </c>
      <c r="F183" s="166">
        <f t="shared" si="53"/>
        <v>0</v>
      </c>
      <c r="G183" s="626"/>
      <c r="H183" s="166"/>
      <c r="I183" s="166">
        <f t="shared" si="54"/>
        <v>0</v>
      </c>
      <c r="J183" s="167">
        <f t="shared" si="55"/>
        <v>0</v>
      </c>
      <c r="K183" s="458"/>
      <c r="L183" s="213"/>
      <c r="M183" s="208"/>
      <c r="N183" s="210"/>
      <c r="O183" s="329">
        <f t="shared" si="56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'[31]Sch C'!D190</f>
        <v>0</v>
      </c>
      <c r="D184" s="480">
        <f>'[31]Sch C'!F190</f>
        <v>0</v>
      </c>
      <c r="E184" s="480">
        <f>+'[31]Sch C'!H190</f>
        <v>0</v>
      </c>
      <c r="F184" s="166">
        <f t="shared" si="53"/>
        <v>0</v>
      </c>
      <c r="G184" s="626"/>
      <c r="H184" s="166"/>
      <c r="I184" s="166">
        <f t="shared" si="54"/>
        <v>0</v>
      </c>
      <c r="J184" s="167">
        <f t="shared" si="55"/>
        <v>0</v>
      </c>
      <c r="K184" s="458"/>
      <c r="L184" s="213"/>
      <c r="M184" s="208"/>
      <c r="N184" s="210"/>
      <c r="O184" s="329">
        <f t="shared" si="56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'[31]Sch C'!D191</f>
        <v>41</v>
      </c>
      <c r="D185" s="480">
        <f>'[31]Sch C'!F191</f>
        <v>0</v>
      </c>
      <c r="E185" s="480">
        <f>+'[31]Sch C'!H191</f>
        <v>0</v>
      </c>
      <c r="F185" s="166">
        <f t="shared" si="53"/>
        <v>41</v>
      </c>
      <c r="G185" s="626"/>
      <c r="H185" s="166"/>
      <c r="I185" s="166">
        <f t="shared" si="54"/>
        <v>41</v>
      </c>
      <c r="J185" s="167">
        <f t="shared" si="55"/>
        <v>1.3171442385380342E-5</v>
      </c>
      <c r="K185" s="458"/>
      <c r="L185" s="213"/>
      <c r="M185" s="208"/>
      <c r="N185" s="210"/>
      <c r="O185" s="329">
        <f t="shared" si="56"/>
        <v>3.1124269338799059E-3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'[31]Sch C'!D192</f>
        <v>0</v>
      </c>
      <c r="D186" s="480">
        <f>'[31]Sch C'!F192</f>
        <v>0</v>
      </c>
      <c r="E186" s="480">
        <f>+'[31]Sch C'!H192</f>
        <v>0</v>
      </c>
      <c r="F186" s="166">
        <f t="shared" si="53"/>
        <v>0</v>
      </c>
      <c r="G186" s="626"/>
      <c r="H186" s="166"/>
      <c r="I186" s="166">
        <f t="shared" si="54"/>
        <v>0</v>
      </c>
      <c r="J186" s="167">
        <f t="shared" si="55"/>
        <v>0</v>
      </c>
      <c r="K186" s="458"/>
      <c r="L186" s="213"/>
      <c r="M186" s="208"/>
      <c r="N186" s="210"/>
      <c r="O186" s="329">
        <f t="shared" si="56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'[31]Sch C'!D193</f>
        <v>0</v>
      </c>
      <c r="D187" s="480">
        <f>'[31]Sch C'!F193</f>
        <v>0</v>
      </c>
      <c r="E187" s="480">
        <f>+'[31]Sch C'!H193</f>
        <v>0</v>
      </c>
      <c r="F187" s="166">
        <f t="shared" si="53"/>
        <v>0</v>
      </c>
      <c r="G187" s="626"/>
      <c r="H187" s="166"/>
      <c r="I187" s="166">
        <f t="shared" si="54"/>
        <v>0</v>
      </c>
      <c r="J187" s="167">
        <f t="shared" si="55"/>
        <v>0</v>
      </c>
      <c r="K187" s="458"/>
      <c r="L187" s="213"/>
      <c r="M187" s="208"/>
      <c r="N187" s="210"/>
      <c r="O187" s="329">
        <f t="shared" si="56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'[31]Sch C'!D194</f>
        <v>0</v>
      </c>
      <c r="D188" s="480">
        <f>'[31]Sch C'!F194</f>
        <v>0</v>
      </c>
      <c r="E188" s="480">
        <f>+'[31]Sch C'!H194</f>
        <v>0</v>
      </c>
      <c r="F188" s="166">
        <f t="shared" si="53"/>
        <v>0</v>
      </c>
      <c r="G188" s="626"/>
      <c r="H188" s="166"/>
      <c r="I188" s="166">
        <f t="shared" si="54"/>
        <v>0</v>
      </c>
      <c r="J188" s="167">
        <f t="shared" si="55"/>
        <v>0</v>
      </c>
      <c r="K188" s="458"/>
      <c r="L188" s="213"/>
      <c r="M188" s="208"/>
      <c r="O188" s="329">
        <f t="shared" si="56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'[31]Sch C'!D195</f>
        <v>0</v>
      </c>
      <c r="D189" s="480">
        <f>'[31]Sch C'!F195</f>
        <v>0</v>
      </c>
      <c r="E189" s="480">
        <f>+'[31]Sch C'!H195</f>
        <v>0</v>
      </c>
      <c r="F189" s="166">
        <f t="shared" si="53"/>
        <v>0</v>
      </c>
      <c r="G189" s="626"/>
      <c r="H189" s="166"/>
      <c r="I189" s="166">
        <f t="shared" si="54"/>
        <v>0</v>
      </c>
      <c r="J189" s="167">
        <f t="shared" si="55"/>
        <v>0</v>
      </c>
      <c r="K189" s="458"/>
      <c r="L189" s="213"/>
      <c r="M189" s="208"/>
      <c r="O189" s="329">
        <f t="shared" si="56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'[31]Sch C'!D196</f>
        <v>0</v>
      </c>
      <c r="D190" s="480">
        <f>'[31]Sch C'!F196</f>
        <v>0</v>
      </c>
      <c r="E190" s="480">
        <f>+'[31]Sch C'!H196</f>
        <v>0</v>
      </c>
      <c r="F190" s="166">
        <f t="shared" si="53"/>
        <v>0</v>
      </c>
      <c r="G190" s="626"/>
      <c r="H190" s="166"/>
      <c r="I190" s="166">
        <f t="shared" si="54"/>
        <v>0</v>
      </c>
      <c r="J190" s="167">
        <f t="shared" si="55"/>
        <v>0</v>
      </c>
      <c r="K190" s="458"/>
      <c r="L190" s="213"/>
      <c r="M190" s="208"/>
      <c r="O190" s="329">
        <f t="shared" si="56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'[31]Sch C'!D197</f>
        <v>0</v>
      </c>
      <c r="D191" s="480">
        <f>'[31]Sch C'!F197</f>
        <v>0</v>
      </c>
      <c r="E191" s="480">
        <f>+'[31]Sch C'!H197</f>
        <v>0</v>
      </c>
      <c r="F191" s="166">
        <f t="shared" si="53"/>
        <v>0</v>
      </c>
      <c r="G191" s="626"/>
      <c r="H191" s="166"/>
      <c r="I191" s="166">
        <f t="shared" si="54"/>
        <v>0</v>
      </c>
      <c r="J191" s="167">
        <f t="shared" si="55"/>
        <v>0</v>
      </c>
      <c r="K191" s="458"/>
      <c r="L191" s="213"/>
      <c r="M191" s="208"/>
      <c r="O191" s="329">
        <f t="shared" si="56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'[31]Sch C'!D198</f>
        <v>4742</v>
      </c>
      <c r="D192" s="480">
        <f>'[31]Sch C'!F198</f>
        <v>0</v>
      </c>
      <c r="E192" s="480">
        <f>+'[31]Sch C'!H198</f>
        <v>-55</v>
      </c>
      <c r="F192" s="166">
        <f t="shared" si="53"/>
        <v>4687</v>
      </c>
      <c r="G192" s="626"/>
      <c r="H192" s="166"/>
      <c r="I192" s="166">
        <f t="shared" si="54"/>
        <v>4687</v>
      </c>
      <c r="J192" s="167">
        <f t="shared" si="55"/>
        <v>1.5057207429336015E-3</v>
      </c>
      <c r="K192" s="458"/>
      <c r="L192" s="213"/>
      <c r="M192" s="208"/>
      <c r="O192" s="329">
        <f t="shared" si="56"/>
        <v>0.35580353753890531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'[31]Sch C'!D199</f>
        <v>0</v>
      </c>
      <c r="D193" s="480">
        <f>'[31]Sch C'!F199</f>
        <v>0</v>
      </c>
      <c r="E193" s="480">
        <f>+'[31]Sch C'!H199</f>
        <v>0</v>
      </c>
      <c r="F193" s="166">
        <f t="shared" si="53"/>
        <v>0</v>
      </c>
      <c r="G193" s="626"/>
      <c r="H193" s="166"/>
      <c r="I193" s="166">
        <f t="shared" si="54"/>
        <v>0</v>
      </c>
      <c r="J193" s="167">
        <f t="shared" si="55"/>
        <v>0</v>
      </c>
      <c r="K193" s="458"/>
      <c r="L193" s="213"/>
      <c r="M193" s="208"/>
      <c r="O193" s="329">
        <f t="shared" si="56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'[31]Sch C'!D200</f>
        <v>0</v>
      </c>
      <c r="D194" s="480">
        <f>'[31]Sch C'!F200</f>
        <v>0</v>
      </c>
      <c r="E194" s="480">
        <f>+'[31]Sch C'!H200</f>
        <v>0</v>
      </c>
      <c r="F194" s="166">
        <f t="shared" si="53"/>
        <v>0</v>
      </c>
      <c r="G194" s="626"/>
      <c r="H194" s="166"/>
      <c r="I194" s="166">
        <f t="shared" si="54"/>
        <v>0</v>
      </c>
      <c r="J194" s="167">
        <f t="shared" si="55"/>
        <v>0</v>
      </c>
      <c r="K194" s="458"/>
      <c r="L194" s="213"/>
      <c r="M194" s="208"/>
      <c r="O194" s="329">
        <f t="shared" si="56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'[31]Sch C'!D201</f>
        <v>0</v>
      </c>
      <c r="D195" s="480">
        <f>'[31]Sch C'!F201</f>
        <v>0</v>
      </c>
      <c r="E195" s="480">
        <f>+'[31]Sch C'!H201</f>
        <v>0</v>
      </c>
      <c r="F195" s="166">
        <f t="shared" si="53"/>
        <v>0</v>
      </c>
      <c r="G195" s="626">
        <v>403</v>
      </c>
      <c r="H195" s="166"/>
      <c r="I195" s="166">
        <f t="shared" si="54"/>
        <v>403</v>
      </c>
      <c r="J195" s="167">
        <f t="shared" si="55"/>
        <v>1.2946564100751898E-4</v>
      </c>
      <c r="K195" s="458"/>
      <c r="L195" s="213"/>
      <c r="M195" s="208"/>
      <c r="O195" s="329">
        <f t="shared" si="56"/>
        <v>3.0592879374478098E-2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'[31]Sch C'!D202</f>
        <v>0</v>
      </c>
      <c r="D196" s="480">
        <f>'[31]Sch C'!F202</f>
        <v>0</v>
      </c>
      <c r="E196" s="480">
        <f>+'[31]Sch C'!H202</f>
        <v>0</v>
      </c>
      <c r="F196" s="166">
        <f t="shared" si="53"/>
        <v>0</v>
      </c>
      <c r="G196" s="626"/>
      <c r="H196" s="166"/>
      <c r="I196" s="166">
        <f t="shared" si="54"/>
        <v>0</v>
      </c>
      <c r="J196" s="167">
        <f t="shared" si="55"/>
        <v>0</v>
      </c>
      <c r="K196" s="458"/>
      <c r="L196" s="213"/>
      <c r="M196" s="208"/>
      <c r="O196" s="329">
        <f t="shared" si="56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'[31]Sch C'!D203</f>
        <v>0</v>
      </c>
      <c r="D197" s="480">
        <f>'[31]Sch C'!F203</f>
        <v>0</v>
      </c>
      <c r="E197" s="480">
        <f>+'[31]Sch C'!H203</f>
        <v>0</v>
      </c>
      <c r="F197" s="166">
        <f t="shared" si="53"/>
        <v>0</v>
      </c>
      <c r="G197" s="626"/>
      <c r="H197" s="166"/>
      <c r="I197" s="166">
        <f t="shared" si="54"/>
        <v>0</v>
      </c>
      <c r="J197" s="167">
        <f t="shared" si="55"/>
        <v>0</v>
      </c>
      <c r="K197" s="458"/>
      <c r="L197" s="213"/>
      <c r="M197" s="208"/>
      <c r="O197" s="329">
        <f t="shared" si="56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'[31]Sch C'!D204</f>
        <v>0</v>
      </c>
      <c r="D198" s="480">
        <f>'[31]Sch C'!F204</f>
        <v>0</v>
      </c>
      <c r="E198" s="480">
        <f>+'[31]Sch C'!H204</f>
        <v>0</v>
      </c>
      <c r="F198" s="166">
        <f t="shared" si="53"/>
        <v>0</v>
      </c>
      <c r="G198" s="626"/>
      <c r="H198" s="166"/>
      <c r="I198" s="166">
        <f t="shared" si="54"/>
        <v>0</v>
      </c>
      <c r="J198" s="167">
        <f t="shared" si="55"/>
        <v>0</v>
      </c>
      <c r="K198" s="458"/>
      <c r="L198" s="213"/>
      <c r="M198" s="208"/>
      <c r="O198" s="329">
        <f t="shared" si="56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'[31]Sch C'!D205</f>
        <v>88075</v>
      </c>
      <c r="D199" s="480">
        <f>'[31]Sch C'!F205</f>
        <v>0</v>
      </c>
      <c r="E199" s="480">
        <f>+'[31]Sch C'!H205</f>
        <v>0</v>
      </c>
      <c r="F199" s="166">
        <f t="shared" si="53"/>
        <v>88075</v>
      </c>
      <c r="G199" s="626">
        <v>373</v>
      </c>
      <c r="H199" s="166"/>
      <c r="I199" s="166">
        <f t="shared" si="54"/>
        <v>88448</v>
      </c>
      <c r="J199" s="167">
        <f t="shared" si="55"/>
        <v>2.8414335026880986E-2</v>
      </c>
      <c r="K199" s="458"/>
      <c r="L199" s="213"/>
      <c r="M199" s="208"/>
      <c r="O199" s="329">
        <f t="shared" si="56"/>
        <v>6.7143399377514612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'[31]Sch C'!D206</f>
        <v>472</v>
      </c>
      <c r="D200" s="480">
        <f>'[31]Sch C'!F206</f>
        <v>0</v>
      </c>
      <c r="E200" s="480">
        <f>+'[31]Sch C'!H206</f>
        <v>0</v>
      </c>
      <c r="F200" s="166">
        <f t="shared" si="53"/>
        <v>472</v>
      </c>
      <c r="G200" s="626"/>
      <c r="H200" s="166"/>
      <c r="I200" s="166">
        <f t="shared" si="54"/>
        <v>472</v>
      </c>
      <c r="J200" s="167">
        <f t="shared" si="55"/>
        <v>1.5163221477803711E-4</v>
      </c>
      <c r="K200" s="458"/>
      <c r="L200" s="213"/>
      <c r="M200" s="208"/>
      <c r="O200" s="329">
        <f t="shared" si="56"/>
        <v>3.5830866165641843E-2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'[31]Sch C'!D207</f>
        <v>6788</v>
      </c>
      <c r="D201" s="480">
        <f>'[31]Sch C'!F207</f>
        <v>-7177</v>
      </c>
      <c r="E201" s="480">
        <f>+'[31]Sch C'!H207</f>
        <v>0</v>
      </c>
      <c r="F201" s="166">
        <f t="shared" si="53"/>
        <v>-389</v>
      </c>
      <c r="G201" s="679">
        <v>7177</v>
      </c>
      <c r="H201" s="484">
        <v>-7177</v>
      </c>
      <c r="I201" s="166">
        <f t="shared" si="54"/>
        <v>-389</v>
      </c>
      <c r="J201" s="167">
        <f t="shared" si="55"/>
        <v>-1.2496807531495006E-4</v>
      </c>
      <c r="K201" s="681" t="s">
        <v>616</v>
      </c>
      <c r="L201" s="213"/>
      <c r="M201" s="208"/>
      <c r="O201" s="329">
        <f t="shared" si="56"/>
        <v>-2.9530099445836181E-2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57">SUM(C169:C201)</f>
        <v>398499</v>
      </c>
      <c r="D202" s="480">
        <f t="shared" si="57"/>
        <v>9381</v>
      </c>
      <c r="E202" s="480">
        <f t="shared" si="57"/>
        <v>-55</v>
      </c>
      <c r="F202" s="166">
        <f t="shared" ref="F202:I202" si="58">SUM(F169:F201)</f>
        <v>407825</v>
      </c>
      <c r="G202" s="166">
        <f t="shared" si="58"/>
        <v>7953</v>
      </c>
      <c r="H202" s="166">
        <f t="shared" si="58"/>
        <v>-7177</v>
      </c>
      <c r="I202" s="166">
        <f t="shared" si="58"/>
        <v>408601</v>
      </c>
      <c r="J202" s="167">
        <f>IF($I$213=0,0,I202/$I$213)</f>
        <v>0.13126498853923885</v>
      </c>
      <c r="K202" s="458"/>
      <c r="L202" s="163"/>
      <c r="M202" s="163"/>
      <c r="O202" s="329">
        <f>I202/I$233</f>
        <v>31.018067258786914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'[31]Sch C'!D211</f>
        <v>82993</v>
      </c>
      <c r="D205" s="480">
        <f>'[31]Sch C'!F211</f>
        <v>0</v>
      </c>
      <c r="E205" s="480">
        <f>+'[31]Sch C'!H211</f>
        <v>0</v>
      </c>
      <c r="F205" s="166">
        <f t="shared" ref="F205:F210" si="59">C205+D205+E205</f>
        <v>82993</v>
      </c>
      <c r="G205" s="626">
        <v>-585</v>
      </c>
      <c r="H205" s="166"/>
      <c r="I205" s="166">
        <f t="shared" ref="I205:I210" si="60">F205+G205+H205</f>
        <v>82408</v>
      </c>
      <c r="J205" s="167">
        <f t="shared" ref="J205:J211" si="61">IF($I$213=0,0,I205/$I$213)</f>
        <v>2.6473956685229835E-2</v>
      </c>
      <c r="K205" s="458"/>
      <c r="L205" s="176">
        <v>4886</v>
      </c>
      <c r="M205" s="176">
        <v>5039</v>
      </c>
      <c r="O205" s="329">
        <f t="shared" ref="O205:O210" si="62">I205/I$233</f>
        <v>6.2558263113945189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'[31]Sch C'!D212</f>
        <v>11623</v>
      </c>
      <c r="D206" s="480">
        <f>'[31]Sch C'!F212</f>
        <v>5186</v>
      </c>
      <c r="E206" s="480">
        <f>+'[31]Sch C'!H212</f>
        <v>0</v>
      </c>
      <c r="F206" s="166">
        <f t="shared" si="59"/>
        <v>16809</v>
      </c>
      <c r="G206" s="626"/>
      <c r="H206" s="166"/>
      <c r="I206" s="166">
        <f t="shared" si="60"/>
        <v>16809</v>
      </c>
      <c r="J206" s="167">
        <f t="shared" si="61"/>
        <v>5.3999701233136133E-3</v>
      </c>
      <c r="K206" s="458"/>
      <c r="L206" s="163"/>
      <c r="M206" s="163"/>
      <c r="O206" s="329">
        <f t="shared" si="62"/>
        <v>1.2760191300387156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'[31]Sch C'!D213</f>
        <v>2090</v>
      </c>
      <c r="D207" s="480">
        <f>'[31]Sch C'!F213</f>
        <v>0</v>
      </c>
      <c r="E207" s="480">
        <f>+'[31]Sch C'!H213</f>
        <v>0</v>
      </c>
      <c r="F207" s="166">
        <f t="shared" si="59"/>
        <v>2090</v>
      </c>
      <c r="G207" s="626"/>
      <c r="H207" s="166"/>
      <c r="I207" s="166">
        <f t="shared" si="60"/>
        <v>2090</v>
      </c>
      <c r="J207" s="167">
        <f t="shared" si="61"/>
        <v>6.7142230696207107E-4</v>
      </c>
      <c r="K207" s="458"/>
      <c r="L207" s="163"/>
      <c r="M207" s="163"/>
      <c r="O207" s="329">
        <f t="shared" si="62"/>
        <v>0.15865786077582936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'[31]Sch C'!D214</f>
        <v>0</v>
      </c>
      <c r="D208" s="480">
        <f>'[31]Sch C'!F214</f>
        <v>0</v>
      </c>
      <c r="E208" s="480">
        <f>+'[31]Sch C'!H214</f>
        <v>0</v>
      </c>
      <c r="F208" s="166">
        <f t="shared" si="59"/>
        <v>0</v>
      </c>
      <c r="G208" s="626"/>
      <c r="H208" s="166"/>
      <c r="I208" s="166">
        <f t="shared" si="60"/>
        <v>0</v>
      </c>
      <c r="J208" s="167">
        <f t="shared" si="61"/>
        <v>0</v>
      </c>
      <c r="K208" s="458"/>
      <c r="L208" s="163"/>
      <c r="M208" s="163"/>
      <c r="O208" s="329">
        <f t="shared" si="62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'[31]Sch C'!D215</f>
        <v>0</v>
      </c>
      <c r="D209" s="480">
        <f>'[31]Sch C'!F215</f>
        <v>0</v>
      </c>
      <c r="E209" s="480">
        <f>+'[31]Sch C'!H215</f>
        <v>0</v>
      </c>
      <c r="F209" s="166">
        <f t="shared" si="59"/>
        <v>0</v>
      </c>
      <c r="G209" s="626"/>
      <c r="H209" s="166"/>
      <c r="I209" s="166">
        <f t="shared" si="60"/>
        <v>0</v>
      </c>
      <c r="J209" s="167">
        <f t="shared" si="61"/>
        <v>0</v>
      </c>
      <c r="K209" s="458"/>
      <c r="L209" s="163"/>
      <c r="M209" s="163"/>
      <c r="O209" s="329">
        <f t="shared" si="62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'[31]Sch C'!D216</f>
        <v>7074</v>
      </c>
      <c r="D210" s="480">
        <f>'[31]Sch C'!F216</f>
        <v>0</v>
      </c>
      <c r="E210" s="480">
        <f>+'[31]Sch C'!H216</f>
        <v>0</v>
      </c>
      <c r="F210" s="166">
        <f t="shared" si="59"/>
        <v>7074</v>
      </c>
      <c r="G210" s="626">
        <f>-403-3406</f>
        <v>-3809</v>
      </c>
      <c r="H210" s="166"/>
      <c r="I210" s="166">
        <f t="shared" si="60"/>
        <v>3265</v>
      </c>
      <c r="J210" s="167">
        <f t="shared" si="61"/>
        <v>1.0488965704455321E-3</v>
      </c>
      <c r="K210" s="458" t="s">
        <v>475</v>
      </c>
      <c r="L210" s="163"/>
      <c r="M210" s="163"/>
      <c r="O210" s="329">
        <f t="shared" si="62"/>
        <v>0.2478554619297047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3">SUM(C205:C210)</f>
        <v>103780</v>
      </c>
      <c r="D211" s="480">
        <f t="shared" si="63"/>
        <v>5186</v>
      </c>
      <c r="E211" s="480">
        <f t="shared" si="63"/>
        <v>0</v>
      </c>
      <c r="F211" s="166">
        <f t="shared" ref="F211:I211" si="64">SUM(F205:F210)</f>
        <v>108966</v>
      </c>
      <c r="G211" s="166">
        <f t="shared" si="64"/>
        <v>-4394</v>
      </c>
      <c r="H211" s="166">
        <f t="shared" si="64"/>
        <v>0</v>
      </c>
      <c r="I211" s="166">
        <f t="shared" si="64"/>
        <v>104572</v>
      </c>
      <c r="J211" s="167">
        <f t="shared" si="61"/>
        <v>3.3594245685951048E-2</v>
      </c>
      <c r="K211" s="458"/>
      <c r="L211" s="163"/>
      <c r="M211" s="163"/>
      <c r="O211" s="329">
        <f>I211/I$233</f>
        <v>7.9383587641387683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65">SUM(C30:C211)/2</f>
        <v>3352546</v>
      </c>
      <c r="D213" s="480">
        <f t="shared" si="65"/>
        <v>-119133</v>
      </c>
      <c r="E213" s="480">
        <f t="shared" si="65"/>
        <v>-37007</v>
      </c>
      <c r="F213" s="166">
        <f t="shared" ref="F213:I213" si="66">SUM(F30:F211)/2</f>
        <v>3196406</v>
      </c>
      <c r="G213" s="166">
        <f t="shared" si="66"/>
        <v>108917</v>
      </c>
      <c r="H213" s="166">
        <f t="shared" si="66"/>
        <v>-192528</v>
      </c>
      <c r="I213" s="166">
        <f t="shared" si="66"/>
        <v>3112795</v>
      </c>
      <c r="J213" s="167">
        <f>IF($I$213=0,0,I213/$I$213)</f>
        <v>1</v>
      </c>
      <c r="K213" s="458"/>
      <c r="L213" s="176">
        <f>SUM(L30:L205)</f>
        <v>79853</v>
      </c>
      <c r="M213" s="176">
        <f>SUM(M30:M205)</f>
        <v>84620</v>
      </c>
      <c r="O213" s="329">
        <f>I213/I$233</f>
        <v>236.30114628406588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411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'[31]Sch C'!D221</f>
        <v>3352546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67">C26-C213</f>
        <v>622774</v>
      </c>
      <c r="D220" s="480">
        <f t="shared" si="67"/>
        <v>589229</v>
      </c>
      <c r="E220" s="480">
        <f t="shared" si="67"/>
        <v>37007</v>
      </c>
      <c r="F220" s="166">
        <f t="shared" ref="F220:I220" si="68">F26-F213</f>
        <v>1249010</v>
      </c>
      <c r="G220" s="166">
        <f t="shared" si="68"/>
        <v>-98887</v>
      </c>
      <c r="H220" s="166">
        <f t="shared" si="68"/>
        <v>192528</v>
      </c>
      <c r="I220" s="166">
        <f t="shared" si="68"/>
        <v>1342651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'[31]Sch D'!C9</f>
        <v>7429</v>
      </c>
      <c r="D224" s="480"/>
      <c r="E224" s="480"/>
      <c r="F224" s="224">
        <f t="shared" ref="F224:F232" si="69">C224+D224+E224</f>
        <v>7429</v>
      </c>
      <c r="G224" s="627"/>
      <c r="H224" s="223"/>
      <c r="I224" s="224">
        <f>F224+G224+H224</f>
        <v>7429</v>
      </c>
      <c r="J224" s="167">
        <f t="shared" ref="J224:J233" si="70">IF($I$233=0,0,I224/$I$233)</f>
        <v>0.56395657784862974</v>
      </c>
      <c r="K224" s="458"/>
      <c r="L224" s="163"/>
      <c r="M224" s="163"/>
    </row>
    <row r="225" spans="1:13">
      <c r="A225" s="158"/>
      <c r="B225" s="165" t="s">
        <v>201</v>
      </c>
      <c r="C225" s="504">
        <f>'[31]Sch D'!D9</f>
        <v>0</v>
      </c>
      <c r="D225" s="480"/>
      <c r="E225" s="480"/>
      <c r="F225" s="224">
        <f t="shared" si="69"/>
        <v>0</v>
      </c>
      <c r="G225" s="627"/>
      <c r="H225" s="223"/>
      <c r="I225" s="224">
        <f t="shared" ref="I225:I232" si="71">F225+G225+H225</f>
        <v>0</v>
      </c>
      <c r="J225" s="167">
        <f t="shared" si="70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'[31]Sch D'!E9</f>
        <v>2363</v>
      </c>
      <c r="D226" s="480"/>
      <c r="E226" s="480"/>
      <c r="F226" s="224">
        <f t="shared" si="69"/>
        <v>2363</v>
      </c>
      <c r="G226" s="627"/>
      <c r="H226" s="223"/>
      <c r="I226" s="224">
        <f t="shared" si="71"/>
        <v>2363</v>
      </c>
      <c r="J226" s="167">
        <f t="shared" si="70"/>
        <v>0.17938206938434678</v>
      </c>
      <c r="K226" s="458"/>
      <c r="L226" s="163"/>
      <c r="M226" s="163"/>
    </row>
    <row r="227" spans="1:13">
      <c r="A227" s="158"/>
      <c r="B227" s="194" t="s">
        <v>315</v>
      </c>
      <c r="C227" s="504">
        <f>'[31]Sch D'!F9</f>
        <v>666</v>
      </c>
      <c r="D227" s="480"/>
      <c r="E227" s="480"/>
      <c r="F227" s="224">
        <f t="shared" si="69"/>
        <v>666</v>
      </c>
      <c r="G227" s="627"/>
      <c r="H227" s="223"/>
      <c r="I227" s="224">
        <f t="shared" si="71"/>
        <v>666</v>
      </c>
      <c r="J227" s="167">
        <f t="shared" si="70"/>
        <v>5.0557959462537008E-2</v>
      </c>
      <c r="K227" s="458"/>
      <c r="L227" s="163"/>
      <c r="M227" s="163"/>
    </row>
    <row r="228" spans="1:13">
      <c r="A228" s="158"/>
      <c r="B228" s="165" t="s">
        <v>65</v>
      </c>
      <c r="C228" s="504">
        <f>'[31]Sch D'!G9</f>
        <v>0</v>
      </c>
      <c r="D228" s="480"/>
      <c r="E228" s="480"/>
      <c r="F228" s="224">
        <f t="shared" si="69"/>
        <v>0</v>
      </c>
      <c r="G228" s="627"/>
      <c r="H228" s="223"/>
      <c r="I228" s="224">
        <f t="shared" si="71"/>
        <v>0</v>
      </c>
      <c r="J228" s="167">
        <f t="shared" si="70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'[31]Sch D'!H9</f>
        <v>2266</v>
      </c>
      <c r="D229" s="480"/>
      <c r="E229" s="480"/>
      <c r="F229" s="224">
        <f t="shared" si="69"/>
        <v>2266</v>
      </c>
      <c r="G229" s="627"/>
      <c r="H229" s="223"/>
      <c r="I229" s="224">
        <f t="shared" si="71"/>
        <v>2266</v>
      </c>
      <c r="J229" s="167">
        <f t="shared" si="70"/>
        <v>0.17201852273589918</v>
      </c>
      <c r="K229" s="458"/>
      <c r="L229" s="163"/>
      <c r="M229" s="163"/>
    </row>
    <row r="230" spans="1:13">
      <c r="A230" s="158"/>
      <c r="B230" s="165" t="s">
        <v>219</v>
      </c>
      <c r="C230" s="504">
        <f>'[31]Sch D'!I9</f>
        <v>343</v>
      </c>
      <c r="D230" s="480"/>
      <c r="E230" s="480"/>
      <c r="F230" s="224">
        <f t="shared" si="69"/>
        <v>343</v>
      </c>
      <c r="G230" s="627"/>
      <c r="H230" s="223"/>
      <c r="I230" s="224">
        <f t="shared" si="71"/>
        <v>343</v>
      </c>
      <c r="J230" s="167">
        <f t="shared" si="70"/>
        <v>2.6038108251727018E-2</v>
      </c>
      <c r="K230" s="458"/>
      <c r="L230" s="163"/>
      <c r="M230" s="163"/>
    </row>
    <row r="231" spans="1:13">
      <c r="A231" s="158"/>
      <c r="B231" s="165" t="s">
        <v>218</v>
      </c>
      <c r="C231" s="504">
        <f>'[31]Sch D'!J9</f>
        <v>48</v>
      </c>
      <c r="D231" s="480"/>
      <c r="E231" s="480"/>
      <c r="F231" s="224">
        <f t="shared" si="69"/>
        <v>48</v>
      </c>
      <c r="G231" s="627"/>
      <c r="H231" s="223"/>
      <c r="I231" s="224">
        <f t="shared" si="71"/>
        <v>48</v>
      </c>
      <c r="J231" s="167">
        <f>IF($I$233=0,0,I231/$I$233)</f>
        <v>3.6438168982008655E-3</v>
      </c>
      <c r="K231" s="458"/>
      <c r="L231" s="163"/>
      <c r="M231" s="163"/>
    </row>
    <row r="232" spans="1:13">
      <c r="A232" s="158"/>
      <c r="B232" s="165" t="s">
        <v>170</v>
      </c>
      <c r="C232" s="504">
        <f>'[31]Sch D'!K9</f>
        <v>58</v>
      </c>
      <c r="D232" s="480"/>
      <c r="E232" s="480"/>
      <c r="F232" s="224">
        <f t="shared" si="69"/>
        <v>58</v>
      </c>
      <c r="G232" s="627"/>
      <c r="H232" s="223"/>
      <c r="I232" s="224">
        <f t="shared" si="71"/>
        <v>58</v>
      </c>
      <c r="J232" s="167">
        <f t="shared" si="70"/>
        <v>4.402945418659379E-3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2">SUM(C224:C232)</f>
        <v>13173</v>
      </c>
      <c r="D233" s="504">
        <f t="shared" si="72"/>
        <v>0</v>
      </c>
      <c r="E233" s="504">
        <f t="shared" si="72"/>
        <v>0</v>
      </c>
      <c r="F233" s="226">
        <f t="shared" ref="F233:I233" si="73">SUM(F224:F232)</f>
        <v>13173</v>
      </c>
      <c r="G233" s="226">
        <f t="shared" si="73"/>
        <v>0</v>
      </c>
      <c r="H233" s="226">
        <f t="shared" si="73"/>
        <v>0</v>
      </c>
      <c r="I233" s="226">
        <f t="shared" si="73"/>
        <v>13173</v>
      </c>
      <c r="J233" s="167">
        <f t="shared" si="70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'[31]Sch D'!N22</f>
        <v>60</v>
      </c>
      <c r="D236" s="480"/>
      <c r="E236" s="480"/>
      <c r="F236" s="224">
        <f>C236+E236</f>
        <v>60</v>
      </c>
      <c r="G236" s="627"/>
      <c r="H236" s="224"/>
      <c r="I236" s="224">
        <f>F236+G236+H236</f>
        <v>60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'[31]Sch D'!N24</f>
        <v>60</v>
      </c>
      <c r="D237" s="480"/>
      <c r="E237" s="480"/>
      <c r="F237" s="224">
        <f>C237+E237</f>
        <v>60</v>
      </c>
      <c r="G237" s="627"/>
      <c r="H237" s="224"/>
      <c r="I237" s="224">
        <f>F237+G237+H237</f>
        <v>60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'[31]Sch D'!N28</f>
        <v>21900</v>
      </c>
      <c r="D240" s="427"/>
      <c r="E240" s="427"/>
      <c r="F240" s="223">
        <f>F236*F238</f>
        <v>21900</v>
      </c>
      <c r="G240"/>
      <c r="H240" s="228"/>
      <c r="I240" s="223">
        <f>I236*I238</f>
        <v>21900</v>
      </c>
      <c r="J240" s="162"/>
      <c r="K240" s="460"/>
      <c r="L240" s="163"/>
      <c r="M240" s="163"/>
    </row>
    <row r="241" spans="1:13" ht="33" customHeight="1">
      <c r="A241" s="158"/>
      <c r="B241" s="231" t="s">
        <v>317</v>
      </c>
      <c r="C241" s="505">
        <f>'[31]Sch D'!N30</f>
        <v>0.60150684931506848</v>
      </c>
      <c r="D241" s="228"/>
      <c r="E241" s="228"/>
      <c r="F241" s="232">
        <f>F233/F240</f>
        <v>0.60150684931506848</v>
      </c>
      <c r="G241"/>
      <c r="H241" s="233"/>
      <c r="I241" s="232">
        <f>I233/I240</f>
        <v>0.60150684931506848</v>
      </c>
      <c r="J241" s="162"/>
      <c r="K241" s="460"/>
      <c r="L241" s="163"/>
      <c r="M241" s="163"/>
    </row>
    <row r="242" spans="1:13" ht="34.5" customHeight="1">
      <c r="A242" s="158"/>
      <c r="B242" s="231" t="s">
        <v>318</v>
      </c>
      <c r="C242" s="505">
        <f>'[31]Sch D'!N32</f>
        <v>0.33922374429223745</v>
      </c>
      <c r="D242" s="228"/>
      <c r="E242" s="228"/>
      <c r="F242" s="232">
        <f>(F224+F225)/F240</f>
        <v>0.33922374429223745</v>
      </c>
      <c r="G242"/>
      <c r="H242" s="233"/>
      <c r="I242" s="232">
        <f>(I224+I225)/I240</f>
        <v>0.33922374429223745</v>
      </c>
      <c r="J242" s="162"/>
      <c r="K242" s="460"/>
      <c r="L242" s="163"/>
      <c r="M242" s="163"/>
    </row>
    <row r="243" spans="1:13" ht="33" customHeight="1">
      <c r="A243" s="158"/>
      <c r="B243" s="231" t="s">
        <v>319</v>
      </c>
      <c r="C243" s="505">
        <f>'[31]Sch D'!N34</f>
        <v>0.56395657784862985</v>
      </c>
      <c r="D243" s="228"/>
      <c r="E243" s="228"/>
      <c r="F243" s="232">
        <f>(F242/F241)</f>
        <v>0.56395657784862985</v>
      </c>
      <c r="G243"/>
      <c r="H243" s="233"/>
      <c r="I243" s="232">
        <f>(I242/I241)</f>
        <v>0.56395657784862985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'[31]Sch B'!C90</f>
        <v>169.3755868544601</v>
      </c>
      <c r="K246" s="460"/>
    </row>
    <row r="247" spans="1:13" ht="15.5">
      <c r="F247"/>
      <c r="G247"/>
      <c r="H247" s="140" t="s">
        <v>322</v>
      </c>
      <c r="I247" s="480">
        <f>'[31]Sch B'!E90</f>
        <v>171.6396255850234</v>
      </c>
      <c r="K247" s="460"/>
    </row>
    <row r="248" spans="1:13" ht="15.5">
      <c r="E248"/>
      <c r="F248"/>
      <c r="G248"/>
      <c r="H248" s="140" t="s">
        <v>323</v>
      </c>
      <c r="I248" s="480">
        <f>'[31]Sch B'!G90</f>
        <v>170.41617357001974</v>
      </c>
      <c r="K248" s="460"/>
    </row>
    <row r="249" spans="1:13" ht="15.5">
      <c r="E249"/>
      <c r="F249"/>
      <c r="G249"/>
      <c r="H249" s="140" t="s">
        <v>324</v>
      </c>
      <c r="I249" s="480">
        <f>'[31]Sch B'!I90</f>
        <v>177.2964509394572</v>
      </c>
      <c r="K249" s="460"/>
    </row>
    <row r="250" spans="1:13" ht="15.5">
      <c r="E250"/>
      <c r="F250"/>
      <c r="G250"/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1" sqref="F11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2"/>
  <headerFooter alignWithMargins="0">
    <oddFooter>&amp;R&amp;D
&amp;T
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0"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348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'[32]Sch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'[32]Sch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'[32]Sch B'!E10</f>
        <v>2252728</v>
      </c>
      <c r="D12" s="480">
        <f>'[32]Sch B'!G10</f>
        <v>0</v>
      </c>
      <c r="E12" s="480"/>
      <c r="F12" s="166">
        <f>C12+D12+E12</f>
        <v>2252728</v>
      </c>
      <c r="G12" s="626"/>
      <c r="H12" s="166"/>
      <c r="I12" s="166">
        <f>F12+G12+H12</f>
        <v>2252728</v>
      </c>
      <c r="J12" s="167">
        <f>IF($I$26=0,0,I12/$I$26)</f>
        <v>0.3547338356160501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'[32]Sch B'!E12</f>
        <v>0</v>
      </c>
      <c r="D13" s="480">
        <f>'[32]Sch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'[32]Sch B'!E13</f>
        <v>25247</v>
      </c>
      <c r="D14" s="480">
        <f>'[32]Sch B'!G13</f>
        <v>0</v>
      </c>
      <c r="E14" s="480"/>
      <c r="F14" s="166">
        <f t="shared" si="0"/>
        <v>25247</v>
      </c>
      <c r="G14" s="626"/>
      <c r="H14" s="166"/>
      <c r="I14" s="166">
        <f t="shared" si="1"/>
        <v>25247</v>
      </c>
      <c r="J14" s="167">
        <f>IF($I$26=0,0,I14/$I$26)</f>
        <v>3.975608749835052E-3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'[32]Sch B'!E14</f>
        <v>0</v>
      </c>
      <c r="D15" s="480">
        <f>'[32]Sch B'!G14</f>
        <v>3227</v>
      </c>
      <c r="E15" s="480"/>
      <c r="F15" s="166">
        <f t="shared" si="0"/>
        <v>3227</v>
      </c>
      <c r="G15" s="626"/>
      <c r="H15" s="166"/>
      <c r="I15" s="166">
        <f t="shared" si="1"/>
        <v>3227</v>
      </c>
      <c r="J15" s="167">
        <f>IF($I$26=0,0,I15/$I$26)</f>
        <v>5.0815104510308997E-4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'[32]Sch B'!E15</f>
        <v>2277975</v>
      </c>
      <c r="D16" s="480">
        <f>'[32]Sch B'!G15</f>
        <v>3227</v>
      </c>
      <c r="E16" s="480"/>
      <c r="F16" s="166">
        <f t="shared" si="0"/>
        <v>2281202</v>
      </c>
      <c r="G16" s="626"/>
      <c r="H16" s="166"/>
      <c r="I16" s="166">
        <f>SUM(I12:I15)</f>
        <v>2281202</v>
      </c>
      <c r="J16" s="167">
        <f t="shared" ref="J16:J26" si="2">IF($I$26=0,0,I16/$I$26)</f>
        <v>0.35921759541098824</v>
      </c>
      <c r="K16" s="458"/>
      <c r="L16" s="333" t="s">
        <v>325</v>
      </c>
      <c r="M16" s="334">
        <f>I26</f>
        <v>6350474</v>
      </c>
      <c r="O16" s="324">
        <f>IFERROR(I16/I224,0)</f>
        <v>180.01909722222223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'[32]Sch B'!E20</f>
        <v>0</v>
      </c>
      <c r="D17" s="480">
        <f>'[32]Sch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6778681.4040074516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'[32]Sch B'!E26</f>
        <v>2256598</v>
      </c>
      <c r="D18" s="480">
        <f>'[32]Sch B'!G26</f>
        <v>0</v>
      </c>
      <c r="E18" s="480"/>
      <c r="F18" s="166">
        <f t="shared" si="0"/>
        <v>2256598</v>
      </c>
      <c r="G18" s="626"/>
      <c r="H18" s="166"/>
      <c r="I18" s="166">
        <f t="shared" si="1"/>
        <v>2256598</v>
      </c>
      <c r="J18" s="167">
        <f t="shared" si="2"/>
        <v>0.3553432389456283</v>
      </c>
      <c r="K18" s="458"/>
      <c r="L18" s="335" t="s">
        <v>327</v>
      </c>
      <c r="M18" s="336">
        <f>I233</f>
        <v>24125</v>
      </c>
      <c r="O18" s="324">
        <f t="shared" si="3"/>
        <v>523.81569173630453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'[32]Sch B'!E32</f>
        <v>152218</v>
      </c>
      <c r="D19" s="480">
        <f>'[32]Sch B'!G32</f>
        <v>0</v>
      </c>
      <c r="E19" s="480"/>
      <c r="F19" s="166">
        <f t="shared" si="0"/>
        <v>152218</v>
      </c>
      <c r="G19" s="626"/>
      <c r="H19" s="166"/>
      <c r="I19" s="166">
        <f t="shared" si="1"/>
        <v>152218</v>
      </c>
      <c r="J19" s="170">
        <f t="shared" si="2"/>
        <v>2.3969549359622606E-2</v>
      </c>
      <c r="K19" s="464"/>
      <c r="L19" s="335" t="s">
        <v>328</v>
      </c>
      <c r="M19" s="336">
        <f>I236</f>
        <v>100</v>
      </c>
      <c r="O19" s="324">
        <f t="shared" si="3"/>
        <v>276.76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'[32]Sch B'!E37</f>
        <v>0</v>
      </c>
      <c r="D20" s="480">
        <f>'[32]Sch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36500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'[32]Sch B'!E42</f>
        <v>1028712</v>
      </c>
      <c r="D21" s="480">
        <f>'[32]Sch B'!G42</f>
        <v>0</v>
      </c>
      <c r="E21" s="480"/>
      <c r="F21" s="166">
        <f t="shared" si="0"/>
        <v>1028712</v>
      </c>
      <c r="G21" s="626"/>
      <c r="H21" s="166"/>
      <c r="I21" s="166">
        <f t="shared" si="1"/>
        <v>1028712</v>
      </c>
      <c r="J21" s="167">
        <f t="shared" si="2"/>
        <v>0.16198979792689491</v>
      </c>
      <c r="K21" s="458"/>
      <c r="L21" s="337"/>
      <c r="M21" s="336"/>
      <c r="O21" s="324">
        <f t="shared" si="3"/>
        <v>216.75347661188368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'[32]Sch B'!E47</f>
        <v>91910</v>
      </c>
      <c r="D22" s="480">
        <f>'[32]Sch B'!G47</f>
        <v>168373.5244519393</v>
      </c>
      <c r="E22" s="480"/>
      <c r="F22" s="166">
        <f t="shared" si="0"/>
        <v>260283.5244519393</v>
      </c>
      <c r="G22" s="626"/>
      <c r="H22" s="166"/>
      <c r="I22" s="166">
        <f t="shared" si="1"/>
        <v>260283.5244519393</v>
      </c>
      <c r="J22" s="167">
        <f t="shared" si="2"/>
        <v>4.0986471947123834E-2</v>
      </c>
      <c r="K22" s="458"/>
      <c r="L22" s="335" t="s">
        <v>148</v>
      </c>
      <c r="M22" s="336">
        <f>L213</f>
        <v>158760.14996428572</v>
      </c>
      <c r="O22" s="324">
        <f t="shared" si="3"/>
        <v>220.57925801011805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'[32]Sch B'!E52</f>
        <v>0</v>
      </c>
      <c r="D23" s="480">
        <f>'[32]Sch B'!G52</f>
        <v>1323.4755480607084</v>
      </c>
      <c r="E23" s="480"/>
      <c r="F23" s="166">
        <f t="shared" si="0"/>
        <v>1323.4755480607084</v>
      </c>
      <c r="G23" s="626"/>
      <c r="H23" s="166"/>
      <c r="I23" s="166">
        <f t="shared" si="1"/>
        <v>1323.4755480607084</v>
      </c>
      <c r="J23" s="167">
        <f t="shared" si="2"/>
        <v>2.0840578956164664E-4</v>
      </c>
      <c r="K23" s="458"/>
      <c r="L23" s="338" t="s">
        <v>233</v>
      </c>
      <c r="M23" s="339">
        <f>M213</f>
        <v>171969.52167857144</v>
      </c>
      <c r="O23" s="324">
        <f t="shared" si="3"/>
        <v>220.57925801011808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'[32]Sch B'!E57</f>
        <v>503492</v>
      </c>
      <c r="D24" s="480">
        <f>'[32]Sch B'!G57</f>
        <v>-169697</v>
      </c>
      <c r="E24" s="480"/>
      <c r="F24" s="166">
        <f t="shared" si="0"/>
        <v>333795</v>
      </c>
      <c r="G24" s="626"/>
      <c r="H24" s="166"/>
      <c r="I24" s="166">
        <f t="shared" si="1"/>
        <v>333795</v>
      </c>
      <c r="J24" s="167">
        <f t="shared" si="2"/>
        <v>5.2562218190327213E-2</v>
      </c>
      <c r="K24" s="458"/>
      <c r="L24" s="163"/>
      <c r="M24" s="163"/>
      <c r="O24" s="324">
        <f t="shared" si="3"/>
        <v>503.46153846153845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'[32]Sch B'!E72</f>
        <v>-75021</v>
      </c>
      <c r="D25" s="480">
        <f>'[32]Sch B'!G72</f>
        <v>111363</v>
      </c>
      <c r="E25" s="480"/>
      <c r="F25" s="166">
        <f t="shared" si="0"/>
        <v>36342</v>
      </c>
      <c r="G25" s="626"/>
      <c r="H25" s="166"/>
      <c r="I25" s="166">
        <f t="shared" si="1"/>
        <v>36342</v>
      </c>
      <c r="J25" s="167">
        <f t="shared" si="2"/>
        <v>5.722722429853268E-3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6235884</v>
      </c>
      <c r="D26" s="480">
        <f t="shared" ref="D26:F26" si="4">SUM(D16:D25)</f>
        <v>114590</v>
      </c>
      <c r="E26" s="480">
        <f t="shared" si="4"/>
        <v>0</v>
      </c>
      <c r="F26" s="166">
        <f t="shared" si="4"/>
        <v>6350474</v>
      </c>
      <c r="G26" s="166">
        <f>SUM(G12:G25)</f>
        <v>0</v>
      </c>
      <c r="H26" s="166">
        <f>SUM(H12:H25)</f>
        <v>0</v>
      </c>
      <c r="I26" s="166">
        <f>SUM(I16:I25)</f>
        <v>6350474</v>
      </c>
      <c r="J26" s="167">
        <f t="shared" si="2"/>
        <v>1</v>
      </c>
      <c r="K26" s="458"/>
      <c r="L26" s="163"/>
      <c r="M26" s="163"/>
      <c r="O26" s="324">
        <f>IFERROR(I26/I233,0)</f>
        <v>263.23208290155441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'[32]Sch C'!D10</f>
        <v>141338</v>
      </c>
      <c r="D30" s="480">
        <f>'[32]Sch C'!F10</f>
        <v>-26495</v>
      </c>
      <c r="E30" s="480">
        <f>+'[32]Sch C'!H10</f>
        <v>0</v>
      </c>
      <c r="F30" s="166">
        <f t="shared" ref="F30:F65" si="5">C30+D30+E30</f>
        <v>114843</v>
      </c>
      <c r="G30" s="626"/>
      <c r="H30" s="166"/>
      <c r="I30" s="166">
        <f t="shared" ref="I30:I65" si="6">F30+G30+H30</f>
        <v>114843</v>
      </c>
      <c r="J30" s="167">
        <f>IF($I$213=0,0,I30/$I$213)</f>
        <v>1.6941790468586796E-2</v>
      </c>
      <c r="K30" s="458"/>
      <c r="L30" s="428">
        <v>2167</v>
      </c>
      <c r="M30" s="428">
        <v>2167</v>
      </c>
      <c r="O30" s="324">
        <f>I30/I$233</f>
        <v>4.7603316062176164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'[32]Sch C'!D11</f>
        <v>0</v>
      </c>
      <c r="D31" s="480">
        <f>'[32]Sch C'!F11</f>
        <v>0</v>
      </c>
      <c r="E31" s="480">
        <f>+'[32]Sch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428">
        <v>0</v>
      </c>
      <c r="M31" s="428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'[32]Sch C'!D12</f>
        <v>122756</v>
      </c>
      <c r="D32" s="480">
        <f>'[32]Sch C'!F12</f>
        <v>65316.448705620431</v>
      </c>
      <c r="E32" s="480">
        <f>+'[32]Sch C'!H12</f>
        <v>0</v>
      </c>
      <c r="F32" s="166">
        <f t="shared" si="5"/>
        <v>188072.44870562042</v>
      </c>
      <c r="G32" s="626"/>
      <c r="H32" s="166"/>
      <c r="I32" s="166">
        <f t="shared" si="6"/>
        <v>188072.44870562042</v>
      </c>
      <c r="J32" s="167">
        <f t="shared" si="7"/>
        <v>2.7744695095779971E-2</v>
      </c>
      <c r="K32" s="458"/>
      <c r="L32" s="428">
        <v>7893.9606785714286</v>
      </c>
      <c r="M32" s="428">
        <v>8863.9481071428563</v>
      </c>
      <c r="O32" s="324">
        <f t="shared" si="8"/>
        <v>7.7957491691448881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'[32]Sch C'!D13</f>
        <v>294563</v>
      </c>
      <c r="D33" s="480">
        <f>'[32]Sch C'!F13</f>
        <v>-267169.53394571401</v>
      </c>
      <c r="E33" s="480">
        <f>+'[32]Sch C'!H13</f>
        <v>-4649</v>
      </c>
      <c r="F33" s="166">
        <f t="shared" si="5"/>
        <v>22744.466054285993</v>
      </c>
      <c r="G33" s="626"/>
      <c r="H33" s="166"/>
      <c r="I33" s="166">
        <f t="shared" si="6"/>
        <v>22744.466054285993</v>
      </c>
      <c r="J33" s="167">
        <f t="shared" si="7"/>
        <v>3.3552935591337598E-3</v>
      </c>
      <c r="K33" s="458"/>
      <c r="L33" s="446"/>
      <c r="M33" s="446"/>
      <c r="O33" s="324">
        <f t="shared" si="8"/>
        <v>0.94277579499631059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'[32]Sch C'!D14</f>
        <v>0</v>
      </c>
      <c r="D34" s="480">
        <f>'[32]Sch C'!F14</f>
        <v>0</v>
      </c>
      <c r="E34" s="480">
        <f>+'[32]Sch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446"/>
      <c r="M34" s="446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'[32]Sch C'!D15</f>
        <v>0</v>
      </c>
      <c r="D35" s="480">
        <f>'[32]Sch C'!F15</f>
        <v>0</v>
      </c>
      <c r="E35" s="480">
        <f>+'[32]Sch C'!H15</f>
        <v>236858</v>
      </c>
      <c r="F35" s="166">
        <f t="shared" si="5"/>
        <v>236858</v>
      </c>
      <c r="G35" s="626"/>
      <c r="H35" s="166"/>
      <c r="I35" s="166">
        <f t="shared" si="6"/>
        <v>236858</v>
      </c>
      <c r="J35" s="167">
        <f t="shared" si="7"/>
        <v>3.4941603813976742E-2</v>
      </c>
      <c r="K35" s="458"/>
      <c r="L35" s="446"/>
      <c r="M35" s="446"/>
      <c r="O35" s="324">
        <f t="shared" si="8"/>
        <v>9.817948186528497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'[32]Sch C'!D16</f>
        <v>0</v>
      </c>
      <c r="D36" s="480">
        <f>'[32]Sch C'!F16</f>
        <v>0</v>
      </c>
      <c r="E36" s="480">
        <f>+'[32]Sch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446"/>
      <c r="M36" s="446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'[32]Sch C'!D17</f>
        <v>0</v>
      </c>
      <c r="D37" s="480">
        <f>'[32]Sch C'!F17</f>
        <v>0</v>
      </c>
      <c r="E37" s="480">
        <f>+'[32]Sch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446"/>
      <c r="M37" s="446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'[32]Sch C'!D18</f>
        <v>12655</v>
      </c>
      <c r="D38" s="480">
        <f>'[32]Sch C'!F18</f>
        <v>0</v>
      </c>
      <c r="E38" s="480">
        <f>+'[32]Sch C'!H18</f>
        <v>0</v>
      </c>
      <c r="F38" s="166">
        <f t="shared" si="5"/>
        <v>12655</v>
      </c>
      <c r="G38" s="626"/>
      <c r="H38" s="166"/>
      <c r="I38" s="166">
        <f t="shared" si="6"/>
        <v>12655</v>
      </c>
      <c r="J38" s="167">
        <f t="shared" si="7"/>
        <v>1.8668822512470581E-3</v>
      </c>
      <c r="K38" s="458"/>
      <c r="L38" s="446"/>
      <c r="M38" s="446"/>
      <c r="O38" s="324">
        <f t="shared" si="8"/>
        <v>0.52455958549222803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'[32]Sch C'!D19</f>
        <v>17314</v>
      </c>
      <c r="D39" s="480">
        <f>'[32]Sch C'!F19</f>
        <v>-1800</v>
      </c>
      <c r="E39" s="480">
        <f>+'[32]Sch C'!H19</f>
        <v>0</v>
      </c>
      <c r="F39" s="166">
        <f t="shared" si="5"/>
        <v>15514</v>
      </c>
      <c r="G39" s="626"/>
      <c r="H39" s="166"/>
      <c r="I39" s="166">
        <f t="shared" si="6"/>
        <v>15514</v>
      </c>
      <c r="J39" s="167">
        <f t="shared" si="7"/>
        <v>2.2886456930736356E-3</v>
      </c>
      <c r="K39" s="458"/>
      <c r="L39" s="446"/>
      <c r="M39" s="446"/>
      <c r="O39" s="324">
        <f t="shared" si="8"/>
        <v>0.64306735751295341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'[32]Sch C'!D20</f>
        <v>20582</v>
      </c>
      <c r="D40" s="480">
        <f>'[32]Sch C'!F20</f>
        <v>-119.92</v>
      </c>
      <c r="E40" s="480">
        <f>+'[32]Sch C'!H20</f>
        <v>0</v>
      </c>
      <c r="F40" s="166">
        <f t="shared" si="5"/>
        <v>20462.080000000002</v>
      </c>
      <c r="G40" s="626"/>
      <c r="H40" s="166"/>
      <c r="I40" s="166">
        <f t="shared" si="6"/>
        <v>20462.080000000002</v>
      </c>
      <c r="J40" s="167">
        <f t="shared" si="7"/>
        <v>3.0185929652783413E-3</v>
      </c>
      <c r="K40" s="458"/>
      <c r="L40" s="446"/>
      <c r="M40" s="446"/>
      <c r="O40" s="324">
        <f t="shared" si="8"/>
        <v>0.84816911917098448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'[32]Sch C'!D21</f>
        <v>452</v>
      </c>
      <c r="D41" s="480">
        <f>'[32]Sch C'!F21</f>
        <v>0</v>
      </c>
      <c r="E41" s="480">
        <f>+'[32]Sch C'!H21</f>
        <v>396</v>
      </c>
      <c r="F41" s="166">
        <f t="shared" si="5"/>
        <v>848</v>
      </c>
      <c r="G41" s="626"/>
      <c r="H41" s="166"/>
      <c r="I41" s="166">
        <f t="shared" si="6"/>
        <v>848</v>
      </c>
      <c r="J41" s="167">
        <f t="shared" si="7"/>
        <v>1.2509807578486805E-4</v>
      </c>
      <c r="K41" s="458"/>
      <c r="L41" s="446"/>
      <c r="M41" s="446"/>
      <c r="O41" s="324">
        <f t="shared" si="8"/>
        <v>3.5150259067357512E-2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'[32]Sch C'!D22</f>
        <v>0</v>
      </c>
      <c r="D42" s="480">
        <f>'[32]Sch C'!F22</f>
        <v>0</v>
      </c>
      <c r="E42" s="480">
        <f>+'[32]Sch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446"/>
      <c r="M42" s="446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'[32]Sch C'!D23</f>
        <v>9832</v>
      </c>
      <c r="D43" s="480">
        <f>'[32]Sch C'!F23</f>
        <v>-3352.5299999999997</v>
      </c>
      <c r="E43" s="480">
        <f>+'[32]Sch C'!H23</f>
        <v>0</v>
      </c>
      <c r="F43" s="166">
        <f t="shared" si="5"/>
        <v>6479.47</v>
      </c>
      <c r="G43" s="626"/>
      <c r="H43" s="166"/>
      <c r="I43" s="166">
        <f t="shared" si="6"/>
        <v>6479.47</v>
      </c>
      <c r="J43" s="167">
        <f t="shared" si="7"/>
        <v>9.5585993998323002E-4</v>
      </c>
      <c r="K43" s="458"/>
      <c r="L43" s="446"/>
      <c r="M43" s="446"/>
      <c r="O43" s="324">
        <f t="shared" si="8"/>
        <v>0.26857906735751297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'[32]Sch C'!D24</f>
        <v>0</v>
      </c>
      <c r="D44" s="480">
        <f>'[32]Sch C'!F24</f>
        <v>0</v>
      </c>
      <c r="E44" s="480">
        <f>+'[32]Sch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446"/>
      <c r="M44" s="446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'[32]Sch C'!D25</f>
        <v>0</v>
      </c>
      <c r="D45" s="480">
        <f>'[32]Sch C'!F25</f>
        <v>0</v>
      </c>
      <c r="E45" s="480">
        <f>+'[32]Sch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446"/>
      <c r="M45" s="446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'[32]Sch C'!D26</f>
        <v>399947</v>
      </c>
      <c r="D46" s="480">
        <f>'[32]Sch C'!F26</f>
        <v>0</v>
      </c>
      <c r="E46" s="480">
        <f>+'[32]Sch C'!H26</f>
        <v>0</v>
      </c>
      <c r="F46" s="166">
        <f t="shared" si="5"/>
        <v>399947</v>
      </c>
      <c r="G46" s="626"/>
      <c r="H46" s="166"/>
      <c r="I46" s="166">
        <f t="shared" si="6"/>
        <v>399947</v>
      </c>
      <c r="J46" s="167">
        <f t="shared" si="7"/>
        <v>5.9000707683880452E-2</v>
      </c>
      <c r="K46" s="458"/>
      <c r="L46" s="446"/>
      <c r="M46" s="446"/>
      <c r="O46" s="324">
        <f t="shared" si="8"/>
        <v>16.578113989637306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'[32]Sch C'!D27</f>
        <v>0</v>
      </c>
      <c r="D47" s="480">
        <f>'[32]Sch C'!F27</f>
        <v>0</v>
      </c>
      <c r="E47" s="480">
        <f>+'[32]Sch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446"/>
      <c r="M47" s="446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'[32]Sch C'!D28</f>
        <v>0</v>
      </c>
      <c r="D48" s="480">
        <f>'[32]Sch C'!F28</f>
        <v>0</v>
      </c>
      <c r="E48" s="480">
        <f>+'[32]Sch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446"/>
      <c r="M48" s="446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'[32]Sch C'!D29</f>
        <v>0</v>
      </c>
      <c r="D49" s="480">
        <f>'[32]Sch C'!F29</f>
        <v>0</v>
      </c>
      <c r="E49" s="480">
        <f>+'[32]Sch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446"/>
      <c r="M49" s="446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'[32]Sch C'!D30</f>
        <v>0</v>
      </c>
      <c r="D50" s="480">
        <f>'[32]Sch C'!F30</f>
        <v>0</v>
      </c>
      <c r="E50" s="480">
        <f>+'[32]Sch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446"/>
      <c r="M50" s="446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'[32]Sch C'!D31</f>
        <v>44501</v>
      </c>
      <c r="D51" s="480">
        <f>'[32]Sch C'!F31</f>
        <v>-31303</v>
      </c>
      <c r="E51" s="480">
        <f>+'[32]Sch C'!H31</f>
        <v>-13198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446"/>
      <c r="M51" s="446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'[32]Sch C'!D32</f>
        <v>81270</v>
      </c>
      <c r="D52" s="480">
        <f>'[32]Sch C'!F32</f>
        <v>-9636</v>
      </c>
      <c r="E52" s="480">
        <f>+'[32]Sch C'!H32</f>
        <v>3620</v>
      </c>
      <c r="F52" s="166">
        <f t="shared" si="5"/>
        <v>75254</v>
      </c>
      <c r="G52" s="626"/>
      <c r="H52" s="166"/>
      <c r="I52" s="166">
        <f t="shared" si="6"/>
        <v>75254</v>
      </c>
      <c r="J52" s="167">
        <f t="shared" si="7"/>
        <v>1.1101569098012336E-2</v>
      </c>
      <c r="K52" s="458"/>
      <c r="L52" s="446"/>
      <c r="M52" s="446"/>
      <c r="O52" s="324">
        <f t="shared" si="8"/>
        <v>3.1193367875647668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'[32]Sch C'!D33</f>
        <v>4622</v>
      </c>
      <c r="D53" s="480">
        <f>'[32]Sch C'!F33</f>
        <v>-4622</v>
      </c>
      <c r="E53" s="480">
        <f>+'[32]Sch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446"/>
      <c r="M53" s="446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'[32]Sch C'!D34</f>
        <v>2560</v>
      </c>
      <c r="D54" s="480">
        <f>'[32]Sch C'!F34</f>
        <v>0</v>
      </c>
      <c r="E54" s="480">
        <f>+'[32]Sch C'!H34</f>
        <v>0</v>
      </c>
      <c r="F54" s="166">
        <f t="shared" si="5"/>
        <v>2560</v>
      </c>
      <c r="G54" s="626"/>
      <c r="H54" s="166"/>
      <c r="I54" s="166">
        <f t="shared" si="6"/>
        <v>2560</v>
      </c>
      <c r="J54" s="167">
        <f t="shared" si="7"/>
        <v>3.7765456840714888E-4</v>
      </c>
      <c r="K54" s="458"/>
      <c r="L54" s="446"/>
      <c r="M54" s="446"/>
      <c r="O54" s="324">
        <f t="shared" si="8"/>
        <v>0.1061139896373057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'[32]Sch C'!D35</f>
        <v>75</v>
      </c>
      <c r="D55" s="480">
        <f>'[32]Sch C'!F35</f>
        <v>-75</v>
      </c>
      <c r="E55" s="480">
        <f>+'[32]Sch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446"/>
      <c r="M55" s="446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'[32]Sch C'!D36</f>
        <v>0</v>
      </c>
      <c r="D56" s="480">
        <f>'[32]Sch C'!F36</f>
        <v>37764.331878571429</v>
      </c>
      <c r="E56" s="480">
        <f>+'[32]Sch C'!H36</f>
        <v>0</v>
      </c>
      <c r="F56" s="166">
        <f t="shared" si="5"/>
        <v>37764.331878571429</v>
      </c>
      <c r="G56" s="626"/>
      <c r="H56" s="166"/>
      <c r="I56" s="166">
        <f t="shared" si="6"/>
        <v>37764.331878571429</v>
      </c>
      <c r="J56" s="167">
        <f t="shared" si="7"/>
        <v>5.5710439284321197E-3</v>
      </c>
      <c r="K56" s="458"/>
      <c r="L56" s="428">
        <v>1571.6364285714287</v>
      </c>
      <c r="M56" s="428">
        <v>1807.6364285714287</v>
      </c>
      <c r="O56" s="324">
        <f t="shared" si="8"/>
        <v>1.5653609068837897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'[32]Sch C'!D37</f>
        <v>0</v>
      </c>
      <c r="D57" s="480">
        <f>'[32]Sch C'!F37</f>
        <v>5854.8402875706033</v>
      </c>
      <c r="E57" s="480">
        <f>+'[32]Sch C'!H37</f>
        <v>0</v>
      </c>
      <c r="F57" s="166">
        <f t="shared" si="5"/>
        <v>5854.8402875706033</v>
      </c>
      <c r="G57" s="626"/>
      <c r="H57" s="166"/>
      <c r="I57" s="166">
        <f t="shared" si="6"/>
        <v>5854.8402875706033</v>
      </c>
      <c r="J57" s="167">
        <f t="shared" si="7"/>
        <v>8.6371374292783731E-4</v>
      </c>
      <c r="K57" s="458"/>
      <c r="L57" s="446"/>
      <c r="M57" s="446"/>
      <c r="O57" s="324">
        <f t="shared" si="8"/>
        <v>0.24268768031380739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'[32]Sch C'!D38</f>
        <v>0</v>
      </c>
      <c r="D58" s="480">
        <f>'[32]Sch C'!F38</f>
        <v>0</v>
      </c>
      <c r="E58" s="480">
        <f>+'[32]Sch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446"/>
      <c r="M58" s="446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'[32]Sch C'!D39</f>
        <v>4776</v>
      </c>
      <c r="D59" s="480">
        <f>'[32]Sch C'!F39</f>
        <v>0</v>
      </c>
      <c r="E59" s="480">
        <f>+'[32]Sch C'!H39</f>
        <v>0</v>
      </c>
      <c r="F59" s="166">
        <f t="shared" si="5"/>
        <v>4776</v>
      </c>
      <c r="G59" s="626"/>
      <c r="H59" s="166"/>
      <c r="I59" s="166">
        <f t="shared" si="6"/>
        <v>4776</v>
      </c>
      <c r="J59" s="167">
        <f t="shared" si="7"/>
        <v>7.0456180418458712E-4</v>
      </c>
      <c r="K59" s="458"/>
      <c r="L59" s="446"/>
      <c r="M59" s="446"/>
      <c r="O59" s="324">
        <f t="shared" si="8"/>
        <v>0.19796891191709845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'[32]Sch C'!D40</f>
        <v>102619</v>
      </c>
      <c r="D60" s="480">
        <f>'[32]Sch C'!F40</f>
        <v>-102619</v>
      </c>
      <c r="E60" s="480">
        <f>+'[32]Sch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446"/>
      <c r="M60" s="446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'[32]Sch C'!D41</f>
        <v>682</v>
      </c>
      <c r="D61" s="480">
        <f>'[32]Sch C'!F41</f>
        <v>0</v>
      </c>
      <c r="E61" s="480">
        <f>+'[32]Sch C'!H41</f>
        <v>0</v>
      </c>
      <c r="F61" s="166">
        <f t="shared" si="5"/>
        <v>682</v>
      </c>
      <c r="G61" s="626"/>
      <c r="H61" s="166"/>
      <c r="I61" s="166">
        <f t="shared" si="6"/>
        <v>682</v>
      </c>
      <c r="J61" s="167">
        <f t="shared" si="7"/>
        <v>1.00609537364717E-4</v>
      </c>
      <c r="K61" s="458"/>
      <c r="L61" s="446"/>
      <c r="M61" s="446"/>
      <c r="O61" s="324">
        <f t="shared" si="8"/>
        <v>2.8269430051813472E-2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'[32]Sch C'!D42</f>
        <v>10228</v>
      </c>
      <c r="D62" s="480">
        <f>'[32]Sch C'!F42</f>
        <v>0</v>
      </c>
      <c r="E62" s="480">
        <f>+'[32]Sch C'!H42</f>
        <v>0</v>
      </c>
      <c r="F62" s="166">
        <f t="shared" si="5"/>
        <v>10228</v>
      </c>
      <c r="G62" s="626"/>
      <c r="H62" s="166"/>
      <c r="I62" s="166">
        <f t="shared" si="6"/>
        <v>10228</v>
      </c>
      <c r="J62" s="167">
        <f t="shared" si="7"/>
        <v>1.5088480178391869E-3</v>
      </c>
      <c r="K62" s="458"/>
      <c r="L62" s="446"/>
      <c r="M62" s="446"/>
      <c r="O62" s="324">
        <f t="shared" si="8"/>
        <v>0.42395854922279791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'[32]Sch C'!D43</f>
        <v>17823</v>
      </c>
      <c r="D63" s="480">
        <f>'[32]Sch C'!F43</f>
        <v>0</v>
      </c>
      <c r="E63" s="480">
        <f>+'[32]Sch C'!H43</f>
        <v>0</v>
      </c>
      <c r="F63" s="166">
        <f t="shared" si="5"/>
        <v>17823</v>
      </c>
      <c r="G63" s="626">
        <v>-17823</v>
      </c>
      <c r="H63" s="166"/>
      <c r="I63" s="166">
        <f t="shared" si="6"/>
        <v>0</v>
      </c>
      <c r="J63" s="167">
        <f t="shared" si="7"/>
        <v>0</v>
      </c>
      <c r="K63" s="458" t="s">
        <v>503</v>
      </c>
      <c r="L63" s="446"/>
      <c r="M63" s="446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'[32]Sch C'!D44</f>
        <v>1729</v>
      </c>
      <c r="D64" s="480">
        <f>'[32]Sch C'!F44</f>
        <v>0</v>
      </c>
      <c r="E64" s="480">
        <f>+'[32]Sch C'!H44</f>
        <v>0</v>
      </c>
      <c r="F64" s="166">
        <f t="shared" si="5"/>
        <v>1729</v>
      </c>
      <c r="G64" s="626"/>
      <c r="H64" s="166"/>
      <c r="I64" s="166">
        <f t="shared" si="6"/>
        <v>1729</v>
      </c>
      <c r="J64" s="167">
        <f t="shared" si="7"/>
        <v>2.550643549906095E-4</v>
      </c>
      <c r="K64" s="458"/>
      <c r="L64" s="446"/>
      <c r="M64" s="446"/>
      <c r="O64" s="324">
        <f t="shared" si="8"/>
        <v>7.1668393782383419E-2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'[32]Sch C'!D45</f>
        <v>77899</v>
      </c>
      <c r="D65" s="480">
        <f>'[32]Sch C'!F45</f>
        <v>-17346</v>
      </c>
      <c r="E65" s="480">
        <f>+'[32]Sch C'!H45</f>
        <v>0</v>
      </c>
      <c r="F65" s="166">
        <f t="shared" si="5"/>
        <v>60553</v>
      </c>
      <c r="G65" s="626"/>
      <c r="H65" s="166"/>
      <c r="I65" s="166">
        <f t="shared" si="6"/>
        <v>60553</v>
      </c>
      <c r="J65" s="167">
        <f t="shared" si="7"/>
        <v>8.9328582346711264E-3</v>
      </c>
      <c r="K65" s="458"/>
      <c r="L65" s="446"/>
      <c r="M65" s="446"/>
      <c r="O65" s="324">
        <f t="shared" si="8"/>
        <v>2.5099689119170985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1368223</v>
      </c>
      <c r="D66" s="480">
        <f t="shared" si="9"/>
        <v>-355602.36307395156</v>
      </c>
      <c r="E66" s="480">
        <f t="shared" si="9"/>
        <v>223027</v>
      </c>
      <c r="F66" s="166">
        <f t="shared" ref="F66:I66" si="10">SUM(F30:F65)</f>
        <v>1235647.6369260484</v>
      </c>
      <c r="G66" s="166">
        <f t="shared" si="10"/>
        <v>-17823</v>
      </c>
      <c r="H66" s="166">
        <f t="shared" si="10"/>
        <v>0</v>
      </c>
      <c r="I66" s="166">
        <f t="shared" si="10"/>
        <v>1217824.6369260484</v>
      </c>
      <c r="J66" s="178">
        <f t="shared" si="7"/>
        <v>0.17965509283355452</v>
      </c>
      <c r="K66" s="465"/>
      <c r="L66" s="446"/>
      <c r="M66" s="446"/>
      <c r="O66" s="329">
        <f>I66/I$233</f>
        <v>50.479777696416512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446"/>
      <c r="M67" s="446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446"/>
      <c r="M68" s="446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'[32]Sch C'!D57</f>
        <v>245739</v>
      </c>
      <c r="D69" s="480">
        <f>'[32]Sch C'!F57</f>
        <v>0</v>
      </c>
      <c r="E69" s="480">
        <f>+'[32]Sch C'!H57</f>
        <v>-241951</v>
      </c>
      <c r="F69" s="166">
        <f>C69+D69+E69</f>
        <v>3788</v>
      </c>
      <c r="G69" s="626"/>
      <c r="H69" s="166"/>
      <c r="I69" s="166">
        <f>F69+G69+H69</f>
        <v>3788</v>
      </c>
      <c r="J69" s="167">
        <f t="shared" ref="J69:J84" si="11">IF($I$213=0,0,I69/$I$213)</f>
        <v>5.5881074418995312E-4</v>
      </c>
      <c r="K69" s="458"/>
      <c r="L69" s="447"/>
      <c r="M69" s="446"/>
      <c r="O69" s="324">
        <f t="shared" ref="O69:O84" si="12">I69/I$233</f>
        <v>0.15701554404145077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'[32]Sch C'!D58</f>
        <v>0</v>
      </c>
      <c r="D70" s="480">
        <f>'[32]Sch C'!F58</f>
        <v>0</v>
      </c>
      <c r="E70" s="480">
        <f>+'[32]Sch C'!H58</f>
        <v>334351</v>
      </c>
      <c r="F70" s="166">
        <f t="shared" ref="F70:F83" si="13">C70+D70+E70</f>
        <v>334351</v>
      </c>
      <c r="G70" s="626"/>
      <c r="H70" s="166"/>
      <c r="I70" s="166">
        <f t="shared" ref="I70:I83" si="14">F70+G70+H70</f>
        <v>334351</v>
      </c>
      <c r="J70" s="167">
        <f t="shared" si="11"/>
        <v>4.93238994537104E-2</v>
      </c>
      <c r="K70" s="458"/>
      <c r="L70" s="447"/>
      <c r="M70" s="446"/>
      <c r="O70" s="324">
        <f t="shared" si="12"/>
        <v>13.859108808290156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'[32]Sch C'!D59</f>
        <v>0</v>
      </c>
      <c r="D71" s="480">
        <f>'[32]Sch C'!F59</f>
        <v>0</v>
      </c>
      <c r="E71" s="480">
        <f>+'[32]Sch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447"/>
      <c r="M71" s="446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'[32]Sch C'!D60</f>
        <v>28176</v>
      </c>
      <c r="D72" s="480">
        <f>'[32]Sch C'!F60</f>
        <v>0</v>
      </c>
      <c r="E72" s="480">
        <f>+'[32]Sch C'!H60</f>
        <v>1417</v>
      </c>
      <c r="F72" s="166">
        <f t="shared" si="13"/>
        <v>29593</v>
      </c>
      <c r="G72" s="626"/>
      <c r="H72" s="166"/>
      <c r="I72" s="166">
        <f t="shared" si="14"/>
        <v>29593</v>
      </c>
      <c r="J72" s="167">
        <f t="shared" si="11"/>
        <v>4.3655982979971704E-3</v>
      </c>
      <c r="K72" s="458"/>
      <c r="L72" s="448"/>
      <c r="M72" s="446"/>
      <c r="O72" s="324">
        <f t="shared" si="12"/>
        <v>1.2266528497409326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'[32]Sch C'!D61</f>
        <v>14192</v>
      </c>
      <c r="D73" s="480">
        <f>'[32]Sch C'!F61</f>
        <v>0</v>
      </c>
      <c r="E73" s="480">
        <f>+'[32]Sch C'!H61</f>
        <v>0</v>
      </c>
      <c r="F73" s="166">
        <f t="shared" si="13"/>
        <v>14192</v>
      </c>
      <c r="G73" s="626"/>
      <c r="H73" s="166"/>
      <c r="I73" s="166">
        <f t="shared" si="14"/>
        <v>14192</v>
      </c>
      <c r="J73" s="167">
        <f t="shared" si="11"/>
        <v>2.0936225136071315E-3</v>
      </c>
      <c r="K73" s="458"/>
      <c r="L73" s="448"/>
      <c r="M73" s="446"/>
      <c r="O73" s="324">
        <f t="shared" si="12"/>
        <v>0.58826943005181342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'[32]Sch C'!D62</f>
        <v>0</v>
      </c>
      <c r="D74" s="480">
        <f>'[32]Sch C'!F62</f>
        <v>0</v>
      </c>
      <c r="E74" s="480">
        <f>+'[32]Sch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449"/>
      <c r="M74" s="446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'[32]Sch C'!D63</f>
        <v>0</v>
      </c>
      <c r="D75" s="480">
        <f>'[32]Sch C'!F63</f>
        <v>0</v>
      </c>
      <c r="E75" s="480">
        <f>+'[32]Sch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449"/>
      <c r="M75" s="446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'[32]Sch C'!D64</f>
        <v>0</v>
      </c>
      <c r="D76" s="480">
        <f>'[32]Sch C'!F64</f>
        <v>0</v>
      </c>
      <c r="E76" s="480">
        <f>+'[32]Sch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449"/>
      <c r="M76" s="446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'[32]Sch C'!D65</f>
        <v>3374</v>
      </c>
      <c r="D77" s="480">
        <f>'[32]Sch C'!F65</f>
        <v>0</v>
      </c>
      <c r="E77" s="480">
        <f>+'[32]Sch C'!H65</f>
        <v>1747</v>
      </c>
      <c r="F77" s="166">
        <f t="shared" si="13"/>
        <v>5121</v>
      </c>
      <c r="G77" s="626"/>
      <c r="H77" s="166"/>
      <c r="I77" s="166">
        <f t="shared" si="14"/>
        <v>5121</v>
      </c>
      <c r="J77" s="167">
        <f t="shared" si="11"/>
        <v>7.5545665813008173E-4</v>
      </c>
      <c r="K77" s="458"/>
      <c r="L77" s="449"/>
      <c r="M77" s="446"/>
      <c r="O77" s="324">
        <f t="shared" si="12"/>
        <v>0.21226943005181348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'[32]Sch C'!D66</f>
        <v>1058</v>
      </c>
      <c r="D78" s="480">
        <f>'[32]Sch C'!F66</f>
        <v>0</v>
      </c>
      <c r="E78" s="480">
        <f>+'[32]Sch C'!H66</f>
        <v>0</v>
      </c>
      <c r="F78" s="166">
        <f t="shared" si="13"/>
        <v>1058</v>
      </c>
      <c r="G78" s="626"/>
      <c r="H78" s="166"/>
      <c r="I78" s="166">
        <f t="shared" si="14"/>
        <v>1058</v>
      </c>
      <c r="J78" s="167">
        <f t="shared" si="11"/>
        <v>1.56077552099517E-4</v>
      </c>
      <c r="K78" s="458"/>
      <c r="L78" s="449"/>
      <c r="M78" s="446"/>
      <c r="O78" s="324">
        <f t="shared" si="12"/>
        <v>4.3854922279792749E-2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'[32]Sch C'!D67</f>
        <v>93395</v>
      </c>
      <c r="D79" s="480">
        <f>'[32]Sch C'!F67</f>
        <v>0</v>
      </c>
      <c r="E79" s="480">
        <f>+'[32]Sch C'!H67</f>
        <v>30802</v>
      </c>
      <c r="F79" s="166">
        <f t="shared" si="13"/>
        <v>124197</v>
      </c>
      <c r="G79" s="626"/>
      <c r="H79" s="166"/>
      <c r="I79" s="166">
        <f t="shared" si="14"/>
        <v>124197</v>
      </c>
      <c r="J79" s="167">
        <f t="shared" si="11"/>
        <v>1.832170485643073E-2</v>
      </c>
      <c r="K79" s="458"/>
      <c r="L79" s="449"/>
      <c r="M79" s="446"/>
      <c r="O79" s="324">
        <f t="shared" si="12"/>
        <v>5.1480621761658032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'[32]Sch C'!D68</f>
        <v>38</v>
      </c>
      <c r="D80" s="480">
        <f>'[32]Sch C'!F68</f>
        <v>-273</v>
      </c>
      <c r="E80" s="480">
        <f>+'[32]Sch C'!H68</f>
        <v>0</v>
      </c>
      <c r="F80" s="166">
        <f t="shared" si="13"/>
        <v>-235</v>
      </c>
      <c r="G80" s="626"/>
      <c r="H80" s="166"/>
      <c r="I80" s="166">
        <f t="shared" si="14"/>
        <v>-235</v>
      </c>
      <c r="J80" s="167">
        <f t="shared" si="11"/>
        <v>-3.4667509209249994E-5</v>
      </c>
      <c r="K80" s="458"/>
      <c r="L80" s="449"/>
      <c r="M80" s="446"/>
      <c r="O80" s="324">
        <f t="shared" si="12"/>
        <v>-9.740932642487047E-3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'[32]Sch C'!D69</f>
        <v>2708</v>
      </c>
      <c r="D81" s="480">
        <f>'[32]Sch C'!F69</f>
        <v>0</v>
      </c>
      <c r="E81" s="480">
        <f>+'[32]Sch C'!H69</f>
        <v>0</v>
      </c>
      <c r="F81" s="166">
        <f t="shared" si="13"/>
        <v>2708</v>
      </c>
      <c r="G81" s="626"/>
      <c r="H81" s="166"/>
      <c r="I81" s="166">
        <f t="shared" si="14"/>
        <v>2708</v>
      </c>
      <c r="J81" s="167">
        <f t="shared" si="11"/>
        <v>3.9948772314318717E-4</v>
      </c>
      <c r="K81" s="458"/>
      <c r="L81" s="449"/>
      <c r="M81" s="446"/>
      <c r="O81" s="324">
        <f t="shared" si="12"/>
        <v>0.11224870466321243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'[32]Sch C'!D70</f>
        <v>147</v>
      </c>
      <c r="D82" s="480">
        <f>'[32]Sch C'!F70</f>
        <v>-147</v>
      </c>
      <c r="E82" s="480">
        <f>+'[32]Sch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449"/>
      <c r="M82" s="446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'[32]Sch C'!D71</f>
        <v>0</v>
      </c>
      <c r="D83" s="480">
        <f>'[32]Sch C'!F71</f>
        <v>0</v>
      </c>
      <c r="E83" s="480">
        <f>+'[32]Sch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449"/>
      <c r="M83" s="446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388827</v>
      </c>
      <c r="D84" s="480">
        <f t="shared" si="15"/>
        <v>-420</v>
      </c>
      <c r="E84" s="480">
        <f t="shared" si="15"/>
        <v>126366</v>
      </c>
      <c r="F84" s="166">
        <f t="shared" ref="F84:I84" si="16">SUM(F69:F83)</f>
        <v>514773</v>
      </c>
      <c r="G84" s="166">
        <f t="shared" si="16"/>
        <v>0</v>
      </c>
      <c r="H84" s="166">
        <f t="shared" si="16"/>
        <v>0</v>
      </c>
      <c r="I84" s="166">
        <f t="shared" si="16"/>
        <v>514773</v>
      </c>
      <c r="J84" s="167">
        <f t="shared" si="11"/>
        <v>7.5939990290098916E-2</v>
      </c>
      <c r="K84" s="458"/>
      <c r="L84" s="449"/>
      <c r="M84" s="446"/>
      <c r="O84" s="324">
        <f t="shared" si="12"/>
        <v>21.337740932642486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446"/>
      <c r="M85" s="446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446"/>
      <c r="M86" s="446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'[32]Sch C'!D75</f>
        <v>73989</v>
      </c>
      <c r="D87" s="480">
        <f>'[32]Sch C'!F75</f>
        <v>6016.0832177527418</v>
      </c>
      <c r="E87" s="480">
        <f>+'[32]Sch C'!H75</f>
        <v>0</v>
      </c>
      <c r="F87" s="166">
        <f t="shared" ref="F87:F97" si="17">C87+D87+E87</f>
        <v>80005.083217752748</v>
      </c>
      <c r="G87" s="626"/>
      <c r="H87" s="166"/>
      <c r="I87" s="166">
        <f t="shared" ref="I87:I97" si="18">F87+G87+H87</f>
        <v>80005.083217752748</v>
      </c>
      <c r="J87" s="167">
        <f t="shared" ref="J87:J98" si="19">IF($I$213=0,0,I87/$I$213)</f>
        <v>1.1802455145694704E-2</v>
      </c>
      <c r="K87" s="458"/>
      <c r="L87" s="428">
        <v>3459.167857142857</v>
      </c>
      <c r="M87" s="428">
        <v>3841.5335714285716</v>
      </c>
      <c r="O87" s="324">
        <f t="shared" ref="O87:O97" si="20">I87/I$233</f>
        <v>3.3162728794923417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'[32]Sch C'!D76</f>
        <v>5721</v>
      </c>
      <c r="D88" s="480">
        <f>'[32]Sch C'!F76</f>
        <v>0</v>
      </c>
      <c r="E88" s="480">
        <f>+'[32]Sch C'!H76</f>
        <v>0</v>
      </c>
      <c r="F88" s="166">
        <f t="shared" si="17"/>
        <v>5721</v>
      </c>
      <c r="G88" s="626"/>
      <c r="H88" s="166"/>
      <c r="I88" s="166">
        <f t="shared" si="18"/>
        <v>5721</v>
      </c>
      <c r="J88" s="167">
        <f t="shared" si="19"/>
        <v>8.439694476005073E-4</v>
      </c>
      <c r="K88" s="458"/>
      <c r="L88" s="446"/>
      <c r="M88" s="446"/>
      <c r="O88" s="324">
        <f t="shared" si="20"/>
        <v>0.23713989637305699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'[32]Sch C'!D77</f>
        <v>14174</v>
      </c>
      <c r="D89" s="480">
        <f>'[32]Sch C'!F77</f>
        <v>-23.76</v>
      </c>
      <c r="E89" s="480">
        <f>+'[32]Sch C'!H77</f>
        <v>0</v>
      </c>
      <c r="F89" s="166">
        <f t="shared" si="17"/>
        <v>14150.24</v>
      </c>
      <c r="G89" s="626"/>
      <c r="H89" s="166"/>
      <c r="I89" s="166">
        <f t="shared" si="18"/>
        <v>14150.24</v>
      </c>
      <c r="J89" s="167">
        <f t="shared" si="19"/>
        <v>2.08746202345999E-3</v>
      </c>
      <c r="K89" s="458"/>
      <c r="L89" s="446"/>
      <c r="M89" s="446"/>
      <c r="O89" s="324">
        <f t="shared" si="20"/>
        <v>0.58653844559585488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'[32]Sch C'!D78</f>
        <v>0</v>
      </c>
      <c r="D90" s="480">
        <f>'[32]Sch C'!F78</f>
        <v>0</v>
      </c>
      <c r="E90" s="480">
        <f>+'[32]Sch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446"/>
      <c r="M90" s="446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'[32]Sch C'!D79</f>
        <v>12669</v>
      </c>
      <c r="D91" s="480">
        <f>'[32]Sch C'!F79</f>
        <v>-2876.88</v>
      </c>
      <c r="E91" s="480">
        <f>+'[32]Sch C'!H79</f>
        <v>0</v>
      </c>
      <c r="F91" s="166">
        <f t="shared" si="17"/>
        <v>9792.119999999999</v>
      </c>
      <c r="G91" s="626"/>
      <c r="H91" s="166"/>
      <c r="I91" s="166">
        <f t="shared" si="18"/>
        <v>9792.119999999999</v>
      </c>
      <c r="J91" s="167">
        <f t="shared" si="19"/>
        <v>1.4445464267152383E-3</v>
      </c>
      <c r="K91" s="458"/>
      <c r="L91" s="446"/>
      <c r="M91" s="446"/>
      <c r="O91" s="324">
        <f t="shared" si="20"/>
        <v>0.4058909844559585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'[32]Sch C'!D80</f>
        <v>0</v>
      </c>
      <c r="D92" s="480">
        <f>'[32]Sch C'!F80</f>
        <v>0</v>
      </c>
      <c r="E92" s="480">
        <f>+'[32]Sch C'!H80</f>
        <v>0</v>
      </c>
      <c r="F92" s="166">
        <f t="shared" si="17"/>
        <v>0</v>
      </c>
      <c r="G92" s="626"/>
      <c r="H92" s="166"/>
      <c r="I92" s="166">
        <f t="shared" si="18"/>
        <v>0</v>
      </c>
      <c r="J92" s="167">
        <f t="shared" si="19"/>
        <v>0</v>
      </c>
      <c r="K92" s="458"/>
      <c r="L92" s="446"/>
      <c r="M92" s="446"/>
      <c r="O92" s="324">
        <f t="shared" si="20"/>
        <v>0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'[32]Sch C'!D81</f>
        <v>0</v>
      </c>
      <c r="D93" s="480">
        <f>'[32]Sch C'!F81</f>
        <v>0</v>
      </c>
      <c r="E93" s="480">
        <f>+'[32]Sch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446"/>
      <c r="M93" s="446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'[32]Sch C'!D82</f>
        <v>55162</v>
      </c>
      <c r="D94" s="480">
        <f>'[32]Sch C'!F82</f>
        <v>0</v>
      </c>
      <c r="E94" s="480">
        <f>+'[32]Sch C'!H82</f>
        <v>0</v>
      </c>
      <c r="F94" s="166">
        <f t="shared" si="17"/>
        <v>55162</v>
      </c>
      <c r="G94" s="626"/>
      <c r="H94" s="166"/>
      <c r="I94" s="166">
        <f t="shared" si="18"/>
        <v>55162</v>
      </c>
      <c r="J94" s="167">
        <f t="shared" si="19"/>
        <v>8.1375708212793538E-3</v>
      </c>
      <c r="K94" s="458"/>
      <c r="L94" s="446"/>
      <c r="M94" s="446"/>
      <c r="O94" s="324">
        <f t="shared" si="20"/>
        <v>2.2865077720207254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'[32]Sch C'!D83</f>
        <v>14775</v>
      </c>
      <c r="D95" s="480">
        <f>'[32]Sch C'!F83</f>
        <v>-976</v>
      </c>
      <c r="E95" s="480">
        <f>+'[32]Sch C'!H83</f>
        <v>0</v>
      </c>
      <c r="F95" s="166">
        <f t="shared" si="17"/>
        <v>13799</v>
      </c>
      <c r="G95" s="626"/>
      <c r="H95" s="166"/>
      <c r="I95" s="166">
        <f t="shared" si="18"/>
        <v>13799</v>
      </c>
      <c r="J95" s="167">
        <f t="shared" si="19"/>
        <v>2.0356466365040026E-3</v>
      </c>
      <c r="K95" s="458"/>
      <c r="L95" s="446"/>
      <c r="M95" s="446"/>
      <c r="O95" s="324">
        <f t="shared" si="20"/>
        <v>0.57197927461139897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'[32]Sch C'!D84</f>
        <v>80312</v>
      </c>
      <c r="D96" s="480">
        <f>'[32]Sch C'!F84</f>
        <v>0</v>
      </c>
      <c r="E96" s="480">
        <f>+'[32]Sch C'!H84</f>
        <v>0</v>
      </c>
      <c r="F96" s="166">
        <f t="shared" si="17"/>
        <v>80312</v>
      </c>
      <c r="G96" s="626"/>
      <c r="H96" s="166"/>
      <c r="I96" s="166">
        <f t="shared" si="18"/>
        <v>80312</v>
      </c>
      <c r="J96" s="167">
        <f t="shared" si="19"/>
        <v>1.1847731913248023E-2</v>
      </c>
      <c r="K96" s="458"/>
      <c r="L96" s="446"/>
      <c r="M96" s="446"/>
      <c r="O96" s="324">
        <f t="shared" si="20"/>
        <v>3.3289948186528497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'[32]Sch C'!D85</f>
        <v>45937</v>
      </c>
      <c r="D97" s="480">
        <f>'[32]Sch C'!F85</f>
        <v>0</v>
      </c>
      <c r="E97" s="480">
        <f>+'[32]Sch C'!H85</f>
        <v>0</v>
      </c>
      <c r="F97" s="166">
        <f t="shared" si="17"/>
        <v>45937</v>
      </c>
      <c r="G97" s="626"/>
      <c r="H97" s="166"/>
      <c r="I97" s="166">
        <f t="shared" si="18"/>
        <v>45937</v>
      </c>
      <c r="J97" s="167">
        <f t="shared" si="19"/>
        <v>6.7766866831715615E-3</v>
      </c>
      <c r="K97" s="458"/>
      <c r="L97" s="446"/>
      <c r="M97" s="446"/>
      <c r="O97" s="324">
        <f t="shared" si="20"/>
        <v>1.9041243523316063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302739</v>
      </c>
      <c r="D98" s="480">
        <f t="shared" si="21"/>
        <v>2139.4432177527415</v>
      </c>
      <c r="E98" s="480">
        <f t="shared" si="21"/>
        <v>0</v>
      </c>
      <c r="F98" s="166">
        <f t="shared" ref="F98:I98" si="22">SUM(F87:F97)</f>
        <v>304878.44321775273</v>
      </c>
      <c r="G98" s="166">
        <f t="shared" si="22"/>
        <v>0</v>
      </c>
      <c r="H98" s="166">
        <f t="shared" si="22"/>
        <v>0</v>
      </c>
      <c r="I98" s="166">
        <f t="shared" si="22"/>
        <v>304878.44321775273</v>
      </c>
      <c r="J98" s="167">
        <f t="shared" si="19"/>
        <v>4.4976069097673377E-2</v>
      </c>
      <c r="K98" s="458"/>
      <c r="L98" s="446"/>
      <c r="M98" s="446"/>
      <c r="O98" s="329">
        <f>I98/I$233</f>
        <v>12.637448423533792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446"/>
      <c r="M99" s="446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446"/>
      <c r="M100" s="446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'[32]Sch C'!D89</f>
        <v>263430</v>
      </c>
      <c r="D101" s="480">
        <f>'[32]Sch C'!F89</f>
        <v>21398.660658868379</v>
      </c>
      <c r="E101" s="480">
        <f>+'[32]Sch C'!H89</f>
        <v>0</v>
      </c>
      <c r="F101" s="166">
        <f t="shared" ref="F101:F106" si="23">C101+D101+E101</f>
        <v>284828.66065886838</v>
      </c>
      <c r="G101" s="626"/>
      <c r="H101" s="166"/>
      <c r="I101" s="166">
        <f t="shared" ref="I101:I106" si="24">F101+G101+H101</f>
        <v>284828.66065886838</v>
      </c>
      <c r="J101" s="167">
        <f t="shared" ref="J101:J107" si="25">IF($I$213=0,0,I101/$I$213)</f>
        <v>4.2018298793402811E-2</v>
      </c>
      <c r="K101" s="458"/>
      <c r="L101" s="428">
        <v>15612.209285714285</v>
      </c>
      <c r="M101" s="428">
        <v>16764.58214285714</v>
      </c>
      <c r="O101" s="329">
        <f t="shared" ref="O101:O106" si="26">I101/I$233</f>
        <v>11.806369353735477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'[32]Sch C'!D90</f>
        <v>21465</v>
      </c>
      <c r="D102" s="480">
        <f>'[32]Sch C'!F90</f>
        <v>19.39</v>
      </c>
      <c r="E102" s="480">
        <f>+'[32]Sch C'!H90</f>
        <v>0</v>
      </c>
      <c r="F102" s="166">
        <f t="shared" si="23"/>
        <v>21484.39</v>
      </c>
      <c r="G102" s="626"/>
      <c r="H102" s="166"/>
      <c r="I102" s="166">
        <f t="shared" si="24"/>
        <v>21484.39</v>
      </c>
      <c r="J102" s="167">
        <f t="shared" si="25"/>
        <v>3.1694054816175251E-3</v>
      </c>
      <c r="K102" s="458"/>
      <c r="L102" s="446"/>
      <c r="M102" s="446"/>
      <c r="O102" s="329">
        <f t="shared" si="26"/>
        <v>0.89054466321243519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'[32]Sch C'!D91</f>
        <v>14268</v>
      </c>
      <c r="D103" s="480">
        <f>'[32]Sch C'!F91</f>
        <v>0</v>
      </c>
      <c r="E103" s="480">
        <f>+'[32]Sch C'!H91</f>
        <v>0</v>
      </c>
      <c r="F103" s="166">
        <f t="shared" si="23"/>
        <v>14268</v>
      </c>
      <c r="G103" s="626"/>
      <c r="H103" s="166"/>
      <c r="I103" s="166">
        <f t="shared" si="24"/>
        <v>14268</v>
      </c>
      <c r="J103" s="167">
        <f t="shared" si="25"/>
        <v>2.1048341336067189E-3</v>
      </c>
      <c r="K103" s="458"/>
      <c r="L103" s="446"/>
      <c r="M103" s="446"/>
      <c r="O103" s="329">
        <f t="shared" si="26"/>
        <v>0.59141968911917098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'[32]Sch C'!D92</f>
        <v>173456</v>
      </c>
      <c r="D104" s="480">
        <f>'[32]Sch C'!F92</f>
        <v>-4878.5200000000004</v>
      </c>
      <c r="E104" s="480">
        <f>+'[32]Sch C'!H92</f>
        <v>0</v>
      </c>
      <c r="F104" s="166">
        <f t="shared" si="23"/>
        <v>168577.48</v>
      </c>
      <c r="G104" s="626"/>
      <c r="H104" s="166"/>
      <c r="I104" s="166">
        <f t="shared" si="24"/>
        <v>168577.48</v>
      </c>
      <c r="J104" s="167">
        <f t="shared" si="25"/>
        <v>2.4868771661158116E-2</v>
      </c>
      <c r="K104" s="458"/>
      <c r="L104" s="446"/>
      <c r="M104" s="446"/>
      <c r="O104" s="329">
        <f t="shared" si="26"/>
        <v>6.9876675647668396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'[32]Sch C'!D93</f>
        <v>15000</v>
      </c>
      <c r="D105" s="480">
        <f>'[32]Sch C'!F93</f>
        <v>-466.75</v>
      </c>
      <c r="E105" s="480">
        <f>+'[32]Sch C'!H93</f>
        <v>0</v>
      </c>
      <c r="F105" s="166">
        <f t="shared" si="23"/>
        <v>14533.25</v>
      </c>
      <c r="G105" s="626"/>
      <c r="H105" s="166"/>
      <c r="I105" s="166">
        <f t="shared" si="24"/>
        <v>14533.25</v>
      </c>
      <c r="J105" s="167">
        <f t="shared" si="25"/>
        <v>2.143964162618436E-3</v>
      </c>
      <c r="K105" s="458"/>
      <c r="L105" s="446"/>
      <c r="M105" s="446"/>
      <c r="O105" s="329">
        <f t="shared" si="26"/>
        <v>0.60241450777202077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'[32]Sch C'!D94</f>
        <v>1327</v>
      </c>
      <c r="D106" s="480">
        <f>'[32]Sch C'!F94</f>
        <v>0</v>
      </c>
      <c r="E106" s="480">
        <f>+'[32]Sch C'!H94</f>
        <v>0</v>
      </c>
      <c r="F106" s="166">
        <f t="shared" si="23"/>
        <v>1327</v>
      </c>
      <c r="G106" s="626"/>
      <c r="H106" s="166"/>
      <c r="I106" s="166">
        <f t="shared" si="24"/>
        <v>1327</v>
      </c>
      <c r="J106" s="167">
        <f t="shared" si="25"/>
        <v>1.9576078604542442E-4</v>
      </c>
      <c r="K106" s="458"/>
      <c r="L106" s="446"/>
      <c r="M106" s="446"/>
      <c r="O106" s="329">
        <f t="shared" si="26"/>
        <v>5.500518134715026E-2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488946</v>
      </c>
      <c r="D107" s="480">
        <f t="shared" si="27"/>
        <v>16072.780658868378</v>
      </c>
      <c r="E107" s="480">
        <f t="shared" si="27"/>
        <v>0</v>
      </c>
      <c r="F107" s="166">
        <f t="shared" ref="F107:I107" si="28">SUM(F101:F106)</f>
        <v>505018.78065886837</v>
      </c>
      <c r="G107" s="166">
        <f t="shared" si="28"/>
        <v>0</v>
      </c>
      <c r="H107" s="166">
        <f t="shared" si="28"/>
        <v>0</v>
      </c>
      <c r="I107" s="166">
        <f t="shared" si="28"/>
        <v>505018.78065886837</v>
      </c>
      <c r="J107" s="167">
        <f t="shared" si="25"/>
        <v>7.4501035018449027E-2</v>
      </c>
      <c r="K107" s="458"/>
      <c r="L107" s="446"/>
      <c r="M107" s="446"/>
      <c r="O107" s="329">
        <f>I107/I$233</f>
        <v>20.933420959953093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446"/>
      <c r="M108" s="446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446"/>
      <c r="M109" s="446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'[32]Sch C'!D98</f>
        <v>50774</v>
      </c>
      <c r="D110" s="480">
        <f>'[32]Sch C'!F98</f>
        <v>4128.4597615615521</v>
      </c>
      <c r="E110" s="480">
        <f>+'[32]Sch C'!H98</f>
        <v>0</v>
      </c>
      <c r="F110" s="166">
        <f t="shared" ref="F110:F115" si="29">C110+D110+E110</f>
        <v>54902.459761561549</v>
      </c>
      <c r="G110" s="626"/>
      <c r="H110" s="166"/>
      <c r="I110" s="166">
        <f t="shared" ref="I110:I115" si="30">F110+G110+H110</f>
        <v>54902.459761561549</v>
      </c>
      <c r="J110" s="167">
        <f t="shared" ref="J110:J116" si="31">IF($I$213=0,0,I110/$I$213)</f>
        <v>8.0992831038060095E-3</v>
      </c>
      <c r="K110" s="458"/>
      <c r="L110" s="428">
        <v>3527.2121428571427</v>
      </c>
      <c r="M110" s="428">
        <v>4015.7478571428574</v>
      </c>
      <c r="O110" s="329">
        <f t="shared" ref="O110:O115" si="32">I110/I$233</f>
        <v>2.2757496274222402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'[32]Sch C'!D99</f>
        <v>3722</v>
      </c>
      <c r="D111" s="480">
        <f>'[32]Sch C'!F99</f>
        <v>0</v>
      </c>
      <c r="E111" s="480">
        <f>+'[32]Sch C'!H99</f>
        <v>0</v>
      </c>
      <c r="F111" s="166">
        <f t="shared" si="29"/>
        <v>3722</v>
      </c>
      <c r="G111" s="626"/>
      <c r="H111" s="166"/>
      <c r="I111" s="166">
        <f t="shared" si="30"/>
        <v>3722</v>
      </c>
      <c r="J111" s="167">
        <f t="shared" si="31"/>
        <v>5.4907433734820632E-4</v>
      </c>
      <c r="K111" s="458"/>
      <c r="L111" s="446"/>
      <c r="M111" s="446"/>
      <c r="O111" s="329">
        <f t="shared" si="32"/>
        <v>0.154279792746114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'[32]Sch C'!D100</f>
        <v>8462</v>
      </c>
      <c r="D112" s="480">
        <f>'[32]Sch C'!F100</f>
        <v>-101.51</v>
      </c>
      <c r="E112" s="480">
        <f>+'[32]Sch C'!H100</f>
        <v>0</v>
      </c>
      <c r="F112" s="166">
        <f t="shared" si="29"/>
        <v>8360.49</v>
      </c>
      <c r="G112" s="626"/>
      <c r="H112" s="166"/>
      <c r="I112" s="166">
        <f t="shared" si="30"/>
        <v>8360.49</v>
      </c>
      <c r="J112" s="167">
        <f t="shared" si="31"/>
        <v>1.2333504853993297E-3</v>
      </c>
      <c r="K112" s="458"/>
      <c r="L112" s="446"/>
      <c r="M112" s="446"/>
      <c r="O112" s="329">
        <f t="shared" si="32"/>
        <v>0.34654880829015544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'[32]Sch C'!D101</f>
        <v>0</v>
      </c>
      <c r="D113" s="480">
        <f>'[32]Sch C'!F101</f>
        <v>0</v>
      </c>
      <c r="E113" s="480">
        <f>+'[32]Sch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446"/>
      <c r="M113" s="446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'[32]Sch C'!D102</f>
        <v>3120</v>
      </c>
      <c r="D114" s="480">
        <f>'[32]Sch C'!F102</f>
        <v>0</v>
      </c>
      <c r="E114" s="480">
        <f>+'[32]Sch C'!H102</f>
        <v>0</v>
      </c>
      <c r="F114" s="166">
        <f t="shared" si="29"/>
        <v>3120</v>
      </c>
      <c r="G114" s="626"/>
      <c r="H114" s="166"/>
      <c r="I114" s="166">
        <f t="shared" si="30"/>
        <v>3120</v>
      </c>
      <c r="J114" s="167">
        <f t="shared" si="31"/>
        <v>4.6026650524621268E-4</v>
      </c>
      <c r="K114" s="458"/>
      <c r="L114" s="446"/>
      <c r="M114" s="446"/>
      <c r="O114" s="329">
        <f t="shared" si="32"/>
        <v>0.12932642487046633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'[32]Sch C'!D103</f>
        <v>0</v>
      </c>
      <c r="D115" s="480">
        <f>'[32]Sch C'!F103</f>
        <v>0</v>
      </c>
      <c r="E115" s="480">
        <f>+'[32]Sch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446"/>
      <c r="M115" s="446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66078</v>
      </c>
      <c r="D116" s="480">
        <f t="shared" si="33"/>
        <v>4026.9497615615519</v>
      </c>
      <c r="E116" s="480">
        <f t="shared" si="33"/>
        <v>0</v>
      </c>
      <c r="F116" s="166">
        <f t="shared" ref="F116:I116" si="34">SUM(F110:F115)</f>
        <v>70104.949761561555</v>
      </c>
      <c r="G116" s="166">
        <f t="shared" si="34"/>
        <v>0</v>
      </c>
      <c r="H116" s="166">
        <f t="shared" si="34"/>
        <v>0</v>
      </c>
      <c r="I116" s="166">
        <f t="shared" si="34"/>
        <v>70104.949761561555</v>
      </c>
      <c r="J116" s="167">
        <f t="shared" si="31"/>
        <v>1.0341974431799759E-2</v>
      </c>
      <c r="K116" s="458"/>
      <c r="L116" s="446"/>
      <c r="M116" s="446"/>
      <c r="O116" s="329">
        <f>I116/I$233</f>
        <v>2.9059046533289763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446"/>
      <c r="M117" s="446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446"/>
      <c r="M118" s="446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'[32]Sch C'!D115</f>
        <v>81286</v>
      </c>
      <c r="D119" s="480">
        <f>'[32]Sch C'!F115</f>
        <v>6609.4059987058808</v>
      </c>
      <c r="E119" s="480">
        <f>+'[32]Sch C'!H115</f>
        <v>0</v>
      </c>
      <c r="F119" s="166">
        <f t="shared" ref="F119:F123" si="35">C119+D119+E119</f>
        <v>87895.405998705886</v>
      </c>
      <c r="G119" s="626"/>
      <c r="H119" s="166"/>
      <c r="I119" s="166">
        <f t="shared" ref="I119:I123" si="36">F119+G119+H119</f>
        <v>87895.405998705886</v>
      </c>
      <c r="J119" s="167">
        <f t="shared" ref="J119:J124" si="37">IF($I$213=0,0,I119/$I$213)</f>
        <v>1.2966445944301717E-2</v>
      </c>
      <c r="K119" s="458"/>
      <c r="L119" s="428">
        <v>5860.8350000000009</v>
      </c>
      <c r="M119" s="428">
        <v>6496.4492857142859</v>
      </c>
      <c r="O119" s="329">
        <f t="shared" ref="O119:O124" si="38">I119/I$233</f>
        <v>3.6433328911380678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'[32]Sch C'!D116</f>
        <v>6077</v>
      </c>
      <c r="D120" s="480">
        <f>'[32]Sch C'!F116</f>
        <v>0</v>
      </c>
      <c r="E120" s="480">
        <f>+'[32]Sch C'!H116</f>
        <v>0</v>
      </c>
      <c r="F120" s="166">
        <f t="shared" si="35"/>
        <v>6077</v>
      </c>
      <c r="G120" s="626"/>
      <c r="H120" s="166"/>
      <c r="I120" s="166">
        <f t="shared" si="36"/>
        <v>6077</v>
      </c>
      <c r="J120" s="167">
        <f t="shared" si="37"/>
        <v>8.9648703601962637E-4</v>
      </c>
      <c r="K120" s="458"/>
      <c r="L120" s="446"/>
      <c r="M120" s="446"/>
      <c r="O120" s="329">
        <f t="shared" si="38"/>
        <v>0.2518963730569948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'[32]Sch C'!D117</f>
        <v>16959</v>
      </c>
      <c r="D121" s="480">
        <f>'[32]Sch C'!F117</f>
        <v>-3.05</v>
      </c>
      <c r="E121" s="480">
        <f>+'[32]Sch C'!H117</f>
        <v>0</v>
      </c>
      <c r="F121" s="166">
        <f t="shared" si="35"/>
        <v>16955.95</v>
      </c>
      <c r="G121" s="626"/>
      <c r="H121" s="166"/>
      <c r="I121" s="166">
        <f t="shared" si="36"/>
        <v>16955.95</v>
      </c>
      <c r="J121" s="167">
        <f t="shared" si="37"/>
        <v>2.5013640543684358E-3</v>
      </c>
      <c r="K121" s="458"/>
      <c r="L121" s="446"/>
      <c r="M121" s="446"/>
      <c r="O121" s="329">
        <f t="shared" si="38"/>
        <v>0.70283730569948188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'[32]Sch C'!D118</f>
        <v>0</v>
      </c>
      <c r="D122" s="480">
        <f>'[32]Sch C'!F118</f>
        <v>0</v>
      </c>
      <c r="E122" s="480">
        <f>+'[32]Sch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446"/>
      <c r="M122" s="446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'[32]Sch C'!D119</f>
        <v>4417</v>
      </c>
      <c r="D123" s="480">
        <f>'[32]Sch C'!F119</f>
        <v>0</v>
      </c>
      <c r="E123" s="480">
        <f>+'[32]Sch C'!H119</f>
        <v>0</v>
      </c>
      <c r="F123" s="166">
        <f t="shared" si="35"/>
        <v>4417</v>
      </c>
      <c r="G123" s="626"/>
      <c r="H123" s="166"/>
      <c r="I123" s="166">
        <f t="shared" si="36"/>
        <v>4417</v>
      </c>
      <c r="J123" s="167">
        <f t="shared" si="37"/>
        <v>6.5160165181811578E-4</v>
      </c>
      <c r="K123" s="458"/>
      <c r="L123" s="446"/>
      <c r="M123" s="446"/>
      <c r="O123" s="329">
        <f t="shared" si="38"/>
        <v>0.1830880829015544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108739</v>
      </c>
      <c r="D124" s="480">
        <f t="shared" si="39"/>
        <v>6606.3559987058807</v>
      </c>
      <c r="E124" s="480">
        <f t="shared" si="39"/>
        <v>0</v>
      </c>
      <c r="F124" s="166">
        <f t="shared" ref="F124:I124" si="40">SUM(F119:F123)</f>
        <v>115345.35599870588</v>
      </c>
      <c r="G124" s="166">
        <f t="shared" si="40"/>
        <v>0</v>
      </c>
      <c r="H124" s="166">
        <f t="shared" si="40"/>
        <v>0</v>
      </c>
      <c r="I124" s="166">
        <f t="shared" si="40"/>
        <v>115345.35599870588</v>
      </c>
      <c r="J124" s="167">
        <f t="shared" si="37"/>
        <v>1.7015898686507894E-2</v>
      </c>
      <c r="K124" s="458"/>
      <c r="L124" s="446"/>
      <c r="M124" s="446"/>
      <c r="O124" s="329">
        <f t="shared" si="38"/>
        <v>4.7811546527960989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427"/>
      <c r="M126" s="427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427"/>
      <c r="M127" s="427"/>
      <c r="O127" s="324"/>
      <c r="P127" s="324"/>
    </row>
    <row r="128" spans="1:16" s="162" customFormat="1">
      <c r="B128" s="323" t="s">
        <v>672</v>
      </c>
      <c r="C128" s="480">
        <f>'[32]Sch C'!D124</f>
        <v>0</v>
      </c>
      <c r="D128" s="480">
        <f>'[32]Sch C'!F124</f>
        <v>0</v>
      </c>
      <c r="E128" s="480">
        <f>+'[32]Sch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428">
        <v>0</v>
      </c>
      <c r="M128" s="428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'[32]Sch C'!D125</f>
        <v>0</v>
      </c>
      <c r="D129" s="480">
        <f>'[32]Sch C'!F125</f>
        <v>250309.06240716274</v>
      </c>
      <c r="E129" s="480">
        <f>+'[32]Sch C'!H125</f>
        <v>0</v>
      </c>
      <c r="F129" s="166">
        <f t="shared" si="41"/>
        <v>250309.06240716274</v>
      </c>
      <c r="G129" s="626"/>
      <c r="H129" s="166"/>
      <c r="I129" s="166">
        <f t="shared" si="42"/>
        <v>250309.06240716274</v>
      </c>
      <c r="J129" s="167">
        <f>IF($I$213=0,0,I129/$I$213)</f>
        <v>3.6925922238974659E-2</v>
      </c>
      <c r="K129" s="458"/>
      <c r="L129" s="428">
        <v>5760.8942857142865</v>
      </c>
      <c r="M129" s="428">
        <v>6510.0157142857151</v>
      </c>
      <c r="O129" s="329">
        <f t="shared" si="43"/>
        <v>10.375505177498974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'[32]Sch C'!D126</f>
        <v>0</v>
      </c>
      <c r="D130" s="480">
        <f>'[32]Sch C'!F126</f>
        <v>83987.93759283729</v>
      </c>
      <c r="E130" s="480">
        <f>+'[32]Sch C'!H126</f>
        <v>0</v>
      </c>
      <c r="F130" s="166">
        <f t="shared" si="41"/>
        <v>83987.93759283729</v>
      </c>
      <c r="G130" s="626"/>
      <c r="H130" s="166"/>
      <c r="I130" s="166">
        <f t="shared" si="42"/>
        <v>83987.93759283729</v>
      </c>
      <c r="J130" s="167">
        <f>IF($I$213=0,0,I130/$I$213)</f>
        <v>1.2390011063683407E-2</v>
      </c>
      <c r="K130" s="458"/>
      <c r="L130" s="428">
        <v>2202.23</v>
      </c>
      <c r="M130" s="428">
        <v>2319.98</v>
      </c>
      <c r="O130" s="329">
        <f t="shared" si="43"/>
        <v>3.4813652888222713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'[32]Sch C'!D127</f>
        <v>0</v>
      </c>
      <c r="D131" s="480">
        <f>'[32]Sch C'!F127</f>
        <v>0</v>
      </c>
      <c r="E131" s="480">
        <f>+'[32]Sch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428">
        <v>0</v>
      </c>
      <c r="M131" s="428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'[32]Sch C'!D128</f>
        <v>404097</v>
      </c>
      <c r="D132" s="480">
        <f>'[32]Sch C'!F128</f>
        <v>-334297</v>
      </c>
      <c r="E132" s="480">
        <f>+'[32]Sch C'!H128</f>
        <v>0</v>
      </c>
      <c r="F132" s="166">
        <f t="shared" si="41"/>
        <v>69800</v>
      </c>
      <c r="G132" s="626"/>
      <c r="H132" s="166"/>
      <c r="I132" s="166">
        <f t="shared" si="42"/>
        <v>69800</v>
      </c>
      <c r="J132" s="167">
        <f>IF($I$213=0,0,I132/$I$213)</f>
        <v>1.0296987841726168E-2</v>
      </c>
      <c r="K132" s="458"/>
      <c r="L132" s="428">
        <v>3072.0585714285717</v>
      </c>
      <c r="M132" s="428">
        <v>3592.7071428571435</v>
      </c>
      <c r="O132" s="329">
        <f t="shared" si="43"/>
        <v>2.8932642487046634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450"/>
      <c r="M133" s="450"/>
      <c r="O133" s="329"/>
      <c r="P133" s="324"/>
    </row>
    <row r="134" spans="1:16" s="162" customFormat="1">
      <c r="A134" s="164"/>
      <c r="B134" s="257" t="s">
        <v>680</v>
      </c>
      <c r="C134" s="480">
        <f>'[32]Sch C'!D130</f>
        <v>0</v>
      </c>
      <c r="D134" s="480">
        <f>'[32]Sch C'!F130</f>
        <v>0</v>
      </c>
      <c r="E134" s="480">
        <f>+'[32]Sch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427"/>
      <c r="M134" s="427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'[32]Sch C'!D131</f>
        <v>0</v>
      </c>
      <c r="D135" s="480">
        <f>'[32]Sch C'!F131</f>
        <v>39883.53520010988</v>
      </c>
      <c r="E135" s="480">
        <f>+'[32]Sch C'!H131</f>
        <v>0</v>
      </c>
      <c r="F135" s="166">
        <f t="shared" si="44"/>
        <v>39883.53520010988</v>
      </c>
      <c r="G135" s="626"/>
      <c r="H135" s="166"/>
      <c r="I135" s="166">
        <f t="shared" si="45"/>
        <v>39883.53520010988</v>
      </c>
      <c r="J135" s="167">
        <f>IF($I$213=0,0,I135/$I$213)</f>
        <v>5.8836715908393853E-3</v>
      </c>
      <c r="K135" s="458"/>
      <c r="L135" s="427"/>
      <c r="M135" s="427"/>
      <c r="O135" s="329">
        <f t="shared" si="43"/>
        <v>1.6532035316107723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'[32]Sch C'!D132</f>
        <v>0</v>
      </c>
      <c r="D136" s="480">
        <f>'[32]Sch C'!F132</f>
        <v>13361.512300394035</v>
      </c>
      <c r="E136" s="480">
        <f>+'[32]Sch C'!H132</f>
        <v>0</v>
      </c>
      <c r="F136" s="166">
        <f t="shared" si="44"/>
        <v>13361.512300394035</v>
      </c>
      <c r="G136" s="626"/>
      <c r="H136" s="166"/>
      <c r="I136" s="166">
        <f t="shared" si="45"/>
        <v>13361.512300394035</v>
      </c>
      <c r="J136" s="167">
        <f>IF($I$213=0,0,I136/$I$213)</f>
        <v>1.9711078754187971E-3</v>
      </c>
      <c r="K136" s="458"/>
      <c r="L136" s="446"/>
      <c r="M136" s="446"/>
      <c r="O136" s="329">
        <f t="shared" si="43"/>
        <v>0.5538450694463849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'[32]Sch C'!D133</f>
        <v>0</v>
      </c>
      <c r="D137" s="480">
        <f>'[32]Sch C'!F133</f>
        <v>-62.25</v>
      </c>
      <c r="E137" s="480">
        <f>+'[32]Sch C'!H133</f>
        <v>0</v>
      </c>
      <c r="F137" s="166">
        <f t="shared" si="44"/>
        <v>-62.25</v>
      </c>
      <c r="G137" s="626"/>
      <c r="H137" s="166"/>
      <c r="I137" s="166">
        <f t="shared" si="45"/>
        <v>-62.25</v>
      </c>
      <c r="J137" s="167">
        <f>IF($I$213=0,0,I137/$I$213)</f>
        <v>-9.1832019075566479E-6</v>
      </c>
      <c r="K137" s="458"/>
      <c r="L137" s="446"/>
      <c r="M137" s="446"/>
      <c r="O137" s="329">
        <f t="shared" si="43"/>
        <v>-2.5803108808290154E-3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'[32]Sch C'!D134</f>
        <v>31167</v>
      </c>
      <c r="D138" s="480">
        <f>'[32]Sch C'!F134</f>
        <v>-20330.526502599827</v>
      </c>
      <c r="E138" s="480">
        <f>+'[32]Sch C'!H134</f>
        <v>0</v>
      </c>
      <c r="F138" s="166">
        <f t="shared" si="44"/>
        <v>10836.473497400173</v>
      </c>
      <c r="G138" s="626"/>
      <c r="H138" s="166"/>
      <c r="I138" s="166">
        <f t="shared" si="45"/>
        <v>10836.473497400173</v>
      </c>
      <c r="J138" s="167">
        <f>IF($I$213=0,0,I138/$I$213)</f>
        <v>1.5986108287953786E-3</v>
      </c>
      <c r="K138" s="458"/>
      <c r="L138" s="446"/>
      <c r="M138" s="446"/>
      <c r="O138" s="329">
        <f t="shared" si="43"/>
        <v>0.44918024859689837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427"/>
      <c r="M139" s="427"/>
      <c r="O139" s="329"/>
      <c r="P139" s="324"/>
    </row>
    <row r="140" spans="1:16" s="162" customFormat="1">
      <c r="A140" s="164"/>
      <c r="B140" s="323" t="s">
        <v>686</v>
      </c>
      <c r="C140" s="480">
        <f>'[32]Sch C'!D136</f>
        <v>0</v>
      </c>
      <c r="D140" s="480">
        <f>'[32]Sch C'!F136</f>
        <v>616557.54295530706</v>
      </c>
      <c r="E140" s="480">
        <f>+'[32]Sch C'!H136</f>
        <v>0</v>
      </c>
      <c r="F140" s="166">
        <f t="shared" ref="F140:F143" si="46">C140+D140+E140</f>
        <v>616557.54295530706</v>
      </c>
      <c r="G140" s="626"/>
      <c r="H140" s="166"/>
      <c r="I140" s="166">
        <f t="shared" ref="I140:I143" si="47">F140+G140+H140</f>
        <v>616557.54295530706</v>
      </c>
      <c r="J140" s="167">
        <f>IF($I$213=0,0,I140/$I$213)</f>
        <v>9.0955379993343216E-2</v>
      </c>
      <c r="K140" s="458"/>
      <c r="L140" s="428">
        <v>14831.096428571427</v>
      </c>
      <c r="M140" s="428">
        <v>15953.241428571428</v>
      </c>
      <c r="O140" s="329">
        <f t="shared" si="43"/>
        <v>25.556789345297702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'[32]Sch C'!D137</f>
        <v>0</v>
      </c>
      <c r="D141" s="480">
        <f>'[32]Sch C'!F137</f>
        <v>480980.49734315235</v>
      </c>
      <c r="E141" s="480">
        <f>+'[32]Sch C'!H137</f>
        <v>0</v>
      </c>
      <c r="F141" s="166">
        <f t="shared" si="46"/>
        <v>480980.49734315235</v>
      </c>
      <c r="G141" s="626"/>
      <c r="H141" s="166"/>
      <c r="I141" s="166">
        <f t="shared" si="47"/>
        <v>480980.49734315235</v>
      </c>
      <c r="J141" s="167">
        <f>IF($I$213=0,0,I141/$I$213)</f>
        <v>7.0954875834525005E-2</v>
      </c>
      <c r="K141" s="458"/>
      <c r="L141" s="428">
        <v>17273.305</v>
      </c>
      <c r="M141" s="428">
        <v>18353.697857142855</v>
      </c>
      <c r="O141" s="329">
        <f t="shared" si="43"/>
        <v>19.93701543391305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'[32]Sch C'!D138</f>
        <v>0</v>
      </c>
      <c r="D142" s="480">
        <f>'[32]Sch C'!F138</f>
        <v>863893.86585124861</v>
      </c>
      <c r="E142" s="480">
        <f>+'[32]Sch C'!H138</f>
        <v>0</v>
      </c>
      <c r="F142" s="166">
        <f t="shared" si="46"/>
        <v>863893.86585124861</v>
      </c>
      <c r="G142" s="626"/>
      <c r="H142" s="166"/>
      <c r="I142" s="166">
        <f t="shared" si="47"/>
        <v>863893.86585124861</v>
      </c>
      <c r="J142" s="167">
        <f>IF($I$213=0,0,I142/$I$213)</f>
        <v>0.12744275978813932</v>
      </c>
      <c r="K142" s="458"/>
      <c r="L142" s="428">
        <v>48756.540714285715</v>
      </c>
      <c r="M142" s="428">
        <v>51184.752142857142</v>
      </c>
      <c r="O142" s="329">
        <f t="shared" si="43"/>
        <v>35.809072159637246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'[32]Sch C'!D139</f>
        <v>1972819</v>
      </c>
      <c r="D143" s="480">
        <f>'[32]Sch C'!F139</f>
        <v>-1970763.906149708</v>
      </c>
      <c r="E143" s="480">
        <f>+'[32]Sch C'!H139</f>
        <v>0</v>
      </c>
      <c r="F143" s="166">
        <f t="shared" si="46"/>
        <v>2055.0938502920326</v>
      </c>
      <c r="G143" s="626"/>
      <c r="H143" s="166"/>
      <c r="I143" s="166">
        <f t="shared" si="47"/>
        <v>2055.0938502920326</v>
      </c>
      <c r="J143" s="167">
        <f>IF($I$213=0,0,I143/$I$213)</f>
        <v>3.0317014885477476E-4</v>
      </c>
      <c r="K143" s="458"/>
      <c r="L143" s="428">
        <v>5408.3550000000005</v>
      </c>
      <c r="M143" s="428">
        <v>5795.4000000000005</v>
      </c>
      <c r="O143" s="329">
        <f t="shared" si="43"/>
        <v>8.518523731780446E-2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451"/>
      <c r="M144" s="451"/>
      <c r="O144" s="329"/>
      <c r="P144" s="324"/>
    </row>
    <row r="145" spans="1:16" s="162" customFormat="1">
      <c r="A145" s="164"/>
      <c r="B145" s="323" t="s">
        <v>681</v>
      </c>
      <c r="C145" s="480">
        <f>'[32]Sch C'!D141</f>
        <v>0</v>
      </c>
      <c r="D145" s="480">
        <f>'[32]Sch C'!F141</f>
        <v>94981.175144786641</v>
      </c>
      <c r="E145" s="480">
        <f>+'[32]Sch C'!H141</f>
        <v>0</v>
      </c>
      <c r="F145" s="166">
        <f t="shared" ref="F145:F148" si="48">C145+D145+E145</f>
        <v>94981.175144786641</v>
      </c>
      <c r="G145" s="626"/>
      <c r="H145" s="166"/>
      <c r="I145" s="166">
        <f t="shared" ref="I145:I148" si="49">F145+G145+H145</f>
        <v>94981.175144786641</v>
      </c>
      <c r="J145" s="167">
        <f>IF($I$213=0,0,I145/$I$213)</f>
        <v>1.4011747932073521E-2</v>
      </c>
      <c r="K145" s="458"/>
      <c r="L145" s="446"/>
      <c r="M145" s="446"/>
      <c r="O145" s="329">
        <f t="shared" si="43"/>
        <v>3.9370435293175809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'[32]Sch C'!D142</f>
        <v>0</v>
      </c>
      <c r="D146" s="480">
        <f>'[32]Sch C'!F142</f>
        <v>82115.002866528986</v>
      </c>
      <c r="E146" s="480">
        <f>+'[32]Sch C'!H142</f>
        <v>0</v>
      </c>
      <c r="F146" s="166">
        <f t="shared" si="48"/>
        <v>82115.002866528986</v>
      </c>
      <c r="G146" s="626"/>
      <c r="H146" s="166"/>
      <c r="I146" s="166">
        <f t="shared" si="49"/>
        <v>82115.002866528986</v>
      </c>
      <c r="J146" s="167">
        <f>IF($I$213=0,0,I146/$I$213)</f>
        <v>1.2113713268480779E-2</v>
      </c>
      <c r="K146" s="458"/>
      <c r="L146" s="446"/>
      <c r="M146" s="446"/>
      <c r="O146" s="329">
        <f t="shared" si="43"/>
        <v>3.4037306887680407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'[32]Sch C'!D143</f>
        <v>0</v>
      </c>
      <c r="D147" s="480">
        <f>'[32]Sch C'!F143</f>
        <v>133575.98127268106</v>
      </c>
      <c r="E147" s="480">
        <f>+'[32]Sch C'!H143</f>
        <v>0</v>
      </c>
      <c r="F147" s="166">
        <f t="shared" si="48"/>
        <v>133575.98127268106</v>
      </c>
      <c r="G147" s="626"/>
      <c r="H147" s="166"/>
      <c r="I147" s="166">
        <f t="shared" si="49"/>
        <v>133575.98127268106</v>
      </c>
      <c r="J147" s="167">
        <f>IF($I$213=0,0,I147/$I$213)</f>
        <v>1.9705304514490533E-2</v>
      </c>
      <c r="K147" s="458"/>
      <c r="L147" s="446"/>
      <c r="M147" s="446"/>
      <c r="O147" s="329">
        <f t="shared" si="43"/>
        <v>5.5368282392821166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'[32]Sch C'!D144</f>
        <v>156615</v>
      </c>
      <c r="D148" s="480">
        <f>'[32]Sch C'!F144</f>
        <v>-150259.3859676329</v>
      </c>
      <c r="E148" s="480">
        <f>+'[32]Sch C'!H144</f>
        <v>0</v>
      </c>
      <c r="F148" s="166">
        <f t="shared" si="48"/>
        <v>6355.6140323670988</v>
      </c>
      <c r="G148" s="626"/>
      <c r="H148" s="166"/>
      <c r="I148" s="166">
        <f t="shared" si="49"/>
        <v>6355.6140323670988</v>
      </c>
      <c r="J148" s="167">
        <f>IF($I$213=0,0,I148/$I$213)</f>
        <v>9.3758854467031866E-4</v>
      </c>
      <c r="K148" s="458"/>
      <c r="L148" s="446"/>
      <c r="M148" s="446"/>
      <c r="O148" s="329">
        <f t="shared" si="43"/>
        <v>0.26344514123801444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427"/>
      <c r="M149" s="427"/>
      <c r="O149" s="329"/>
      <c r="P149" s="324"/>
    </row>
    <row r="150" spans="1:16" s="162" customFormat="1">
      <c r="A150" s="164"/>
      <c r="B150" s="323" t="s">
        <v>694</v>
      </c>
      <c r="C150" s="480">
        <f>'[32]Sch C'!D146</f>
        <v>0</v>
      </c>
      <c r="D150" s="480">
        <f>'[32]Sch C'!F146</f>
        <v>38400</v>
      </c>
      <c r="E150" s="480">
        <f>+'[32]Sch C'!H146</f>
        <v>0</v>
      </c>
      <c r="F150" s="166">
        <f t="shared" ref="F150:F158" si="50">C150+D150+E150</f>
        <v>38400</v>
      </c>
      <c r="G150" s="626"/>
      <c r="H150" s="166"/>
      <c r="I150" s="166">
        <f t="shared" ref="I150:I158" si="51">F150+G150+H150</f>
        <v>38400</v>
      </c>
      <c r="J150" s="167">
        <f t="shared" ref="J150:J158" si="52">IF($I$213=0,0,I150/$I$213)</f>
        <v>5.6648185261072327E-3</v>
      </c>
      <c r="K150" s="458"/>
      <c r="L150" s="428">
        <v>192</v>
      </c>
      <c r="M150" s="428">
        <v>192</v>
      </c>
      <c r="O150" s="329">
        <f t="shared" si="43"/>
        <v>1.5917098445595854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'[32]Sch C'!D147</f>
        <v>0</v>
      </c>
      <c r="D151" s="480">
        <f>'[32]Sch C'!F147</f>
        <v>0</v>
      </c>
      <c r="E151" s="480">
        <f>+'[32]Sch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428">
        <v>0</v>
      </c>
      <c r="M151" s="428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'[32]Sch C'!D148</f>
        <v>0</v>
      </c>
      <c r="D152" s="480">
        <f>'[32]Sch C'!F148</f>
        <v>0</v>
      </c>
      <c r="E152" s="480">
        <f>+'[32]Sch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428">
        <v>0</v>
      </c>
      <c r="M152" s="428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'[32]Sch C'!D149</f>
        <v>0</v>
      </c>
      <c r="D153" s="480">
        <f>'[32]Sch C'!F149</f>
        <v>0</v>
      </c>
      <c r="E153" s="480">
        <f>+'[32]Sch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428">
        <v>0</v>
      </c>
      <c r="M153" s="428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'[32]Sch C'!D150</f>
        <v>38820</v>
      </c>
      <c r="D154" s="480">
        <f>'[32]Sch C'!F150</f>
        <v>-38400</v>
      </c>
      <c r="E154" s="480">
        <f>+'[32]Sch C'!H150</f>
        <v>0</v>
      </c>
      <c r="F154" s="166">
        <f t="shared" si="50"/>
        <v>420</v>
      </c>
      <c r="G154" s="626"/>
      <c r="H154" s="166"/>
      <c r="I154" s="166">
        <f t="shared" si="51"/>
        <v>420</v>
      </c>
      <c r="J154" s="167">
        <f t="shared" si="52"/>
        <v>6.1958952629297866E-5</v>
      </c>
      <c r="K154" s="458"/>
      <c r="L154" s="428">
        <v>7</v>
      </c>
      <c r="M154" s="428">
        <v>7</v>
      </c>
      <c r="O154" s="329">
        <f t="shared" si="43"/>
        <v>1.7409326424870468E-2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'[32]Sch C'!D151</f>
        <v>155289</v>
      </c>
      <c r="D155" s="480">
        <f>'[32]Sch C'!F151</f>
        <v>-1457.66</v>
      </c>
      <c r="E155" s="480">
        <f>+'[32]Sch C'!H151</f>
        <v>0</v>
      </c>
      <c r="F155" s="166">
        <f t="shared" si="50"/>
        <v>153831.34</v>
      </c>
      <c r="G155" s="626"/>
      <c r="H155" s="166"/>
      <c r="I155" s="166">
        <f t="shared" si="51"/>
        <v>153831.34</v>
      </c>
      <c r="J155" s="167">
        <f t="shared" si="52"/>
        <v>2.2693401685622411E-2</v>
      </c>
      <c r="K155" s="458"/>
      <c r="L155" s="446"/>
      <c r="M155" s="446"/>
      <c r="O155" s="329">
        <f t="shared" si="43"/>
        <v>6.3764286010362694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'[32]Sch C'!D152</f>
        <v>3136</v>
      </c>
      <c r="D156" s="480">
        <f>'[32]Sch C'!F152</f>
        <v>0</v>
      </c>
      <c r="E156" s="480">
        <f>+'[32]Sch C'!H152</f>
        <v>0</v>
      </c>
      <c r="F156" s="166">
        <f t="shared" si="50"/>
        <v>3136</v>
      </c>
      <c r="G156" s="626"/>
      <c r="H156" s="166"/>
      <c r="I156" s="166">
        <f t="shared" si="51"/>
        <v>3136</v>
      </c>
      <c r="J156" s="167">
        <f t="shared" si="52"/>
        <v>4.6262684629875736E-4</v>
      </c>
      <c r="K156" s="458"/>
      <c r="L156" s="446"/>
      <c r="M156" s="446"/>
      <c r="O156" s="329">
        <f t="shared" si="43"/>
        <v>0.12998963730569948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'[32]Sch C'!D153</f>
        <v>0</v>
      </c>
      <c r="D157" s="480">
        <f>'[32]Sch C'!F153</f>
        <v>0</v>
      </c>
      <c r="E157" s="480">
        <f>+'[32]Sch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446"/>
      <c r="M157" s="446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'[32]Sch C'!D154</f>
        <v>0</v>
      </c>
      <c r="D158" s="480">
        <f>'[32]Sch C'!F154</f>
        <v>0</v>
      </c>
      <c r="E158" s="480">
        <f>+'[32]Sch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446"/>
      <c r="M158" s="446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446"/>
      <c r="M159" s="446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'[32]Sch C'!D156</f>
        <v>0</v>
      </c>
      <c r="D160" s="480">
        <f>'[32]Sch C'!F156</f>
        <v>0</v>
      </c>
      <c r="E160" s="480">
        <f>+'[32]Sch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446"/>
      <c r="M160" s="446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'[32]Sch C'!D157</f>
        <v>0</v>
      </c>
      <c r="D161" s="480">
        <f>'[32]Sch C'!F157</f>
        <v>9332</v>
      </c>
      <c r="E161" s="480">
        <f>+'[32]Sch C'!H157</f>
        <v>0</v>
      </c>
      <c r="F161" s="166">
        <f t="shared" si="53"/>
        <v>9332</v>
      </c>
      <c r="G161" s="626"/>
      <c r="H161" s="166"/>
      <c r="I161" s="166">
        <f t="shared" si="54"/>
        <v>9332</v>
      </c>
      <c r="J161" s="167">
        <f t="shared" si="55"/>
        <v>1.3766689188966848E-3</v>
      </c>
      <c r="K161" s="458"/>
      <c r="L161" s="446"/>
      <c r="M161" s="446"/>
      <c r="O161" s="329">
        <f t="shared" si="43"/>
        <v>0.38681865284974093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'[32]Sch C'!D158</f>
        <v>0</v>
      </c>
      <c r="D162" s="480">
        <f>'[32]Sch C'!F158</f>
        <v>0</v>
      </c>
      <c r="E162" s="480">
        <f>+'[32]Sch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446"/>
      <c r="M162" s="446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'[32]Sch C'!D159</f>
        <v>0</v>
      </c>
      <c r="D163" s="480">
        <f>'[32]Sch C'!F159</f>
        <v>0</v>
      </c>
      <c r="E163" s="480">
        <f>+'[32]Sch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446"/>
      <c r="M163" s="446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'[32]Sch C'!D160</f>
        <v>0</v>
      </c>
      <c r="D164" s="480">
        <f>'[32]Sch C'!F160</f>
        <v>0</v>
      </c>
      <c r="E164" s="480">
        <f>+'[32]Sch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446"/>
      <c r="M164" s="446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'[32]Sch C'!D161</f>
        <v>2678</v>
      </c>
      <c r="D165" s="480">
        <f>'[32]Sch C'!F161</f>
        <v>0</v>
      </c>
      <c r="E165" s="480">
        <f>+'[32]Sch C'!H161</f>
        <v>0</v>
      </c>
      <c r="F165" s="166">
        <f t="shared" si="53"/>
        <v>2678</v>
      </c>
      <c r="G165" s="626"/>
      <c r="H165" s="166"/>
      <c r="I165" s="166">
        <f t="shared" si="54"/>
        <v>2678</v>
      </c>
      <c r="J165" s="167">
        <f t="shared" si="55"/>
        <v>3.9506208366966587E-4</v>
      </c>
      <c r="K165" s="458"/>
      <c r="L165" s="446"/>
      <c r="M165" s="446"/>
      <c r="O165" s="329">
        <f t="shared" si="43"/>
        <v>0.11100518134715026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2764621</v>
      </c>
      <c r="D166" s="480">
        <f t="shared" si="56"/>
        <v>191807.38431426801</v>
      </c>
      <c r="E166" s="480">
        <f t="shared" si="56"/>
        <v>0</v>
      </c>
      <c r="F166" s="166">
        <f t="shared" ref="F166:I166" si="57">SUM(F128:F165)</f>
        <v>2956428.3843142679</v>
      </c>
      <c r="G166" s="166">
        <f t="shared" si="57"/>
        <v>0</v>
      </c>
      <c r="H166" s="166">
        <f t="shared" si="57"/>
        <v>0</v>
      </c>
      <c r="I166" s="166">
        <f t="shared" si="57"/>
        <v>2956428.3843142679</v>
      </c>
      <c r="J166" s="167">
        <f t="shared" si="55"/>
        <v>0.43613620527533176</v>
      </c>
      <c r="K166" s="458"/>
      <c r="L166" s="446"/>
      <c r="M166" s="446"/>
      <c r="O166" s="329">
        <f>I166/I$233</f>
        <v>122.546254272094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446"/>
      <c r="M167" s="446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446"/>
      <c r="M168" s="446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'[32]Sch C'!D175</f>
        <v>0</v>
      </c>
      <c r="D169" s="480">
        <f>'[32]Sch C'!F175</f>
        <v>0</v>
      </c>
      <c r="E169" s="480">
        <f>+'[32]Sch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428">
        <v>0</v>
      </c>
      <c r="M169" s="428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'[32]Sch C'!D176</f>
        <v>0</v>
      </c>
      <c r="D170" s="480">
        <f>'[32]Sch C'!F176</f>
        <v>0</v>
      </c>
      <c r="E170" s="480">
        <f>+'[32]Sch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452"/>
      <c r="M170" s="45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'[32]Sch C'!D177</f>
        <v>250868</v>
      </c>
      <c r="D171" s="480">
        <f>'[32]Sch C'!F177</f>
        <v>20427.886634574359</v>
      </c>
      <c r="E171" s="480">
        <f>+'[32]Sch C'!H177</f>
        <v>0</v>
      </c>
      <c r="F171" s="166">
        <f t="shared" si="58"/>
        <v>271295.88663457439</v>
      </c>
      <c r="G171" s="626"/>
      <c r="H171" s="166"/>
      <c r="I171" s="166">
        <f t="shared" si="59"/>
        <v>271295.88663457439</v>
      </c>
      <c r="J171" s="167">
        <f t="shared" si="60"/>
        <v>4.0021926163130848E-2</v>
      </c>
      <c r="K171" s="468"/>
      <c r="L171" s="428">
        <v>8193.4907142857137</v>
      </c>
      <c r="M171" s="428">
        <v>9086.7007142857146</v>
      </c>
      <c r="N171" s="208"/>
      <c r="O171" s="329">
        <f t="shared" si="61"/>
        <v>11.245425352728471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'[32]Sch C'!D178</f>
        <v>19528</v>
      </c>
      <c r="D172" s="480">
        <f>'[32]Sch C'!F178</f>
        <v>-27.45</v>
      </c>
      <c r="E172" s="480">
        <f>+'[32]Sch C'!H178</f>
        <v>0</v>
      </c>
      <c r="F172" s="166">
        <f t="shared" si="58"/>
        <v>19500.55</v>
      </c>
      <c r="G172" s="626"/>
      <c r="H172" s="166"/>
      <c r="I172" s="166">
        <f t="shared" si="59"/>
        <v>19500.55</v>
      </c>
      <c r="J172" s="167">
        <f t="shared" si="60"/>
        <v>2.8767467945125104E-3</v>
      </c>
      <c r="K172" s="469"/>
      <c r="L172" s="452"/>
      <c r="M172" s="452"/>
      <c r="N172" s="208"/>
      <c r="O172" s="329">
        <f t="shared" si="61"/>
        <v>0.80831295336787556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'[32]Sch C'!D179</f>
        <v>31882</v>
      </c>
      <c r="D173" s="480">
        <f>'[32]Sch C'!F179</f>
        <v>2601.9436711858057</v>
      </c>
      <c r="E173" s="480">
        <f>+'[32]Sch C'!H179</f>
        <v>0</v>
      </c>
      <c r="F173" s="166">
        <f t="shared" si="58"/>
        <v>34483.943671185807</v>
      </c>
      <c r="G173" s="626"/>
      <c r="H173" s="166"/>
      <c r="I173" s="166">
        <f t="shared" si="59"/>
        <v>34483.943671185807</v>
      </c>
      <c r="J173" s="167">
        <f t="shared" si="60"/>
        <v>5.0871167437961358E-3</v>
      </c>
      <c r="K173" s="468"/>
      <c r="L173" s="428">
        <v>738.2221428571429</v>
      </c>
      <c r="M173" s="428">
        <v>803.2221428571429</v>
      </c>
      <c r="N173" s="208"/>
      <c r="O173" s="329">
        <f t="shared" si="61"/>
        <v>1.4293862661631422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'[32]Sch C'!D180</f>
        <v>2788</v>
      </c>
      <c r="D174" s="480">
        <f>'[32]Sch C'!F180</f>
        <v>-8.8800000000000008</v>
      </c>
      <c r="E174" s="480">
        <f>+'[32]Sch C'!H180</f>
        <v>0</v>
      </c>
      <c r="F174" s="166">
        <f t="shared" si="58"/>
        <v>2779.12</v>
      </c>
      <c r="G174" s="626"/>
      <c r="H174" s="166"/>
      <c r="I174" s="166">
        <f t="shared" si="59"/>
        <v>2779.12</v>
      </c>
      <c r="J174" s="167">
        <f t="shared" si="60"/>
        <v>4.0997943912174823E-4</v>
      </c>
      <c r="K174" s="469"/>
      <c r="L174" s="452"/>
      <c r="M174" s="452"/>
      <c r="N174" s="208"/>
      <c r="O174" s="329">
        <f t="shared" si="61"/>
        <v>0.11519668393782383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'[32]Sch C'!D181</f>
        <v>0</v>
      </c>
      <c r="D175" s="480">
        <f>'[32]Sch C'!F181</f>
        <v>0</v>
      </c>
      <c r="E175" s="480">
        <f>+'[32]Sch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428">
        <v>0</v>
      </c>
      <c r="M175" s="428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'[32]Sch C'!D182</f>
        <v>0</v>
      </c>
      <c r="D176" s="480">
        <f>'[32]Sch C'!F182</f>
        <v>0</v>
      </c>
      <c r="E176" s="480">
        <f>+'[32]Sch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452"/>
      <c r="M176" s="45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'[32]Sch C'!D183</f>
        <v>335111</v>
      </c>
      <c r="D177" s="480">
        <f>'[32]Sch C'!F183</f>
        <v>27266.839010267253</v>
      </c>
      <c r="E177" s="480">
        <f>+'[32]Sch C'!H183</f>
        <v>0</v>
      </c>
      <c r="F177" s="166">
        <f t="shared" si="58"/>
        <v>362377.83901026723</v>
      </c>
      <c r="G177" s="626"/>
      <c r="H177" s="166"/>
      <c r="I177" s="166">
        <f t="shared" si="59"/>
        <v>362377.83901026723</v>
      </c>
      <c r="J177" s="167">
        <f t="shared" si="60"/>
        <v>5.3458455621772552E-2</v>
      </c>
      <c r="K177" s="468"/>
      <c r="L177" s="428">
        <v>6651.9507142857146</v>
      </c>
      <c r="M177" s="428">
        <v>7873.306428571429</v>
      </c>
      <c r="N177" s="208"/>
      <c r="O177" s="329">
        <f t="shared" si="61"/>
        <v>15.020843067783098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'[32]Sch C'!D184</f>
        <v>26674</v>
      </c>
      <c r="D178" s="480">
        <f>'[32]Sch C'!F184</f>
        <v>-17.38</v>
      </c>
      <c r="E178" s="480">
        <f>+'[32]Sch C'!H184</f>
        <v>0</v>
      </c>
      <c r="F178" s="166">
        <f t="shared" si="58"/>
        <v>26656.62</v>
      </c>
      <c r="G178" s="626"/>
      <c r="H178" s="166"/>
      <c r="I178" s="166">
        <f t="shared" si="59"/>
        <v>26656.62</v>
      </c>
      <c r="J178" s="167">
        <f t="shared" si="60"/>
        <v>3.9324196567552235E-3</v>
      </c>
      <c r="K178" s="469"/>
      <c r="L178" s="452"/>
      <c r="M178" s="452"/>
      <c r="N178" s="208"/>
      <c r="O178" s="329">
        <f t="shared" si="61"/>
        <v>1.1049376165803109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'[32]Sch C'!D185</f>
        <v>0</v>
      </c>
      <c r="D179" s="480">
        <f>'[32]Sch C'!F185</f>
        <v>0</v>
      </c>
      <c r="E179" s="480">
        <f>+'[32]Sch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428">
        <v>0</v>
      </c>
      <c r="M179" s="428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'[32]Sch C'!D186</f>
        <v>0</v>
      </c>
      <c r="D180" s="480">
        <f>'[32]Sch C'!F186</f>
        <v>0</v>
      </c>
      <c r="E180" s="480">
        <f>+'[32]Sch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453"/>
      <c r="M180" s="454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'[32]Sch C'!D187</f>
        <v>0</v>
      </c>
      <c r="D181" s="480">
        <f>'[32]Sch C'!F187</f>
        <v>0</v>
      </c>
      <c r="E181" s="480">
        <f>+'[32]Sch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453"/>
      <c r="M181" s="454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'[32]Sch C'!D188</f>
        <v>1780</v>
      </c>
      <c r="D182" s="480">
        <f>'[32]Sch C'!F188</f>
        <v>0</v>
      </c>
      <c r="E182" s="480">
        <f>+'[32]Sch C'!H188</f>
        <v>0</v>
      </c>
      <c r="F182" s="166">
        <f t="shared" si="58"/>
        <v>1780</v>
      </c>
      <c r="G182" s="626"/>
      <c r="H182" s="166"/>
      <c r="I182" s="166">
        <f t="shared" si="59"/>
        <v>1780</v>
      </c>
      <c r="J182" s="167">
        <f t="shared" si="60"/>
        <v>2.6258794209559571E-4</v>
      </c>
      <c r="K182" s="458"/>
      <c r="L182" s="453"/>
      <c r="M182" s="454"/>
      <c r="N182" s="210"/>
      <c r="O182" s="329">
        <f t="shared" si="61"/>
        <v>7.3782383419689124E-2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'[32]Sch C'!D189</f>
        <v>0</v>
      </c>
      <c r="D183" s="480">
        <f>'[32]Sch C'!F189</f>
        <v>0</v>
      </c>
      <c r="E183" s="480">
        <f>+'[32]Sch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453"/>
      <c r="M183" s="454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'[32]Sch C'!D190</f>
        <v>0</v>
      </c>
      <c r="D184" s="480">
        <f>'[32]Sch C'!F190</f>
        <v>0</v>
      </c>
      <c r="E184" s="480">
        <f>+'[32]Sch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453"/>
      <c r="M184" s="454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'[32]Sch C'!D191</f>
        <v>1184</v>
      </c>
      <c r="D185" s="480">
        <f>'[32]Sch C'!F191</f>
        <v>0</v>
      </c>
      <c r="E185" s="480">
        <f>+'[32]Sch C'!H191</f>
        <v>0</v>
      </c>
      <c r="F185" s="166">
        <f t="shared" si="58"/>
        <v>1184</v>
      </c>
      <c r="G185" s="626"/>
      <c r="H185" s="166"/>
      <c r="I185" s="166">
        <f t="shared" si="59"/>
        <v>1184</v>
      </c>
      <c r="J185" s="167">
        <f t="shared" si="60"/>
        <v>1.7466523788830634E-4</v>
      </c>
      <c r="K185" s="458"/>
      <c r="L185" s="453"/>
      <c r="M185" s="454"/>
      <c r="N185" s="210"/>
      <c r="O185" s="329">
        <f t="shared" si="61"/>
        <v>4.9077720207253886E-2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'[32]Sch C'!D192</f>
        <v>27678</v>
      </c>
      <c r="D186" s="480">
        <f>'[32]Sch C'!F192</f>
        <v>0</v>
      </c>
      <c r="E186" s="480">
        <f>+'[32]Sch C'!H192</f>
        <v>0</v>
      </c>
      <c r="F186" s="166">
        <f t="shared" si="58"/>
        <v>27678</v>
      </c>
      <c r="G186" s="626"/>
      <c r="H186" s="166"/>
      <c r="I186" s="166">
        <f t="shared" si="59"/>
        <v>27678</v>
      </c>
      <c r="J186" s="167">
        <f t="shared" si="60"/>
        <v>4.083094978270729E-3</v>
      </c>
      <c r="K186" s="458"/>
      <c r="L186" s="453"/>
      <c r="M186" s="454"/>
      <c r="N186" s="210"/>
      <c r="O186" s="329">
        <f t="shared" si="61"/>
        <v>1.1472746113989638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'[32]Sch C'!D193</f>
        <v>0</v>
      </c>
      <c r="D187" s="480">
        <f>'[32]Sch C'!F193</f>
        <v>0</v>
      </c>
      <c r="E187" s="480">
        <f>+'[32]Sch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453"/>
      <c r="M187" s="454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'[32]Sch C'!D194</f>
        <v>0</v>
      </c>
      <c r="D188" s="480">
        <f>'[32]Sch C'!F194</f>
        <v>0</v>
      </c>
      <c r="E188" s="480">
        <f>+'[32]Sch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453"/>
      <c r="M188" s="454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'[32]Sch C'!D195</f>
        <v>0</v>
      </c>
      <c r="D189" s="480">
        <f>'[32]Sch C'!F195</f>
        <v>0</v>
      </c>
      <c r="E189" s="480">
        <f>+'[32]Sch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453"/>
      <c r="M189" s="454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'[32]Sch C'!D196</f>
        <v>0</v>
      </c>
      <c r="D190" s="480">
        <f>'[32]Sch C'!F196</f>
        <v>0</v>
      </c>
      <c r="E190" s="480">
        <f>+'[32]Sch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453"/>
      <c r="M190" s="454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'[32]Sch C'!D197</f>
        <v>0</v>
      </c>
      <c r="D191" s="480">
        <f>'[32]Sch C'!F197</f>
        <v>0</v>
      </c>
      <c r="E191" s="480">
        <f>+'[32]Sch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453"/>
      <c r="M191" s="454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'[32]Sch C'!D198</f>
        <v>0</v>
      </c>
      <c r="D192" s="480">
        <f>'[32]Sch C'!F198</f>
        <v>0</v>
      </c>
      <c r="E192" s="480">
        <f>+'[32]Sch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453"/>
      <c r="M192" s="454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'[32]Sch C'!D199</f>
        <v>0</v>
      </c>
      <c r="D193" s="480">
        <f>'[32]Sch C'!F199</f>
        <v>0</v>
      </c>
      <c r="E193" s="480">
        <f>+'[32]Sch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453"/>
      <c r="M193" s="454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'[32]Sch C'!D200</f>
        <v>0</v>
      </c>
      <c r="D194" s="480">
        <f>'[32]Sch C'!F200</f>
        <v>0</v>
      </c>
      <c r="E194" s="480">
        <f>+'[32]Sch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453"/>
      <c r="M194" s="454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'[32]Sch C'!D201</f>
        <v>0</v>
      </c>
      <c r="D195" s="480">
        <f>'[32]Sch C'!F201</f>
        <v>0</v>
      </c>
      <c r="E195" s="480">
        <f>+'[32]Sch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453"/>
      <c r="M195" s="454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'[32]Sch C'!D202</f>
        <v>0</v>
      </c>
      <c r="D196" s="480">
        <f>'[32]Sch C'!F202</f>
        <v>0</v>
      </c>
      <c r="E196" s="480">
        <f>+'[32]Sch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453"/>
      <c r="M196" s="454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'[32]Sch C'!D203</f>
        <v>0</v>
      </c>
      <c r="D197" s="480">
        <f>'[32]Sch C'!F203</f>
        <v>0</v>
      </c>
      <c r="E197" s="480">
        <f>+'[32]Sch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453"/>
      <c r="M197" s="454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'[32]Sch C'!D204</f>
        <v>0</v>
      </c>
      <c r="D198" s="480">
        <f>'[32]Sch C'!F204</f>
        <v>0</v>
      </c>
      <c r="E198" s="480">
        <f>+'[32]Sch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453"/>
      <c r="M198" s="454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'[32]Sch C'!D205</f>
        <v>159166</v>
      </c>
      <c r="D199" s="480">
        <f>'[32]Sch C'!F205</f>
        <v>0</v>
      </c>
      <c r="E199" s="480">
        <f>+'[32]Sch C'!H205</f>
        <v>0</v>
      </c>
      <c r="F199" s="166">
        <f t="shared" si="58"/>
        <v>159166</v>
      </c>
      <c r="G199" s="626"/>
      <c r="H199" s="166"/>
      <c r="I199" s="166">
        <f t="shared" si="59"/>
        <v>159166</v>
      </c>
      <c r="J199" s="167">
        <f t="shared" si="60"/>
        <v>2.3480377748082912E-2</v>
      </c>
      <c r="K199" s="458"/>
      <c r="L199" s="453"/>
      <c r="M199" s="454"/>
      <c r="O199" s="329">
        <f t="shared" si="61"/>
        <v>6.597554404145078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'[32]Sch C'!D206</f>
        <v>28624</v>
      </c>
      <c r="D200" s="480">
        <f>'[32]Sch C'!F206</f>
        <v>0</v>
      </c>
      <c r="E200" s="480">
        <f>+'[32]Sch C'!H206</f>
        <v>0</v>
      </c>
      <c r="F200" s="166">
        <f t="shared" si="58"/>
        <v>28624</v>
      </c>
      <c r="G200" s="626"/>
      <c r="H200" s="166"/>
      <c r="I200" s="166">
        <f t="shared" si="59"/>
        <v>28624</v>
      </c>
      <c r="J200" s="167">
        <f t="shared" si="60"/>
        <v>4.2226501430024333E-3</v>
      </c>
      <c r="K200" s="458"/>
      <c r="L200" s="453"/>
      <c r="M200" s="454"/>
      <c r="O200" s="329">
        <f t="shared" si="61"/>
        <v>1.1864870466321245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'[32]Sch C'!D207</f>
        <v>7418</v>
      </c>
      <c r="D201" s="480">
        <f>'[32]Sch C'!F207</f>
        <v>-50</v>
      </c>
      <c r="E201" s="480">
        <f>+'[32]Sch C'!H207</f>
        <v>0</v>
      </c>
      <c r="F201" s="166">
        <f t="shared" si="58"/>
        <v>7368</v>
      </c>
      <c r="G201" s="626"/>
      <c r="H201" s="166"/>
      <c r="I201" s="166">
        <f t="shared" si="59"/>
        <v>7368</v>
      </c>
      <c r="J201" s="167">
        <f t="shared" si="60"/>
        <v>1.0869370546968253E-3</v>
      </c>
      <c r="K201" s="458"/>
      <c r="L201" s="453"/>
      <c r="M201" s="454"/>
      <c r="O201" s="329">
        <f t="shared" si="61"/>
        <v>0.30540932642487045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892701</v>
      </c>
      <c r="D202" s="480">
        <f t="shared" si="62"/>
        <v>50192.959316027416</v>
      </c>
      <c r="E202" s="480">
        <f t="shared" si="62"/>
        <v>0</v>
      </c>
      <c r="F202" s="166">
        <f t="shared" ref="F202:I202" si="63">SUM(F169:F201)</f>
        <v>942893.95931602747</v>
      </c>
      <c r="G202" s="166">
        <f t="shared" si="63"/>
        <v>0</v>
      </c>
      <c r="H202" s="166">
        <f t="shared" si="63"/>
        <v>0</v>
      </c>
      <c r="I202" s="166">
        <f t="shared" si="63"/>
        <v>942893.95931602747</v>
      </c>
      <c r="J202" s="167">
        <f>IF($I$213=0,0,I202/$I$213)</f>
        <v>0.13909695752312584</v>
      </c>
      <c r="K202" s="458"/>
      <c r="L202" s="446"/>
      <c r="M202" s="446"/>
      <c r="O202" s="329">
        <f>I202/I$233</f>
        <v>39.0836874327887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446"/>
      <c r="M203" s="446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446"/>
      <c r="M204" s="446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'[32]Sch C'!D211</f>
        <v>142336</v>
      </c>
      <c r="D205" s="480">
        <f>'[32]Sch C'!F211</f>
        <v>-31254.162928638903</v>
      </c>
      <c r="E205" s="480">
        <f>+'[32]Sch C'!H211</f>
        <v>0</v>
      </c>
      <c r="F205" s="166">
        <f t="shared" ref="F205:F210" si="64">C205+D205+E205</f>
        <v>111081.83707136109</v>
      </c>
      <c r="G205" s="626"/>
      <c r="H205" s="166"/>
      <c r="I205" s="166">
        <f t="shared" ref="I205:I210" si="65">F205+G205+H205</f>
        <v>111081.83707136109</v>
      </c>
      <c r="J205" s="167">
        <f t="shared" ref="J205:J211" si="66">IF($I$213=0,0,I205/$I$213)</f>
        <v>1.638693876447582E-2</v>
      </c>
      <c r="K205" s="458"/>
      <c r="L205" s="428">
        <v>5580.9850000000006</v>
      </c>
      <c r="M205" s="428">
        <v>6340.6007142857125</v>
      </c>
      <c r="O205" s="329">
        <f t="shared" ref="O205:O210" si="67">I205/I$233</f>
        <v>4.6044284796419106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'[32]Sch C'!D212</f>
        <v>10724</v>
      </c>
      <c r="D206" s="480">
        <f>'[32]Sch C'!F212</f>
        <v>-2906.9432571428574</v>
      </c>
      <c r="E206" s="480">
        <f>+'[32]Sch C'!H212</f>
        <v>0</v>
      </c>
      <c r="F206" s="166">
        <f t="shared" si="64"/>
        <v>7817.056742857143</v>
      </c>
      <c r="G206" s="626"/>
      <c r="H206" s="166"/>
      <c r="I206" s="166">
        <f t="shared" si="65"/>
        <v>7817.056742857143</v>
      </c>
      <c r="J206" s="167">
        <f t="shared" si="66"/>
        <v>1.1531824962648075E-3</v>
      </c>
      <c r="K206" s="458"/>
      <c r="L206" s="446"/>
      <c r="M206" s="446"/>
      <c r="O206" s="329">
        <f t="shared" si="67"/>
        <v>0.32402307742413028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'[32]Sch C'!D213</f>
        <v>0</v>
      </c>
      <c r="D207" s="480">
        <f>'[32]Sch C'!F213</f>
        <v>0</v>
      </c>
      <c r="E207" s="480">
        <f>+'[32]Sch C'!H213</f>
        <v>0</v>
      </c>
      <c r="F207" s="166">
        <f t="shared" si="64"/>
        <v>0</v>
      </c>
      <c r="G207" s="626"/>
      <c r="H207" s="166"/>
      <c r="I207" s="166">
        <f t="shared" si="65"/>
        <v>0</v>
      </c>
      <c r="J207" s="167">
        <f t="shared" si="66"/>
        <v>0</v>
      </c>
      <c r="K207" s="458"/>
      <c r="L207" s="446"/>
      <c r="M207" s="446"/>
      <c r="O207" s="329">
        <f t="shared" si="67"/>
        <v>0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'[32]Sch C'!D214</f>
        <v>0</v>
      </c>
      <c r="D208" s="480">
        <f>'[32]Sch C'!F214</f>
        <v>0</v>
      </c>
      <c r="E208" s="480">
        <f>+'[32]Sch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446"/>
      <c r="M208" s="446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'[32]Sch C'!D215</f>
        <v>0</v>
      </c>
      <c r="D209" s="480">
        <f>'[32]Sch C'!F215</f>
        <v>0</v>
      </c>
      <c r="E209" s="480">
        <f>+'[32]Sch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446"/>
      <c r="M209" s="446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'[32]Sch C'!D216</f>
        <v>32515</v>
      </c>
      <c r="D210" s="480">
        <f>'[32]Sch C'!F216</f>
        <v>0</v>
      </c>
      <c r="E210" s="480">
        <f>+'[32]Sch C'!H216</f>
        <v>0</v>
      </c>
      <c r="F210" s="166">
        <f t="shared" si="64"/>
        <v>32515</v>
      </c>
      <c r="G210" s="626"/>
      <c r="H210" s="166"/>
      <c r="I210" s="166">
        <f t="shared" si="65"/>
        <v>32515</v>
      </c>
      <c r="J210" s="167">
        <f t="shared" si="66"/>
        <v>4.7966555827181423E-3</v>
      </c>
      <c r="K210" s="458"/>
      <c r="L210" s="446"/>
      <c r="M210" s="446"/>
      <c r="O210" s="329">
        <f t="shared" si="67"/>
        <v>1.3477720207253887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185575</v>
      </c>
      <c r="D211" s="480">
        <f t="shared" si="68"/>
        <v>-34161.106185781762</v>
      </c>
      <c r="E211" s="480">
        <f t="shared" si="68"/>
        <v>0</v>
      </c>
      <c r="F211" s="166">
        <f t="shared" ref="F211:I211" si="69">SUM(F205:F210)</f>
        <v>151413.89381421823</v>
      </c>
      <c r="G211" s="166">
        <f t="shared" si="69"/>
        <v>0</v>
      </c>
      <c r="H211" s="166">
        <f t="shared" si="69"/>
        <v>0</v>
      </c>
      <c r="I211" s="166">
        <f t="shared" si="69"/>
        <v>151413.89381421823</v>
      </c>
      <c r="J211" s="167">
        <f t="shared" si="66"/>
        <v>2.2336776843458771E-2</v>
      </c>
      <c r="K211" s="458"/>
      <c r="L211" s="446"/>
      <c r="M211" s="446"/>
      <c r="O211" s="329">
        <f>I211/I$233</f>
        <v>6.2762235777914288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446"/>
      <c r="M212" s="446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6566449</v>
      </c>
      <c r="D213" s="480">
        <f t="shared" si="70"/>
        <v>-119337.59599254934</v>
      </c>
      <c r="E213" s="480">
        <f t="shared" si="70"/>
        <v>349393</v>
      </c>
      <c r="F213" s="166">
        <f t="shared" ref="F213:I213" si="71">SUM(F30:F211)/2</f>
        <v>6796504.4040074516</v>
      </c>
      <c r="G213" s="166">
        <f t="shared" si="71"/>
        <v>-17823</v>
      </c>
      <c r="H213" s="166">
        <f t="shared" si="71"/>
        <v>0</v>
      </c>
      <c r="I213" s="166">
        <f t="shared" si="71"/>
        <v>6778681.4040074516</v>
      </c>
      <c r="J213" s="167">
        <f>IF($I$213=0,0,I213/$I$213)</f>
        <v>1</v>
      </c>
      <c r="K213" s="458"/>
      <c r="L213" s="176">
        <f>SUM(L30:L205)</f>
        <v>158760.14996428572</v>
      </c>
      <c r="M213" s="176">
        <f>SUM(M30:M205)</f>
        <v>171969.52167857144</v>
      </c>
      <c r="O213" s="329">
        <f>I213/I$233</f>
        <v>280.98161260134515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'[32]Sch C'!D221</f>
        <v>6566449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-330565</v>
      </c>
      <c r="D220" s="480">
        <f t="shared" si="72"/>
        <v>233927.59599254932</v>
      </c>
      <c r="E220" s="480">
        <f t="shared" si="72"/>
        <v>-349393</v>
      </c>
      <c r="F220" s="166">
        <f t="shared" ref="F220:I220" si="73">F26-F213</f>
        <v>-446030.40400745161</v>
      </c>
      <c r="G220" s="166">
        <f t="shared" si="73"/>
        <v>17823</v>
      </c>
      <c r="H220" s="166">
        <f t="shared" si="73"/>
        <v>0</v>
      </c>
      <c r="I220" s="166">
        <f t="shared" si="73"/>
        <v>-428207.40400745161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'[32]Sch D'!C9</f>
        <v>12672</v>
      </c>
      <c r="D224" s="480"/>
      <c r="E224" s="480"/>
      <c r="F224" s="224">
        <f>C224+D224+E224</f>
        <v>12672</v>
      </c>
      <c r="G224" s="627"/>
      <c r="H224" s="223"/>
      <c r="I224" s="224">
        <f>F224+G224+H224</f>
        <v>12672</v>
      </c>
      <c r="J224" s="167">
        <f t="shared" ref="J224:J233" si="74">IF($I$233=0,0,I224/$I$233)</f>
        <v>0.52526424870466326</v>
      </c>
      <c r="K224" s="458"/>
      <c r="L224" s="163"/>
      <c r="M224" s="163"/>
    </row>
    <row r="225" spans="1:13">
      <c r="A225" s="158"/>
      <c r="B225" s="165" t="s">
        <v>201</v>
      </c>
      <c r="C225" s="504">
        <f>'[32]Sch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'[32]Sch D'!E9</f>
        <v>4308</v>
      </c>
      <c r="D226" s="480"/>
      <c r="E226" s="480"/>
      <c r="F226" s="224">
        <f t="shared" si="75"/>
        <v>4308</v>
      </c>
      <c r="G226" s="627"/>
      <c r="H226" s="223"/>
      <c r="I226" s="224">
        <f t="shared" si="76"/>
        <v>4308</v>
      </c>
      <c r="J226" s="167">
        <f t="shared" si="74"/>
        <v>0.17856994818652849</v>
      </c>
      <c r="K226" s="458"/>
      <c r="L226" s="163"/>
      <c r="M226" s="163"/>
    </row>
    <row r="227" spans="1:13">
      <c r="A227" s="158"/>
      <c r="B227" s="194" t="s">
        <v>315</v>
      </c>
      <c r="C227" s="504">
        <f>'[32]Sch D'!F9</f>
        <v>550</v>
      </c>
      <c r="D227" s="480"/>
      <c r="E227" s="480"/>
      <c r="F227" s="224">
        <f t="shared" si="75"/>
        <v>550</v>
      </c>
      <c r="G227" s="627"/>
      <c r="H227" s="223"/>
      <c r="I227" s="224">
        <f t="shared" si="76"/>
        <v>550</v>
      </c>
      <c r="J227" s="167">
        <f t="shared" si="74"/>
        <v>2.2797927461139896E-2</v>
      </c>
      <c r="K227" s="458"/>
      <c r="L227" s="163"/>
      <c r="M227" s="163"/>
    </row>
    <row r="228" spans="1:13">
      <c r="A228" s="158"/>
      <c r="B228" s="165" t="s">
        <v>65</v>
      </c>
      <c r="C228" s="504">
        <f>'[32]Sch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'[32]Sch D'!H9</f>
        <v>4746</v>
      </c>
      <c r="D229" s="480"/>
      <c r="E229" s="480"/>
      <c r="F229" s="224">
        <f t="shared" si="75"/>
        <v>4746</v>
      </c>
      <c r="G229" s="627"/>
      <c r="H229" s="223"/>
      <c r="I229" s="224">
        <f t="shared" si="76"/>
        <v>4746</v>
      </c>
      <c r="J229" s="167">
        <f t="shared" si="74"/>
        <v>0.19672538860103628</v>
      </c>
      <c r="K229" s="458"/>
      <c r="L229" s="163"/>
      <c r="M229" s="163"/>
    </row>
    <row r="230" spans="1:13">
      <c r="A230" s="158"/>
      <c r="B230" s="165" t="s">
        <v>219</v>
      </c>
      <c r="C230" s="504">
        <f>'[32]Sch D'!I9</f>
        <v>1180</v>
      </c>
      <c r="D230" s="480"/>
      <c r="E230" s="480"/>
      <c r="F230" s="224">
        <f t="shared" si="75"/>
        <v>1180</v>
      </c>
      <c r="G230" s="627"/>
      <c r="H230" s="223"/>
      <c r="I230" s="224">
        <f t="shared" si="76"/>
        <v>1180</v>
      </c>
      <c r="J230" s="167">
        <f t="shared" si="74"/>
        <v>4.8911917098445598E-2</v>
      </c>
      <c r="K230" s="458"/>
      <c r="L230" s="163"/>
      <c r="M230" s="163"/>
    </row>
    <row r="231" spans="1:13">
      <c r="A231" s="158"/>
      <c r="B231" s="165" t="s">
        <v>218</v>
      </c>
      <c r="C231" s="504">
        <f>'[32]Sch D'!J9</f>
        <v>6</v>
      </c>
      <c r="D231" s="480"/>
      <c r="E231" s="480"/>
      <c r="F231" s="224">
        <f t="shared" si="75"/>
        <v>6</v>
      </c>
      <c r="G231" s="627"/>
      <c r="H231" s="223"/>
      <c r="I231" s="224">
        <f t="shared" si="76"/>
        <v>6</v>
      </c>
      <c r="J231" s="167">
        <f>IF($I$233=0,0,I231/$I$233)</f>
        <v>2.4870466321243526E-4</v>
      </c>
      <c r="K231" s="458"/>
      <c r="L231" s="163"/>
      <c r="M231" s="163"/>
    </row>
    <row r="232" spans="1:13">
      <c r="A232" s="158"/>
      <c r="B232" s="165" t="s">
        <v>170</v>
      </c>
      <c r="C232" s="504">
        <f>'[32]Sch D'!K9</f>
        <v>663</v>
      </c>
      <c r="D232" s="480"/>
      <c r="E232" s="480"/>
      <c r="F232" s="224">
        <f t="shared" si="75"/>
        <v>663</v>
      </c>
      <c r="G232" s="627"/>
      <c r="H232" s="223"/>
      <c r="I232" s="224">
        <f t="shared" si="76"/>
        <v>663</v>
      </c>
      <c r="J232" s="167">
        <f t="shared" si="74"/>
        <v>2.7481865284974094E-2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24125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24125</v>
      </c>
      <c r="G233" s="226">
        <f t="shared" si="78"/>
        <v>0</v>
      </c>
      <c r="H233" s="226">
        <f t="shared" si="78"/>
        <v>0</v>
      </c>
      <c r="I233" s="226">
        <f t="shared" si="78"/>
        <v>24125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'[32]Sch D'!N22</f>
        <v>100</v>
      </c>
      <c r="D236" s="480"/>
      <c r="E236" s="480"/>
      <c r="F236" s="224">
        <f>C236+E236</f>
        <v>100</v>
      </c>
      <c r="G236" s="627"/>
      <c r="H236" s="224"/>
      <c r="I236" s="224">
        <f>F236+G236+H236</f>
        <v>100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'[32]Sch D'!N24</f>
        <v>100</v>
      </c>
      <c r="D237" s="480"/>
      <c r="E237" s="480"/>
      <c r="F237" s="224">
        <f>C237+E237</f>
        <v>100</v>
      </c>
      <c r="G237" s="627"/>
      <c r="H237" s="224"/>
      <c r="I237" s="224">
        <f>F237+G237+H237</f>
        <v>100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'[32]Sch D'!N28</f>
        <v>36500</v>
      </c>
      <c r="D240" s="427"/>
      <c r="E240" s="427"/>
      <c r="F240" s="223">
        <f>F236*F238</f>
        <v>36500</v>
      </c>
      <c r="G240"/>
      <c r="H240" s="228"/>
      <c r="I240" s="223">
        <f>I236*I238</f>
        <v>36500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'[32]Sch D'!N30</f>
        <v>0.66095890410958902</v>
      </c>
      <c r="D241" s="228"/>
      <c r="E241" s="228"/>
      <c r="F241" s="232">
        <f>F233/F240</f>
        <v>0.66095890410958902</v>
      </c>
      <c r="G241"/>
      <c r="H241" s="233"/>
      <c r="I241" s="232">
        <f>I233/I240</f>
        <v>0.66095890410958902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'[32]Sch D'!N32</f>
        <v>0.34717808219178081</v>
      </c>
      <c r="D242" s="228"/>
      <c r="E242" s="228"/>
      <c r="F242" s="232">
        <f>(F224+F225)/F240</f>
        <v>0.34717808219178081</v>
      </c>
      <c r="G242"/>
      <c r="H242" s="233"/>
      <c r="I242" s="232">
        <f>(I224+I225)/I240</f>
        <v>0.34717808219178081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'[32]Sch D'!N34</f>
        <v>0.52526424870466326</v>
      </c>
      <c r="D243" s="228"/>
      <c r="E243" s="228"/>
      <c r="F243" s="232">
        <f>(F242/F241)</f>
        <v>0.52526424870466326</v>
      </c>
      <c r="G243"/>
      <c r="H243" s="233"/>
      <c r="I243" s="232">
        <f>(I242/I241)</f>
        <v>0.52526424870466326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'[32]Sch B'!C90</f>
        <v>211.47932203389831</v>
      </c>
      <c r="K246" s="460"/>
    </row>
    <row r="247" spans="1:13">
      <c r="H247" s="140" t="s">
        <v>322</v>
      </c>
      <c r="I247" s="480">
        <f>'[32]Sch B'!E90</f>
        <v>211.92328042328043</v>
      </c>
      <c r="K247" s="460"/>
    </row>
    <row r="248" spans="1:13">
      <c r="H248" s="140" t="s">
        <v>323</v>
      </c>
      <c r="I248" s="480">
        <f>'[32]Sch B'!G90</f>
        <v>225.75025278058646</v>
      </c>
      <c r="K248" s="460"/>
    </row>
    <row r="249" spans="1:13">
      <c r="H249" s="140" t="s">
        <v>324</v>
      </c>
      <c r="I249" s="480">
        <f>'[32]Sch B'!I90</f>
        <v>220.55052264808361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28CAB"/>
  </sheetPr>
  <dimension ref="A1:P277"/>
  <sheetViews>
    <sheetView showGridLines="0" topLeftCell="B7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6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72"/>
      <c r="D1" s="472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398</v>
      </c>
      <c r="D2" s="234"/>
      <c r="E2" s="340"/>
    </row>
    <row r="3" spans="1:16" ht="15.5">
      <c r="A3" s="143"/>
      <c r="B3" s="138" t="s">
        <v>71</v>
      </c>
      <c r="C3" s="557">
        <f>'[33]Sch A Pg 1'!B39</f>
        <v>42917</v>
      </c>
      <c r="D3" s="620"/>
      <c r="E3" s="142"/>
      <c r="F3"/>
      <c r="G3"/>
      <c r="H3" s="445"/>
    </row>
    <row r="4" spans="1:16" ht="15.5">
      <c r="A4" s="143"/>
      <c r="B4" s="145" t="s">
        <v>72</v>
      </c>
      <c r="C4" s="557">
        <f>'[33]Sch A Pg 1'!G39</f>
        <v>43281</v>
      </c>
      <c r="D4" s="620"/>
      <c r="E4" s="142"/>
      <c r="F4"/>
      <c r="G4"/>
      <c r="H4" s="445"/>
      <c r="I4" s="147"/>
    </row>
    <row r="5" spans="1:16">
      <c r="A5" s="143"/>
      <c r="B5" s="145"/>
      <c r="C5" s="148"/>
      <c r="D5" s="148"/>
      <c r="E5" s="142"/>
      <c r="H5" s="444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'[33]Sch B'!E10</f>
        <v>793511</v>
      </c>
      <c r="D12" s="480">
        <f>'[33]Sch B'!G10</f>
        <v>-69795</v>
      </c>
      <c r="E12" s="480"/>
      <c r="F12" s="166">
        <f>C12+D12+E12</f>
        <v>723716</v>
      </c>
      <c r="G12" s="626"/>
      <c r="H12" s="166"/>
      <c r="I12" s="166">
        <f>F12+G12+H12</f>
        <v>723716</v>
      </c>
      <c r="J12" s="167">
        <f>IF($I$26=0,0,I12/$I$26)</f>
        <v>0.1108187112116289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'[33]Sch B'!E12</f>
        <v>0</v>
      </c>
      <c r="D13" s="480">
        <f>'[33]Sch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'[33]Sch B'!E13</f>
        <v>16031</v>
      </c>
      <c r="D14" s="480">
        <f>'[33]Sch B'!G13</f>
        <v>-4002</v>
      </c>
      <c r="E14" s="480"/>
      <c r="F14" s="166">
        <f t="shared" si="0"/>
        <v>12029</v>
      </c>
      <c r="G14" s="626"/>
      <c r="H14" s="166"/>
      <c r="I14" s="166">
        <f t="shared" si="1"/>
        <v>12029</v>
      </c>
      <c r="J14" s="167">
        <f>IF($I$26=0,0,I14/$I$26)</f>
        <v>1.8419356172375406E-3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'[33]Sch B'!E14</f>
        <v>0</v>
      </c>
      <c r="D15" s="480">
        <f>'[33]Sch B'!G14</f>
        <v>8176</v>
      </c>
      <c r="E15" s="480"/>
      <c r="F15" s="166">
        <f t="shared" si="0"/>
        <v>8176</v>
      </c>
      <c r="G15" s="626"/>
      <c r="H15" s="166"/>
      <c r="I15" s="166">
        <f t="shared" si="1"/>
        <v>8176</v>
      </c>
      <c r="J15" s="167">
        <f>IF($I$26=0,0,I15/$I$26)</f>
        <v>1.2519465962701913E-3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'[33]Sch B'!E15</f>
        <v>809542</v>
      </c>
      <c r="D16" s="480">
        <f>'[33]Sch B'!G15</f>
        <v>-65621</v>
      </c>
      <c r="E16" s="480"/>
      <c r="F16" s="166">
        <f t="shared" si="0"/>
        <v>743921</v>
      </c>
      <c r="G16" s="626"/>
      <c r="H16" s="166"/>
      <c r="I16" s="166">
        <f>SUM(I12:I15)</f>
        <v>743921</v>
      </c>
      <c r="J16" s="167">
        <f t="shared" ref="J16:J26" si="2">IF($I$26=0,0,I16/$I$26)</f>
        <v>0.11391259342513663</v>
      </c>
      <c r="K16" s="458"/>
      <c r="L16" s="333" t="s">
        <v>325</v>
      </c>
      <c r="M16" s="334">
        <f>I26</f>
        <v>6530630</v>
      </c>
      <c r="O16" s="324">
        <f>IFERROR(I16/I224,0)</f>
        <v>179.60429744084982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'[33]Sch B'!E20</f>
        <v>0</v>
      </c>
      <c r="D17" s="480">
        <f>'[33]Sch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7422917.590407528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'[33]Sch B'!E26</f>
        <v>2183228</v>
      </c>
      <c r="D18" s="480">
        <f>'[33]Sch B'!G26</f>
        <v>0</v>
      </c>
      <c r="E18" s="480"/>
      <c r="F18" s="166">
        <f t="shared" si="0"/>
        <v>2183228</v>
      </c>
      <c r="G18" s="626"/>
      <c r="H18" s="166"/>
      <c r="I18" s="166">
        <f t="shared" si="1"/>
        <v>2183228</v>
      </c>
      <c r="J18" s="167">
        <f t="shared" si="2"/>
        <v>0.33430587860589256</v>
      </c>
      <c r="K18" s="458"/>
      <c r="L18" s="335" t="s">
        <v>327</v>
      </c>
      <c r="M18" s="336">
        <f>I233</f>
        <v>21273</v>
      </c>
      <c r="O18" s="324">
        <f t="shared" si="3"/>
        <v>526.07903614457837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'[33]Sch B'!E32</f>
        <v>1367415</v>
      </c>
      <c r="D19" s="480">
        <f>'[33]Sch B'!G32</f>
        <v>0</v>
      </c>
      <c r="E19" s="480"/>
      <c r="F19" s="166">
        <f t="shared" si="0"/>
        <v>1367415</v>
      </c>
      <c r="G19" s="626"/>
      <c r="H19" s="166"/>
      <c r="I19" s="166">
        <f t="shared" si="1"/>
        <v>1367415</v>
      </c>
      <c r="J19" s="170">
        <f t="shared" si="2"/>
        <v>0.20938485260993198</v>
      </c>
      <c r="K19" s="464"/>
      <c r="L19" s="335" t="s">
        <v>328</v>
      </c>
      <c r="M19" s="336">
        <f>I236</f>
        <v>120</v>
      </c>
      <c r="O19" s="324">
        <f t="shared" si="3"/>
        <v>392.82246480896293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'[33]Sch B'!E37</f>
        <v>0</v>
      </c>
      <c r="D20" s="480">
        <f>'[33]Sch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'[33]Sch B'!E42</f>
        <v>1773424</v>
      </c>
      <c r="D21" s="480">
        <f>'[33]Sch B'!G42</f>
        <v>104619</v>
      </c>
      <c r="E21" s="480"/>
      <c r="F21" s="166">
        <f t="shared" si="0"/>
        <v>1878043</v>
      </c>
      <c r="G21" s="626"/>
      <c r="H21" s="166"/>
      <c r="I21" s="166">
        <f t="shared" si="1"/>
        <v>1878043</v>
      </c>
      <c r="J21" s="167">
        <f t="shared" si="2"/>
        <v>0.28757455253168529</v>
      </c>
      <c r="K21" s="458"/>
      <c r="L21" s="337"/>
      <c r="M21" s="336"/>
      <c r="O21" s="324">
        <f t="shared" si="3"/>
        <v>230.34993254016925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'[33]Sch B'!E47</f>
        <v>142791</v>
      </c>
      <c r="D22" s="480">
        <f>'[33]Sch B'!G47</f>
        <v>-3917.4485596708023</v>
      </c>
      <c r="E22" s="480"/>
      <c r="F22" s="166">
        <f t="shared" si="0"/>
        <v>138873.5514403292</v>
      </c>
      <c r="G22" s="626"/>
      <c r="H22" s="166"/>
      <c r="I22" s="166">
        <f t="shared" si="1"/>
        <v>138873.5514403292</v>
      </c>
      <c r="J22" s="167">
        <f t="shared" si="2"/>
        <v>2.1264954750204682E-2</v>
      </c>
      <c r="K22" s="458"/>
      <c r="L22" s="335" t="s">
        <v>148</v>
      </c>
      <c r="M22" s="336">
        <f>L213</f>
        <v>162954.01803571425</v>
      </c>
      <c r="O22" s="324">
        <f t="shared" si="3"/>
        <v>195.87242798353907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'[33]Sch B'!E52</f>
        <v>0</v>
      </c>
      <c r="D23" s="480">
        <f>'[33]Sch B'!G52</f>
        <v>3917.4485596707814</v>
      </c>
      <c r="E23" s="480"/>
      <c r="F23" s="166">
        <f t="shared" si="0"/>
        <v>3917.4485596707814</v>
      </c>
      <c r="G23" s="626"/>
      <c r="H23" s="166"/>
      <c r="I23" s="166">
        <f t="shared" si="1"/>
        <v>3917.4485596707814</v>
      </c>
      <c r="J23" s="167">
        <f t="shared" si="2"/>
        <v>5.9985767983652136E-4</v>
      </c>
      <c r="K23" s="458"/>
      <c r="L23" s="338" t="s">
        <v>233</v>
      </c>
      <c r="M23" s="339">
        <f>M213</f>
        <v>184281.64517857143</v>
      </c>
      <c r="O23" s="324">
        <f t="shared" si="3"/>
        <v>195.87242798353907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'[33]Sch B'!E57</f>
        <v>254048</v>
      </c>
      <c r="D24" s="480">
        <f>'[33]Sch B'!G57</f>
        <v>0</v>
      </c>
      <c r="E24" s="480"/>
      <c r="F24" s="166">
        <f t="shared" si="0"/>
        <v>254048</v>
      </c>
      <c r="G24" s="626"/>
      <c r="H24" s="166"/>
      <c r="I24" s="166">
        <f t="shared" si="1"/>
        <v>254048</v>
      </c>
      <c r="J24" s="167">
        <f t="shared" si="2"/>
        <v>3.8900994237921913E-2</v>
      </c>
      <c r="K24" s="458"/>
      <c r="L24" s="163"/>
      <c r="M24" s="163"/>
      <c r="O24" s="324">
        <f t="shared" si="3"/>
        <v>411.08090614886731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'[33]Sch B'!E72</f>
        <v>-317434</v>
      </c>
      <c r="D25" s="480">
        <f>'[33]Sch B'!G72</f>
        <v>278618</v>
      </c>
      <c r="E25" s="480"/>
      <c r="F25" s="166">
        <f t="shared" si="0"/>
        <v>-38816</v>
      </c>
      <c r="G25" s="626"/>
      <c r="H25" s="166"/>
      <c r="I25" s="166">
        <f t="shared" si="1"/>
        <v>-38816</v>
      </c>
      <c r="J25" s="167">
        <f t="shared" si="2"/>
        <v>-5.9436838406095585E-3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6213014</v>
      </c>
      <c r="D26" s="480">
        <f t="shared" ref="D26:F26" si="4">SUM(D16:D25)</f>
        <v>317616</v>
      </c>
      <c r="E26" s="480">
        <f t="shared" si="4"/>
        <v>0</v>
      </c>
      <c r="F26" s="166">
        <f t="shared" si="4"/>
        <v>6530630</v>
      </c>
      <c r="G26" s="166">
        <f>SUM(G12:G25)</f>
        <v>0</v>
      </c>
      <c r="H26" s="166">
        <f>SUM(H12:H25)</f>
        <v>0</v>
      </c>
      <c r="I26" s="166">
        <f>SUM(I16:I25)</f>
        <v>6530630</v>
      </c>
      <c r="J26" s="167">
        <f t="shared" si="2"/>
        <v>1</v>
      </c>
      <c r="K26" s="458"/>
      <c r="L26" s="163"/>
      <c r="M26" s="163"/>
      <c r="O26" s="324">
        <f>IFERROR(I26/I233,0)</f>
        <v>306.99149156207397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'[33]Sch C'!D10</f>
        <v>133843</v>
      </c>
      <c r="D30" s="480">
        <f>'[33]Sch C'!F10</f>
        <v>-14886</v>
      </c>
      <c r="E30" s="480">
        <f>+'[33]Sch C'!H10</f>
        <v>0</v>
      </c>
      <c r="F30" s="166">
        <f t="shared" ref="F30:F65" si="5">C30+D30+E30</f>
        <v>118957</v>
      </c>
      <c r="G30" s="626"/>
      <c r="H30" s="166"/>
      <c r="I30" s="166">
        <f t="shared" ref="I30:I65" si="6">F30+G30+H30</f>
        <v>118957</v>
      </c>
      <c r="J30" s="167">
        <f>IF($I$213=0,0,I30/$I$213)</f>
        <v>1.6025639319197819E-2</v>
      </c>
      <c r="K30" s="458"/>
      <c r="L30" s="176">
        <v>2080</v>
      </c>
      <c r="M30" s="176">
        <v>2080</v>
      </c>
      <c r="O30" s="324">
        <f>I30/I$233</f>
        <v>5.5919240351619424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'[33]Sch C'!D11</f>
        <v>0</v>
      </c>
      <c r="D31" s="480">
        <f>'[33]Sch C'!F11</f>
        <v>0</v>
      </c>
      <c r="E31" s="480">
        <f>+'[33]Sch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'[33]Sch C'!D12</f>
        <v>121888</v>
      </c>
      <c r="D32" s="480">
        <f>'[33]Sch C'!F12</f>
        <v>52823.278035620388</v>
      </c>
      <c r="E32" s="480">
        <f>+'[33]Sch C'!H12</f>
        <v>0</v>
      </c>
      <c r="F32" s="166">
        <f t="shared" si="5"/>
        <v>174711.2780356204</v>
      </c>
      <c r="G32" s="626"/>
      <c r="H32" s="166"/>
      <c r="I32" s="166">
        <f t="shared" si="6"/>
        <v>174711.2780356204</v>
      </c>
      <c r="J32" s="167">
        <f t="shared" si="7"/>
        <v>2.353673955122389E-2</v>
      </c>
      <c r="K32" s="458"/>
      <c r="L32" s="176">
        <v>7382.7408928571431</v>
      </c>
      <c r="M32" s="176">
        <v>7976.7994642857157</v>
      </c>
      <c r="O32" s="324">
        <f t="shared" si="8"/>
        <v>8.2128180339218915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'[33]Sch C'!D13</f>
        <v>385793</v>
      </c>
      <c r="D33" s="480">
        <f>'[33]Sch C'!F13</f>
        <v>-357317.72997142898</v>
      </c>
      <c r="E33" s="480">
        <f>+'[33]Sch C'!H13</f>
        <v>-7151</v>
      </c>
      <c r="F33" s="166">
        <f t="shared" si="5"/>
        <v>21324.270028571016</v>
      </c>
      <c r="G33" s="626"/>
      <c r="H33" s="166"/>
      <c r="I33" s="166">
        <f t="shared" si="6"/>
        <v>21324.270028571016</v>
      </c>
      <c r="J33" s="167">
        <f t="shared" si="7"/>
        <v>2.8727612517385208E-3</v>
      </c>
      <c r="K33" s="458"/>
      <c r="L33" s="163"/>
      <c r="M33" s="163"/>
      <c r="O33" s="324">
        <f t="shared" si="8"/>
        <v>1.0024100986495095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'[33]Sch C'!D14</f>
        <v>0</v>
      </c>
      <c r="D34" s="480">
        <f>'[33]Sch C'!F14</f>
        <v>0</v>
      </c>
      <c r="E34" s="480">
        <f>+'[33]Sch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'[33]Sch C'!D15</f>
        <v>0</v>
      </c>
      <c r="D35" s="480">
        <f>'[33]Sch C'!F15</f>
        <v>0</v>
      </c>
      <c r="E35" s="480">
        <f>+'[33]Sch C'!H15</f>
        <v>266005</v>
      </c>
      <c r="F35" s="166">
        <f t="shared" si="5"/>
        <v>266005</v>
      </c>
      <c r="G35" s="626"/>
      <c r="H35" s="166"/>
      <c r="I35" s="166">
        <f t="shared" si="6"/>
        <v>266005</v>
      </c>
      <c r="J35" s="167">
        <f t="shared" si="7"/>
        <v>3.5835639660576638E-2</v>
      </c>
      <c r="K35" s="458"/>
      <c r="L35" s="163"/>
      <c r="M35" s="163"/>
      <c r="O35" s="324">
        <f t="shared" si="8"/>
        <v>12.50434823485169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'[33]Sch C'!D16</f>
        <v>0</v>
      </c>
      <c r="D36" s="480">
        <f>'[33]Sch C'!F16</f>
        <v>0</v>
      </c>
      <c r="E36" s="480">
        <f>+'[33]Sch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'[33]Sch C'!D17</f>
        <v>0</v>
      </c>
      <c r="D37" s="480">
        <f>'[33]Sch C'!F17</f>
        <v>0</v>
      </c>
      <c r="E37" s="480">
        <f>+'[33]Sch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'[33]Sch C'!D18</f>
        <v>18449</v>
      </c>
      <c r="D38" s="480">
        <f>'[33]Sch C'!F18</f>
        <v>0</v>
      </c>
      <c r="E38" s="480">
        <f>+'[33]Sch C'!H18</f>
        <v>0</v>
      </c>
      <c r="F38" s="166">
        <f t="shared" si="5"/>
        <v>18449</v>
      </c>
      <c r="G38" s="626"/>
      <c r="H38" s="166"/>
      <c r="I38" s="166">
        <f t="shared" si="6"/>
        <v>18449</v>
      </c>
      <c r="J38" s="167">
        <f t="shared" si="7"/>
        <v>2.4854108610664403E-3</v>
      </c>
      <c r="K38" s="458"/>
      <c r="L38" s="163"/>
      <c r="M38" s="163"/>
      <c r="O38" s="324">
        <f t="shared" si="8"/>
        <v>0.86724956517651486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'[33]Sch C'!D19</f>
        <v>21705</v>
      </c>
      <c r="D39" s="480">
        <f>'[33]Sch C'!F19</f>
        <v>-1800</v>
      </c>
      <c r="E39" s="480">
        <f>+'[33]Sch C'!H19</f>
        <v>0</v>
      </c>
      <c r="F39" s="166">
        <f t="shared" si="5"/>
        <v>19905</v>
      </c>
      <c r="G39" s="626"/>
      <c r="H39" s="166"/>
      <c r="I39" s="166">
        <f t="shared" si="6"/>
        <v>19905</v>
      </c>
      <c r="J39" s="167">
        <f t="shared" si="7"/>
        <v>2.6815601490339583E-3</v>
      </c>
      <c r="K39" s="458"/>
      <c r="L39" s="163"/>
      <c r="M39" s="163"/>
      <c r="O39" s="324">
        <f t="shared" si="8"/>
        <v>0.93569313213933158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'[33]Sch C'!D20</f>
        <v>18016</v>
      </c>
      <c r="D40" s="480">
        <f>'[33]Sch C'!F20</f>
        <v>-105.34</v>
      </c>
      <c r="E40" s="480">
        <f>+'[33]Sch C'!H20</f>
        <v>0</v>
      </c>
      <c r="F40" s="166">
        <f t="shared" si="5"/>
        <v>17910.66</v>
      </c>
      <c r="G40" s="626"/>
      <c r="H40" s="166"/>
      <c r="I40" s="166">
        <f t="shared" si="6"/>
        <v>17910.66</v>
      </c>
      <c r="J40" s="167">
        <f t="shared" si="7"/>
        <v>2.4128868173271313E-3</v>
      </c>
      <c r="K40" s="458"/>
      <c r="L40" s="163"/>
      <c r="M40" s="163"/>
      <c r="O40" s="324">
        <f t="shared" si="8"/>
        <v>0.84194330841912279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'[33]Sch C'!D21</f>
        <v>1220</v>
      </c>
      <c r="D41" s="480">
        <f>'[33]Sch C'!F21</f>
        <v>0</v>
      </c>
      <c r="E41" s="480">
        <f>+'[33]Sch C'!H21</f>
        <v>5055</v>
      </c>
      <c r="F41" s="166">
        <f t="shared" si="5"/>
        <v>6275</v>
      </c>
      <c r="G41" s="626"/>
      <c r="H41" s="166"/>
      <c r="I41" s="166">
        <f t="shared" si="6"/>
        <v>6275</v>
      </c>
      <c r="J41" s="167">
        <f t="shared" si="7"/>
        <v>8.4535493268968036E-4</v>
      </c>
      <c r="K41" s="458"/>
      <c r="L41" s="163"/>
      <c r="M41" s="163"/>
      <c r="O41" s="324">
        <f t="shared" si="8"/>
        <v>0.2949748507497767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'[33]Sch C'!D22</f>
        <v>0</v>
      </c>
      <c r="D42" s="480">
        <f>'[33]Sch C'!F22</f>
        <v>0</v>
      </c>
      <c r="E42" s="480">
        <f>+'[33]Sch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'[33]Sch C'!D23</f>
        <v>11339</v>
      </c>
      <c r="D43" s="480">
        <f>'[33]Sch C'!F23</f>
        <v>-2653.66</v>
      </c>
      <c r="E43" s="480">
        <f>+'[33]Sch C'!H23</f>
        <v>0</v>
      </c>
      <c r="F43" s="166">
        <f t="shared" si="5"/>
        <v>8685.34</v>
      </c>
      <c r="G43" s="626"/>
      <c r="H43" s="166"/>
      <c r="I43" s="166">
        <f t="shared" si="6"/>
        <v>8685.34</v>
      </c>
      <c r="J43" s="167">
        <f t="shared" si="7"/>
        <v>1.1700709181015122E-3</v>
      </c>
      <c r="K43" s="458"/>
      <c r="L43" s="163"/>
      <c r="M43" s="163"/>
      <c r="O43" s="324">
        <f t="shared" si="8"/>
        <v>0.4082799793165045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'[33]Sch C'!D24</f>
        <v>0</v>
      </c>
      <c r="D44" s="480">
        <f>'[33]Sch C'!F24</f>
        <v>0</v>
      </c>
      <c r="E44" s="480">
        <f>+'[33]Sch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'[33]Sch C'!D25</f>
        <v>0</v>
      </c>
      <c r="D45" s="480">
        <f>'[33]Sch C'!F25</f>
        <v>0</v>
      </c>
      <c r="E45" s="480">
        <f>+'[33]Sch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'[33]Sch C'!D26</f>
        <v>284174</v>
      </c>
      <c r="D46" s="480">
        <f>'[33]Sch C'!F26</f>
        <v>0</v>
      </c>
      <c r="E46" s="480">
        <f>+'[33]Sch C'!H26</f>
        <v>0</v>
      </c>
      <c r="F46" s="166">
        <f t="shared" si="5"/>
        <v>284174</v>
      </c>
      <c r="G46" s="626"/>
      <c r="H46" s="166"/>
      <c r="I46" s="166">
        <f t="shared" si="6"/>
        <v>284174</v>
      </c>
      <c r="J46" s="167">
        <f t="shared" si="7"/>
        <v>3.8283329504726252E-2</v>
      </c>
      <c r="K46" s="458"/>
      <c r="L46" s="163"/>
      <c r="M46" s="163"/>
      <c r="O46" s="324">
        <f t="shared" si="8"/>
        <v>13.358435575612278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'[33]Sch C'!D27</f>
        <v>0</v>
      </c>
      <c r="D47" s="480">
        <f>'[33]Sch C'!F27</f>
        <v>0</v>
      </c>
      <c r="E47" s="480">
        <f>+'[33]Sch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'[33]Sch C'!D28</f>
        <v>0</v>
      </c>
      <c r="D48" s="480">
        <f>'[33]Sch C'!F28</f>
        <v>0</v>
      </c>
      <c r="E48" s="480">
        <f>+'[33]Sch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'[33]Sch C'!D29</f>
        <v>0</v>
      </c>
      <c r="D49" s="480">
        <f>'[33]Sch C'!F29</f>
        <v>0</v>
      </c>
      <c r="E49" s="480">
        <f>+'[33]Sch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'[33]Sch C'!D30</f>
        <v>0</v>
      </c>
      <c r="D50" s="480">
        <f>'[33]Sch C'!F30</f>
        <v>0</v>
      </c>
      <c r="E50" s="480">
        <f>+'[33]Sch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'[33]Sch C'!D31</f>
        <v>62252</v>
      </c>
      <c r="D51" s="480">
        <f>'[33]Sch C'!F31</f>
        <v>-45226</v>
      </c>
      <c r="E51" s="480">
        <f>+'[33]Sch C'!H31</f>
        <v>-17026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'[33]Sch C'!D32</f>
        <v>83469</v>
      </c>
      <c r="D52" s="480">
        <f>'[33]Sch C'!F32</f>
        <v>-12359</v>
      </c>
      <c r="E52" s="480">
        <f>+'[33]Sch C'!H32</f>
        <v>3744</v>
      </c>
      <c r="F52" s="166">
        <f t="shared" si="5"/>
        <v>74854</v>
      </c>
      <c r="G52" s="626"/>
      <c r="H52" s="166"/>
      <c r="I52" s="166">
        <f t="shared" si="6"/>
        <v>74854</v>
      </c>
      <c r="J52" s="167">
        <f t="shared" si="7"/>
        <v>1.0084175001044356E-2</v>
      </c>
      <c r="K52" s="458"/>
      <c r="L52" s="163"/>
      <c r="M52" s="163"/>
      <c r="O52" s="324">
        <f t="shared" si="8"/>
        <v>3.5187326658205236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'[33]Sch C'!D33</f>
        <v>67392</v>
      </c>
      <c r="D53" s="480">
        <f>'[33]Sch C'!F33</f>
        <v>-67392</v>
      </c>
      <c r="E53" s="480">
        <f>+'[33]Sch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'[33]Sch C'!D34</f>
        <v>3400</v>
      </c>
      <c r="D54" s="480">
        <f>'[33]Sch C'!F34</f>
        <v>0</v>
      </c>
      <c r="E54" s="480">
        <f>+'[33]Sch C'!H34</f>
        <v>0</v>
      </c>
      <c r="F54" s="166">
        <f t="shared" si="5"/>
        <v>3400</v>
      </c>
      <c r="G54" s="626"/>
      <c r="H54" s="166"/>
      <c r="I54" s="166">
        <f t="shared" si="6"/>
        <v>3400</v>
      </c>
      <c r="J54" s="167">
        <f t="shared" si="7"/>
        <v>4.5804091970436865E-4</v>
      </c>
      <c r="K54" s="458"/>
      <c r="L54" s="163"/>
      <c r="M54" s="163"/>
      <c r="O54" s="324">
        <f t="shared" si="8"/>
        <v>0.15982701076481926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'[33]Sch C'!D35</f>
        <v>45</v>
      </c>
      <c r="D55" s="480">
        <f>'[33]Sch C'!F35</f>
        <v>-45</v>
      </c>
      <c r="E55" s="480">
        <f>+'[33]Sch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'[33]Sch C'!D36</f>
        <v>0</v>
      </c>
      <c r="D56" s="480">
        <f>'[33]Sch C'!F36</f>
        <v>40852.612778571427</v>
      </c>
      <c r="E56" s="480">
        <f>+'[33]Sch C'!H36</f>
        <v>0</v>
      </c>
      <c r="F56" s="166">
        <f t="shared" si="5"/>
        <v>40852.612778571427</v>
      </c>
      <c r="G56" s="626"/>
      <c r="H56" s="166"/>
      <c r="I56" s="166">
        <f t="shared" si="6"/>
        <v>40852.612778571427</v>
      </c>
      <c r="J56" s="167">
        <f t="shared" si="7"/>
        <v>5.5035789204186175E-3</v>
      </c>
      <c r="K56" s="458"/>
      <c r="L56" s="176">
        <v>2369.235714285714</v>
      </c>
      <c r="M56" s="176">
        <v>2407.2185714285715</v>
      </c>
      <c r="O56" s="324">
        <f t="shared" si="8"/>
        <v>1.9203973477446259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'[33]Sch C'!D37</f>
        <v>0</v>
      </c>
      <c r="D57" s="480">
        <f>'[33]Sch C'!F37</f>
        <v>7083.7193024918251</v>
      </c>
      <c r="E57" s="480">
        <f>+'[33]Sch C'!H37</f>
        <v>0</v>
      </c>
      <c r="F57" s="166">
        <f t="shared" si="5"/>
        <v>7083.7193024918251</v>
      </c>
      <c r="G57" s="626"/>
      <c r="H57" s="166"/>
      <c r="I57" s="166">
        <f t="shared" si="6"/>
        <v>7083.7193024918251</v>
      </c>
      <c r="J57" s="167">
        <f t="shared" si="7"/>
        <v>9.5430391301204248E-4</v>
      </c>
      <c r="K57" s="458"/>
      <c r="L57" s="163"/>
      <c r="M57" s="163"/>
      <c r="O57" s="324">
        <f t="shared" si="8"/>
        <v>0.33299108271009381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'[33]Sch C'!D38</f>
        <v>0</v>
      </c>
      <c r="D58" s="480">
        <f>'[33]Sch C'!F38</f>
        <v>0</v>
      </c>
      <c r="E58" s="480">
        <f>+'[33]Sch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'[33]Sch C'!D39</f>
        <v>5230</v>
      </c>
      <c r="D59" s="480">
        <f>'[33]Sch C'!F39</f>
        <v>0</v>
      </c>
      <c r="E59" s="480">
        <f>+'[33]Sch C'!H39</f>
        <v>0</v>
      </c>
      <c r="F59" s="166">
        <f t="shared" si="5"/>
        <v>5230</v>
      </c>
      <c r="G59" s="626"/>
      <c r="H59" s="166"/>
      <c r="I59" s="166">
        <f t="shared" si="6"/>
        <v>5230</v>
      </c>
      <c r="J59" s="167">
        <f t="shared" si="7"/>
        <v>7.04574708839367E-4</v>
      </c>
      <c r="K59" s="458"/>
      <c r="L59" s="163"/>
      <c r="M59" s="163"/>
      <c r="O59" s="324">
        <f t="shared" si="8"/>
        <v>0.24585154891176608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'[33]Sch C'!D40</f>
        <v>102052</v>
      </c>
      <c r="D60" s="480">
        <f>'[33]Sch C'!F40</f>
        <v>-102052</v>
      </c>
      <c r="E60" s="480">
        <f>+'[33]Sch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'[33]Sch C'!D41</f>
        <v>19</v>
      </c>
      <c r="D61" s="480">
        <f>'[33]Sch C'!F41</f>
        <v>0</v>
      </c>
      <c r="E61" s="480">
        <f>+'[33]Sch C'!H41</f>
        <v>0</v>
      </c>
      <c r="F61" s="166">
        <f t="shared" si="5"/>
        <v>19</v>
      </c>
      <c r="G61" s="626"/>
      <c r="H61" s="166"/>
      <c r="I61" s="166">
        <f t="shared" si="6"/>
        <v>19</v>
      </c>
      <c r="J61" s="167">
        <f t="shared" si="7"/>
        <v>2.5596404336420599E-6</v>
      </c>
      <c r="K61" s="458"/>
      <c r="L61" s="163"/>
      <c r="M61" s="163"/>
      <c r="O61" s="324">
        <f t="shared" si="8"/>
        <v>8.9315094250928405E-4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'[33]Sch C'!D42</f>
        <v>13883</v>
      </c>
      <c r="D62" s="480">
        <f>'[33]Sch C'!F42</f>
        <v>0</v>
      </c>
      <c r="E62" s="480">
        <f>+'[33]Sch C'!H42</f>
        <v>0</v>
      </c>
      <c r="F62" s="166">
        <f t="shared" si="5"/>
        <v>13883</v>
      </c>
      <c r="G62" s="626"/>
      <c r="H62" s="166"/>
      <c r="I62" s="166">
        <f t="shared" si="6"/>
        <v>13883</v>
      </c>
      <c r="J62" s="167">
        <f t="shared" si="7"/>
        <v>1.8702888494869852E-3</v>
      </c>
      <c r="K62" s="458"/>
      <c r="L62" s="163"/>
      <c r="M62" s="163"/>
      <c r="O62" s="324">
        <f t="shared" si="8"/>
        <v>0.65261129130823115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'[33]Sch C'!D43</f>
        <v>21884</v>
      </c>
      <c r="D63" s="480">
        <f>'[33]Sch C'!F43</f>
        <v>0</v>
      </c>
      <c r="E63" s="480">
        <f>+'[33]Sch C'!H43</f>
        <v>0</v>
      </c>
      <c r="F63" s="166">
        <f t="shared" si="5"/>
        <v>21884</v>
      </c>
      <c r="G63" s="626">
        <v>-21884</v>
      </c>
      <c r="H63" s="166"/>
      <c r="I63" s="166">
        <f t="shared" si="6"/>
        <v>0</v>
      </c>
      <c r="J63" s="167">
        <f t="shared" si="7"/>
        <v>0</v>
      </c>
      <c r="K63" s="458" t="s">
        <v>504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'[33]Sch C'!D44</f>
        <v>90</v>
      </c>
      <c r="D64" s="480">
        <f>'[33]Sch C'!F44</f>
        <v>0</v>
      </c>
      <c r="E64" s="480">
        <f>+'[33]Sch C'!H44</f>
        <v>0</v>
      </c>
      <c r="F64" s="166">
        <f t="shared" si="5"/>
        <v>90</v>
      </c>
      <c r="G64" s="626"/>
      <c r="H64" s="166"/>
      <c r="I64" s="166">
        <f t="shared" si="6"/>
        <v>90</v>
      </c>
      <c r="J64" s="167">
        <f t="shared" si="7"/>
        <v>1.2124612580409758E-5</v>
      </c>
      <c r="K64" s="458"/>
      <c r="L64" s="163"/>
      <c r="M64" s="163"/>
      <c r="O64" s="324">
        <f t="shared" si="8"/>
        <v>4.2307149908334509E-3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'[33]Sch C'!D45</f>
        <v>68918</v>
      </c>
      <c r="D65" s="480">
        <f>'[33]Sch C'!F45</f>
        <v>-10639</v>
      </c>
      <c r="E65" s="480">
        <f>+'[33]Sch C'!H45</f>
        <v>0</v>
      </c>
      <c r="F65" s="166">
        <f t="shared" si="5"/>
        <v>58279</v>
      </c>
      <c r="G65" s="626"/>
      <c r="H65" s="166"/>
      <c r="I65" s="166">
        <f t="shared" si="6"/>
        <v>58279</v>
      </c>
      <c r="J65" s="167">
        <f t="shared" si="7"/>
        <v>7.8512255174855595E-3</v>
      </c>
      <c r="K65" s="458"/>
      <c r="L65" s="163"/>
      <c r="M65" s="163"/>
      <c r="O65" s="324">
        <f t="shared" si="8"/>
        <v>2.7395759883420299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1425061</v>
      </c>
      <c r="D66" s="480">
        <f t="shared" si="9"/>
        <v>-513716.11985474534</v>
      </c>
      <c r="E66" s="480">
        <f t="shared" si="9"/>
        <v>250627</v>
      </c>
      <c r="F66" s="166">
        <f t="shared" ref="F66:I66" si="10">SUM(F30:F65)</f>
        <v>1161971.8801452545</v>
      </c>
      <c r="G66" s="166">
        <f t="shared" si="10"/>
        <v>-21884</v>
      </c>
      <c r="H66" s="166">
        <f t="shared" si="10"/>
        <v>0</v>
      </c>
      <c r="I66" s="166">
        <f t="shared" si="10"/>
        <v>1140087.8801452545</v>
      </c>
      <c r="J66" s="178">
        <f t="shared" si="7"/>
        <v>0.15359026504868717</v>
      </c>
      <c r="K66" s="465"/>
      <c r="L66" s="163"/>
      <c r="M66" s="163"/>
      <c r="O66" s="329">
        <f>I66/I$233</f>
        <v>53.593187615533992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 ht="15.5">
      <c r="A68" s="164" t="s">
        <v>154</v>
      </c>
      <c r="B68" s="165" t="s">
        <v>169</v>
      </c>
      <c r="C68" s="160"/>
      <c r="D68" s="160"/>
      <c r="E68" s="160"/>
      <c r="F68" s="160"/>
      <c r="G68" s="160"/>
      <c r="H68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'[33]Sch C'!D57</f>
        <v>533908</v>
      </c>
      <c r="D69" s="480">
        <f>'[33]Sch C'!F57</f>
        <v>0</v>
      </c>
      <c r="E69" s="480">
        <f>+'[33]Sch C'!H57</f>
        <v>-533908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'[33]Sch C'!D58</f>
        <v>0</v>
      </c>
      <c r="D70" s="480">
        <f>'[33]Sch C'!F58</f>
        <v>0</v>
      </c>
      <c r="E70" s="480">
        <f>+'[33]Sch C'!H58</f>
        <v>244471</v>
      </c>
      <c r="F70" s="166">
        <f t="shared" ref="F70:F83" si="13">C70+D70+E70</f>
        <v>244471</v>
      </c>
      <c r="G70" s="626"/>
      <c r="H70" s="166"/>
      <c r="I70" s="166">
        <f t="shared" ref="I70:I83" si="14">F70+G70+H70</f>
        <v>244471</v>
      </c>
      <c r="J70" s="167">
        <f t="shared" si="11"/>
        <v>3.2934624023837268E-2</v>
      </c>
      <c r="K70" s="458"/>
      <c r="L70" s="182"/>
      <c r="M70" s="163"/>
      <c r="O70" s="324">
        <f t="shared" si="12"/>
        <v>11.492079161378273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'[33]Sch C'!D59</f>
        <v>0</v>
      </c>
      <c r="D71" s="480">
        <f>'[33]Sch C'!F59</f>
        <v>0</v>
      </c>
      <c r="E71" s="480">
        <f>+'[33]Sch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'[33]Sch C'!D60</f>
        <v>86092</v>
      </c>
      <c r="D72" s="480">
        <f>'[33]Sch C'!F60</f>
        <v>0</v>
      </c>
      <c r="E72" s="480">
        <f>+'[33]Sch C'!H60</f>
        <v>4699</v>
      </c>
      <c r="F72" s="166">
        <f t="shared" si="13"/>
        <v>90791</v>
      </c>
      <c r="G72" s="626"/>
      <c r="H72" s="166"/>
      <c r="I72" s="166">
        <f t="shared" si="14"/>
        <v>90791</v>
      </c>
      <c r="J72" s="167">
        <f t="shared" si="11"/>
        <v>1.2231174453199803E-2</v>
      </c>
      <c r="K72" s="458"/>
      <c r="L72" s="185"/>
      <c r="M72" s="163"/>
      <c r="O72" s="324">
        <f t="shared" si="12"/>
        <v>4.2678982748084424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'[33]Sch C'!D61</f>
        <v>19238</v>
      </c>
      <c r="D73" s="480">
        <f>'[33]Sch C'!F61</f>
        <v>0</v>
      </c>
      <c r="E73" s="480">
        <f>+'[33]Sch C'!H61</f>
        <v>38021</v>
      </c>
      <c r="F73" s="166">
        <f t="shared" si="13"/>
        <v>57259</v>
      </c>
      <c r="G73" s="626"/>
      <c r="H73" s="166"/>
      <c r="I73" s="166">
        <f t="shared" si="14"/>
        <v>57259</v>
      </c>
      <c r="J73" s="167">
        <f t="shared" si="11"/>
        <v>7.7138132415742484E-3</v>
      </c>
      <c r="K73" s="458"/>
      <c r="L73" s="185"/>
      <c r="M73" s="163"/>
      <c r="O73" s="324">
        <f t="shared" si="12"/>
        <v>2.6916278851125841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'[33]Sch C'!D62</f>
        <v>0</v>
      </c>
      <c r="D74" s="480">
        <f>'[33]Sch C'!F62</f>
        <v>0</v>
      </c>
      <c r="E74" s="480">
        <f>+'[33]Sch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'[33]Sch C'!D63</f>
        <v>0</v>
      </c>
      <c r="D75" s="480">
        <f>'[33]Sch C'!F63</f>
        <v>0</v>
      </c>
      <c r="E75" s="480">
        <f>+'[33]Sch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'[33]Sch C'!D64</f>
        <v>0</v>
      </c>
      <c r="D76" s="480">
        <f>'[33]Sch C'!F64</f>
        <v>0</v>
      </c>
      <c r="E76" s="480">
        <f>+'[33]Sch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'[33]Sch C'!D65</f>
        <v>1476</v>
      </c>
      <c r="D77" s="480">
        <f>'[33]Sch C'!F65</f>
        <v>0</v>
      </c>
      <c r="E77" s="480">
        <f>+'[33]Sch C'!H65</f>
        <v>1376</v>
      </c>
      <c r="F77" s="166">
        <f t="shared" si="13"/>
        <v>2852</v>
      </c>
      <c r="G77" s="626"/>
      <c r="H77" s="166"/>
      <c r="I77" s="166">
        <f t="shared" si="14"/>
        <v>2852</v>
      </c>
      <c r="J77" s="167">
        <f t="shared" si="11"/>
        <v>3.8421550088142919E-4</v>
      </c>
      <c r="K77" s="458"/>
      <c r="L77" s="187"/>
      <c r="M77" s="163"/>
      <c r="O77" s="324">
        <f t="shared" si="12"/>
        <v>0.1340666572650778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'[33]Sch C'!D66</f>
        <v>8724</v>
      </c>
      <c r="D78" s="480">
        <f>'[33]Sch C'!F66</f>
        <v>0</v>
      </c>
      <c r="E78" s="480">
        <f>+'[33]Sch C'!H66</f>
        <v>0</v>
      </c>
      <c r="F78" s="166">
        <f t="shared" si="13"/>
        <v>8724</v>
      </c>
      <c r="G78" s="626"/>
      <c r="H78" s="166"/>
      <c r="I78" s="166">
        <f t="shared" si="14"/>
        <v>8724</v>
      </c>
      <c r="J78" s="167">
        <f t="shared" si="11"/>
        <v>1.1752791127943858E-3</v>
      </c>
      <c r="K78" s="458"/>
      <c r="L78" s="187"/>
      <c r="M78" s="163"/>
      <c r="O78" s="324">
        <f t="shared" si="12"/>
        <v>0.41009730644478914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'[33]Sch C'!D67</f>
        <v>275</v>
      </c>
      <c r="D79" s="480">
        <f>'[33]Sch C'!F67</f>
        <v>0</v>
      </c>
      <c r="E79" s="480">
        <f>+'[33]Sch C'!H67</f>
        <v>73749</v>
      </c>
      <c r="F79" s="166">
        <f t="shared" si="13"/>
        <v>74024</v>
      </c>
      <c r="G79" s="626"/>
      <c r="H79" s="166"/>
      <c r="I79" s="166">
        <f t="shared" si="14"/>
        <v>74024</v>
      </c>
      <c r="J79" s="167">
        <f t="shared" si="11"/>
        <v>9.9723591294694665E-3</v>
      </c>
      <c r="K79" s="458"/>
      <c r="L79" s="187"/>
      <c r="M79" s="163"/>
      <c r="O79" s="324">
        <f t="shared" si="12"/>
        <v>3.4797160720161706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'[33]Sch C'!D68</f>
        <v>19</v>
      </c>
      <c r="D80" s="480">
        <f>'[33]Sch C'!F68</f>
        <v>-86</v>
      </c>
      <c r="E80" s="480">
        <f>+'[33]Sch C'!H68</f>
        <v>152688</v>
      </c>
      <c r="F80" s="166">
        <f t="shared" si="13"/>
        <v>152621</v>
      </c>
      <c r="G80" s="626"/>
      <c r="H80" s="166"/>
      <c r="I80" s="166">
        <f t="shared" si="14"/>
        <v>152621</v>
      </c>
      <c r="J80" s="167">
        <f t="shared" si="11"/>
        <v>2.0560783295941309E-2</v>
      </c>
      <c r="K80" s="458"/>
      <c r="L80" s="187"/>
      <c r="M80" s="163"/>
      <c r="O80" s="324">
        <f t="shared" si="12"/>
        <v>7.1743994735110235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'[33]Sch C'!D69</f>
        <v>438</v>
      </c>
      <c r="D81" s="480">
        <f>'[33]Sch C'!F69</f>
        <v>0</v>
      </c>
      <c r="E81" s="480">
        <f>+'[33]Sch C'!H69</f>
        <v>6820</v>
      </c>
      <c r="F81" s="166">
        <f t="shared" si="13"/>
        <v>7258</v>
      </c>
      <c r="G81" s="626"/>
      <c r="H81" s="166"/>
      <c r="I81" s="166">
        <f t="shared" si="14"/>
        <v>7258</v>
      </c>
      <c r="J81" s="167">
        <f t="shared" si="11"/>
        <v>9.77782645651267E-4</v>
      </c>
      <c r="K81" s="458"/>
      <c r="L81" s="187"/>
      <c r="M81" s="163"/>
      <c r="O81" s="324">
        <f t="shared" si="12"/>
        <v>0.3411836600385465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'[33]Sch C'!D70</f>
        <v>0</v>
      </c>
      <c r="D82" s="480">
        <f>'[33]Sch C'!F70</f>
        <v>0</v>
      </c>
      <c r="E82" s="480">
        <f>+'[33]Sch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'[33]Sch C'!D71</f>
        <v>0</v>
      </c>
      <c r="D83" s="480">
        <f>'[33]Sch C'!F71</f>
        <v>0</v>
      </c>
      <c r="E83" s="480">
        <f>+'[33]Sch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650170</v>
      </c>
      <c r="D84" s="480">
        <f t="shared" si="15"/>
        <v>-86</v>
      </c>
      <c r="E84" s="480">
        <f t="shared" si="15"/>
        <v>-12084</v>
      </c>
      <c r="F84" s="166">
        <f t="shared" ref="F84:I84" si="16">SUM(F69:F83)</f>
        <v>638000</v>
      </c>
      <c r="G84" s="166">
        <f t="shared" si="16"/>
        <v>0</v>
      </c>
      <c r="H84" s="166">
        <f t="shared" si="16"/>
        <v>0</v>
      </c>
      <c r="I84" s="166">
        <f t="shared" si="16"/>
        <v>638000</v>
      </c>
      <c r="J84" s="167">
        <f t="shared" si="11"/>
        <v>8.595003140334917E-2</v>
      </c>
      <c r="K84" s="458"/>
      <c r="L84" s="187"/>
      <c r="M84" s="163"/>
      <c r="O84" s="324">
        <f t="shared" si="12"/>
        <v>29.991068490574907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'[33]Sch C'!D75</f>
        <v>79871</v>
      </c>
      <c r="D87" s="480">
        <f>'[33]Sch C'!F75</f>
        <v>8001.7905682824348</v>
      </c>
      <c r="E87" s="480">
        <f>+'[33]Sch C'!H75</f>
        <v>0</v>
      </c>
      <c r="F87" s="166">
        <f t="shared" ref="F87:F97" si="17">C87+D87+E87</f>
        <v>87872.790568282435</v>
      </c>
      <c r="G87" s="626"/>
      <c r="H87" s="166"/>
      <c r="I87" s="166">
        <f t="shared" ref="I87:I97" si="18">F87+G87+H87</f>
        <v>87872.790568282435</v>
      </c>
      <c r="J87" s="167">
        <f t="shared" ref="J87:J98" si="19">IF($I$213=0,0,I87/$I$213)</f>
        <v>1.1838039355554546E-2</v>
      </c>
      <c r="K87" s="458"/>
      <c r="L87" s="176">
        <v>3270.1750000000002</v>
      </c>
      <c r="M87" s="176">
        <v>3706.5050000000001</v>
      </c>
      <c r="O87" s="324">
        <f t="shared" ref="O87:O97" si="20">I87/I$233</f>
        <v>4.1307192482622304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'[33]Sch C'!D76</f>
        <v>5951</v>
      </c>
      <c r="D88" s="480">
        <f>'[33]Sch C'!F76</f>
        <v>0</v>
      </c>
      <c r="E88" s="480">
        <f>+'[33]Sch C'!H76</f>
        <v>0</v>
      </c>
      <c r="F88" s="166">
        <f t="shared" si="17"/>
        <v>5951</v>
      </c>
      <c r="G88" s="626"/>
      <c r="H88" s="166"/>
      <c r="I88" s="166">
        <f t="shared" si="18"/>
        <v>5951</v>
      </c>
      <c r="J88" s="167">
        <f t="shared" si="19"/>
        <v>8.0170632740020527E-4</v>
      </c>
      <c r="K88" s="458"/>
      <c r="L88" s="163"/>
      <c r="M88" s="163"/>
      <c r="O88" s="324">
        <f t="shared" si="20"/>
        <v>0.2797442767827763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'[33]Sch C'!D77</f>
        <v>7164</v>
      </c>
      <c r="D89" s="480">
        <f>'[33]Sch C'!F77</f>
        <v>0</v>
      </c>
      <c r="E89" s="480">
        <f>+'[33]Sch C'!H77</f>
        <v>12252</v>
      </c>
      <c r="F89" s="166">
        <f t="shared" si="17"/>
        <v>19416</v>
      </c>
      <c r="G89" s="626"/>
      <c r="H89" s="166"/>
      <c r="I89" s="166">
        <f t="shared" si="18"/>
        <v>19416</v>
      </c>
      <c r="J89" s="167">
        <f t="shared" si="19"/>
        <v>2.6156830873470651E-3</v>
      </c>
      <c r="K89" s="458"/>
      <c r="L89" s="163"/>
      <c r="M89" s="163"/>
      <c r="O89" s="324">
        <f t="shared" si="20"/>
        <v>0.91270624735580308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'[33]Sch C'!D78</f>
        <v>0</v>
      </c>
      <c r="D90" s="480">
        <f>'[33]Sch C'!F78</f>
        <v>0</v>
      </c>
      <c r="E90" s="480">
        <f>+'[33]Sch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'[33]Sch C'!D79</f>
        <v>8077</v>
      </c>
      <c r="D91" s="480">
        <f>'[33]Sch C'!F79</f>
        <v>0</v>
      </c>
      <c r="E91" s="480">
        <f>+'[33]Sch C'!H79</f>
        <v>0</v>
      </c>
      <c r="F91" s="166">
        <f t="shared" si="17"/>
        <v>8077</v>
      </c>
      <c r="G91" s="626"/>
      <c r="H91" s="166"/>
      <c r="I91" s="166">
        <f t="shared" si="18"/>
        <v>8077</v>
      </c>
      <c r="J91" s="167">
        <f t="shared" si="19"/>
        <v>1.0881166201329958E-3</v>
      </c>
      <c r="K91" s="458"/>
      <c r="L91" s="163"/>
      <c r="M91" s="163"/>
      <c r="O91" s="324">
        <f t="shared" si="20"/>
        <v>0.37968316645513089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'[33]Sch C'!D80</f>
        <v>0</v>
      </c>
      <c r="D92" s="480">
        <f>'[33]Sch C'!F80</f>
        <v>0</v>
      </c>
      <c r="E92" s="480">
        <f>+'[33]Sch C'!H80</f>
        <v>0</v>
      </c>
      <c r="F92" s="166">
        <f t="shared" si="17"/>
        <v>0</v>
      </c>
      <c r="G92" s="626"/>
      <c r="H92" s="166"/>
      <c r="I92" s="166">
        <f t="shared" si="18"/>
        <v>0</v>
      </c>
      <c r="J92" s="167">
        <f t="shared" si="19"/>
        <v>0</v>
      </c>
      <c r="K92" s="458"/>
      <c r="L92" s="163"/>
      <c r="M92" s="163"/>
      <c r="O92" s="324">
        <f t="shared" si="20"/>
        <v>0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'[33]Sch C'!D81</f>
        <v>0</v>
      </c>
      <c r="D93" s="480">
        <f>'[33]Sch C'!F81</f>
        <v>0</v>
      </c>
      <c r="E93" s="480">
        <f>+'[33]Sch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'[33]Sch C'!D82</f>
        <v>31492</v>
      </c>
      <c r="D94" s="480">
        <f>'[33]Sch C'!F82</f>
        <v>0</v>
      </c>
      <c r="E94" s="480">
        <f>+'[33]Sch C'!H82</f>
        <v>0</v>
      </c>
      <c r="F94" s="166">
        <f t="shared" si="17"/>
        <v>31492</v>
      </c>
      <c r="G94" s="626"/>
      <c r="H94" s="166"/>
      <c r="I94" s="166">
        <f t="shared" si="18"/>
        <v>31492</v>
      </c>
      <c r="J94" s="167">
        <f t="shared" si="19"/>
        <v>4.2425366598029344E-3</v>
      </c>
      <c r="K94" s="458"/>
      <c r="L94" s="163"/>
      <c r="M94" s="163"/>
      <c r="O94" s="324">
        <f t="shared" si="20"/>
        <v>1.480374183236967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'[33]Sch C'!D83</f>
        <v>6683</v>
      </c>
      <c r="D95" s="480">
        <f>'[33]Sch C'!F83</f>
        <v>-654</v>
      </c>
      <c r="E95" s="480">
        <f>+'[33]Sch C'!H83</f>
        <v>0</v>
      </c>
      <c r="F95" s="166">
        <f t="shared" si="17"/>
        <v>6029</v>
      </c>
      <c r="G95" s="626"/>
      <c r="H95" s="166"/>
      <c r="I95" s="166">
        <f t="shared" si="18"/>
        <v>6029</v>
      </c>
      <c r="J95" s="167">
        <f t="shared" si="19"/>
        <v>8.1221432496989367E-4</v>
      </c>
      <c r="K95" s="458"/>
      <c r="L95" s="163"/>
      <c r="M95" s="163"/>
      <c r="O95" s="324">
        <f t="shared" si="20"/>
        <v>0.28341089644149864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'[33]Sch C'!D84</f>
        <v>113183</v>
      </c>
      <c r="D96" s="480">
        <f>'[33]Sch C'!F84</f>
        <v>0</v>
      </c>
      <c r="E96" s="480">
        <f>+'[33]Sch C'!H84</f>
        <v>0</v>
      </c>
      <c r="F96" s="166">
        <f t="shared" si="17"/>
        <v>113183</v>
      </c>
      <c r="G96" s="626"/>
      <c r="H96" s="166"/>
      <c r="I96" s="166">
        <f t="shared" si="18"/>
        <v>113183</v>
      </c>
      <c r="J96" s="167">
        <f t="shared" si="19"/>
        <v>1.5247778063205751E-2</v>
      </c>
      <c r="K96" s="458"/>
      <c r="L96" s="163"/>
      <c r="M96" s="163"/>
      <c r="O96" s="324">
        <f t="shared" si="20"/>
        <v>5.3205001645278056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'[33]Sch C'!D85</f>
        <v>47267</v>
      </c>
      <c r="D97" s="480">
        <f>'[33]Sch C'!F85</f>
        <v>0</v>
      </c>
      <c r="E97" s="480">
        <f>+'[33]Sch C'!H85</f>
        <v>0</v>
      </c>
      <c r="F97" s="166">
        <f t="shared" si="17"/>
        <v>47267</v>
      </c>
      <c r="G97" s="626"/>
      <c r="H97" s="166"/>
      <c r="I97" s="166">
        <f t="shared" si="18"/>
        <v>47267</v>
      </c>
      <c r="J97" s="167">
        <f t="shared" si="19"/>
        <v>6.3677118093136446E-3</v>
      </c>
      <c r="K97" s="458"/>
      <c r="L97" s="163"/>
      <c r="M97" s="163"/>
      <c r="O97" s="324">
        <f t="shared" si="20"/>
        <v>2.2219245052413856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299688</v>
      </c>
      <c r="D98" s="480">
        <f t="shared" si="21"/>
        <v>7347.7905682824348</v>
      </c>
      <c r="E98" s="480">
        <f t="shared" si="21"/>
        <v>12252</v>
      </c>
      <c r="F98" s="166">
        <f t="shared" ref="F98:I98" si="22">SUM(F87:F97)</f>
        <v>319287.79056828242</v>
      </c>
      <c r="G98" s="166">
        <f t="shared" si="22"/>
        <v>0</v>
      </c>
      <c r="H98" s="166">
        <f t="shared" si="22"/>
        <v>0</v>
      </c>
      <c r="I98" s="166">
        <f t="shared" si="22"/>
        <v>319287.79056828242</v>
      </c>
      <c r="J98" s="167">
        <f t="shared" si="19"/>
        <v>4.3013786247727032E-2</v>
      </c>
      <c r="K98" s="458"/>
      <c r="L98" s="163"/>
      <c r="M98" s="163"/>
      <c r="O98" s="329">
        <f>I98/I$233</f>
        <v>15.009062688303597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'[33]Sch C'!D89</f>
        <v>198241</v>
      </c>
      <c r="D101" s="480">
        <f>'[33]Sch C'!F89</f>
        <v>19881.894773522268</v>
      </c>
      <c r="E101" s="480">
        <f>+'[33]Sch C'!H89</f>
        <v>0</v>
      </c>
      <c r="F101" s="166">
        <f t="shared" ref="F101:F106" si="23">C101+D101+E101</f>
        <v>218122.89477352228</v>
      </c>
      <c r="G101" s="626"/>
      <c r="H101" s="166"/>
      <c r="I101" s="166">
        <f t="shared" ref="I101:I106" si="24">F101+G101+H101</f>
        <v>218122.89477352228</v>
      </c>
      <c r="J101" s="167">
        <f t="shared" ref="J101:J107" si="25">IF($I$213=0,0,I101/$I$213)</f>
        <v>2.9385062156071579E-2</v>
      </c>
      <c r="K101" s="458"/>
      <c r="L101" s="176">
        <v>13619.224285714286</v>
      </c>
      <c r="M101" s="176">
        <v>14697.217142857144</v>
      </c>
      <c r="O101" s="329">
        <f t="shared" ref="O101:O106" si="26">I101/I$233</f>
        <v>10.2535088973592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'[33]Sch C'!D90</f>
        <v>16185</v>
      </c>
      <c r="D102" s="480">
        <f>'[33]Sch C'!F90</f>
        <v>-19.39</v>
      </c>
      <c r="E102" s="480">
        <f>+'[33]Sch C'!H90</f>
        <v>0</v>
      </c>
      <c r="F102" s="166">
        <f t="shared" si="23"/>
        <v>16165.61</v>
      </c>
      <c r="G102" s="626"/>
      <c r="H102" s="166"/>
      <c r="I102" s="166">
        <f t="shared" si="24"/>
        <v>16165.61</v>
      </c>
      <c r="J102" s="167">
        <f t="shared" si="25"/>
        <v>2.1777973152888644E-3</v>
      </c>
      <c r="K102" s="458"/>
      <c r="L102" s="163"/>
      <c r="M102" s="163"/>
      <c r="O102" s="329">
        <f t="shared" si="26"/>
        <v>0.75991209514407942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'[33]Sch C'!D91</f>
        <v>19700</v>
      </c>
      <c r="D103" s="480">
        <f>'[33]Sch C'!F91</f>
        <v>0</v>
      </c>
      <c r="E103" s="480">
        <f>+'[33]Sch C'!H91</f>
        <v>0</v>
      </c>
      <c r="F103" s="166">
        <f t="shared" si="23"/>
        <v>19700</v>
      </c>
      <c r="G103" s="626"/>
      <c r="H103" s="166"/>
      <c r="I103" s="166">
        <f t="shared" si="24"/>
        <v>19700</v>
      </c>
      <c r="J103" s="167">
        <f t="shared" si="25"/>
        <v>2.6539429759341359E-3</v>
      </c>
      <c r="K103" s="458"/>
      <c r="L103" s="163"/>
      <c r="M103" s="163"/>
      <c r="O103" s="329">
        <f t="shared" si="26"/>
        <v>0.92605650354909985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'[33]Sch C'!D92</f>
        <v>136748</v>
      </c>
      <c r="D104" s="480">
        <f>'[33]Sch C'!F92</f>
        <v>-2932.1000000000004</v>
      </c>
      <c r="E104" s="480">
        <f>+'[33]Sch C'!H92</f>
        <v>0</v>
      </c>
      <c r="F104" s="166">
        <f t="shared" si="23"/>
        <v>133815.9</v>
      </c>
      <c r="G104" s="626"/>
      <c r="H104" s="166"/>
      <c r="I104" s="166">
        <f t="shared" si="24"/>
        <v>133815.9</v>
      </c>
      <c r="J104" s="167">
        <f t="shared" si="25"/>
        <v>1.8027399384431712E-2</v>
      </c>
      <c r="K104" s="458"/>
      <c r="L104" s="163"/>
      <c r="M104" s="163"/>
      <c r="O104" s="329">
        <f t="shared" si="26"/>
        <v>6.2904103793541104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'[33]Sch C'!D93</f>
        <v>16953</v>
      </c>
      <c r="D105" s="480">
        <f>'[33]Sch C'!F93</f>
        <v>-231.48</v>
      </c>
      <c r="E105" s="480">
        <f>+'[33]Sch C'!H93</f>
        <v>0</v>
      </c>
      <c r="F105" s="166">
        <f t="shared" si="23"/>
        <v>16721.52</v>
      </c>
      <c r="G105" s="626"/>
      <c r="H105" s="166"/>
      <c r="I105" s="166">
        <f t="shared" si="24"/>
        <v>16721.52</v>
      </c>
      <c r="J105" s="167">
        <f t="shared" si="25"/>
        <v>2.2526883528397042E-3</v>
      </c>
      <c r="K105" s="458"/>
      <c r="L105" s="163"/>
      <c r="M105" s="163"/>
      <c r="O105" s="329">
        <f t="shared" si="26"/>
        <v>0.78604428148357075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'[33]Sch C'!D94</f>
        <v>3263</v>
      </c>
      <c r="D106" s="480">
        <f>'[33]Sch C'!F94</f>
        <v>0</v>
      </c>
      <c r="E106" s="480">
        <f>+'[33]Sch C'!H94</f>
        <v>0</v>
      </c>
      <c r="F106" s="166">
        <f t="shared" si="23"/>
        <v>3263</v>
      </c>
      <c r="G106" s="626"/>
      <c r="H106" s="166"/>
      <c r="I106" s="166">
        <f t="shared" si="24"/>
        <v>3263</v>
      </c>
      <c r="J106" s="167">
        <f t="shared" si="25"/>
        <v>4.3958456499863379E-4</v>
      </c>
      <c r="K106" s="458"/>
      <c r="L106" s="163"/>
      <c r="M106" s="163"/>
      <c r="O106" s="329">
        <f t="shared" si="26"/>
        <v>0.15338692238988388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391090</v>
      </c>
      <c r="D107" s="480">
        <f t="shared" si="27"/>
        <v>16698.924773522271</v>
      </c>
      <c r="E107" s="480">
        <f t="shared" si="27"/>
        <v>0</v>
      </c>
      <c r="F107" s="166">
        <f t="shared" ref="F107:I107" si="28">SUM(F101:F106)</f>
        <v>407788.9247735223</v>
      </c>
      <c r="G107" s="166">
        <f t="shared" si="28"/>
        <v>0</v>
      </c>
      <c r="H107" s="166">
        <f t="shared" si="28"/>
        <v>0</v>
      </c>
      <c r="I107" s="166">
        <f t="shared" si="28"/>
        <v>407788.9247735223</v>
      </c>
      <c r="J107" s="167">
        <f t="shared" si="25"/>
        <v>5.4936474749564632E-2</v>
      </c>
      <c r="K107" s="458"/>
      <c r="L107" s="163"/>
      <c r="M107" s="163"/>
      <c r="O107" s="329">
        <f>I107/I$233</f>
        <v>19.169319079279948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'[33]Sch C'!D98</f>
        <v>43183</v>
      </c>
      <c r="D110" s="480">
        <f>'[33]Sch C'!F98</f>
        <v>4326.2425925572534</v>
      </c>
      <c r="E110" s="480">
        <f>+'[33]Sch C'!H98</f>
        <v>0</v>
      </c>
      <c r="F110" s="166">
        <f t="shared" ref="F110:F115" si="29">C110+D110+E110</f>
        <v>47509.242592557253</v>
      </c>
      <c r="G110" s="626"/>
      <c r="H110" s="166"/>
      <c r="I110" s="166">
        <f t="shared" ref="I110:I115" si="30">F110+G110+H110</f>
        <v>47509.242592557253</v>
      </c>
      <c r="J110" s="167">
        <f t="shared" ref="J110:J116" si="31">IF($I$213=0,0,I110/$I$213)</f>
        <v>6.4003462269273202E-3</v>
      </c>
      <c r="K110" s="458"/>
      <c r="L110" s="176">
        <v>2854.2464285714286</v>
      </c>
      <c r="M110" s="176">
        <v>3375.8142857142857</v>
      </c>
      <c r="O110" s="329">
        <f t="shared" ref="O110:O115" si="32">I110/I$233</f>
        <v>2.2333118315497229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'[33]Sch C'!D99</f>
        <v>3882</v>
      </c>
      <c r="D111" s="480">
        <f>'[33]Sch C'!F99</f>
        <v>0</v>
      </c>
      <c r="E111" s="480">
        <f>+'[33]Sch C'!H99</f>
        <v>0</v>
      </c>
      <c r="F111" s="166">
        <f t="shared" si="29"/>
        <v>3882</v>
      </c>
      <c r="G111" s="626"/>
      <c r="H111" s="166"/>
      <c r="I111" s="166">
        <f t="shared" si="30"/>
        <v>3882</v>
      </c>
      <c r="J111" s="167">
        <f t="shared" si="31"/>
        <v>5.2297495596834089E-4</v>
      </c>
      <c r="K111" s="458"/>
      <c r="L111" s="163"/>
      <c r="M111" s="163"/>
      <c r="O111" s="329">
        <f t="shared" si="32"/>
        <v>0.18248483993794951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'[33]Sch C'!D100</f>
        <v>4433</v>
      </c>
      <c r="D112" s="480">
        <f>'[33]Sch C'!F100</f>
        <v>-114.17</v>
      </c>
      <c r="E112" s="480">
        <f>+'[33]Sch C'!H100</f>
        <v>0</v>
      </c>
      <c r="F112" s="166">
        <f t="shared" si="29"/>
        <v>4318.83</v>
      </c>
      <c r="G112" s="626"/>
      <c r="H112" s="166"/>
      <c r="I112" s="166">
        <f t="shared" si="30"/>
        <v>4318.83</v>
      </c>
      <c r="J112" s="167">
        <f t="shared" si="31"/>
        <v>5.8182378389612301E-4</v>
      </c>
      <c r="K112" s="458"/>
      <c r="L112" s="163"/>
      <c r="M112" s="163"/>
      <c r="O112" s="329">
        <f t="shared" si="32"/>
        <v>0.20301932026512481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'[33]Sch C'!D101</f>
        <v>0</v>
      </c>
      <c r="D113" s="480">
        <f>'[33]Sch C'!F101</f>
        <v>0</v>
      </c>
      <c r="E113" s="480">
        <f>+'[33]Sch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'[33]Sch C'!D102</f>
        <v>8273</v>
      </c>
      <c r="D114" s="480">
        <f>'[33]Sch C'!F102</f>
        <v>0</v>
      </c>
      <c r="E114" s="480">
        <f>+'[33]Sch C'!H102</f>
        <v>0</v>
      </c>
      <c r="F114" s="166">
        <f t="shared" si="29"/>
        <v>8273</v>
      </c>
      <c r="G114" s="626"/>
      <c r="H114" s="166"/>
      <c r="I114" s="166">
        <f t="shared" si="30"/>
        <v>8273</v>
      </c>
      <c r="J114" s="167">
        <f t="shared" si="31"/>
        <v>1.1145213319747769E-3</v>
      </c>
      <c r="K114" s="458"/>
      <c r="L114" s="163"/>
      <c r="M114" s="163"/>
      <c r="O114" s="329">
        <f t="shared" si="32"/>
        <v>0.3888967235462793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'[33]Sch C'!D103</f>
        <v>122</v>
      </c>
      <c r="D115" s="480">
        <f>'[33]Sch C'!F103</f>
        <v>0</v>
      </c>
      <c r="E115" s="480">
        <f>+'[33]Sch C'!H103</f>
        <v>0</v>
      </c>
      <c r="F115" s="166">
        <f t="shared" si="29"/>
        <v>122</v>
      </c>
      <c r="G115" s="626"/>
      <c r="H115" s="166"/>
      <c r="I115" s="166">
        <f t="shared" si="30"/>
        <v>122</v>
      </c>
      <c r="J115" s="167">
        <f t="shared" si="31"/>
        <v>1.6435585942333229E-5</v>
      </c>
      <c r="K115" s="458"/>
      <c r="L115" s="163"/>
      <c r="M115" s="163"/>
      <c r="O115" s="329">
        <f t="shared" si="32"/>
        <v>5.7349692097964557E-3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59893</v>
      </c>
      <c r="D116" s="480">
        <f t="shared" si="33"/>
        <v>4212.0725925572533</v>
      </c>
      <c r="E116" s="480">
        <f t="shared" si="33"/>
        <v>0</v>
      </c>
      <c r="F116" s="166">
        <f t="shared" ref="F116:I116" si="34">SUM(F110:F115)</f>
        <v>64105.072592557255</v>
      </c>
      <c r="G116" s="166">
        <f t="shared" si="34"/>
        <v>0</v>
      </c>
      <c r="H116" s="166">
        <f t="shared" si="34"/>
        <v>0</v>
      </c>
      <c r="I116" s="166">
        <f t="shared" si="34"/>
        <v>64105.072592557255</v>
      </c>
      <c r="J116" s="167">
        <f t="shared" si="31"/>
        <v>8.6361018847088949E-3</v>
      </c>
      <c r="K116" s="458"/>
      <c r="L116" s="163"/>
      <c r="M116" s="163"/>
      <c r="O116" s="329">
        <f>I116/I$233</f>
        <v>3.0134476845088729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'[33]Sch C'!D115</f>
        <v>111950</v>
      </c>
      <c r="D119" s="480">
        <f>'[33]Sch C'!F115</f>
        <v>11214.188241680493</v>
      </c>
      <c r="E119" s="480">
        <f>+'[33]Sch C'!H115</f>
        <v>0</v>
      </c>
      <c r="F119" s="166">
        <f t="shared" ref="F119:F123" si="35">C119+D119+E119</f>
        <v>123164.18824168049</v>
      </c>
      <c r="G119" s="626"/>
      <c r="H119" s="166"/>
      <c r="I119" s="166">
        <f t="shared" ref="I119:I123" si="36">F119+G119+H119</f>
        <v>123164.18824168049</v>
      </c>
      <c r="J119" s="167">
        <f t="shared" ref="J119:J124" si="37">IF($I$213=0,0,I119/$I$213)</f>
        <v>1.6592422957900387E-2</v>
      </c>
      <c r="K119" s="458"/>
      <c r="L119" s="176">
        <v>8582.0185714285708</v>
      </c>
      <c r="M119" s="176">
        <v>10136.210714285715</v>
      </c>
      <c r="O119" s="329">
        <f t="shared" ref="O119:O124" si="38">I119/I$233</f>
        <v>5.7896953058656742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'[33]Sch C'!D116</f>
        <v>8865</v>
      </c>
      <c r="D120" s="480">
        <f>'[33]Sch C'!F116</f>
        <v>0</v>
      </c>
      <c r="E120" s="480">
        <f>+'[33]Sch C'!H116</f>
        <v>0</v>
      </c>
      <c r="F120" s="166">
        <f t="shared" si="35"/>
        <v>8865</v>
      </c>
      <c r="G120" s="626"/>
      <c r="H120" s="166"/>
      <c r="I120" s="166">
        <f t="shared" si="36"/>
        <v>8865</v>
      </c>
      <c r="J120" s="167">
        <f t="shared" si="37"/>
        <v>1.1942743391703612E-3</v>
      </c>
      <c r="K120" s="458"/>
      <c r="L120" s="163"/>
      <c r="M120" s="163"/>
      <c r="O120" s="329">
        <f t="shared" si="38"/>
        <v>0.41672542659709488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'[33]Sch C'!D117</f>
        <v>15720</v>
      </c>
      <c r="D121" s="480">
        <f>'[33]Sch C'!F117</f>
        <v>-147.12</v>
      </c>
      <c r="E121" s="480">
        <f>+'[33]Sch C'!H117</f>
        <v>0</v>
      </c>
      <c r="F121" s="166">
        <f t="shared" si="35"/>
        <v>15572.88</v>
      </c>
      <c r="G121" s="626"/>
      <c r="H121" s="166"/>
      <c r="I121" s="166">
        <f t="shared" si="36"/>
        <v>15572.88</v>
      </c>
      <c r="J121" s="167">
        <f t="shared" si="37"/>
        <v>2.097945964013461E-3</v>
      </c>
      <c r="K121" s="458"/>
      <c r="L121" s="163"/>
      <c r="M121" s="163"/>
      <c r="O121" s="329">
        <f t="shared" si="38"/>
        <v>0.7320490762938936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'[33]Sch C'!D118</f>
        <v>0</v>
      </c>
      <c r="D122" s="480">
        <f>'[33]Sch C'!F118</f>
        <v>0</v>
      </c>
      <c r="E122" s="480">
        <f>+'[33]Sch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'[33]Sch C'!D119</f>
        <v>2428</v>
      </c>
      <c r="D123" s="480">
        <f>'[33]Sch C'!F119</f>
        <v>0</v>
      </c>
      <c r="E123" s="480">
        <f>+'[33]Sch C'!H119</f>
        <v>0</v>
      </c>
      <c r="F123" s="166">
        <f t="shared" si="35"/>
        <v>2428</v>
      </c>
      <c r="G123" s="626"/>
      <c r="H123" s="166"/>
      <c r="I123" s="166">
        <f t="shared" si="36"/>
        <v>2428</v>
      </c>
      <c r="J123" s="167">
        <f t="shared" si="37"/>
        <v>3.2709510383594322E-4</v>
      </c>
      <c r="K123" s="458"/>
      <c r="L123" s="163"/>
      <c r="M123" s="163"/>
      <c r="O123" s="329">
        <f t="shared" si="38"/>
        <v>0.11413528886381799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138963</v>
      </c>
      <c r="D124" s="480">
        <f t="shared" si="39"/>
        <v>11067.068241680492</v>
      </c>
      <c r="E124" s="480">
        <f t="shared" si="39"/>
        <v>0</v>
      </c>
      <c r="F124" s="166">
        <f t="shared" ref="F124:I124" si="40">SUM(F119:F123)</f>
        <v>150030.06824168051</v>
      </c>
      <c r="G124" s="166">
        <f t="shared" si="40"/>
        <v>0</v>
      </c>
      <c r="H124" s="166">
        <f t="shared" si="40"/>
        <v>0</v>
      </c>
      <c r="I124" s="166">
        <f t="shared" si="40"/>
        <v>150030.06824168051</v>
      </c>
      <c r="J124" s="167">
        <f t="shared" si="37"/>
        <v>2.0211738364920157E-2</v>
      </c>
      <c r="K124" s="458"/>
      <c r="L124" s="163"/>
      <c r="M124" s="163"/>
      <c r="O124" s="329">
        <f t="shared" si="38"/>
        <v>7.0526050976204813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'[33]Sch C'!D124</f>
        <v>0</v>
      </c>
      <c r="D128" s="480">
        <f>'[33]Sch C'!F124</f>
        <v>0</v>
      </c>
      <c r="E128" s="480">
        <f>+'[33]Sch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'[33]Sch C'!D125</f>
        <v>0</v>
      </c>
      <c r="D129" s="480">
        <f>'[33]Sch C'!F125</f>
        <v>318567.34323335404</v>
      </c>
      <c r="E129" s="480">
        <f>+'[33]Sch C'!H125</f>
        <v>0</v>
      </c>
      <c r="F129" s="166">
        <f t="shared" si="41"/>
        <v>318567.34323335404</v>
      </c>
      <c r="G129" s="626"/>
      <c r="H129" s="166"/>
      <c r="I129" s="166">
        <f t="shared" si="42"/>
        <v>318567.34323335404</v>
      </c>
      <c r="J129" s="167">
        <f>IF($I$213=0,0,I129/$I$213)</f>
        <v>4.2916729083053752E-2</v>
      </c>
      <c r="K129" s="458"/>
      <c r="L129" s="176">
        <v>6839.5435714285722</v>
      </c>
      <c r="M129" s="176">
        <v>7662.4464285714294</v>
      </c>
      <c r="O129" s="329">
        <f t="shared" si="43"/>
        <v>14.975195940081514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'[33]Sch C'!D126</f>
        <v>0</v>
      </c>
      <c r="D130" s="480">
        <f>'[33]Sch C'!F126</f>
        <v>68566.65676664593</v>
      </c>
      <c r="E130" s="480">
        <f>+'[33]Sch C'!H126</f>
        <v>0</v>
      </c>
      <c r="F130" s="166">
        <f t="shared" si="41"/>
        <v>68566.65676664593</v>
      </c>
      <c r="G130" s="626"/>
      <c r="H130" s="166"/>
      <c r="I130" s="166">
        <f t="shared" si="42"/>
        <v>68566.65676664593</v>
      </c>
      <c r="J130" s="167">
        <f>IF($I$213=0,0,I130/$I$213)</f>
        <v>9.2371572136612564E-3</v>
      </c>
      <c r="K130" s="458"/>
      <c r="L130" s="176">
        <v>1857.3192857142856</v>
      </c>
      <c r="M130" s="176">
        <v>2157.8628571428571</v>
      </c>
      <c r="O130" s="329">
        <f t="shared" si="43"/>
        <v>3.223177585044231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'[33]Sch C'!D127</f>
        <v>0</v>
      </c>
      <c r="D131" s="480">
        <f>'[33]Sch C'!F127</f>
        <v>0</v>
      </c>
      <c r="E131" s="480">
        <f>+'[33]Sch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'[33]Sch C'!D128</f>
        <v>493325</v>
      </c>
      <c r="D132" s="480">
        <f>'[33]Sch C'!F128</f>
        <v>-387134</v>
      </c>
      <c r="E132" s="480">
        <f>+'[33]Sch C'!H128</f>
        <v>0</v>
      </c>
      <c r="F132" s="166">
        <f t="shared" si="41"/>
        <v>106191</v>
      </c>
      <c r="G132" s="626"/>
      <c r="H132" s="166"/>
      <c r="I132" s="166">
        <f t="shared" si="42"/>
        <v>106191</v>
      </c>
      <c r="J132" s="167">
        <f>IF($I$213=0,0,I132/$I$213)</f>
        <v>1.4305830383625474E-2</v>
      </c>
      <c r="K132" s="458"/>
      <c r="L132" s="176">
        <v>4700.0771428571425</v>
      </c>
      <c r="M132" s="176">
        <v>6183.0157142857142</v>
      </c>
      <c r="O132" s="329">
        <f t="shared" si="43"/>
        <v>4.9918206176843887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48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'[33]Sch C'!D130</f>
        <v>0</v>
      </c>
      <c r="D134" s="480">
        <f>'[33]Sch C'!F130</f>
        <v>0</v>
      </c>
      <c r="E134" s="480">
        <f>+'[33]Sch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'[33]Sch C'!D131</f>
        <v>0</v>
      </c>
      <c r="D135" s="480">
        <f>'[33]Sch C'!F131</f>
        <v>53972.879289880002</v>
      </c>
      <c r="E135" s="480">
        <f>+'[33]Sch C'!H131</f>
        <v>0</v>
      </c>
      <c r="F135" s="166">
        <f t="shared" si="44"/>
        <v>53972.879289880002</v>
      </c>
      <c r="G135" s="626"/>
      <c r="H135" s="166"/>
      <c r="I135" s="166">
        <f t="shared" si="45"/>
        <v>53972.879289880002</v>
      </c>
      <c r="J135" s="167">
        <f>IF($I$213=0,0,I135/$I$213)</f>
        <v>7.2711139026557375E-3</v>
      </c>
      <c r="K135" s="458"/>
      <c r="L135" s="196"/>
      <c r="M135" s="196"/>
      <c r="O135" s="329">
        <f t="shared" si="43"/>
        <v>2.5371541056682179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'[33]Sch C'!D132</f>
        <v>0</v>
      </c>
      <c r="D136" s="480">
        <f>'[33]Sch C'!F132</f>
        <v>11594.60477391028</v>
      </c>
      <c r="E136" s="480">
        <f>+'[33]Sch C'!H132</f>
        <v>0</v>
      </c>
      <c r="F136" s="166">
        <f t="shared" si="44"/>
        <v>11594.60477391028</v>
      </c>
      <c r="G136" s="626"/>
      <c r="H136" s="166"/>
      <c r="I136" s="166">
        <f t="shared" si="45"/>
        <v>11594.60477391028</v>
      </c>
      <c r="J136" s="167">
        <f>IF($I$213=0,0,I136/$I$213)</f>
        <v>1.5620010100736847E-3</v>
      </c>
      <c r="K136" s="458"/>
      <c r="L136" s="163"/>
      <c r="M136" s="163"/>
      <c r="O136" s="329">
        <f t="shared" si="43"/>
        <v>0.54503853588634799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'[33]Sch C'!D133</f>
        <v>0</v>
      </c>
      <c r="D137" s="480">
        <f>'[33]Sch C'!F133</f>
        <v>-103.22</v>
      </c>
      <c r="E137" s="480">
        <f>+'[33]Sch C'!H133</f>
        <v>0</v>
      </c>
      <c r="F137" s="166">
        <f t="shared" si="44"/>
        <v>-103.22</v>
      </c>
      <c r="G137" s="626"/>
      <c r="H137" s="166"/>
      <c r="I137" s="166">
        <f t="shared" si="45"/>
        <v>-103.22</v>
      </c>
      <c r="J137" s="167">
        <f>IF($I$213=0,0,I137/$I$213)</f>
        <v>-1.3905583450554392E-5</v>
      </c>
      <c r="K137" s="458"/>
      <c r="L137" s="163"/>
      <c r="M137" s="163"/>
      <c r="O137" s="329">
        <f t="shared" si="43"/>
        <v>-4.8521600150425422E-3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'[33]Sch C'!D134</f>
        <v>34818</v>
      </c>
      <c r="D138" s="480">
        <f>'[33]Sch C'!F134</f>
        <v>-16051.368428635174</v>
      </c>
      <c r="E138" s="480">
        <f>+'[33]Sch C'!H134</f>
        <v>0</v>
      </c>
      <c r="F138" s="166">
        <f t="shared" si="44"/>
        <v>18766.631571364826</v>
      </c>
      <c r="G138" s="626"/>
      <c r="H138" s="166"/>
      <c r="I138" s="166">
        <f t="shared" si="45"/>
        <v>18766.631571364826</v>
      </c>
      <c r="J138" s="167">
        <f>IF($I$213=0,0,I138/$I$213)</f>
        <v>2.5282015249120547E-3</v>
      </c>
      <c r="K138" s="458"/>
      <c r="L138" s="163"/>
      <c r="M138" s="163"/>
      <c r="O138" s="329">
        <f t="shared" si="43"/>
        <v>0.88218077240468318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'[33]Sch C'!D136</f>
        <v>0</v>
      </c>
      <c r="D140" s="480">
        <f>'[33]Sch C'!F136</f>
        <v>645923.24450613477</v>
      </c>
      <c r="E140" s="480">
        <f>+'[33]Sch C'!H136</f>
        <v>0</v>
      </c>
      <c r="F140" s="166">
        <f t="shared" ref="F140:F143" si="46">C140+D140+E140</f>
        <v>645923.24450613477</v>
      </c>
      <c r="G140" s="626"/>
      <c r="H140" s="166"/>
      <c r="I140" s="166">
        <f t="shared" ref="I140:I143" si="47">F140+G140+H140</f>
        <v>645923.24450613477</v>
      </c>
      <c r="J140" s="167">
        <f>IF($I$213=0,0,I140/$I$213)</f>
        <v>8.7017434403535224E-2</v>
      </c>
      <c r="K140" s="458"/>
      <c r="L140" s="176">
        <v>20045.509285714284</v>
      </c>
      <c r="M140" s="176">
        <v>22177.467142857146</v>
      </c>
      <c r="O140" s="329">
        <f t="shared" si="43"/>
        <v>30.363523927332054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'[33]Sch C'!D137</f>
        <v>0</v>
      </c>
      <c r="D141" s="480">
        <f>'[33]Sch C'!F137</f>
        <v>500926.80637055694</v>
      </c>
      <c r="E141" s="480">
        <f>+'[33]Sch C'!H137</f>
        <v>0</v>
      </c>
      <c r="F141" s="166">
        <f t="shared" si="46"/>
        <v>500926.80637055694</v>
      </c>
      <c r="G141" s="626"/>
      <c r="H141" s="166"/>
      <c r="I141" s="166">
        <f t="shared" si="47"/>
        <v>500926.80637055694</v>
      </c>
      <c r="J141" s="167">
        <f>IF($I$213=0,0,I141/$I$213)</f>
        <v>6.7483816204277083E-2</v>
      </c>
      <c r="K141" s="458"/>
      <c r="L141" s="176">
        <v>12474.550714285713</v>
      </c>
      <c r="M141" s="176">
        <v>13986.606428571427</v>
      </c>
      <c r="O141" s="329">
        <f t="shared" si="43"/>
        <v>23.54753943358045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'[33]Sch C'!D138</f>
        <v>0</v>
      </c>
      <c r="D142" s="480">
        <f>'[33]Sch C'!F138</f>
        <v>899719.6303267976</v>
      </c>
      <c r="E142" s="480">
        <f>+'[33]Sch C'!H138</f>
        <v>0</v>
      </c>
      <c r="F142" s="166">
        <f t="shared" si="46"/>
        <v>899719.6303267976</v>
      </c>
      <c r="G142" s="626"/>
      <c r="H142" s="166"/>
      <c r="I142" s="166">
        <f t="shared" si="47"/>
        <v>899719.6303267976</v>
      </c>
      <c r="J142" s="167">
        <f>IF($I$213=0,0,I142/$I$213)</f>
        <v>0.12120835498557675</v>
      </c>
      <c r="K142" s="458"/>
      <c r="L142" s="176">
        <v>46358.997857142858</v>
      </c>
      <c r="M142" s="176">
        <v>53547.446428571428</v>
      </c>
      <c r="O142" s="329">
        <f t="shared" si="43"/>
        <v>42.293970306341258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'[33]Sch C'!D139</f>
        <v>2054632</v>
      </c>
      <c r="D143" s="480">
        <f>'[33]Sch C'!F139</f>
        <v>-2052491.6812034894</v>
      </c>
      <c r="E143" s="480">
        <f>+'[33]Sch C'!H139</f>
        <v>0</v>
      </c>
      <c r="F143" s="166">
        <f t="shared" si="46"/>
        <v>2140.3187965105753</v>
      </c>
      <c r="G143" s="626"/>
      <c r="H143" s="166"/>
      <c r="I143" s="166">
        <f t="shared" si="47"/>
        <v>2140.3187965105753</v>
      </c>
      <c r="J143" s="167">
        <f>IF($I$213=0,0,I143/$I$213)</f>
        <v>2.8833929118066213E-4</v>
      </c>
      <c r="K143" s="458"/>
      <c r="L143" s="176">
        <v>4681.3542857142857</v>
      </c>
      <c r="M143" s="176">
        <v>5169.8171428571432</v>
      </c>
      <c r="O143" s="329">
        <f t="shared" si="43"/>
        <v>0.10061198686177668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'[33]Sch C'!D141</f>
        <v>0</v>
      </c>
      <c r="D145" s="480">
        <f>'[33]Sch C'!F141</f>
        <v>128697.99726766367</v>
      </c>
      <c r="E145" s="480">
        <f>+'[33]Sch C'!H141</f>
        <v>0</v>
      </c>
      <c r="F145" s="166">
        <f t="shared" ref="F145:F148" si="48">C145+D145+E145</f>
        <v>128697.99726766367</v>
      </c>
      <c r="G145" s="626"/>
      <c r="H145" s="166"/>
      <c r="I145" s="166">
        <f t="shared" ref="I145:I148" si="49">F145+G145+H145</f>
        <v>128697.99726766367</v>
      </c>
      <c r="J145" s="167">
        <f>IF($I$213=0,0,I145/$I$213)</f>
        <v>1.7337926186056174E-2</v>
      </c>
      <c r="K145" s="458"/>
      <c r="L145" s="163"/>
      <c r="M145" s="163"/>
      <c r="O145" s="329">
        <f t="shared" si="43"/>
        <v>6.0498282925616351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'[33]Sch C'!D142</f>
        <v>0</v>
      </c>
      <c r="D146" s="480">
        <f>'[33]Sch C'!F142</f>
        <v>79909.526321944693</v>
      </c>
      <c r="E146" s="480">
        <f>+'[33]Sch C'!H142</f>
        <v>0</v>
      </c>
      <c r="F146" s="166">
        <f t="shared" si="48"/>
        <v>79909.526321944693</v>
      </c>
      <c r="G146" s="626"/>
      <c r="H146" s="166"/>
      <c r="I146" s="166">
        <f t="shared" si="49"/>
        <v>79909.526321944693</v>
      </c>
      <c r="J146" s="167">
        <f>IF($I$213=0,0,I146/$I$213)</f>
        <v>1.0765244979307059E-2</v>
      </c>
      <c r="K146" s="458"/>
      <c r="L146" s="163"/>
      <c r="M146" s="163"/>
      <c r="O146" s="329">
        <f t="shared" si="43"/>
        <v>3.7563825657850183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'[33]Sch C'!D143</f>
        <v>0</v>
      </c>
      <c r="D147" s="480">
        <f>'[33]Sch C'!F143</f>
        <v>152368.6180604134</v>
      </c>
      <c r="E147" s="480">
        <f>+'[33]Sch C'!H143</f>
        <v>0</v>
      </c>
      <c r="F147" s="166">
        <f t="shared" si="48"/>
        <v>152368.6180604134</v>
      </c>
      <c r="G147" s="626"/>
      <c r="H147" s="166"/>
      <c r="I147" s="166">
        <f t="shared" si="49"/>
        <v>152368.6180604134</v>
      </c>
      <c r="J147" s="167">
        <f>IF($I$213=0,0,I147/$I$213)</f>
        <v>2.0526782926610421E-2</v>
      </c>
      <c r="K147" s="458"/>
      <c r="L147" s="163"/>
      <c r="M147" s="163"/>
      <c r="O147" s="329">
        <f t="shared" si="43"/>
        <v>7.1625355173418601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'[33]Sch C'!D144</f>
        <v>161724</v>
      </c>
      <c r="D148" s="480">
        <f>'[33]Sch C'!F144</f>
        <v>-155137.32408175926</v>
      </c>
      <c r="E148" s="480">
        <f>+'[33]Sch C'!H144</f>
        <v>0</v>
      </c>
      <c r="F148" s="166">
        <f t="shared" si="48"/>
        <v>6586.6759182407404</v>
      </c>
      <c r="G148" s="626"/>
      <c r="H148" s="166"/>
      <c r="I148" s="166">
        <f t="shared" si="49"/>
        <v>6586.6759182407404</v>
      </c>
      <c r="J148" s="167">
        <f>IF($I$213=0,0,I148/$I$213)</f>
        <v>8.873432633487075E-4</v>
      </c>
      <c r="K148" s="458"/>
      <c r="L148" s="163"/>
      <c r="M148" s="163"/>
      <c r="O148" s="329">
        <f t="shared" si="43"/>
        <v>0.30962609496736426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'[33]Sch C'!D146</f>
        <v>0</v>
      </c>
      <c r="D150" s="480">
        <f>'[33]Sch C'!F146</f>
        <v>43000</v>
      </c>
      <c r="E150" s="480">
        <f>+'[33]Sch C'!H146</f>
        <v>0</v>
      </c>
      <c r="F150" s="166">
        <f t="shared" ref="F150:F158" si="50">C150+D150+E150</f>
        <v>43000</v>
      </c>
      <c r="G150" s="626"/>
      <c r="H150" s="166"/>
      <c r="I150" s="166">
        <f t="shared" ref="I150:I158" si="51">F150+G150+H150</f>
        <v>43000</v>
      </c>
      <c r="J150" s="167">
        <f t="shared" ref="J150:J158" si="52">IF($I$213=0,0,I150/$I$213)</f>
        <v>5.7928704550846621E-3</v>
      </c>
      <c r="K150" s="458"/>
      <c r="L150" s="176">
        <v>245.71428571428572</v>
      </c>
      <c r="M150" s="176">
        <v>245.71428571428572</v>
      </c>
      <c r="O150" s="329">
        <f t="shared" si="43"/>
        <v>2.0213416067315375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'[33]Sch C'!D147</f>
        <v>0</v>
      </c>
      <c r="D151" s="480">
        <f>'[33]Sch C'!F147</f>
        <v>937</v>
      </c>
      <c r="E151" s="480">
        <f>+'[33]Sch C'!H147</f>
        <v>0</v>
      </c>
      <c r="F151" s="166">
        <f t="shared" si="50"/>
        <v>937</v>
      </c>
      <c r="G151" s="626"/>
      <c r="H151" s="166"/>
      <c r="I151" s="166">
        <f t="shared" si="51"/>
        <v>937</v>
      </c>
      <c r="J151" s="167">
        <f t="shared" si="52"/>
        <v>1.262306887538216E-4</v>
      </c>
      <c r="K151" s="458"/>
      <c r="L151" s="176">
        <v>17.8</v>
      </c>
      <c r="M151" s="176">
        <v>17.8</v>
      </c>
      <c r="O151" s="329">
        <f t="shared" si="43"/>
        <v>4.4046443849010485E-2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'[33]Sch C'!D148</f>
        <v>0</v>
      </c>
      <c r="D152" s="480">
        <f>'[33]Sch C'!F148</f>
        <v>0</v>
      </c>
      <c r="E152" s="480">
        <f>+'[33]Sch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'[33]Sch C'!D149</f>
        <v>0</v>
      </c>
      <c r="D153" s="480">
        <f>'[33]Sch C'!F149</f>
        <v>0</v>
      </c>
      <c r="E153" s="480">
        <f>+'[33]Sch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'[33]Sch C'!D150</f>
        <v>44327</v>
      </c>
      <c r="D154" s="480">
        <f>'[33]Sch C'!F150</f>
        <v>-43937</v>
      </c>
      <c r="E154" s="480">
        <f>+'[33]Sch C'!H150</f>
        <v>0</v>
      </c>
      <c r="F154" s="166">
        <f t="shared" si="50"/>
        <v>390</v>
      </c>
      <c r="G154" s="626"/>
      <c r="H154" s="166"/>
      <c r="I154" s="166">
        <f t="shared" si="51"/>
        <v>390</v>
      </c>
      <c r="J154" s="167">
        <f t="shared" si="52"/>
        <v>5.2539987848442281E-5</v>
      </c>
      <c r="K154" s="458"/>
      <c r="L154" s="176">
        <v>6.5</v>
      </c>
      <c r="M154" s="176">
        <v>6.5</v>
      </c>
      <c r="O154" s="329">
        <f t="shared" si="43"/>
        <v>1.833309829361162E-2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'[33]Sch C'!D151</f>
        <v>227244</v>
      </c>
      <c r="D155" s="480">
        <f>'[33]Sch C'!F151</f>
        <v>-836.53</v>
      </c>
      <c r="E155" s="480">
        <f>+'[33]Sch C'!H151</f>
        <v>0</v>
      </c>
      <c r="F155" s="166">
        <f t="shared" si="50"/>
        <v>226407.47</v>
      </c>
      <c r="G155" s="626"/>
      <c r="H155" s="166"/>
      <c r="I155" s="166">
        <f t="shared" si="51"/>
        <v>226407.47</v>
      </c>
      <c r="J155" s="167">
        <f t="shared" si="52"/>
        <v>3.0501142878452722E-2</v>
      </c>
      <c r="K155" s="458"/>
      <c r="L155" s="163"/>
      <c r="M155" s="163"/>
      <c r="O155" s="329">
        <f t="shared" si="43"/>
        <v>10.642949748507498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'[33]Sch C'!D152</f>
        <v>8275</v>
      </c>
      <c r="D156" s="480">
        <f>'[33]Sch C'!F152</f>
        <v>0</v>
      </c>
      <c r="E156" s="480">
        <f>+'[33]Sch C'!H152</f>
        <v>0</v>
      </c>
      <c r="F156" s="166">
        <f t="shared" si="50"/>
        <v>8275</v>
      </c>
      <c r="G156" s="626"/>
      <c r="H156" s="166"/>
      <c r="I156" s="166">
        <f t="shared" si="51"/>
        <v>8275</v>
      </c>
      <c r="J156" s="167">
        <f t="shared" si="52"/>
        <v>1.1147907678098971E-3</v>
      </c>
      <c r="K156" s="458"/>
      <c r="L156" s="163"/>
      <c r="M156" s="163"/>
      <c r="O156" s="329">
        <f t="shared" si="43"/>
        <v>0.38899073943496448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'[33]Sch C'!D153</f>
        <v>0</v>
      </c>
      <c r="D157" s="480">
        <f>'[33]Sch C'!F153</f>
        <v>0</v>
      </c>
      <c r="E157" s="480">
        <f>+'[33]Sch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'[33]Sch C'!D154</f>
        <v>5275</v>
      </c>
      <c r="D158" s="480">
        <f>'[33]Sch C'!F154</f>
        <v>0</v>
      </c>
      <c r="E158" s="480">
        <f>+'[33]Sch C'!H154</f>
        <v>0</v>
      </c>
      <c r="F158" s="166">
        <f t="shared" si="50"/>
        <v>5275</v>
      </c>
      <c r="G158" s="626"/>
      <c r="H158" s="166"/>
      <c r="I158" s="166">
        <f t="shared" si="51"/>
        <v>5275</v>
      </c>
      <c r="J158" s="167">
        <f t="shared" si="52"/>
        <v>7.1063701512957193E-4</v>
      </c>
      <c r="K158" s="458"/>
      <c r="L158" s="163"/>
      <c r="M158" s="163"/>
      <c r="O158" s="329">
        <f t="shared" si="43"/>
        <v>0.2479669064071828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'[33]Sch C'!D156</f>
        <v>0</v>
      </c>
      <c r="D160" s="480">
        <f>'[33]Sch C'!F156</f>
        <v>0</v>
      </c>
      <c r="E160" s="480">
        <f>+'[33]Sch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'[33]Sch C'!D157</f>
        <v>0</v>
      </c>
      <c r="D161" s="480">
        <f>'[33]Sch C'!F157</f>
        <v>5922</v>
      </c>
      <c r="E161" s="480">
        <f>+'[33]Sch C'!H157</f>
        <v>0</v>
      </c>
      <c r="F161" s="166">
        <f t="shared" si="53"/>
        <v>5922</v>
      </c>
      <c r="G161" s="626"/>
      <c r="H161" s="166"/>
      <c r="I161" s="166">
        <f t="shared" si="54"/>
        <v>5922</v>
      </c>
      <c r="J161" s="167">
        <f t="shared" si="55"/>
        <v>7.9779950779096203E-4</v>
      </c>
      <c r="K161" s="458"/>
      <c r="L161" s="163"/>
      <c r="M161" s="163"/>
      <c r="O161" s="329">
        <f t="shared" si="43"/>
        <v>0.27838104639684108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'[33]Sch C'!D158</f>
        <v>0</v>
      </c>
      <c r="D162" s="480">
        <f>'[33]Sch C'!F158</f>
        <v>0</v>
      </c>
      <c r="E162" s="480">
        <f>+'[33]Sch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'[33]Sch C'!D159</f>
        <v>0</v>
      </c>
      <c r="D163" s="480">
        <f>'[33]Sch C'!F159</f>
        <v>0</v>
      </c>
      <c r="E163" s="480">
        <f>+'[33]Sch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'[33]Sch C'!D160</f>
        <v>0</v>
      </c>
      <c r="D164" s="480">
        <f>'[33]Sch C'!F160</f>
        <v>-5900</v>
      </c>
      <c r="E164" s="480">
        <f>+'[33]Sch C'!H160</f>
        <v>0</v>
      </c>
      <c r="F164" s="166">
        <f t="shared" si="53"/>
        <v>-5900</v>
      </c>
      <c r="G164" s="626"/>
      <c r="H164" s="166"/>
      <c r="I164" s="166">
        <f t="shared" si="54"/>
        <v>-5900</v>
      </c>
      <c r="J164" s="167">
        <f>IF($I$213=0,0,I164/$I$213)</f>
        <v>-7.9483571360463971E-4</v>
      </c>
      <c r="K164" s="458"/>
      <c r="L164" s="163"/>
      <c r="M164" s="163"/>
      <c r="O164" s="329">
        <f t="shared" si="43"/>
        <v>-0.277346871621304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'[33]Sch C'!D161</f>
        <v>11939</v>
      </c>
      <c r="D165" s="480">
        <f>'[33]Sch C'!F161</f>
        <v>-208</v>
      </c>
      <c r="E165" s="480">
        <f>+'[33]Sch C'!H161</f>
        <v>0</v>
      </c>
      <c r="F165" s="166">
        <f t="shared" si="53"/>
        <v>11731</v>
      </c>
      <c r="G165" s="626"/>
      <c r="H165" s="166"/>
      <c r="I165" s="166">
        <f t="shared" si="54"/>
        <v>11731</v>
      </c>
      <c r="J165" s="167">
        <f t="shared" si="55"/>
        <v>1.5803758908976319E-3</v>
      </c>
      <c r="K165" s="458"/>
      <c r="L165" s="163"/>
      <c r="M165" s="163"/>
      <c r="O165" s="329">
        <f t="shared" si="43"/>
        <v>0.551450195082969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3041559</v>
      </c>
      <c r="D166" s="480">
        <f t="shared" si="56"/>
        <v>248307.18320341778</v>
      </c>
      <c r="E166" s="480">
        <f t="shared" si="56"/>
        <v>0</v>
      </c>
      <c r="F166" s="166">
        <f t="shared" ref="F166:I166" si="57">SUM(F128:F165)</f>
        <v>3289866.1832034173</v>
      </c>
      <c r="G166" s="166">
        <f t="shared" si="57"/>
        <v>0</v>
      </c>
      <c r="H166" s="166">
        <f t="shared" si="57"/>
        <v>0</v>
      </c>
      <c r="I166" s="166">
        <f t="shared" si="57"/>
        <v>3289866.1832034173</v>
      </c>
      <c r="J166" s="167">
        <f t="shared" si="55"/>
        <v>0.44320392125258651</v>
      </c>
      <c r="K166" s="458"/>
      <c r="L166" s="163"/>
      <c r="M166" s="163"/>
      <c r="O166" s="329">
        <f>I166/I$233</f>
        <v>154.64984643460807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'[33]Sch C'!D175</f>
        <v>0</v>
      </c>
      <c r="D169" s="480">
        <f>'[33]Sch C'!F175</f>
        <v>0</v>
      </c>
      <c r="E169" s="480">
        <f>+'[33]Sch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'[33]Sch C'!D176</f>
        <v>0</v>
      </c>
      <c r="D170" s="480">
        <f>'[33]Sch C'!F176</f>
        <v>0</v>
      </c>
      <c r="E170" s="480">
        <f>+'[33]Sch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'[33]Sch C'!D177</f>
        <v>322060</v>
      </c>
      <c r="D171" s="480">
        <f>'[33]Sch C'!F177</f>
        <v>32298.032556345628</v>
      </c>
      <c r="E171" s="480">
        <f>+'[33]Sch C'!H177</f>
        <v>0</v>
      </c>
      <c r="F171" s="166">
        <f t="shared" si="58"/>
        <v>354358.03255634563</v>
      </c>
      <c r="G171" s="626"/>
      <c r="H171" s="166"/>
      <c r="I171" s="166">
        <f t="shared" si="59"/>
        <v>354358.03255634563</v>
      </c>
      <c r="J171" s="167">
        <f t="shared" si="60"/>
        <v>4.7738376216687986E-2</v>
      </c>
      <c r="K171" s="468"/>
      <c r="L171" s="176">
        <v>8735.6228571428564</v>
      </c>
      <c r="M171" s="176">
        <v>9786.8471428571429</v>
      </c>
      <c r="O171" s="329">
        <f t="shared" si="61"/>
        <v>16.657642671759771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'[33]Sch C'!D178</f>
        <v>25863</v>
      </c>
      <c r="D172" s="480">
        <f>'[33]Sch C'!F178</f>
        <v>-29.81</v>
      </c>
      <c r="E172" s="480">
        <f>+'[33]Sch C'!H178</f>
        <v>0</v>
      </c>
      <c r="F172" s="166">
        <f t="shared" si="58"/>
        <v>25833.19</v>
      </c>
      <c r="G172" s="626"/>
      <c r="H172" s="166"/>
      <c r="I172" s="166">
        <f t="shared" si="59"/>
        <v>25833.19</v>
      </c>
      <c r="J172" s="167">
        <f t="shared" si="60"/>
        <v>3.4801935607346171E-3</v>
      </c>
      <c r="K172" s="469"/>
      <c r="L172" s="212"/>
      <c r="M172" s="212"/>
      <c r="O172" s="329">
        <f t="shared" si="61"/>
        <v>1.2143651577116532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'[33]Sch C'!D179</f>
        <v>59557</v>
      </c>
      <c r="D173" s="480">
        <f>'[33]Sch C'!F179</f>
        <v>5956.8846076166637</v>
      </c>
      <c r="E173" s="480">
        <f>+'[33]Sch C'!H179</f>
        <v>0</v>
      </c>
      <c r="F173" s="166">
        <f t="shared" si="58"/>
        <v>65513.884607616666</v>
      </c>
      <c r="G173" s="626"/>
      <c r="H173" s="166"/>
      <c r="I173" s="166">
        <f t="shared" si="59"/>
        <v>65513.884607616666</v>
      </c>
      <c r="J173" s="167">
        <f t="shared" si="60"/>
        <v>8.8258941056113573E-3</v>
      </c>
      <c r="K173" s="468"/>
      <c r="L173" s="176">
        <v>1378.3228571428572</v>
      </c>
      <c r="M173" s="176">
        <v>1598.8214285714284</v>
      </c>
      <c r="O173" s="329">
        <f t="shared" si="61"/>
        <v>3.0796730413019633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'[33]Sch C'!D180</f>
        <v>4578</v>
      </c>
      <c r="D174" s="480">
        <f>'[33]Sch C'!F180</f>
        <v>8.8800000000000008</v>
      </c>
      <c r="E174" s="480">
        <f>+'[33]Sch C'!H180</f>
        <v>0</v>
      </c>
      <c r="F174" s="166">
        <f t="shared" si="58"/>
        <v>4586.88</v>
      </c>
      <c r="G174" s="626"/>
      <c r="H174" s="166"/>
      <c r="I174" s="166">
        <f t="shared" si="59"/>
        <v>4586.88</v>
      </c>
      <c r="J174" s="167">
        <f t="shared" si="60"/>
        <v>6.1793492169811008E-4</v>
      </c>
      <c r="K174" s="469"/>
      <c r="L174" s="212"/>
      <c r="M174" s="212"/>
      <c r="O174" s="329">
        <f t="shared" si="61"/>
        <v>0.21561979974615711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'[33]Sch C'!D181</f>
        <v>0</v>
      </c>
      <c r="D175" s="480">
        <f>'[33]Sch C'!F181</f>
        <v>0</v>
      </c>
      <c r="E175" s="480">
        <f>+'[33]Sch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'[33]Sch C'!D182</f>
        <v>0</v>
      </c>
      <c r="D176" s="480">
        <f>'[33]Sch C'!F182</f>
        <v>0</v>
      </c>
      <c r="E176" s="480">
        <f>+'[33]Sch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'[33]Sch C'!D183</f>
        <v>376236</v>
      </c>
      <c r="D177" s="480">
        <f>'[33]Sch C'!F183</f>
        <v>37673.679397381195</v>
      </c>
      <c r="E177" s="480">
        <f>+'[33]Sch C'!H183</f>
        <v>0</v>
      </c>
      <c r="F177" s="166">
        <f t="shared" si="58"/>
        <v>413909.6793973812</v>
      </c>
      <c r="G177" s="626"/>
      <c r="H177" s="166"/>
      <c r="I177" s="166">
        <f t="shared" si="59"/>
        <v>413909.6793973812</v>
      </c>
      <c r="J177" s="167">
        <f t="shared" si="60"/>
        <v>5.5761050066387305E-2</v>
      </c>
      <c r="K177" s="468"/>
      <c r="L177" s="176">
        <v>8924.2528571428593</v>
      </c>
      <c r="M177" s="176">
        <v>10050.837142857143</v>
      </c>
      <c r="O177" s="329">
        <f t="shared" si="61"/>
        <v>19.45704317197298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'[33]Sch C'!D184</f>
        <v>28395</v>
      </c>
      <c r="D178" s="480">
        <f>'[33]Sch C'!F184</f>
        <v>17.38</v>
      </c>
      <c r="E178" s="480">
        <f>+'[33]Sch C'!H184</f>
        <v>0</v>
      </c>
      <c r="F178" s="166">
        <f t="shared" si="58"/>
        <v>28412.38</v>
      </c>
      <c r="G178" s="626"/>
      <c r="H178" s="166"/>
      <c r="I178" s="166">
        <f t="shared" si="59"/>
        <v>28412.38</v>
      </c>
      <c r="J178" s="167">
        <f t="shared" si="60"/>
        <v>3.8276566665264734E-3</v>
      </c>
      <c r="K178" s="469"/>
      <c r="L178" s="212"/>
      <c r="M178" s="212"/>
      <c r="O178" s="329">
        <f t="shared" si="61"/>
        <v>1.335607577680628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'[33]Sch C'!D185</f>
        <v>0</v>
      </c>
      <c r="D179" s="480">
        <f>'[33]Sch C'!F185</f>
        <v>0</v>
      </c>
      <c r="E179" s="480">
        <f>+'[33]Sch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'[33]Sch C'!D186</f>
        <v>0</v>
      </c>
      <c r="D180" s="480">
        <f>'[33]Sch C'!F186</f>
        <v>0</v>
      </c>
      <c r="E180" s="480">
        <f>+'[33]Sch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'[33]Sch C'!D187</f>
        <v>0</v>
      </c>
      <c r="D181" s="480">
        <f>'[33]Sch C'!F187</f>
        <v>0</v>
      </c>
      <c r="E181" s="480">
        <f>+'[33]Sch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'[33]Sch C'!D188</f>
        <v>2210</v>
      </c>
      <c r="D182" s="480">
        <f>'[33]Sch C'!F188</f>
        <v>0</v>
      </c>
      <c r="E182" s="480">
        <f>+'[33]Sch C'!H188</f>
        <v>0</v>
      </c>
      <c r="F182" s="166">
        <f t="shared" si="58"/>
        <v>2210</v>
      </c>
      <c r="G182" s="626"/>
      <c r="H182" s="166"/>
      <c r="I182" s="166">
        <f t="shared" si="59"/>
        <v>2210</v>
      </c>
      <c r="J182" s="167">
        <f t="shared" si="60"/>
        <v>2.9772659780783964E-4</v>
      </c>
      <c r="K182" s="458"/>
      <c r="L182" s="213"/>
      <c r="M182" s="208"/>
      <c r="O182" s="329">
        <f t="shared" si="61"/>
        <v>0.10388755699713252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'[33]Sch C'!D189</f>
        <v>0</v>
      </c>
      <c r="D183" s="480">
        <f>'[33]Sch C'!F189</f>
        <v>0</v>
      </c>
      <c r="E183" s="480">
        <f>+'[33]Sch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'[33]Sch C'!D190</f>
        <v>0</v>
      </c>
      <c r="D184" s="480">
        <f>'[33]Sch C'!F190</f>
        <v>0</v>
      </c>
      <c r="E184" s="480">
        <f>+'[33]Sch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'[33]Sch C'!D191</f>
        <v>1125</v>
      </c>
      <c r="D185" s="480">
        <f>'[33]Sch C'!F191</f>
        <v>0</v>
      </c>
      <c r="E185" s="480">
        <f>+'[33]Sch C'!H191</f>
        <v>0</v>
      </c>
      <c r="F185" s="166">
        <f t="shared" si="58"/>
        <v>1125</v>
      </c>
      <c r="G185" s="626"/>
      <c r="H185" s="166"/>
      <c r="I185" s="166">
        <f t="shared" si="59"/>
        <v>1125</v>
      </c>
      <c r="J185" s="167">
        <f t="shared" si="60"/>
        <v>1.5155765725512196E-4</v>
      </c>
      <c r="K185" s="458"/>
      <c r="L185" s="213"/>
      <c r="M185" s="208"/>
      <c r="O185" s="329">
        <f t="shared" si="61"/>
        <v>5.2883937385418134E-2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'[33]Sch C'!D192</f>
        <v>48801</v>
      </c>
      <c r="D186" s="480">
        <f>'[33]Sch C'!F192</f>
        <v>0</v>
      </c>
      <c r="E186" s="480">
        <f>+'[33]Sch C'!H192</f>
        <v>0</v>
      </c>
      <c r="F186" s="166">
        <f t="shared" si="58"/>
        <v>48801</v>
      </c>
      <c r="G186" s="626"/>
      <c r="H186" s="166"/>
      <c r="I186" s="166">
        <f t="shared" si="59"/>
        <v>48801</v>
      </c>
      <c r="J186" s="167">
        <f t="shared" si="60"/>
        <v>6.5743690948508512E-3</v>
      </c>
      <c r="K186" s="458"/>
      <c r="L186" s="213"/>
      <c r="M186" s="208"/>
      <c r="O186" s="329">
        <f t="shared" si="61"/>
        <v>2.2940346918629246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'[33]Sch C'!D193</f>
        <v>-248</v>
      </c>
      <c r="D187" s="480">
        <f>'[33]Sch C'!F193</f>
        <v>0</v>
      </c>
      <c r="E187" s="480">
        <f>+'[33]Sch C'!H193</f>
        <v>0</v>
      </c>
      <c r="F187" s="166">
        <f t="shared" si="58"/>
        <v>-248</v>
      </c>
      <c r="G187" s="626"/>
      <c r="H187" s="166"/>
      <c r="I187" s="166">
        <f t="shared" si="59"/>
        <v>-248</v>
      </c>
      <c r="J187" s="167">
        <f t="shared" si="60"/>
        <v>-3.3410043554906887E-5</v>
      </c>
      <c r="K187" s="458"/>
      <c r="L187" s="213"/>
      <c r="M187" s="208"/>
      <c r="O187" s="329">
        <f t="shared" si="61"/>
        <v>-1.1657970196963286E-2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'[33]Sch C'!D194</f>
        <v>0</v>
      </c>
      <c r="D188" s="480">
        <f>'[33]Sch C'!F194</f>
        <v>0</v>
      </c>
      <c r="E188" s="480">
        <f>+'[33]Sch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'[33]Sch C'!D195</f>
        <v>0</v>
      </c>
      <c r="D189" s="480">
        <f>'[33]Sch C'!F195</f>
        <v>0</v>
      </c>
      <c r="E189" s="480">
        <f>+'[33]Sch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'[33]Sch C'!D196</f>
        <v>0</v>
      </c>
      <c r="D190" s="480">
        <f>'[33]Sch C'!F196</f>
        <v>0</v>
      </c>
      <c r="E190" s="480">
        <f>+'[33]Sch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'[33]Sch C'!D197</f>
        <v>0</v>
      </c>
      <c r="D191" s="480">
        <f>'[33]Sch C'!F197</f>
        <v>0</v>
      </c>
      <c r="E191" s="480">
        <f>+'[33]Sch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'[33]Sch C'!D198</f>
        <v>0</v>
      </c>
      <c r="D192" s="480">
        <f>'[33]Sch C'!F198</f>
        <v>0</v>
      </c>
      <c r="E192" s="480">
        <f>+'[33]Sch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'[33]Sch C'!D199</f>
        <v>0</v>
      </c>
      <c r="D193" s="480">
        <f>'[33]Sch C'!F199</f>
        <v>0</v>
      </c>
      <c r="E193" s="480">
        <f>+'[33]Sch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'[33]Sch C'!D200</f>
        <v>0</v>
      </c>
      <c r="D194" s="480">
        <f>'[33]Sch C'!F200</f>
        <v>0</v>
      </c>
      <c r="E194" s="480">
        <f>+'[33]Sch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'[33]Sch C'!D201</f>
        <v>0</v>
      </c>
      <c r="D195" s="480">
        <f>'[33]Sch C'!F201</f>
        <v>0</v>
      </c>
      <c r="E195" s="480">
        <f>+'[33]Sch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'[33]Sch C'!D202</f>
        <v>0</v>
      </c>
      <c r="D196" s="480">
        <f>'[33]Sch C'!F202</f>
        <v>0</v>
      </c>
      <c r="E196" s="480">
        <f>+'[33]Sch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'[33]Sch C'!D203</f>
        <v>0</v>
      </c>
      <c r="D197" s="480">
        <f>'[33]Sch C'!F203</f>
        <v>0</v>
      </c>
      <c r="E197" s="480">
        <f>+'[33]Sch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'[33]Sch C'!D204</f>
        <v>0</v>
      </c>
      <c r="D198" s="480">
        <f>'[33]Sch C'!F204</f>
        <v>0</v>
      </c>
      <c r="E198" s="480">
        <f>+'[33]Sch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'[33]Sch C'!D205</f>
        <v>262219</v>
      </c>
      <c r="D199" s="480">
        <f>'[33]Sch C'!F205</f>
        <v>0</v>
      </c>
      <c r="E199" s="480">
        <f>+'[33]Sch C'!H205</f>
        <v>0</v>
      </c>
      <c r="F199" s="166">
        <f t="shared" si="58"/>
        <v>262219</v>
      </c>
      <c r="G199" s="626"/>
      <c r="H199" s="166"/>
      <c r="I199" s="166">
        <f t="shared" si="59"/>
        <v>262219</v>
      </c>
      <c r="J199" s="167">
        <f t="shared" si="60"/>
        <v>3.5325597624694068E-2</v>
      </c>
      <c r="K199" s="458"/>
      <c r="L199" s="213"/>
      <c r="M199" s="208"/>
      <c r="O199" s="329">
        <f t="shared" si="61"/>
        <v>12.32637615757063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'[33]Sch C'!D206</f>
        <v>14600</v>
      </c>
      <c r="D200" s="480">
        <f>'[33]Sch C'!F206</f>
        <v>0</v>
      </c>
      <c r="E200" s="480">
        <f>+'[33]Sch C'!H206</f>
        <v>0</v>
      </c>
      <c r="F200" s="166">
        <f t="shared" si="58"/>
        <v>14600</v>
      </c>
      <c r="G200" s="626"/>
      <c r="H200" s="166"/>
      <c r="I200" s="166">
        <f t="shared" si="59"/>
        <v>14600</v>
      </c>
      <c r="J200" s="167">
        <f t="shared" si="60"/>
        <v>1.9668815963775829E-3</v>
      </c>
      <c r="K200" s="458"/>
      <c r="L200" s="213"/>
      <c r="M200" s="208"/>
      <c r="O200" s="329">
        <f t="shared" si="61"/>
        <v>0.68631598740187094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'[33]Sch C'!D207</f>
        <v>4346</v>
      </c>
      <c r="D201" s="480">
        <f>'[33]Sch C'!F207</f>
        <v>0</v>
      </c>
      <c r="E201" s="480">
        <f>+'[33]Sch C'!H207</f>
        <v>0</v>
      </c>
      <c r="F201" s="166">
        <f t="shared" si="58"/>
        <v>4346</v>
      </c>
      <c r="G201" s="626"/>
      <c r="H201" s="166"/>
      <c r="I201" s="166">
        <f t="shared" si="59"/>
        <v>4346</v>
      </c>
      <c r="J201" s="167">
        <f t="shared" si="60"/>
        <v>5.8548406971623121E-4</v>
      </c>
      <c r="K201" s="458"/>
      <c r="L201" s="213"/>
      <c r="M201" s="208"/>
      <c r="O201" s="329">
        <f t="shared" si="61"/>
        <v>0.20429652611291307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1149742</v>
      </c>
      <c r="D202" s="480">
        <f t="shared" si="62"/>
        <v>75925.046561343479</v>
      </c>
      <c r="E202" s="480">
        <f t="shared" si="62"/>
        <v>0</v>
      </c>
      <c r="F202" s="166">
        <f t="shared" ref="F202:I202" si="63">SUM(F169:F201)</f>
        <v>1225667.0465613436</v>
      </c>
      <c r="G202" s="166">
        <f t="shared" si="63"/>
        <v>0</v>
      </c>
      <c r="H202" s="166">
        <f t="shared" si="63"/>
        <v>0</v>
      </c>
      <c r="I202" s="166">
        <f t="shared" si="63"/>
        <v>1225667.0465613436</v>
      </c>
      <c r="J202" s="167">
        <f>IF($I$213=0,0,I202/$I$213)</f>
        <v>0.16511931213479267</v>
      </c>
      <c r="K202" s="458"/>
      <c r="L202" s="163"/>
      <c r="M202" s="163"/>
      <c r="O202" s="329">
        <f>I202/I$233</f>
        <v>57.616088307307081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'[33]Sch C'!D211</f>
        <v>188571</v>
      </c>
      <c r="D205" s="480">
        <f>'[33]Sch C'!F211</f>
        <v>-27173.321221388847</v>
      </c>
      <c r="E205" s="480">
        <f>+'[33]Sch C'!H211</f>
        <v>0</v>
      </c>
      <c r="F205" s="166">
        <f t="shared" ref="F205:F210" si="64">C205+D205+E205</f>
        <v>161397.67877861115</v>
      </c>
      <c r="G205" s="626"/>
      <c r="H205" s="166"/>
      <c r="I205" s="166">
        <f t="shared" ref="I205:I210" si="65">F205+G205+H205</f>
        <v>161397.67877861115</v>
      </c>
      <c r="J205" s="167">
        <f t="shared" ref="J205:J211" si="66">IF($I$213=0,0,I205/$I$213)</f>
        <v>2.1743159184089797E-2</v>
      </c>
      <c r="K205" s="458"/>
      <c r="L205" s="176">
        <v>6530.812142857143</v>
      </c>
      <c r="M205" s="176">
        <v>7310.6978571428572</v>
      </c>
      <c r="O205" s="329">
        <f t="shared" ref="O205:O210" si="67">I205/I$233</f>
        <v>7.5869731010488017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'[33]Sch C'!D212</f>
        <v>14758</v>
      </c>
      <c r="D206" s="480">
        <f>'[33]Sch C'!F212</f>
        <v>-3073.0544571428572</v>
      </c>
      <c r="E206" s="480">
        <f>+'[33]Sch C'!H212</f>
        <v>0</v>
      </c>
      <c r="F206" s="166">
        <f t="shared" si="64"/>
        <v>11684.945542857142</v>
      </c>
      <c r="G206" s="626"/>
      <c r="H206" s="166"/>
      <c r="I206" s="166">
        <f t="shared" si="65"/>
        <v>11684.945542857142</v>
      </c>
      <c r="J206" s="167">
        <f t="shared" si="66"/>
        <v>1.5741715303369847E-3</v>
      </c>
      <c r="K206" s="458"/>
      <c r="L206" s="163"/>
      <c r="M206" s="163"/>
      <c r="O206" s="329">
        <f t="shared" si="67"/>
        <v>0.54928526972486913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'[33]Sch C'!D213</f>
        <v>-710</v>
      </c>
      <c r="D207" s="480">
        <f>'[33]Sch C'!F213</f>
        <v>0</v>
      </c>
      <c r="E207" s="480">
        <f>+'[33]Sch C'!H213</f>
        <v>0</v>
      </c>
      <c r="F207" s="166">
        <f t="shared" si="64"/>
        <v>-710</v>
      </c>
      <c r="G207" s="626"/>
      <c r="H207" s="166"/>
      <c r="I207" s="166">
        <f t="shared" si="65"/>
        <v>-710</v>
      </c>
      <c r="J207" s="167">
        <f t="shared" si="66"/>
        <v>-9.5649721467676974E-5</v>
      </c>
      <c r="K207" s="458"/>
      <c r="L207" s="163"/>
      <c r="M207" s="163"/>
      <c r="O207" s="329">
        <f t="shared" si="67"/>
        <v>-3.3375640483241667E-2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'[33]Sch C'!D214</f>
        <v>0</v>
      </c>
      <c r="D208" s="480">
        <f>'[33]Sch C'!F214</f>
        <v>0</v>
      </c>
      <c r="E208" s="480">
        <f>+'[33]Sch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'[33]Sch C'!D215</f>
        <v>0</v>
      </c>
      <c r="D209" s="480">
        <f>'[33]Sch C'!F215</f>
        <v>0</v>
      </c>
      <c r="E209" s="480">
        <f>+'[33]Sch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'[33]Sch C'!D216</f>
        <v>15712</v>
      </c>
      <c r="D210" s="480">
        <f>'[33]Sch C'!F216</f>
        <v>0</v>
      </c>
      <c r="E210" s="480">
        <f>+'[33]Sch C'!H216</f>
        <v>0</v>
      </c>
      <c r="F210" s="166">
        <f t="shared" si="64"/>
        <v>15712</v>
      </c>
      <c r="G210" s="626"/>
      <c r="H210" s="166"/>
      <c r="I210" s="166">
        <f t="shared" si="65"/>
        <v>15712</v>
      </c>
      <c r="J210" s="167">
        <f t="shared" si="66"/>
        <v>2.1166879207044236E-3</v>
      </c>
      <c r="K210" s="458"/>
      <c r="L210" s="163"/>
      <c r="M210" s="163"/>
      <c r="O210" s="329">
        <f t="shared" si="67"/>
        <v>0.73858882151083538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218331</v>
      </c>
      <c r="D211" s="480">
        <f t="shared" si="68"/>
        <v>-30246.375678531705</v>
      </c>
      <c r="E211" s="480">
        <f t="shared" si="68"/>
        <v>0</v>
      </c>
      <c r="F211" s="166">
        <f t="shared" ref="F211:I211" si="69">SUM(F205:F210)</f>
        <v>188084.62432146829</v>
      </c>
      <c r="G211" s="166">
        <f t="shared" si="69"/>
        <v>0</v>
      </c>
      <c r="H211" s="166">
        <f t="shared" si="69"/>
        <v>0</v>
      </c>
      <c r="I211" s="166">
        <f t="shared" si="69"/>
        <v>188084.62432146829</v>
      </c>
      <c r="J211" s="167">
        <f t="shared" si="66"/>
        <v>2.5338368913663527E-2</v>
      </c>
      <c r="K211" s="458"/>
      <c r="L211" s="163"/>
      <c r="M211" s="163"/>
      <c r="O211" s="329">
        <f>I211/I$233</f>
        <v>8.8414715518012645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7374497</v>
      </c>
      <c r="D213" s="480">
        <f t="shared" si="70"/>
        <v>-180490.40959247341</v>
      </c>
      <c r="E213" s="480">
        <f t="shared" si="70"/>
        <v>250795</v>
      </c>
      <c r="F213" s="166">
        <f t="shared" ref="F213:I213" si="71">SUM(F30:F211)/2</f>
        <v>7444801.590407528</v>
      </c>
      <c r="G213" s="166">
        <f t="shared" si="71"/>
        <v>-21884</v>
      </c>
      <c r="H213" s="166">
        <f t="shared" si="71"/>
        <v>0</v>
      </c>
      <c r="I213" s="166">
        <f t="shared" si="71"/>
        <v>7422917.590407528</v>
      </c>
      <c r="J213" s="167">
        <f>IF($I$213=0,0,I213/$I$213)</f>
        <v>1</v>
      </c>
      <c r="K213" s="458"/>
      <c r="L213" s="176">
        <f>SUM(L30:L205)</f>
        <v>162954.01803571425</v>
      </c>
      <c r="M213" s="176">
        <f>SUM(M30:M205)</f>
        <v>184281.64517857143</v>
      </c>
      <c r="O213" s="329">
        <f>I213/I$233</f>
        <v>348.9360969495383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'[33]Sch C'!D221</f>
        <v>7374497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-1161483</v>
      </c>
      <c r="D220" s="480">
        <f t="shared" si="72"/>
        <v>498106.40959247341</v>
      </c>
      <c r="E220" s="480">
        <f t="shared" si="72"/>
        <v>-250795</v>
      </c>
      <c r="F220" s="166">
        <f t="shared" ref="F220:I220" si="73">F26-F213</f>
        <v>-914171.59040752798</v>
      </c>
      <c r="G220" s="166">
        <f t="shared" si="73"/>
        <v>21884</v>
      </c>
      <c r="H220" s="166">
        <f t="shared" si="73"/>
        <v>0</v>
      </c>
      <c r="I220" s="166">
        <f t="shared" si="73"/>
        <v>-892287.59040752798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'[33]Sch D'!C9</f>
        <v>4142</v>
      </c>
      <c r="D224" s="480"/>
      <c r="E224" s="480"/>
      <c r="F224" s="224">
        <f>C224+D224+E224</f>
        <v>4142</v>
      </c>
      <c r="G224" s="627"/>
      <c r="H224" s="224"/>
      <c r="I224" s="224">
        <f>F224+G224+H224</f>
        <v>4142</v>
      </c>
      <c r="J224" s="167">
        <f t="shared" ref="J224:J233" si="74">IF($I$233=0,0,I224/$I$233)</f>
        <v>0.19470690546702393</v>
      </c>
      <c r="K224" s="458"/>
      <c r="L224" s="163"/>
      <c r="M224" s="163"/>
    </row>
    <row r="225" spans="1:13">
      <c r="A225" s="158"/>
      <c r="B225" s="165" t="s">
        <v>201</v>
      </c>
      <c r="C225" s="504">
        <f>'[33]Sch D'!D9</f>
        <v>0</v>
      </c>
      <c r="D225" s="480"/>
      <c r="E225" s="480"/>
      <c r="F225" s="224">
        <f t="shared" ref="F225:F232" si="75">C225+D225+E225</f>
        <v>0</v>
      </c>
      <c r="G225" s="631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'[33]Sch D'!E9</f>
        <v>4150</v>
      </c>
      <c r="D226" s="480"/>
      <c r="E226" s="480"/>
      <c r="F226" s="224">
        <f t="shared" si="75"/>
        <v>4150</v>
      </c>
      <c r="G226" s="631"/>
      <c r="H226" s="224"/>
      <c r="I226" s="224">
        <f t="shared" si="76"/>
        <v>4150</v>
      </c>
      <c r="J226" s="167">
        <f t="shared" si="74"/>
        <v>0.19508296902176467</v>
      </c>
      <c r="K226" s="458"/>
      <c r="L226" s="163"/>
      <c r="M226" s="163"/>
    </row>
    <row r="227" spans="1:13">
      <c r="A227" s="158"/>
      <c r="B227" s="194" t="s">
        <v>315</v>
      </c>
      <c r="C227" s="504">
        <f>'[33]Sch D'!F9</f>
        <v>3481</v>
      </c>
      <c r="D227" s="480"/>
      <c r="E227" s="480"/>
      <c r="F227" s="224">
        <f t="shared" si="75"/>
        <v>3481</v>
      </c>
      <c r="G227" s="631"/>
      <c r="H227" s="224"/>
      <c r="I227" s="224">
        <f t="shared" si="76"/>
        <v>3481</v>
      </c>
      <c r="J227" s="167">
        <f t="shared" si="74"/>
        <v>0.16363465425656937</v>
      </c>
      <c r="K227" s="458"/>
      <c r="L227" s="163"/>
      <c r="M227" s="163"/>
    </row>
    <row r="228" spans="1:13">
      <c r="A228" s="158"/>
      <c r="B228" s="165" t="s">
        <v>65</v>
      </c>
      <c r="C228" s="504">
        <f>'[33]Sch D'!G9</f>
        <v>0</v>
      </c>
      <c r="D228" s="480"/>
      <c r="E228" s="480"/>
      <c r="F228" s="224">
        <f t="shared" si="75"/>
        <v>0</v>
      </c>
      <c r="G228" s="631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'[33]Sch D'!H9</f>
        <v>8153</v>
      </c>
      <c r="D229" s="480"/>
      <c r="E229" s="480"/>
      <c r="F229" s="224">
        <f t="shared" si="75"/>
        <v>8153</v>
      </c>
      <c r="G229" s="631"/>
      <c r="H229" s="224"/>
      <c r="I229" s="224">
        <f t="shared" si="76"/>
        <v>8153</v>
      </c>
      <c r="J229" s="167">
        <f t="shared" si="74"/>
        <v>0.38325577022516805</v>
      </c>
      <c r="K229" s="458"/>
      <c r="L229" s="163"/>
      <c r="M229" s="163"/>
    </row>
    <row r="230" spans="1:13">
      <c r="A230" s="158"/>
      <c r="B230" s="165" t="s">
        <v>219</v>
      </c>
      <c r="C230" s="504">
        <f>'[33]Sch D'!I9</f>
        <v>709</v>
      </c>
      <c r="D230" s="480"/>
      <c r="E230" s="480"/>
      <c r="F230" s="224">
        <f t="shared" si="75"/>
        <v>709</v>
      </c>
      <c r="G230" s="631"/>
      <c r="H230" s="224"/>
      <c r="I230" s="224">
        <f t="shared" si="76"/>
        <v>709</v>
      </c>
      <c r="J230" s="167">
        <f t="shared" si="74"/>
        <v>3.3328632538899075E-2</v>
      </c>
      <c r="K230" s="458"/>
      <c r="L230" s="163"/>
      <c r="M230" s="163"/>
    </row>
    <row r="231" spans="1:13">
      <c r="A231" s="158"/>
      <c r="B231" s="165" t="s">
        <v>218</v>
      </c>
      <c r="C231" s="504">
        <f>'[33]Sch D'!J9</f>
        <v>20</v>
      </c>
      <c r="D231" s="480"/>
      <c r="E231" s="480"/>
      <c r="F231" s="224">
        <f t="shared" si="75"/>
        <v>20</v>
      </c>
      <c r="G231" s="631"/>
      <c r="H231" s="224"/>
      <c r="I231" s="224">
        <f t="shared" si="76"/>
        <v>20</v>
      </c>
      <c r="J231" s="167">
        <f>IF($I$233=0,0,I231/$I$233)</f>
        <v>9.4015888685187793E-4</v>
      </c>
      <c r="K231" s="458"/>
      <c r="L231" s="163"/>
      <c r="M231" s="163"/>
    </row>
    <row r="232" spans="1:13">
      <c r="A232" s="158"/>
      <c r="B232" s="165" t="s">
        <v>170</v>
      </c>
      <c r="C232" s="504">
        <f>'[33]Sch D'!K9</f>
        <v>618</v>
      </c>
      <c r="D232" s="480"/>
      <c r="E232" s="480"/>
      <c r="F232" s="224">
        <f t="shared" si="75"/>
        <v>618</v>
      </c>
      <c r="G232" s="631"/>
      <c r="H232" s="224"/>
      <c r="I232" s="224">
        <f t="shared" si="76"/>
        <v>618</v>
      </c>
      <c r="J232" s="167">
        <f t="shared" si="74"/>
        <v>2.905090960372303E-2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21273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21273</v>
      </c>
      <c r="G233" s="226">
        <f t="shared" si="78"/>
        <v>0</v>
      </c>
      <c r="H233" s="226">
        <f t="shared" si="78"/>
        <v>0</v>
      </c>
      <c r="I233" s="226">
        <f t="shared" si="78"/>
        <v>21273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'[33]Sch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442"/>
      <c r="K236" s="460"/>
      <c r="L236" s="163"/>
      <c r="M236" s="163"/>
    </row>
    <row r="237" spans="1:13">
      <c r="A237" s="158"/>
      <c r="B237" s="194" t="s">
        <v>271</v>
      </c>
      <c r="C237" s="504">
        <f>'[33]Sch D'!N24</f>
        <v>14</v>
      </c>
      <c r="D237" s="480"/>
      <c r="E237" s="480"/>
      <c r="F237" s="224">
        <f>C237+E237</f>
        <v>14</v>
      </c>
      <c r="G237" s="627"/>
      <c r="H237" s="224"/>
      <c r="I237" s="224">
        <f>F237+G237+H237</f>
        <v>14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48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487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'[33]Sch D'!N28</f>
        <v>43800</v>
      </c>
      <c r="D240" s="427"/>
      <c r="E240" s="427"/>
      <c r="F240" s="223">
        <f>F236*F238</f>
        <v>43800</v>
      </c>
      <c r="G240"/>
      <c r="H240" s="530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'[33]Sch D'!N30</f>
        <v>0.48568493150684933</v>
      </c>
      <c r="D241" s="228"/>
      <c r="E241" s="228"/>
      <c r="F241" s="232">
        <f>F233/F240</f>
        <v>0.48568493150684933</v>
      </c>
      <c r="G241"/>
      <c r="H241" s="490"/>
      <c r="I241" s="232">
        <f>I233/I240</f>
        <v>0.48568493150684933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'[33]Sch D'!N32</f>
        <v>9.4566210045662097E-2</v>
      </c>
      <c r="D242" s="228"/>
      <c r="E242" s="228"/>
      <c r="F242" s="232">
        <f>(F224+F225)/F240</f>
        <v>9.4566210045662097E-2</v>
      </c>
      <c r="G242"/>
      <c r="H242" s="490"/>
      <c r="I242" s="232">
        <f>(I224+I225)/I240</f>
        <v>9.4566210045662097E-2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'[33]Sch D'!N34</f>
        <v>0.19470690546702391</v>
      </c>
      <c r="D243" s="228"/>
      <c r="E243" s="228"/>
      <c r="F243" s="232">
        <f>(F242/F241)</f>
        <v>0.19470690546702391</v>
      </c>
      <c r="G243"/>
      <c r="H243" s="490"/>
      <c r="I243" s="232">
        <f>(I242/I241)</f>
        <v>0.19470690546702391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'[33]Sch B'!C90</f>
        <v>214.47946611909651</v>
      </c>
      <c r="K246" s="460"/>
    </row>
    <row r="247" spans="1:13">
      <c r="H247" s="140" t="s">
        <v>322</v>
      </c>
      <c r="I247" s="480">
        <f>'[33]Sch B'!E90</f>
        <v>250.3780487804878</v>
      </c>
      <c r="K247" s="460"/>
    </row>
    <row r="248" spans="1:13">
      <c r="H248" s="140" t="s">
        <v>323</v>
      </c>
      <c r="I248" s="480">
        <f>'[33]Sch B'!G90</f>
        <v>229.43079800498754</v>
      </c>
      <c r="K248" s="460"/>
    </row>
    <row r="249" spans="1:13">
      <c r="H249" s="140" t="s">
        <v>324</v>
      </c>
      <c r="I249" s="480">
        <f>'[33]Sch B'!I90</f>
        <v>232.83085633404104</v>
      </c>
      <c r="K249" s="460"/>
    </row>
    <row r="250" spans="1:13">
      <c r="B250" s="456"/>
      <c r="H250" s="140"/>
      <c r="K250" s="460"/>
    </row>
    <row r="251" spans="1:13">
      <c r="B251" s="411"/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>
    <tabColor rgb="FFE28CAB"/>
  </sheetPr>
  <dimension ref="A1:P277"/>
  <sheetViews>
    <sheetView showGridLines="0" topLeftCell="A4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6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547"/>
      <c r="D1" s="547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433</v>
      </c>
      <c r="D2" s="234"/>
      <c r="F2" s="411"/>
      <c r="G2" s="411"/>
    </row>
    <row r="3" spans="1:16" ht="15.5">
      <c r="A3" s="143"/>
      <c r="B3" s="138" t="s">
        <v>71</v>
      </c>
      <c r="C3" s="557">
        <f>'[34]Sch A Pg 1'!B39</f>
        <v>42917</v>
      </c>
      <c r="D3" s="620"/>
      <c r="E3" s="142"/>
      <c r="F3"/>
      <c r="G3"/>
      <c r="H3" s="498"/>
    </row>
    <row r="4" spans="1:16" ht="15.5">
      <c r="A4" s="143"/>
      <c r="B4" s="145" t="s">
        <v>72</v>
      </c>
      <c r="C4" s="557">
        <f>'[34]Sch A Pg 1'!G39</f>
        <v>43281</v>
      </c>
      <c r="D4" s="620"/>
      <c r="E4" s="142"/>
      <c r="F4"/>
      <c r="G4"/>
      <c r="H4" s="498"/>
      <c r="I4" s="147"/>
    </row>
    <row r="5" spans="1:16">
      <c r="A5" s="143"/>
      <c r="B5" s="145"/>
      <c r="C5" s="148"/>
      <c r="D5" s="148"/>
      <c r="E5" s="142"/>
      <c r="H5" s="444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492" t="s">
        <v>709</v>
      </c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'[34]Sch B'!E10</f>
        <v>2386307</v>
      </c>
      <c r="D12" s="480">
        <f>'[34]Sch B'!G10</f>
        <v>0</v>
      </c>
      <c r="E12" s="480"/>
      <c r="F12" s="166">
        <f>C12+D12+E12</f>
        <v>2386307</v>
      </c>
      <c r="G12" s="626"/>
      <c r="H12" s="166"/>
      <c r="I12" s="166">
        <f>F12+G12+H12</f>
        <v>2386307</v>
      </c>
      <c r="J12" s="167">
        <f>IF($I$26=0,0,I12/$I$26)</f>
        <v>0.5738448889526947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'[34]Sch B'!E12</f>
        <v>998267</v>
      </c>
      <c r="D13" s="480">
        <f>'[34]Sch B'!G12</f>
        <v>453596</v>
      </c>
      <c r="E13" s="480"/>
      <c r="F13" s="166">
        <f t="shared" ref="F13:F25" si="0">C13+D13+E13</f>
        <v>1451863</v>
      </c>
      <c r="G13" s="626"/>
      <c r="H13" s="166"/>
      <c r="I13" s="166">
        <f t="shared" ref="I13:I25" si="1">F13+G13+H13</f>
        <v>1451863</v>
      </c>
      <c r="J13" s="167">
        <f>IF($I$26=0,0,I13/$I$26)</f>
        <v>0.34913536355947755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'[34]Sch B'!E13</f>
        <v>0</v>
      </c>
      <c r="D14" s="480">
        <f>'[34]Sch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'[34]Sch B'!E14</f>
        <v>31701</v>
      </c>
      <c r="D15" s="480">
        <f>'[34]Sch B'!G14</f>
        <v>0</v>
      </c>
      <c r="E15" s="480"/>
      <c r="F15" s="166">
        <f t="shared" si="0"/>
        <v>31701</v>
      </c>
      <c r="G15" s="626"/>
      <c r="H15" s="166"/>
      <c r="I15" s="166">
        <f t="shared" si="1"/>
        <v>31701</v>
      </c>
      <c r="J15" s="167">
        <f>IF($I$26=0,0,I15/$I$26)</f>
        <v>7.6232675949445619E-3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'[34]Sch B'!E15</f>
        <v>3416275</v>
      </c>
      <c r="D16" s="480">
        <f>'[34]Sch B'!G15</f>
        <v>453596</v>
      </c>
      <c r="E16" s="480"/>
      <c r="F16" s="166">
        <f t="shared" si="0"/>
        <v>3869871</v>
      </c>
      <c r="G16" s="626"/>
      <c r="H16" s="166"/>
      <c r="I16" s="166">
        <f>SUM(I12:I15)</f>
        <v>3869871</v>
      </c>
      <c r="J16" s="167">
        <f t="shared" ref="J16:J26" si="2">IF($I$26=0,0,I16/$I$26)</f>
        <v>0.93060352010711678</v>
      </c>
      <c r="K16" s="458"/>
      <c r="L16" s="333" t="s">
        <v>325</v>
      </c>
      <c r="M16" s="334">
        <f>I26</f>
        <v>4158453</v>
      </c>
      <c r="O16" s="324">
        <f>IFERROR(I16/I224,0)</f>
        <v>327.34486550499071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'[34]Sch B'!E20</f>
        <v>0</v>
      </c>
      <c r="D17" s="480">
        <f>'[34]Sch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2114852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'[34]Sch B'!E26</f>
        <v>0</v>
      </c>
      <c r="D18" s="480">
        <f>'[34]Sch B'!G26</f>
        <v>0</v>
      </c>
      <c r="E18" s="480"/>
      <c r="F18" s="166">
        <f t="shared" si="0"/>
        <v>0</v>
      </c>
      <c r="G18" s="626"/>
      <c r="H18" s="166"/>
      <c r="I18" s="166">
        <f t="shared" si="1"/>
        <v>0</v>
      </c>
      <c r="J18" s="167">
        <f t="shared" si="2"/>
        <v>0</v>
      </c>
      <c r="K18" s="458"/>
      <c r="L18" s="335" t="s">
        <v>327</v>
      </c>
      <c r="M18" s="336">
        <f>I233</f>
        <v>13086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'[34]Sch B'!E32</f>
        <v>0</v>
      </c>
      <c r="D19" s="480">
        <f>'[34]Sch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37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'[34]Sch B'!E37</f>
        <v>0</v>
      </c>
      <c r="D20" s="480">
        <f>'[34]Sch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13505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'[34]Sch B'!E42</f>
        <v>52930</v>
      </c>
      <c r="D21" s="480">
        <f>'[34]Sch B'!G42</f>
        <v>0</v>
      </c>
      <c r="E21" s="480"/>
      <c r="F21" s="166">
        <f t="shared" si="0"/>
        <v>52930</v>
      </c>
      <c r="G21" s="626">
        <v>48285</v>
      </c>
      <c r="H21" s="166"/>
      <c r="I21" s="166">
        <f t="shared" si="1"/>
        <v>101215</v>
      </c>
      <c r="J21" s="167">
        <f t="shared" si="2"/>
        <v>2.4339580127513766E-2</v>
      </c>
      <c r="K21" s="457" t="s">
        <v>374</v>
      </c>
      <c r="L21" s="337"/>
      <c r="M21" s="336"/>
      <c r="O21" s="324">
        <f t="shared" si="3"/>
        <v>275.04076086956519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'[34]Sch B'!E47</f>
        <v>233944</v>
      </c>
      <c r="D22" s="480">
        <f>'[34]Sch B'!G47</f>
        <v>0</v>
      </c>
      <c r="E22" s="480"/>
      <c r="F22" s="166">
        <f t="shared" si="0"/>
        <v>233944</v>
      </c>
      <c r="G22" s="626">
        <v>-48284</v>
      </c>
      <c r="H22" s="166"/>
      <c r="I22" s="166">
        <f t="shared" si="1"/>
        <v>185660</v>
      </c>
      <c r="J22" s="167">
        <f t="shared" si="2"/>
        <v>4.4646410576240733E-2</v>
      </c>
      <c r="K22" s="457" t="s">
        <v>374</v>
      </c>
      <c r="L22" s="335" t="s">
        <v>148</v>
      </c>
      <c r="M22" s="336">
        <f>L213</f>
        <v>50503</v>
      </c>
      <c r="O22" s="324">
        <f t="shared" si="3"/>
        <v>207.20982142857142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'[34]Sch B'!E52</f>
        <v>0</v>
      </c>
      <c r="D23" s="480">
        <f>'[34]Sch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51772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'[34]Sch B'!E57</f>
        <v>0</v>
      </c>
      <c r="D24" s="480">
        <f>'[34]Sch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'[34]Sch B'!E72</f>
        <v>1707</v>
      </c>
      <c r="D25" s="480">
        <f>'[34]Sch B'!G72</f>
        <v>0</v>
      </c>
      <c r="E25" s="480"/>
      <c r="F25" s="166">
        <f t="shared" si="0"/>
        <v>1707</v>
      </c>
      <c r="G25" s="626"/>
      <c r="H25" s="166"/>
      <c r="I25" s="166">
        <f t="shared" si="1"/>
        <v>1707</v>
      </c>
      <c r="J25" s="167">
        <f t="shared" si="2"/>
        <v>4.104891891287457E-4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3704856</v>
      </c>
      <c r="D26" s="480">
        <f t="shared" ref="D26:F26" si="4">SUM(D16:D25)</f>
        <v>453596</v>
      </c>
      <c r="E26" s="480">
        <f t="shared" si="4"/>
        <v>0</v>
      </c>
      <c r="F26" s="166">
        <f t="shared" si="4"/>
        <v>4158452</v>
      </c>
      <c r="G26" s="166">
        <f>SUM(G12:G25)</f>
        <v>1</v>
      </c>
      <c r="H26" s="166">
        <f>SUM(H12:H25)</f>
        <v>0</v>
      </c>
      <c r="I26" s="166">
        <f>SUM(I16:I25)</f>
        <v>4158453</v>
      </c>
      <c r="J26" s="167">
        <f t="shared" si="2"/>
        <v>1</v>
      </c>
      <c r="K26" s="458"/>
      <c r="L26" s="163"/>
      <c r="M26" s="163"/>
      <c r="O26" s="324">
        <f>IFERROR(I26/I233,0)</f>
        <v>317.77877120586885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'[34]Sch C'!D10</f>
        <v>178640</v>
      </c>
      <c r="D30" s="480">
        <f>'[34]Sch C'!F10</f>
        <v>0</v>
      </c>
      <c r="E30" s="480">
        <f>+'[34]Sch C'!H10</f>
        <v>0</v>
      </c>
      <c r="F30" s="166">
        <f t="shared" ref="F30:F65" si="5">C30+D30+E30</f>
        <v>178640</v>
      </c>
      <c r="G30" s="626"/>
      <c r="H30" s="166"/>
      <c r="I30" s="166">
        <f t="shared" ref="I30:I65" si="6">F30+G30+H30</f>
        <v>178640</v>
      </c>
      <c r="J30" s="167">
        <f>IF($I$213=0,0,I30/$I$213)</f>
        <v>8.446926782583368E-2</v>
      </c>
      <c r="K30" s="458"/>
      <c r="L30" s="176">
        <v>2080</v>
      </c>
      <c r="M30" s="176">
        <v>2080</v>
      </c>
      <c r="O30" s="324">
        <f>I30/I$233</f>
        <v>13.651230322482041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'[34]Sch C'!D11</f>
        <v>0</v>
      </c>
      <c r="D31" s="480">
        <f>'[34]Sch C'!F11</f>
        <v>0</v>
      </c>
      <c r="E31" s="480">
        <f>+'[34]Sch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'[34]Sch C'!D12</f>
        <v>20501</v>
      </c>
      <c r="D32" s="480">
        <f>'[34]Sch C'!F12</f>
        <v>0</v>
      </c>
      <c r="E32" s="480">
        <f>+'[34]Sch C'!H12</f>
        <v>0</v>
      </c>
      <c r="F32" s="166">
        <f t="shared" si="5"/>
        <v>20501</v>
      </c>
      <c r="G32" s="626"/>
      <c r="H32" s="166"/>
      <c r="I32" s="166">
        <f t="shared" si="6"/>
        <v>20501</v>
      </c>
      <c r="J32" s="167">
        <f t="shared" si="7"/>
        <v>9.6938225464476939E-3</v>
      </c>
      <c r="K32" s="458"/>
      <c r="L32" s="176">
        <v>1560</v>
      </c>
      <c r="M32" s="176">
        <v>1576</v>
      </c>
      <c r="O32" s="324">
        <f t="shared" si="8"/>
        <v>1.5666360996484794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'[34]Sch C'!D13</f>
        <v>73376</v>
      </c>
      <c r="D33" s="480">
        <f>'[34]Sch C'!F13</f>
        <v>-49629</v>
      </c>
      <c r="E33" s="480">
        <f>+'[34]Sch C'!H13</f>
        <v>0</v>
      </c>
      <c r="F33" s="166">
        <f t="shared" si="5"/>
        <v>23747</v>
      </c>
      <c r="G33" s="626"/>
      <c r="H33" s="166"/>
      <c r="I33" s="166">
        <f t="shared" si="6"/>
        <v>23747</v>
      </c>
      <c r="J33" s="167">
        <f t="shared" si="7"/>
        <v>1.1228681723354637E-2</v>
      </c>
      <c r="K33" s="458"/>
      <c r="L33" s="163"/>
      <c r="M33" s="163"/>
      <c r="O33" s="324">
        <f t="shared" si="8"/>
        <v>1.8146874522390342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'[34]Sch C'!D14</f>
        <v>0</v>
      </c>
      <c r="D34" s="480">
        <f>'[34]Sch C'!F14</f>
        <v>0</v>
      </c>
      <c r="E34" s="480">
        <f>+'[34]Sch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'[34]Sch C'!D15</f>
        <v>903861</v>
      </c>
      <c r="D35" s="480">
        <f>'[34]Sch C'!F15</f>
        <v>0</v>
      </c>
      <c r="E35" s="480">
        <f>+'[34]Sch C'!H15</f>
        <v>-903861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'[34]Sch C'!D16</f>
        <v>64050</v>
      </c>
      <c r="D36" s="480">
        <f>'[34]Sch C'!F16</f>
        <v>0</v>
      </c>
      <c r="E36" s="480">
        <f>+'[34]Sch C'!H16</f>
        <v>29723</v>
      </c>
      <c r="F36" s="166">
        <f t="shared" si="5"/>
        <v>93773</v>
      </c>
      <c r="G36" s="626"/>
      <c r="H36" s="166"/>
      <c r="I36" s="166">
        <f t="shared" si="6"/>
        <v>93773</v>
      </c>
      <c r="J36" s="167">
        <f t="shared" si="7"/>
        <v>4.4340218606313819E-2</v>
      </c>
      <c r="K36" s="458"/>
      <c r="L36" s="163"/>
      <c r="M36" s="163"/>
      <c r="O36" s="324">
        <f t="shared" si="8"/>
        <v>7.1659024912119822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'[34]Sch C'!D17</f>
        <v>259</v>
      </c>
      <c r="D37" s="480">
        <f>'[34]Sch C'!F17</f>
        <v>-259</v>
      </c>
      <c r="E37" s="480">
        <f>+'[34]Sch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'[34]Sch C'!D18</f>
        <v>7870</v>
      </c>
      <c r="D38" s="480">
        <f>'[34]Sch C'!F18</f>
        <v>0</v>
      </c>
      <c r="E38" s="480">
        <f>+'[34]Sch C'!H18</f>
        <v>0</v>
      </c>
      <c r="F38" s="166">
        <f t="shared" si="5"/>
        <v>7870</v>
      </c>
      <c r="G38" s="626"/>
      <c r="H38" s="166"/>
      <c r="I38" s="166">
        <f t="shared" si="6"/>
        <v>7870</v>
      </c>
      <c r="J38" s="167">
        <f t="shared" si="7"/>
        <v>3.7213005921927396E-3</v>
      </c>
      <c r="K38" s="458"/>
      <c r="L38" s="163"/>
      <c r="M38" s="163"/>
      <c r="O38" s="324">
        <f t="shared" si="8"/>
        <v>0.60140608283661934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'[34]Sch C'!D19</f>
        <v>23493</v>
      </c>
      <c r="D39" s="480">
        <f>'[34]Sch C'!F19</f>
        <v>0</v>
      </c>
      <c r="E39" s="480">
        <f>+'[34]Sch C'!H19</f>
        <v>0</v>
      </c>
      <c r="F39" s="166">
        <f t="shared" si="5"/>
        <v>23493</v>
      </c>
      <c r="G39" s="626"/>
      <c r="H39" s="166"/>
      <c r="I39" s="166">
        <f t="shared" si="6"/>
        <v>23493</v>
      </c>
      <c r="J39" s="167">
        <f t="shared" si="7"/>
        <v>1.1108578756338505E-2</v>
      </c>
      <c r="K39" s="458"/>
      <c r="L39" s="163"/>
      <c r="M39" s="163"/>
      <c r="O39" s="324">
        <f t="shared" si="8"/>
        <v>1.7952773956900505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'[34]Sch C'!D20</f>
        <v>17975</v>
      </c>
      <c r="D40" s="480">
        <f>'[34]Sch C'!F20</f>
        <v>0</v>
      </c>
      <c r="E40" s="480">
        <f>+'[34]Sch C'!H20</f>
        <v>0</v>
      </c>
      <c r="F40" s="166">
        <f t="shared" si="5"/>
        <v>17975</v>
      </c>
      <c r="G40" s="626"/>
      <c r="H40" s="166"/>
      <c r="I40" s="166">
        <f t="shared" si="6"/>
        <v>17975</v>
      </c>
      <c r="J40" s="167">
        <f t="shared" si="7"/>
        <v>8.499412724862071E-3</v>
      </c>
      <c r="K40" s="458"/>
      <c r="L40" s="163"/>
      <c r="M40" s="163"/>
      <c r="O40" s="324">
        <f t="shared" si="8"/>
        <v>1.373605379795201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'[34]Sch C'!D21</f>
        <v>14147</v>
      </c>
      <c r="D41" s="480">
        <f>'[34]Sch C'!F21</f>
        <v>0</v>
      </c>
      <c r="E41" s="480">
        <f>+'[34]Sch C'!H21</f>
        <v>0</v>
      </c>
      <c r="F41" s="166">
        <f t="shared" si="5"/>
        <v>14147</v>
      </c>
      <c r="G41" s="626"/>
      <c r="H41" s="166"/>
      <c r="I41" s="166">
        <f t="shared" si="6"/>
        <v>14147</v>
      </c>
      <c r="J41" s="167">
        <f t="shared" si="7"/>
        <v>6.6893569857370636E-3</v>
      </c>
      <c r="K41" s="458"/>
      <c r="L41" s="163"/>
      <c r="M41" s="163"/>
      <c r="O41" s="324">
        <f t="shared" si="8"/>
        <v>1.0810790157420143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'[34]Sch C'!D22</f>
        <v>0</v>
      </c>
      <c r="D42" s="480">
        <f>'[34]Sch C'!F22</f>
        <v>0</v>
      </c>
      <c r="E42" s="480">
        <f>+'[34]Sch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'[34]Sch C'!D23</f>
        <v>18497</v>
      </c>
      <c r="D43" s="480">
        <f>'[34]Sch C'!F23</f>
        <v>0</v>
      </c>
      <c r="E43" s="480">
        <f>+'[34]Sch C'!H23</f>
        <v>0</v>
      </c>
      <c r="F43" s="166">
        <f t="shared" si="5"/>
        <v>18497</v>
      </c>
      <c r="G43" s="626">
        <v>-766</v>
      </c>
      <c r="H43" s="166"/>
      <c r="I43" s="166">
        <f t="shared" si="6"/>
        <v>17731</v>
      </c>
      <c r="J43" s="167">
        <f t="shared" si="7"/>
        <v>8.38403822111429E-3</v>
      </c>
      <c r="K43" s="458"/>
      <c r="L43" s="163"/>
      <c r="M43" s="163"/>
      <c r="O43" s="324">
        <f t="shared" si="8"/>
        <v>1.3549594987009017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'[34]Sch C'!D24</f>
        <v>0</v>
      </c>
      <c r="D44" s="480">
        <f>'[34]Sch C'!F24</f>
        <v>0</v>
      </c>
      <c r="E44" s="480">
        <f>+'[34]Sch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'[34]Sch C'!D25</f>
        <v>0</v>
      </c>
      <c r="D45" s="480">
        <f>'[34]Sch C'!F25</f>
        <v>0</v>
      </c>
      <c r="E45" s="480">
        <f>+'[34]Sch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'[34]Sch C'!D26</f>
        <v>274544</v>
      </c>
      <c r="D46" s="480">
        <f>'[34]Sch C'!F26</f>
        <v>0</v>
      </c>
      <c r="E46" s="480">
        <f>+'[34]Sch C'!H26</f>
        <v>0</v>
      </c>
      <c r="F46" s="166">
        <f t="shared" si="5"/>
        <v>274544</v>
      </c>
      <c r="G46" s="626"/>
      <c r="H46" s="166"/>
      <c r="I46" s="166">
        <f t="shared" si="6"/>
        <v>274544</v>
      </c>
      <c r="J46" s="167">
        <f t="shared" si="7"/>
        <v>0.12981712195463324</v>
      </c>
      <c r="K46" s="458"/>
      <c r="L46" s="163"/>
      <c r="M46" s="163"/>
      <c r="O46" s="324">
        <f t="shared" si="8"/>
        <v>20.979978603087268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'[34]Sch C'!D27</f>
        <v>0</v>
      </c>
      <c r="D47" s="480">
        <f>'[34]Sch C'!F27</f>
        <v>0</v>
      </c>
      <c r="E47" s="480">
        <f>+'[34]Sch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'[34]Sch C'!D28</f>
        <v>0</v>
      </c>
      <c r="D48" s="480">
        <f>'[34]Sch C'!F28</f>
        <v>0</v>
      </c>
      <c r="E48" s="480">
        <f>+'[34]Sch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'[34]Sch C'!D29</f>
        <v>40424</v>
      </c>
      <c r="D49" s="480">
        <f>'[34]Sch C'!F29</f>
        <v>-40424</v>
      </c>
      <c r="E49" s="480">
        <f>+'[34]Sch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'[34]Sch C'!D30</f>
        <v>3060</v>
      </c>
      <c r="D50" s="480">
        <f>'[34]Sch C'!F30</f>
        <v>-3060</v>
      </c>
      <c r="E50" s="480">
        <f>+'[34]Sch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'[34]Sch C'!D31</f>
        <v>16871</v>
      </c>
      <c r="D51" s="480">
        <f>'[34]Sch C'!F31</f>
        <v>2451</v>
      </c>
      <c r="E51" s="480">
        <f>+'[34]Sch C'!H31</f>
        <v>0</v>
      </c>
      <c r="F51" s="166">
        <f t="shared" si="5"/>
        <v>19322</v>
      </c>
      <c r="G51" s="626"/>
      <c r="H51" s="166"/>
      <c r="I51" s="166">
        <f t="shared" si="6"/>
        <v>19322</v>
      </c>
      <c r="J51" s="167">
        <f t="shared" si="7"/>
        <v>9.1363367271090363E-3</v>
      </c>
      <c r="K51" s="458"/>
      <c r="L51" s="163"/>
      <c r="M51" s="163"/>
      <c r="O51" s="324">
        <f t="shared" si="8"/>
        <v>1.4765398135411891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'[34]Sch C'!D32</f>
        <v>19456</v>
      </c>
      <c r="D52" s="480">
        <f>'[34]Sch C'!F32</f>
        <v>12811</v>
      </c>
      <c r="E52" s="480">
        <f>+'[34]Sch C'!H32</f>
        <v>0</v>
      </c>
      <c r="F52" s="166">
        <f t="shared" si="5"/>
        <v>32267</v>
      </c>
      <c r="G52" s="626"/>
      <c r="H52" s="166"/>
      <c r="I52" s="166">
        <f t="shared" si="6"/>
        <v>32267</v>
      </c>
      <c r="J52" s="167">
        <f t="shared" si="7"/>
        <v>1.5257332427990234E-2</v>
      </c>
      <c r="K52" s="458"/>
      <c r="L52" s="163"/>
      <c r="M52" s="163"/>
      <c r="O52" s="324">
        <f t="shared" si="8"/>
        <v>2.4657649396301391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'[34]Sch C'!D33</f>
        <v>0</v>
      </c>
      <c r="D53" s="480">
        <f>'[34]Sch C'!F33</f>
        <v>0</v>
      </c>
      <c r="E53" s="480">
        <f>+'[34]Sch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'[34]Sch C'!D34</f>
        <v>0</v>
      </c>
      <c r="D54" s="480">
        <f>'[34]Sch C'!F34</f>
        <v>0</v>
      </c>
      <c r="E54" s="480">
        <f>+'[34]Sch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'[34]Sch C'!D35</f>
        <v>0</v>
      </c>
      <c r="D55" s="480">
        <f>'[34]Sch C'!F35</f>
        <v>0</v>
      </c>
      <c r="E55" s="480">
        <f>+'[34]Sch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'[34]Sch C'!D36</f>
        <v>0</v>
      </c>
      <c r="D56" s="480">
        <f>'[34]Sch C'!F36</f>
        <v>0</v>
      </c>
      <c r="E56" s="480">
        <f>+'[34]Sch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'[34]Sch C'!D37</f>
        <v>0</v>
      </c>
      <c r="D57" s="480">
        <f>'[34]Sch C'!F37</f>
        <v>0</v>
      </c>
      <c r="E57" s="480">
        <f>+'[34]Sch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'[34]Sch C'!D38</f>
        <v>0</v>
      </c>
      <c r="D58" s="480">
        <f>'[34]Sch C'!F38</f>
        <v>0</v>
      </c>
      <c r="E58" s="480">
        <f>+'[34]Sch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'[34]Sch C'!D39</f>
        <v>2756</v>
      </c>
      <c r="D59" s="480">
        <f>'[34]Sch C'!F39</f>
        <v>0</v>
      </c>
      <c r="E59" s="480">
        <f>+'[34]Sch C'!H39</f>
        <v>0</v>
      </c>
      <c r="F59" s="166">
        <f t="shared" si="5"/>
        <v>2756</v>
      </c>
      <c r="G59" s="626"/>
      <c r="H59" s="166"/>
      <c r="I59" s="166">
        <f t="shared" si="6"/>
        <v>2756</v>
      </c>
      <c r="J59" s="167">
        <f t="shared" si="7"/>
        <v>1.3031644767577118E-3</v>
      </c>
      <c r="K59" s="458"/>
      <c r="L59" s="163"/>
      <c r="M59" s="163"/>
      <c r="O59" s="324">
        <f t="shared" si="8"/>
        <v>0.21060675531101941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'[34]Sch C'!D40</f>
        <v>0</v>
      </c>
      <c r="D60" s="480">
        <f>'[34]Sch C'!F40</f>
        <v>0</v>
      </c>
      <c r="E60" s="480">
        <f>+'[34]Sch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'[34]Sch C'!D41</f>
        <v>9613</v>
      </c>
      <c r="D61" s="480">
        <f>'[34]Sch C'!F41</f>
        <v>0</v>
      </c>
      <c r="E61" s="480">
        <f>+'[34]Sch C'!H41</f>
        <v>0</v>
      </c>
      <c r="F61" s="166">
        <f t="shared" si="5"/>
        <v>9613</v>
      </c>
      <c r="G61" s="626"/>
      <c r="H61" s="166"/>
      <c r="I61" s="166">
        <f t="shared" si="6"/>
        <v>9613</v>
      </c>
      <c r="J61" s="167">
        <f t="shared" si="7"/>
        <v>4.54547173986643E-3</v>
      </c>
      <c r="K61" s="458"/>
      <c r="L61" s="163"/>
      <c r="M61" s="163"/>
      <c r="O61" s="324">
        <f t="shared" si="8"/>
        <v>0.73460186458810939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'[34]Sch C'!D42</f>
        <v>159</v>
      </c>
      <c r="D62" s="480">
        <f>'[34]Sch C'!F42</f>
        <v>0</v>
      </c>
      <c r="E62" s="480">
        <f>+'[34]Sch C'!H42</f>
        <v>0</v>
      </c>
      <c r="F62" s="166">
        <f t="shared" si="5"/>
        <v>159</v>
      </c>
      <c r="G62" s="626"/>
      <c r="H62" s="166"/>
      <c r="I62" s="166">
        <f t="shared" si="6"/>
        <v>159</v>
      </c>
      <c r="J62" s="167">
        <f t="shared" si="7"/>
        <v>7.5182565966791051E-5</v>
      </c>
      <c r="K62" s="458"/>
      <c r="L62" s="163"/>
      <c r="M62" s="163"/>
      <c r="O62" s="324">
        <f t="shared" si="8"/>
        <v>1.2150389729481889E-2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'[34]Sch C'!D43</f>
        <v>6820</v>
      </c>
      <c r="D63" s="480">
        <f>'[34]Sch C'!F43</f>
        <v>-6820</v>
      </c>
      <c r="E63" s="480">
        <f>+'[34]Sch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'[34]Sch C'!D44</f>
        <v>0</v>
      </c>
      <c r="D64" s="480">
        <f>'[34]Sch C'!F44</f>
        <v>0</v>
      </c>
      <c r="E64" s="480">
        <f>+'[34]Sch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'[34]Sch C'!D45</f>
        <v>-70011</v>
      </c>
      <c r="D65" s="480">
        <f>'[34]Sch C'!F45</f>
        <v>82430</v>
      </c>
      <c r="E65" s="480">
        <f>+'[34]Sch C'!H45</f>
        <v>0</v>
      </c>
      <c r="F65" s="166">
        <f t="shared" si="5"/>
        <v>12419</v>
      </c>
      <c r="G65" s="626"/>
      <c r="H65" s="166"/>
      <c r="I65" s="166">
        <f t="shared" si="6"/>
        <v>12419</v>
      </c>
      <c r="J65" s="167">
        <f t="shared" si="7"/>
        <v>5.8722785329659005E-3</v>
      </c>
      <c r="K65" s="458"/>
      <c r="L65" s="163"/>
      <c r="M65" s="163"/>
      <c r="O65" s="324">
        <f t="shared" si="8"/>
        <v>0.94902949717255081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1626361</v>
      </c>
      <c r="D66" s="480">
        <f t="shared" si="9"/>
        <v>-2500</v>
      </c>
      <c r="E66" s="480">
        <f t="shared" si="9"/>
        <v>-874138</v>
      </c>
      <c r="F66" s="166">
        <f t="shared" ref="F66:I66" si="10">SUM(F30:F65)</f>
        <v>749723</v>
      </c>
      <c r="G66" s="166">
        <f t="shared" si="10"/>
        <v>-766</v>
      </c>
      <c r="H66" s="166">
        <f t="shared" si="10"/>
        <v>0</v>
      </c>
      <c r="I66" s="166">
        <f t="shared" si="10"/>
        <v>748957</v>
      </c>
      <c r="J66" s="178">
        <f t="shared" si="7"/>
        <v>0.35414156640748384</v>
      </c>
      <c r="K66" s="465"/>
      <c r="L66" s="163"/>
      <c r="M66" s="163"/>
      <c r="O66" s="329">
        <f>I66/I$233</f>
        <v>57.233455601406085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 ht="15.5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546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'[34]Sch C'!D57</f>
        <v>364632</v>
      </c>
      <c r="D69" s="480">
        <f>'[34]Sch C'!F57</f>
        <v>0</v>
      </c>
      <c r="E69" s="480">
        <f>+'[34]Sch C'!H57</f>
        <v>-364632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'[34]Sch C'!D58</f>
        <v>0</v>
      </c>
      <c r="D70" s="480">
        <f>'[34]Sch C'!F58</f>
        <v>0</v>
      </c>
      <c r="E70" s="480">
        <f>+'[34]Sch C'!H58</f>
        <v>35773</v>
      </c>
      <c r="F70" s="166">
        <f t="shared" ref="F70:F83" si="13">C70+D70+E70</f>
        <v>35773</v>
      </c>
      <c r="G70" s="626"/>
      <c r="H70" s="166"/>
      <c r="I70" s="166">
        <f t="shared" ref="I70:I83" si="14">F70+G70+H70</f>
        <v>35773</v>
      </c>
      <c r="J70" s="167">
        <f t="shared" si="11"/>
        <v>1.6915131649874317E-2</v>
      </c>
      <c r="K70" s="458"/>
      <c r="L70" s="182"/>
      <c r="M70" s="163"/>
      <c r="O70" s="324">
        <f t="shared" si="12"/>
        <v>2.7336848540424881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'[34]Sch C'!D59</f>
        <v>0</v>
      </c>
      <c r="D71" s="480">
        <f>'[34]Sch C'!F59</f>
        <v>0</v>
      </c>
      <c r="E71" s="480">
        <f>+'[34]Sch C'!H59</f>
        <v>72106</v>
      </c>
      <c r="F71" s="166">
        <f t="shared" si="13"/>
        <v>72106</v>
      </c>
      <c r="G71" s="626"/>
      <c r="H71" s="166"/>
      <c r="I71" s="166">
        <f t="shared" si="14"/>
        <v>72106</v>
      </c>
      <c r="J71" s="167">
        <f t="shared" si="11"/>
        <v>3.4095057242776325E-2</v>
      </c>
      <c r="K71" s="458"/>
      <c r="L71" s="182"/>
      <c r="M71" s="163"/>
      <c r="O71" s="324">
        <f t="shared" si="12"/>
        <v>5.5101635335473027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'[34]Sch C'!D60</f>
        <v>10691</v>
      </c>
      <c r="D72" s="480">
        <f>'[34]Sch C'!F60</f>
        <v>-1374</v>
      </c>
      <c r="E72" s="480">
        <f>+'[34]Sch C'!H60</f>
        <v>0</v>
      </c>
      <c r="F72" s="166">
        <f t="shared" si="13"/>
        <v>9317</v>
      </c>
      <c r="G72" s="626"/>
      <c r="H72" s="166"/>
      <c r="I72" s="166">
        <f t="shared" si="14"/>
        <v>9317</v>
      </c>
      <c r="J72" s="167">
        <f t="shared" si="11"/>
        <v>4.4055092271232214E-3</v>
      </c>
      <c r="K72" s="458"/>
      <c r="L72" s="185"/>
      <c r="M72" s="163"/>
      <c r="O72" s="324">
        <f t="shared" si="12"/>
        <v>0.71198227112945134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'[34]Sch C'!D61</f>
        <v>0</v>
      </c>
      <c r="D73" s="480">
        <f>'[34]Sch C'!F61</f>
        <v>5431</v>
      </c>
      <c r="E73" s="480">
        <f>+'[34]Sch C'!H61</f>
        <v>0</v>
      </c>
      <c r="F73" s="166">
        <f t="shared" si="13"/>
        <v>5431</v>
      </c>
      <c r="G73" s="626"/>
      <c r="H73" s="166"/>
      <c r="I73" s="166">
        <f t="shared" si="14"/>
        <v>5431</v>
      </c>
      <c r="J73" s="167">
        <f t="shared" si="11"/>
        <v>2.5680284010417749E-3</v>
      </c>
      <c r="K73" s="458"/>
      <c r="L73" s="185"/>
      <c r="M73" s="163"/>
      <c r="O73" s="324">
        <f t="shared" si="12"/>
        <v>0.41502368943909523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'[34]Sch C'!D62</f>
        <v>0</v>
      </c>
      <c r="D74" s="480">
        <f>'[34]Sch C'!F62</f>
        <v>0</v>
      </c>
      <c r="E74" s="480">
        <f>+'[34]Sch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'[34]Sch C'!D63</f>
        <v>0</v>
      </c>
      <c r="D75" s="480">
        <f>'[34]Sch C'!F63</f>
        <v>0</v>
      </c>
      <c r="E75" s="480">
        <f>+'[34]Sch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'[34]Sch C'!D64</f>
        <v>0</v>
      </c>
      <c r="D76" s="480">
        <f>'[34]Sch C'!F64</f>
        <v>0</v>
      </c>
      <c r="E76" s="480">
        <f>+'[34]Sch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'[34]Sch C'!D65</f>
        <v>12267</v>
      </c>
      <c r="D77" s="480">
        <f>'[34]Sch C'!F65</f>
        <v>-8451</v>
      </c>
      <c r="E77" s="480">
        <f>+'[34]Sch C'!H65</f>
        <v>0</v>
      </c>
      <c r="F77" s="166">
        <f t="shared" si="13"/>
        <v>3816</v>
      </c>
      <c r="G77" s="626"/>
      <c r="H77" s="166"/>
      <c r="I77" s="166">
        <f t="shared" si="14"/>
        <v>3816</v>
      </c>
      <c r="J77" s="167">
        <f t="shared" si="11"/>
        <v>1.8043815832029853E-3</v>
      </c>
      <c r="K77" s="458"/>
      <c r="L77" s="187"/>
      <c r="M77" s="163"/>
      <c r="O77" s="324">
        <f t="shared" si="12"/>
        <v>0.29160935350756534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'[34]Sch C'!D66</f>
        <v>0</v>
      </c>
      <c r="D78" s="480">
        <f>'[34]Sch C'!F66</f>
        <v>0</v>
      </c>
      <c r="E78" s="480">
        <f>+'[34]Sch C'!H66</f>
        <v>0</v>
      </c>
      <c r="F78" s="166">
        <f t="shared" si="13"/>
        <v>0</v>
      </c>
      <c r="G78" s="626">
        <v>766</v>
      </c>
      <c r="H78" s="166"/>
      <c r="I78" s="166">
        <f t="shared" si="14"/>
        <v>766</v>
      </c>
      <c r="J78" s="167">
        <f t="shared" si="11"/>
        <v>3.6220028635573553E-4</v>
      </c>
      <c r="K78" s="458"/>
      <c r="L78" s="187"/>
      <c r="M78" s="163"/>
      <c r="O78" s="324">
        <f t="shared" si="12"/>
        <v>5.8535839828824696E-2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'[34]Sch C'!D67</f>
        <v>0</v>
      </c>
      <c r="D79" s="480">
        <f>'[34]Sch C'!F67</f>
        <v>5146</v>
      </c>
      <c r="E79" s="480">
        <f>+'[34]Sch C'!H67</f>
        <v>7090</v>
      </c>
      <c r="F79" s="166">
        <f t="shared" si="13"/>
        <v>12236</v>
      </c>
      <c r="G79" s="626"/>
      <c r="H79" s="166"/>
      <c r="I79" s="166">
        <f t="shared" si="14"/>
        <v>12236</v>
      </c>
      <c r="J79" s="167">
        <f t="shared" si="11"/>
        <v>5.7857476551550656E-3</v>
      </c>
      <c r="K79" s="458"/>
      <c r="L79" s="187"/>
      <c r="M79" s="163"/>
      <c r="O79" s="324">
        <f t="shared" si="12"/>
        <v>0.93504508635182637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'[34]Sch C'!D68</f>
        <v>0</v>
      </c>
      <c r="D80" s="480">
        <f>'[34]Sch C'!F68</f>
        <v>0</v>
      </c>
      <c r="E80" s="480">
        <f>+'[34]Sch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'[34]Sch C'!D69</f>
        <v>0</v>
      </c>
      <c r="D81" s="480">
        <f>'[34]Sch C'!F69</f>
        <v>1374</v>
      </c>
      <c r="E81" s="480">
        <f>+'[34]Sch C'!H69</f>
        <v>0</v>
      </c>
      <c r="F81" s="166">
        <f t="shared" si="13"/>
        <v>1374</v>
      </c>
      <c r="G81" s="626"/>
      <c r="H81" s="166"/>
      <c r="I81" s="166">
        <f t="shared" si="14"/>
        <v>1374</v>
      </c>
      <c r="J81" s="167">
        <f t="shared" si="11"/>
        <v>6.496908530715152E-4</v>
      </c>
      <c r="K81" s="458"/>
      <c r="L81" s="187"/>
      <c r="M81" s="163"/>
      <c r="O81" s="324">
        <f t="shared" si="12"/>
        <v>0.10499770747363595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'[34]Sch C'!D70</f>
        <v>0</v>
      </c>
      <c r="D82" s="480">
        <f>'[34]Sch C'!F70</f>
        <v>0</v>
      </c>
      <c r="E82" s="480">
        <f>+'[34]Sch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'[34]Sch C'!D71</f>
        <v>0</v>
      </c>
      <c r="D83" s="480">
        <f>'[34]Sch C'!F71</f>
        <v>0</v>
      </c>
      <c r="E83" s="480">
        <f>+'[34]Sch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387590</v>
      </c>
      <c r="D84" s="480">
        <f t="shared" si="15"/>
        <v>2126</v>
      </c>
      <c r="E84" s="480">
        <f t="shared" si="15"/>
        <v>-249663</v>
      </c>
      <c r="F84" s="166">
        <f t="shared" ref="F84:I84" si="16">SUM(F69:F83)</f>
        <v>140053</v>
      </c>
      <c r="G84" s="166">
        <f t="shared" si="16"/>
        <v>766</v>
      </c>
      <c r="H84" s="166">
        <f t="shared" si="16"/>
        <v>0</v>
      </c>
      <c r="I84" s="166">
        <f t="shared" si="16"/>
        <v>140819</v>
      </c>
      <c r="J84" s="167">
        <f t="shared" si="11"/>
        <v>6.6585746898600945E-2</v>
      </c>
      <c r="K84" s="458"/>
      <c r="L84" s="187"/>
      <c r="M84" s="163"/>
      <c r="O84" s="324">
        <f t="shared" si="12"/>
        <v>10.761042335320189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'[34]Sch C'!D75</f>
        <v>50565</v>
      </c>
      <c r="D87" s="480">
        <f>'[34]Sch C'!F75</f>
        <v>0</v>
      </c>
      <c r="E87" s="480">
        <f>+'[34]Sch C'!H75</f>
        <v>0</v>
      </c>
      <c r="F87" s="166">
        <f t="shared" ref="F87:F97" si="17">C87+D87+E87</f>
        <v>50565</v>
      </c>
      <c r="G87" s="626"/>
      <c r="H87" s="166"/>
      <c r="I87" s="166">
        <f t="shared" ref="I87:I97" si="18">F87+G87+H87</f>
        <v>50565</v>
      </c>
      <c r="J87" s="167">
        <f t="shared" ref="J87:J98" si="19">IF($I$213=0,0,I87/$I$213)</f>
        <v>2.3909474516420063E-2</v>
      </c>
      <c r="K87" s="458"/>
      <c r="L87" s="176">
        <v>2370</v>
      </c>
      <c r="M87" s="176">
        <v>2454</v>
      </c>
      <c r="O87" s="324">
        <f t="shared" ref="O87:O97" si="20">I87/I$233</f>
        <v>3.8640531866116459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'[34]Sch C'!D76</f>
        <v>4069</v>
      </c>
      <c r="D88" s="480">
        <f>'[34]Sch C'!F76</f>
        <v>2905</v>
      </c>
      <c r="E88" s="480">
        <f>+'[34]Sch C'!H76</f>
        <v>0</v>
      </c>
      <c r="F88" s="166">
        <f t="shared" si="17"/>
        <v>6974</v>
      </c>
      <c r="G88" s="626"/>
      <c r="H88" s="166"/>
      <c r="I88" s="166">
        <f t="shared" si="18"/>
        <v>6974</v>
      </c>
      <c r="J88" s="167">
        <f t="shared" si="19"/>
        <v>3.297630283348433E-3</v>
      </c>
      <c r="K88" s="458"/>
      <c r="L88" s="163"/>
      <c r="M88" s="163"/>
      <c r="O88" s="324">
        <f t="shared" si="20"/>
        <v>0.53293596209689742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'[34]Sch C'!D77</f>
        <v>9032</v>
      </c>
      <c r="D89" s="480">
        <f>'[34]Sch C'!F77</f>
        <v>0</v>
      </c>
      <c r="E89" s="480">
        <f>+'[34]Sch C'!H77</f>
        <v>0</v>
      </c>
      <c r="F89" s="166">
        <f t="shared" si="17"/>
        <v>9032</v>
      </c>
      <c r="G89" s="626"/>
      <c r="H89" s="166"/>
      <c r="I89" s="166">
        <f t="shared" si="18"/>
        <v>9032</v>
      </c>
      <c r="J89" s="167">
        <f t="shared" si="19"/>
        <v>4.2707480239751999E-3</v>
      </c>
      <c r="K89" s="458"/>
      <c r="L89" s="163"/>
      <c r="M89" s="163"/>
      <c r="O89" s="324">
        <f t="shared" si="20"/>
        <v>0.690203270670946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'[34]Sch C'!D78</f>
        <v>0</v>
      </c>
      <c r="D90" s="480">
        <f>'[34]Sch C'!F78</f>
        <v>0</v>
      </c>
      <c r="E90" s="480">
        <f>+'[34]Sch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'[34]Sch C'!D79</f>
        <v>0</v>
      </c>
      <c r="D91" s="480">
        <f>'[34]Sch C'!F79</f>
        <v>0</v>
      </c>
      <c r="E91" s="480">
        <f>+'[34]Sch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'[34]Sch C'!D80</f>
        <v>9487</v>
      </c>
      <c r="D92" s="480">
        <f>'[34]Sch C'!F80</f>
        <v>-1620</v>
      </c>
      <c r="E92" s="480">
        <f>+'[34]Sch C'!H80</f>
        <v>0</v>
      </c>
      <c r="F92" s="166">
        <f t="shared" si="17"/>
        <v>7867</v>
      </c>
      <c r="G92" s="626"/>
      <c r="H92" s="166"/>
      <c r="I92" s="166">
        <f t="shared" si="18"/>
        <v>7867</v>
      </c>
      <c r="J92" s="167">
        <f t="shared" si="19"/>
        <v>3.7198820532122344E-3</v>
      </c>
      <c r="K92" s="458"/>
      <c r="L92" s="163"/>
      <c r="M92" s="163"/>
      <c r="O92" s="324">
        <f t="shared" si="20"/>
        <v>0.60117683020021395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'[34]Sch C'!D81</f>
        <v>23103</v>
      </c>
      <c r="D93" s="480">
        <f>'[34]Sch C'!F81</f>
        <v>-22205</v>
      </c>
      <c r="E93" s="480">
        <f>+'[34]Sch C'!H81</f>
        <v>0</v>
      </c>
      <c r="F93" s="166">
        <f t="shared" si="17"/>
        <v>898</v>
      </c>
      <c r="G93" s="626"/>
      <c r="H93" s="166"/>
      <c r="I93" s="166">
        <f t="shared" si="18"/>
        <v>898</v>
      </c>
      <c r="J93" s="167">
        <f t="shared" si="19"/>
        <v>4.2461600149797715E-4</v>
      </c>
      <c r="K93" s="458"/>
      <c r="L93" s="163"/>
      <c r="M93" s="163"/>
      <c r="O93" s="324">
        <f t="shared" si="20"/>
        <v>6.8622955830658722E-2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'[34]Sch C'!D82</f>
        <v>11221</v>
      </c>
      <c r="D94" s="480">
        <f>'[34]Sch C'!F82</f>
        <v>0</v>
      </c>
      <c r="E94" s="480">
        <f>+'[34]Sch C'!H82</f>
        <v>0</v>
      </c>
      <c r="F94" s="166">
        <f t="shared" si="17"/>
        <v>11221</v>
      </c>
      <c r="G94" s="626">
        <v>-5550</v>
      </c>
      <c r="H94" s="166"/>
      <c r="I94" s="166">
        <f t="shared" si="18"/>
        <v>5671</v>
      </c>
      <c r="J94" s="167">
        <f t="shared" si="19"/>
        <v>2.6815115194822143E-3</v>
      </c>
      <c r="K94" s="458"/>
      <c r="L94" s="163"/>
      <c r="M94" s="163"/>
      <c r="O94" s="324">
        <f t="shared" si="20"/>
        <v>0.43336390035152073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'[34]Sch C'!D83</f>
        <v>214</v>
      </c>
      <c r="D95" s="480">
        <f>'[34]Sch C'!F83</f>
        <v>0</v>
      </c>
      <c r="E95" s="480">
        <f>+'[34]Sch C'!H83</f>
        <v>0</v>
      </c>
      <c r="F95" s="166">
        <f t="shared" si="17"/>
        <v>214</v>
      </c>
      <c r="G95" s="626"/>
      <c r="H95" s="166"/>
      <c r="I95" s="166">
        <f t="shared" si="18"/>
        <v>214</v>
      </c>
      <c r="J95" s="167">
        <f t="shared" si="19"/>
        <v>1.0118911394272507E-4</v>
      </c>
      <c r="K95" s="458"/>
      <c r="L95" s="163"/>
      <c r="M95" s="163"/>
      <c r="O95" s="324">
        <f t="shared" si="20"/>
        <v>1.6353354730246066E-2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'[34]Sch C'!D84</f>
        <v>28289</v>
      </c>
      <c r="D96" s="480">
        <f>'[34]Sch C'!F84</f>
        <v>0</v>
      </c>
      <c r="E96" s="480">
        <f>+'[34]Sch C'!H84</f>
        <v>0</v>
      </c>
      <c r="F96" s="166">
        <f t="shared" si="17"/>
        <v>28289</v>
      </c>
      <c r="G96" s="626"/>
      <c r="H96" s="166"/>
      <c r="I96" s="166">
        <f t="shared" si="18"/>
        <v>28289</v>
      </c>
      <c r="J96" s="167">
        <f t="shared" si="19"/>
        <v>1.3376349739839951E-2</v>
      </c>
      <c r="K96" s="458"/>
      <c r="L96" s="163"/>
      <c r="M96" s="163"/>
      <c r="O96" s="324">
        <f t="shared" si="20"/>
        <v>2.1617759437566866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'[34]Sch C'!D85</f>
        <v>2949</v>
      </c>
      <c r="D97" s="480">
        <f>'[34]Sch C'!F85</f>
        <v>0</v>
      </c>
      <c r="E97" s="480">
        <f>+'[34]Sch C'!H85</f>
        <v>0</v>
      </c>
      <c r="F97" s="166">
        <f t="shared" si="17"/>
        <v>2949</v>
      </c>
      <c r="G97" s="626"/>
      <c r="H97" s="166"/>
      <c r="I97" s="166">
        <f t="shared" si="18"/>
        <v>2949</v>
      </c>
      <c r="J97" s="167">
        <f t="shared" si="19"/>
        <v>1.3944238178368984E-3</v>
      </c>
      <c r="K97" s="458"/>
      <c r="L97" s="163"/>
      <c r="M97" s="163"/>
      <c r="O97" s="324">
        <f t="shared" si="20"/>
        <v>0.22535534158642825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138929</v>
      </c>
      <c r="D98" s="480">
        <f t="shared" si="21"/>
        <v>-20920</v>
      </c>
      <c r="E98" s="480">
        <f t="shared" si="21"/>
        <v>0</v>
      </c>
      <c r="F98" s="166">
        <f t="shared" ref="F98:I98" si="22">SUM(F87:F97)</f>
        <v>118009</v>
      </c>
      <c r="G98" s="166">
        <f t="shared" si="22"/>
        <v>-5550</v>
      </c>
      <c r="H98" s="166">
        <f t="shared" si="22"/>
        <v>0</v>
      </c>
      <c r="I98" s="166">
        <f t="shared" si="22"/>
        <v>112459</v>
      </c>
      <c r="J98" s="167">
        <f t="shared" si="19"/>
        <v>5.3175825069555697E-2</v>
      </c>
      <c r="K98" s="458"/>
      <c r="L98" s="163"/>
      <c r="M98" s="163"/>
      <c r="O98" s="329">
        <f>I98/I$233</f>
        <v>8.5938407458352444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'[34]Sch C'!D89</f>
        <v>90987</v>
      </c>
      <c r="D101" s="480">
        <f>'[34]Sch C'!F89</f>
        <v>0</v>
      </c>
      <c r="E101" s="480">
        <f>+'[34]Sch C'!H89</f>
        <v>0</v>
      </c>
      <c r="F101" s="166">
        <f t="shared" ref="F101:F106" si="23">C101+D101+E101</f>
        <v>90987</v>
      </c>
      <c r="G101" s="626"/>
      <c r="H101" s="166"/>
      <c r="I101" s="166">
        <f t="shared" ref="I101:I106" si="24">F101+G101+H101</f>
        <v>90987</v>
      </c>
      <c r="J101" s="167">
        <f t="shared" ref="J101:J107" si="25">IF($I$213=0,0,I101/$I$213)</f>
        <v>4.3022868739751058E-2</v>
      </c>
      <c r="K101" s="458"/>
      <c r="L101" s="176">
        <v>6210</v>
      </c>
      <c r="M101" s="176">
        <v>6341</v>
      </c>
      <c r="O101" s="329">
        <f t="shared" ref="O101:O106" si="26">I101/I$233</f>
        <v>6.9530032095369094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'[34]Sch C'!D90</f>
        <v>7445</v>
      </c>
      <c r="D102" s="480">
        <f>'[34]Sch C'!F90</f>
        <v>5228</v>
      </c>
      <c r="E102" s="480">
        <f>+'[34]Sch C'!H90</f>
        <v>0</v>
      </c>
      <c r="F102" s="166">
        <f t="shared" si="23"/>
        <v>12673</v>
      </c>
      <c r="G102" s="626"/>
      <c r="H102" s="166"/>
      <c r="I102" s="166">
        <f t="shared" si="24"/>
        <v>12673</v>
      </c>
      <c r="J102" s="167">
        <f t="shared" si="25"/>
        <v>5.9923814999820321E-3</v>
      </c>
      <c r="K102" s="458"/>
      <c r="L102" s="163"/>
      <c r="M102" s="163"/>
      <c r="O102" s="329">
        <f t="shared" si="26"/>
        <v>0.96843955372153445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'[34]Sch C'!D91</f>
        <v>10801</v>
      </c>
      <c r="D103" s="480">
        <f>'[34]Sch C'!F91</f>
        <v>0</v>
      </c>
      <c r="E103" s="480">
        <f>+'[34]Sch C'!H91</f>
        <v>0</v>
      </c>
      <c r="F103" s="166">
        <f t="shared" si="23"/>
        <v>10801</v>
      </c>
      <c r="G103" s="626"/>
      <c r="H103" s="166"/>
      <c r="I103" s="166">
        <f t="shared" si="24"/>
        <v>10801</v>
      </c>
      <c r="J103" s="167">
        <f t="shared" si="25"/>
        <v>5.1072131761466053E-3</v>
      </c>
      <c r="K103" s="458"/>
      <c r="L103" s="163"/>
      <c r="M103" s="163"/>
      <c r="O103" s="329">
        <f t="shared" si="26"/>
        <v>0.82538590860461558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'[34]Sch C'!D92</f>
        <v>68990</v>
      </c>
      <c r="D104" s="480">
        <f>'[34]Sch C'!F92</f>
        <v>0</v>
      </c>
      <c r="E104" s="480">
        <f>+'[34]Sch C'!H92</f>
        <v>0</v>
      </c>
      <c r="F104" s="166">
        <f t="shared" si="23"/>
        <v>68990</v>
      </c>
      <c r="G104" s="626"/>
      <c r="H104" s="166"/>
      <c r="I104" s="166">
        <f t="shared" si="24"/>
        <v>68990</v>
      </c>
      <c r="J104" s="167">
        <f t="shared" si="25"/>
        <v>3.2621668088357959E-2</v>
      </c>
      <c r="K104" s="458"/>
      <c r="L104" s="163"/>
      <c r="M104" s="163"/>
      <c r="O104" s="329">
        <f t="shared" si="26"/>
        <v>5.272046461867645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'[34]Sch C'!D93</f>
        <v>8116</v>
      </c>
      <c r="D105" s="480">
        <f>'[34]Sch C'!F93</f>
        <v>0</v>
      </c>
      <c r="E105" s="480">
        <f>+'[34]Sch C'!H93</f>
        <v>0</v>
      </c>
      <c r="F105" s="166">
        <f t="shared" si="23"/>
        <v>8116</v>
      </c>
      <c r="G105" s="626"/>
      <c r="H105" s="166"/>
      <c r="I105" s="166">
        <f t="shared" si="24"/>
        <v>8116</v>
      </c>
      <c r="J105" s="167">
        <f t="shared" si="25"/>
        <v>3.8376207885941899E-3</v>
      </c>
      <c r="K105" s="458"/>
      <c r="L105" s="163"/>
      <c r="M105" s="163"/>
      <c r="O105" s="329">
        <f t="shared" si="26"/>
        <v>0.62020479902185544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'[34]Sch C'!D94</f>
        <v>0</v>
      </c>
      <c r="D106" s="480">
        <f>'[34]Sch C'!F94</f>
        <v>0</v>
      </c>
      <c r="E106" s="480">
        <f>+'[34]Sch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186339</v>
      </c>
      <c r="D107" s="480">
        <f t="shared" si="27"/>
        <v>5228</v>
      </c>
      <c r="E107" s="480">
        <f t="shared" si="27"/>
        <v>0</v>
      </c>
      <c r="F107" s="166">
        <f t="shared" ref="F107:I107" si="28">SUM(F101:F106)</f>
        <v>191567</v>
      </c>
      <c r="G107" s="166">
        <f t="shared" si="28"/>
        <v>0</v>
      </c>
      <c r="H107" s="166">
        <f t="shared" si="28"/>
        <v>0</v>
      </c>
      <c r="I107" s="166">
        <f t="shared" si="28"/>
        <v>191567</v>
      </c>
      <c r="J107" s="167">
        <f t="shared" si="25"/>
        <v>9.0581752292831844E-2</v>
      </c>
      <c r="K107" s="458"/>
      <c r="L107" s="163"/>
      <c r="M107" s="163"/>
      <c r="O107" s="329">
        <f>I107/I$233</f>
        <v>14.63907993275256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'[34]Sch C'!D98</f>
        <v>0</v>
      </c>
      <c r="D110" s="480">
        <f>'[34]Sch C'!F98</f>
        <v>0</v>
      </c>
      <c r="E110" s="480">
        <f>+'[34]Sch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'[34]Sch C'!D99</f>
        <v>0</v>
      </c>
      <c r="D111" s="480">
        <f>'[34]Sch C'!F99</f>
        <v>0</v>
      </c>
      <c r="E111" s="480">
        <f>+'[34]Sch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'[34]Sch C'!D100</f>
        <v>3195</v>
      </c>
      <c r="D112" s="480">
        <f>'[34]Sch C'!F100</f>
        <v>0</v>
      </c>
      <c r="E112" s="480">
        <f>+'[34]Sch C'!H100</f>
        <v>0</v>
      </c>
      <c r="F112" s="166">
        <f t="shared" si="29"/>
        <v>3195</v>
      </c>
      <c r="G112" s="626"/>
      <c r="H112" s="166"/>
      <c r="I112" s="166">
        <f t="shared" si="30"/>
        <v>3195</v>
      </c>
      <c r="J112" s="167">
        <f t="shared" si="31"/>
        <v>1.5107440142383486E-3</v>
      </c>
      <c r="K112" s="458"/>
      <c r="L112" s="163"/>
      <c r="M112" s="163"/>
      <c r="O112" s="329">
        <f t="shared" si="32"/>
        <v>0.24415405777166438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'[34]Sch C'!D101</f>
        <v>0</v>
      </c>
      <c r="D113" s="480">
        <f>'[34]Sch C'!F101</f>
        <v>0</v>
      </c>
      <c r="E113" s="480">
        <f>+'[34]Sch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'[34]Sch C'!D102</f>
        <v>349</v>
      </c>
      <c r="D114" s="480">
        <f>'[34]Sch C'!F102</f>
        <v>0</v>
      </c>
      <c r="E114" s="480">
        <f>+'[34]Sch C'!H102</f>
        <v>0</v>
      </c>
      <c r="F114" s="166">
        <f t="shared" si="29"/>
        <v>349</v>
      </c>
      <c r="G114" s="626"/>
      <c r="H114" s="166"/>
      <c r="I114" s="166">
        <f t="shared" si="30"/>
        <v>349</v>
      </c>
      <c r="J114" s="167">
        <f t="shared" si="31"/>
        <v>1.6502336806547221E-4</v>
      </c>
      <c r="K114" s="458"/>
      <c r="L114" s="163"/>
      <c r="M114" s="163"/>
      <c r="O114" s="329">
        <f t="shared" si="32"/>
        <v>2.6669723368485405E-2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'[34]Sch C'!D103</f>
        <v>31</v>
      </c>
      <c r="D115" s="480">
        <f>'[34]Sch C'!F103</f>
        <v>0</v>
      </c>
      <c r="E115" s="480">
        <f>+'[34]Sch C'!H103</f>
        <v>0</v>
      </c>
      <c r="F115" s="166">
        <f t="shared" si="29"/>
        <v>31</v>
      </c>
      <c r="G115" s="626"/>
      <c r="H115" s="166"/>
      <c r="I115" s="166">
        <f t="shared" si="30"/>
        <v>31</v>
      </c>
      <c r="J115" s="167">
        <f t="shared" si="31"/>
        <v>1.465823613189008E-5</v>
      </c>
      <c r="K115" s="458"/>
      <c r="L115" s="163"/>
      <c r="M115" s="163"/>
      <c r="O115" s="329">
        <f t="shared" si="32"/>
        <v>2.3689439095216261E-3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3575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3575</v>
      </c>
      <c r="G116" s="166">
        <f t="shared" si="34"/>
        <v>0</v>
      </c>
      <c r="H116" s="166">
        <f t="shared" si="34"/>
        <v>0</v>
      </c>
      <c r="I116" s="166">
        <f t="shared" si="34"/>
        <v>3575</v>
      </c>
      <c r="J116" s="167">
        <f t="shared" si="31"/>
        <v>1.6904256184357108E-3</v>
      </c>
      <c r="K116" s="458"/>
      <c r="L116" s="163"/>
      <c r="M116" s="163"/>
      <c r="O116" s="329">
        <f>I116/I$233</f>
        <v>0.2731927250496714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'[34]Sch C'!D115</f>
        <v>52422</v>
      </c>
      <c r="D119" s="480">
        <f>'[34]Sch C'!F115</f>
        <v>0</v>
      </c>
      <c r="E119" s="480">
        <f>+'[34]Sch C'!H115</f>
        <v>0</v>
      </c>
      <c r="F119" s="166">
        <f t="shared" ref="F119:F123" si="35">C119+D119+E119</f>
        <v>52422</v>
      </c>
      <c r="G119" s="626"/>
      <c r="H119" s="166"/>
      <c r="I119" s="166">
        <f t="shared" ref="I119:I123" si="36">F119+G119+H119</f>
        <v>52422</v>
      </c>
      <c r="J119" s="167">
        <f t="shared" ref="J119:J124" si="37">IF($I$213=0,0,I119/$I$213)</f>
        <v>2.4787550145352961E-2</v>
      </c>
      <c r="K119" s="458"/>
      <c r="L119" s="176">
        <v>5179</v>
      </c>
      <c r="M119" s="176">
        <v>5220</v>
      </c>
      <c r="O119" s="329">
        <f t="shared" ref="O119:O124" si="38">I119/I$233</f>
        <v>4.0059605685465387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'[34]Sch C'!D116</f>
        <v>4451</v>
      </c>
      <c r="D120" s="480">
        <f>'[34]Sch C'!F116</f>
        <v>3012</v>
      </c>
      <c r="E120" s="480">
        <f>+'[34]Sch C'!H116</f>
        <v>0</v>
      </c>
      <c r="F120" s="166">
        <f t="shared" si="35"/>
        <v>7463</v>
      </c>
      <c r="G120" s="626"/>
      <c r="H120" s="166"/>
      <c r="I120" s="166">
        <f t="shared" si="36"/>
        <v>7463</v>
      </c>
      <c r="J120" s="167">
        <f t="shared" si="37"/>
        <v>3.5288521371708279E-3</v>
      </c>
      <c r="K120" s="458"/>
      <c r="L120" s="163"/>
      <c r="M120" s="163"/>
      <c r="O120" s="329">
        <f t="shared" si="38"/>
        <v>0.57030414183096434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'[34]Sch C'!D117</f>
        <v>9940</v>
      </c>
      <c r="D121" s="480">
        <f>'[34]Sch C'!F117</f>
        <v>0</v>
      </c>
      <c r="E121" s="480">
        <f>+'[34]Sch C'!H117</f>
        <v>0</v>
      </c>
      <c r="F121" s="166">
        <f t="shared" si="35"/>
        <v>9940</v>
      </c>
      <c r="G121" s="626"/>
      <c r="H121" s="166"/>
      <c r="I121" s="166">
        <f t="shared" si="36"/>
        <v>9940</v>
      </c>
      <c r="J121" s="167">
        <f t="shared" si="37"/>
        <v>4.7000924887415294E-3</v>
      </c>
      <c r="K121" s="458"/>
      <c r="L121" s="163"/>
      <c r="M121" s="163"/>
      <c r="O121" s="329">
        <f t="shared" si="38"/>
        <v>0.75959040195628913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'[34]Sch C'!D118</f>
        <v>2500</v>
      </c>
      <c r="D122" s="480">
        <f>'[34]Sch C'!F118</f>
        <v>0</v>
      </c>
      <c r="E122" s="480">
        <f>+'[34]Sch C'!H118</f>
        <v>0</v>
      </c>
      <c r="F122" s="166">
        <f t="shared" si="35"/>
        <v>2500</v>
      </c>
      <c r="G122" s="626"/>
      <c r="H122" s="166"/>
      <c r="I122" s="166">
        <f t="shared" si="36"/>
        <v>2500</v>
      </c>
      <c r="J122" s="167">
        <f t="shared" si="37"/>
        <v>1.1821158170879098E-3</v>
      </c>
      <c r="K122" s="458"/>
      <c r="L122" s="163"/>
      <c r="M122" s="163"/>
      <c r="O122" s="329">
        <f t="shared" si="38"/>
        <v>0.19104386367109888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'[34]Sch C'!D119</f>
        <v>0</v>
      </c>
      <c r="D123" s="480">
        <f>'[34]Sch C'!F119</f>
        <v>0</v>
      </c>
      <c r="E123" s="480">
        <f>+'[34]Sch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69313</v>
      </c>
      <c r="D124" s="480">
        <f t="shared" si="39"/>
        <v>3012</v>
      </c>
      <c r="E124" s="480">
        <f t="shared" si="39"/>
        <v>0</v>
      </c>
      <c r="F124" s="166">
        <f t="shared" ref="F124:I124" si="40">SUM(F119:F123)</f>
        <v>72325</v>
      </c>
      <c r="G124" s="166">
        <f t="shared" si="40"/>
        <v>0</v>
      </c>
      <c r="H124" s="166">
        <f t="shared" si="40"/>
        <v>0</v>
      </c>
      <c r="I124" s="166">
        <f t="shared" si="40"/>
        <v>72325</v>
      </c>
      <c r="J124" s="167">
        <f t="shared" si="37"/>
        <v>3.4198610588353225E-2</v>
      </c>
      <c r="K124" s="458"/>
      <c r="L124" s="163"/>
      <c r="M124" s="163"/>
      <c r="O124" s="329">
        <f t="shared" si="38"/>
        <v>5.5268989760048903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'[34]Sch C'!D124</f>
        <v>0</v>
      </c>
      <c r="D128" s="480">
        <f>'[34]Sch C'!F124</f>
        <v>0</v>
      </c>
      <c r="E128" s="480">
        <f>+'[34]Sch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'[34]Sch C'!D125</f>
        <v>122917</v>
      </c>
      <c r="D129" s="480">
        <f>'[34]Sch C'!F125</f>
        <v>0</v>
      </c>
      <c r="E129" s="480">
        <f>+'[34]Sch C'!H125</f>
        <v>0</v>
      </c>
      <c r="F129" s="166">
        <f t="shared" si="41"/>
        <v>122917</v>
      </c>
      <c r="G129" s="626"/>
      <c r="H129" s="166"/>
      <c r="I129" s="166">
        <f t="shared" si="42"/>
        <v>122917</v>
      </c>
      <c r="J129" s="167">
        <f>IF($I$213=0,0,I129/$I$213)</f>
        <v>5.8120851955597838E-2</v>
      </c>
      <c r="K129" s="458"/>
      <c r="L129" s="176">
        <v>2184</v>
      </c>
      <c r="M129" s="176">
        <v>2184</v>
      </c>
      <c r="O129" s="329">
        <f t="shared" si="43"/>
        <v>9.393015436344184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'[34]Sch C'!D126</f>
        <v>0</v>
      </c>
      <c r="D130" s="480">
        <f>'[34]Sch C'!F126</f>
        <v>0</v>
      </c>
      <c r="E130" s="480">
        <f>+'[34]Sch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'[34]Sch C'!D127</f>
        <v>0</v>
      </c>
      <c r="D131" s="480">
        <f>'[34]Sch C'!F127</f>
        <v>0</v>
      </c>
      <c r="E131" s="480">
        <f>+'[34]Sch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'[34]Sch C'!D128</f>
        <v>0</v>
      </c>
      <c r="D132" s="480">
        <f>'[34]Sch C'!F128</f>
        <v>0</v>
      </c>
      <c r="E132" s="480">
        <f>+'[34]Sch C'!H128</f>
        <v>0</v>
      </c>
      <c r="F132" s="166">
        <f t="shared" si="41"/>
        <v>0</v>
      </c>
      <c r="G132" s="626"/>
      <c r="H132" s="166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48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'[34]Sch C'!D130</f>
        <v>0</v>
      </c>
      <c r="D134" s="480">
        <f>'[34]Sch C'!F130</f>
        <v>0</v>
      </c>
      <c r="E134" s="480">
        <f>+'[34]Sch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'[34]Sch C'!D131</f>
        <v>0</v>
      </c>
      <c r="D135" s="480">
        <f>'[34]Sch C'!F131</f>
        <v>16912</v>
      </c>
      <c r="E135" s="480">
        <f>+'[34]Sch C'!H131</f>
        <v>0</v>
      </c>
      <c r="F135" s="166">
        <f t="shared" si="44"/>
        <v>16912</v>
      </c>
      <c r="G135" s="626"/>
      <c r="H135" s="166"/>
      <c r="I135" s="166">
        <f t="shared" si="45"/>
        <v>16912</v>
      </c>
      <c r="J135" s="167">
        <f>IF($I$213=0,0,I135/$I$213)</f>
        <v>7.9967770794362909E-3</v>
      </c>
      <c r="K135" s="458"/>
      <c r="L135" s="196"/>
      <c r="M135" s="196"/>
      <c r="O135" s="329">
        <f t="shared" si="43"/>
        <v>1.2923735289622498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'[34]Sch C'!D132</f>
        <v>0</v>
      </c>
      <c r="D136" s="480">
        <f>'[34]Sch C'!F132</f>
        <v>0</v>
      </c>
      <c r="E136" s="480">
        <f>+'[34]Sch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'[34]Sch C'!D133</f>
        <v>0</v>
      </c>
      <c r="D137" s="480">
        <f>'[34]Sch C'!F133</f>
        <v>0</v>
      </c>
      <c r="E137" s="480">
        <f>+'[34]Sch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'[34]Sch C'!D134</f>
        <v>0</v>
      </c>
      <c r="D138" s="480">
        <f>'[34]Sch C'!F134</f>
        <v>0</v>
      </c>
      <c r="E138" s="480">
        <f>+'[34]Sch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'[34]Sch C'!D136</f>
        <v>145352</v>
      </c>
      <c r="D140" s="480">
        <f>'[34]Sch C'!F136</f>
        <v>-8115</v>
      </c>
      <c r="E140" s="480">
        <f>+'[34]Sch C'!H136</f>
        <v>0</v>
      </c>
      <c r="F140" s="166">
        <f t="shared" ref="F140:F143" si="46">C140+D140+E140</f>
        <v>137237</v>
      </c>
      <c r="G140" s="626"/>
      <c r="H140" s="166"/>
      <c r="I140" s="166">
        <f t="shared" ref="I140:I143" si="47">F140+G140+H140</f>
        <v>137237</v>
      </c>
      <c r="J140" s="167">
        <f>IF($I$213=0,0,I140/$I$213)</f>
        <v>6.4892011355877383E-2</v>
      </c>
      <c r="K140" s="458"/>
      <c r="L140" s="176">
        <v>4991</v>
      </c>
      <c r="M140" s="176">
        <v>5222</v>
      </c>
      <c r="O140" s="329">
        <f t="shared" si="43"/>
        <v>10.487314687452239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'[34]Sch C'!D137</f>
        <v>98412</v>
      </c>
      <c r="D141" s="480">
        <f>'[34]Sch C'!F137</f>
        <v>8115</v>
      </c>
      <c r="E141" s="480">
        <f>+'[34]Sch C'!H137</f>
        <v>0</v>
      </c>
      <c r="F141" s="166">
        <f t="shared" si="46"/>
        <v>106527</v>
      </c>
      <c r="G141" s="626"/>
      <c r="H141" s="166"/>
      <c r="I141" s="166">
        <f t="shared" si="47"/>
        <v>106527</v>
      </c>
      <c r="J141" s="167">
        <f>IF($I$213=0,0,I141/$I$213)</f>
        <v>5.03709006587695E-2</v>
      </c>
      <c r="K141" s="458"/>
      <c r="L141" s="176">
        <v>3945</v>
      </c>
      <c r="M141" s="176">
        <v>4037</v>
      </c>
      <c r="O141" s="329">
        <f t="shared" si="43"/>
        <v>8.1405318661164596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'[34]Sch C'!D138</f>
        <v>237298</v>
      </c>
      <c r="D142" s="480">
        <f>'[34]Sch C'!F138</f>
        <v>0</v>
      </c>
      <c r="E142" s="480">
        <f>+'[34]Sch C'!H138</f>
        <v>0</v>
      </c>
      <c r="F142" s="166">
        <f t="shared" si="46"/>
        <v>237298</v>
      </c>
      <c r="G142" s="626"/>
      <c r="H142" s="166"/>
      <c r="I142" s="166">
        <f t="shared" si="47"/>
        <v>237298</v>
      </c>
      <c r="J142" s="167">
        <f>IF($I$213=0,0,I142/$I$213)</f>
        <v>0.11220548766533071</v>
      </c>
      <c r="K142" s="458"/>
      <c r="L142" s="176">
        <v>17177</v>
      </c>
      <c r="M142" s="176">
        <v>17654</v>
      </c>
      <c r="O142" s="329">
        <f t="shared" si="43"/>
        <v>18.133730704569768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'[34]Sch C'!D139</f>
        <v>0</v>
      </c>
      <c r="D143" s="480">
        <f>'[34]Sch C'!F139</f>
        <v>0</v>
      </c>
      <c r="E143" s="480">
        <f>+'[34]Sch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'[34]Sch C'!D141</f>
        <v>29385</v>
      </c>
      <c r="D145" s="480">
        <f>'[34]Sch C'!F141</f>
        <v>-10502</v>
      </c>
      <c r="E145" s="480">
        <f>+'[34]Sch C'!H141</f>
        <v>0</v>
      </c>
      <c r="F145" s="166">
        <f t="shared" ref="F145:F148" si="48">C145+D145+E145</f>
        <v>18883</v>
      </c>
      <c r="G145" s="626"/>
      <c r="H145" s="166"/>
      <c r="I145" s="166">
        <f t="shared" ref="I145:I148" si="49">F145+G145+H145</f>
        <v>18883</v>
      </c>
      <c r="J145" s="167">
        <f>IF($I$213=0,0,I145/$I$213)</f>
        <v>8.9287571896283988E-3</v>
      </c>
      <c r="K145" s="458"/>
      <c r="L145" s="163"/>
      <c r="M145" s="163"/>
      <c r="O145" s="329">
        <f t="shared" si="43"/>
        <v>1.4429925110805442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'[34]Sch C'!D142</f>
        <v>0</v>
      </c>
      <c r="D146" s="480">
        <f>'[34]Sch C'!F142</f>
        <v>14657</v>
      </c>
      <c r="E146" s="480">
        <f>+'[34]Sch C'!H142</f>
        <v>0</v>
      </c>
      <c r="F146" s="166">
        <f t="shared" si="48"/>
        <v>14657</v>
      </c>
      <c r="G146" s="626"/>
      <c r="H146" s="166"/>
      <c r="I146" s="166">
        <f t="shared" si="49"/>
        <v>14657</v>
      </c>
      <c r="J146" s="167">
        <f>IF($I$213=0,0,I146/$I$213)</f>
        <v>6.930508612422997E-3</v>
      </c>
      <c r="K146" s="458"/>
      <c r="L146" s="163"/>
      <c r="M146" s="163"/>
      <c r="O146" s="329">
        <f t="shared" si="43"/>
        <v>1.1200519639309185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'[34]Sch C'!D143</f>
        <v>19177</v>
      </c>
      <c r="D147" s="480">
        <f>'[34]Sch C'!F143</f>
        <v>13634</v>
      </c>
      <c r="E147" s="480">
        <f>+'[34]Sch C'!H143</f>
        <v>0</v>
      </c>
      <c r="F147" s="166">
        <f t="shared" si="48"/>
        <v>32811</v>
      </c>
      <c r="G147" s="626"/>
      <c r="H147" s="166"/>
      <c r="I147" s="166">
        <f t="shared" si="49"/>
        <v>32811</v>
      </c>
      <c r="J147" s="167">
        <f>IF($I$213=0,0,I147/$I$213)</f>
        <v>1.5514560829788563E-2</v>
      </c>
      <c r="K147" s="458"/>
      <c r="L147" s="163"/>
      <c r="M147" s="163"/>
      <c r="O147" s="329">
        <f t="shared" si="43"/>
        <v>2.5073360843649701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'[34]Sch C'!D144</f>
        <v>0</v>
      </c>
      <c r="D148" s="480">
        <f>'[34]Sch C'!F144</f>
        <v>0</v>
      </c>
      <c r="E148" s="480">
        <f>+'[34]Sch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'[34]Sch C'!D146</f>
        <v>12000</v>
      </c>
      <c r="D150" s="480">
        <f>'[34]Sch C'!F146</f>
        <v>0</v>
      </c>
      <c r="E150" s="480">
        <f>+'[34]Sch C'!H146</f>
        <v>0</v>
      </c>
      <c r="F150" s="166">
        <f t="shared" ref="F150:F158" si="50">C150+D150+E150</f>
        <v>12000</v>
      </c>
      <c r="G150" s="626"/>
      <c r="H150" s="166"/>
      <c r="I150" s="166">
        <f t="shared" ref="I150:I158" si="51">F150+G150+H150</f>
        <v>12000</v>
      </c>
      <c r="J150" s="167">
        <f t="shared" ref="J150:J158" si="52">IF($I$213=0,0,I150/$I$213)</f>
        <v>5.6741559220219668E-3</v>
      </c>
      <c r="K150" s="458"/>
      <c r="L150" s="176">
        <v>208</v>
      </c>
      <c r="M150" s="176">
        <v>208</v>
      </c>
      <c r="O150" s="329">
        <f t="shared" si="43"/>
        <v>0.9170105456212746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'[34]Sch C'!D147</f>
        <v>0</v>
      </c>
      <c r="D151" s="480">
        <f>'[34]Sch C'!F147</f>
        <v>0</v>
      </c>
      <c r="E151" s="480">
        <f>+'[34]Sch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'[34]Sch C'!D148</f>
        <v>0</v>
      </c>
      <c r="D152" s="480">
        <f>'[34]Sch C'!F148</f>
        <v>0</v>
      </c>
      <c r="E152" s="480">
        <f>+'[34]Sch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'[34]Sch C'!D149</f>
        <v>0</v>
      </c>
      <c r="D153" s="480">
        <f>'[34]Sch C'!F149</f>
        <v>0</v>
      </c>
      <c r="E153" s="480">
        <f>+'[34]Sch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'[34]Sch C'!D150</f>
        <v>4898</v>
      </c>
      <c r="D154" s="480">
        <f>'[34]Sch C'!F150</f>
        <v>0</v>
      </c>
      <c r="E154" s="480">
        <f>+'[34]Sch C'!H150</f>
        <v>0</v>
      </c>
      <c r="F154" s="166">
        <f t="shared" si="50"/>
        <v>4898</v>
      </c>
      <c r="G154" s="626"/>
      <c r="H154" s="166"/>
      <c r="I154" s="166">
        <f t="shared" si="51"/>
        <v>4898</v>
      </c>
      <c r="J154" s="167">
        <f t="shared" si="52"/>
        <v>2.3160013088386329E-3</v>
      </c>
      <c r="K154" s="458"/>
      <c r="L154" s="176">
        <v>84</v>
      </c>
      <c r="M154" s="176">
        <v>84</v>
      </c>
      <c r="O154" s="329">
        <f t="shared" si="43"/>
        <v>0.37429313770441691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'[34]Sch C'!D151</f>
        <v>26916</v>
      </c>
      <c r="D155" s="480">
        <f>'[34]Sch C'!F151</f>
        <v>0</v>
      </c>
      <c r="E155" s="480">
        <f>+'[34]Sch C'!H151</f>
        <v>0</v>
      </c>
      <c r="F155" s="166">
        <f t="shared" si="50"/>
        <v>26916</v>
      </c>
      <c r="G155" s="626"/>
      <c r="H155" s="166"/>
      <c r="I155" s="166">
        <f t="shared" si="51"/>
        <v>26916</v>
      </c>
      <c r="J155" s="167">
        <f t="shared" si="52"/>
        <v>1.2727131733095271E-2</v>
      </c>
      <c r="K155" s="458"/>
      <c r="L155" s="163"/>
      <c r="M155" s="163"/>
      <c r="O155" s="329">
        <f t="shared" si="43"/>
        <v>2.0568546538285188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'[34]Sch C'!D152</f>
        <v>748</v>
      </c>
      <c r="D156" s="480">
        <f>'[34]Sch C'!F152</f>
        <v>0</v>
      </c>
      <c r="E156" s="480">
        <f>+'[34]Sch C'!H152</f>
        <v>0</v>
      </c>
      <c r="F156" s="166">
        <f t="shared" si="50"/>
        <v>748</v>
      </c>
      <c r="G156" s="626"/>
      <c r="H156" s="166"/>
      <c r="I156" s="166">
        <f t="shared" si="51"/>
        <v>748</v>
      </c>
      <c r="J156" s="167">
        <f t="shared" si="52"/>
        <v>3.5368905247270258E-4</v>
      </c>
      <c r="K156" s="458"/>
      <c r="L156" s="163"/>
      <c r="M156" s="163"/>
      <c r="O156" s="329">
        <f t="shared" si="43"/>
        <v>5.7160324010392789E-2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'[34]Sch C'!D153</f>
        <v>0</v>
      </c>
      <c r="D157" s="480">
        <f>'[34]Sch C'!F153</f>
        <v>0</v>
      </c>
      <c r="E157" s="480">
        <f>+'[34]Sch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'[34]Sch C'!D154</f>
        <v>0</v>
      </c>
      <c r="D158" s="480">
        <f>'[34]Sch C'!F154</f>
        <v>0</v>
      </c>
      <c r="E158" s="480">
        <f>+'[34]Sch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'[34]Sch C'!D156</f>
        <v>0</v>
      </c>
      <c r="D160" s="480">
        <f>'[34]Sch C'!F156</f>
        <v>0</v>
      </c>
      <c r="E160" s="480">
        <f>+'[34]Sch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'[34]Sch C'!D157</f>
        <v>0</v>
      </c>
      <c r="D161" s="480">
        <f>'[34]Sch C'!F157</f>
        <v>0</v>
      </c>
      <c r="E161" s="480">
        <f>+'[34]Sch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'[34]Sch C'!D158</f>
        <v>0</v>
      </c>
      <c r="D162" s="480">
        <f>'[34]Sch C'!F158</f>
        <v>0</v>
      </c>
      <c r="E162" s="480">
        <f>+'[34]Sch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'[34]Sch C'!D159</f>
        <v>0</v>
      </c>
      <c r="D163" s="480">
        <f>'[34]Sch C'!F159</f>
        <v>0</v>
      </c>
      <c r="E163" s="480">
        <f>+'[34]Sch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'[34]Sch C'!D160</f>
        <v>0</v>
      </c>
      <c r="D164" s="480">
        <f>'[34]Sch C'!F160</f>
        <v>0</v>
      </c>
      <c r="E164" s="480">
        <f>+'[34]Sch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'[34]Sch C'!D161</f>
        <v>0</v>
      </c>
      <c r="D165" s="480">
        <f>'[34]Sch C'!F161</f>
        <v>0</v>
      </c>
      <c r="E165" s="480">
        <f>+'[34]Sch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697103</v>
      </c>
      <c r="D166" s="480">
        <f t="shared" si="56"/>
        <v>34701</v>
      </c>
      <c r="E166" s="480">
        <f t="shared" si="56"/>
        <v>0</v>
      </c>
      <c r="F166" s="166">
        <f t="shared" ref="F166:I166" si="57">SUM(F128:F165)</f>
        <v>731804</v>
      </c>
      <c r="G166" s="166">
        <f t="shared" si="57"/>
        <v>0</v>
      </c>
      <c r="H166" s="166">
        <f t="shared" si="57"/>
        <v>0</v>
      </c>
      <c r="I166" s="166">
        <f t="shared" si="57"/>
        <v>731804</v>
      </c>
      <c r="J166" s="167">
        <f t="shared" si="55"/>
        <v>0.34603083336328028</v>
      </c>
      <c r="K166" s="458"/>
      <c r="L166" s="163"/>
      <c r="M166" s="163"/>
      <c r="O166" s="329">
        <f>I166/I$233</f>
        <v>55.922665443985942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'[34]Sch C'!D175</f>
        <v>0</v>
      </c>
      <c r="D169" s="480">
        <f>'[34]Sch C'!F175</f>
        <v>0</v>
      </c>
      <c r="E169" s="480">
        <f>+'[34]Sch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'[34]Sch C'!D176</f>
        <v>0</v>
      </c>
      <c r="D170" s="480">
        <f>'[34]Sch C'!F176</f>
        <v>0</v>
      </c>
      <c r="E170" s="480">
        <f>+'[34]Sch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'[34]Sch C'!D177</f>
        <v>0</v>
      </c>
      <c r="D171" s="480">
        <f>'[34]Sch C'!F177</f>
        <v>0</v>
      </c>
      <c r="E171" s="480">
        <f>+'[34]Sch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O171" s="329">
        <f t="shared" si="61"/>
        <v>0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'[34]Sch C'!D178</f>
        <v>0</v>
      </c>
      <c r="D172" s="480">
        <f>'[34]Sch C'!F178</f>
        <v>0</v>
      </c>
      <c r="E172" s="480">
        <f>+'[34]Sch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O172" s="329">
        <f t="shared" si="61"/>
        <v>0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'[34]Sch C'!D179</f>
        <v>0</v>
      </c>
      <c r="D173" s="480">
        <f>'[34]Sch C'!F179</f>
        <v>0</v>
      </c>
      <c r="E173" s="480">
        <f>+'[34]Sch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O173" s="329">
        <f t="shared" si="61"/>
        <v>0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'[34]Sch C'!D180</f>
        <v>0</v>
      </c>
      <c r="D174" s="480">
        <f>'[34]Sch C'!F180</f>
        <v>0</v>
      </c>
      <c r="E174" s="480">
        <f>+'[34]Sch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O174" s="329">
        <f t="shared" si="61"/>
        <v>0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'[34]Sch C'!D181</f>
        <v>0</v>
      </c>
      <c r="D175" s="480">
        <f>'[34]Sch C'!F181</f>
        <v>0</v>
      </c>
      <c r="E175" s="480">
        <f>+'[34]Sch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'[34]Sch C'!D182</f>
        <v>0</v>
      </c>
      <c r="D176" s="480">
        <f>'[34]Sch C'!F182</f>
        <v>0</v>
      </c>
      <c r="E176" s="480">
        <f>+'[34]Sch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'[34]Sch C'!D183</f>
        <v>0</v>
      </c>
      <c r="D177" s="480">
        <f>'[34]Sch C'!F183</f>
        <v>0</v>
      </c>
      <c r="E177" s="480">
        <f>+'[34]Sch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O177" s="329">
        <f t="shared" si="61"/>
        <v>0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'[34]Sch C'!D184</f>
        <v>0</v>
      </c>
      <c r="D178" s="480">
        <f>'[34]Sch C'!F184</f>
        <v>0</v>
      </c>
      <c r="E178" s="480">
        <f>+'[34]Sch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O178" s="329">
        <f t="shared" si="61"/>
        <v>0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'[34]Sch C'!D185</f>
        <v>0</v>
      </c>
      <c r="D179" s="480">
        <f>'[34]Sch C'!F185</f>
        <v>0</v>
      </c>
      <c r="E179" s="480">
        <f>+'[34]Sch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'[34]Sch C'!D186</f>
        <v>0</v>
      </c>
      <c r="D180" s="480">
        <f>'[34]Sch C'!F186</f>
        <v>0</v>
      </c>
      <c r="E180" s="480">
        <f>+'[34]Sch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'[34]Sch C'!D187</f>
        <v>0</v>
      </c>
      <c r="D181" s="480">
        <f>'[34]Sch C'!F187</f>
        <v>0</v>
      </c>
      <c r="E181" s="480">
        <f>+'[34]Sch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'[34]Sch C'!D188</f>
        <v>0</v>
      </c>
      <c r="D182" s="480">
        <f>'[34]Sch C'!F188</f>
        <v>0</v>
      </c>
      <c r="E182" s="480">
        <f>+'[34]Sch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O182" s="329">
        <f t="shared" si="61"/>
        <v>0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'[34]Sch C'!D189</f>
        <v>0</v>
      </c>
      <c r="D183" s="480">
        <f>'[34]Sch C'!F189</f>
        <v>0</v>
      </c>
      <c r="E183" s="480">
        <f>+'[34]Sch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'[34]Sch C'!D190</f>
        <v>0</v>
      </c>
      <c r="D184" s="480">
        <f>'[34]Sch C'!F190</f>
        <v>0</v>
      </c>
      <c r="E184" s="480">
        <f>+'[34]Sch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'[34]Sch C'!D191</f>
        <v>0</v>
      </c>
      <c r="D185" s="480">
        <f>'[34]Sch C'!F191</f>
        <v>0</v>
      </c>
      <c r="E185" s="480">
        <f>+'[34]Sch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'[34]Sch C'!D192</f>
        <v>0</v>
      </c>
      <c r="D186" s="480">
        <f>'[34]Sch C'!F192</f>
        <v>0</v>
      </c>
      <c r="E186" s="480">
        <f>+'[34]Sch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'[34]Sch C'!D193</f>
        <v>0</v>
      </c>
      <c r="D187" s="480">
        <f>'[34]Sch C'!F193</f>
        <v>0</v>
      </c>
      <c r="E187" s="480">
        <f>+'[34]Sch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'[34]Sch C'!D194</f>
        <v>4448</v>
      </c>
      <c r="D188" s="480">
        <f>'[34]Sch C'!F194</f>
        <v>0</v>
      </c>
      <c r="E188" s="480">
        <f>+'[34]Sch C'!H194</f>
        <v>0</v>
      </c>
      <c r="F188" s="166">
        <f t="shared" si="58"/>
        <v>4448</v>
      </c>
      <c r="G188" s="626"/>
      <c r="H188" s="166"/>
      <c r="I188" s="166">
        <f t="shared" si="59"/>
        <v>4448</v>
      </c>
      <c r="J188" s="167">
        <f t="shared" si="60"/>
        <v>2.1032204617628088E-3</v>
      </c>
      <c r="K188" s="458"/>
      <c r="L188" s="213"/>
      <c r="M188" s="208"/>
      <c r="O188" s="329">
        <f t="shared" si="61"/>
        <v>0.33990524224361912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'[34]Sch C'!D195</f>
        <v>1540</v>
      </c>
      <c r="D189" s="480">
        <f>'[34]Sch C'!F195</f>
        <v>0</v>
      </c>
      <c r="E189" s="480">
        <f>+'[34]Sch C'!H195</f>
        <v>0</v>
      </c>
      <c r="F189" s="166">
        <f t="shared" si="58"/>
        <v>1540</v>
      </c>
      <c r="G189" s="626"/>
      <c r="H189" s="166"/>
      <c r="I189" s="166">
        <f t="shared" si="59"/>
        <v>1540</v>
      </c>
      <c r="J189" s="167">
        <f t="shared" si="60"/>
        <v>7.2818334332615242E-4</v>
      </c>
      <c r="K189" s="458"/>
      <c r="L189" s="213"/>
      <c r="M189" s="208"/>
      <c r="O189" s="329">
        <f t="shared" si="61"/>
        <v>0.11768302002139691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'[34]Sch C'!D196</f>
        <v>0</v>
      </c>
      <c r="D190" s="480">
        <f>'[34]Sch C'!F196</f>
        <v>0</v>
      </c>
      <c r="E190" s="480">
        <f>+'[34]Sch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'[34]Sch C'!D197</f>
        <v>5243</v>
      </c>
      <c r="D191" s="480">
        <f>'[34]Sch C'!F197</f>
        <v>0</v>
      </c>
      <c r="E191" s="480">
        <f>+'[34]Sch C'!H197</f>
        <v>0</v>
      </c>
      <c r="F191" s="166">
        <f t="shared" si="58"/>
        <v>5243</v>
      </c>
      <c r="G191" s="626"/>
      <c r="H191" s="166"/>
      <c r="I191" s="166">
        <f t="shared" si="59"/>
        <v>5243</v>
      </c>
      <c r="J191" s="167">
        <f t="shared" si="60"/>
        <v>2.4791332915967642E-3</v>
      </c>
      <c r="K191" s="458"/>
      <c r="L191" s="213"/>
      <c r="M191" s="208"/>
      <c r="O191" s="329">
        <f t="shared" si="61"/>
        <v>0.40065719089102858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'[34]Sch C'!D198</f>
        <v>334</v>
      </c>
      <c r="D192" s="480">
        <f>'[34]Sch C'!F198</f>
        <v>0</v>
      </c>
      <c r="E192" s="480">
        <f>+'[34]Sch C'!H198</f>
        <v>0</v>
      </c>
      <c r="F192" s="166">
        <f t="shared" si="58"/>
        <v>334</v>
      </c>
      <c r="G192" s="626"/>
      <c r="H192" s="166"/>
      <c r="I192" s="166">
        <f t="shared" si="59"/>
        <v>334</v>
      </c>
      <c r="J192" s="167">
        <f t="shared" si="60"/>
        <v>1.5793067316294474E-4</v>
      </c>
      <c r="K192" s="458"/>
      <c r="L192" s="213"/>
      <c r="M192" s="208"/>
      <c r="O192" s="329">
        <f t="shared" si="61"/>
        <v>2.5523460186458811E-2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'[34]Sch C'!D199</f>
        <v>0</v>
      </c>
      <c r="D193" s="480">
        <f>'[34]Sch C'!F199</f>
        <v>0</v>
      </c>
      <c r="E193" s="480">
        <f>+'[34]Sch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'[34]Sch C'!D200</f>
        <v>0</v>
      </c>
      <c r="D194" s="480">
        <f>'[34]Sch C'!F200</f>
        <v>0</v>
      </c>
      <c r="E194" s="480">
        <f>+'[34]Sch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'[34]Sch C'!D201</f>
        <v>0</v>
      </c>
      <c r="D195" s="480">
        <f>'[34]Sch C'!F201</f>
        <v>0</v>
      </c>
      <c r="E195" s="480">
        <f>+'[34]Sch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'[34]Sch C'!D202</f>
        <v>0</v>
      </c>
      <c r="D196" s="480">
        <f>'[34]Sch C'!F202</f>
        <v>0</v>
      </c>
      <c r="E196" s="480">
        <f>+'[34]Sch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'[34]Sch C'!D203</f>
        <v>0</v>
      </c>
      <c r="D197" s="480">
        <f>'[34]Sch C'!F203</f>
        <v>0</v>
      </c>
      <c r="E197" s="480">
        <f>+'[34]Sch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'[34]Sch C'!D204</f>
        <v>0</v>
      </c>
      <c r="D198" s="480">
        <f>'[34]Sch C'!F204</f>
        <v>0</v>
      </c>
      <c r="E198" s="480">
        <f>+'[34]Sch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'[34]Sch C'!D205</f>
        <v>15249</v>
      </c>
      <c r="D199" s="480">
        <f>'[34]Sch C'!F205</f>
        <v>0</v>
      </c>
      <c r="E199" s="480">
        <f>+'[34]Sch C'!H205</f>
        <v>0</v>
      </c>
      <c r="F199" s="166">
        <f t="shared" si="58"/>
        <v>15249</v>
      </c>
      <c r="G199" s="626"/>
      <c r="H199" s="166"/>
      <c r="I199" s="166">
        <f t="shared" si="59"/>
        <v>15249</v>
      </c>
      <c r="J199" s="167">
        <f t="shared" si="60"/>
        <v>7.2104336379094141E-3</v>
      </c>
      <c r="K199" s="458"/>
      <c r="L199" s="213"/>
      <c r="M199" s="208"/>
      <c r="O199" s="329">
        <f t="shared" si="61"/>
        <v>1.1652911508482346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'[34]Sch C'!D206</f>
        <v>0</v>
      </c>
      <c r="D200" s="480">
        <f>'[34]Sch C'!F206</f>
        <v>0</v>
      </c>
      <c r="E200" s="480">
        <f>+'[34]Sch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'[34]Sch C'!D207</f>
        <v>0</v>
      </c>
      <c r="D201" s="480">
        <f>'[34]Sch C'!F207</f>
        <v>0</v>
      </c>
      <c r="E201" s="480">
        <f>+'[34]Sch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26814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26814</v>
      </c>
      <c r="G202" s="166">
        <f t="shared" si="63"/>
        <v>0</v>
      </c>
      <c r="H202" s="166">
        <f t="shared" si="63"/>
        <v>0</v>
      </c>
      <c r="I202" s="166">
        <f t="shared" si="63"/>
        <v>26814</v>
      </c>
      <c r="J202" s="167">
        <f>IF($I$213=0,0,I202/$I$213)</f>
        <v>1.2678901407758084E-2</v>
      </c>
      <c r="K202" s="458"/>
      <c r="L202" s="163"/>
      <c r="M202" s="163"/>
      <c r="O202" s="329">
        <f>I202/I$233</f>
        <v>2.0490600641907384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'[34]Sch C'!D211</f>
        <v>65825</v>
      </c>
      <c r="D205" s="480">
        <f>'[34]Sch C'!F211</f>
        <v>0</v>
      </c>
      <c r="E205" s="480">
        <f>+'[34]Sch C'!H211</f>
        <v>0</v>
      </c>
      <c r="F205" s="166">
        <f t="shared" ref="F205:F210" si="64">C205+D205+E205</f>
        <v>65825</v>
      </c>
      <c r="G205" s="626"/>
      <c r="H205" s="166"/>
      <c r="I205" s="166">
        <f t="shared" ref="I205:I210" si="65">F205+G205+H205</f>
        <v>65825</v>
      </c>
      <c r="J205" s="167">
        <f t="shared" ref="J205:J211" si="66">IF($I$213=0,0,I205/$I$213)</f>
        <v>3.1125109463924664E-2</v>
      </c>
      <c r="K205" s="458"/>
      <c r="L205" s="176">
        <v>4515</v>
      </c>
      <c r="M205" s="176">
        <v>4712</v>
      </c>
      <c r="O205" s="329">
        <f t="shared" ref="O205:O210" si="67">I205/I$233</f>
        <v>5.0301849304600337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'[34]Sch C'!D212</f>
        <v>4903</v>
      </c>
      <c r="D206" s="480">
        <f>'[34]Sch C'!F212</f>
        <v>3782</v>
      </c>
      <c r="E206" s="480">
        <f>+'[34]Sch C'!H212</f>
        <v>0</v>
      </c>
      <c r="F206" s="166">
        <f t="shared" si="64"/>
        <v>8685</v>
      </c>
      <c r="G206" s="626"/>
      <c r="H206" s="166"/>
      <c r="I206" s="166">
        <f t="shared" si="65"/>
        <v>8685</v>
      </c>
      <c r="J206" s="167">
        <f t="shared" si="66"/>
        <v>4.1066703485633984E-3</v>
      </c>
      <c r="K206" s="458"/>
      <c r="L206" s="163"/>
      <c r="M206" s="163"/>
      <c r="O206" s="329">
        <f t="shared" si="67"/>
        <v>0.6636863823933975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'[34]Sch C'!D213</f>
        <v>8540</v>
      </c>
      <c r="D207" s="480">
        <f>'[34]Sch C'!F213</f>
        <v>0</v>
      </c>
      <c r="E207" s="480">
        <f>+'[34]Sch C'!H213</f>
        <v>0</v>
      </c>
      <c r="F207" s="166">
        <f t="shared" si="64"/>
        <v>8540</v>
      </c>
      <c r="G207" s="626"/>
      <c r="H207" s="166"/>
      <c r="I207" s="166">
        <f t="shared" si="65"/>
        <v>8540</v>
      </c>
      <c r="J207" s="167">
        <f t="shared" si="66"/>
        <v>4.0381076311722993E-3</v>
      </c>
      <c r="K207" s="458"/>
      <c r="L207" s="163"/>
      <c r="M207" s="163"/>
      <c r="O207" s="329">
        <f t="shared" si="67"/>
        <v>0.65260583830047381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'[34]Sch C'!D214</f>
        <v>0</v>
      </c>
      <c r="D208" s="480">
        <f>'[34]Sch C'!F214</f>
        <v>0</v>
      </c>
      <c r="E208" s="480">
        <f>+'[34]Sch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'[34]Sch C'!D215</f>
        <v>0</v>
      </c>
      <c r="D209" s="480">
        <f>'[34]Sch C'!F215</f>
        <v>0</v>
      </c>
      <c r="E209" s="480">
        <f>+'[34]Sch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'[34]Sch C'!D216</f>
        <v>3482</v>
      </c>
      <c r="D210" s="480">
        <f>'[34]Sch C'!F216</f>
        <v>0</v>
      </c>
      <c r="E210" s="480">
        <f>+'[34]Sch C'!H216</f>
        <v>0</v>
      </c>
      <c r="F210" s="166">
        <f t="shared" si="64"/>
        <v>3482</v>
      </c>
      <c r="G210" s="626"/>
      <c r="H210" s="166"/>
      <c r="I210" s="166">
        <f t="shared" si="65"/>
        <v>3482</v>
      </c>
      <c r="J210" s="167">
        <f t="shared" si="66"/>
        <v>1.6464509100400405E-3</v>
      </c>
      <c r="K210" s="458"/>
      <c r="L210" s="163"/>
      <c r="M210" s="163"/>
      <c r="O210" s="329">
        <f t="shared" si="67"/>
        <v>0.26608589332110655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82750</v>
      </c>
      <c r="D211" s="480">
        <f t="shared" si="68"/>
        <v>3782</v>
      </c>
      <c r="E211" s="480">
        <f t="shared" si="68"/>
        <v>0</v>
      </c>
      <c r="F211" s="166">
        <f t="shared" ref="F211:I211" si="69">SUM(F205:F210)</f>
        <v>86532</v>
      </c>
      <c r="G211" s="166">
        <f t="shared" si="69"/>
        <v>0</v>
      </c>
      <c r="H211" s="166">
        <f t="shared" si="69"/>
        <v>0</v>
      </c>
      <c r="I211" s="166">
        <f t="shared" si="69"/>
        <v>86532</v>
      </c>
      <c r="J211" s="167">
        <f t="shared" si="66"/>
        <v>4.0916338353700399E-2</v>
      </c>
      <c r="K211" s="458"/>
      <c r="L211" s="163"/>
      <c r="M211" s="163"/>
      <c r="O211" s="329">
        <f>I211/I$233</f>
        <v>6.6125630444750119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3218774</v>
      </c>
      <c r="D213" s="480">
        <f t="shared" si="70"/>
        <v>25429</v>
      </c>
      <c r="E213" s="480">
        <f t="shared" si="70"/>
        <v>-1123801</v>
      </c>
      <c r="F213" s="166">
        <f t="shared" ref="F213:I213" si="71">SUM(F30:F211)/2</f>
        <v>2120402</v>
      </c>
      <c r="G213" s="166">
        <f t="shared" si="71"/>
        <v>-5550</v>
      </c>
      <c r="H213" s="166">
        <f t="shared" si="71"/>
        <v>0</v>
      </c>
      <c r="I213" s="166">
        <f t="shared" si="71"/>
        <v>2114852</v>
      </c>
      <c r="J213" s="167">
        <f>IF($I$213=0,0,I213/$I$213)</f>
        <v>1</v>
      </c>
      <c r="K213" s="458"/>
      <c r="L213" s="176">
        <f>SUM(L30:L205)</f>
        <v>50503</v>
      </c>
      <c r="M213" s="176">
        <f>SUM(M30:M205)</f>
        <v>51772</v>
      </c>
      <c r="O213" s="329">
        <f>I213/I$233</f>
        <v>161.61179886902033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498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'[34]Sch C'!D221</f>
        <v>3218774</v>
      </c>
      <c r="D216" s="188"/>
      <c r="E216" s="188"/>
      <c r="F216" s="160"/>
      <c r="G216" s="160"/>
      <c r="H216" s="498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44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486082</v>
      </c>
      <c r="D220" s="480">
        <f t="shared" si="72"/>
        <v>428167</v>
      </c>
      <c r="E220" s="480">
        <f t="shared" si="72"/>
        <v>1123801</v>
      </c>
      <c r="F220" s="166">
        <f t="shared" ref="F220:I220" si="73">F26-F213</f>
        <v>2038050</v>
      </c>
      <c r="G220" s="166">
        <f t="shared" si="73"/>
        <v>5551</v>
      </c>
      <c r="H220" s="166">
        <f t="shared" si="73"/>
        <v>0</v>
      </c>
      <c r="I220" s="166">
        <f t="shared" si="73"/>
        <v>2043601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'[34]Sch D'!C9</f>
        <v>11822</v>
      </c>
      <c r="D224" s="480"/>
      <c r="E224" s="480"/>
      <c r="F224" s="224">
        <f>C224+D224+E224</f>
        <v>11822</v>
      </c>
      <c r="G224" s="627"/>
      <c r="H224" s="224"/>
      <c r="I224" s="224">
        <f>F224+G224+H224</f>
        <v>11822</v>
      </c>
      <c r="J224" s="167">
        <f t="shared" ref="J224:J233" si="74">IF($I$233=0,0,I224/$I$233)</f>
        <v>0.90340822252789243</v>
      </c>
      <c r="K224" s="458"/>
      <c r="L224" s="163"/>
      <c r="M224" s="163"/>
    </row>
    <row r="225" spans="1:13">
      <c r="A225" s="158"/>
      <c r="B225" s="165" t="s">
        <v>201</v>
      </c>
      <c r="C225" s="504">
        <f>'[34]Sch D'!D9</f>
        <v>0</v>
      </c>
      <c r="D225" s="480"/>
      <c r="E225" s="480"/>
      <c r="F225" s="224">
        <f t="shared" ref="F225:F232" si="75">C225+D225+E225</f>
        <v>0</v>
      </c>
      <c r="G225" s="631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'[34]Sch D'!E9</f>
        <v>0</v>
      </c>
      <c r="D226" s="480"/>
      <c r="E226" s="480"/>
      <c r="F226" s="224">
        <f t="shared" si="75"/>
        <v>0</v>
      </c>
      <c r="G226" s="631"/>
      <c r="H226" s="224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'[34]Sch D'!F9</f>
        <v>0</v>
      </c>
      <c r="D227" s="480"/>
      <c r="E227" s="480"/>
      <c r="F227" s="224">
        <f t="shared" si="75"/>
        <v>0</v>
      </c>
      <c r="G227" s="631"/>
      <c r="H227" s="224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'[34]Sch D'!G9</f>
        <v>0</v>
      </c>
      <c r="D228" s="480"/>
      <c r="E228" s="480"/>
      <c r="F228" s="224">
        <f t="shared" si="75"/>
        <v>0</v>
      </c>
      <c r="G228" s="631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'[34]Sch D'!H9</f>
        <v>368</v>
      </c>
      <c r="D229" s="480"/>
      <c r="E229" s="480"/>
      <c r="F229" s="224">
        <f t="shared" si="75"/>
        <v>368</v>
      </c>
      <c r="G229" s="631"/>
      <c r="H229" s="224"/>
      <c r="I229" s="224">
        <f t="shared" si="76"/>
        <v>368</v>
      </c>
      <c r="J229" s="167">
        <f t="shared" si="74"/>
        <v>2.8121656732385755E-2</v>
      </c>
      <c r="K229" s="458"/>
      <c r="L229" s="163"/>
      <c r="M229" s="163"/>
    </row>
    <row r="230" spans="1:13">
      <c r="A230" s="158"/>
      <c r="B230" s="165" t="s">
        <v>219</v>
      </c>
      <c r="C230" s="504">
        <f>'[34]Sch D'!I9</f>
        <v>896</v>
      </c>
      <c r="D230" s="480"/>
      <c r="E230" s="480"/>
      <c r="F230" s="224">
        <f t="shared" si="75"/>
        <v>896</v>
      </c>
      <c r="G230" s="631"/>
      <c r="H230" s="224"/>
      <c r="I230" s="224">
        <f t="shared" si="76"/>
        <v>896</v>
      </c>
      <c r="J230" s="167">
        <f t="shared" si="74"/>
        <v>6.8470120739721835E-2</v>
      </c>
      <c r="K230" s="458"/>
      <c r="L230" s="163"/>
      <c r="M230" s="163"/>
    </row>
    <row r="231" spans="1:13">
      <c r="A231" s="158"/>
      <c r="B231" s="165" t="s">
        <v>218</v>
      </c>
      <c r="C231" s="504">
        <f>'[34]Sch D'!J9</f>
        <v>0</v>
      </c>
      <c r="D231" s="480"/>
      <c r="E231" s="480"/>
      <c r="F231" s="224">
        <f t="shared" si="75"/>
        <v>0</v>
      </c>
      <c r="G231" s="631"/>
      <c r="H231" s="224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'[34]Sch D'!K9</f>
        <v>0</v>
      </c>
      <c r="D232" s="480"/>
      <c r="E232" s="480"/>
      <c r="F232" s="224">
        <f t="shared" si="75"/>
        <v>0</v>
      </c>
      <c r="G232" s="631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13086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13086</v>
      </c>
      <c r="G233" s="226">
        <f t="shared" si="78"/>
        <v>0</v>
      </c>
      <c r="H233" s="226">
        <f t="shared" si="78"/>
        <v>0</v>
      </c>
      <c r="I233" s="226">
        <f t="shared" si="78"/>
        <v>13086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'[34]Sch D'!N22</f>
        <v>37</v>
      </c>
      <c r="D236" s="480"/>
      <c r="E236" s="480"/>
      <c r="F236" s="224">
        <f>C236+E236</f>
        <v>37</v>
      </c>
      <c r="G236" s="627"/>
      <c r="H236" s="224"/>
      <c r="I236" s="224">
        <f>F236+G236+H236</f>
        <v>37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'[34]Sch D'!N24</f>
        <v>37</v>
      </c>
      <c r="D237" s="480"/>
      <c r="E237" s="480"/>
      <c r="F237" s="224">
        <f>C237+E237</f>
        <v>37</v>
      </c>
      <c r="G237" s="627"/>
      <c r="H237" s="224"/>
      <c r="I237" s="224">
        <f>F237+G237+H237</f>
        <v>37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48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487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'[34]Sch D'!N28</f>
        <v>13505</v>
      </c>
      <c r="D240" s="427"/>
      <c r="E240" s="427"/>
      <c r="F240" s="223">
        <f>F236*F238</f>
        <v>13505</v>
      </c>
      <c r="G240"/>
      <c r="H240" s="489"/>
      <c r="I240" s="223">
        <f>I236*I238</f>
        <v>13505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'[34]Sch D'!N30</f>
        <v>0.96897445390596071</v>
      </c>
      <c r="D241" s="228"/>
      <c r="E241" s="228"/>
      <c r="F241" s="232">
        <f>F233/F240</f>
        <v>0.96897445390596071</v>
      </c>
      <c r="G241"/>
      <c r="H241" s="490"/>
      <c r="I241" s="232">
        <f>I233/I240</f>
        <v>0.96897445390596071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'[34]Sch D'!N32</f>
        <v>0.87537948907811924</v>
      </c>
      <c r="D242" s="228"/>
      <c r="E242" s="228"/>
      <c r="F242" s="232">
        <f>(F224+F225)/F240</f>
        <v>0.87537948907811924</v>
      </c>
      <c r="G242"/>
      <c r="H242" s="490"/>
      <c r="I242" s="232">
        <f>(I224+I225)/I240</f>
        <v>0.87537948907811924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'[34]Sch D'!N34</f>
        <v>0.90340822252789243</v>
      </c>
      <c r="D243" s="228"/>
      <c r="E243" s="228"/>
      <c r="F243" s="232">
        <f>(F242/F241)</f>
        <v>0.90340822252789243</v>
      </c>
      <c r="G243"/>
      <c r="H243" s="490"/>
      <c r="I243" s="232">
        <f>(I242/I241)</f>
        <v>0.90340822252789243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 ht="15.5">
      <c r="B246" s="145" t="s">
        <v>320</v>
      </c>
      <c r="H246" s="140" t="s">
        <v>321</v>
      </c>
      <c r="I246" s="480">
        <f>'[34]Sch B'!C90</f>
        <v>0</v>
      </c>
      <c r="K246" s="460"/>
      <c r="L246"/>
    </row>
    <row r="247" spans="1:13" ht="15.5">
      <c r="H247" s="140" t="s">
        <v>322</v>
      </c>
      <c r="I247" s="480">
        <f>'[34]Sch B'!E90</f>
        <v>131.5979381443299</v>
      </c>
      <c r="K247" s="460"/>
      <c r="L247"/>
    </row>
    <row r="248" spans="1:13">
      <c r="H248" s="140" t="s">
        <v>323</v>
      </c>
      <c r="I248" s="480">
        <f>'[34]Sch B'!G90</f>
        <v>187.30337078651687</v>
      </c>
      <c r="K248" s="460"/>
    </row>
    <row r="249" spans="1:13">
      <c r="H249" s="140" t="s">
        <v>324</v>
      </c>
      <c r="I249" s="480" t="str">
        <f>'[34]Sch B'!I90</f>
        <v/>
      </c>
      <c r="K249" s="460"/>
    </row>
    <row r="250" spans="1:13">
      <c r="B250" s="456"/>
      <c r="H250" s="140"/>
      <c r="K250" s="460"/>
    </row>
    <row r="251" spans="1:13">
      <c r="B251" s="411"/>
      <c r="K251" s="460"/>
    </row>
    <row r="277" spans="2:2">
      <c r="B277" s="138">
        <v>0</v>
      </c>
    </row>
  </sheetData>
  <customSheetViews>
    <customSheetView guid="{8B6AA640-12E9-11D5-ABB1-E7A21A3D4A14}" showPageBreaks="1" showGridLines="0" printArea="1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printArea="1" showRuler="0">
      <selection activeCell="A5" sqref="A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>
    <tabColor rgb="FFE28CAB"/>
  </sheetPr>
  <dimension ref="A1:Q277"/>
  <sheetViews>
    <sheetView showGridLines="0" topLeftCell="A7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47.5" customHeight="1">
      <c r="A1" s="136" t="str">
        <f>'ALPINE MEADOW'!A1</f>
        <v>schedules revised Sept. 2018</v>
      </c>
      <c r="B1" s="137" t="s">
        <v>285</v>
      </c>
      <c r="C1" s="417"/>
      <c r="D1" s="417"/>
      <c r="E1" s="416"/>
      <c r="F1" s="491" t="s">
        <v>386</v>
      </c>
      <c r="G1" s="491"/>
      <c r="H1" s="416"/>
      <c r="I1" s="416"/>
      <c r="J1" s="416"/>
      <c r="K1" s="416"/>
      <c r="L1" s="392"/>
    </row>
    <row r="2" spans="1:16" ht="23">
      <c r="B2" s="141" t="s">
        <v>178</v>
      </c>
      <c r="C2" s="137" t="s">
        <v>434</v>
      </c>
      <c r="D2" s="137"/>
      <c r="E2" s="234"/>
      <c r="F2" s="512" t="s">
        <v>400</v>
      </c>
      <c r="G2" s="512"/>
      <c r="J2" s="392"/>
      <c r="K2" s="392"/>
      <c r="L2" s="392"/>
    </row>
    <row r="3" spans="1:16" ht="15.5">
      <c r="A3" s="143"/>
      <c r="B3" s="138" t="s">
        <v>71</v>
      </c>
      <c r="C3" s="557">
        <f>'[35]Sch A Pg 1'!B39</f>
        <v>42917</v>
      </c>
      <c r="D3" s="620"/>
      <c r="E3" s="393"/>
      <c r="F3" s="144"/>
      <c r="G3" s="144"/>
      <c r="H3" s="411"/>
      <c r="J3" s="392"/>
      <c r="K3" s="392"/>
      <c r="L3" s="392"/>
    </row>
    <row r="4" spans="1:16" ht="15.5">
      <c r="A4" s="143"/>
      <c r="B4" s="145" t="s">
        <v>72</v>
      </c>
      <c r="C4" s="557">
        <f>'[35]Sch A Pg 1'!G39</f>
        <v>43281</v>
      </c>
      <c r="D4" s="620"/>
      <c r="E4" s="391"/>
      <c r="F4" s="146"/>
      <c r="G4" s="146"/>
      <c r="H4" s="411"/>
      <c r="I4" s="147"/>
      <c r="J4" s="392"/>
      <c r="K4" s="392"/>
      <c r="L4" s="392"/>
    </row>
    <row r="5" spans="1:16" ht="15.5">
      <c r="A5" s="143"/>
      <c r="B5" s="145"/>
      <c r="C5" s="148"/>
      <c r="D5" s="148"/>
      <c r="E5" s="142"/>
      <c r="H5" s="431"/>
      <c r="J5" s="392"/>
      <c r="K5" s="392"/>
      <c r="L5" s="39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40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94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9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430"/>
      <c r="G10" s="430"/>
      <c r="H10"/>
      <c r="I10"/>
      <c r="J10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430"/>
      <c r="G11" s="430"/>
      <c r="H11"/>
      <c r="I11"/>
      <c r="J1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'[35]Sch B'!E10</f>
        <v>3281392</v>
      </c>
      <c r="D12" s="480">
        <f>'[35]Sch B'!G10</f>
        <v>0</v>
      </c>
      <c r="E12" s="480"/>
      <c r="F12" s="166">
        <f>C12+D12+E12</f>
        <v>3281392</v>
      </c>
      <c r="G12" s="626"/>
      <c r="H12" s="607"/>
      <c r="I12" s="166">
        <f>F12+G12+H12</f>
        <v>3281392</v>
      </c>
      <c r="J12" s="167">
        <f>IF($I$26=0,0,I12/$I$26)</f>
        <v>0.60633260086905294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'[35]Sch B'!E12</f>
        <v>1286763</v>
      </c>
      <c r="D13" s="480">
        <f>'[35]Sch B'!G12</f>
        <v>448103</v>
      </c>
      <c r="E13" s="480"/>
      <c r="F13" s="166">
        <f t="shared" ref="F13:F25" si="0">C13+D13+E13</f>
        <v>1734866</v>
      </c>
      <c r="G13" s="626"/>
      <c r="H13" s="607"/>
      <c r="I13" s="166">
        <f t="shared" ref="I13:I25" si="1">F13+G13+H13</f>
        <v>1734866</v>
      </c>
      <c r="J13" s="167">
        <f>IF($I$26=0,0,I13/$I$26)</f>
        <v>0.32056694657001983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'[35]Sch B'!E13</f>
        <v>0</v>
      </c>
      <c r="D14" s="480">
        <f>'[35]Sch B'!G13</f>
        <v>0</v>
      </c>
      <c r="E14" s="480"/>
      <c r="F14" s="166">
        <f t="shared" si="0"/>
        <v>0</v>
      </c>
      <c r="G14" s="626"/>
      <c r="H14" s="607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'[35]Sch B'!E14</f>
        <v>50007</v>
      </c>
      <c r="D15" s="480">
        <f>'[35]Sch B'!G14</f>
        <v>0</v>
      </c>
      <c r="E15" s="480"/>
      <c r="F15" s="166">
        <f t="shared" si="0"/>
        <v>50007</v>
      </c>
      <c r="G15" s="626"/>
      <c r="H15" s="607"/>
      <c r="I15" s="166">
        <f t="shared" si="1"/>
        <v>50007</v>
      </c>
      <c r="J15" s="167">
        <f>IF($I$26=0,0,I15/$I$26)</f>
        <v>9.2402475448403396E-3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'[35]Sch B'!E15</f>
        <v>4618162</v>
      </c>
      <c r="D16" s="480">
        <f>'[35]Sch B'!G15</f>
        <v>448103</v>
      </c>
      <c r="E16" s="480"/>
      <c r="F16" s="166">
        <f t="shared" si="0"/>
        <v>5066265</v>
      </c>
      <c r="G16" s="626"/>
      <c r="H16" s="607"/>
      <c r="I16" s="166">
        <f>SUM(I12:I15)</f>
        <v>5066265</v>
      </c>
      <c r="J16" s="167">
        <f t="shared" ref="J16:J26" si="2">IF($I$26=0,0,I16/$I$26)</f>
        <v>0.93613979498391309</v>
      </c>
      <c r="K16" s="458"/>
      <c r="L16" s="333" t="s">
        <v>325</v>
      </c>
      <c r="M16" s="334">
        <f>I26</f>
        <v>5411868</v>
      </c>
      <c r="O16" s="324">
        <f>IFERROR(I16/I224,0)</f>
        <v>307.5869710400097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'[35]Sch B'!E20</f>
        <v>0</v>
      </c>
      <c r="D17" s="480">
        <f>'[35]Sch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3855921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'[35]Sch B'!E26</f>
        <v>0</v>
      </c>
      <c r="D18" s="480">
        <f>'[35]Sch B'!G26</f>
        <v>0</v>
      </c>
      <c r="E18" s="480"/>
      <c r="F18" s="166">
        <f t="shared" si="0"/>
        <v>0</v>
      </c>
      <c r="G18" s="626"/>
      <c r="H18" s="607"/>
      <c r="I18" s="166">
        <f t="shared" si="1"/>
        <v>0</v>
      </c>
      <c r="J18" s="167">
        <f t="shared" si="2"/>
        <v>0</v>
      </c>
      <c r="K18" s="458"/>
      <c r="L18" s="335" t="s">
        <v>327</v>
      </c>
      <c r="M18" s="336">
        <f>I233</f>
        <v>18370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'[35]Sch B'!E32</f>
        <v>-4512</v>
      </c>
      <c r="D19" s="480">
        <f>'[35]Sch B'!G32</f>
        <v>0</v>
      </c>
      <c r="E19" s="480"/>
      <c r="F19" s="166">
        <f t="shared" si="0"/>
        <v>-4512</v>
      </c>
      <c r="G19" s="626"/>
      <c r="H19" s="607"/>
      <c r="I19" s="166">
        <f t="shared" si="1"/>
        <v>-4512</v>
      </c>
      <c r="J19" s="170">
        <f t="shared" si="2"/>
        <v>-8.337232171959848E-4</v>
      </c>
      <c r="K19" s="464"/>
      <c r="L19" s="335" t="s">
        <v>328</v>
      </c>
      <c r="M19" s="336">
        <f>I236</f>
        <v>74</v>
      </c>
      <c r="O19" s="324">
        <f t="shared" si="3"/>
        <v>-4512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'[35]Sch B'!E37</f>
        <v>0</v>
      </c>
      <c r="D20" s="480">
        <f>'[35]Sch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27010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'[35]Sch B'!E42</f>
        <v>6544</v>
      </c>
      <c r="D21" s="480">
        <f>'[35]Sch B'!G42</f>
        <v>0</v>
      </c>
      <c r="E21" s="480"/>
      <c r="F21" s="166">
        <f t="shared" si="0"/>
        <v>6544</v>
      </c>
      <c r="G21" s="626"/>
      <c r="H21" s="607"/>
      <c r="I21" s="166">
        <f t="shared" si="1"/>
        <v>6544</v>
      </c>
      <c r="J21" s="167">
        <f t="shared" si="2"/>
        <v>1.2091943114650985E-3</v>
      </c>
      <c r="K21" s="458"/>
      <c r="L21" s="337"/>
      <c r="M21" s="336"/>
      <c r="O21" s="324">
        <f t="shared" si="3"/>
        <v>51.527559055118111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'[35]Sch B'!E47</f>
        <v>342860</v>
      </c>
      <c r="D22" s="480">
        <f>'[35]Sch B'!G47</f>
        <v>0</v>
      </c>
      <c r="E22" s="480"/>
      <c r="F22" s="166">
        <f t="shared" si="0"/>
        <v>342860</v>
      </c>
      <c r="G22" s="626"/>
      <c r="H22" s="607"/>
      <c r="I22" s="166">
        <f t="shared" si="1"/>
        <v>342860</v>
      </c>
      <c r="J22" s="167">
        <f t="shared" si="2"/>
        <v>6.3353355994639926E-2</v>
      </c>
      <c r="K22" s="458"/>
      <c r="L22" s="335" t="s">
        <v>148</v>
      </c>
      <c r="M22" s="336">
        <f>L213</f>
        <v>92688</v>
      </c>
      <c r="O22" s="324">
        <f t="shared" si="3"/>
        <v>193.59683794466403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'[35]Sch B'!E52</f>
        <v>0</v>
      </c>
      <c r="D23" s="480">
        <f>'[35]Sch B'!G52</f>
        <v>0</v>
      </c>
      <c r="E23" s="480"/>
      <c r="F23" s="166">
        <f t="shared" si="0"/>
        <v>0</v>
      </c>
      <c r="G23" s="626"/>
      <c r="H23" s="607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95403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'[35]Sch B'!E57</f>
        <v>0</v>
      </c>
      <c r="D24" s="480">
        <f>'[35]Sch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'[35]Sch B'!E72</f>
        <v>711</v>
      </c>
      <c r="D25" s="480">
        <f>'[35]Sch B'!G72</f>
        <v>0</v>
      </c>
      <c r="E25" s="480"/>
      <c r="F25" s="166">
        <f t="shared" si="0"/>
        <v>711</v>
      </c>
      <c r="G25" s="626"/>
      <c r="H25" s="607"/>
      <c r="I25" s="166">
        <f t="shared" si="1"/>
        <v>711</v>
      </c>
      <c r="J25" s="167">
        <f t="shared" si="2"/>
        <v>1.3137792717782474E-4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4963765</v>
      </c>
      <c r="D26" s="480">
        <f t="shared" ref="D26:F26" si="4">SUM(D16:D25)</f>
        <v>448103</v>
      </c>
      <c r="E26" s="480">
        <f t="shared" si="4"/>
        <v>0</v>
      </c>
      <c r="F26" s="166">
        <f t="shared" si="4"/>
        <v>5411868</v>
      </c>
      <c r="G26" s="166">
        <f>SUM(G12:G25)</f>
        <v>0</v>
      </c>
      <c r="H26" s="166">
        <f>SUM(H12:H25)</f>
        <v>0</v>
      </c>
      <c r="I26" s="166">
        <f>SUM(I16:I25)</f>
        <v>5411868</v>
      </c>
      <c r="J26" s="167">
        <f t="shared" si="2"/>
        <v>1</v>
      </c>
      <c r="K26" s="458"/>
      <c r="L26" s="163"/>
      <c r="M26" s="163"/>
      <c r="O26" s="324">
        <f>IFERROR(I26/I233,0)</f>
        <v>294.60359281437127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98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'[35]Sch C'!D10</f>
        <v>169834</v>
      </c>
      <c r="D30" s="480">
        <f>'[35]Sch C'!F10</f>
        <v>0</v>
      </c>
      <c r="E30" s="480">
        <f>+'[35]Sch C'!H10</f>
        <v>0</v>
      </c>
      <c r="F30" s="166">
        <f t="shared" ref="F30:F65" si="5">C30+D30+E30</f>
        <v>169834</v>
      </c>
      <c r="G30" s="626"/>
      <c r="H30" s="607"/>
      <c r="I30" s="166">
        <f t="shared" ref="I30:I65" si="6">F30+G30+H30</f>
        <v>169834</v>
      </c>
      <c r="J30" s="167">
        <f>IF($I$213=0,0,I30/$I$213)</f>
        <v>4.4044989510936557E-2</v>
      </c>
      <c r="K30" s="458"/>
      <c r="L30" s="176">
        <v>2048</v>
      </c>
      <c r="M30" s="176">
        <v>2088</v>
      </c>
      <c r="O30" s="324">
        <f>I30/I$233</f>
        <v>9.2451823625476326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'[35]Sch C'!D11</f>
        <v>0</v>
      </c>
      <c r="D31" s="480">
        <f>'[35]Sch C'!F11</f>
        <v>0</v>
      </c>
      <c r="E31" s="480">
        <f>+'[35]Sch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'[35]Sch C'!D12</f>
        <v>43656</v>
      </c>
      <c r="D32" s="480">
        <f>'[35]Sch C'!F12</f>
        <v>0</v>
      </c>
      <c r="E32" s="480">
        <f>+'[35]Sch C'!H12</f>
        <v>0</v>
      </c>
      <c r="F32" s="166">
        <f t="shared" si="5"/>
        <v>43656</v>
      </c>
      <c r="G32" s="626"/>
      <c r="H32" s="607"/>
      <c r="I32" s="166">
        <f t="shared" si="6"/>
        <v>43656</v>
      </c>
      <c r="J32" s="167">
        <f t="shared" si="7"/>
        <v>1.132180871962885E-2</v>
      </c>
      <c r="K32" s="458"/>
      <c r="L32" s="176">
        <v>1904</v>
      </c>
      <c r="M32" s="176">
        <v>2017</v>
      </c>
      <c r="O32" s="324">
        <f t="shared" si="8"/>
        <v>2.3764833968426782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'[35]Sch C'!D13</f>
        <v>124874</v>
      </c>
      <c r="D33" s="480">
        <f>'[35]Sch C'!F13</f>
        <v>-98575</v>
      </c>
      <c r="E33" s="480">
        <f>+'[35]Sch C'!H13</f>
        <v>0</v>
      </c>
      <c r="F33" s="166">
        <f t="shared" si="5"/>
        <v>26299</v>
      </c>
      <c r="G33" s="626"/>
      <c r="H33" s="607"/>
      <c r="I33" s="166">
        <f t="shared" si="6"/>
        <v>26299</v>
      </c>
      <c r="J33" s="167">
        <f t="shared" si="7"/>
        <v>6.8204198166923026E-3</v>
      </c>
      <c r="K33" s="458"/>
      <c r="L33" s="163"/>
      <c r="M33" s="163"/>
      <c r="O33" s="324">
        <f t="shared" si="8"/>
        <v>1.4316276537833423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'[35]Sch C'!D14</f>
        <v>0</v>
      </c>
      <c r="D34" s="480">
        <f>'[35]Sch C'!F14</f>
        <v>0</v>
      </c>
      <c r="E34" s="480">
        <f>+'[35]Sch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'[35]Sch C'!D15</f>
        <v>345848</v>
      </c>
      <c r="D35" s="480">
        <f>'[35]Sch C'!F15</f>
        <v>0</v>
      </c>
      <c r="E35" s="480">
        <f>+'[35]Sch C'!H15</f>
        <v>-345848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'[35]Sch C'!D16</f>
        <v>151101</v>
      </c>
      <c r="D36" s="480">
        <f>'[35]Sch C'!F16</f>
        <v>0</v>
      </c>
      <c r="E36" s="480">
        <f>+'[35]Sch C'!H16</f>
        <v>-19463</v>
      </c>
      <c r="F36" s="166">
        <f t="shared" si="5"/>
        <v>131638</v>
      </c>
      <c r="G36" s="626"/>
      <c r="H36" s="607"/>
      <c r="I36" s="166">
        <f t="shared" si="6"/>
        <v>131638</v>
      </c>
      <c r="J36" s="167">
        <f t="shared" si="7"/>
        <v>3.4139184905499879E-2</v>
      </c>
      <c r="K36" s="458"/>
      <c r="L36" s="163"/>
      <c r="M36" s="163"/>
      <c r="O36" s="324">
        <f t="shared" si="8"/>
        <v>7.1659227000544368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'[35]Sch C'!D17</f>
        <v>2195</v>
      </c>
      <c r="D37" s="480">
        <f>'[35]Sch C'!F17</f>
        <v>-2195</v>
      </c>
      <c r="E37" s="480">
        <f>+'[35]Sch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'[35]Sch C'!D18</f>
        <v>21718</v>
      </c>
      <c r="D38" s="480">
        <f>'[35]Sch C'!F18</f>
        <v>0</v>
      </c>
      <c r="E38" s="480">
        <f>+'[35]Sch C'!H18</f>
        <v>0</v>
      </c>
      <c r="F38" s="166">
        <f t="shared" si="5"/>
        <v>21718</v>
      </c>
      <c r="G38" s="626"/>
      <c r="H38" s="607"/>
      <c r="I38" s="166">
        <f t="shared" si="6"/>
        <v>21718</v>
      </c>
      <c r="J38" s="167">
        <f t="shared" si="7"/>
        <v>5.6323768044002978E-3</v>
      </c>
      <c r="K38" s="458"/>
      <c r="L38" s="163"/>
      <c r="M38" s="163"/>
      <c r="O38" s="324">
        <f t="shared" si="8"/>
        <v>1.1822536744692433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'[35]Sch C'!D19</f>
        <v>38880</v>
      </c>
      <c r="D39" s="480">
        <f>'[35]Sch C'!F19</f>
        <v>0</v>
      </c>
      <c r="E39" s="480">
        <f>+'[35]Sch C'!H19</f>
        <v>0</v>
      </c>
      <c r="F39" s="166">
        <f t="shared" si="5"/>
        <v>38880</v>
      </c>
      <c r="G39" s="626"/>
      <c r="H39" s="607"/>
      <c r="I39" s="166">
        <f t="shared" si="6"/>
        <v>38880</v>
      </c>
      <c r="J39" s="167">
        <f t="shared" si="7"/>
        <v>1.0083194131829983E-2</v>
      </c>
      <c r="K39" s="458"/>
      <c r="L39" s="163"/>
      <c r="M39" s="163"/>
      <c r="O39" s="324">
        <f t="shared" si="8"/>
        <v>2.1164942841589549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'[35]Sch C'!D20</f>
        <v>26638</v>
      </c>
      <c r="D40" s="480">
        <f>'[35]Sch C'!F20</f>
        <v>-1562</v>
      </c>
      <c r="E40" s="480">
        <f>+'[35]Sch C'!H20</f>
        <v>0</v>
      </c>
      <c r="F40" s="166">
        <f t="shared" si="5"/>
        <v>25076</v>
      </c>
      <c r="G40" s="626">
        <v>-15042</v>
      </c>
      <c r="H40" s="607"/>
      <c r="I40" s="166">
        <f t="shared" si="6"/>
        <v>10034</v>
      </c>
      <c r="J40" s="167">
        <f t="shared" si="7"/>
        <v>2.6022317365941884E-3</v>
      </c>
      <c r="K40" s="458"/>
      <c r="L40" s="163"/>
      <c r="M40" s="163"/>
      <c r="O40" s="324">
        <f t="shared" si="8"/>
        <v>0.54621665759390314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'[35]Sch C'!D21</f>
        <v>19181</v>
      </c>
      <c r="D41" s="480">
        <f>'[35]Sch C'!F21</f>
        <v>0</v>
      </c>
      <c r="E41" s="480">
        <f>+'[35]Sch C'!H21</f>
        <v>0</v>
      </c>
      <c r="F41" s="166">
        <f t="shared" si="5"/>
        <v>19181</v>
      </c>
      <c r="G41" s="626"/>
      <c r="H41" s="607"/>
      <c r="I41" s="166">
        <f t="shared" si="6"/>
        <v>19181</v>
      </c>
      <c r="J41" s="167">
        <f t="shared" si="7"/>
        <v>4.9744276399853625E-3</v>
      </c>
      <c r="K41" s="458"/>
      <c r="L41" s="163"/>
      <c r="M41" s="163"/>
      <c r="O41" s="324">
        <f t="shared" si="8"/>
        <v>1.044148067501361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'[35]Sch C'!D22</f>
        <v>0</v>
      </c>
      <c r="D42" s="480">
        <f>'[35]Sch C'!F22</f>
        <v>0</v>
      </c>
      <c r="E42" s="480">
        <f>+'[35]Sch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'[35]Sch C'!D23</f>
        <v>19977</v>
      </c>
      <c r="D43" s="480">
        <f>'[35]Sch C'!F23</f>
        <v>0</v>
      </c>
      <c r="E43" s="480">
        <f>+'[35]Sch C'!H23</f>
        <v>0</v>
      </c>
      <c r="F43" s="166">
        <f t="shared" si="5"/>
        <v>19977</v>
      </c>
      <c r="G43" s="626">
        <v>-9236</v>
      </c>
      <c r="H43" s="607"/>
      <c r="I43" s="166">
        <f t="shared" si="6"/>
        <v>10741</v>
      </c>
      <c r="J43" s="167">
        <f t="shared" si="7"/>
        <v>2.7855861154831752E-3</v>
      </c>
      <c r="K43" s="458"/>
      <c r="L43" s="163"/>
      <c r="M43" s="163"/>
      <c r="O43" s="324">
        <f t="shared" si="8"/>
        <v>0.58470332063146435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'[35]Sch C'!D24</f>
        <v>0</v>
      </c>
      <c r="D44" s="480">
        <f>'[35]Sch C'!F24</f>
        <v>0</v>
      </c>
      <c r="E44" s="480">
        <f>+'[35]Sch C'!H24</f>
        <v>0</v>
      </c>
      <c r="F44" s="166">
        <f t="shared" si="5"/>
        <v>0</v>
      </c>
      <c r="G44" s="626"/>
      <c r="H44" s="607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'[35]Sch C'!D25</f>
        <v>0</v>
      </c>
      <c r="D45" s="480">
        <f>'[35]Sch C'!F25</f>
        <v>0</v>
      </c>
      <c r="E45" s="480">
        <f>+'[35]Sch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'[35]Sch C'!D26</f>
        <v>385403</v>
      </c>
      <c r="D46" s="480">
        <f>'[35]Sch C'!F26</f>
        <v>0</v>
      </c>
      <c r="E46" s="480">
        <f>+'[35]Sch C'!H26</f>
        <v>0</v>
      </c>
      <c r="F46" s="166">
        <f t="shared" si="5"/>
        <v>385403</v>
      </c>
      <c r="G46" s="626"/>
      <c r="H46" s="607"/>
      <c r="I46" s="166">
        <f t="shared" si="6"/>
        <v>385403</v>
      </c>
      <c r="J46" s="167">
        <f t="shared" si="7"/>
        <v>9.9950958538828988E-2</v>
      </c>
      <c r="K46" s="458"/>
      <c r="L46" s="163"/>
      <c r="M46" s="163"/>
      <c r="O46" s="324">
        <f t="shared" si="8"/>
        <v>20.980021774632554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'[35]Sch C'!D27</f>
        <v>0</v>
      </c>
      <c r="D47" s="480">
        <f>'[35]Sch C'!F27</f>
        <v>0</v>
      </c>
      <c r="E47" s="480">
        <f>+'[35]Sch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'[35]Sch C'!D28</f>
        <v>0</v>
      </c>
      <c r="D48" s="480">
        <f>'[35]Sch C'!F28</f>
        <v>0</v>
      </c>
      <c r="E48" s="480">
        <f>+'[35]Sch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'[35]Sch C'!D29</f>
        <v>131552</v>
      </c>
      <c r="D49" s="480">
        <f>'[35]Sch C'!F29</f>
        <v>-131552</v>
      </c>
      <c r="E49" s="480">
        <f>+'[35]Sch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'[35]Sch C'!D30</f>
        <v>0</v>
      </c>
      <c r="D50" s="480">
        <f>'[35]Sch C'!F30</f>
        <v>0</v>
      </c>
      <c r="E50" s="480">
        <f>+'[35]Sch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'[35]Sch C'!D31</f>
        <v>24735</v>
      </c>
      <c r="D51" s="480">
        <f>'[35]Sch C'!F31</f>
        <v>973</v>
      </c>
      <c r="E51" s="480">
        <f>+'[35]Sch C'!H31</f>
        <v>0</v>
      </c>
      <c r="F51" s="166">
        <f t="shared" si="5"/>
        <v>25708</v>
      </c>
      <c r="G51" s="626"/>
      <c r="H51" s="607"/>
      <c r="I51" s="166">
        <f t="shared" si="6"/>
        <v>25708</v>
      </c>
      <c r="J51" s="167">
        <f t="shared" si="7"/>
        <v>6.6671490416945782E-3</v>
      </c>
      <c r="K51" s="458"/>
      <c r="L51" s="163"/>
      <c r="M51" s="163"/>
      <c r="O51" s="324">
        <f t="shared" si="8"/>
        <v>1.399455634186173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'[35]Sch C'!D32</f>
        <v>63912</v>
      </c>
      <c r="D52" s="480">
        <f>'[35]Sch C'!F32</f>
        <v>3314</v>
      </c>
      <c r="E52" s="480">
        <f>+'[35]Sch C'!H32</f>
        <v>0</v>
      </c>
      <c r="F52" s="166">
        <f t="shared" si="5"/>
        <v>67226</v>
      </c>
      <c r="G52" s="626"/>
      <c r="H52" s="607"/>
      <c r="I52" s="166">
        <f t="shared" si="6"/>
        <v>67226</v>
      </c>
      <c r="J52" s="167">
        <f t="shared" si="7"/>
        <v>1.7434485820637922E-2</v>
      </c>
      <c r="K52" s="458"/>
      <c r="L52" s="163"/>
      <c r="M52" s="163"/>
      <c r="O52" s="324">
        <f t="shared" si="8"/>
        <v>3.6595536200326619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'[35]Sch C'!D33</f>
        <v>0</v>
      </c>
      <c r="D53" s="480">
        <f>'[35]Sch C'!F33</f>
        <v>0</v>
      </c>
      <c r="E53" s="480">
        <f>+'[35]Sch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'[35]Sch C'!D34</f>
        <v>0</v>
      </c>
      <c r="D54" s="480">
        <f>'[35]Sch C'!F34</f>
        <v>0</v>
      </c>
      <c r="E54" s="480">
        <f>+'[35]Sch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'[35]Sch C'!D35</f>
        <v>-116156</v>
      </c>
      <c r="D55" s="480">
        <f>'[35]Sch C'!F35</f>
        <v>116156</v>
      </c>
      <c r="E55" s="480">
        <f>+'[35]Sch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'[35]Sch C'!D36</f>
        <v>0</v>
      </c>
      <c r="D56" s="480">
        <f>'[35]Sch C'!F36</f>
        <v>0</v>
      </c>
      <c r="E56" s="480">
        <f>+'[35]Sch C'!H36</f>
        <v>0</v>
      </c>
      <c r="F56" s="166">
        <f t="shared" si="5"/>
        <v>0</v>
      </c>
      <c r="G56" s="626">
        <v>36430</v>
      </c>
      <c r="H56" s="607"/>
      <c r="I56" s="166">
        <f t="shared" si="6"/>
        <v>36430</v>
      </c>
      <c r="J56" s="167">
        <f t="shared" si="7"/>
        <v>9.4478076703334943E-3</v>
      </c>
      <c r="K56" s="458"/>
      <c r="L56" s="176">
        <v>0</v>
      </c>
      <c r="M56" s="176">
        <v>0</v>
      </c>
      <c r="O56" s="324">
        <f t="shared" si="8"/>
        <v>1.9831246597713663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'[35]Sch C'!D37</f>
        <v>0</v>
      </c>
      <c r="D57" s="480">
        <f>'[35]Sch C'!F37</f>
        <v>0</v>
      </c>
      <c r="E57" s="480">
        <f>+'[35]Sch C'!H37</f>
        <v>0</v>
      </c>
      <c r="F57" s="166">
        <f t="shared" si="5"/>
        <v>0</v>
      </c>
      <c r="G57" s="626">
        <v>5180</v>
      </c>
      <c r="H57" s="607"/>
      <c r="I57" s="166">
        <f t="shared" si="6"/>
        <v>5180</v>
      </c>
      <c r="J57" s="167">
        <f t="shared" si="7"/>
        <v>1.343388518592575E-3</v>
      </c>
      <c r="K57" s="458"/>
      <c r="L57" s="163"/>
      <c r="M57" s="163"/>
      <c r="O57" s="324">
        <f t="shared" si="8"/>
        <v>0.28198149156232988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'[35]Sch C'!D38</f>
        <v>0</v>
      </c>
      <c r="D58" s="480">
        <f>'[35]Sch C'!F38</f>
        <v>0</v>
      </c>
      <c r="E58" s="480">
        <f>+'[35]Sch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'[35]Sch C'!D39</f>
        <v>11534</v>
      </c>
      <c r="D59" s="480">
        <f>'[35]Sch C'!F39</f>
        <v>0</v>
      </c>
      <c r="E59" s="480">
        <f>+'[35]Sch C'!H39</f>
        <v>0</v>
      </c>
      <c r="F59" s="166">
        <f t="shared" si="5"/>
        <v>11534</v>
      </c>
      <c r="G59" s="626"/>
      <c r="H59" s="607"/>
      <c r="I59" s="166">
        <f t="shared" si="6"/>
        <v>11534</v>
      </c>
      <c r="J59" s="167">
        <f t="shared" si="7"/>
        <v>2.9912438558777526E-3</v>
      </c>
      <c r="K59" s="458"/>
      <c r="L59" s="163"/>
      <c r="M59" s="163"/>
      <c r="O59" s="324">
        <f t="shared" si="8"/>
        <v>0.6278715296679368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'[35]Sch C'!D40</f>
        <v>0</v>
      </c>
      <c r="D60" s="480">
        <f>'[35]Sch C'!F40</f>
        <v>0</v>
      </c>
      <c r="E60" s="480">
        <f>+'[35]Sch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'[35]Sch C'!D41</f>
        <v>72891</v>
      </c>
      <c r="D61" s="480">
        <f>'[35]Sch C'!F41</f>
        <v>0</v>
      </c>
      <c r="E61" s="480">
        <f>+'[35]Sch C'!H41</f>
        <v>0</v>
      </c>
      <c r="F61" s="166">
        <f t="shared" si="5"/>
        <v>72891</v>
      </c>
      <c r="G61" s="626"/>
      <c r="H61" s="607"/>
      <c r="I61" s="166">
        <f t="shared" si="6"/>
        <v>72891</v>
      </c>
      <c r="J61" s="167">
        <f t="shared" si="7"/>
        <v>1.8903654924465517E-2</v>
      </c>
      <c r="K61" s="458"/>
      <c r="L61" s="163"/>
      <c r="M61" s="163"/>
      <c r="O61" s="324">
        <f t="shared" si="8"/>
        <v>3.9679368535655959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'[35]Sch C'!D42</f>
        <v>0</v>
      </c>
      <c r="D62" s="480">
        <f>'[35]Sch C'!F42</f>
        <v>0</v>
      </c>
      <c r="E62" s="480">
        <f>+'[35]Sch C'!H42</f>
        <v>0</v>
      </c>
      <c r="F62" s="166">
        <f t="shared" si="5"/>
        <v>0</v>
      </c>
      <c r="G62" s="626"/>
      <c r="H62" s="607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'[35]Sch C'!D43</f>
        <v>3573</v>
      </c>
      <c r="D63" s="480">
        <f>'[35]Sch C'!F43</f>
        <v>-3573</v>
      </c>
      <c r="E63" s="480">
        <f>+'[35]Sch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'[35]Sch C'!D44</f>
        <v>0</v>
      </c>
      <c r="D64" s="480">
        <f>'[35]Sch C'!F44</f>
        <v>0</v>
      </c>
      <c r="E64" s="480">
        <f>+'[35]Sch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'[35]Sch C'!D45</f>
        <v>52820</v>
      </c>
      <c r="D65" s="480">
        <f>'[35]Sch C'!F45</f>
        <v>-30738</v>
      </c>
      <c r="E65" s="480">
        <f>+'[35]Sch C'!H45</f>
        <v>0</v>
      </c>
      <c r="F65" s="166">
        <f t="shared" si="5"/>
        <v>22082</v>
      </c>
      <c r="G65" s="626">
        <v>-652</v>
      </c>
      <c r="H65" s="607"/>
      <c r="I65" s="166">
        <f t="shared" si="6"/>
        <v>21430</v>
      </c>
      <c r="J65" s="167">
        <f t="shared" si="7"/>
        <v>5.5576864774978529E-3</v>
      </c>
      <c r="K65" s="458"/>
      <c r="L65" s="163"/>
      <c r="M65" s="163"/>
      <c r="O65" s="324">
        <f t="shared" si="8"/>
        <v>1.1665759390310289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1594166</v>
      </c>
      <c r="D66" s="480">
        <f t="shared" si="9"/>
        <v>-147752</v>
      </c>
      <c r="E66" s="480">
        <f t="shared" si="9"/>
        <v>-365311</v>
      </c>
      <c r="F66" s="166">
        <f t="shared" ref="F66:I66" si="10">SUM(F30:F65)</f>
        <v>1081103</v>
      </c>
      <c r="G66" s="397">
        <f t="shared" si="10"/>
        <v>16680</v>
      </c>
      <c r="H66" s="397">
        <f t="shared" si="10"/>
        <v>0</v>
      </c>
      <c r="I66" s="166">
        <f t="shared" si="10"/>
        <v>1097783</v>
      </c>
      <c r="J66" s="178">
        <f t="shared" si="7"/>
        <v>0.28470059422897925</v>
      </c>
      <c r="K66" s="465"/>
      <c r="L66" s="163"/>
      <c r="M66" s="163"/>
      <c r="O66" s="329">
        <f>I66/I$233</f>
        <v>59.759553620032662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'[35]Sch C'!D57</f>
        <v>682560</v>
      </c>
      <c r="D69" s="480">
        <f>'[35]Sch C'!F57</f>
        <v>0</v>
      </c>
      <c r="E69" s="480">
        <f>+'[35]Sch C'!H57</f>
        <v>-501929</v>
      </c>
      <c r="F69" s="166">
        <f>C69+D69+E69</f>
        <v>180631</v>
      </c>
      <c r="G69" s="626"/>
      <c r="H69" s="607"/>
      <c r="I69" s="166">
        <f>F69+G69+H69</f>
        <v>180631</v>
      </c>
      <c r="J69" s="167">
        <f t="shared" ref="J69:J84" si="11">IF($I$213=0,0,I69/$I$213)</f>
        <v>4.6845098745539653E-2</v>
      </c>
      <c r="K69" s="458"/>
      <c r="L69" s="182"/>
      <c r="M69" s="163"/>
      <c r="O69" s="324">
        <f t="shared" ref="O69:O84" si="12">I69/I$233</f>
        <v>9.8329341317365273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'[35]Sch C'!D58</f>
        <v>0</v>
      </c>
      <c r="D70" s="480">
        <f>'[35]Sch C'!F58</f>
        <v>0</v>
      </c>
      <c r="E70" s="480">
        <f>+'[35]Sch C'!H58</f>
        <v>52145</v>
      </c>
      <c r="F70" s="166">
        <f t="shared" ref="F70:F83" si="13">C70+D70+E70</f>
        <v>52145</v>
      </c>
      <c r="G70" s="626"/>
      <c r="H70" s="607"/>
      <c r="I70" s="166">
        <f t="shared" ref="I70:I83" si="14">F70+G70+H70</f>
        <v>52145</v>
      </c>
      <c r="J70" s="167">
        <f t="shared" si="11"/>
        <v>1.3523357973360968E-2</v>
      </c>
      <c r="K70" s="458"/>
      <c r="L70" s="182"/>
      <c r="M70" s="163"/>
      <c r="O70" s="324">
        <f t="shared" si="12"/>
        <v>2.8385955362003266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'[35]Sch C'!D59</f>
        <v>0</v>
      </c>
      <c r="D71" s="480">
        <f>'[35]Sch C'!F59</f>
        <v>0</v>
      </c>
      <c r="E71" s="480">
        <f>+'[35]Sch C'!H59</f>
        <v>106551</v>
      </c>
      <c r="F71" s="166">
        <f t="shared" si="13"/>
        <v>106551</v>
      </c>
      <c r="G71" s="626"/>
      <c r="H71" s="607"/>
      <c r="I71" s="166">
        <f t="shared" si="14"/>
        <v>106551</v>
      </c>
      <c r="J71" s="167">
        <f t="shared" si="11"/>
        <v>2.7633086881188696E-2</v>
      </c>
      <c r="K71" s="458"/>
      <c r="L71" s="182"/>
      <c r="M71" s="163"/>
      <c r="O71" s="324">
        <f t="shared" si="12"/>
        <v>5.8002721829069133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'[35]Sch C'!D60</f>
        <v>32731</v>
      </c>
      <c r="D72" s="480">
        <f>'[35]Sch C'!F60</f>
        <v>-225</v>
      </c>
      <c r="E72" s="480">
        <f>+'[35]Sch C'!H60</f>
        <v>0</v>
      </c>
      <c r="F72" s="166">
        <f t="shared" si="13"/>
        <v>32506</v>
      </c>
      <c r="G72" s="626"/>
      <c r="H72" s="607"/>
      <c r="I72" s="166">
        <f t="shared" si="14"/>
        <v>32506</v>
      </c>
      <c r="J72" s="167">
        <f t="shared" si="11"/>
        <v>8.4301519662876908E-3</v>
      </c>
      <c r="K72" s="458"/>
      <c r="L72" s="185"/>
      <c r="M72" s="163"/>
      <c r="O72" s="324">
        <f t="shared" si="12"/>
        <v>1.769515514425694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'[35]Sch C'!D61</f>
        <v>0</v>
      </c>
      <c r="D73" s="480">
        <f>'[35]Sch C'!F61</f>
        <v>4849</v>
      </c>
      <c r="E73" s="480">
        <f>+'[35]Sch C'!H61</f>
        <v>0</v>
      </c>
      <c r="F73" s="166">
        <f t="shared" si="13"/>
        <v>4849</v>
      </c>
      <c r="G73" s="626"/>
      <c r="H73" s="607"/>
      <c r="I73" s="166">
        <f t="shared" si="14"/>
        <v>4849</v>
      </c>
      <c r="J73" s="167">
        <f t="shared" si="11"/>
        <v>1.257546510937335E-3</v>
      </c>
      <c r="K73" s="458"/>
      <c r="L73" s="185"/>
      <c r="M73" s="163"/>
      <c r="O73" s="324">
        <f t="shared" si="12"/>
        <v>0.26396298312465977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'[35]Sch C'!D62</f>
        <v>0</v>
      </c>
      <c r="D74" s="480">
        <f>'[35]Sch C'!F62</f>
        <v>0</v>
      </c>
      <c r="E74" s="480">
        <f>+'[35]Sch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'[35]Sch C'!D63</f>
        <v>0</v>
      </c>
      <c r="D75" s="480">
        <f>'[35]Sch C'!F63</f>
        <v>0</v>
      </c>
      <c r="E75" s="480">
        <f>+'[35]Sch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'[35]Sch C'!D64</f>
        <v>0</v>
      </c>
      <c r="D76" s="480">
        <f>'[35]Sch C'!F64</f>
        <v>0</v>
      </c>
      <c r="E76" s="480">
        <f>+'[35]Sch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'[35]Sch C'!D65</f>
        <v>425</v>
      </c>
      <c r="D77" s="480">
        <f>'[35]Sch C'!F65</f>
        <v>1923</v>
      </c>
      <c r="E77" s="480">
        <f>+'[35]Sch C'!H65</f>
        <v>0</v>
      </c>
      <c r="F77" s="166">
        <f t="shared" si="13"/>
        <v>2348</v>
      </c>
      <c r="G77" s="626"/>
      <c r="H77" s="607"/>
      <c r="I77" s="166">
        <f t="shared" si="14"/>
        <v>2348</v>
      </c>
      <c r="J77" s="167">
        <f t="shared" si="11"/>
        <v>6.0893363738520579E-4</v>
      </c>
      <c r="K77" s="458"/>
      <c r="L77" s="187"/>
      <c r="M77" s="163"/>
      <c r="O77" s="324">
        <f t="shared" si="12"/>
        <v>0.12781709308655417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'[35]Sch C'!D66</f>
        <v>0</v>
      </c>
      <c r="D78" s="480">
        <f>'[35]Sch C'!F66</f>
        <v>0</v>
      </c>
      <c r="E78" s="480">
        <f>+'[35]Sch C'!H66</f>
        <v>0</v>
      </c>
      <c r="F78" s="166">
        <f t="shared" si="13"/>
        <v>0</v>
      </c>
      <c r="G78" s="626"/>
      <c r="H78" s="607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'[35]Sch C'!D67</f>
        <v>0</v>
      </c>
      <c r="D79" s="480">
        <f>'[35]Sch C'!F67</f>
        <v>6436</v>
      </c>
      <c r="E79" s="480">
        <f>+'[35]Sch C'!H67</f>
        <v>22167</v>
      </c>
      <c r="F79" s="166">
        <f t="shared" si="13"/>
        <v>28603</v>
      </c>
      <c r="G79" s="626">
        <f>321+349</f>
        <v>670</v>
      </c>
      <c r="H79" s="607"/>
      <c r="I79" s="166">
        <f t="shared" si="14"/>
        <v>29273</v>
      </c>
      <c r="J79" s="167">
        <f t="shared" si="11"/>
        <v>7.5917011785251827E-3</v>
      </c>
      <c r="K79" s="458"/>
      <c r="L79" s="187"/>
      <c r="M79" s="163"/>
      <c r="O79" s="324">
        <f t="shared" si="12"/>
        <v>1.5935220468154601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'[35]Sch C'!D68</f>
        <v>0</v>
      </c>
      <c r="D80" s="480">
        <f>'[35]Sch C'!F68</f>
        <v>0</v>
      </c>
      <c r="E80" s="480">
        <f>+'[35]Sch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'[35]Sch C'!D69</f>
        <v>0</v>
      </c>
      <c r="D81" s="480">
        <f>'[35]Sch C'!F69</f>
        <v>225</v>
      </c>
      <c r="E81" s="480">
        <f>+'[35]Sch C'!H69</f>
        <v>0</v>
      </c>
      <c r="F81" s="166">
        <f t="shared" si="13"/>
        <v>225</v>
      </c>
      <c r="G81" s="626"/>
      <c r="H81" s="607"/>
      <c r="I81" s="166">
        <f t="shared" si="14"/>
        <v>225</v>
      </c>
      <c r="J81" s="167">
        <f t="shared" si="11"/>
        <v>5.8351817892534621E-5</v>
      </c>
      <c r="K81" s="458"/>
      <c r="L81" s="187"/>
      <c r="M81" s="163"/>
      <c r="O81" s="324">
        <f t="shared" si="12"/>
        <v>1.2248230811105062E-2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'[35]Sch C'!D70</f>
        <v>0</v>
      </c>
      <c r="D82" s="480">
        <f>'[35]Sch C'!F70</f>
        <v>0</v>
      </c>
      <c r="E82" s="480">
        <f>+'[35]Sch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'[35]Sch C'!D71</f>
        <v>0</v>
      </c>
      <c r="D83" s="480">
        <f>'[35]Sch C'!F71</f>
        <v>0</v>
      </c>
      <c r="E83" s="480">
        <f>+'[35]Sch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715716</v>
      </c>
      <c r="D84" s="480">
        <f t="shared" si="15"/>
        <v>13208</v>
      </c>
      <c r="E84" s="480">
        <f t="shared" si="15"/>
        <v>-321066</v>
      </c>
      <c r="F84" s="166">
        <f t="shared" ref="F84:I84" si="16">SUM(F69:F83)</f>
        <v>407858</v>
      </c>
      <c r="G84" s="397">
        <f t="shared" si="16"/>
        <v>670</v>
      </c>
      <c r="H84" s="397">
        <f t="shared" si="16"/>
        <v>0</v>
      </c>
      <c r="I84" s="166">
        <f t="shared" si="16"/>
        <v>408528</v>
      </c>
      <c r="J84" s="167">
        <f t="shared" si="11"/>
        <v>0.10594822871111727</v>
      </c>
      <c r="K84" s="458"/>
      <c r="L84" s="187"/>
      <c r="M84" s="163"/>
      <c r="O84" s="324">
        <f t="shared" si="12"/>
        <v>22.23886771910724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'[35]Sch C'!D75</f>
        <v>61742</v>
      </c>
      <c r="D87" s="480">
        <f>'[35]Sch C'!F75</f>
        <v>0</v>
      </c>
      <c r="E87" s="480">
        <f>+'[35]Sch C'!H75</f>
        <v>0</v>
      </c>
      <c r="F87" s="166">
        <f t="shared" ref="F87:F97" si="17">C87+D87+E87</f>
        <v>61742</v>
      </c>
      <c r="G87" s="626"/>
      <c r="H87" s="607"/>
      <c r="I87" s="166">
        <f t="shared" ref="I87:I97" si="18">F87+G87+H87</f>
        <v>61742</v>
      </c>
      <c r="J87" s="167">
        <f t="shared" ref="J87:J98" si="19">IF($I$213=0,0,I87/$I$213)</f>
        <v>1.6012257512537213E-2</v>
      </c>
      <c r="K87" s="458"/>
      <c r="L87" s="176">
        <v>2309</v>
      </c>
      <c r="M87" s="176">
        <v>2385</v>
      </c>
      <c r="O87" s="324">
        <f t="shared" ref="O87:O97" si="20">I87/I$233</f>
        <v>3.3610234077299945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'[35]Sch C'!D76</f>
        <v>4862</v>
      </c>
      <c r="D88" s="480">
        <f>'[35]Sch C'!F76</f>
        <v>3728</v>
      </c>
      <c r="E88" s="480">
        <f>+'[35]Sch C'!H76</f>
        <v>0</v>
      </c>
      <c r="F88" s="166">
        <f t="shared" si="17"/>
        <v>8590</v>
      </c>
      <c r="G88" s="626"/>
      <c r="H88" s="607"/>
      <c r="I88" s="166">
        <f t="shared" si="18"/>
        <v>8590</v>
      </c>
      <c r="J88" s="167">
        <f t="shared" si="19"/>
        <v>2.2277427364305442E-3</v>
      </c>
      <c r="K88" s="458"/>
      <c r="L88" s="163"/>
      <c r="M88" s="163"/>
      <c r="O88" s="324">
        <f t="shared" si="20"/>
        <v>0.46761023407729996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'[35]Sch C'!D77</f>
        <v>16501</v>
      </c>
      <c r="D89" s="480">
        <f>'[35]Sch C'!F77</f>
        <v>0</v>
      </c>
      <c r="E89" s="480">
        <f>+'[35]Sch C'!H77</f>
        <v>0</v>
      </c>
      <c r="F89" s="166">
        <f t="shared" si="17"/>
        <v>16501</v>
      </c>
      <c r="G89" s="626"/>
      <c r="H89" s="607"/>
      <c r="I89" s="166">
        <f t="shared" si="18"/>
        <v>16501</v>
      </c>
      <c r="J89" s="167">
        <f t="shared" si="19"/>
        <v>4.2793926535320617E-3</v>
      </c>
      <c r="K89" s="458"/>
      <c r="L89" s="163"/>
      <c r="M89" s="163"/>
      <c r="O89" s="324">
        <f t="shared" si="20"/>
        <v>0.89825802939575394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'[35]Sch C'!D78</f>
        <v>0</v>
      </c>
      <c r="D90" s="480">
        <f>'[35]Sch C'!F78</f>
        <v>0</v>
      </c>
      <c r="E90" s="480">
        <f>+'[35]Sch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'[35]Sch C'!D79</f>
        <v>2085</v>
      </c>
      <c r="D91" s="480">
        <f>'[35]Sch C'!F79</f>
        <v>0</v>
      </c>
      <c r="E91" s="480">
        <f>+'[35]Sch C'!H79</f>
        <v>0</v>
      </c>
      <c r="F91" s="166">
        <f t="shared" si="17"/>
        <v>2085</v>
      </c>
      <c r="G91" s="626"/>
      <c r="H91" s="607"/>
      <c r="I91" s="166">
        <f t="shared" si="18"/>
        <v>2085</v>
      </c>
      <c r="J91" s="167">
        <f t="shared" si="19"/>
        <v>5.407268458041542E-4</v>
      </c>
      <c r="K91" s="458"/>
      <c r="L91" s="163"/>
      <c r="M91" s="163"/>
      <c r="O91" s="324">
        <f t="shared" si="20"/>
        <v>0.11350027218290691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'[35]Sch C'!D80</f>
        <v>48646</v>
      </c>
      <c r="D92" s="480">
        <f>'[35]Sch C'!F80</f>
        <v>0</v>
      </c>
      <c r="E92" s="480">
        <f>+'[35]Sch C'!H80</f>
        <v>0</v>
      </c>
      <c r="F92" s="166">
        <f t="shared" si="17"/>
        <v>48646</v>
      </c>
      <c r="G92" s="626">
        <f>-6418-6971</f>
        <v>-13389</v>
      </c>
      <c r="H92" s="607"/>
      <c r="I92" s="166">
        <f t="shared" si="18"/>
        <v>35257</v>
      </c>
      <c r="J92" s="167">
        <f t="shared" si="19"/>
        <v>9.1436001930537483E-3</v>
      </c>
      <c r="K92" s="458"/>
      <c r="L92" s="163"/>
      <c r="M92" s="163"/>
      <c r="O92" s="324">
        <f t="shared" si="20"/>
        <v>1.919270549809472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'[35]Sch C'!D81</f>
        <v>33851</v>
      </c>
      <c r="D93" s="480">
        <f>'[35]Sch C'!F81</f>
        <v>-31633</v>
      </c>
      <c r="E93" s="480">
        <f>+'[35]Sch C'!H81</f>
        <v>0</v>
      </c>
      <c r="F93" s="166">
        <f t="shared" si="17"/>
        <v>2218</v>
      </c>
      <c r="G93" s="626"/>
      <c r="H93" s="607"/>
      <c r="I93" s="166">
        <f t="shared" si="18"/>
        <v>2218</v>
      </c>
      <c r="J93" s="167">
        <f t="shared" si="19"/>
        <v>5.7521925371396354E-4</v>
      </c>
      <c r="K93" s="458"/>
      <c r="L93" s="163"/>
      <c r="M93" s="163"/>
      <c r="O93" s="324">
        <f t="shared" si="20"/>
        <v>0.12074033750680457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'[35]Sch C'!D82</f>
        <v>0</v>
      </c>
      <c r="D94" s="480">
        <f>'[35]Sch C'!F82</f>
        <v>0</v>
      </c>
      <c r="E94" s="480">
        <f>+'[35]Sch C'!H82</f>
        <v>0</v>
      </c>
      <c r="F94" s="166">
        <f t="shared" si="17"/>
        <v>0</v>
      </c>
      <c r="G94" s="626"/>
      <c r="H94" s="607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'[35]Sch C'!D83</f>
        <v>0</v>
      </c>
      <c r="D95" s="480">
        <f>'[35]Sch C'!F83</f>
        <v>0</v>
      </c>
      <c r="E95" s="480">
        <f>+'[35]Sch C'!H83</f>
        <v>0</v>
      </c>
      <c r="F95" s="166">
        <f t="shared" si="17"/>
        <v>0</v>
      </c>
      <c r="G95" s="626">
        <v>9236</v>
      </c>
      <c r="H95" s="607"/>
      <c r="I95" s="166">
        <f t="shared" si="18"/>
        <v>9236</v>
      </c>
      <c r="J95" s="167">
        <f t="shared" si="19"/>
        <v>2.3952772891353323E-3</v>
      </c>
      <c r="K95" s="458"/>
      <c r="L95" s="163"/>
      <c r="M95" s="163"/>
      <c r="O95" s="324">
        <f t="shared" si="20"/>
        <v>0.50277626565051714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'[35]Sch C'!D84</f>
        <v>66725</v>
      </c>
      <c r="D96" s="480">
        <f>'[35]Sch C'!F84</f>
        <v>0</v>
      </c>
      <c r="E96" s="480">
        <f>+'[35]Sch C'!H84</f>
        <v>0</v>
      </c>
      <c r="F96" s="166">
        <f t="shared" si="17"/>
        <v>66725</v>
      </c>
      <c r="G96" s="626"/>
      <c r="H96" s="607"/>
      <c r="I96" s="166">
        <f t="shared" si="18"/>
        <v>66725</v>
      </c>
      <c r="J96" s="167">
        <f t="shared" si="19"/>
        <v>1.7304555772797211E-2</v>
      </c>
      <c r="K96" s="458"/>
      <c r="L96" s="163"/>
      <c r="M96" s="163"/>
      <c r="O96" s="324">
        <f t="shared" si="20"/>
        <v>3.6322808927599346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'[35]Sch C'!D85</f>
        <v>5029</v>
      </c>
      <c r="D97" s="480">
        <f>'[35]Sch C'!F85</f>
        <v>0</v>
      </c>
      <c r="E97" s="480">
        <f>+'[35]Sch C'!H85</f>
        <v>0</v>
      </c>
      <c r="F97" s="166">
        <f t="shared" si="17"/>
        <v>5029</v>
      </c>
      <c r="G97" s="626"/>
      <c r="H97" s="607"/>
      <c r="I97" s="166">
        <f t="shared" si="18"/>
        <v>5029</v>
      </c>
      <c r="J97" s="167">
        <f t="shared" si="19"/>
        <v>1.3042279652513628E-3</v>
      </c>
      <c r="K97" s="458"/>
      <c r="L97" s="163"/>
      <c r="M97" s="163"/>
      <c r="O97" s="324">
        <f t="shared" si="20"/>
        <v>0.27376156777354382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239441</v>
      </c>
      <c r="D98" s="480">
        <f t="shared" si="21"/>
        <v>-27905</v>
      </c>
      <c r="E98" s="480">
        <f t="shared" si="21"/>
        <v>0</v>
      </c>
      <c r="F98" s="166">
        <f t="shared" ref="F98:I98" si="22">SUM(F87:F97)</f>
        <v>211536</v>
      </c>
      <c r="G98" s="397">
        <f t="shared" si="22"/>
        <v>-4153</v>
      </c>
      <c r="H98" s="397">
        <f t="shared" si="22"/>
        <v>0</v>
      </c>
      <c r="I98" s="166">
        <f t="shared" si="22"/>
        <v>207383</v>
      </c>
      <c r="J98" s="167">
        <f t="shared" si="19"/>
        <v>5.3783000222255593E-2</v>
      </c>
      <c r="K98" s="458"/>
      <c r="L98" s="163"/>
      <c r="M98" s="163"/>
      <c r="O98" s="329">
        <f>I98/I$233</f>
        <v>11.289221556886227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205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'[35]Sch C'!D89</f>
        <v>148908</v>
      </c>
      <c r="D101" s="480">
        <f>'[35]Sch C'!F89</f>
        <v>0</v>
      </c>
      <c r="E101" s="480">
        <f>+'[35]Sch C'!H89</f>
        <v>0</v>
      </c>
      <c r="F101" s="166">
        <f t="shared" ref="F101:F106" si="23">C101+D101+E101</f>
        <v>148908</v>
      </c>
      <c r="G101" s="626"/>
      <c r="H101" s="607"/>
      <c r="I101" s="166">
        <f t="shared" ref="I101:I106" si="24">F101+G101+H101</f>
        <v>148908</v>
      </c>
      <c r="J101" s="167">
        <f t="shared" ref="J101:J107" si="25">IF($I$213=0,0,I101/$I$213)</f>
        <v>3.8618011105517984E-2</v>
      </c>
      <c r="K101" s="458"/>
      <c r="L101" s="176">
        <v>11045</v>
      </c>
      <c r="M101" s="176">
        <v>11443</v>
      </c>
      <c r="O101" s="329">
        <f t="shared" ref="O101:O106" si="26">I101/I$233</f>
        <v>8.1060424605334784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'[35]Sch C'!D90</f>
        <v>12385</v>
      </c>
      <c r="D102" s="480">
        <f>'[35]Sch C'!F90</f>
        <v>8990</v>
      </c>
      <c r="E102" s="480">
        <f>+'[35]Sch C'!H90</f>
        <v>0</v>
      </c>
      <c r="F102" s="166">
        <f t="shared" si="23"/>
        <v>21375</v>
      </c>
      <c r="G102" s="626"/>
      <c r="H102" s="607"/>
      <c r="I102" s="166">
        <f t="shared" si="24"/>
        <v>21375</v>
      </c>
      <c r="J102" s="167">
        <f t="shared" si="25"/>
        <v>5.5434226997907897E-3</v>
      </c>
      <c r="K102" s="458"/>
      <c r="L102" s="163"/>
      <c r="M102" s="163"/>
      <c r="O102" s="329">
        <f t="shared" si="26"/>
        <v>1.163581927054981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'[35]Sch C'!D91</f>
        <v>10660</v>
      </c>
      <c r="D103" s="480">
        <f>'[35]Sch C'!F91</f>
        <v>0</v>
      </c>
      <c r="E103" s="480">
        <f>+'[35]Sch C'!H91</f>
        <v>0</v>
      </c>
      <c r="F103" s="166">
        <f t="shared" si="23"/>
        <v>10660</v>
      </c>
      <c r="G103" s="626"/>
      <c r="H103" s="607"/>
      <c r="I103" s="166">
        <f t="shared" si="24"/>
        <v>10660</v>
      </c>
      <c r="J103" s="167">
        <f t="shared" si="25"/>
        <v>2.7645794610418628E-3</v>
      </c>
      <c r="K103" s="458"/>
      <c r="L103" s="163"/>
      <c r="M103" s="163"/>
      <c r="O103" s="329">
        <f t="shared" si="26"/>
        <v>0.58029395753946655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'[35]Sch C'!D92</f>
        <v>108267</v>
      </c>
      <c r="D104" s="480">
        <f>'[35]Sch C'!F92</f>
        <v>0</v>
      </c>
      <c r="E104" s="480">
        <f>+'[35]Sch C'!H92</f>
        <v>0</v>
      </c>
      <c r="F104" s="166">
        <f t="shared" si="23"/>
        <v>108267</v>
      </c>
      <c r="G104" s="626">
        <v>652</v>
      </c>
      <c r="H104" s="607"/>
      <c r="I104" s="166">
        <f t="shared" si="24"/>
        <v>108919</v>
      </c>
      <c r="J104" s="167">
        <f t="shared" si="25"/>
        <v>2.8247207346831015E-2</v>
      </c>
      <c r="K104" s="458"/>
      <c r="L104" s="163"/>
      <c r="M104" s="163"/>
      <c r="O104" s="329">
        <f t="shared" si="26"/>
        <v>5.9291780076211218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'[35]Sch C'!D93</f>
        <v>15155</v>
      </c>
      <c r="D105" s="480">
        <f>'[35]Sch C'!F93</f>
        <v>0</v>
      </c>
      <c r="E105" s="480">
        <f>+'[35]Sch C'!H93</f>
        <v>0</v>
      </c>
      <c r="F105" s="166">
        <f t="shared" si="23"/>
        <v>15155</v>
      </c>
      <c r="G105" s="626"/>
      <c r="H105" s="607"/>
      <c r="I105" s="166">
        <f t="shared" si="24"/>
        <v>15155</v>
      </c>
      <c r="J105" s="167">
        <f t="shared" si="25"/>
        <v>3.9303191118282765E-3</v>
      </c>
      <c r="K105" s="458"/>
      <c r="L105" s="163"/>
      <c r="M105" s="163"/>
      <c r="O105" s="329">
        <f t="shared" si="26"/>
        <v>0.82498639085465431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'[35]Sch C'!D94</f>
        <v>0</v>
      </c>
      <c r="D106" s="480">
        <f>'[35]Sch C'!F94</f>
        <v>0</v>
      </c>
      <c r="E106" s="480">
        <f>+'[35]Sch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295375</v>
      </c>
      <c r="D107" s="480">
        <f t="shared" si="27"/>
        <v>8990</v>
      </c>
      <c r="E107" s="480">
        <f t="shared" si="27"/>
        <v>0</v>
      </c>
      <c r="F107" s="166">
        <f t="shared" ref="F107:I107" si="28">SUM(F101:F106)</f>
        <v>304365</v>
      </c>
      <c r="G107" s="397">
        <f t="shared" si="28"/>
        <v>652</v>
      </c>
      <c r="H107" s="397">
        <f t="shared" si="28"/>
        <v>0</v>
      </c>
      <c r="I107" s="166">
        <f t="shared" si="28"/>
        <v>305017</v>
      </c>
      <c r="J107" s="167">
        <f t="shared" si="25"/>
        <v>7.9103539725009928E-2</v>
      </c>
      <c r="K107" s="458"/>
      <c r="L107" s="163"/>
      <c r="M107" s="163"/>
      <c r="O107" s="329">
        <f>I107/I$233</f>
        <v>16.604082743603701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'[35]Sch C'!D98</f>
        <v>18472</v>
      </c>
      <c r="D110" s="480">
        <f>'[35]Sch C'!F98</f>
        <v>0</v>
      </c>
      <c r="E110" s="480">
        <f>+'[35]Sch C'!H98</f>
        <v>0</v>
      </c>
      <c r="F110" s="166">
        <f t="shared" ref="F110:F115" si="29">C110+D110+E110</f>
        <v>18472</v>
      </c>
      <c r="G110" s="626"/>
      <c r="H110" s="607"/>
      <c r="I110" s="166">
        <f t="shared" ref="I110:I115" si="30">F110+G110+H110</f>
        <v>18472</v>
      </c>
      <c r="J110" s="167">
        <f t="shared" ref="J110:J116" si="31">IF($I$213=0,0,I110/$I$213)</f>
        <v>4.7905545782706647E-3</v>
      </c>
      <c r="K110" s="458"/>
      <c r="L110" s="176">
        <v>1800</v>
      </c>
      <c r="M110" s="176">
        <v>1840</v>
      </c>
      <c r="O110" s="329">
        <f t="shared" ref="O110:O115" si="32">I110/I$233</f>
        <v>1.0055525313010343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'[35]Sch C'!D99</f>
        <v>1541</v>
      </c>
      <c r="D111" s="480">
        <f>'[35]Sch C'!F99</f>
        <v>1115</v>
      </c>
      <c r="E111" s="480">
        <f>+'[35]Sch C'!H99</f>
        <v>0</v>
      </c>
      <c r="F111" s="166">
        <f t="shared" si="29"/>
        <v>2656</v>
      </c>
      <c r="G111" s="626"/>
      <c r="H111" s="607"/>
      <c r="I111" s="166">
        <f t="shared" si="30"/>
        <v>2656</v>
      </c>
      <c r="J111" s="167">
        <f t="shared" si="31"/>
        <v>6.8881079254476429E-4</v>
      </c>
      <c r="K111" s="458"/>
      <c r="L111" s="163"/>
      <c r="M111" s="163"/>
      <c r="O111" s="329">
        <f t="shared" si="32"/>
        <v>0.14458356015242244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'[35]Sch C'!D100</f>
        <v>1930</v>
      </c>
      <c r="D112" s="480">
        <f>'[35]Sch C'!F100</f>
        <v>0</v>
      </c>
      <c r="E112" s="480">
        <f>+'[35]Sch C'!H100</f>
        <v>0</v>
      </c>
      <c r="F112" s="166">
        <f t="shared" si="29"/>
        <v>1930</v>
      </c>
      <c r="G112" s="626"/>
      <c r="H112" s="607"/>
      <c r="I112" s="166">
        <f t="shared" si="30"/>
        <v>1930</v>
      </c>
      <c r="J112" s="167">
        <f t="shared" si="31"/>
        <v>5.0052892681151922E-4</v>
      </c>
      <c r="K112" s="458"/>
      <c r="L112" s="163"/>
      <c r="M112" s="163"/>
      <c r="O112" s="329">
        <f t="shared" si="32"/>
        <v>0.1050626020685901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'[35]Sch C'!D101</f>
        <v>0</v>
      </c>
      <c r="D113" s="480">
        <f>'[35]Sch C'!F101</f>
        <v>0</v>
      </c>
      <c r="E113" s="480">
        <f>+'[35]Sch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'[35]Sch C'!D102</f>
        <v>2491</v>
      </c>
      <c r="D114" s="480">
        <f>'[35]Sch C'!F102</f>
        <v>0</v>
      </c>
      <c r="E114" s="480">
        <f>+'[35]Sch C'!H102</f>
        <v>0</v>
      </c>
      <c r="F114" s="166">
        <f t="shared" si="29"/>
        <v>2491</v>
      </c>
      <c r="G114" s="626"/>
      <c r="H114" s="607"/>
      <c r="I114" s="166">
        <f t="shared" si="30"/>
        <v>2491</v>
      </c>
      <c r="J114" s="167">
        <f t="shared" si="31"/>
        <v>6.4601945942357217E-4</v>
      </c>
      <c r="K114" s="458"/>
      <c r="L114" s="163"/>
      <c r="M114" s="163"/>
      <c r="O114" s="329">
        <f t="shared" si="32"/>
        <v>0.13560152422427871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'[35]Sch C'!D103</f>
        <v>2442</v>
      </c>
      <c r="D115" s="480">
        <f>'[35]Sch C'!F103</f>
        <v>0</v>
      </c>
      <c r="E115" s="480">
        <f>+'[35]Sch C'!H103</f>
        <v>0</v>
      </c>
      <c r="F115" s="166">
        <f t="shared" si="29"/>
        <v>2442</v>
      </c>
      <c r="G115" s="626"/>
      <c r="H115" s="607"/>
      <c r="I115" s="166">
        <f t="shared" si="30"/>
        <v>2442</v>
      </c>
      <c r="J115" s="167">
        <f t="shared" si="31"/>
        <v>6.3331173019364243E-4</v>
      </c>
      <c r="K115" s="458"/>
      <c r="L115" s="163"/>
      <c r="M115" s="163"/>
      <c r="O115" s="329">
        <f t="shared" si="32"/>
        <v>0.13293413173652693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26876</v>
      </c>
      <c r="D116" s="480">
        <f t="shared" si="33"/>
        <v>1115</v>
      </c>
      <c r="E116" s="480">
        <f t="shared" si="33"/>
        <v>0</v>
      </c>
      <c r="F116" s="166">
        <f t="shared" ref="F116:I116" si="34">SUM(F110:F115)</f>
        <v>27991</v>
      </c>
      <c r="G116" s="397">
        <f t="shared" si="34"/>
        <v>0</v>
      </c>
      <c r="H116" s="397">
        <f t="shared" si="34"/>
        <v>0</v>
      </c>
      <c r="I116" s="166">
        <f t="shared" si="34"/>
        <v>27991</v>
      </c>
      <c r="J116" s="167">
        <f t="shared" si="31"/>
        <v>7.2592254872441628E-3</v>
      </c>
      <c r="K116" s="458"/>
      <c r="L116" s="163"/>
      <c r="M116" s="163"/>
      <c r="O116" s="329">
        <f>I116/I$233</f>
        <v>1.5237343494828526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'[35]Sch C'!D115</f>
        <v>63662</v>
      </c>
      <c r="D119" s="480">
        <f>'[35]Sch C'!F115</f>
        <v>0</v>
      </c>
      <c r="E119" s="480">
        <f>+'[35]Sch C'!H115</f>
        <v>0</v>
      </c>
      <c r="F119" s="166">
        <f t="shared" ref="F119:F123" si="35">C119+D119+E119</f>
        <v>63662</v>
      </c>
      <c r="G119" s="626"/>
      <c r="H119" s="607"/>
      <c r="I119" s="166">
        <f t="shared" ref="I119:I123" si="36">F119+G119+H119</f>
        <v>63662</v>
      </c>
      <c r="J119" s="167">
        <f t="shared" ref="J119:J124" si="37">IF($I$213=0,0,I119/$I$213)</f>
        <v>1.6510193025220176E-2</v>
      </c>
      <c r="K119" s="458"/>
      <c r="L119" s="176">
        <v>5929</v>
      </c>
      <c r="M119" s="176">
        <v>6174</v>
      </c>
      <c r="O119" s="329">
        <f t="shared" ref="O119:O124" si="38">I119/I$233</f>
        <v>3.4655416439847579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'[35]Sch C'!D116</f>
        <v>4860</v>
      </c>
      <c r="D120" s="480">
        <f>'[35]Sch C'!F116</f>
        <v>3843</v>
      </c>
      <c r="E120" s="480">
        <f>+'[35]Sch C'!H116</f>
        <v>0</v>
      </c>
      <c r="F120" s="166">
        <f t="shared" si="35"/>
        <v>8703</v>
      </c>
      <c r="G120" s="626"/>
      <c r="H120" s="607"/>
      <c r="I120" s="166">
        <f t="shared" si="36"/>
        <v>8703</v>
      </c>
      <c r="J120" s="167">
        <f t="shared" si="37"/>
        <v>2.2570483160832392E-3</v>
      </c>
      <c r="K120" s="458"/>
      <c r="L120" s="163"/>
      <c r="M120" s="163"/>
      <c r="O120" s="329">
        <f t="shared" si="38"/>
        <v>0.47376156777354383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'[35]Sch C'!D117</f>
        <v>13356</v>
      </c>
      <c r="D121" s="480">
        <f>'[35]Sch C'!F117</f>
        <v>0</v>
      </c>
      <c r="E121" s="480">
        <f>+'[35]Sch C'!H117</f>
        <v>0</v>
      </c>
      <c r="F121" s="166">
        <f t="shared" si="35"/>
        <v>13356</v>
      </c>
      <c r="G121" s="626"/>
      <c r="H121" s="607"/>
      <c r="I121" s="166">
        <f t="shared" si="36"/>
        <v>13356</v>
      </c>
      <c r="J121" s="167">
        <f t="shared" si="37"/>
        <v>3.4637639101008553E-3</v>
      </c>
      <c r="K121" s="458"/>
      <c r="L121" s="163"/>
      <c r="M121" s="163"/>
      <c r="O121" s="329">
        <f t="shared" si="38"/>
        <v>0.72705498094719656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'[35]Sch C'!D118</f>
        <v>0</v>
      </c>
      <c r="D122" s="480">
        <f>'[35]Sch C'!F118</f>
        <v>0</v>
      </c>
      <c r="E122" s="480">
        <f>+'[35]Sch C'!H118</f>
        <v>0</v>
      </c>
      <c r="F122" s="166">
        <f t="shared" si="35"/>
        <v>0</v>
      </c>
      <c r="G122" s="626"/>
      <c r="H122" s="607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'[35]Sch C'!D119</f>
        <v>0</v>
      </c>
      <c r="D123" s="480">
        <f>'[35]Sch C'!F119</f>
        <v>0</v>
      </c>
      <c r="E123" s="480">
        <f>+'[35]Sch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81878</v>
      </c>
      <c r="D124" s="480">
        <f t="shared" si="39"/>
        <v>3843</v>
      </c>
      <c r="E124" s="480">
        <f t="shared" si="39"/>
        <v>0</v>
      </c>
      <c r="F124" s="166">
        <f t="shared" ref="F124:I124" si="40">SUM(F119:F123)</f>
        <v>85721</v>
      </c>
      <c r="G124" s="397">
        <f t="shared" si="40"/>
        <v>0</v>
      </c>
      <c r="H124" s="397">
        <f t="shared" si="40"/>
        <v>0</v>
      </c>
      <c r="I124" s="166">
        <f t="shared" si="40"/>
        <v>85721</v>
      </c>
      <c r="J124" s="167">
        <f t="shared" si="37"/>
        <v>2.2231005251404271E-2</v>
      </c>
      <c r="K124" s="458"/>
      <c r="L124" s="163"/>
      <c r="M124" s="163"/>
      <c r="O124" s="329">
        <f t="shared" si="38"/>
        <v>4.6663581927054985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'[35]Sch C'!D124</f>
        <v>0</v>
      </c>
      <c r="D128" s="480">
        <f>'[35]Sch C'!F124</f>
        <v>0</v>
      </c>
      <c r="E128" s="480">
        <f>+'[35]Sch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'[35]Sch C'!D125</f>
        <v>110879</v>
      </c>
      <c r="D129" s="480">
        <f>'[35]Sch C'!F125</f>
        <v>0</v>
      </c>
      <c r="E129" s="480">
        <f>+'[35]Sch C'!H125</f>
        <v>0</v>
      </c>
      <c r="F129" s="166">
        <f t="shared" si="41"/>
        <v>110879</v>
      </c>
      <c r="G129" s="626"/>
      <c r="H129" s="607"/>
      <c r="I129" s="166">
        <f t="shared" si="42"/>
        <v>110879</v>
      </c>
      <c r="J129" s="167">
        <f>IF($I$213=0,0,I129/$I$213)</f>
        <v>2.8755516516028208E-2</v>
      </c>
      <c r="K129" s="458"/>
      <c r="L129" s="176">
        <v>1928</v>
      </c>
      <c r="M129" s="176">
        <v>2088</v>
      </c>
      <c r="O129" s="329">
        <f t="shared" si="43"/>
        <v>6.0358737071311923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'[35]Sch C'!D126</f>
        <v>0</v>
      </c>
      <c r="D130" s="480">
        <f>'[35]Sch C'!F126</f>
        <v>0</v>
      </c>
      <c r="E130" s="480">
        <f>+'[35]Sch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'[35]Sch C'!D127</f>
        <v>0</v>
      </c>
      <c r="D131" s="480">
        <f>'[35]Sch C'!F127</f>
        <v>0</v>
      </c>
      <c r="E131" s="480">
        <f>+'[35]Sch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'[35]Sch C'!D128</f>
        <v>0</v>
      </c>
      <c r="D132" s="480">
        <f>'[35]Sch C'!F128</f>
        <v>0</v>
      </c>
      <c r="E132" s="480">
        <f>+'[35]Sch C'!H128</f>
        <v>0</v>
      </c>
      <c r="F132" s="166">
        <f t="shared" si="41"/>
        <v>0</v>
      </c>
      <c r="G132" s="626"/>
      <c r="H132" s="607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'[35]Sch C'!D130</f>
        <v>0</v>
      </c>
      <c r="D134" s="480">
        <f>'[35]Sch C'!F130</f>
        <v>0</v>
      </c>
      <c r="E134" s="480">
        <f>+'[35]Sch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693" t="s">
        <v>673</v>
      </c>
      <c r="C135" s="480">
        <f>'[35]Sch C'!D131</f>
        <v>0</v>
      </c>
      <c r="D135" s="480">
        <f>'[35]Sch C'!F131</f>
        <v>15690</v>
      </c>
      <c r="E135" s="480">
        <f>+'[35]Sch C'!H131</f>
        <v>0</v>
      </c>
      <c r="F135" s="166">
        <f t="shared" si="44"/>
        <v>15690</v>
      </c>
      <c r="G135" s="626"/>
      <c r="H135" s="607"/>
      <c r="I135" s="166">
        <f t="shared" si="45"/>
        <v>15690</v>
      </c>
      <c r="J135" s="167">
        <f>IF($I$213=0,0,I135/$I$213)</f>
        <v>4.0690667677060815E-3</v>
      </c>
      <c r="K135" s="458"/>
      <c r="L135" s="196"/>
      <c r="M135" s="196"/>
      <c r="O135" s="329">
        <f t="shared" si="43"/>
        <v>0.85410996189439303</v>
      </c>
      <c r="P135" s="324">
        <f>SUMMARY!L137</f>
        <v>1.7172183827658836</v>
      </c>
    </row>
    <row r="136" spans="1:16" s="162" customFormat="1">
      <c r="B136" s="693" t="s">
        <v>674</v>
      </c>
      <c r="C136" s="480">
        <f>'[35]Sch C'!D132</f>
        <v>0</v>
      </c>
      <c r="D136" s="480">
        <f>'[35]Sch C'!F132</f>
        <v>0</v>
      </c>
      <c r="E136" s="480">
        <f>+'[35]Sch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693" t="s">
        <v>683</v>
      </c>
      <c r="C137" s="480">
        <f>'[35]Sch C'!D133</f>
        <v>0</v>
      </c>
      <c r="D137" s="480">
        <f>'[35]Sch C'!F133</f>
        <v>0</v>
      </c>
      <c r="E137" s="480">
        <f>+'[35]Sch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'[35]Sch C'!D134</f>
        <v>0</v>
      </c>
      <c r="D138" s="480">
        <f>'[35]Sch C'!F134</f>
        <v>0</v>
      </c>
      <c r="E138" s="480">
        <f>+'[35]Sch C'!H134</f>
        <v>0</v>
      </c>
      <c r="F138" s="166">
        <f t="shared" si="44"/>
        <v>0</v>
      </c>
      <c r="G138" s="626"/>
      <c r="H138" s="607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219"/>
      <c r="G139" s="219"/>
      <c r="H139" s="219"/>
      <c r="I139" s="219"/>
      <c r="J139" s="318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'[35]Sch C'!D136</f>
        <v>125713</v>
      </c>
      <c r="D140" s="480">
        <f>'[35]Sch C'!F136</f>
        <v>-18803</v>
      </c>
      <c r="E140" s="480">
        <f>+'[35]Sch C'!H136</f>
        <v>0</v>
      </c>
      <c r="F140" s="166">
        <f t="shared" ref="F140:F143" si="46">C140+D140+E140</f>
        <v>106910</v>
      </c>
      <c r="G140" s="626"/>
      <c r="H140" s="607"/>
      <c r="I140" s="166">
        <f t="shared" ref="I140:I143" si="47">F140+G140+H140</f>
        <v>106910</v>
      </c>
      <c r="J140" s="167">
        <f>IF($I$213=0,0,I140/$I$213)</f>
        <v>2.7726190448403895E-2</v>
      </c>
      <c r="K140" s="458"/>
      <c r="L140" s="176">
        <v>5423</v>
      </c>
      <c r="M140" s="176">
        <v>5603</v>
      </c>
      <c r="O140" s="329">
        <f t="shared" si="43"/>
        <v>5.819814915623299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'[35]Sch C'!D137</f>
        <v>393726</v>
      </c>
      <c r="D141" s="480">
        <f>'[35]Sch C'!F137</f>
        <v>18803</v>
      </c>
      <c r="E141" s="480">
        <f>+'[35]Sch C'!H137</f>
        <v>0</v>
      </c>
      <c r="F141" s="166">
        <f t="shared" si="46"/>
        <v>412529</v>
      </c>
      <c r="G141" s="626"/>
      <c r="H141" s="607"/>
      <c r="I141" s="166">
        <f t="shared" si="47"/>
        <v>412529</v>
      </c>
      <c r="J141" s="167">
        <f>IF($I$213=0,0,I141/$I$213)</f>
        <v>0.10698585370395296</v>
      </c>
      <c r="K141" s="458"/>
      <c r="L141" s="176">
        <v>13315</v>
      </c>
      <c r="M141" s="176">
        <v>13721</v>
      </c>
      <c r="O141" s="329">
        <f t="shared" si="43"/>
        <v>22.456668481219378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'[35]Sch C'!D138</f>
        <v>634158</v>
      </c>
      <c r="D142" s="480">
        <f>'[35]Sch C'!F138</f>
        <v>0</v>
      </c>
      <c r="E142" s="480">
        <f>+'[35]Sch C'!H138</f>
        <v>0</v>
      </c>
      <c r="F142" s="166">
        <f t="shared" si="46"/>
        <v>634158</v>
      </c>
      <c r="G142" s="626">
        <v>-36430</v>
      </c>
      <c r="H142" s="607"/>
      <c r="I142" s="166">
        <f t="shared" si="47"/>
        <v>597728</v>
      </c>
      <c r="J142" s="167">
        <f>IF($I$213=0,0,I142/$I$213)</f>
        <v>0.15501562402341748</v>
      </c>
      <c r="K142" s="458"/>
      <c r="L142" s="176">
        <v>41180</v>
      </c>
      <c r="M142" s="176">
        <v>42075</v>
      </c>
      <c r="O142" s="329">
        <f t="shared" si="43"/>
        <v>32.538268916712028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'[35]Sch C'!D139</f>
        <v>0</v>
      </c>
      <c r="D143" s="480">
        <f>'[35]Sch C'!F139</f>
        <v>0</v>
      </c>
      <c r="E143" s="480">
        <f>+'[35]Sch C'!H139</f>
        <v>0</v>
      </c>
      <c r="F143" s="166">
        <f t="shared" si="46"/>
        <v>0</v>
      </c>
      <c r="G143" s="626"/>
      <c r="H143" s="607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693" t="s">
        <v>681</v>
      </c>
      <c r="C145" s="480">
        <f>'[35]Sch C'!D141</f>
        <v>51139</v>
      </c>
      <c r="D145" s="480">
        <f>'[35]Sch C'!F141</f>
        <v>-36011</v>
      </c>
      <c r="E145" s="480">
        <f>+'[35]Sch C'!H141</f>
        <v>0</v>
      </c>
      <c r="F145" s="166">
        <f t="shared" ref="F145:F148" si="48">C145+D145+E145</f>
        <v>15128</v>
      </c>
      <c r="G145" s="626"/>
      <c r="H145" s="607"/>
      <c r="I145" s="166">
        <f t="shared" ref="I145:I148" si="49">F145+G145+H145</f>
        <v>15128</v>
      </c>
      <c r="J145" s="167">
        <f>IF($I$213=0,0,I145/$I$213)</f>
        <v>3.9233168936811721E-3</v>
      </c>
      <c r="K145" s="458"/>
      <c r="L145" s="163"/>
      <c r="M145" s="163"/>
      <c r="O145" s="329">
        <f t="shared" si="43"/>
        <v>0.82351660315732167</v>
      </c>
      <c r="P145" s="324">
        <f>SUMMARY!L147</f>
        <v>4.4613578559170044</v>
      </c>
    </row>
    <row r="146" spans="1:16" s="162" customFormat="1">
      <c r="A146" s="164"/>
      <c r="B146" s="693" t="s">
        <v>688</v>
      </c>
      <c r="C146" s="480">
        <f>'[35]Sch C'!D142</f>
        <v>0</v>
      </c>
      <c r="D146" s="480">
        <f>'[35]Sch C'!F142</f>
        <v>58375</v>
      </c>
      <c r="E146" s="480">
        <f>+'[35]Sch C'!H142</f>
        <v>0</v>
      </c>
      <c r="F146" s="166">
        <f t="shared" si="48"/>
        <v>58375</v>
      </c>
      <c r="G146" s="626"/>
      <c r="H146" s="607"/>
      <c r="I146" s="166">
        <f t="shared" si="49"/>
        <v>58375</v>
      </c>
      <c r="J146" s="167">
        <f>IF($I$213=0,0,I146/$I$213)</f>
        <v>1.5139054975452039E-2</v>
      </c>
      <c r="K146" s="458"/>
      <c r="L146" s="163"/>
      <c r="M146" s="163"/>
      <c r="O146" s="329">
        <f t="shared" si="43"/>
        <v>3.17773543821448</v>
      </c>
      <c r="P146" s="324">
        <f>SUMMARY!L148</f>
        <v>2.5881018642050413</v>
      </c>
    </row>
    <row r="147" spans="1:16" s="162" customFormat="1">
      <c r="A147" s="164"/>
      <c r="B147" s="693" t="s">
        <v>690</v>
      </c>
      <c r="C147" s="480">
        <f>'[35]Sch C'!D143</f>
        <v>51886</v>
      </c>
      <c r="D147" s="480">
        <f>'[35]Sch C'!F143</f>
        <v>38286</v>
      </c>
      <c r="E147" s="480">
        <f>+'[35]Sch C'!H143</f>
        <v>0</v>
      </c>
      <c r="F147" s="166">
        <f t="shared" si="48"/>
        <v>90172</v>
      </c>
      <c r="G147" s="626">
        <v>-5180</v>
      </c>
      <c r="H147" s="607"/>
      <c r="I147" s="166">
        <f t="shared" si="49"/>
        <v>84992</v>
      </c>
      <c r="J147" s="167">
        <f>IF($I$213=0,0,I147/$I$213)</f>
        <v>2.2041945361432457E-2</v>
      </c>
      <c r="K147" s="458"/>
      <c r="L147" s="163"/>
      <c r="M147" s="163"/>
      <c r="O147" s="329">
        <f t="shared" si="43"/>
        <v>4.6266739248775179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'[35]Sch C'!D144</f>
        <v>0</v>
      </c>
      <c r="D148" s="480">
        <f>'[35]Sch C'!F144</f>
        <v>0</v>
      </c>
      <c r="E148" s="480">
        <f>+'[35]Sch C'!H144</f>
        <v>0</v>
      </c>
      <c r="F148" s="166">
        <f t="shared" si="48"/>
        <v>0</v>
      </c>
      <c r="G148" s="626"/>
      <c r="H148" s="607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219"/>
      <c r="G149" s="219"/>
      <c r="H149" s="219"/>
      <c r="I149" s="219"/>
      <c r="J149" s="318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'[35]Sch C'!D146</f>
        <v>42000</v>
      </c>
      <c r="D150" s="480">
        <f>'[35]Sch C'!F146</f>
        <v>0</v>
      </c>
      <c r="E150" s="480">
        <f>+'[35]Sch C'!H146</f>
        <v>0</v>
      </c>
      <c r="F150" s="166">
        <f t="shared" ref="F150:F158" si="50">C150+D150+E150</f>
        <v>42000</v>
      </c>
      <c r="G150" s="626"/>
      <c r="H150" s="607"/>
      <c r="I150" s="166">
        <f t="shared" ref="I150:I158" si="51">F150+G150+H150</f>
        <v>42000</v>
      </c>
      <c r="J150" s="167">
        <f t="shared" ref="J150:J158" si="52">IF($I$213=0,0,I150/$I$213)</f>
        <v>1.0892339339939796E-2</v>
      </c>
      <c r="K150" s="458"/>
      <c r="L150" s="176">
        <v>312</v>
      </c>
      <c r="M150" s="176">
        <v>312</v>
      </c>
      <c r="O150" s="329">
        <f t="shared" si="43"/>
        <v>2.2863364180729451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'[35]Sch C'!D147</f>
        <v>0</v>
      </c>
      <c r="D151" s="480">
        <f>'[35]Sch C'!F147</f>
        <v>0</v>
      </c>
      <c r="E151" s="480">
        <f>+'[35]Sch C'!H147</f>
        <v>0</v>
      </c>
      <c r="F151" s="166">
        <f t="shared" si="50"/>
        <v>0</v>
      </c>
      <c r="G151" s="626"/>
      <c r="H151" s="607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'[35]Sch C'!D148</f>
        <v>0</v>
      </c>
      <c r="D152" s="480">
        <f>'[35]Sch C'!F148</f>
        <v>0</v>
      </c>
      <c r="E152" s="480">
        <f>+'[35]Sch C'!H148</f>
        <v>0</v>
      </c>
      <c r="F152" s="166">
        <f t="shared" si="50"/>
        <v>0</v>
      </c>
      <c r="G152" s="626"/>
      <c r="H152" s="607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'[35]Sch C'!D149</f>
        <v>663</v>
      </c>
      <c r="D153" s="480">
        <f>'[35]Sch C'!F149</f>
        <v>0</v>
      </c>
      <c r="E153" s="480">
        <f>+'[35]Sch C'!H149</f>
        <v>0</v>
      </c>
      <c r="F153" s="166">
        <f t="shared" si="50"/>
        <v>663</v>
      </c>
      <c r="G153" s="626"/>
      <c r="H153" s="607"/>
      <c r="I153" s="166">
        <f t="shared" si="51"/>
        <v>663</v>
      </c>
      <c r="J153" s="167">
        <f t="shared" si="52"/>
        <v>1.7194335672333536E-4</v>
      </c>
      <c r="K153" s="458"/>
      <c r="L153" s="176">
        <v>24</v>
      </c>
      <c r="M153" s="176">
        <v>24</v>
      </c>
      <c r="O153" s="329">
        <f t="shared" si="43"/>
        <v>3.6091453456722919E-2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'[35]Sch C'!D150</f>
        <v>8361</v>
      </c>
      <c r="D154" s="480">
        <f>'[35]Sch C'!F150</f>
        <v>0</v>
      </c>
      <c r="E154" s="480">
        <f>+'[35]Sch C'!H150</f>
        <v>0</v>
      </c>
      <c r="F154" s="166">
        <f t="shared" si="50"/>
        <v>8361</v>
      </c>
      <c r="G154" s="626"/>
      <c r="H154" s="607"/>
      <c r="I154" s="166">
        <f t="shared" si="51"/>
        <v>8361</v>
      </c>
      <c r="J154" s="167">
        <f t="shared" si="52"/>
        <v>2.1683535528865868E-3</v>
      </c>
      <c r="K154" s="458"/>
      <c r="L154" s="176">
        <v>88</v>
      </c>
      <c r="M154" s="176">
        <v>88</v>
      </c>
      <c r="O154" s="329">
        <f t="shared" si="43"/>
        <v>0.45514425694066413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'[35]Sch C'!D151</f>
        <v>81294</v>
      </c>
      <c r="D155" s="480">
        <f>'[35]Sch C'!F151</f>
        <v>0</v>
      </c>
      <c r="E155" s="480">
        <f>+'[35]Sch C'!H151</f>
        <v>0</v>
      </c>
      <c r="F155" s="166">
        <f t="shared" si="50"/>
        <v>81294</v>
      </c>
      <c r="G155" s="626"/>
      <c r="H155" s="607"/>
      <c r="I155" s="166">
        <f t="shared" si="51"/>
        <v>81294</v>
      </c>
      <c r="J155" s="167">
        <f t="shared" si="52"/>
        <v>2.1082900816692042E-2</v>
      </c>
      <c r="K155" s="458"/>
      <c r="L155" s="163"/>
      <c r="M155" s="163"/>
      <c r="O155" s="329">
        <f t="shared" si="43"/>
        <v>4.4253674469243336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'[35]Sch C'!D152</f>
        <v>29241</v>
      </c>
      <c r="D156" s="480">
        <f>'[35]Sch C'!F152</f>
        <v>0</v>
      </c>
      <c r="E156" s="480">
        <f>+'[35]Sch C'!H152</f>
        <v>0</v>
      </c>
      <c r="F156" s="166">
        <f t="shared" si="50"/>
        <v>29241</v>
      </c>
      <c r="G156" s="626"/>
      <c r="H156" s="607"/>
      <c r="I156" s="166">
        <f t="shared" si="51"/>
        <v>29241</v>
      </c>
      <c r="J156" s="167">
        <f t="shared" si="52"/>
        <v>7.5834022533138E-3</v>
      </c>
      <c r="K156" s="458"/>
      <c r="L156" s="163"/>
      <c r="M156" s="163"/>
      <c r="O156" s="329">
        <f t="shared" si="43"/>
        <v>1.591780076211214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'[35]Sch C'!D153</f>
        <v>0</v>
      </c>
      <c r="D157" s="480">
        <f>'[35]Sch C'!F153</f>
        <v>0</v>
      </c>
      <c r="E157" s="480">
        <f>+'[35]Sch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'[35]Sch C'!D154</f>
        <v>0</v>
      </c>
      <c r="D158" s="480">
        <f>'[35]Sch C'!F154</f>
        <v>0</v>
      </c>
      <c r="E158" s="480">
        <f>+'[35]Sch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'[35]Sch C'!D156</f>
        <v>0</v>
      </c>
      <c r="D160" s="480">
        <f>'[35]Sch C'!F156</f>
        <v>0</v>
      </c>
      <c r="E160" s="480">
        <f>+'[35]Sch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'[35]Sch C'!D157</f>
        <v>0</v>
      </c>
      <c r="D161" s="480">
        <f>'[35]Sch C'!F157</f>
        <v>0</v>
      </c>
      <c r="E161" s="480">
        <f>+'[35]Sch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'[35]Sch C'!D158</f>
        <v>0</v>
      </c>
      <c r="D162" s="480">
        <f>'[35]Sch C'!F158</f>
        <v>0</v>
      </c>
      <c r="E162" s="480">
        <f>+'[35]Sch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'[35]Sch C'!D159</f>
        <v>0</v>
      </c>
      <c r="D163" s="480">
        <f>'[35]Sch C'!F159</f>
        <v>0</v>
      </c>
      <c r="E163" s="480">
        <f>+'[35]Sch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'[35]Sch C'!D160</f>
        <v>1000</v>
      </c>
      <c r="D164" s="480">
        <f>'[35]Sch C'!F160</f>
        <v>0</v>
      </c>
      <c r="E164" s="480">
        <f>+'[35]Sch C'!H160</f>
        <v>0</v>
      </c>
      <c r="F164" s="166">
        <f t="shared" si="53"/>
        <v>1000</v>
      </c>
      <c r="G164" s="626"/>
      <c r="H164" s="607"/>
      <c r="I164" s="166">
        <f t="shared" si="54"/>
        <v>1000</v>
      </c>
      <c r="J164" s="167">
        <f>IF($I$213=0,0,I164/$I$213)</f>
        <v>2.5934141285570943E-4</v>
      </c>
      <c r="K164" s="458"/>
      <c r="L164" s="163"/>
      <c r="M164" s="163"/>
      <c r="O164" s="329">
        <f t="shared" si="43"/>
        <v>5.443658138268917E-2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'[35]Sch C'!D161</f>
        <v>0</v>
      </c>
      <c r="D165" s="480">
        <f>'[35]Sch C'!F161</f>
        <v>0</v>
      </c>
      <c r="E165" s="480">
        <f>+'[35]Sch C'!H161</f>
        <v>0</v>
      </c>
      <c r="F165" s="166">
        <f t="shared" si="53"/>
        <v>0</v>
      </c>
      <c r="G165" s="626"/>
      <c r="H165" s="607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1530060</v>
      </c>
      <c r="D166" s="480">
        <f t="shared" si="56"/>
        <v>76340</v>
      </c>
      <c r="E166" s="480">
        <f t="shared" si="56"/>
        <v>0</v>
      </c>
      <c r="F166" s="166">
        <f t="shared" ref="F166:I166" si="57">SUM(F128:F165)</f>
        <v>1606400</v>
      </c>
      <c r="G166" s="397">
        <f t="shared" si="57"/>
        <v>-41610</v>
      </c>
      <c r="H166" s="397">
        <f t="shared" si="57"/>
        <v>0</v>
      </c>
      <c r="I166" s="166">
        <f t="shared" si="57"/>
        <v>1564790</v>
      </c>
      <c r="J166" s="167">
        <f t="shared" si="55"/>
        <v>0.40581484942248558</v>
      </c>
      <c r="K166" s="458"/>
      <c r="L166" s="163"/>
      <c r="M166" s="163"/>
      <c r="O166" s="329">
        <f>I166/I$233</f>
        <v>85.181818181818187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'[35]Sch C'!D175</f>
        <v>0</v>
      </c>
      <c r="D169" s="480">
        <f>'[35]Sch C'!F175</f>
        <v>0</v>
      </c>
      <c r="E169" s="480">
        <f>+'[35]Sch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'[35]Sch C'!D176</f>
        <v>0</v>
      </c>
      <c r="D170" s="480">
        <f>'[35]Sch C'!F176</f>
        <v>0</v>
      </c>
      <c r="E170" s="480">
        <f>+'[35]Sch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'[35]Sch C'!D177</f>
        <v>0</v>
      </c>
      <c r="D171" s="480">
        <f>'[35]Sch C'!F177</f>
        <v>0</v>
      </c>
      <c r="E171" s="480">
        <f>+'[35]Sch C'!H177</f>
        <v>0</v>
      </c>
      <c r="F171" s="166">
        <f t="shared" si="58"/>
        <v>0</v>
      </c>
      <c r="G171" s="626"/>
      <c r="H171" s="607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'[35]Sch C'!D178</f>
        <v>0</v>
      </c>
      <c r="D172" s="480">
        <f>'[35]Sch C'!F178</f>
        <v>0</v>
      </c>
      <c r="E172" s="480">
        <f>+'[35]Sch C'!H178</f>
        <v>0</v>
      </c>
      <c r="F172" s="166">
        <f t="shared" si="58"/>
        <v>0</v>
      </c>
      <c r="G172" s="626"/>
      <c r="H172" s="607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'[35]Sch C'!D179</f>
        <v>0</v>
      </c>
      <c r="D173" s="480">
        <f>'[35]Sch C'!F179</f>
        <v>0</v>
      </c>
      <c r="E173" s="480">
        <f>+'[35]Sch C'!H179</f>
        <v>0</v>
      </c>
      <c r="F173" s="166">
        <f t="shared" si="58"/>
        <v>0</v>
      </c>
      <c r="G173" s="626"/>
      <c r="H173" s="607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'[35]Sch C'!D180</f>
        <v>0</v>
      </c>
      <c r="D174" s="480">
        <f>'[35]Sch C'!F180</f>
        <v>0</v>
      </c>
      <c r="E174" s="480">
        <f>+'[35]Sch C'!H180</f>
        <v>0</v>
      </c>
      <c r="F174" s="166">
        <f t="shared" si="58"/>
        <v>0</v>
      </c>
      <c r="G174" s="626"/>
      <c r="H174" s="607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'[35]Sch C'!D181</f>
        <v>0</v>
      </c>
      <c r="D175" s="480">
        <f>'[35]Sch C'!F181</f>
        <v>0</v>
      </c>
      <c r="E175" s="480">
        <f>+'[35]Sch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'[35]Sch C'!D182</f>
        <v>0</v>
      </c>
      <c r="D176" s="480">
        <f>'[35]Sch C'!F182</f>
        <v>0</v>
      </c>
      <c r="E176" s="480">
        <f>+'[35]Sch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'[35]Sch C'!D183</f>
        <v>0</v>
      </c>
      <c r="D177" s="480">
        <f>'[35]Sch C'!F183</f>
        <v>0</v>
      </c>
      <c r="E177" s="480">
        <f>+'[35]Sch C'!H183</f>
        <v>0</v>
      </c>
      <c r="F177" s="166">
        <f t="shared" si="58"/>
        <v>0</v>
      </c>
      <c r="G177" s="626"/>
      <c r="H177" s="607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'[35]Sch C'!D184</f>
        <v>0</v>
      </c>
      <c r="D178" s="480">
        <f>'[35]Sch C'!F184</f>
        <v>0</v>
      </c>
      <c r="E178" s="480">
        <f>+'[35]Sch C'!H184</f>
        <v>0</v>
      </c>
      <c r="F178" s="166">
        <f t="shared" si="58"/>
        <v>0</v>
      </c>
      <c r="G178" s="626"/>
      <c r="H178" s="607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'[35]Sch C'!D185</f>
        <v>0</v>
      </c>
      <c r="D179" s="480">
        <f>'[35]Sch C'!F185</f>
        <v>0</v>
      </c>
      <c r="E179" s="480">
        <f>+'[35]Sch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'[35]Sch C'!D186</f>
        <v>0</v>
      </c>
      <c r="D180" s="480">
        <f>'[35]Sch C'!F186</f>
        <v>0</v>
      </c>
      <c r="E180" s="480">
        <f>+'[35]Sch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'[35]Sch C'!D187</f>
        <v>0</v>
      </c>
      <c r="D181" s="480">
        <f>'[35]Sch C'!F187</f>
        <v>0</v>
      </c>
      <c r="E181" s="480">
        <f>+'[35]Sch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'[35]Sch C'!D188</f>
        <v>0</v>
      </c>
      <c r="D182" s="480">
        <f>'[35]Sch C'!F188</f>
        <v>0</v>
      </c>
      <c r="E182" s="480">
        <f>+'[35]Sch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'[35]Sch C'!D189</f>
        <v>0</v>
      </c>
      <c r="D183" s="480">
        <f>'[35]Sch C'!F189</f>
        <v>0</v>
      </c>
      <c r="E183" s="480">
        <f>+'[35]Sch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'[35]Sch C'!D190</f>
        <v>0</v>
      </c>
      <c r="D184" s="480">
        <f>'[35]Sch C'!F190</f>
        <v>0</v>
      </c>
      <c r="E184" s="480">
        <f>+'[35]Sch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'[35]Sch C'!D191</f>
        <v>0</v>
      </c>
      <c r="D185" s="480">
        <f>'[35]Sch C'!F191</f>
        <v>0</v>
      </c>
      <c r="E185" s="480">
        <f>+'[35]Sch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'[35]Sch C'!D192</f>
        <v>0</v>
      </c>
      <c r="D186" s="480">
        <f>'[35]Sch C'!F192</f>
        <v>0</v>
      </c>
      <c r="E186" s="480">
        <f>+'[35]Sch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'[35]Sch C'!D193</f>
        <v>0</v>
      </c>
      <c r="D187" s="480">
        <f>'[35]Sch C'!F193</f>
        <v>0</v>
      </c>
      <c r="E187" s="480">
        <f>+'[35]Sch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'[35]Sch C'!D194</f>
        <v>28111</v>
      </c>
      <c r="D188" s="480">
        <f>'[35]Sch C'!F194</f>
        <v>0</v>
      </c>
      <c r="E188" s="480">
        <f>+'[35]Sch C'!H194</f>
        <v>0</v>
      </c>
      <c r="F188" s="166">
        <f t="shared" si="58"/>
        <v>28111</v>
      </c>
      <c r="G188" s="626"/>
      <c r="H188" s="607"/>
      <c r="I188" s="166">
        <f t="shared" si="59"/>
        <v>28111</v>
      </c>
      <c r="J188" s="167">
        <f t="shared" si="60"/>
        <v>7.2903464567868484E-3</v>
      </c>
      <c r="K188" s="458"/>
      <c r="L188" s="213"/>
      <c r="M188" s="208"/>
      <c r="O188" s="329">
        <f t="shared" si="61"/>
        <v>1.5302667392487752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'[35]Sch C'!D195</f>
        <v>806</v>
      </c>
      <c r="D189" s="480">
        <f>'[35]Sch C'!F195</f>
        <v>0</v>
      </c>
      <c r="E189" s="480">
        <f>+'[35]Sch C'!H195</f>
        <v>0</v>
      </c>
      <c r="F189" s="166">
        <f t="shared" si="58"/>
        <v>806</v>
      </c>
      <c r="G189" s="626"/>
      <c r="H189" s="607"/>
      <c r="I189" s="166">
        <f t="shared" si="59"/>
        <v>806</v>
      </c>
      <c r="J189" s="167">
        <f t="shared" si="60"/>
        <v>2.0902917876170182E-4</v>
      </c>
      <c r="K189" s="458"/>
      <c r="L189" s="213"/>
      <c r="M189" s="208"/>
      <c r="O189" s="329">
        <f t="shared" si="61"/>
        <v>4.3875884594447467E-2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'[35]Sch C'!D196</f>
        <v>0</v>
      </c>
      <c r="D190" s="480">
        <f>'[35]Sch C'!F196</f>
        <v>0</v>
      </c>
      <c r="E190" s="480">
        <f>+'[35]Sch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'[35]Sch C'!D197</f>
        <v>2798</v>
      </c>
      <c r="D191" s="480">
        <f>'[35]Sch C'!F197</f>
        <v>0</v>
      </c>
      <c r="E191" s="480">
        <f>+'[35]Sch C'!H197</f>
        <v>0</v>
      </c>
      <c r="F191" s="166">
        <f t="shared" si="58"/>
        <v>2798</v>
      </c>
      <c r="G191" s="626"/>
      <c r="H191" s="607"/>
      <c r="I191" s="166">
        <f t="shared" si="59"/>
        <v>2798</v>
      </c>
      <c r="J191" s="167">
        <f t="shared" si="60"/>
        <v>7.2563727317027503E-4</v>
      </c>
      <c r="K191" s="458"/>
      <c r="L191" s="213"/>
      <c r="M191" s="208"/>
      <c r="O191" s="329">
        <f t="shared" si="61"/>
        <v>0.15231355470876429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'[35]Sch C'!D198</f>
        <v>1073</v>
      </c>
      <c r="D192" s="480">
        <f>'[35]Sch C'!F198</f>
        <v>0</v>
      </c>
      <c r="E192" s="480">
        <f>+'[35]Sch C'!H198</f>
        <v>0</v>
      </c>
      <c r="F192" s="166">
        <f t="shared" si="58"/>
        <v>1073</v>
      </c>
      <c r="G192" s="626"/>
      <c r="H192" s="607"/>
      <c r="I192" s="166">
        <f t="shared" si="59"/>
        <v>1073</v>
      </c>
      <c r="J192" s="167">
        <f t="shared" si="60"/>
        <v>2.7827333599417622E-4</v>
      </c>
      <c r="K192" s="458"/>
      <c r="L192" s="213"/>
      <c r="M192" s="208"/>
      <c r="O192" s="329">
        <f t="shared" si="61"/>
        <v>5.8410451823625475E-2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'[35]Sch C'!D199</f>
        <v>0</v>
      </c>
      <c r="D193" s="480">
        <f>'[35]Sch C'!F199</f>
        <v>0</v>
      </c>
      <c r="E193" s="480">
        <f>+'[35]Sch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'[35]Sch C'!D200</f>
        <v>0</v>
      </c>
      <c r="D194" s="480">
        <f>'[35]Sch C'!F200</f>
        <v>0</v>
      </c>
      <c r="E194" s="480">
        <f>+'[35]Sch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'[35]Sch C'!D201</f>
        <v>0</v>
      </c>
      <c r="D195" s="480">
        <f>'[35]Sch C'!F201</f>
        <v>0</v>
      </c>
      <c r="E195" s="480">
        <f>+'[35]Sch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'[35]Sch C'!D202</f>
        <v>0</v>
      </c>
      <c r="D196" s="480">
        <f>'[35]Sch C'!F202</f>
        <v>0</v>
      </c>
      <c r="E196" s="480">
        <f>+'[35]Sch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'[35]Sch C'!D203</f>
        <v>0</v>
      </c>
      <c r="D197" s="480">
        <f>'[35]Sch C'!F203</f>
        <v>0</v>
      </c>
      <c r="E197" s="480">
        <f>+'[35]Sch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'[35]Sch C'!D204</f>
        <v>0</v>
      </c>
      <c r="D198" s="480">
        <f>'[35]Sch C'!F204</f>
        <v>0</v>
      </c>
      <c r="E198" s="480">
        <f>+'[35]Sch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'[35]Sch C'!D205</f>
        <v>23501</v>
      </c>
      <c r="D199" s="480">
        <f>'[35]Sch C'!F205</f>
        <v>0</v>
      </c>
      <c r="E199" s="480">
        <f>+'[35]Sch C'!H205</f>
        <v>0</v>
      </c>
      <c r="F199" s="166">
        <f t="shared" si="58"/>
        <v>23501</v>
      </c>
      <c r="G199" s="626"/>
      <c r="H199" s="607"/>
      <c r="I199" s="166">
        <f t="shared" si="59"/>
        <v>23501</v>
      </c>
      <c r="J199" s="167">
        <f t="shared" si="60"/>
        <v>6.0947825435220277E-3</v>
      </c>
      <c r="K199" s="458"/>
      <c r="L199" s="213"/>
      <c r="M199" s="208"/>
      <c r="O199" s="329">
        <f t="shared" si="61"/>
        <v>1.2793140990745782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'[35]Sch C'!D206</f>
        <v>0</v>
      </c>
      <c r="D200" s="480">
        <f>'[35]Sch C'!F206</f>
        <v>0</v>
      </c>
      <c r="E200" s="480">
        <f>+'[35]Sch C'!H206</f>
        <v>0</v>
      </c>
      <c r="F200" s="166">
        <f t="shared" si="58"/>
        <v>0</v>
      </c>
      <c r="G200" s="626"/>
      <c r="H200" s="607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'[35]Sch C'!D207</f>
        <v>0</v>
      </c>
      <c r="D201" s="480">
        <f>'[35]Sch C'!F207</f>
        <v>0</v>
      </c>
      <c r="E201" s="480">
        <f>+'[35]Sch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56289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56289</v>
      </c>
      <c r="G202" s="397">
        <f t="shared" si="63"/>
        <v>0</v>
      </c>
      <c r="H202" s="397">
        <f t="shared" si="63"/>
        <v>0</v>
      </c>
      <c r="I202" s="166">
        <f t="shared" si="63"/>
        <v>56289</v>
      </c>
      <c r="J202" s="167">
        <f>IF($I$213=0,0,I202/$I$213)</f>
        <v>1.4598068788235028E-2</v>
      </c>
      <c r="K202" s="458"/>
      <c r="L202" s="163"/>
      <c r="M202" s="163"/>
      <c r="O202" s="329">
        <f>I202/I$233</f>
        <v>3.0641807294501904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'[35]Sch C'!D211</f>
        <v>75516</v>
      </c>
      <c r="D205" s="480">
        <f>'[35]Sch C'!F211</f>
        <v>0</v>
      </c>
      <c r="E205" s="480">
        <f>+'[35]Sch C'!H211</f>
        <v>0</v>
      </c>
      <c r="F205" s="166">
        <f t="shared" ref="F205:F210" si="64">C205+D205+E205</f>
        <v>75516</v>
      </c>
      <c r="G205" s="626"/>
      <c r="H205" s="607"/>
      <c r="I205" s="166">
        <f t="shared" ref="I205:I210" si="65">F205+G205+H205</f>
        <v>75516</v>
      </c>
      <c r="J205" s="167">
        <f t="shared" ref="J205:J211" si="66">IF($I$213=0,0,I205/$I$213)</f>
        <v>1.9584426133211753E-2</v>
      </c>
      <c r="K205" s="458"/>
      <c r="L205" s="176">
        <v>5383</v>
      </c>
      <c r="M205" s="176">
        <v>5545</v>
      </c>
      <c r="O205" s="329">
        <f t="shared" ref="O205:O210" si="67">I205/I$233</f>
        <v>4.1108328796951552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'[35]Sch C'!D212</f>
        <v>6246</v>
      </c>
      <c r="D206" s="480">
        <f>'[35]Sch C'!F212</f>
        <v>4559</v>
      </c>
      <c r="E206" s="480">
        <f>+'[35]Sch C'!H212</f>
        <v>0</v>
      </c>
      <c r="F206" s="166">
        <f t="shared" si="64"/>
        <v>10805</v>
      </c>
      <c r="G206" s="626"/>
      <c r="H206" s="607"/>
      <c r="I206" s="166">
        <f t="shared" si="65"/>
        <v>10805</v>
      </c>
      <c r="J206" s="167">
        <f t="shared" si="66"/>
        <v>2.8021839659059405E-3</v>
      </c>
      <c r="K206" s="458"/>
      <c r="L206" s="163"/>
      <c r="M206" s="163"/>
      <c r="O206" s="329">
        <f t="shared" si="67"/>
        <v>0.5881872618399564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'[35]Sch C'!D213</f>
        <v>6784</v>
      </c>
      <c r="D207" s="480">
        <f>'[35]Sch C'!F213</f>
        <v>0</v>
      </c>
      <c r="E207" s="480">
        <f>+'[35]Sch C'!H213</f>
        <v>0</v>
      </c>
      <c r="F207" s="166">
        <f t="shared" si="64"/>
        <v>6784</v>
      </c>
      <c r="G207" s="626"/>
      <c r="H207" s="607"/>
      <c r="I207" s="166">
        <f t="shared" si="65"/>
        <v>6784</v>
      </c>
      <c r="J207" s="167">
        <f t="shared" si="66"/>
        <v>1.7593721448131328E-3</v>
      </c>
      <c r="K207" s="458"/>
      <c r="L207" s="163"/>
      <c r="M207" s="163"/>
      <c r="O207" s="329">
        <f t="shared" si="67"/>
        <v>0.36929776810016329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'[35]Sch C'!D214</f>
        <v>0</v>
      </c>
      <c r="D208" s="480">
        <f>'[35]Sch C'!F214</f>
        <v>0</v>
      </c>
      <c r="E208" s="480">
        <f>+'[35]Sch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'[35]Sch C'!D215</f>
        <v>0</v>
      </c>
      <c r="D209" s="480">
        <f>'[35]Sch C'!F215</f>
        <v>0</v>
      </c>
      <c r="E209" s="480">
        <f>+'[35]Sch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'[35]Sch C'!D216</f>
        <v>9314</v>
      </c>
      <c r="D210" s="480">
        <f>'[35]Sch C'!F216</f>
        <v>0</v>
      </c>
      <c r="E210" s="480">
        <f>+'[35]Sch C'!H216</f>
        <v>0</v>
      </c>
      <c r="F210" s="166">
        <f t="shared" si="64"/>
        <v>9314</v>
      </c>
      <c r="G210" s="626"/>
      <c r="H210" s="607"/>
      <c r="I210" s="166">
        <f t="shared" si="65"/>
        <v>9314</v>
      </c>
      <c r="J210" s="167">
        <f t="shared" si="66"/>
        <v>2.4155059193380775E-3</v>
      </c>
      <c r="K210" s="458"/>
      <c r="L210" s="163"/>
      <c r="M210" s="163"/>
      <c r="O210" s="329">
        <f t="shared" si="67"/>
        <v>0.50702231899836692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97860</v>
      </c>
      <c r="D211" s="480">
        <f t="shared" si="68"/>
        <v>4559</v>
      </c>
      <c r="E211" s="480">
        <f t="shared" si="68"/>
        <v>0</v>
      </c>
      <c r="F211" s="166">
        <f t="shared" ref="F211:I211" si="69">SUM(F205:F210)</f>
        <v>102419</v>
      </c>
      <c r="G211" s="397">
        <f t="shared" si="69"/>
        <v>0</v>
      </c>
      <c r="H211" s="397">
        <f t="shared" si="69"/>
        <v>0</v>
      </c>
      <c r="I211" s="166">
        <f t="shared" si="69"/>
        <v>102419</v>
      </c>
      <c r="J211" s="167">
        <f t="shared" si="66"/>
        <v>2.6561488163268906E-2</v>
      </c>
      <c r="K211" s="458"/>
      <c r="L211" s="163"/>
      <c r="M211" s="163"/>
      <c r="O211" s="329">
        <f>I211/I$233</f>
        <v>5.5753402286336415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96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4637661</v>
      </c>
      <c r="D213" s="480">
        <f t="shared" si="70"/>
        <v>-67602</v>
      </c>
      <c r="E213" s="480">
        <f t="shared" si="70"/>
        <v>-686377</v>
      </c>
      <c r="F213" s="166">
        <f t="shared" ref="F213:I213" si="71">SUM(F30:F211)/2</f>
        <v>3883682</v>
      </c>
      <c r="G213" s="166">
        <f t="shared" si="71"/>
        <v>-27761</v>
      </c>
      <c r="H213" s="166">
        <f t="shared" si="71"/>
        <v>0</v>
      </c>
      <c r="I213" s="166">
        <f t="shared" si="71"/>
        <v>3855921</v>
      </c>
      <c r="J213" s="167">
        <f>IF($I$213=0,0,I213/$I$213)</f>
        <v>1</v>
      </c>
      <c r="K213" s="458"/>
      <c r="L213" s="176">
        <f>SUM(L30:L205)</f>
        <v>92688</v>
      </c>
      <c r="M213" s="176">
        <f>SUM(M30:M205)</f>
        <v>95403</v>
      </c>
      <c r="O213" s="329">
        <f>I213/I$233</f>
        <v>209.90315732172019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'[35]Sch C'!D221</f>
        <v>4637662</v>
      </c>
      <c r="D216" s="188"/>
      <c r="E216" s="188"/>
      <c r="F216" s="160"/>
      <c r="G216" s="160"/>
      <c r="H216" s="411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-1</v>
      </c>
      <c r="D217" s="219"/>
      <c r="E217" s="219"/>
      <c r="F217" s="160"/>
      <c r="G217" s="160"/>
      <c r="H217" s="411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3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326104</v>
      </c>
      <c r="D220" s="480">
        <f t="shared" si="72"/>
        <v>515705</v>
      </c>
      <c r="E220" s="480">
        <f t="shared" si="72"/>
        <v>686377</v>
      </c>
      <c r="F220" s="166">
        <f t="shared" ref="F220:I220" si="73">F26-F213</f>
        <v>1528186</v>
      </c>
      <c r="G220" s="166">
        <f t="shared" si="73"/>
        <v>27761</v>
      </c>
      <c r="H220" s="166">
        <f t="shared" si="73"/>
        <v>0</v>
      </c>
      <c r="I220" s="166">
        <f t="shared" si="73"/>
        <v>1555947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219"/>
      <c r="I222" s="219"/>
      <c r="J222" s="316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'[35]Sch D'!C9</f>
        <v>16471</v>
      </c>
      <c r="D224" s="480"/>
      <c r="E224" s="480"/>
      <c r="F224" s="224">
        <f>C224+D224+E224</f>
        <v>16471</v>
      </c>
      <c r="G224" s="627"/>
      <c r="H224" s="413"/>
      <c r="I224" s="224">
        <f>F224+G224+H224</f>
        <v>16471</v>
      </c>
      <c r="J224" s="167">
        <f t="shared" ref="J224:J233" si="74">IF($I$233=0,0,I224/$I$233)</f>
        <v>0.89662493195427329</v>
      </c>
      <c r="K224" s="458"/>
      <c r="L224" s="163"/>
      <c r="M224" s="163"/>
    </row>
    <row r="225" spans="1:13">
      <c r="A225" s="158"/>
      <c r="B225" s="165" t="s">
        <v>362</v>
      </c>
      <c r="C225" s="504">
        <f>'[35]Sch D'!D9</f>
        <v>0</v>
      </c>
      <c r="D225" s="480"/>
      <c r="E225" s="480"/>
      <c r="F225" s="224">
        <f t="shared" ref="F225:F232" si="75">C225+D225+E225</f>
        <v>0</v>
      </c>
      <c r="G225" s="627"/>
      <c r="H225" s="41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'[35]Sch D'!E9</f>
        <v>0</v>
      </c>
      <c r="D226" s="480"/>
      <c r="E226" s="480"/>
      <c r="F226" s="224">
        <f t="shared" si="75"/>
        <v>0</v>
      </c>
      <c r="G226" s="627"/>
      <c r="H226" s="413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'[35]Sch D'!F9</f>
        <v>1</v>
      </c>
      <c r="D227" s="480"/>
      <c r="E227" s="480"/>
      <c r="F227" s="224">
        <f t="shared" si="75"/>
        <v>1</v>
      </c>
      <c r="G227" s="627"/>
      <c r="H227" s="413"/>
      <c r="I227" s="224">
        <f t="shared" si="76"/>
        <v>1</v>
      </c>
      <c r="J227" s="167">
        <f t="shared" si="74"/>
        <v>5.4436581382689168E-5</v>
      </c>
      <c r="K227" s="458"/>
      <c r="L227" s="163"/>
      <c r="M227" s="163"/>
    </row>
    <row r="228" spans="1:13">
      <c r="A228" s="158"/>
      <c r="B228" s="165" t="s">
        <v>65</v>
      </c>
      <c r="C228" s="504">
        <f>'[35]Sch D'!G9</f>
        <v>0</v>
      </c>
      <c r="D228" s="480"/>
      <c r="E228" s="480"/>
      <c r="F228" s="224">
        <f t="shared" si="75"/>
        <v>0</v>
      </c>
      <c r="G228" s="627"/>
      <c r="H228" s="41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'[35]Sch D'!H9</f>
        <v>127</v>
      </c>
      <c r="D229" s="480"/>
      <c r="E229" s="480"/>
      <c r="F229" s="224">
        <f t="shared" si="75"/>
        <v>127</v>
      </c>
      <c r="G229" s="627"/>
      <c r="H229" s="413"/>
      <c r="I229" s="224">
        <f t="shared" si="76"/>
        <v>127</v>
      </c>
      <c r="J229" s="167">
        <f t="shared" si="74"/>
        <v>6.9134458356015244E-3</v>
      </c>
      <c r="K229" s="458"/>
      <c r="L229" s="163"/>
      <c r="M229" s="163"/>
    </row>
    <row r="230" spans="1:13">
      <c r="A230" s="158"/>
      <c r="B230" s="165" t="s">
        <v>219</v>
      </c>
      <c r="C230" s="504">
        <f>'[35]Sch D'!I9</f>
        <v>1771</v>
      </c>
      <c r="D230" s="480"/>
      <c r="E230" s="480"/>
      <c r="F230" s="224">
        <f t="shared" si="75"/>
        <v>1771</v>
      </c>
      <c r="G230" s="627"/>
      <c r="H230" s="413"/>
      <c r="I230" s="224">
        <f t="shared" si="76"/>
        <v>1771</v>
      </c>
      <c r="J230" s="167">
        <f t="shared" si="74"/>
        <v>9.6407185628742509E-2</v>
      </c>
      <c r="K230" s="458"/>
      <c r="L230" s="163"/>
      <c r="M230" s="163"/>
    </row>
    <row r="231" spans="1:13">
      <c r="A231" s="158"/>
      <c r="B231" s="165" t="s">
        <v>218</v>
      </c>
      <c r="C231" s="504">
        <f>'[35]Sch D'!J9</f>
        <v>0</v>
      </c>
      <c r="D231" s="480"/>
      <c r="E231" s="480"/>
      <c r="F231" s="224">
        <f t="shared" si="75"/>
        <v>0</v>
      </c>
      <c r="G231" s="627"/>
      <c r="H231" s="41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363</v>
      </c>
      <c r="C232" s="504">
        <f>'[35]Sch D'!K9</f>
        <v>0</v>
      </c>
      <c r="D232" s="480"/>
      <c r="E232" s="480"/>
      <c r="F232" s="224">
        <f t="shared" si="75"/>
        <v>0</v>
      </c>
      <c r="G232" s="627"/>
      <c r="H232" s="41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18370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18370</v>
      </c>
      <c r="G233" s="414">
        <f t="shared" si="78"/>
        <v>0</v>
      </c>
      <c r="H233" s="414">
        <f t="shared" si="78"/>
        <v>0</v>
      </c>
      <c r="I233" s="226">
        <f t="shared" si="78"/>
        <v>18370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412"/>
      <c r="C234" s="549"/>
      <c r="D234" s="227"/>
      <c r="E234" s="227"/>
      <c r="F234" s="433"/>
      <c r="G234" s="433"/>
      <c r="H234" s="432"/>
      <c r="I234" s="433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'[35]Sch D'!N22</f>
        <v>74</v>
      </c>
      <c r="D236" s="480"/>
      <c r="E236" s="480"/>
      <c r="F236" s="224">
        <f>C236+E236</f>
        <v>74</v>
      </c>
      <c r="G236" s="627"/>
      <c r="H236" s="224"/>
      <c r="I236" s="224">
        <f>F236+G236+H236</f>
        <v>74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'[35]Sch D'!N24</f>
        <v>74</v>
      </c>
      <c r="D237" s="480"/>
      <c r="E237" s="480"/>
      <c r="F237" s="224">
        <f>C237+E237</f>
        <v>74</v>
      </c>
      <c r="G237" s="627"/>
      <c r="H237" s="224"/>
      <c r="I237" s="224">
        <f>F237+G237+H237</f>
        <v>74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'[35]Sch D'!N28</f>
        <v>27010</v>
      </c>
      <c r="D240" s="427"/>
      <c r="E240" s="427"/>
      <c r="F240" s="223">
        <f>F236*F238</f>
        <v>27010</v>
      </c>
      <c r="G240"/>
      <c r="H240" s="228"/>
      <c r="I240" s="223">
        <f>I236*I238</f>
        <v>27010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'[35]Sch D'!N30</f>
        <v>0.68011847463902253</v>
      </c>
      <c r="D241" s="228"/>
      <c r="E241" s="228"/>
      <c r="F241" s="232">
        <f>F233/F240</f>
        <v>0.68011847463902253</v>
      </c>
      <c r="G241"/>
      <c r="H241" s="233"/>
      <c r="I241" s="232">
        <f>I233/I240</f>
        <v>0.68011847463902253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'[35]Sch D'!N32</f>
        <v>0.60981118104405774</v>
      </c>
      <c r="D242" s="228"/>
      <c r="E242" s="228"/>
      <c r="F242" s="232">
        <f>(F224+F225)/F240</f>
        <v>0.60981118104405774</v>
      </c>
      <c r="G242"/>
      <c r="H242" s="233"/>
      <c r="I242" s="232">
        <f>(I224+I225)/I240</f>
        <v>0.60981118104405774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'[35]Sch D'!N34</f>
        <v>0.89662493195427329</v>
      </c>
      <c r="D243" s="228"/>
      <c r="E243" s="228"/>
      <c r="F243" s="232">
        <f>(F242/F241)</f>
        <v>0.89662493195427329</v>
      </c>
      <c r="G243"/>
      <c r="H243" s="233"/>
      <c r="I243" s="232">
        <f>(I242/I241)</f>
        <v>0.89662493195427329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'[35]Sch B'!C90</f>
        <v>304.78666666666669</v>
      </c>
      <c r="J246" s="400"/>
      <c r="K246" s="460"/>
    </row>
    <row r="247" spans="1:13">
      <c r="H247" s="140" t="s">
        <v>322</v>
      </c>
      <c r="I247" s="480">
        <f>'[35]Sch B'!E90</f>
        <v>-440.90476190476193</v>
      </c>
      <c r="J247" s="399"/>
      <c r="K247" s="460"/>
    </row>
    <row r="248" spans="1:13">
      <c r="H248" s="140" t="s">
        <v>323</v>
      </c>
      <c r="I248" s="480">
        <f>'[35]Sch B'!G90</f>
        <v>121.2258064516129</v>
      </c>
      <c r="J248" s="399"/>
      <c r="K248" s="460"/>
    </row>
    <row r="249" spans="1:13">
      <c r="H249" s="140" t="s">
        <v>324</v>
      </c>
      <c r="I249" s="480" t="str">
        <f>'[35]Sch B'!I90</f>
        <v/>
      </c>
      <c r="J249" s="411"/>
      <c r="K249" s="460"/>
    </row>
    <row r="250" spans="1:13">
      <c r="H250" s="239"/>
      <c r="I250" s="147"/>
      <c r="J250" s="41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A21" sqref="A2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28CAB"/>
  </sheetPr>
  <dimension ref="A1:Q277"/>
  <sheetViews>
    <sheetView showGridLines="0" topLeftCell="B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81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435</v>
      </c>
      <c r="D2" s="234"/>
      <c r="E2" s="473"/>
      <c r="H2" s="409"/>
    </row>
    <row r="3" spans="1:16" ht="15">
      <c r="A3" s="143"/>
      <c r="B3" s="138" t="s">
        <v>71</v>
      </c>
      <c r="C3" s="557">
        <f>'[36]Sch A Pg 1'!B39</f>
        <v>42917</v>
      </c>
      <c r="D3" s="620"/>
      <c r="E3" s="142"/>
      <c r="F3" s="144"/>
      <c r="G3" s="144"/>
      <c r="H3" s="409"/>
    </row>
    <row r="4" spans="1:16" ht="15">
      <c r="A4" s="143"/>
      <c r="B4" s="145" t="s">
        <v>72</v>
      </c>
      <c r="C4" s="557">
        <f>'[36]Sch A Pg 1'!G39</f>
        <v>43281</v>
      </c>
      <c r="D4" s="620"/>
      <c r="E4" s="142"/>
      <c r="F4" s="146"/>
      <c r="G4" s="146"/>
      <c r="H4" s="409"/>
      <c r="I4" s="147"/>
    </row>
    <row r="5" spans="1:16" ht="15">
      <c r="A5" s="143"/>
      <c r="B5" s="145"/>
      <c r="C5" s="148"/>
      <c r="D5" s="148"/>
      <c r="E5" s="142"/>
      <c r="H5" s="40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2" t="s">
        <v>671</v>
      </c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'[36]Sch B'!E10</f>
        <v>2325182</v>
      </c>
      <c r="D12" s="480">
        <f>'[36]Sch B'!G10</f>
        <v>0</v>
      </c>
      <c r="E12" s="480"/>
      <c r="F12" s="166">
        <f>C12+D12+E12</f>
        <v>2325182</v>
      </c>
      <c r="G12" s="626"/>
      <c r="H12" s="607"/>
      <c r="I12" s="166">
        <f>F12+G12+H12</f>
        <v>2325182</v>
      </c>
      <c r="J12" s="167">
        <f>IF($I$26=0,0,I12/$I$26)</f>
        <v>0.49589336461304684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'[36]Sch B'!E12</f>
        <v>1479177</v>
      </c>
      <c r="D13" s="480">
        <f>'[36]Sch B'!G12</f>
        <v>0</v>
      </c>
      <c r="E13" s="480"/>
      <c r="F13" s="166">
        <f t="shared" ref="F13:F25" si="0">C13+D13+E13</f>
        <v>1479177</v>
      </c>
      <c r="G13" s="626">
        <v>-33793</v>
      </c>
      <c r="H13" s="607"/>
      <c r="I13" s="166">
        <f t="shared" ref="I13:I25" si="1">F13+G13+H13</f>
        <v>1445384</v>
      </c>
      <c r="J13" s="167">
        <f>IF($I$26=0,0,I13/$I$26)</f>
        <v>0.30825816427181363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'[36]Sch B'!E13</f>
        <v>15498</v>
      </c>
      <c r="D14" s="480">
        <f>'[36]Sch B'!G13</f>
        <v>0</v>
      </c>
      <c r="E14" s="480"/>
      <c r="F14" s="166">
        <f t="shared" si="0"/>
        <v>15498</v>
      </c>
      <c r="G14" s="626"/>
      <c r="H14" s="607"/>
      <c r="I14" s="166">
        <f t="shared" si="1"/>
        <v>15498</v>
      </c>
      <c r="J14" s="167">
        <f>IF($I$26=0,0,I14/$I$26)</f>
        <v>3.3052704540001599E-3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'[36]Sch B'!E14</f>
        <v>45578</v>
      </c>
      <c r="D15" s="480">
        <f>'[36]Sch B'!G14</f>
        <v>0</v>
      </c>
      <c r="E15" s="480"/>
      <c r="F15" s="166">
        <f t="shared" si="0"/>
        <v>45578</v>
      </c>
      <c r="G15" s="626"/>
      <c r="H15" s="607"/>
      <c r="I15" s="166">
        <f t="shared" si="1"/>
        <v>45578</v>
      </c>
      <c r="J15" s="167">
        <f>IF($I$26=0,0,I15/$I$26)</f>
        <v>9.7204553331022899E-3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'[36]Sch B'!E15</f>
        <v>3865435</v>
      </c>
      <c r="D16" s="480">
        <f>'[36]Sch B'!G15</f>
        <v>0</v>
      </c>
      <c r="E16" s="480"/>
      <c r="F16" s="166">
        <f t="shared" si="0"/>
        <v>3865435</v>
      </c>
      <c r="G16" s="626"/>
      <c r="H16" s="607"/>
      <c r="I16" s="166">
        <f>SUM(I12:I15)</f>
        <v>3831642</v>
      </c>
      <c r="J16" s="167">
        <f t="shared" ref="J16:J26" si="2">IF($I$26=0,0,I16/$I$26)</f>
        <v>0.81717725467196289</v>
      </c>
      <c r="K16" s="458"/>
      <c r="L16" s="333" t="s">
        <v>325</v>
      </c>
      <c r="M16" s="334">
        <f>I26</f>
        <v>4688875</v>
      </c>
      <c r="O16" s="324">
        <f>IFERROR(I16/I224,0)</f>
        <v>335.16812456263119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'[36]Sch B'!E20</f>
        <v>0</v>
      </c>
      <c r="D17" s="480">
        <f>'[36]Sch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2926576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'[36]Sch B'!E26</f>
        <v>647229</v>
      </c>
      <c r="D18" s="480">
        <f>'[36]Sch B'!G26</f>
        <v>0</v>
      </c>
      <c r="E18" s="480"/>
      <c r="F18" s="166">
        <f t="shared" si="0"/>
        <v>647229</v>
      </c>
      <c r="G18" s="626"/>
      <c r="H18" s="607"/>
      <c r="I18" s="166">
        <f t="shared" si="1"/>
        <v>647229</v>
      </c>
      <c r="J18" s="167">
        <f t="shared" si="2"/>
        <v>0.13803502972461412</v>
      </c>
      <c r="K18" s="162" t="s">
        <v>652</v>
      </c>
      <c r="L18" s="335" t="s">
        <v>327</v>
      </c>
      <c r="M18" s="336">
        <f>I233</f>
        <v>13538</v>
      </c>
      <c r="O18" s="324">
        <f t="shared" si="3"/>
        <v>610.01790763430722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'[36]Sch B'!E32</f>
        <v>0</v>
      </c>
      <c r="D19" s="480">
        <f>'[36]Sch B'!G32</f>
        <v>0</v>
      </c>
      <c r="E19" s="480"/>
      <c r="F19" s="166">
        <f t="shared" si="0"/>
        <v>0</v>
      </c>
      <c r="G19" s="626"/>
      <c r="H19" s="607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41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'[36]Sch B'!E37</f>
        <v>0</v>
      </c>
      <c r="D20" s="480">
        <f>'[36]Sch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14965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'[36]Sch B'!E42</f>
        <v>106429</v>
      </c>
      <c r="D21" s="480">
        <f>'[36]Sch B'!G42</f>
        <v>0</v>
      </c>
      <c r="E21" s="480"/>
      <c r="F21" s="166">
        <f t="shared" si="0"/>
        <v>106429</v>
      </c>
      <c r="G21" s="626"/>
      <c r="H21" s="607"/>
      <c r="I21" s="166">
        <f t="shared" si="1"/>
        <v>106429</v>
      </c>
      <c r="J21" s="167">
        <f t="shared" si="2"/>
        <v>2.2698195196075816E-2</v>
      </c>
      <c r="K21" s="458"/>
      <c r="L21" s="337"/>
      <c r="M21" s="336"/>
      <c r="O21" s="324">
        <f t="shared" si="3"/>
        <v>195.28256880733946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'[36]Sch B'!E47</f>
        <v>0</v>
      </c>
      <c r="D22" s="480">
        <f>'[36]Sch B'!G47</f>
        <v>0</v>
      </c>
      <c r="E22" s="480"/>
      <c r="F22" s="166">
        <f t="shared" si="0"/>
        <v>0</v>
      </c>
      <c r="G22" s="626"/>
      <c r="H22" s="607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85552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'[36]Sch B'!E52</f>
        <v>103110</v>
      </c>
      <c r="D23" s="480">
        <f>'[36]Sch B'!G52</f>
        <v>0</v>
      </c>
      <c r="E23" s="480"/>
      <c r="F23" s="166">
        <f t="shared" si="0"/>
        <v>103110</v>
      </c>
      <c r="G23" s="626"/>
      <c r="H23" s="607"/>
      <c r="I23" s="166">
        <f t="shared" si="1"/>
        <v>103110</v>
      </c>
      <c r="J23" s="167">
        <f t="shared" si="2"/>
        <v>2.199034949748074E-2</v>
      </c>
      <c r="K23" s="458"/>
      <c r="L23" s="338" t="s">
        <v>233</v>
      </c>
      <c r="M23" s="339">
        <f>M213</f>
        <v>89669</v>
      </c>
      <c r="O23" s="324">
        <f t="shared" si="3"/>
        <v>206.22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'[36]Sch B'!E57</f>
        <v>0</v>
      </c>
      <c r="D24" s="480">
        <f>'[36]Sch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'[36]Sch B'!E72</f>
        <v>465</v>
      </c>
      <c r="D25" s="480">
        <f>'[36]Sch B'!G72</f>
        <v>0</v>
      </c>
      <c r="E25" s="480"/>
      <c r="F25" s="166">
        <f t="shared" si="0"/>
        <v>465</v>
      </c>
      <c r="G25" s="626"/>
      <c r="H25" s="607"/>
      <c r="I25" s="166">
        <f t="shared" si="1"/>
        <v>465</v>
      </c>
      <c r="J25" s="167">
        <f t="shared" si="2"/>
        <v>9.9170909866439178E-5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4722668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4722668</v>
      </c>
      <c r="G26" s="166">
        <f>SUM(G12:G25)</f>
        <v>-33793</v>
      </c>
      <c r="H26" s="166">
        <f>SUM(H12:H25)</f>
        <v>0</v>
      </c>
      <c r="I26" s="166">
        <f>SUM(I16:I25)</f>
        <v>4688875</v>
      </c>
      <c r="J26" s="167">
        <f t="shared" si="2"/>
        <v>1</v>
      </c>
      <c r="K26" s="458"/>
      <c r="L26" s="163"/>
      <c r="M26" s="163"/>
      <c r="O26" s="324">
        <f>IFERROR(I26/I233,0)</f>
        <v>346.34916531245381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'[36]Sch C'!D10</f>
        <v>80125</v>
      </c>
      <c r="D30" s="480">
        <f>'[36]Sch C'!F10</f>
        <v>0</v>
      </c>
      <c r="E30" s="480">
        <f>+'[36]Sch C'!H10</f>
        <v>0</v>
      </c>
      <c r="F30" s="166">
        <f t="shared" ref="F30:F65" si="5">C30+D30+E30</f>
        <v>80125</v>
      </c>
      <c r="G30" s="626">
        <v>21017</v>
      </c>
      <c r="H30" s="607"/>
      <c r="I30" s="166">
        <f t="shared" ref="I30:I65" si="6">F30+G30+H30</f>
        <v>101142</v>
      </c>
      <c r="J30" s="167">
        <f>IF($I$213=0,0,I30/$I$213)</f>
        <v>3.4559840578204701E-2</v>
      </c>
      <c r="K30" s="458"/>
      <c r="L30" s="176">
        <v>2557</v>
      </c>
      <c r="M30" s="176">
        <v>2679</v>
      </c>
      <c r="O30" s="324">
        <f>I30/I$233</f>
        <v>7.4709706012704977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'[36]Sch C'!D11</f>
        <v>0</v>
      </c>
      <c r="D31" s="480">
        <f>'[36]Sch C'!F11</f>
        <v>0</v>
      </c>
      <c r="E31" s="480">
        <f>+'[36]Sch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'[36]Sch C'!D12</f>
        <v>53448</v>
      </c>
      <c r="D32" s="480">
        <f>'[36]Sch C'!F12</f>
        <v>0</v>
      </c>
      <c r="E32" s="480">
        <f>+'[36]Sch C'!H12</f>
        <v>0</v>
      </c>
      <c r="F32" s="166">
        <f t="shared" si="5"/>
        <v>53448</v>
      </c>
      <c r="G32" s="626"/>
      <c r="H32" s="607"/>
      <c r="I32" s="166">
        <f t="shared" si="6"/>
        <v>53448</v>
      </c>
      <c r="J32" s="167">
        <f t="shared" si="7"/>
        <v>1.8262980356566854E-2</v>
      </c>
      <c r="K32" s="458"/>
      <c r="L32" s="176">
        <v>2249</v>
      </c>
      <c r="M32" s="176">
        <v>2387</v>
      </c>
      <c r="O32" s="324">
        <f t="shared" si="8"/>
        <v>3.9479982272122913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'[36]Sch C'!D13</f>
        <v>48343</v>
      </c>
      <c r="D33" s="480">
        <f>'[36]Sch C'!F13</f>
        <v>0</v>
      </c>
      <c r="E33" s="480">
        <f>+'[36]Sch C'!H13</f>
        <v>0</v>
      </c>
      <c r="F33" s="166">
        <f t="shared" si="5"/>
        <v>48343</v>
      </c>
      <c r="G33" s="626">
        <v>-21017</v>
      </c>
      <c r="H33" s="607"/>
      <c r="I33" s="166">
        <f t="shared" si="6"/>
        <v>27326</v>
      </c>
      <c r="J33" s="167">
        <f t="shared" si="7"/>
        <v>9.3371913116214993E-3</v>
      </c>
      <c r="K33" s="458"/>
      <c r="L33" s="163"/>
      <c r="M33" s="163"/>
      <c r="O33" s="324">
        <f t="shared" si="8"/>
        <v>2.0184665386319987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'[36]Sch C'!D14</f>
        <v>0</v>
      </c>
      <c r="D34" s="480">
        <f>'[36]Sch C'!F14</f>
        <v>0</v>
      </c>
      <c r="E34" s="480">
        <f>+'[36]Sch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'[36]Sch C'!D15</f>
        <v>999711</v>
      </c>
      <c r="D35" s="480">
        <f>'[36]Sch C'!F15</f>
        <v>0</v>
      </c>
      <c r="E35" s="480">
        <f>+'[36]Sch C'!H15</f>
        <v>-999711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'[36]Sch C'!D16</f>
        <v>144049</v>
      </c>
      <c r="D36" s="480">
        <f>'[36]Sch C'!F16</f>
        <v>0</v>
      </c>
      <c r="E36" s="480">
        <f>+'[36]Sch C'!H16</f>
        <v>-20321</v>
      </c>
      <c r="F36" s="166">
        <f t="shared" si="5"/>
        <v>123728</v>
      </c>
      <c r="G36" s="626"/>
      <c r="H36" s="607">
        <v>-28435</v>
      </c>
      <c r="I36" s="166">
        <f t="shared" si="6"/>
        <v>95293</v>
      </c>
      <c r="J36" s="167">
        <f t="shared" si="7"/>
        <v>3.2561259300971514E-2</v>
      </c>
      <c r="K36" s="458"/>
      <c r="L36" s="163"/>
      <c r="M36" s="163"/>
      <c r="O36" s="324">
        <f t="shared" si="8"/>
        <v>7.0389274634362531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'[36]Sch C'!D17</f>
        <v>33</v>
      </c>
      <c r="D37" s="480">
        <f>'[36]Sch C'!F17</f>
        <v>-33</v>
      </c>
      <c r="E37" s="480">
        <f>+'[36]Sch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'[36]Sch C'!D18</f>
        <v>6981</v>
      </c>
      <c r="D38" s="480">
        <f>'[36]Sch C'!F18</f>
        <v>0</v>
      </c>
      <c r="E38" s="480">
        <f>+'[36]Sch C'!H18</f>
        <v>0</v>
      </c>
      <c r="F38" s="166">
        <f t="shared" si="5"/>
        <v>6981</v>
      </c>
      <c r="G38" s="626"/>
      <c r="H38" s="607"/>
      <c r="I38" s="166">
        <f t="shared" si="6"/>
        <v>6981</v>
      </c>
      <c r="J38" s="167">
        <f t="shared" si="7"/>
        <v>2.3853814150051117E-3</v>
      </c>
      <c r="K38" s="458"/>
      <c r="L38" s="163"/>
      <c r="M38" s="163"/>
      <c r="O38" s="324">
        <f t="shared" si="8"/>
        <v>0.51565962475993499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'[36]Sch C'!D19</f>
        <v>12565</v>
      </c>
      <c r="D39" s="480">
        <f>'[36]Sch C'!F19</f>
        <v>0</v>
      </c>
      <c r="E39" s="480">
        <f>+'[36]Sch C'!H19</f>
        <v>0</v>
      </c>
      <c r="F39" s="166">
        <f t="shared" si="5"/>
        <v>12565</v>
      </c>
      <c r="G39" s="626"/>
      <c r="H39" s="607"/>
      <c r="I39" s="166">
        <f t="shared" si="6"/>
        <v>12565</v>
      </c>
      <c r="J39" s="167">
        <f t="shared" si="7"/>
        <v>4.2934131900213765E-3</v>
      </c>
      <c r="K39" s="458"/>
      <c r="L39" s="163"/>
      <c r="M39" s="163"/>
      <c r="O39" s="324">
        <f t="shared" si="8"/>
        <v>0.92812823164426062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'[36]Sch C'!D20</f>
        <v>6304</v>
      </c>
      <c r="D40" s="480">
        <f>'[36]Sch C'!F20</f>
        <v>0</v>
      </c>
      <c r="E40" s="480">
        <f>+'[36]Sch C'!H20</f>
        <v>0</v>
      </c>
      <c r="F40" s="166">
        <f t="shared" si="5"/>
        <v>6304</v>
      </c>
      <c r="G40" s="626"/>
      <c r="H40" s="607"/>
      <c r="I40" s="166">
        <f t="shared" si="6"/>
        <v>6304</v>
      </c>
      <c r="J40" s="167">
        <f t="shared" si="7"/>
        <v>2.1540530640584764E-3</v>
      </c>
      <c r="K40" s="458"/>
      <c r="L40" s="163"/>
      <c r="M40" s="163"/>
      <c r="O40" s="324">
        <f t="shared" si="8"/>
        <v>0.4656522381444822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'[36]Sch C'!D21</f>
        <v>6586</v>
      </c>
      <c r="D41" s="480">
        <f>'[36]Sch C'!F21</f>
        <v>0</v>
      </c>
      <c r="E41" s="480">
        <f>+'[36]Sch C'!H21</f>
        <v>0</v>
      </c>
      <c r="F41" s="166">
        <f t="shared" si="5"/>
        <v>6586</v>
      </c>
      <c r="G41" s="626"/>
      <c r="H41" s="607"/>
      <c r="I41" s="166">
        <f t="shared" si="6"/>
        <v>6586</v>
      </c>
      <c r="J41" s="167">
        <f t="shared" si="7"/>
        <v>2.250411402266676E-3</v>
      </c>
      <c r="K41" s="458"/>
      <c r="L41" s="163"/>
      <c r="M41" s="163"/>
      <c r="O41" s="324">
        <f t="shared" si="8"/>
        <v>0.48648249372137686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'[36]Sch C'!D22</f>
        <v>0</v>
      </c>
      <c r="D42" s="480">
        <f>'[36]Sch C'!F22</f>
        <v>0</v>
      </c>
      <c r="E42" s="480">
        <f>+'[36]Sch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'[36]Sch C'!D23</f>
        <v>11492</v>
      </c>
      <c r="D43" s="480">
        <f>'[36]Sch C'!F23</f>
        <v>0</v>
      </c>
      <c r="E43" s="480">
        <f>+'[36]Sch C'!H23</f>
        <v>0</v>
      </c>
      <c r="F43" s="166">
        <f t="shared" si="5"/>
        <v>11492</v>
      </c>
      <c r="G43" s="626"/>
      <c r="H43" s="607"/>
      <c r="I43" s="166">
        <f t="shared" si="6"/>
        <v>11492</v>
      </c>
      <c r="J43" s="167">
        <f t="shared" si="7"/>
        <v>3.9267731301015248E-3</v>
      </c>
      <c r="K43" s="458"/>
      <c r="L43" s="163"/>
      <c r="M43" s="163"/>
      <c r="O43" s="324">
        <f t="shared" si="8"/>
        <v>0.84886984783572172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'[36]Sch C'!D24</f>
        <v>112</v>
      </c>
      <c r="D44" s="480">
        <f>'[36]Sch C'!F24</f>
        <v>0</v>
      </c>
      <c r="E44" s="480">
        <f>+'[36]Sch C'!H24</f>
        <v>0</v>
      </c>
      <c r="F44" s="166">
        <f t="shared" si="5"/>
        <v>112</v>
      </c>
      <c r="G44" s="626"/>
      <c r="H44" s="607"/>
      <c r="I44" s="166">
        <f t="shared" si="6"/>
        <v>112</v>
      </c>
      <c r="J44" s="167">
        <f t="shared" si="7"/>
        <v>3.8269978295455166E-5</v>
      </c>
      <c r="K44" s="458"/>
      <c r="L44" s="163"/>
      <c r="M44" s="163"/>
      <c r="O44" s="324">
        <f t="shared" si="8"/>
        <v>8.2730093071354711E-3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'[36]Sch C'!D25</f>
        <v>0</v>
      </c>
      <c r="D45" s="480">
        <f>'[36]Sch C'!F25</f>
        <v>0</v>
      </c>
      <c r="E45" s="480">
        <f>+'[36]Sch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'[36]Sch C'!D26</f>
        <v>260871</v>
      </c>
      <c r="D46" s="480">
        <f>'[36]Sch C'!F26</f>
        <v>0</v>
      </c>
      <c r="E46" s="480">
        <f>+'[36]Sch C'!H26</f>
        <v>0</v>
      </c>
      <c r="F46" s="166">
        <f t="shared" si="5"/>
        <v>260871</v>
      </c>
      <c r="G46" s="626"/>
      <c r="H46" s="607"/>
      <c r="I46" s="166">
        <f t="shared" si="6"/>
        <v>260871</v>
      </c>
      <c r="J46" s="167">
        <f t="shared" si="7"/>
        <v>8.9138638463515038E-2</v>
      </c>
      <c r="K46" s="458"/>
      <c r="L46" s="163"/>
      <c r="M46" s="163"/>
      <c r="O46" s="324">
        <f t="shared" si="8"/>
        <v>19.269537597872656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'[36]Sch C'!D27</f>
        <v>0</v>
      </c>
      <c r="D47" s="480">
        <f>'[36]Sch C'!F27</f>
        <v>0</v>
      </c>
      <c r="E47" s="480">
        <f>+'[36]Sch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'[36]Sch C'!D28</f>
        <v>209284</v>
      </c>
      <c r="D48" s="480">
        <f>'[36]Sch C'!F28</f>
        <v>-209284</v>
      </c>
      <c r="E48" s="480">
        <f>+'[36]Sch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'[36]Sch C'!D29</f>
        <v>0</v>
      </c>
      <c r="D49" s="480">
        <f>'[36]Sch C'!F29</f>
        <v>0</v>
      </c>
      <c r="E49" s="480">
        <f>+'[36]Sch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'[36]Sch C'!D30</f>
        <v>0</v>
      </c>
      <c r="D50" s="480">
        <f>'[36]Sch C'!F30</f>
        <v>0</v>
      </c>
      <c r="E50" s="480">
        <f>+'[36]Sch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'[36]Sch C'!D31</f>
        <v>18243</v>
      </c>
      <c r="D51" s="480">
        <f>'[36]Sch C'!F31</f>
        <v>0</v>
      </c>
      <c r="E51" s="480">
        <f>+'[36]Sch C'!H31</f>
        <v>0</v>
      </c>
      <c r="F51" s="166">
        <f t="shared" si="5"/>
        <v>18243</v>
      </c>
      <c r="G51" s="626"/>
      <c r="H51" s="607"/>
      <c r="I51" s="166">
        <f t="shared" si="6"/>
        <v>18243</v>
      </c>
      <c r="J51" s="167">
        <f t="shared" si="7"/>
        <v>6.2335644111070412E-3</v>
      </c>
      <c r="K51" s="458"/>
      <c r="L51" s="163"/>
      <c r="M51" s="163"/>
      <c r="O51" s="324">
        <f t="shared" si="8"/>
        <v>1.3475402570542176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'[36]Sch C'!D32</f>
        <v>24788</v>
      </c>
      <c r="D52" s="480">
        <f>'[36]Sch C'!F32</f>
        <v>0</v>
      </c>
      <c r="E52" s="480">
        <f>+'[36]Sch C'!H32</f>
        <v>0</v>
      </c>
      <c r="F52" s="166">
        <f t="shared" si="5"/>
        <v>24788</v>
      </c>
      <c r="G52" s="626"/>
      <c r="H52" s="607"/>
      <c r="I52" s="166">
        <f t="shared" si="6"/>
        <v>24788</v>
      </c>
      <c r="J52" s="167">
        <f t="shared" si="7"/>
        <v>8.4699662677477031E-3</v>
      </c>
      <c r="K52" s="458"/>
      <c r="L52" s="163"/>
      <c r="M52" s="163"/>
      <c r="O52" s="324">
        <f t="shared" si="8"/>
        <v>1.8309942384399469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'[36]Sch C'!D33</f>
        <v>0</v>
      </c>
      <c r="D53" s="480">
        <f>'[36]Sch C'!F33</f>
        <v>0</v>
      </c>
      <c r="E53" s="480">
        <f>+'[36]Sch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'[36]Sch C'!D34</f>
        <v>0</v>
      </c>
      <c r="D54" s="480">
        <f>'[36]Sch C'!F34</f>
        <v>0</v>
      </c>
      <c r="E54" s="480">
        <f>+'[36]Sch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'[36]Sch C'!D35</f>
        <v>0</v>
      </c>
      <c r="D55" s="480">
        <f>'[36]Sch C'!F35</f>
        <v>0</v>
      </c>
      <c r="E55" s="480">
        <f>+'[36]Sch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'[36]Sch C'!D36</f>
        <v>0</v>
      </c>
      <c r="D56" s="480">
        <f>'[36]Sch C'!F36</f>
        <v>0</v>
      </c>
      <c r="E56" s="480">
        <f>+'[36]Sch C'!H36</f>
        <v>0</v>
      </c>
      <c r="F56" s="166">
        <f t="shared" si="5"/>
        <v>0</v>
      </c>
      <c r="G56" s="626"/>
      <c r="H56" s="607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'[36]Sch C'!D37</f>
        <v>0</v>
      </c>
      <c r="D57" s="480">
        <f>'[36]Sch C'!F37</f>
        <v>0</v>
      </c>
      <c r="E57" s="480">
        <f>+'[36]Sch C'!H37</f>
        <v>0</v>
      </c>
      <c r="F57" s="166">
        <f t="shared" si="5"/>
        <v>0</v>
      </c>
      <c r="G57" s="626"/>
      <c r="H57" s="607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'[36]Sch C'!D38</f>
        <v>0</v>
      </c>
      <c r="D58" s="480">
        <f>'[36]Sch C'!F38</f>
        <v>0</v>
      </c>
      <c r="E58" s="480">
        <f>+'[36]Sch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'[36]Sch C'!D39</f>
        <v>215</v>
      </c>
      <c r="D59" s="480">
        <f>'[36]Sch C'!F39</f>
        <v>0</v>
      </c>
      <c r="E59" s="480">
        <f>+'[36]Sch C'!H39</f>
        <v>0</v>
      </c>
      <c r="F59" s="166">
        <f t="shared" si="5"/>
        <v>215</v>
      </c>
      <c r="G59" s="626"/>
      <c r="H59" s="607"/>
      <c r="I59" s="166">
        <f t="shared" si="6"/>
        <v>215</v>
      </c>
      <c r="J59" s="167">
        <f t="shared" si="7"/>
        <v>7.3464690477882688E-5</v>
      </c>
      <c r="K59" s="458"/>
      <c r="L59" s="163"/>
      <c r="M59" s="163"/>
      <c r="O59" s="324">
        <f t="shared" si="8"/>
        <v>1.5881223223518984E-2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'[36]Sch C'!D40</f>
        <v>0</v>
      </c>
      <c r="D60" s="480">
        <f>'[36]Sch C'!F40</f>
        <v>0</v>
      </c>
      <c r="E60" s="480">
        <f>+'[36]Sch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'[36]Sch C'!D41</f>
        <v>7748</v>
      </c>
      <c r="D61" s="480">
        <f>'[36]Sch C'!F41</f>
        <v>0</v>
      </c>
      <c r="E61" s="480">
        <f>+'[36]Sch C'!H41</f>
        <v>0</v>
      </c>
      <c r="F61" s="166">
        <f t="shared" si="5"/>
        <v>7748</v>
      </c>
      <c r="G61" s="626"/>
      <c r="H61" s="607"/>
      <c r="I61" s="166">
        <f t="shared" si="6"/>
        <v>7748</v>
      </c>
      <c r="J61" s="167">
        <f t="shared" si="7"/>
        <v>2.6474624270820236E-3</v>
      </c>
      <c r="K61" s="458"/>
      <c r="L61" s="163"/>
      <c r="M61" s="163"/>
      <c r="O61" s="324">
        <f t="shared" si="8"/>
        <v>0.57231496528290737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'[36]Sch C'!D42</f>
        <v>212</v>
      </c>
      <c r="D62" s="480">
        <f>'[36]Sch C'!F42</f>
        <v>0</v>
      </c>
      <c r="E62" s="480">
        <f>+'[36]Sch C'!H42</f>
        <v>0</v>
      </c>
      <c r="F62" s="166">
        <f t="shared" si="5"/>
        <v>212</v>
      </c>
      <c r="G62" s="626"/>
      <c r="H62" s="607"/>
      <c r="I62" s="166">
        <f t="shared" si="6"/>
        <v>212</v>
      </c>
      <c r="J62" s="167">
        <f t="shared" si="7"/>
        <v>7.243960177354014E-5</v>
      </c>
      <c r="K62" s="458"/>
      <c r="L62" s="163"/>
      <c r="M62" s="163"/>
      <c r="O62" s="324">
        <f t="shared" si="8"/>
        <v>1.5659624759934997E-2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'[36]Sch C'!D43</f>
        <v>9883</v>
      </c>
      <c r="D63" s="480">
        <f>'[36]Sch C'!F43</f>
        <v>-9883</v>
      </c>
      <c r="E63" s="480">
        <f>+'[36]Sch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'[36]Sch C'!D44</f>
        <v>0</v>
      </c>
      <c r="D64" s="480">
        <f>'[36]Sch C'!F44</f>
        <v>0</v>
      </c>
      <c r="E64" s="480">
        <f>+'[36]Sch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'[36]Sch C'!D45</f>
        <v>7471</v>
      </c>
      <c r="D65" s="480">
        <f>'[36]Sch C'!F45</f>
        <v>-465</v>
      </c>
      <c r="E65" s="480">
        <f>+'[36]Sch C'!H45</f>
        <v>0</v>
      </c>
      <c r="F65" s="166">
        <f t="shared" si="5"/>
        <v>7006</v>
      </c>
      <c r="G65" s="626"/>
      <c r="H65" s="607"/>
      <c r="I65" s="166">
        <f t="shared" si="6"/>
        <v>7006</v>
      </c>
      <c r="J65" s="167">
        <f t="shared" si="7"/>
        <v>2.3939238208746331E-3</v>
      </c>
      <c r="K65" s="458"/>
      <c r="L65" s="163"/>
      <c r="M65" s="163"/>
      <c r="O65" s="324">
        <f t="shared" si="8"/>
        <v>0.51750627862313492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1908464</v>
      </c>
      <c r="D66" s="480">
        <f t="shared" si="9"/>
        <v>-219665</v>
      </c>
      <c r="E66" s="480">
        <f t="shared" si="9"/>
        <v>-1020032</v>
      </c>
      <c r="F66" s="166">
        <f t="shared" ref="F66:I66" si="10">SUM(F30:F65)</f>
        <v>668767</v>
      </c>
      <c r="G66" s="166">
        <f t="shared" si="10"/>
        <v>0</v>
      </c>
      <c r="H66" s="166">
        <f t="shared" si="10"/>
        <v>-28435</v>
      </c>
      <c r="I66" s="166">
        <f t="shared" si="10"/>
        <v>640332</v>
      </c>
      <c r="J66" s="178">
        <f t="shared" si="7"/>
        <v>0.21879903340969106</v>
      </c>
      <c r="K66" s="465"/>
      <c r="L66" s="163"/>
      <c r="M66" s="163"/>
      <c r="O66" s="329">
        <f>I66/I$233</f>
        <v>47.298862461220267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205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'[36]Sch C'!D57</f>
        <v>404040</v>
      </c>
      <c r="D69" s="480">
        <f>'[36]Sch C'!F57</f>
        <v>0</v>
      </c>
      <c r="E69" s="480">
        <f>+'[36]Sch C'!H57</f>
        <v>-404040</v>
      </c>
      <c r="F69" s="166">
        <f>C69+D69+E69</f>
        <v>0</v>
      </c>
      <c r="G69" s="626"/>
      <c r="H69" s="607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'[36]Sch C'!D58</f>
        <v>0</v>
      </c>
      <c r="D70" s="480">
        <f>'[36]Sch C'!F58</f>
        <v>0</v>
      </c>
      <c r="E70" s="480">
        <f>+'[36]Sch C'!H58</f>
        <v>49624</v>
      </c>
      <c r="F70" s="166">
        <f t="shared" ref="F70:F83" si="13">C70+D70+E70</f>
        <v>49624</v>
      </c>
      <c r="G70" s="626"/>
      <c r="H70" s="607"/>
      <c r="I70" s="166">
        <f t="shared" ref="I70:I83" si="14">F70+G70+H70</f>
        <v>49624</v>
      </c>
      <c r="J70" s="167">
        <f t="shared" si="11"/>
        <v>1.6956333954764886E-2</v>
      </c>
      <c r="K70" s="458"/>
      <c r="L70" s="182"/>
      <c r="M70" s="163"/>
      <c r="O70" s="324">
        <f t="shared" si="12"/>
        <v>3.6655340522972373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'[36]Sch C'!D59</f>
        <v>0</v>
      </c>
      <c r="D71" s="480">
        <f>'[36]Sch C'!F59</f>
        <v>0</v>
      </c>
      <c r="E71" s="480">
        <f>+'[36]Sch C'!H59</f>
        <v>112702</v>
      </c>
      <c r="F71" s="166">
        <f t="shared" si="13"/>
        <v>112702</v>
      </c>
      <c r="G71" s="626"/>
      <c r="H71" s="607">
        <v>16597</v>
      </c>
      <c r="I71" s="166">
        <f t="shared" si="14"/>
        <v>129299</v>
      </c>
      <c r="J71" s="167">
        <f t="shared" si="11"/>
        <v>4.4180981460929088E-2</v>
      </c>
      <c r="K71" s="458"/>
      <c r="L71" s="182"/>
      <c r="M71" s="163"/>
      <c r="O71" s="324">
        <f t="shared" si="12"/>
        <v>9.5508199143152606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'[36]Sch C'!D60</f>
        <v>10500</v>
      </c>
      <c r="D72" s="480">
        <f>'[36]Sch C'!F60</f>
        <v>0</v>
      </c>
      <c r="E72" s="480">
        <f>+'[36]Sch C'!H60</f>
        <v>0</v>
      </c>
      <c r="F72" s="166">
        <f t="shared" si="13"/>
        <v>10500</v>
      </c>
      <c r="G72" s="626"/>
      <c r="H72" s="607"/>
      <c r="I72" s="166">
        <f t="shared" si="14"/>
        <v>10500</v>
      </c>
      <c r="J72" s="167">
        <f t="shared" si="11"/>
        <v>3.5878104651989218E-3</v>
      </c>
      <c r="K72" s="458"/>
      <c r="L72" s="185"/>
      <c r="M72" s="163"/>
      <c r="O72" s="324">
        <f t="shared" si="12"/>
        <v>0.7755946225439504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'[36]Sch C'!D61</f>
        <v>6946</v>
      </c>
      <c r="D73" s="480">
        <f>'[36]Sch C'!F61</f>
        <v>0</v>
      </c>
      <c r="E73" s="480">
        <f>+'[36]Sch C'!H61</f>
        <v>0</v>
      </c>
      <c r="F73" s="166">
        <f t="shared" si="13"/>
        <v>6946</v>
      </c>
      <c r="G73" s="626"/>
      <c r="H73" s="607"/>
      <c r="I73" s="166">
        <f t="shared" si="14"/>
        <v>6946</v>
      </c>
      <c r="J73" s="167">
        <f t="shared" si="11"/>
        <v>2.373422046787782E-3</v>
      </c>
      <c r="K73" s="458"/>
      <c r="L73" s="185"/>
      <c r="M73" s="163"/>
      <c r="O73" s="324">
        <f t="shared" si="12"/>
        <v>0.51307430935145515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'[36]Sch C'!D62</f>
        <v>0</v>
      </c>
      <c r="D74" s="480">
        <f>'[36]Sch C'!F62</f>
        <v>0</v>
      </c>
      <c r="E74" s="480">
        <f>+'[36]Sch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'[36]Sch C'!D63</f>
        <v>0</v>
      </c>
      <c r="D75" s="480">
        <f>'[36]Sch C'!F63</f>
        <v>0</v>
      </c>
      <c r="E75" s="480">
        <f>+'[36]Sch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'[36]Sch C'!D64</f>
        <v>0</v>
      </c>
      <c r="D76" s="480">
        <f>'[36]Sch C'!F64</f>
        <v>0</v>
      </c>
      <c r="E76" s="480">
        <f>+'[36]Sch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'[36]Sch C'!D65</f>
        <v>0</v>
      </c>
      <c r="D77" s="480">
        <f>'[36]Sch C'!F65</f>
        <v>0</v>
      </c>
      <c r="E77" s="480">
        <f>+'[36]Sch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'[36]Sch C'!D66</f>
        <v>0</v>
      </c>
      <c r="D78" s="480">
        <f>'[36]Sch C'!F66</f>
        <v>0</v>
      </c>
      <c r="E78" s="480">
        <f>+'[36]Sch C'!H66</f>
        <v>0</v>
      </c>
      <c r="F78" s="166">
        <f t="shared" si="13"/>
        <v>0</v>
      </c>
      <c r="G78" s="626"/>
      <c r="H78" s="607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'[36]Sch C'!D67</f>
        <v>0</v>
      </c>
      <c r="D79" s="480">
        <f>'[36]Sch C'!F67</f>
        <v>0</v>
      </c>
      <c r="E79" s="480">
        <f>+'[36]Sch C'!H67</f>
        <v>0</v>
      </c>
      <c r="F79" s="166">
        <f t="shared" si="13"/>
        <v>0</v>
      </c>
      <c r="G79" s="626"/>
      <c r="H79" s="607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'[36]Sch C'!D68</f>
        <v>0</v>
      </c>
      <c r="D80" s="480">
        <f>'[36]Sch C'!F68</f>
        <v>0</v>
      </c>
      <c r="E80" s="480">
        <f>+'[36]Sch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'[36]Sch C'!D69</f>
        <v>489</v>
      </c>
      <c r="D81" s="480">
        <f>'[36]Sch C'!F69</f>
        <v>0</v>
      </c>
      <c r="E81" s="480">
        <f>+'[36]Sch C'!H69</f>
        <v>0</v>
      </c>
      <c r="F81" s="166">
        <f t="shared" si="13"/>
        <v>489</v>
      </c>
      <c r="G81" s="626"/>
      <c r="H81" s="607"/>
      <c r="I81" s="166">
        <f t="shared" si="14"/>
        <v>489</v>
      </c>
      <c r="J81" s="167">
        <f t="shared" si="11"/>
        <v>1.6708945880783551E-4</v>
      </c>
      <c r="K81" s="458"/>
      <c r="L81" s="187"/>
      <c r="M81" s="163"/>
      <c r="O81" s="324">
        <f t="shared" si="12"/>
        <v>3.612054956418969E-2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'[36]Sch C'!D70</f>
        <v>0</v>
      </c>
      <c r="D82" s="480">
        <f>'[36]Sch C'!F70</f>
        <v>0</v>
      </c>
      <c r="E82" s="480">
        <f>+'[36]Sch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'[36]Sch C'!D71</f>
        <v>0</v>
      </c>
      <c r="D83" s="480">
        <f>'[36]Sch C'!F71</f>
        <v>0</v>
      </c>
      <c r="E83" s="480">
        <f>+'[36]Sch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421975</v>
      </c>
      <c r="D84" s="480">
        <f t="shared" si="15"/>
        <v>0</v>
      </c>
      <c r="E84" s="480">
        <f t="shared" si="15"/>
        <v>-241714</v>
      </c>
      <c r="F84" s="166">
        <f t="shared" ref="F84:I84" si="16">SUM(F69:F83)</f>
        <v>180261</v>
      </c>
      <c r="G84" s="166">
        <f t="shared" si="16"/>
        <v>0</v>
      </c>
      <c r="H84" s="166">
        <f t="shared" si="16"/>
        <v>16597</v>
      </c>
      <c r="I84" s="166">
        <f t="shared" si="16"/>
        <v>196858</v>
      </c>
      <c r="J84" s="167">
        <f t="shared" si="11"/>
        <v>6.7265637386488511E-2</v>
      </c>
      <c r="K84" s="458"/>
      <c r="L84" s="187"/>
      <c r="M84" s="163"/>
      <c r="O84" s="324">
        <f t="shared" si="12"/>
        <v>14.541143448072093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'[36]Sch C'!D75</f>
        <v>10329</v>
      </c>
      <c r="D87" s="480">
        <f>'[36]Sch C'!F75</f>
        <v>0</v>
      </c>
      <c r="E87" s="480">
        <f>+'[36]Sch C'!H75</f>
        <v>0</v>
      </c>
      <c r="F87" s="166">
        <f t="shared" ref="F87:F97" si="17">C87+D87+E87</f>
        <v>10329</v>
      </c>
      <c r="G87" s="626"/>
      <c r="H87" s="607"/>
      <c r="I87" s="166">
        <f t="shared" ref="I87:I97" si="18">F87+G87+H87</f>
        <v>10329</v>
      </c>
      <c r="J87" s="167">
        <f t="shared" ref="J87:J98" si="19">IF($I$213=0,0,I87/$I$213)</f>
        <v>3.5293804090513964E-3</v>
      </c>
      <c r="K87" s="458"/>
      <c r="L87" s="176">
        <v>644</v>
      </c>
      <c r="M87" s="176">
        <v>670</v>
      </c>
      <c r="O87" s="324">
        <f t="shared" ref="O87:O97" si="20">I87/I$233</f>
        <v>0.76296351011966312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'[36]Sch C'!D76</f>
        <v>3958</v>
      </c>
      <c r="D88" s="480">
        <f>'[36]Sch C'!F76</f>
        <v>0</v>
      </c>
      <c r="E88" s="480">
        <f>+'[36]Sch C'!H76</f>
        <v>0</v>
      </c>
      <c r="F88" s="166">
        <f t="shared" si="17"/>
        <v>3958</v>
      </c>
      <c r="G88" s="626"/>
      <c r="H88" s="607"/>
      <c r="I88" s="166">
        <f t="shared" si="18"/>
        <v>3958</v>
      </c>
      <c r="J88" s="167">
        <f t="shared" si="19"/>
        <v>1.3524336972626032E-3</v>
      </c>
      <c r="K88" s="458"/>
      <c r="L88" s="163"/>
      <c r="M88" s="163"/>
      <c r="O88" s="324">
        <f t="shared" si="20"/>
        <v>0.2923622396218053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'[36]Sch C'!D77</f>
        <v>7094</v>
      </c>
      <c r="D89" s="480">
        <f>'[36]Sch C'!F77</f>
        <v>0</v>
      </c>
      <c r="E89" s="480">
        <f>+'[36]Sch C'!H77</f>
        <v>0</v>
      </c>
      <c r="F89" s="166">
        <f t="shared" si="17"/>
        <v>7094</v>
      </c>
      <c r="G89" s="626"/>
      <c r="H89" s="607"/>
      <c r="I89" s="166">
        <f t="shared" si="18"/>
        <v>7094</v>
      </c>
      <c r="J89" s="167">
        <f t="shared" si="19"/>
        <v>2.4239930895353476E-3</v>
      </c>
      <c r="K89" s="458"/>
      <c r="L89" s="163"/>
      <c r="M89" s="163"/>
      <c r="O89" s="324">
        <f t="shared" si="20"/>
        <v>0.52400650022159845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'[36]Sch C'!D78</f>
        <v>14023</v>
      </c>
      <c r="D90" s="480">
        <f>'[36]Sch C'!F78</f>
        <v>0</v>
      </c>
      <c r="E90" s="480">
        <f>+'[36]Sch C'!H78</f>
        <v>0</v>
      </c>
      <c r="F90" s="166">
        <f t="shared" si="17"/>
        <v>14023</v>
      </c>
      <c r="G90" s="626">
        <f>-11199+12950</f>
        <v>1751</v>
      </c>
      <c r="H90" s="607"/>
      <c r="I90" s="166">
        <f t="shared" si="18"/>
        <v>15774</v>
      </c>
      <c r="J90" s="167">
        <f t="shared" si="19"/>
        <v>5.3899164074331235E-3</v>
      </c>
      <c r="K90" s="458"/>
      <c r="L90" s="163"/>
      <c r="M90" s="163"/>
      <c r="O90" s="324">
        <f t="shared" si="20"/>
        <v>1.1651647215245975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'[36]Sch C'!D79</f>
        <v>2824</v>
      </c>
      <c r="D91" s="480">
        <f>'[36]Sch C'!F79</f>
        <v>0</v>
      </c>
      <c r="E91" s="480">
        <f>+'[36]Sch C'!H79</f>
        <v>0</v>
      </c>
      <c r="F91" s="166">
        <f t="shared" si="17"/>
        <v>2824</v>
      </c>
      <c r="G91" s="626">
        <v>9715</v>
      </c>
      <c r="H91" s="607"/>
      <c r="I91" s="166">
        <f t="shared" si="18"/>
        <v>12539</v>
      </c>
      <c r="J91" s="167">
        <f t="shared" si="19"/>
        <v>4.2845290879170743E-3</v>
      </c>
      <c r="K91" s="458"/>
      <c r="L91" s="163"/>
      <c r="M91" s="163"/>
      <c r="O91" s="324">
        <f t="shared" si="20"/>
        <v>0.9262077116265327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'[36]Sch C'!D80</f>
        <v>12539</v>
      </c>
      <c r="D92" s="480">
        <f>'[36]Sch C'!F80</f>
        <v>0</v>
      </c>
      <c r="E92" s="480">
        <f>+'[36]Sch C'!H80</f>
        <v>0</v>
      </c>
      <c r="F92" s="166">
        <f t="shared" si="17"/>
        <v>12539</v>
      </c>
      <c r="G92" s="626">
        <v>1484</v>
      </c>
      <c r="H92" s="607"/>
      <c r="I92" s="166">
        <f t="shared" si="18"/>
        <v>14023</v>
      </c>
      <c r="J92" s="167">
        <f t="shared" si="19"/>
        <v>4.7916063003318552E-3</v>
      </c>
      <c r="K92" s="458"/>
      <c r="L92" s="163"/>
      <c r="M92" s="163"/>
      <c r="O92" s="324">
        <f t="shared" si="20"/>
        <v>1.0358250849460777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'[36]Sch C'!D81</f>
        <v>922</v>
      </c>
      <c r="D93" s="480">
        <f>'[36]Sch C'!F81</f>
        <v>0</v>
      </c>
      <c r="E93" s="480">
        <f>+'[36]Sch C'!H81</f>
        <v>0</v>
      </c>
      <c r="F93" s="166">
        <f t="shared" si="17"/>
        <v>922</v>
      </c>
      <c r="G93" s="626"/>
      <c r="H93" s="607"/>
      <c r="I93" s="166">
        <f t="shared" si="18"/>
        <v>922</v>
      </c>
      <c r="J93" s="167">
        <f t="shared" si="19"/>
        <v>3.1504392846794341E-4</v>
      </c>
      <c r="K93" s="458"/>
      <c r="L93" s="163"/>
      <c r="M93" s="163"/>
      <c r="O93" s="324">
        <f t="shared" si="20"/>
        <v>6.8104594474811639E-2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'[36]Sch C'!D82</f>
        <v>4269</v>
      </c>
      <c r="D94" s="480">
        <f>'[36]Sch C'!F82</f>
        <v>0</v>
      </c>
      <c r="E94" s="480">
        <f>+'[36]Sch C'!H82</f>
        <v>0</v>
      </c>
      <c r="F94" s="166">
        <f t="shared" si="17"/>
        <v>4269</v>
      </c>
      <c r="G94" s="626"/>
      <c r="H94" s="607"/>
      <c r="I94" s="166">
        <f t="shared" si="18"/>
        <v>4269</v>
      </c>
      <c r="J94" s="167">
        <f t="shared" si="19"/>
        <v>1.4587012262794474E-3</v>
      </c>
      <c r="K94" s="458"/>
      <c r="L94" s="163"/>
      <c r="M94" s="163"/>
      <c r="O94" s="324">
        <f t="shared" si="20"/>
        <v>0.31533461368001181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'[36]Sch C'!D83</f>
        <v>1607</v>
      </c>
      <c r="D95" s="480">
        <f>'[36]Sch C'!F83</f>
        <v>0</v>
      </c>
      <c r="E95" s="480">
        <f>+'[36]Sch C'!H83</f>
        <v>0</v>
      </c>
      <c r="F95" s="166">
        <f t="shared" si="17"/>
        <v>1607</v>
      </c>
      <c r="G95" s="626"/>
      <c r="H95" s="607"/>
      <c r="I95" s="166">
        <f t="shared" si="18"/>
        <v>1607</v>
      </c>
      <c r="J95" s="167">
        <f t="shared" si="19"/>
        <v>5.4910584929282545E-4</v>
      </c>
      <c r="K95" s="458"/>
      <c r="L95" s="163"/>
      <c r="M95" s="163"/>
      <c r="O95" s="324">
        <f t="shared" si="20"/>
        <v>0.1187029103264884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'[36]Sch C'!D84</f>
        <v>57824</v>
      </c>
      <c r="D96" s="480">
        <f>'[36]Sch C'!F84</f>
        <v>0</v>
      </c>
      <c r="E96" s="480">
        <f>+'[36]Sch C'!H84</f>
        <v>0</v>
      </c>
      <c r="F96" s="166">
        <f t="shared" si="17"/>
        <v>57824</v>
      </c>
      <c r="G96" s="626"/>
      <c r="H96" s="607"/>
      <c r="I96" s="166">
        <f t="shared" si="18"/>
        <v>57824</v>
      </c>
      <c r="J96" s="167">
        <f t="shared" si="19"/>
        <v>1.9758243079967854E-2</v>
      </c>
      <c r="K96" s="458"/>
      <c r="L96" s="163"/>
      <c r="M96" s="163"/>
      <c r="O96" s="324">
        <f t="shared" si="20"/>
        <v>4.2712365194267985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'[36]Sch C'!D85</f>
        <v>0</v>
      </c>
      <c r="D97" s="480">
        <f>'[36]Sch C'!F85</f>
        <v>0</v>
      </c>
      <c r="E97" s="480">
        <f>+'[36]Sch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115389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115389</v>
      </c>
      <c r="G98" s="166">
        <f t="shared" si="22"/>
        <v>12950</v>
      </c>
      <c r="H98" s="166">
        <f t="shared" si="22"/>
        <v>0</v>
      </c>
      <c r="I98" s="166">
        <f t="shared" si="22"/>
        <v>128339</v>
      </c>
      <c r="J98" s="167">
        <f t="shared" si="19"/>
        <v>4.3852953075539471E-2</v>
      </c>
      <c r="K98" s="458"/>
      <c r="L98" s="163"/>
      <c r="M98" s="163"/>
      <c r="O98" s="329">
        <f>I98/I$233</f>
        <v>9.479908405968386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'[36]Sch C'!D89</f>
        <v>153204</v>
      </c>
      <c r="D101" s="480">
        <f>'[36]Sch C'!F89</f>
        <v>0</v>
      </c>
      <c r="E101" s="480">
        <f>+'[36]Sch C'!H89</f>
        <v>0</v>
      </c>
      <c r="F101" s="166">
        <f t="shared" ref="F101:F106" si="23">C101+D101+E101</f>
        <v>153204</v>
      </c>
      <c r="G101" s="626"/>
      <c r="H101" s="607"/>
      <c r="I101" s="166">
        <f t="shared" ref="I101:I106" si="24">F101+G101+H101</f>
        <v>153204</v>
      </c>
      <c r="J101" s="167">
        <f t="shared" ref="J101:J107" si="25">IF($I$213=0,0,I101/$I$213)</f>
        <v>5.23492299533653E-2</v>
      </c>
      <c r="K101" s="458"/>
      <c r="L101" s="176">
        <v>13230</v>
      </c>
      <c r="M101" s="176">
        <v>13878</v>
      </c>
      <c r="O101" s="329">
        <f t="shared" ref="O101:O106" si="26">I101/I$233</f>
        <v>11.316590338306987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'[36]Sch C'!D90</f>
        <v>22186</v>
      </c>
      <c r="D102" s="480">
        <f>'[36]Sch C'!F90</f>
        <v>0</v>
      </c>
      <c r="E102" s="480">
        <f>+'[36]Sch C'!H90</f>
        <v>0</v>
      </c>
      <c r="F102" s="166">
        <f t="shared" si="23"/>
        <v>22186</v>
      </c>
      <c r="G102" s="626"/>
      <c r="H102" s="607"/>
      <c r="I102" s="166">
        <f t="shared" si="24"/>
        <v>22186</v>
      </c>
      <c r="J102" s="167">
        <f t="shared" si="25"/>
        <v>7.5808726648479317E-3</v>
      </c>
      <c r="K102" s="458"/>
      <c r="L102" s="163"/>
      <c r="M102" s="163"/>
      <c r="O102" s="329">
        <f t="shared" si="26"/>
        <v>1.6387945043581031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'[36]Sch C'!D91</f>
        <v>7238</v>
      </c>
      <c r="D103" s="480">
        <f>'[36]Sch C'!F91</f>
        <v>0</v>
      </c>
      <c r="E103" s="480">
        <f>+'[36]Sch C'!H91</f>
        <v>0</v>
      </c>
      <c r="F103" s="166">
        <f t="shared" si="23"/>
        <v>7238</v>
      </c>
      <c r="G103" s="626"/>
      <c r="H103" s="607"/>
      <c r="I103" s="166">
        <f t="shared" si="24"/>
        <v>7238</v>
      </c>
      <c r="J103" s="167">
        <f t="shared" si="25"/>
        <v>2.4731973473437903E-3</v>
      </c>
      <c r="K103" s="458"/>
      <c r="L103" s="163"/>
      <c r="M103" s="163"/>
      <c r="O103" s="329">
        <f t="shared" si="26"/>
        <v>0.53464322647362983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'[36]Sch C'!D92</f>
        <v>90510</v>
      </c>
      <c r="D104" s="480">
        <f>'[36]Sch C'!F92</f>
        <v>0</v>
      </c>
      <c r="E104" s="480">
        <f>+'[36]Sch C'!H92</f>
        <v>0</v>
      </c>
      <c r="F104" s="166">
        <f t="shared" si="23"/>
        <v>90510</v>
      </c>
      <c r="G104" s="626"/>
      <c r="H104" s="607"/>
      <c r="I104" s="166">
        <f t="shared" si="24"/>
        <v>90510</v>
      </c>
      <c r="J104" s="167">
        <f t="shared" si="25"/>
        <v>3.0926926210014707E-2</v>
      </c>
      <c r="K104" s="458"/>
      <c r="L104" s="163"/>
      <c r="M104" s="163"/>
      <c r="O104" s="329">
        <f t="shared" si="26"/>
        <v>6.6856256463288517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'[36]Sch C'!D93</f>
        <v>11592</v>
      </c>
      <c r="D105" s="480">
        <f>'[36]Sch C'!F93</f>
        <v>0</v>
      </c>
      <c r="E105" s="480">
        <f>+'[36]Sch C'!H93</f>
        <v>0</v>
      </c>
      <c r="F105" s="166">
        <f t="shared" si="23"/>
        <v>11592</v>
      </c>
      <c r="G105" s="626"/>
      <c r="H105" s="607"/>
      <c r="I105" s="166">
        <f t="shared" si="24"/>
        <v>11592</v>
      </c>
      <c r="J105" s="167">
        <f t="shared" si="25"/>
        <v>3.9609427535796096E-3</v>
      </c>
      <c r="K105" s="458"/>
      <c r="L105" s="163"/>
      <c r="M105" s="163"/>
      <c r="O105" s="329">
        <f t="shared" si="26"/>
        <v>0.85625646328852123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'[36]Sch C'!D94</f>
        <v>0</v>
      </c>
      <c r="D106" s="480">
        <f>'[36]Sch C'!F94</f>
        <v>0</v>
      </c>
      <c r="E106" s="480">
        <f>+'[36]Sch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284730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284730</v>
      </c>
      <c r="G107" s="166">
        <f t="shared" si="28"/>
        <v>0</v>
      </c>
      <c r="H107" s="166">
        <f t="shared" si="28"/>
        <v>0</v>
      </c>
      <c r="I107" s="166">
        <f t="shared" si="28"/>
        <v>284730</v>
      </c>
      <c r="J107" s="167">
        <f t="shared" si="25"/>
        <v>9.7291168929151337E-2</v>
      </c>
      <c r="K107" s="458"/>
      <c r="L107" s="163"/>
      <c r="M107" s="163"/>
      <c r="O107" s="329">
        <f>I107/I$233</f>
        <v>21.031910178756092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'[36]Sch C'!D98</f>
        <v>19285</v>
      </c>
      <c r="D110" s="480">
        <f>'[36]Sch C'!F98</f>
        <v>0</v>
      </c>
      <c r="E110" s="480">
        <f>+'[36]Sch C'!H98</f>
        <v>0</v>
      </c>
      <c r="F110" s="166">
        <f t="shared" ref="F110:F115" si="29">C110+D110+E110</f>
        <v>19285</v>
      </c>
      <c r="G110" s="626"/>
      <c r="H110" s="607"/>
      <c r="I110" s="166">
        <f t="shared" ref="I110:I115" si="30">F110+G110+H110</f>
        <v>19285</v>
      </c>
      <c r="J110" s="167">
        <f t="shared" ref="J110:J116" si="31">IF($I$213=0,0,I110/$I$213)</f>
        <v>6.5896118877486866E-3</v>
      </c>
      <c r="K110" s="458"/>
      <c r="L110" s="176">
        <v>2004</v>
      </c>
      <c r="M110" s="176">
        <v>2150</v>
      </c>
      <c r="O110" s="329">
        <f t="shared" ref="O110:O115" si="32">I110/I$233</f>
        <v>1.4245087900723887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'[36]Sch C'!D99</f>
        <v>1646</v>
      </c>
      <c r="D111" s="480">
        <f>'[36]Sch C'!F99</f>
        <v>0</v>
      </c>
      <c r="E111" s="480">
        <f>+'[36]Sch C'!H99</f>
        <v>0</v>
      </c>
      <c r="F111" s="166">
        <f t="shared" si="29"/>
        <v>1646</v>
      </c>
      <c r="G111" s="626"/>
      <c r="H111" s="607"/>
      <c r="I111" s="166">
        <f t="shared" si="30"/>
        <v>1646</v>
      </c>
      <c r="J111" s="167">
        <f t="shared" si="31"/>
        <v>5.624320024492786E-4</v>
      </c>
      <c r="K111" s="458"/>
      <c r="L111" s="163"/>
      <c r="M111" s="163"/>
      <c r="O111" s="329">
        <f t="shared" si="32"/>
        <v>0.12158369035308021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'[36]Sch C'!D100</f>
        <v>4143</v>
      </c>
      <c r="D112" s="480">
        <f>'[36]Sch C'!F100</f>
        <v>0</v>
      </c>
      <c r="E112" s="480">
        <f>+'[36]Sch C'!H100</f>
        <v>0</v>
      </c>
      <c r="F112" s="166">
        <f t="shared" si="29"/>
        <v>4143</v>
      </c>
      <c r="G112" s="626"/>
      <c r="H112" s="607"/>
      <c r="I112" s="166">
        <f t="shared" si="30"/>
        <v>4143</v>
      </c>
      <c r="J112" s="167">
        <f t="shared" si="31"/>
        <v>1.4156475006970603E-3</v>
      </c>
      <c r="K112" s="458"/>
      <c r="L112" s="163"/>
      <c r="M112" s="163"/>
      <c r="O112" s="329">
        <f t="shared" si="32"/>
        <v>0.30602747820948439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'[36]Sch C'!D101</f>
        <v>0</v>
      </c>
      <c r="D113" s="480">
        <f>'[36]Sch C'!F101</f>
        <v>0</v>
      </c>
      <c r="E113" s="480">
        <f>+'[36]Sch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'[36]Sch C'!D102</f>
        <v>1471</v>
      </c>
      <c r="D114" s="480">
        <f>'[36]Sch C'!F102</f>
        <v>0</v>
      </c>
      <c r="E114" s="480">
        <f>+'[36]Sch C'!H102</f>
        <v>0</v>
      </c>
      <c r="F114" s="166">
        <f t="shared" si="29"/>
        <v>1471</v>
      </c>
      <c r="G114" s="626"/>
      <c r="H114" s="607"/>
      <c r="I114" s="166">
        <f t="shared" si="30"/>
        <v>1471</v>
      </c>
      <c r="J114" s="167">
        <f t="shared" si="31"/>
        <v>5.0263516136262994E-4</v>
      </c>
      <c r="K114" s="458"/>
      <c r="L114" s="163"/>
      <c r="M114" s="163"/>
      <c r="O114" s="329">
        <f t="shared" si="32"/>
        <v>0.10865711331068105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'[36]Sch C'!D103</f>
        <v>0</v>
      </c>
      <c r="D115" s="480">
        <f>'[36]Sch C'!F103</f>
        <v>0</v>
      </c>
      <c r="E115" s="480">
        <f>+'[36]Sch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26545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26545</v>
      </c>
      <c r="G116" s="166">
        <f t="shared" si="34"/>
        <v>0</v>
      </c>
      <c r="H116" s="166">
        <f t="shared" si="34"/>
        <v>0</v>
      </c>
      <c r="I116" s="166">
        <f t="shared" si="34"/>
        <v>26545</v>
      </c>
      <c r="J116" s="167">
        <f t="shared" si="31"/>
        <v>9.0703265522576546E-3</v>
      </c>
      <c r="K116" s="458"/>
      <c r="L116" s="163"/>
      <c r="M116" s="163"/>
      <c r="O116" s="329">
        <f>I116/I$233</f>
        <v>1.9607770719456346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'[36]Sch C'!D115</f>
        <v>51060</v>
      </c>
      <c r="D119" s="480">
        <f>'[36]Sch C'!F115</f>
        <v>0</v>
      </c>
      <c r="E119" s="480">
        <f>+'[36]Sch C'!H115</f>
        <v>0</v>
      </c>
      <c r="F119" s="166">
        <f t="shared" ref="F119:F123" si="35">C119+D119+E119</f>
        <v>51060</v>
      </c>
      <c r="G119" s="626"/>
      <c r="H119" s="607"/>
      <c r="I119" s="166">
        <f t="shared" ref="I119:I123" si="36">F119+G119+H119</f>
        <v>51060</v>
      </c>
      <c r="J119" s="167">
        <f t="shared" ref="J119:J124" si="37">IF($I$213=0,0,I119/$I$213)</f>
        <v>1.7447009747910185E-2</v>
      </c>
      <c r="K119" s="458"/>
      <c r="L119" s="176">
        <v>5383</v>
      </c>
      <c r="M119" s="176">
        <v>5643</v>
      </c>
      <c r="O119" s="329">
        <f t="shared" ref="O119:O124" si="38">I119/I$233</f>
        <v>3.7716058501994385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'[36]Sch C'!D116</f>
        <v>6555</v>
      </c>
      <c r="D120" s="480">
        <f>'[36]Sch C'!F116</f>
        <v>0</v>
      </c>
      <c r="E120" s="480">
        <f>+'[36]Sch C'!H116</f>
        <v>0</v>
      </c>
      <c r="F120" s="166">
        <f t="shared" si="35"/>
        <v>6555</v>
      </c>
      <c r="G120" s="626"/>
      <c r="H120" s="607"/>
      <c r="I120" s="166">
        <f t="shared" si="36"/>
        <v>6555</v>
      </c>
      <c r="J120" s="167">
        <f t="shared" si="37"/>
        <v>2.2398188189884697E-3</v>
      </c>
      <c r="K120" s="458"/>
      <c r="L120" s="163"/>
      <c r="M120" s="163"/>
      <c r="O120" s="329">
        <f t="shared" si="38"/>
        <v>0.484192642931009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'[36]Sch C'!D117</f>
        <v>13985</v>
      </c>
      <c r="D121" s="480">
        <f>'[36]Sch C'!F117</f>
        <v>0</v>
      </c>
      <c r="E121" s="480">
        <f>+'[36]Sch C'!H117</f>
        <v>0</v>
      </c>
      <c r="F121" s="166">
        <f t="shared" si="35"/>
        <v>13985</v>
      </c>
      <c r="G121" s="626"/>
      <c r="H121" s="607"/>
      <c r="I121" s="166">
        <f t="shared" si="36"/>
        <v>13985</v>
      </c>
      <c r="J121" s="167">
        <f t="shared" si="37"/>
        <v>4.7786218434101831E-3</v>
      </c>
      <c r="K121" s="458"/>
      <c r="L121" s="163"/>
      <c r="M121" s="163"/>
      <c r="O121" s="329">
        <f t="shared" si="38"/>
        <v>1.0330181710740138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'[36]Sch C'!D118</f>
        <v>1961</v>
      </c>
      <c r="D122" s="480">
        <f>'[36]Sch C'!F118</f>
        <v>0</v>
      </c>
      <c r="E122" s="480">
        <f>+'[36]Sch C'!H118</f>
        <v>0</v>
      </c>
      <c r="F122" s="166">
        <f t="shared" si="35"/>
        <v>1961</v>
      </c>
      <c r="G122" s="626"/>
      <c r="H122" s="607"/>
      <c r="I122" s="166">
        <f t="shared" si="36"/>
        <v>1961</v>
      </c>
      <c r="J122" s="167">
        <f t="shared" si="37"/>
        <v>6.7006631640524627E-4</v>
      </c>
      <c r="K122" s="458"/>
      <c r="L122" s="163"/>
      <c r="M122" s="163"/>
      <c r="O122" s="329">
        <f t="shared" si="38"/>
        <v>0.14485152902939874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'[36]Sch C'!D119</f>
        <v>0</v>
      </c>
      <c r="D123" s="480">
        <f>'[36]Sch C'!F119</f>
        <v>0</v>
      </c>
      <c r="E123" s="480">
        <f>+'[36]Sch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73561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73561</v>
      </c>
      <c r="G124" s="166">
        <f t="shared" si="40"/>
        <v>0</v>
      </c>
      <c r="H124" s="166">
        <f t="shared" si="40"/>
        <v>0</v>
      </c>
      <c r="I124" s="166">
        <f t="shared" si="40"/>
        <v>73561</v>
      </c>
      <c r="J124" s="167">
        <f t="shared" si="37"/>
        <v>2.5135516726714085E-2</v>
      </c>
      <c r="K124" s="458"/>
      <c r="L124" s="163"/>
      <c r="M124" s="163"/>
      <c r="O124" s="329">
        <f t="shared" si="38"/>
        <v>5.43366819323386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'[36]Sch C'!D124</f>
        <v>0</v>
      </c>
      <c r="D128" s="480">
        <f>'[36]Sch C'!F124</f>
        <v>0</v>
      </c>
      <c r="E128" s="480">
        <f>+'[36]Sch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'[36]Sch C'!D125</f>
        <v>77635</v>
      </c>
      <c r="D129" s="480">
        <f>'[36]Sch C'!F125</f>
        <v>0</v>
      </c>
      <c r="E129" s="480">
        <f>+'[36]Sch C'!H125</f>
        <v>0</v>
      </c>
      <c r="F129" s="166">
        <f t="shared" si="41"/>
        <v>77635</v>
      </c>
      <c r="G129" s="626"/>
      <c r="H129" s="607"/>
      <c r="I129" s="166">
        <f t="shared" si="42"/>
        <v>77635</v>
      </c>
      <c r="J129" s="167">
        <f>IF($I$213=0,0,I129/$I$213)</f>
        <v>2.6527587187211266E-2</v>
      </c>
      <c r="K129" s="458"/>
      <c r="L129" s="176">
        <v>2005</v>
      </c>
      <c r="M129" s="176">
        <v>2085</v>
      </c>
      <c r="O129" s="329">
        <f t="shared" si="43"/>
        <v>5.7345989067809127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'[36]Sch C'!D126</f>
        <v>0</v>
      </c>
      <c r="D130" s="480">
        <f>'[36]Sch C'!F126</f>
        <v>0</v>
      </c>
      <c r="E130" s="480">
        <f>+'[36]Sch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'[36]Sch C'!D127</f>
        <v>0</v>
      </c>
      <c r="D131" s="480">
        <f>'[36]Sch C'!F127</f>
        <v>0</v>
      </c>
      <c r="E131" s="480">
        <f>+'[36]Sch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'[36]Sch C'!D128</f>
        <v>14691</v>
      </c>
      <c r="D132" s="480">
        <f>'[36]Sch C'!F128</f>
        <v>0</v>
      </c>
      <c r="E132" s="480">
        <f>+'[36]Sch C'!H128</f>
        <v>0</v>
      </c>
      <c r="F132" s="166">
        <f t="shared" si="41"/>
        <v>14691</v>
      </c>
      <c r="G132" s="626"/>
      <c r="H132" s="607"/>
      <c r="I132" s="166">
        <f t="shared" si="42"/>
        <v>14691</v>
      </c>
      <c r="J132" s="167">
        <f>IF($I$213=0,0,I132/$I$213)</f>
        <v>5.0198593851654627E-3</v>
      </c>
      <c r="K132" s="458"/>
      <c r="L132" s="176">
        <v>503</v>
      </c>
      <c r="M132" s="176">
        <v>503</v>
      </c>
      <c r="O132" s="329">
        <f t="shared" si="43"/>
        <v>1.0851676761707785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'[36]Sch C'!D130</f>
        <v>0</v>
      </c>
      <c r="D134" s="480">
        <f>'[36]Sch C'!F130</f>
        <v>0</v>
      </c>
      <c r="E134" s="480">
        <f>+'[36]Sch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'[36]Sch C'!D131</f>
        <v>90176</v>
      </c>
      <c r="D135" s="480">
        <f>'[36]Sch C'!F131</f>
        <v>-74591</v>
      </c>
      <c r="E135" s="480">
        <f>+'[36]Sch C'!H131</f>
        <v>0</v>
      </c>
      <c r="F135" s="166">
        <f t="shared" si="44"/>
        <v>15585</v>
      </c>
      <c r="G135" s="626"/>
      <c r="H135" s="607"/>
      <c r="I135" s="166">
        <f t="shared" si="45"/>
        <v>15585</v>
      </c>
      <c r="J135" s="167">
        <f>IF($I$213=0,0,I135/$I$213)</f>
        <v>5.3253358190595429E-3</v>
      </c>
      <c r="K135" s="458"/>
      <c r="L135" s="196"/>
      <c r="M135" s="196"/>
      <c r="O135" s="329">
        <f t="shared" si="43"/>
        <v>1.1512040183188064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'[36]Sch C'!D132</f>
        <v>0</v>
      </c>
      <c r="D136" s="480">
        <f>'[36]Sch C'!F132</f>
        <v>0</v>
      </c>
      <c r="E136" s="480">
        <f>+'[36]Sch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'[36]Sch C'!D133</f>
        <v>0</v>
      </c>
      <c r="D137" s="480">
        <f>'[36]Sch C'!F133</f>
        <v>0</v>
      </c>
      <c r="E137" s="480">
        <f>+'[36]Sch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'[36]Sch C'!D134</f>
        <v>0</v>
      </c>
      <c r="D138" s="480">
        <f>'[36]Sch C'!F134</f>
        <v>2949</v>
      </c>
      <c r="E138" s="480">
        <f>+'[36]Sch C'!H134</f>
        <v>0</v>
      </c>
      <c r="F138" s="166">
        <f t="shared" si="44"/>
        <v>2949</v>
      </c>
      <c r="G138" s="626"/>
      <c r="H138" s="607"/>
      <c r="I138" s="166">
        <f t="shared" si="45"/>
        <v>2949</v>
      </c>
      <c r="J138" s="167">
        <f>IF($I$213=0,0,I138/$I$213)</f>
        <v>1.0076621963687258E-3</v>
      </c>
      <c r="K138" s="458"/>
      <c r="L138" s="163"/>
      <c r="M138" s="163"/>
      <c r="O138" s="329">
        <f t="shared" si="43"/>
        <v>0.21783128970305807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'[36]Sch C'!D136</f>
        <v>139281</v>
      </c>
      <c r="D140" s="480">
        <f>'[36]Sch C'!F136</f>
        <v>0</v>
      </c>
      <c r="E140" s="480">
        <f>+'[36]Sch C'!H136</f>
        <v>0</v>
      </c>
      <c r="F140" s="166">
        <f t="shared" ref="F140:F143" si="46">C140+D140+E140</f>
        <v>139281</v>
      </c>
      <c r="G140" s="626"/>
      <c r="H140" s="607"/>
      <c r="I140" s="166">
        <f t="shared" ref="I140:I143" si="47">F140+G140+H140</f>
        <v>139281</v>
      </c>
      <c r="J140" s="167">
        <f>IF($I$213=0,0,I140/$I$213)</f>
        <v>4.7591793276511529E-2</v>
      </c>
      <c r="K140" s="458"/>
      <c r="L140" s="176">
        <v>5063</v>
      </c>
      <c r="M140" s="176">
        <v>5163</v>
      </c>
      <c r="O140" s="329">
        <f t="shared" si="43"/>
        <v>10.28815186881371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'[36]Sch C'!D137</f>
        <v>217606</v>
      </c>
      <c r="D141" s="480">
        <f>'[36]Sch C'!F137</f>
        <v>0</v>
      </c>
      <c r="E141" s="480">
        <f>+'[36]Sch C'!H137</f>
        <v>0</v>
      </c>
      <c r="F141" s="166">
        <f t="shared" si="46"/>
        <v>217606</v>
      </c>
      <c r="G141" s="626"/>
      <c r="H141" s="607"/>
      <c r="I141" s="166">
        <f t="shared" si="47"/>
        <v>217606</v>
      </c>
      <c r="J141" s="167">
        <f>IF($I$213=0,0,I141/$I$213)</f>
        <v>7.4355150865721586E-2</v>
      </c>
      <c r="K141" s="458"/>
      <c r="L141" s="176">
        <v>8963</v>
      </c>
      <c r="M141" s="176">
        <v>9507</v>
      </c>
      <c r="O141" s="329">
        <f t="shared" si="43"/>
        <v>16.073718422218938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'[36]Sch C'!D138</f>
        <v>432404</v>
      </c>
      <c r="D142" s="480">
        <f>'[36]Sch C'!F138</f>
        <v>0</v>
      </c>
      <c r="E142" s="480">
        <f>+'[36]Sch C'!H138</f>
        <v>0</v>
      </c>
      <c r="F142" s="166">
        <f t="shared" si="46"/>
        <v>432404</v>
      </c>
      <c r="G142" s="626"/>
      <c r="H142" s="607"/>
      <c r="I142" s="166">
        <f t="shared" si="47"/>
        <v>432404</v>
      </c>
      <c r="J142" s="167">
        <f>IF($I$213=0,0,I142/$I$213)</f>
        <v>0.14775081870417853</v>
      </c>
      <c r="K142" s="458"/>
      <c r="L142" s="176">
        <v>36710</v>
      </c>
      <c r="M142" s="176">
        <v>38323</v>
      </c>
      <c r="O142" s="329">
        <f t="shared" si="43"/>
        <v>31.940020682523269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'[36]Sch C'!D139</f>
        <v>0</v>
      </c>
      <c r="D143" s="480">
        <f>'[36]Sch C'!F139</f>
        <v>0</v>
      </c>
      <c r="E143" s="480">
        <f>+'[36]Sch C'!H139</f>
        <v>0</v>
      </c>
      <c r="F143" s="166">
        <f t="shared" si="46"/>
        <v>0</v>
      </c>
      <c r="G143" s="626"/>
      <c r="H143" s="607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'[36]Sch C'!D141</f>
        <v>0</v>
      </c>
      <c r="D145" s="480">
        <f>'[36]Sch C'!F141</f>
        <v>27959</v>
      </c>
      <c r="E145" s="480">
        <f>+'[36]Sch C'!H141</f>
        <v>0</v>
      </c>
      <c r="F145" s="166">
        <f t="shared" ref="F145:F148" si="48">C145+D145+E145</f>
        <v>27959</v>
      </c>
      <c r="G145" s="626"/>
      <c r="H145" s="607"/>
      <c r="I145" s="166">
        <f t="shared" ref="I145:I148" si="49">F145+G145+H145</f>
        <v>27959</v>
      </c>
      <c r="J145" s="167">
        <f>IF($I$213=0,0,I145/$I$213)</f>
        <v>9.5534850282377771E-3</v>
      </c>
      <c r="K145" s="458"/>
      <c r="L145" s="163"/>
      <c r="M145" s="163"/>
      <c r="O145" s="329">
        <f t="shared" si="43"/>
        <v>2.06522381444822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'[36]Sch C'!D142</f>
        <v>0</v>
      </c>
      <c r="D146" s="480">
        <f>'[36]Sch C'!F142</f>
        <v>43683</v>
      </c>
      <c r="E146" s="480">
        <f>+'[36]Sch C'!H142</f>
        <v>0</v>
      </c>
      <c r="F146" s="166">
        <f t="shared" si="48"/>
        <v>43683</v>
      </c>
      <c r="G146" s="626"/>
      <c r="H146" s="607"/>
      <c r="I146" s="166">
        <f t="shared" si="49"/>
        <v>43683</v>
      </c>
      <c r="J146" s="167">
        <f>IF($I$213=0,0,I146/$I$213)</f>
        <v>1.4926316623931858E-2</v>
      </c>
      <c r="K146" s="458"/>
      <c r="L146" s="163"/>
      <c r="M146" s="163"/>
      <c r="O146" s="329">
        <f t="shared" si="43"/>
        <v>3.2266952282464176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'[36]Sch C'!D143</f>
        <v>36804</v>
      </c>
      <c r="D147" s="480">
        <f>'[36]Sch C'!F143</f>
        <v>0</v>
      </c>
      <c r="E147" s="480">
        <f>+'[36]Sch C'!H143</f>
        <v>0</v>
      </c>
      <c r="F147" s="166">
        <f t="shared" si="48"/>
        <v>36804</v>
      </c>
      <c r="G147" s="626"/>
      <c r="H147" s="607"/>
      <c r="I147" s="166">
        <f t="shared" si="49"/>
        <v>36804</v>
      </c>
      <c r="J147" s="167">
        <f>IF($I$213=0,0,I147/$I$213)</f>
        <v>1.2575788224874393E-2</v>
      </c>
      <c r="K147" s="458"/>
      <c r="L147" s="163"/>
      <c r="M147" s="163"/>
      <c r="O147" s="329">
        <f t="shared" si="43"/>
        <v>2.7185699512483379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'[36]Sch C'!D144</f>
        <v>0</v>
      </c>
      <c r="D148" s="480">
        <f>'[36]Sch C'!F144</f>
        <v>0</v>
      </c>
      <c r="E148" s="480">
        <f>+'[36]Sch C'!H144</f>
        <v>0</v>
      </c>
      <c r="F148" s="166">
        <f t="shared" si="48"/>
        <v>0</v>
      </c>
      <c r="G148" s="626"/>
      <c r="H148" s="607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'[36]Sch C'!D146</f>
        <v>12000</v>
      </c>
      <c r="D150" s="480">
        <f>'[36]Sch C'!F146</f>
        <v>0</v>
      </c>
      <c r="E150" s="480">
        <f>+'[36]Sch C'!H146</f>
        <v>0</v>
      </c>
      <c r="F150" s="166">
        <f t="shared" ref="F150:F158" si="50">C150+D150+E150</f>
        <v>12000</v>
      </c>
      <c r="G150" s="626"/>
      <c r="H150" s="607"/>
      <c r="I150" s="166">
        <f t="shared" ref="I150:I158" si="51">F150+G150+H150</f>
        <v>12000</v>
      </c>
      <c r="J150" s="167">
        <f t="shared" ref="J150:J158" si="52">IF($I$213=0,0,I150/$I$213)</f>
        <v>4.1003548173701963E-3</v>
      </c>
      <c r="K150" s="458"/>
      <c r="L150" s="176">
        <v>0</v>
      </c>
      <c r="M150" s="176">
        <v>0</v>
      </c>
      <c r="O150" s="329">
        <f t="shared" si="43"/>
        <v>0.88639385433594331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'[36]Sch C'!D147</f>
        <v>48900</v>
      </c>
      <c r="D151" s="480">
        <f>'[36]Sch C'!F147</f>
        <v>0</v>
      </c>
      <c r="E151" s="480">
        <f>+'[36]Sch C'!H147</f>
        <v>0</v>
      </c>
      <c r="F151" s="166">
        <f t="shared" si="50"/>
        <v>48900</v>
      </c>
      <c r="G151" s="626"/>
      <c r="H151" s="607"/>
      <c r="I151" s="166">
        <f t="shared" si="51"/>
        <v>48900</v>
      </c>
      <c r="J151" s="167">
        <f t="shared" si="52"/>
        <v>1.670894588078355E-2</v>
      </c>
      <c r="K151" s="458"/>
      <c r="L151" s="176">
        <v>0</v>
      </c>
      <c r="M151" s="176">
        <v>0</v>
      </c>
      <c r="O151" s="329">
        <f t="shared" si="43"/>
        <v>3.612054956418969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'[36]Sch C'!D148</f>
        <v>9628</v>
      </c>
      <c r="D152" s="480">
        <f>'[36]Sch C'!F148</f>
        <v>0</v>
      </c>
      <c r="E152" s="480">
        <f>+'[36]Sch C'!H148</f>
        <v>0</v>
      </c>
      <c r="F152" s="166">
        <f t="shared" si="50"/>
        <v>9628</v>
      </c>
      <c r="G152" s="626"/>
      <c r="H152" s="607"/>
      <c r="I152" s="166">
        <f t="shared" si="51"/>
        <v>9628</v>
      </c>
      <c r="J152" s="167">
        <f t="shared" si="52"/>
        <v>3.289851348470021E-3</v>
      </c>
      <c r="K152" s="458"/>
      <c r="L152" s="176">
        <v>0</v>
      </c>
      <c r="M152" s="176">
        <v>0</v>
      </c>
      <c r="O152" s="329">
        <f t="shared" si="43"/>
        <v>0.7111833357955385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'[36]Sch C'!D149</f>
        <v>30182</v>
      </c>
      <c r="D153" s="480">
        <f>'[36]Sch C'!F149</f>
        <v>0</v>
      </c>
      <c r="E153" s="480">
        <f>+'[36]Sch C'!H149</f>
        <v>0</v>
      </c>
      <c r="F153" s="166">
        <f t="shared" si="50"/>
        <v>30182</v>
      </c>
      <c r="G153" s="626"/>
      <c r="H153" s="607"/>
      <c r="I153" s="166">
        <f t="shared" si="51"/>
        <v>30182</v>
      </c>
      <c r="J153" s="167">
        <f t="shared" si="52"/>
        <v>1.0313075758155606E-2</v>
      </c>
      <c r="K153" s="458"/>
      <c r="L153" s="176">
        <v>0</v>
      </c>
      <c r="M153" s="176">
        <v>0</v>
      </c>
      <c r="O153" s="329">
        <f t="shared" si="43"/>
        <v>2.2294282759639534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'[36]Sch C'!D150</f>
        <v>3755</v>
      </c>
      <c r="D154" s="480">
        <f>'[36]Sch C'!F150</f>
        <v>0</v>
      </c>
      <c r="E154" s="480">
        <f>+'[36]Sch C'!H150</f>
        <v>0</v>
      </c>
      <c r="F154" s="166">
        <f t="shared" si="50"/>
        <v>3755</v>
      </c>
      <c r="G154" s="626"/>
      <c r="H154" s="607"/>
      <c r="I154" s="166">
        <f t="shared" si="51"/>
        <v>3755</v>
      </c>
      <c r="J154" s="167">
        <f t="shared" si="52"/>
        <v>1.2830693616020907E-3</v>
      </c>
      <c r="K154" s="458"/>
      <c r="L154" s="176">
        <v>0</v>
      </c>
      <c r="M154" s="176">
        <v>0</v>
      </c>
      <c r="O154" s="329">
        <f t="shared" si="43"/>
        <v>0.27736741025262224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'[36]Sch C'!D151</f>
        <v>47854</v>
      </c>
      <c r="D155" s="480">
        <f>'[36]Sch C'!F151</f>
        <v>0</v>
      </c>
      <c r="E155" s="480">
        <f>+'[36]Sch C'!H151</f>
        <v>0</v>
      </c>
      <c r="F155" s="166">
        <f t="shared" si="50"/>
        <v>47854</v>
      </c>
      <c r="G155" s="626"/>
      <c r="H155" s="607"/>
      <c r="I155" s="166">
        <f t="shared" si="51"/>
        <v>47854</v>
      </c>
      <c r="J155" s="167">
        <f t="shared" si="52"/>
        <v>1.6351531619202782E-2</v>
      </c>
      <c r="K155" s="458"/>
      <c r="L155" s="163"/>
      <c r="M155" s="163"/>
      <c r="O155" s="329">
        <f t="shared" si="43"/>
        <v>3.5347909587826858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'[36]Sch C'!D152</f>
        <v>605</v>
      </c>
      <c r="D156" s="480">
        <f>'[36]Sch C'!F152</f>
        <v>0</v>
      </c>
      <c r="E156" s="480">
        <f>+'[36]Sch C'!H152</f>
        <v>0</v>
      </c>
      <c r="F156" s="166">
        <f t="shared" si="50"/>
        <v>605</v>
      </c>
      <c r="G156" s="626"/>
      <c r="H156" s="607"/>
      <c r="I156" s="166">
        <f t="shared" si="51"/>
        <v>605</v>
      </c>
      <c r="J156" s="167">
        <f t="shared" si="52"/>
        <v>2.0672622204241406E-4</v>
      </c>
      <c r="K156" s="458"/>
      <c r="L156" s="163"/>
      <c r="M156" s="163"/>
      <c r="O156" s="329">
        <f t="shared" si="43"/>
        <v>4.4689023489437138E-2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'[36]Sch C'!D153</f>
        <v>2694</v>
      </c>
      <c r="D157" s="480">
        <f>'[36]Sch C'!F153</f>
        <v>0</v>
      </c>
      <c r="E157" s="480">
        <f>+'[36]Sch C'!H153</f>
        <v>0</v>
      </c>
      <c r="F157" s="166">
        <f t="shared" si="50"/>
        <v>2694</v>
      </c>
      <c r="G157" s="626"/>
      <c r="H157" s="607"/>
      <c r="I157" s="166">
        <f t="shared" si="51"/>
        <v>2694</v>
      </c>
      <c r="J157" s="167">
        <f t="shared" si="52"/>
        <v>9.2052965649960913E-4</v>
      </c>
      <c r="K157" s="458"/>
      <c r="L157" s="163"/>
      <c r="M157" s="163"/>
      <c r="O157" s="329">
        <f t="shared" si="43"/>
        <v>0.19899542029841927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'[36]Sch C'!D154</f>
        <v>0</v>
      </c>
      <c r="D158" s="480">
        <f>'[36]Sch C'!F154</f>
        <v>0</v>
      </c>
      <c r="E158" s="480">
        <f>+'[36]Sch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'[36]Sch C'!D156</f>
        <v>0</v>
      </c>
      <c r="D160" s="480">
        <f>'[36]Sch C'!F156</f>
        <v>0</v>
      </c>
      <c r="E160" s="480">
        <f>+'[36]Sch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'[36]Sch C'!D157</f>
        <v>0</v>
      </c>
      <c r="D161" s="480">
        <f>'[36]Sch C'!F157</f>
        <v>0</v>
      </c>
      <c r="E161" s="480">
        <f>+'[36]Sch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'[36]Sch C'!D158</f>
        <v>0</v>
      </c>
      <c r="D162" s="480">
        <f>'[36]Sch C'!F158</f>
        <v>0</v>
      </c>
      <c r="E162" s="480">
        <f>+'[36]Sch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'[36]Sch C'!D159</f>
        <v>0</v>
      </c>
      <c r="D163" s="480">
        <f>'[36]Sch C'!F159</f>
        <v>0</v>
      </c>
      <c r="E163" s="480">
        <f>+'[36]Sch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'[36]Sch C'!D160</f>
        <v>0</v>
      </c>
      <c r="D164" s="480">
        <f>'[36]Sch C'!F160</f>
        <v>0</v>
      </c>
      <c r="E164" s="480">
        <f>+'[36]Sch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'[36]Sch C'!D161</f>
        <v>38000</v>
      </c>
      <c r="D165" s="480">
        <f>'[36]Sch C'!F161</f>
        <v>0</v>
      </c>
      <c r="E165" s="480">
        <f>+'[36]Sch C'!H161</f>
        <v>0</v>
      </c>
      <c r="F165" s="166">
        <f t="shared" si="53"/>
        <v>38000</v>
      </c>
      <c r="G165" s="626">
        <v>-12950</v>
      </c>
      <c r="H165" s="607"/>
      <c r="I165" s="166">
        <f t="shared" si="54"/>
        <v>25050</v>
      </c>
      <c r="J165" s="167">
        <f t="shared" si="55"/>
        <v>8.5594906812602855E-3</v>
      </c>
      <c r="K165" s="458"/>
      <c r="L165" s="163"/>
      <c r="M165" s="163"/>
      <c r="O165" s="329">
        <f t="shared" si="43"/>
        <v>1.8503471709262815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1202215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1202215</v>
      </c>
      <c r="G166" s="166">
        <f t="shared" si="57"/>
        <v>-12950</v>
      </c>
      <c r="H166" s="166">
        <f t="shared" si="57"/>
        <v>0</v>
      </c>
      <c r="I166" s="166">
        <f t="shared" si="57"/>
        <v>1189265</v>
      </c>
      <c r="J166" s="167">
        <f t="shared" si="55"/>
        <v>0.40636737265664724</v>
      </c>
      <c r="K166" s="458"/>
      <c r="L166" s="163"/>
      <c r="M166" s="163"/>
      <c r="O166" s="329">
        <f>I166/I$233</f>
        <v>87.846432264736293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'[36]Sch C'!D175</f>
        <v>0</v>
      </c>
      <c r="D169" s="480">
        <f>'[36]Sch C'!F175</f>
        <v>0</v>
      </c>
      <c r="E169" s="480">
        <f>+'[36]Sch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'[36]Sch C'!D176</f>
        <v>0</v>
      </c>
      <c r="D170" s="480">
        <f>'[36]Sch C'!F176</f>
        <v>0</v>
      </c>
      <c r="E170" s="480">
        <f>+'[36]Sch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'[36]Sch C'!D177</f>
        <v>0</v>
      </c>
      <c r="D171" s="480">
        <f>'[36]Sch C'!F177</f>
        <v>0</v>
      </c>
      <c r="E171" s="480">
        <f>+'[36]Sch C'!H177</f>
        <v>0</v>
      </c>
      <c r="F171" s="166">
        <f t="shared" si="58"/>
        <v>0</v>
      </c>
      <c r="G171" s="626"/>
      <c r="H171" s="607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'[36]Sch C'!D178</f>
        <v>0</v>
      </c>
      <c r="D172" s="480">
        <f>'[36]Sch C'!F178</f>
        <v>0</v>
      </c>
      <c r="E172" s="480">
        <f>+'[36]Sch C'!H178</f>
        <v>0</v>
      </c>
      <c r="F172" s="166">
        <f t="shared" si="58"/>
        <v>0</v>
      </c>
      <c r="G172" s="626"/>
      <c r="H172" s="607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'[36]Sch C'!D179</f>
        <v>0</v>
      </c>
      <c r="D173" s="480">
        <f>'[36]Sch C'!F179</f>
        <v>0</v>
      </c>
      <c r="E173" s="480">
        <f>+'[36]Sch C'!H179</f>
        <v>0</v>
      </c>
      <c r="F173" s="166">
        <f t="shared" si="58"/>
        <v>0</v>
      </c>
      <c r="G173" s="626"/>
      <c r="H173" s="607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'[36]Sch C'!D180</f>
        <v>0</v>
      </c>
      <c r="D174" s="480">
        <f>'[36]Sch C'!F180</f>
        <v>0</v>
      </c>
      <c r="E174" s="480">
        <f>+'[36]Sch C'!H180</f>
        <v>0</v>
      </c>
      <c r="F174" s="166">
        <f t="shared" si="58"/>
        <v>0</v>
      </c>
      <c r="G174" s="626"/>
      <c r="H174" s="607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'[36]Sch C'!D181</f>
        <v>0</v>
      </c>
      <c r="D175" s="480">
        <f>'[36]Sch C'!F181</f>
        <v>0</v>
      </c>
      <c r="E175" s="480">
        <f>+'[36]Sch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'[36]Sch C'!D182</f>
        <v>0</v>
      </c>
      <c r="D176" s="480">
        <f>'[36]Sch C'!F182</f>
        <v>0</v>
      </c>
      <c r="E176" s="480">
        <f>+'[36]Sch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'[36]Sch C'!D183</f>
        <v>0</v>
      </c>
      <c r="D177" s="480">
        <f>'[36]Sch C'!F183</f>
        <v>0</v>
      </c>
      <c r="E177" s="480">
        <f>+'[36]Sch C'!H183</f>
        <v>0</v>
      </c>
      <c r="F177" s="166">
        <f t="shared" si="58"/>
        <v>0</v>
      </c>
      <c r="G177" s="626"/>
      <c r="H177" s="607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'[36]Sch C'!D184</f>
        <v>0</v>
      </c>
      <c r="D178" s="480">
        <f>'[36]Sch C'!F184</f>
        <v>0</v>
      </c>
      <c r="E178" s="480">
        <f>+'[36]Sch C'!H184</f>
        <v>0</v>
      </c>
      <c r="F178" s="166">
        <f t="shared" si="58"/>
        <v>0</v>
      </c>
      <c r="G178" s="626"/>
      <c r="H178" s="607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'[36]Sch C'!D185</f>
        <v>0</v>
      </c>
      <c r="D179" s="480">
        <f>'[36]Sch C'!F185</f>
        <v>0</v>
      </c>
      <c r="E179" s="480">
        <f>+'[36]Sch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'[36]Sch C'!D186</f>
        <v>0</v>
      </c>
      <c r="D180" s="480">
        <f>'[36]Sch C'!F186</f>
        <v>0</v>
      </c>
      <c r="E180" s="480">
        <f>+'[36]Sch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'[36]Sch C'!D187</f>
        <v>0</v>
      </c>
      <c r="D181" s="480">
        <f>'[36]Sch C'!F187</f>
        <v>0</v>
      </c>
      <c r="E181" s="480">
        <f>+'[36]Sch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'[36]Sch C'!D188</f>
        <v>0</v>
      </c>
      <c r="D182" s="480">
        <f>'[36]Sch C'!F188</f>
        <v>0</v>
      </c>
      <c r="E182" s="480">
        <f>+'[36]Sch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'[36]Sch C'!D189</f>
        <v>0</v>
      </c>
      <c r="D183" s="480">
        <f>'[36]Sch C'!F189</f>
        <v>0</v>
      </c>
      <c r="E183" s="480">
        <f>+'[36]Sch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'[36]Sch C'!D190</f>
        <v>0</v>
      </c>
      <c r="D184" s="480">
        <f>'[36]Sch C'!F190</f>
        <v>0</v>
      </c>
      <c r="E184" s="480">
        <f>+'[36]Sch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'[36]Sch C'!D191</f>
        <v>0</v>
      </c>
      <c r="D185" s="480">
        <f>'[36]Sch C'!F191</f>
        <v>0</v>
      </c>
      <c r="E185" s="480">
        <f>+'[36]Sch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'[36]Sch C'!D192</f>
        <v>0</v>
      </c>
      <c r="D186" s="480">
        <f>'[36]Sch C'!F192</f>
        <v>0</v>
      </c>
      <c r="E186" s="480">
        <f>+'[36]Sch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'[36]Sch C'!D193</f>
        <v>0</v>
      </c>
      <c r="D187" s="480">
        <f>'[36]Sch C'!F193</f>
        <v>0</v>
      </c>
      <c r="E187" s="480">
        <f>+'[36]Sch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'[36]Sch C'!D194</f>
        <v>83032</v>
      </c>
      <c r="D188" s="480">
        <f>'[36]Sch C'!F194</f>
        <v>0</v>
      </c>
      <c r="E188" s="480">
        <f>+'[36]Sch C'!H194</f>
        <v>0</v>
      </c>
      <c r="F188" s="166">
        <f t="shared" si="58"/>
        <v>83032</v>
      </c>
      <c r="G188" s="626"/>
      <c r="H188" s="607"/>
      <c r="I188" s="166">
        <f t="shared" si="59"/>
        <v>83032</v>
      </c>
      <c r="J188" s="167">
        <f t="shared" si="60"/>
        <v>2.8371721766323514E-2</v>
      </c>
      <c r="K188" s="458"/>
      <c r="L188" s="213"/>
      <c r="M188" s="208"/>
      <c r="O188" s="329">
        <f t="shared" si="61"/>
        <v>6.1332545427685039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'[36]Sch C'!D195</f>
        <v>38723</v>
      </c>
      <c r="D189" s="480">
        <f>'[36]Sch C'!F195</f>
        <v>0</v>
      </c>
      <c r="E189" s="480">
        <f>+'[36]Sch C'!H195</f>
        <v>0</v>
      </c>
      <c r="F189" s="166">
        <f t="shared" si="58"/>
        <v>38723</v>
      </c>
      <c r="G189" s="626"/>
      <c r="H189" s="607"/>
      <c r="I189" s="166">
        <f t="shared" si="59"/>
        <v>38723</v>
      </c>
      <c r="J189" s="167">
        <f t="shared" si="60"/>
        <v>1.3231503299418843E-2</v>
      </c>
      <c r="K189" s="458"/>
      <c r="L189" s="213"/>
      <c r="M189" s="208"/>
      <c r="O189" s="329">
        <f t="shared" si="61"/>
        <v>2.8603191017875611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'[36]Sch C'!D196</f>
        <v>0</v>
      </c>
      <c r="D190" s="480">
        <f>'[36]Sch C'!F196</f>
        <v>0</v>
      </c>
      <c r="E190" s="480">
        <f>+'[36]Sch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'[36]Sch C'!D197</f>
        <v>78919</v>
      </c>
      <c r="D191" s="480">
        <f>'[36]Sch C'!F197</f>
        <v>0</v>
      </c>
      <c r="E191" s="480">
        <f>+'[36]Sch C'!H197</f>
        <v>0</v>
      </c>
      <c r="F191" s="166">
        <f t="shared" si="58"/>
        <v>78919</v>
      </c>
      <c r="G191" s="626"/>
      <c r="H191" s="607"/>
      <c r="I191" s="166">
        <f t="shared" si="59"/>
        <v>78919</v>
      </c>
      <c r="J191" s="167">
        <f t="shared" si="60"/>
        <v>2.6966325152669876E-2</v>
      </c>
      <c r="K191" s="458"/>
      <c r="L191" s="213"/>
      <c r="M191" s="208"/>
      <c r="O191" s="329">
        <f t="shared" si="61"/>
        <v>5.8294430491948592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'[36]Sch C'!D198</f>
        <v>7744</v>
      </c>
      <c r="D192" s="480">
        <f>'[36]Sch C'!F198</f>
        <v>0</v>
      </c>
      <c r="E192" s="480">
        <f>+'[36]Sch C'!H198</f>
        <v>0</v>
      </c>
      <c r="F192" s="166">
        <f t="shared" si="58"/>
        <v>7744</v>
      </c>
      <c r="G192" s="626"/>
      <c r="H192" s="607"/>
      <c r="I192" s="166">
        <f t="shared" si="59"/>
        <v>7744</v>
      </c>
      <c r="J192" s="167">
        <f t="shared" si="60"/>
        <v>2.6460956421429003E-3</v>
      </c>
      <c r="K192" s="458"/>
      <c r="L192" s="213"/>
      <c r="M192" s="208"/>
      <c r="O192" s="329">
        <f t="shared" si="61"/>
        <v>0.57201950066479534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'[36]Sch C'!D199</f>
        <v>0</v>
      </c>
      <c r="D193" s="480">
        <f>'[36]Sch C'!F199</f>
        <v>0</v>
      </c>
      <c r="E193" s="480">
        <f>+'[36]Sch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'[36]Sch C'!D200</f>
        <v>0</v>
      </c>
      <c r="D194" s="480">
        <f>'[36]Sch C'!F200</f>
        <v>0</v>
      </c>
      <c r="E194" s="480">
        <f>+'[36]Sch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'[36]Sch C'!D201</f>
        <v>0</v>
      </c>
      <c r="D195" s="480">
        <f>'[36]Sch C'!F201</f>
        <v>0</v>
      </c>
      <c r="E195" s="480">
        <f>+'[36]Sch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'[36]Sch C'!D202</f>
        <v>0</v>
      </c>
      <c r="D196" s="480">
        <f>'[36]Sch C'!F202</f>
        <v>0</v>
      </c>
      <c r="E196" s="480">
        <f>+'[36]Sch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'[36]Sch C'!D203</f>
        <v>0</v>
      </c>
      <c r="D197" s="480">
        <f>'[36]Sch C'!F203</f>
        <v>0</v>
      </c>
      <c r="E197" s="480">
        <f>+'[36]Sch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'[36]Sch C'!D204</f>
        <v>0</v>
      </c>
      <c r="D198" s="480">
        <f>'[36]Sch C'!F204</f>
        <v>0</v>
      </c>
      <c r="E198" s="480">
        <f>+'[36]Sch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'[36]Sch C'!D205</f>
        <v>57376</v>
      </c>
      <c r="D199" s="480">
        <f>'[36]Sch C'!F205</f>
        <v>0</v>
      </c>
      <c r="E199" s="480">
        <f>+'[36]Sch C'!H205</f>
        <v>0</v>
      </c>
      <c r="F199" s="166">
        <f t="shared" si="58"/>
        <v>57376</v>
      </c>
      <c r="G199" s="626"/>
      <c r="H199" s="607"/>
      <c r="I199" s="166">
        <f t="shared" si="59"/>
        <v>57376</v>
      </c>
      <c r="J199" s="167">
        <f t="shared" si="60"/>
        <v>1.9605163166786031E-2</v>
      </c>
      <c r="K199" s="458"/>
      <c r="L199" s="213"/>
      <c r="M199" s="208"/>
      <c r="O199" s="329">
        <f t="shared" si="61"/>
        <v>4.2381444821982566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'[36]Sch C'!D206</f>
        <v>89</v>
      </c>
      <c r="D200" s="480">
        <f>'[36]Sch C'!F206</f>
        <v>0</v>
      </c>
      <c r="E200" s="480">
        <f>+'[36]Sch C'!H206</f>
        <v>0</v>
      </c>
      <c r="F200" s="166">
        <f t="shared" si="58"/>
        <v>89</v>
      </c>
      <c r="G200" s="626"/>
      <c r="H200" s="607"/>
      <c r="I200" s="166">
        <f t="shared" si="59"/>
        <v>89</v>
      </c>
      <c r="J200" s="167">
        <f t="shared" si="60"/>
        <v>3.0410964895495625E-5</v>
      </c>
      <c r="K200" s="458"/>
      <c r="L200" s="213"/>
      <c r="M200" s="208"/>
      <c r="O200" s="329">
        <f t="shared" si="61"/>
        <v>6.574087752991579E-3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'[36]Sch C'!D207</f>
        <v>0</v>
      </c>
      <c r="D201" s="480">
        <f>'[36]Sch C'!F207</f>
        <v>0</v>
      </c>
      <c r="E201" s="480">
        <f>+'[36]Sch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265883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265883</v>
      </c>
      <c r="G202" s="166">
        <f t="shared" si="63"/>
        <v>0</v>
      </c>
      <c r="H202" s="166">
        <f t="shared" si="63"/>
        <v>0</v>
      </c>
      <c r="I202" s="166">
        <f t="shared" si="63"/>
        <v>265883</v>
      </c>
      <c r="J202" s="167">
        <f>IF($I$213=0,0,I202/$I$213)</f>
        <v>9.0851219992236665E-2</v>
      </c>
      <c r="K202" s="458"/>
      <c r="L202" s="163"/>
      <c r="M202" s="163"/>
      <c r="O202" s="329">
        <f>I202/I$233</f>
        <v>19.639754764366966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'[36]Sch C'!D211</f>
        <v>95454</v>
      </c>
      <c r="D205" s="480">
        <f>'[36]Sch C'!F211</f>
        <v>0</v>
      </c>
      <c r="E205" s="480">
        <f>+'[36]Sch C'!H211</f>
        <v>0</v>
      </c>
      <c r="F205" s="166">
        <f t="shared" ref="F205:F210" si="64">C205+D205+E205</f>
        <v>95454</v>
      </c>
      <c r="G205" s="626"/>
      <c r="H205" s="607"/>
      <c r="I205" s="166">
        <f t="shared" ref="I205:I210" si="65">F205+G205+H205</f>
        <v>95454</v>
      </c>
      <c r="J205" s="167">
        <f t="shared" ref="J205:J211" si="66">IF($I$213=0,0,I205/$I$213)</f>
        <v>3.2616272394771224E-2</v>
      </c>
      <c r="K205" s="458"/>
      <c r="L205" s="176">
        <v>6241</v>
      </c>
      <c r="M205" s="176">
        <v>6681</v>
      </c>
      <c r="O205" s="329">
        <f t="shared" ref="O205:O210" si="67">I205/I$233</f>
        <v>7.0508199143152606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'[36]Sch C'!D212</f>
        <v>11576</v>
      </c>
      <c r="D206" s="480">
        <f>'[36]Sch C'!F212</f>
        <v>0</v>
      </c>
      <c r="E206" s="480">
        <f>+'[36]Sch C'!H212</f>
        <v>0</v>
      </c>
      <c r="F206" s="166">
        <f t="shared" si="64"/>
        <v>11576</v>
      </c>
      <c r="G206" s="626"/>
      <c r="H206" s="607"/>
      <c r="I206" s="166">
        <f t="shared" si="65"/>
        <v>11576</v>
      </c>
      <c r="J206" s="167">
        <f t="shared" si="66"/>
        <v>3.9554756138231164E-3</v>
      </c>
      <c r="K206" s="458"/>
      <c r="L206" s="163"/>
      <c r="M206" s="163"/>
      <c r="O206" s="329">
        <f t="shared" si="67"/>
        <v>0.85507460481607322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'[36]Sch C'!D213</f>
        <v>10188</v>
      </c>
      <c r="D207" s="480">
        <f>'[36]Sch C'!F213</f>
        <v>0</v>
      </c>
      <c r="E207" s="480">
        <f>+'[36]Sch C'!H213</f>
        <v>0</v>
      </c>
      <c r="F207" s="166">
        <f t="shared" si="64"/>
        <v>10188</v>
      </c>
      <c r="G207" s="626"/>
      <c r="H207" s="607"/>
      <c r="I207" s="166">
        <f t="shared" si="65"/>
        <v>10188</v>
      </c>
      <c r="J207" s="167">
        <f t="shared" si="66"/>
        <v>3.4812012399472966E-3</v>
      </c>
      <c r="K207" s="458"/>
      <c r="L207" s="163"/>
      <c r="M207" s="163"/>
      <c r="O207" s="329">
        <f t="shared" si="67"/>
        <v>0.75254838233121579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'[36]Sch C'!D214</f>
        <v>3845</v>
      </c>
      <c r="D208" s="480">
        <f>'[36]Sch C'!F214</f>
        <v>0</v>
      </c>
      <c r="E208" s="480">
        <f>+'[36]Sch C'!H214</f>
        <v>0</v>
      </c>
      <c r="F208" s="166">
        <f t="shared" si="64"/>
        <v>3845</v>
      </c>
      <c r="G208" s="626"/>
      <c r="H208" s="607"/>
      <c r="I208" s="166">
        <f t="shared" si="65"/>
        <v>3845</v>
      </c>
      <c r="J208" s="167">
        <f t="shared" si="66"/>
        <v>1.3138220227323671E-3</v>
      </c>
      <c r="K208" s="458"/>
      <c r="L208" s="163"/>
      <c r="M208" s="163"/>
      <c r="O208" s="329">
        <f t="shared" si="67"/>
        <v>0.28401536416014184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'[36]Sch C'!D215</f>
        <v>0</v>
      </c>
      <c r="D209" s="480">
        <f>'[36]Sch C'!F215</f>
        <v>0</v>
      </c>
      <c r="E209" s="480">
        <f>+'[36]Sch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'[36]Sch C'!D216</f>
        <v>0</v>
      </c>
      <c r="D210" s="480">
        <f>'[36]Sch C'!F216</f>
        <v>0</v>
      </c>
      <c r="E210" s="480">
        <f>+'[36]Sch C'!H216</f>
        <v>0</v>
      </c>
      <c r="F210" s="166">
        <f t="shared" si="64"/>
        <v>0</v>
      </c>
      <c r="G210" s="626"/>
      <c r="H210" s="607"/>
      <c r="I210" s="166">
        <f t="shared" si="65"/>
        <v>0</v>
      </c>
      <c r="J210" s="167">
        <f t="shared" si="66"/>
        <v>0</v>
      </c>
      <c r="K210" s="458"/>
      <c r="L210" s="163"/>
      <c r="M210" s="163"/>
      <c r="O210" s="329">
        <f t="shared" si="67"/>
        <v>0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121063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121063</v>
      </c>
      <c r="G211" s="166">
        <f t="shared" si="69"/>
        <v>0</v>
      </c>
      <c r="H211" s="166">
        <f t="shared" si="69"/>
        <v>0</v>
      </c>
      <c r="I211" s="166">
        <f t="shared" si="69"/>
        <v>121063</v>
      </c>
      <c r="J211" s="167">
        <f t="shared" si="66"/>
        <v>4.1366771271274007E-2</v>
      </c>
      <c r="K211" s="458"/>
      <c r="L211" s="163"/>
      <c r="M211" s="163"/>
      <c r="O211" s="329">
        <f>I211/I$233</f>
        <v>8.9424582656226921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4419825</v>
      </c>
      <c r="D213" s="480">
        <f t="shared" si="70"/>
        <v>-219665</v>
      </c>
      <c r="E213" s="480">
        <f t="shared" si="70"/>
        <v>-1261746</v>
      </c>
      <c r="F213" s="166">
        <f t="shared" ref="F213:I213" si="71">SUM(F30:F211)/2</f>
        <v>2938414</v>
      </c>
      <c r="G213" s="166">
        <f t="shared" si="71"/>
        <v>0</v>
      </c>
      <c r="H213" s="166">
        <f t="shared" si="71"/>
        <v>-11838</v>
      </c>
      <c r="I213" s="166">
        <f t="shared" si="71"/>
        <v>2926576</v>
      </c>
      <c r="J213" s="167">
        <f>IF($I$213=0,0,I213/$I$213)</f>
        <v>1</v>
      </c>
      <c r="K213" s="458"/>
      <c r="L213" s="176">
        <f>SUM(L30:L205)</f>
        <v>85552</v>
      </c>
      <c r="M213" s="176">
        <f>SUM(M30:M205)</f>
        <v>89669</v>
      </c>
      <c r="O213" s="329">
        <f>I213/I$233</f>
        <v>216.17491505392229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'[36]Sch C'!D221</f>
        <v>4419825</v>
      </c>
      <c r="D216" s="188"/>
      <c r="E216" s="188"/>
      <c r="F216" s="160"/>
      <c r="G216" s="160"/>
      <c r="H216" s="40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09"/>
      <c r="I217"/>
      <c r="K217" s="460"/>
      <c r="L217" s="163"/>
      <c r="M217" s="163"/>
    </row>
    <row r="218" spans="1:16" s="162" customFormat="1" ht="15">
      <c r="A218" s="158"/>
      <c r="B218" s="220"/>
      <c r="C218" s="548"/>
      <c r="D218" s="221"/>
      <c r="E218" s="221"/>
      <c r="F218" s="221"/>
      <c r="G218" s="221"/>
      <c r="H218" s="409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302843</v>
      </c>
      <c r="D220" s="480">
        <f t="shared" si="72"/>
        <v>219665</v>
      </c>
      <c r="E220" s="480">
        <f t="shared" si="72"/>
        <v>1261746</v>
      </c>
      <c r="F220" s="166">
        <f t="shared" ref="F220:I220" si="73">F26-F213</f>
        <v>1784254</v>
      </c>
      <c r="G220" s="166">
        <f t="shared" si="73"/>
        <v>-33793</v>
      </c>
      <c r="H220" s="166">
        <f t="shared" si="73"/>
        <v>11838</v>
      </c>
      <c r="I220" s="166">
        <f t="shared" si="73"/>
        <v>1762299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'[36]Sch D'!C9</f>
        <v>11432</v>
      </c>
      <c r="D224" s="480"/>
      <c r="E224" s="480"/>
      <c r="F224" s="224">
        <f>C224+D224+E224</f>
        <v>11432</v>
      </c>
      <c r="G224" s="627"/>
      <c r="H224" s="223"/>
      <c r="I224" s="224">
        <f>F224+G224+H224</f>
        <v>11432</v>
      </c>
      <c r="J224" s="167">
        <f t="shared" ref="J224:J233" si="74">IF($I$233=0,0,I224/$I$233)</f>
        <v>0.84443787856404195</v>
      </c>
      <c r="K224" s="458"/>
      <c r="L224" s="163"/>
      <c r="M224" s="163"/>
    </row>
    <row r="225" spans="1:13">
      <c r="A225" s="158"/>
      <c r="B225" s="165" t="s">
        <v>201</v>
      </c>
      <c r="C225" s="504">
        <f>'[36]Sch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'[36]Sch D'!E9</f>
        <v>1061</v>
      </c>
      <c r="D226" s="480"/>
      <c r="E226" s="480"/>
      <c r="F226" s="224">
        <f t="shared" si="75"/>
        <v>1061</v>
      </c>
      <c r="G226" s="627"/>
      <c r="H226" s="223"/>
      <c r="I226" s="224">
        <f t="shared" si="76"/>
        <v>1061</v>
      </c>
      <c r="J226" s="167">
        <f t="shared" si="74"/>
        <v>7.8371989954202984E-2</v>
      </c>
      <c r="K226" s="458"/>
      <c r="L226" s="163"/>
      <c r="M226" s="163"/>
    </row>
    <row r="227" spans="1:13">
      <c r="A227" s="158"/>
      <c r="B227" s="194" t="s">
        <v>315</v>
      </c>
      <c r="C227" s="504">
        <f>'[36]Sch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'[36]Sch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'[36]Sch D'!H9</f>
        <v>545</v>
      </c>
      <c r="D229" s="480"/>
      <c r="E229" s="480"/>
      <c r="F229" s="224">
        <f t="shared" si="75"/>
        <v>545</v>
      </c>
      <c r="G229" s="627"/>
      <c r="H229" s="223"/>
      <c r="I229" s="224">
        <f t="shared" si="76"/>
        <v>545</v>
      </c>
      <c r="J229" s="167">
        <f t="shared" si="74"/>
        <v>4.0257054217757424E-2</v>
      </c>
      <c r="K229" s="458"/>
      <c r="L229" s="163"/>
      <c r="M229" s="163"/>
    </row>
    <row r="230" spans="1:13">
      <c r="A230" s="158"/>
      <c r="B230" s="165" t="s">
        <v>219</v>
      </c>
      <c r="C230" s="504">
        <f>'[36]Sch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'[36]Sch D'!J9</f>
        <v>500</v>
      </c>
      <c r="D231" s="480"/>
      <c r="E231" s="480"/>
      <c r="F231" s="224">
        <f t="shared" si="75"/>
        <v>500</v>
      </c>
      <c r="G231" s="627"/>
      <c r="H231" s="223"/>
      <c r="I231" s="224">
        <f t="shared" si="76"/>
        <v>500</v>
      </c>
      <c r="J231" s="167">
        <f>IF($I$233=0,0,I231/$I$233)</f>
        <v>3.6933077263997638E-2</v>
      </c>
      <c r="K231" s="458"/>
      <c r="L231" s="163"/>
      <c r="M231" s="163"/>
    </row>
    <row r="232" spans="1:13">
      <c r="A232" s="158"/>
      <c r="B232" s="165" t="s">
        <v>170</v>
      </c>
      <c r="C232" s="504">
        <f>'[36]Sch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13538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13538</v>
      </c>
      <c r="G233" s="226">
        <f t="shared" si="78"/>
        <v>0</v>
      </c>
      <c r="H233" s="226">
        <f t="shared" si="78"/>
        <v>0</v>
      </c>
      <c r="I233" s="226">
        <f t="shared" si="78"/>
        <v>13538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'[36]Sch D'!N22</f>
        <v>41</v>
      </c>
      <c r="D236" s="480"/>
      <c r="E236" s="480"/>
      <c r="F236" s="224">
        <f>C236+E236</f>
        <v>41</v>
      </c>
      <c r="G236" s="627"/>
      <c r="H236" s="224"/>
      <c r="I236" s="224">
        <f>F236+G236+H236</f>
        <v>41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'[36]Sch D'!N24</f>
        <v>41</v>
      </c>
      <c r="D237" s="480"/>
      <c r="E237" s="480"/>
      <c r="F237" s="224">
        <f>C237+E237</f>
        <v>41</v>
      </c>
      <c r="G237" s="627"/>
      <c r="H237" s="224"/>
      <c r="I237" s="224">
        <f>F237+G237+H237</f>
        <v>41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'[36]Sch D'!N28</f>
        <v>14965</v>
      </c>
      <c r="D240" s="427"/>
      <c r="E240" s="427"/>
      <c r="F240" s="223">
        <f>F236*F238</f>
        <v>14965</v>
      </c>
      <c r="G240"/>
      <c r="H240" s="228"/>
      <c r="I240" s="223">
        <f>I236*I238</f>
        <v>14965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'[36]Sch D'!N30</f>
        <v>0.90464416972936856</v>
      </c>
      <c r="D241" s="228"/>
      <c r="E241" s="228"/>
      <c r="F241" s="232">
        <f>F233/F240</f>
        <v>0.90464416972936856</v>
      </c>
      <c r="G241"/>
      <c r="H241" s="233"/>
      <c r="I241" s="232">
        <f>I233/I240</f>
        <v>0.90464416972936856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'[36]Sch D'!N32</f>
        <v>0.76391580354159705</v>
      </c>
      <c r="D242" s="228"/>
      <c r="E242" s="228"/>
      <c r="F242" s="232">
        <f>(F224+F225)/F240</f>
        <v>0.76391580354159705</v>
      </c>
      <c r="G242"/>
      <c r="H242" s="233"/>
      <c r="I242" s="232">
        <f>(I224+I225)/I240</f>
        <v>0.76391580354159705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'[36]Sch D'!N34</f>
        <v>0.84443787856404195</v>
      </c>
      <c r="D243" s="228"/>
      <c r="E243" s="228"/>
      <c r="F243" s="232">
        <f>(F242/F241)</f>
        <v>0.84443787856404195</v>
      </c>
      <c r="G243"/>
      <c r="H243" s="233"/>
      <c r="I243" s="232">
        <f>(I242/I241)</f>
        <v>0.84443787856404195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 ht="15.5">
      <c r="B246" s="145" t="s">
        <v>320</v>
      </c>
      <c r="F246"/>
      <c r="G246"/>
      <c r="H246" s="140" t="s">
        <v>321</v>
      </c>
      <c r="I246" s="480">
        <f>'[36]Sch B'!C90</f>
        <v>195.28256880733946</v>
      </c>
      <c r="K246" s="460"/>
    </row>
    <row r="247" spans="1:13" ht="15.5">
      <c r="F247"/>
      <c r="G247"/>
      <c r="H247" s="140" t="s">
        <v>322</v>
      </c>
      <c r="I247" s="480">
        <f>'[36]Sch B'!E90</f>
        <v>195.28256880733946</v>
      </c>
      <c r="K247" s="460"/>
    </row>
    <row r="248" spans="1:13" ht="15.5">
      <c r="E248"/>
      <c r="F248"/>
      <c r="G248"/>
      <c r="H248" s="140" t="s">
        <v>323</v>
      </c>
      <c r="I248" s="480">
        <f>'[36]Sch B'!G90</f>
        <v>195.28256880733946</v>
      </c>
      <c r="K248" s="460"/>
    </row>
    <row r="249" spans="1:13" ht="15.5">
      <c r="E249"/>
      <c r="F249"/>
      <c r="G249"/>
      <c r="H249" s="140" t="s">
        <v>324</v>
      </c>
      <c r="I249" s="480">
        <f>'[36]Sch B'!I90</f>
        <v>195.28256880733943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rgb="FFE28CAB"/>
  </sheetPr>
  <dimension ref="A1:Q277"/>
  <sheetViews>
    <sheetView showGridLines="0" topLeftCell="A3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339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'[37]Sch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'[37]Sch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'[38]Sch B'!E10</f>
        <v>4203613.3600000003</v>
      </c>
      <c r="D12" s="480">
        <f>'[38]Sch B'!G10</f>
        <v>0</v>
      </c>
      <c r="E12" s="480"/>
      <c r="F12" s="166">
        <f>C12+D12+E12</f>
        <v>4203613.3600000003</v>
      </c>
      <c r="G12" s="626"/>
      <c r="H12" s="166"/>
      <c r="I12" s="166">
        <f>F12+G12+H12</f>
        <v>4203613.3600000003</v>
      </c>
      <c r="J12" s="167">
        <f>IF($I$26=0,0,I12/$I$26)</f>
        <v>0.6002228765129588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'[38]Sch B'!E12</f>
        <v>0</v>
      </c>
      <c r="D13" s="480">
        <f>'[38]Sch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'[38]Sch B'!E13</f>
        <v>0</v>
      </c>
      <c r="D14" s="480">
        <f>'[38]Sch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'[38]Sch B'!E14</f>
        <v>0</v>
      </c>
      <c r="D15" s="480">
        <f>'[38]Sch B'!G14</f>
        <v>0</v>
      </c>
      <c r="E15" s="480"/>
      <c r="F15" s="166">
        <f t="shared" si="0"/>
        <v>0</v>
      </c>
      <c r="G15" s="626">
        <v>75201.56</v>
      </c>
      <c r="H15" s="166"/>
      <c r="I15" s="166">
        <f t="shared" si="1"/>
        <v>75201.56</v>
      </c>
      <c r="J15" s="167">
        <f>IF($I$26=0,0,I15/$I$26)</f>
        <v>1.0737832620615197E-2</v>
      </c>
      <c r="K15" s="162" t="s">
        <v>637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'[38]Sch B'!E15</f>
        <v>4203613.3600000003</v>
      </c>
      <c r="D16" s="480">
        <f>'[38]Sch B'!G15</f>
        <v>0</v>
      </c>
      <c r="E16" s="480"/>
      <c r="F16" s="166">
        <f t="shared" si="0"/>
        <v>4203613.3600000003</v>
      </c>
      <c r="G16" s="626"/>
      <c r="H16" s="166"/>
      <c r="I16" s="166">
        <f>SUM(I12:I15)</f>
        <v>4278814.92</v>
      </c>
      <c r="J16" s="167">
        <f t="shared" ref="J16:J26" si="2">IF($I$26=0,0,I16/$I$26)</f>
        <v>0.61096070913357392</v>
      </c>
      <c r="K16" s="458"/>
      <c r="L16" s="333" t="s">
        <v>325</v>
      </c>
      <c r="M16" s="334">
        <f>I26</f>
        <v>7003420.7699999996</v>
      </c>
      <c r="O16" s="324">
        <f>IFERROR(I16/I224,0)</f>
        <v>216.5501756161749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'[38]Sch B'!E20</f>
        <v>384712.46</v>
      </c>
      <c r="D17" s="480">
        <f>'[38]Sch B'!G20</f>
        <v>0</v>
      </c>
      <c r="E17" s="480"/>
      <c r="F17" s="166">
        <f t="shared" si="0"/>
        <v>384712.46</v>
      </c>
      <c r="G17" s="626"/>
      <c r="H17" s="166"/>
      <c r="I17" s="166">
        <f t="shared" si="1"/>
        <v>384712.46</v>
      </c>
      <c r="J17" s="167">
        <f t="shared" si="2"/>
        <v>5.4932078570512625E-2</v>
      </c>
      <c r="K17" s="458"/>
      <c r="L17" s="335" t="s">
        <v>326</v>
      </c>
      <c r="M17" s="336">
        <f>I213</f>
        <v>6458495.339999998</v>
      </c>
      <c r="O17" s="324">
        <f t="shared" ref="O17:O24" si="3">IFERROR(I17/I225,0)</f>
        <v>209.53837690631809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'[38]Sch B'!E26</f>
        <v>690337.6</v>
      </c>
      <c r="D18" s="480">
        <f>'[38]Sch B'!G26</f>
        <v>0</v>
      </c>
      <c r="E18" s="480"/>
      <c r="F18" s="166">
        <f t="shared" si="0"/>
        <v>690337.6</v>
      </c>
      <c r="G18" s="626"/>
      <c r="H18" s="166"/>
      <c r="I18" s="166">
        <f t="shared" si="1"/>
        <v>690337.6</v>
      </c>
      <c r="J18" s="167">
        <f t="shared" si="2"/>
        <v>9.8571487087730697E-2</v>
      </c>
      <c r="K18" s="458"/>
      <c r="L18" s="335" t="s">
        <v>327</v>
      </c>
      <c r="M18" s="336">
        <f>I233</f>
        <v>29152</v>
      </c>
      <c r="O18" s="324">
        <f t="shared" si="3"/>
        <v>1198.5027777777777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'[38]Sch B'!E32</f>
        <v>0</v>
      </c>
      <c r="D19" s="480">
        <f>'[38]Sch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82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'[38]Sch B'!E37</f>
        <v>1303295.8999999999</v>
      </c>
      <c r="D20" s="480">
        <f>'[38]Sch B'!G37</f>
        <v>0</v>
      </c>
      <c r="E20" s="480"/>
      <c r="F20" s="166">
        <f t="shared" si="0"/>
        <v>1303295.8999999999</v>
      </c>
      <c r="G20" s="626"/>
      <c r="H20" s="166"/>
      <c r="I20" s="166">
        <f t="shared" si="1"/>
        <v>1303295.8999999999</v>
      </c>
      <c r="J20" s="167">
        <f t="shared" si="2"/>
        <v>0.18609418779788667</v>
      </c>
      <c r="K20" s="458"/>
      <c r="L20" s="335" t="s">
        <v>329</v>
      </c>
      <c r="M20" s="336">
        <f>I240</f>
        <v>29930</v>
      </c>
      <c r="O20" s="324">
        <f t="shared" si="3"/>
        <v>239.48840499816242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'[38]Sch B'!E42</f>
        <v>244615.91</v>
      </c>
      <c r="D21" s="480">
        <f>'[38]Sch B'!G42</f>
        <v>0</v>
      </c>
      <c r="E21" s="480"/>
      <c r="F21" s="166">
        <f t="shared" si="0"/>
        <v>244615.91</v>
      </c>
      <c r="G21" s="626"/>
      <c r="H21" s="166"/>
      <c r="I21" s="166">
        <f t="shared" si="1"/>
        <v>244615.91</v>
      </c>
      <c r="J21" s="167">
        <f t="shared" si="2"/>
        <v>3.4928061305104195E-2</v>
      </c>
      <c r="K21" s="458"/>
      <c r="L21" s="337"/>
      <c r="M21" s="336"/>
      <c r="O21" s="324">
        <f t="shared" si="3"/>
        <v>244.86077077077078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'[38]Sch B'!E47</f>
        <v>115098.15</v>
      </c>
      <c r="D22" s="480">
        <f>'[38]Sch B'!G47</f>
        <v>0</v>
      </c>
      <c r="E22" s="480"/>
      <c r="F22" s="166">
        <f t="shared" si="0"/>
        <v>115098.15</v>
      </c>
      <c r="G22" s="626"/>
      <c r="H22" s="166"/>
      <c r="I22" s="166">
        <f t="shared" si="1"/>
        <v>115098.15</v>
      </c>
      <c r="J22" s="167">
        <f t="shared" si="2"/>
        <v>1.6434561592106083E-2</v>
      </c>
      <c r="K22" s="458"/>
      <c r="L22" s="335" t="s">
        <v>148</v>
      </c>
      <c r="M22" s="336">
        <f>L213</f>
        <v>171123.24</v>
      </c>
      <c r="O22" s="324">
        <f t="shared" si="3"/>
        <v>213.14472222222221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'[38]Sch B'!E52</f>
        <v>0</v>
      </c>
      <c r="D23" s="480">
        <f>'[38]Sch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188411.24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'[38]Sch B'!E57</f>
        <v>-15032</v>
      </c>
      <c r="D24" s="480">
        <f>'[38]Sch B'!G57</f>
        <v>0</v>
      </c>
      <c r="E24" s="480"/>
      <c r="F24" s="166">
        <f t="shared" si="0"/>
        <v>-15032</v>
      </c>
      <c r="G24" s="626"/>
      <c r="H24" s="166"/>
      <c r="I24" s="166">
        <f t="shared" si="1"/>
        <v>-15032</v>
      </c>
      <c r="J24" s="167">
        <f t="shared" si="2"/>
        <v>-2.1463796755424708E-3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'[38]Sch B'!E72</f>
        <v>76779.39</v>
      </c>
      <c r="D25" s="480">
        <f>'[38]Sch B'!G72</f>
        <v>0</v>
      </c>
      <c r="E25" s="480"/>
      <c r="F25" s="166">
        <f t="shared" si="0"/>
        <v>76779.39</v>
      </c>
      <c r="G25" s="626">
        <v>-75201.56</v>
      </c>
      <c r="H25" s="166"/>
      <c r="I25" s="166">
        <f t="shared" si="1"/>
        <v>1577.8300000000017</v>
      </c>
      <c r="J25" s="167">
        <f t="shared" si="2"/>
        <v>2.2529418862833825E-4</v>
      </c>
      <c r="K25" s="162" t="s">
        <v>637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7003420.7700000005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7003420.7700000005</v>
      </c>
      <c r="G26" s="166">
        <f>SUM(G12:G25)</f>
        <v>0</v>
      </c>
      <c r="H26" s="166">
        <f>SUM(H12:H25)</f>
        <v>0</v>
      </c>
      <c r="I26" s="166">
        <f>SUM(I16:I25)</f>
        <v>7003420.7699999996</v>
      </c>
      <c r="J26" s="167">
        <f t="shared" si="2"/>
        <v>1</v>
      </c>
      <c r="K26" s="458"/>
      <c r="L26" s="163"/>
      <c r="M26" s="163"/>
      <c r="O26" s="324">
        <f>IFERROR(I26/I233,0)</f>
        <v>240.23808898188801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'[38]Sch C'!D10</f>
        <v>153967</v>
      </c>
      <c r="D30" s="480">
        <f>'[38]Sch C'!F10</f>
        <v>0</v>
      </c>
      <c r="E30" s="480">
        <f>+'[38]Sch C'!H10</f>
        <v>0</v>
      </c>
      <c r="F30" s="166">
        <f t="shared" ref="F30:F65" si="5">C30+D30+E30</f>
        <v>153967</v>
      </c>
      <c r="G30" s="626"/>
      <c r="H30" s="166"/>
      <c r="I30" s="166">
        <f t="shared" ref="I30:I65" si="6">F30+G30+H30</f>
        <v>153967</v>
      </c>
      <c r="J30" s="167">
        <f>IF($I$213=0,0,I30/$I$213)</f>
        <v>2.3839453602516658E-2</v>
      </c>
      <c r="K30" s="458"/>
      <c r="L30" s="176">
        <v>2608</v>
      </c>
      <c r="M30" s="176">
        <v>2889</v>
      </c>
      <c r="O30" s="324">
        <f>I30/I$233</f>
        <v>5.2815244237102084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'[38]Sch C'!D11</f>
        <v>0</v>
      </c>
      <c r="D31" s="480">
        <f>'[38]Sch C'!F11</f>
        <v>0</v>
      </c>
      <c r="E31" s="480">
        <f>+'[38]Sch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'[38]Sch C'!D12</f>
        <v>158866</v>
      </c>
      <c r="D32" s="480">
        <f>'[38]Sch C'!F12</f>
        <v>0</v>
      </c>
      <c r="E32" s="480">
        <f>+'[38]Sch C'!H12</f>
        <v>0</v>
      </c>
      <c r="F32" s="166">
        <f t="shared" si="5"/>
        <v>158866</v>
      </c>
      <c r="G32" s="626"/>
      <c r="H32" s="166"/>
      <c r="I32" s="166">
        <f t="shared" si="6"/>
        <v>158866</v>
      </c>
      <c r="J32" s="167">
        <f t="shared" si="7"/>
        <v>2.4597989413428927E-2</v>
      </c>
      <c r="K32" s="458"/>
      <c r="L32" s="176">
        <v>3840</v>
      </c>
      <c r="M32" s="176">
        <v>4552</v>
      </c>
      <c r="O32" s="324">
        <f t="shared" si="8"/>
        <v>5.4495746432491767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'[38]Sch C'!D13</f>
        <v>34723</v>
      </c>
      <c r="D33" s="480">
        <f>'[38]Sch C'!F13</f>
        <v>0</v>
      </c>
      <c r="E33" s="480">
        <f>+'[38]Sch C'!H13</f>
        <v>0</v>
      </c>
      <c r="F33" s="166">
        <f t="shared" si="5"/>
        <v>34723</v>
      </c>
      <c r="G33" s="626"/>
      <c r="H33" s="166"/>
      <c r="I33" s="166">
        <f t="shared" si="6"/>
        <v>34723</v>
      </c>
      <c r="J33" s="167">
        <f t="shared" si="7"/>
        <v>5.3763296514200178E-3</v>
      </c>
      <c r="K33" s="458"/>
      <c r="L33" s="163"/>
      <c r="M33" s="163"/>
      <c r="O33" s="324">
        <f t="shared" si="8"/>
        <v>1.1911018111964873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'[38]Sch C'!D14</f>
        <v>0</v>
      </c>
      <c r="D34" s="480">
        <f>'[38]Sch C'!F14</f>
        <v>0</v>
      </c>
      <c r="E34" s="480">
        <f>+'[38]Sch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'[38]Sch C'!D15</f>
        <v>0</v>
      </c>
      <c r="D35" s="480">
        <f>'[38]Sch C'!F15</f>
        <v>0</v>
      </c>
      <c r="E35" s="480">
        <f>+'[38]Sch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'[38]Sch C'!D16</f>
        <v>0</v>
      </c>
      <c r="D36" s="480">
        <f>'[38]Sch C'!F16</f>
        <v>0</v>
      </c>
      <c r="E36" s="480">
        <f>+'[38]Sch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'[38]Sch C'!D17</f>
        <v>8120</v>
      </c>
      <c r="D37" s="480">
        <f>'[38]Sch C'!F17</f>
        <v>0</v>
      </c>
      <c r="E37" s="480">
        <f>+'[38]Sch C'!H17</f>
        <v>0</v>
      </c>
      <c r="F37" s="166">
        <f t="shared" si="5"/>
        <v>8120</v>
      </c>
      <c r="G37" s="626"/>
      <c r="H37" s="166"/>
      <c r="I37" s="166">
        <f t="shared" si="6"/>
        <v>8120</v>
      </c>
      <c r="J37" s="167">
        <f t="shared" si="7"/>
        <v>1.25725878436571E-3</v>
      </c>
      <c r="K37" s="458"/>
      <c r="L37" s="163"/>
      <c r="M37" s="163"/>
      <c r="O37" s="324">
        <f t="shared" si="8"/>
        <v>0.27854006586169044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'[38]Sch C'!D18</f>
        <v>20154</v>
      </c>
      <c r="D38" s="480">
        <f>'[38]Sch C'!F18</f>
        <v>0</v>
      </c>
      <c r="E38" s="480">
        <f>+'[38]Sch C'!H18</f>
        <v>0</v>
      </c>
      <c r="F38" s="166">
        <f t="shared" si="5"/>
        <v>20154</v>
      </c>
      <c r="G38" s="626"/>
      <c r="H38" s="166"/>
      <c r="I38" s="166">
        <f t="shared" si="6"/>
        <v>20154</v>
      </c>
      <c r="J38" s="167">
        <f t="shared" si="7"/>
        <v>3.1205410763677976E-3</v>
      </c>
      <c r="K38" s="458"/>
      <c r="L38" s="163"/>
      <c r="M38" s="163"/>
      <c r="O38" s="324">
        <f t="shared" si="8"/>
        <v>0.69134193194291982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'[38]Sch C'!D19</f>
        <v>10327</v>
      </c>
      <c r="D39" s="480">
        <f>'[38]Sch C'!F19</f>
        <v>0</v>
      </c>
      <c r="E39" s="480">
        <f>+'[38]Sch C'!H19</f>
        <v>0</v>
      </c>
      <c r="F39" s="166">
        <f t="shared" si="5"/>
        <v>10327</v>
      </c>
      <c r="G39" s="626"/>
      <c r="H39" s="166"/>
      <c r="I39" s="166">
        <f t="shared" si="6"/>
        <v>10327</v>
      </c>
      <c r="J39" s="167">
        <f t="shared" si="7"/>
        <v>1.5989792445990994E-3</v>
      </c>
      <c r="K39" s="458"/>
      <c r="L39" s="163"/>
      <c r="M39" s="163"/>
      <c r="O39" s="324">
        <f t="shared" si="8"/>
        <v>0.35424670691547749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'[38]Sch C'!D20</f>
        <v>35528</v>
      </c>
      <c r="D40" s="480">
        <f>'[38]Sch C'!F20</f>
        <v>0</v>
      </c>
      <c r="E40" s="480">
        <f>+'[38]Sch C'!H20</f>
        <v>0</v>
      </c>
      <c r="F40" s="166">
        <f t="shared" si="5"/>
        <v>35528</v>
      </c>
      <c r="G40" s="626"/>
      <c r="H40" s="166"/>
      <c r="I40" s="166">
        <f t="shared" si="6"/>
        <v>35528</v>
      </c>
      <c r="J40" s="167">
        <f t="shared" si="7"/>
        <v>5.5009716860769638E-3</v>
      </c>
      <c r="K40" s="458"/>
      <c r="L40" s="163"/>
      <c r="M40" s="163"/>
      <c r="O40" s="324">
        <f t="shared" si="8"/>
        <v>1.2187156970362238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'[38]Sch C'!D21</f>
        <v>2024</v>
      </c>
      <c r="D41" s="480">
        <f>'[38]Sch C'!F21</f>
        <v>0</v>
      </c>
      <c r="E41" s="480">
        <f>+'[38]Sch C'!H21</f>
        <v>0</v>
      </c>
      <c r="F41" s="166">
        <f t="shared" si="5"/>
        <v>2024</v>
      </c>
      <c r="G41" s="626"/>
      <c r="H41" s="166"/>
      <c r="I41" s="166">
        <f t="shared" si="6"/>
        <v>2024</v>
      </c>
      <c r="J41" s="167">
        <f t="shared" si="7"/>
        <v>3.1338568713746266E-4</v>
      </c>
      <c r="K41" s="458"/>
      <c r="L41" s="163"/>
      <c r="M41" s="163"/>
      <c r="O41" s="324">
        <f t="shared" si="8"/>
        <v>6.9429198682766188E-2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'[38]Sch C'!D22</f>
        <v>0</v>
      </c>
      <c r="D42" s="480">
        <f>'[38]Sch C'!F22</f>
        <v>0</v>
      </c>
      <c r="E42" s="480">
        <f>+'[38]Sch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'[38]Sch C'!D23</f>
        <v>26171</v>
      </c>
      <c r="D43" s="480">
        <f>'[38]Sch C'!F23</f>
        <v>0</v>
      </c>
      <c r="E43" s="480">
        <f>+'[38]Sch C'!H23</f>
        <v>-18868.599999999999</v>
      </c>
      <c r="F43" s="166">
        <f t="shared" si="5"/>
        <v>7302.4000000000015</v>
      </c>
      <c r="G43" s="626"/>
      <c r="H43" s="166"/>
      <c r="I43" s="166">
        <f t="shared" si="6"/>
        <v>7302.4000000000015</v>
      </c>
      <c r="J43" s="167">
        <f t="shared" si="7"/>
        <v>1.1306658309054387E-3</v>
      </c>
      <c r="K43" s="458"/>
      <c r="L43" s="163"/>
      <c r="M43" s="163"/>
      <c r="O43" s="324">
        <f t="shared" si="8"/>
        <v>0.25049396267837548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'[38]Sch C'!D24</f>
        <v>21852</v>
      </c>
      <c r="D44" s="480">
        <f>'[38]Sch C'!F24</f>
        <v>0</v>
      </c>
      <c r="E44" s="480">
        <f>+'[38]Sch C'!H24</f>
        <v>0</v>
      </c>
      <c r="F44" s="166">
        <f t="shared" si="5"/>
        <v>21852</v>
      </c>
      <c r="G44" s="626"/>
      <c r="H44" s="166"/>
      <c r="I44" s="166">
        <f t="shared" si="6"/>
        <v>21852</v>
      </c>
      <c r="J44" s="167">
        <f t="shared" si="7"/>
        <v>3.3834506103398391E-3</v>
      </c>
      <c r="K44" s="458"/>
      <c r="L44" s="163"/>
      <c r="M44" s="163"/>
      <c r="O44" s="324">
        <f t="shared" si="8"/>
        <v>0.74958836443468713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'[38]Sch C'!D25</f>
        <v>0</v>
      </c>
      <c r="D45" s="480">
        <f>'[38]Sch C'!F25</f>
        <v>0</v>
      </c>
      <c r="E45" s="480">
        <f>+'[38]Sch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'[38]Sch C'!D26</f>
        <v>606731</v>
      </c>
      <c r="D46" s="480">
        <f>'[38]Sch C'!F26</f>
        <v>0</v>
      </c>
      <c r="E46" s="480">
        <f>+'[38]Sch C'!H26</f>
        <v>0</v>
      </c>
      <c r="F46" s="166">
        <f t="shared" si="5"/>
        <v>606731</v>
      </c>
      <c r="G46" s="626"/>
      <c r="H46" s="166"/>
      <c r="I46" s="166">
        <f t="shared" si="6"/>
        <v>606731</v>
      </c>
      <c r="J46" s="167">
        <f t="shared" si="7"/>
        <v>9.3943088608003891E-2</v>
      </c>
      <c r="K46" s="458"/>
      <c r="L46" s="163"/>
      <c r="M46" s="163"/>
      <c r="O46" s="324">
        <f t="shared" si="8"/>
        <v>20.812671514818881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'[38]Sch C'!D27</f>
        <v>98109</v>
      </c>
      <c r="D47" s="480">
        <f>'[38]Sch C'!F27</f>
        <v>0</v>
      </c>
      <c r="E47" s="480">
        <f>+'[38]Sch C'!H27</f>
        <v>0</v>
      </c>
      <c r="F47" s="166">
        <f t="shared" si="5"/>
        <v>98109</v>
      </c>
      <c r="G47" s="626"/>
      <c r="H47" s="166"/>
      <c r="I47" s="166">
        <f t="shared" si="6"/>
        <v>98109</v>
      </c>
      <c r="J47" s="167">
        <f t="shared" si="7"/>
        <v>1.5190689910755596E-2</v>
      </c>
      <c r="K47" s="458"/>
      <c r="L47" s="163"/>
      <c r="M47" s="163"/>
      <c r="O47" s="324">
        <f t="shared" si="8"/>
        <v>3.3654294731064764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'[38]Sch C'!D28</f>
        <v>0</v>
      </c>
      <c r="D48" s="480">
        <f>'[38]Sch C'!F28</f>
        <v>0</v>
      </c>
      <c r="E48" s="480">
        <f>+'[38]Sch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'[38]Sch C'!D29</f>
        <v>16159</v>
      </c>
      <c r="D49" s="480">
        <f>'[38]Sch C'!F29</f>
        <v>-16159</v>
      </c>
      <c r="E49" s="480">
        <f>+'[38]Sch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'[38]Sch C'!D30</f>
        <v>0</v>
      </c>
      <c r="D50" s="480">
        <f>'[38]Sch C'!F30</f>
        <v>0</v>
      </c>
      <c r="E50" s="480">
        <f>+'[38]Sch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'[38]Sch C'!D31</f>
        <v>36938</v>
      </c>
      <c r="D51" s="480">
        <f>'[38]Sch C'!F31</f>
        <v>0</v>
      </c>
      <c r="E51" s="480">
        <f>+'[38]Sch C'!H31</f>
        <v>0</v>
      </c>
      <c r="F51" s="166">
        <f t="shared" si="5"/>
        <v>36938</v>
      </c>
      <c r="G51" s="626"/>
      <c r="H51" s="166"/>
      <c r="I51" s="166">
        <f t="shared" si="6"/>
        <v>36938</v>
      </c>
      <c r="J51" s="167">
        <f t="shared" si="7"/>
        <v>5.7192887902586939E-3</v>
      </c>
      <c r="K51" s="458"/>
      <c r="L51" s="163"/>
      <c r="M51" s="163"/>
      <c r="O51" s="324">
        <f t="shared" si="8"/>
        <v>1.2670828759604831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'[38]Sch C'!D32</f>
        <v>88140</v>
      </c>
      <c r="D52" s="480">
        <f>'[38]Sch C'!F32</f>
        <v>0</v>
      </c>
      <c r="E52" s="480">
        <f>+'[38]Sch C'!H32</f>
        <v>0</v>
      </c>
      <c r="F52" s="166">
        <f t="shared" si="5"/>
        <v>88140</v>
      </c>
      <c r="G52" s="626"/>
      <c r="H52" s="166"/>
      <c r="I52" s="166">
        <f t="shared" si="6"/>
        <v>88140</v>
      </c>
      <c r="J52" s="167">
        <f t="shared" si="7"/>
        <v>1.3647141533743063E-2</v>
      </c>
      <c r="K52" s="458"/>
      <c r="L52" s="163"/>
      <c r="M52" s="163"/>
      <c r="O52" s="324">
        <f t="shared" si="8"/>
        <v>3.0234632272228321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'[38]Sch C'!D33</f>
        <v>0</v>
      </c>
      <c r="D53" s="480">
        <f>'[38]Sch C'!F33</f>
        <v>0</v>
      </c>
      <c r="E53" s="480">
        <f>+'[38]Sch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'[38]Sch C'!D34</f>
        <v>0</v>
      </c>
      <c r="D54" s="480">
        <f>'[38]Sch C'!F34</f>
        <v>0</v>
      </c>
      <c r="E54" s="480">
        <f>+'[38]Sch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'[38]Sch C'!D35</f>
        <v>0</v>
      </c>
      <c r="D55" s="480">
        <f>'[38]Sch C'!F35</f>
        <v>0</v>
      </c>
      <c r="E55" s="480">
        <f>+'[38]Sch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'[38]Sch C'!D36</f>
        <v>57612</v>
      </c>
      <c r="D56" s="480">
        <f>'[38]Sch C'!F36</f>
        <v>0</v>
      </c>
      <c r="E56" s="480">
        <f>+'[38]Sch C'!H36</f>
        <v>0</v>
      </c>
      <c r="F56" s="166">
        <f t="shared" si="5"/>
        <v>57612</v>
      </c>
      <c r="G56" s="626"/>
      <c r="H56" s="166"/>
      <c r="I56" s="166">
        <f t="shared" si="6"/>
        <v>57612</v>
      </c>
      <c r="J56" s="167">
        <f t="shared" si="7"/>
        <v>8.9203439759701093E-3</v>
      </c>
      <c r="K56" s="458"/>
      <c r="L56" s="176">
        <v>2763.39</v>
      </c>
      <c r="M56" s="176">
        <v>2955.39</v>
      </c>
      <c r="O56" s="324">
        <f t="shared" si="8"/>
        <v>1.9762623490669593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'[38]Sch C'!D37</f>
        <v>5034</v>
      </c>
      <c r="D57" s="480">
        <f>'[38]Sch C'!F37</f>
        <v>0</v>
      </c>
      <c r="E57" s="480">
        <f>+'[38]Sch C'!H37</f>
        <v>0</v>
      </c>
      <c r="F57" s="166">
        <f t="shared" si="5"/>
        <v>5034</v>
      </c>
      <c r="G57" s="626"/>
      <c r="H57" s="166"/>
      <c r="I57" s="166">
        <f t="shared" si="6"/>
        <v>5034</v>
      </c>
      <c r="J57" s="167">
        <f t="shared" si="7"/>
        <v>7.794385123764758E-4</v>
      </c>
      <c r="K57" s="458"/>
      <c r="L57" s="163"/>
      <c r="M57" s="163"/>
      <c r="O57" s="324">
        <f t="shared" si="8"/>
        <v>0.17268111964873764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'[38]Sch C'!D38</f>
        <v>0</v>
      </c>
      <c r="D58" s="480">
        <f>'[38]Sch C'!F38</f>
        <v>0</v>
      </c>
      <c r="E58" s="480">
        <f>+'[38]Sch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'[38]Sch C'!D39</f>
        <v>5043</v>
      </c>
      <c r="D59" s="480">
        <f>'[38]Sch C'!F39</f>
        <v>0</v>
      </c>
      <c r="E59" s="480">
        <f>+'[38]Sch C'!H39</f>
        <v>0</v>
      </c>
      <c r="F59" s="166">
        <f t="shared" si="5"/>
        <v>5043</v>
      </c>
      <c r="G59" s="626"/>
      <c r="H59" s="166"/>
      <c r="I59" s="166">
        <f t="shared" si="6"/>
        <v>5043</v>
      </c>
      <c r="J59" s="167">
        <f t="shared" si="7"/>
        <v>7.8083202580742301E-4</v>
      </c>
      <c r="K59" s="458"/>
      <c r="L59" s="163"/>
      <c r="M59" s="163"/>
      <c r="O59" s="324">
        <f t="shared" si="8"/>
        <v>0.1729898463227223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'[38]Sch C'!D40</f>
        <v>3380</v>
      </c>
      <c r="D60" s="480">
        <f>'[38]Sch C'!F40</f>
        <v>0</v>
      </c>
      <c r="E60" s="480">
        <f>+'[38]Sch C'!H40</f>
        <v>0</v>
      </c>
      <c r="F60" s="166">
        <f t="shared" si="5"/>
        <v>3380</v>
      </c>
      <c r="G60" s="626"/>
      <c r="H60" s="166"/>
      <c r="I60" s="166">
        <f t="shared" si="6"/>
        <v>3380</v>
      </c>
      <c r="J60" s="167">
        <f t="shared" si="7"/>
        <v>5.2334171073350978E-4</v>
      </c>
      <c r="K60" s="458"/>
      <c r="L60" s="163"/>
      <c r="M60" s="163"/>
      <c r="O60" s="324">
        <f t="shared" si="8"/>
        <v>0.11594401756311745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'[38]Sch C'!D41</f>
        <v>5444</v>
      </c>
      <c r="D61" s="480">
        <f>'[38]Sch C'!F41</f>
        <v>0</v>
      </c>
      <c r="E61" s="480">
        <f>+'[38]Sch C'!H41</f>
        <v>0</v>
      </c>
      <c r="F61" s="166">
        <f t="shared" si="5"/>
        <v>5444</v>
      </c>
      <c r="G61" s="626"/>
      <c r="H61" s="166"/>
      <c r="I61" s="166">
        <f t="shared" si="6"/>
        <v>5444</v>
      </c>
      <c r="J61" s="167">
        <f t="shared" si="7"/>
        <v>8.4292079089740457E-4</v>
      </c>
      <c r="K61" s="458"/>
      <c r="L61" s="163"/>
      <c r="M61" s="163"/>
      <c r="O61" s="324">
        <f t="shared" si="8"/>
        <v>0.18674533479692645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'[38]Sch C'!D42</f>
        <v>0</v>
      </c>
      <c r="D62" s="480">
        <f>'[38]Sch C'!F42</f>
        <v>0</v>
      </c>
      <c r="E62" s="480">
        <f>+'[38]Sch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'[38]Sch C'!D43</f>
        <v>0</v>
      </c>
      <c r="D63" s="480">
        <f>'[38]Sch C'!F43</f>
        <v>0</v>
      </c>
      <c r="E63" s="480">
        <f>+'[38]Sch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'[38]Sch C'!D44</f>
        <v>0</v>
      </c>
      <c r="D64" s="480">
        <f>'[38]Sch C'!F44</f>
        <v>0</v>
      </c>
      <c r="E64" s="480">
        <f>+'[38]Sch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'[38]Sch C'!D45</f>
        <v>0</v>
      </c>
      <c r="D65" s="480">
        <f>'[38]Sch C'!F45</f>
        <v>0</v>
      </c>
      <c r="E65" s="480">
        <f>+'[38]Sch C'!H45</f>
        <v>0</v>
      </c>
      <c r="F65" s="166">
        <f t="shared" si="5"/>
        <v>0</v>
      </c>
      <c r="G65" s="626"/>
      <c r="H65" s="166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1394322</v>
      </c>
      <c r="D66" s="480">
        <f t="shared" si="9"/>
        <v>-16159</v>
      </c>
      <c r="E66" s="480">
        <f t="shared" si="9"/>
        <v>-18868.599999999999</v>
      </c>
      <c r="F66" s="166">
        <f t="shared" ref="F66:I66" si="10">SUM(F30:F65)</f>
        <v>1359294.4</v>
      </c>
      <c r="G66" s="166">
        <f t="shared" si="10"/>
        <v>0</v>
      </c>
      <c r="H66" s="166">
        <f t="shared" si="10"/>
        <v>0</v>
      </c>
      <c r="I66" s="166">
        <f t="shared" si="10"/>
        <v>1359294.4</v>
      </c>
      <c r="J66" s="178">
        <f t="shared" si="7"/>
        <v>0.21046611144570407</v>
      </c>
      <c r="K66" s="465"/>
      <c r="L66" s="163"/>
      <c r="M66" s="163"/>
      <c r="O66" s="329">
        <f>I66/I$233</f>
        <v>46.627826564215148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'[38]Sch C'!D57</f>
        <v>280968</v>
      </c>
      <c r="D69" s="480">
        <f>'[38]Sch C'!F57</f>
        <v>0</v>
      </c>
      <c r="E69" s="480">
        <f>+'[38]Sch C'!H57</f>
        <v>-280968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'[38]Sch C'!D58</f>
        <v>21575</v>
      </c>
      <c r="D70" s="480">
        <f>'[38]Sch C'!F58</f>
        <v>0</v>
      </c>
      <c r="E70" s="480">
        <f>+'[38]Sch C'!H58</f>
        <v>76408</v>
      </c>
      <c r="F70" s="166">
        <f t="shared" ref="F70:F83" si="13">C70+D70+E70</f>
        <v>97983</v>
      </c>
      <c r="G70" s="626"/>
      <c r="H70" s="166"/>
      <c r="I70" s="166">
        <f t="shared" ref="I70:I83" si="14">F70+G70+H70</f>
        <v>97983</v>
      </c>
      <c r="J70" s="167">
        <f t="shared" si="11"/>
        <v>1.5171180722722334E-2</v>
      </c>
      <c r="K70" s="458"/>
      <c r="L70" s="182"/>
      <c r="M70" s="163"/>
      <c r="O70" s="324">
        <f t="shared" si="12"/>
        <v>3.3611072996706914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'[38]Sch C'!D59</f>
        <v>0</v>
      </c>
      <c r="D71" s="480">
        <f>'[38]Sch C'!F59</f>
        <v>0</v>
      </c>
      <c r="E71" s="480">
        <f>+'[38]Sch C'!H59</f>
        <v>110983.84</v>
      </c>
      <c r="F71" s="166">
        <f t="shared" si="13"/>
        <v>110983.84</v>
      </c>
      <c r="G71" s="626"/>
      <c r="H71" s="166"/>
      <c r="I71" s="166">
        <f t="shared" si="14"/>
        <v>110983.84</v>
      </c>
      <c r="J71" s="167">
        <f t="shared" si="11"/>
        <v>1.7184163517566312E-2</v>
      </c>
      <c r="K71" s="458"/>
      <c r="L71" s="182"/>
      <c r="M71" s="163"/>
      <c r="O71" s="324">
        <f t="shared" si="12"/>
        <v>3.8070746432491767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'[38]Sch C'!D60</f>
        <v>0</v>
      </c>
      <c r="D72" s="480">
        <f>'[38]Sch C'!F60</f>
        <v>0</v>
      </c>
      <c r="E72" s="480">
        <f>+'[38]Sch C'!H60</f>
        <v>22149.37</v>
      </c>
      <c r="F72" s="166">
        <f t="shared" si="13"/>
        <v>22149.37</v>
      </c>
      <c r="G72" s="626"/>
      <c r="H72" s="166"/>
      <c r="I72" s="166">
        <f t="shared" si="14"/>
        <v>22149.37</v>
      </c>
      <c r="J72" s="167">
        <f t="shared" si="11"/>
        <v>3.4294938424465917E-3</v>
      </c>
      <c r="K72" s="458"/>
      <c r="L72" s="185"/>
      <c r="M72" s="163"/>
      <c r="O72" s="324">
        <f t="shared" si="12"/>
        <v>0.75978903677277709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'[38]Sch C'!D61</f>
        <v>0</v>
      </c>
      <c r="D73" s="480">
        <f>'[38]Sch C'!F61</f>
        <v>0</v>
      </c>
      <c r="E73" s="480">
        <f>+'[38]Sch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'[38]Sch C'!D62</f>
        <v>10315</v>
      </c>
      <c r="D74" s="480">
        <f>'[38]Sch C'!F62</f>
        <v>0</v>
      </c>
      <c r="E74" s="480">
        <f>+'[38]Sch C'!H62</f>
        <v>0</v>
      </c>
      <c r="F74" s="166">
        <f t="shared" si="13"/>
        <v>10315</v>
      </c>
      <c r="G74" s="626"/>
      <c r="H74" s="166"/>
      <c r="I74" s="166">
        <f t="shared" si="14"/>
        <v>10315</v>
      </c>
      <c r="J74" s="167">
        <f t="shared" si="11"/>
        <v>1.5971212266911697E-3</v>
      </c>
      <c r="K74" s="458"/>
      <c r="L74" s="187"/>
      <c r="M74" s="163"/>
      <c r="O74" s="324">
        <f t="shared" si="12"/>
        <v>0.35383507135016468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'[38]Sch C'!D63</f>
        <v>2723</v>
      </c>
      <c r="D75" s="480">
        <f>'[38]Sch C'!F63</f>
        <v>0</v>
      </c>
      <c r="E75" s="480">
        <f>+'[38]Sch C'!H63</f>
        <v>0</v>
      </c>
      <c r="F75" s="166">
        <f t="shared" si="13"/>
        <v>2723</v>
      </c>
      <c r="G75" s="626"/>
      <c r="H75" s="166"/>
      <c r="I75" s="166">
        <f t="shared" si="14"/>
        <v>2723</v>
      </c>
      <c r="J75" s="167">
        <f t="shared" si="11"/>
        <v>4.2161523027436308E-4</v>
      </c>
      <c r="K75" s="458"/>
      <c r="L75" s="187"/>
      <c r="M75" s="163"/>
      <c r="O75" s="324">
        <f t="shared" si="12"/>
        <v>9.34069703622393E-2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'[38]Sch C'!D64</f>
        <v>0</v>
      </c>
      <c r="D76" s="480">
        <f>'[38]Sch C'!F64</f>
        <v>0</v>
      </c>
      <c r="E76" s="480">
        <f>+'[38]Sch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'[38]Sch C'!D65</f>
        <v>17492.84</v>
      </c>
      <c r="D77" s="480">
        <f>'[38]Sch C'!F65</f>
        <v>0</v>
      </c>
      <c r="E77" s="480">
        <f>+'[38]Sch C'!H65</f>
        <v>0</v>
      </c>
      <c r="F77" s="166">
        <f t="shared" si="13"/>
        <v>17492.84</v>
      </c>
      <c r="G77" s="626"/>
      <c r="H77" s="166"/>
      <c r="I77" s="166">
        <f t="shared" si="14"/>
        <v>17492.84</v>
      </c>
      <c r="J77" s="167">
        <f t="shared" si="11"/>
        <v>2.7085008317122988E-3</v>
      </c>
      <c r="K77" s="458"/>
      <c r="L77" s="187"/>
      <c r="M77" s="163"/>
      <c r="O77" s="324">
        <f t="shared" si="12"/>
        <v>0.60005625686059272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'[38]Sch C'!D66</f>
        <v>1410.4</v>
      </c>
      <c r="D78" s="480">
        <f>'[38]Sch C'!F66</f>
        <v>0</v>
      </c>
      <c r="E78" s="480">
        <f>+'[38]Sch C'!H66</f>
        <v>0</v>
      </c>
      <c r="F78" s="166">
        <f t="shared" si="13"/>
        <v>1410.4</v>
      </c>
      <c r="G78" s="626"/>
      <c r="H78" s="166"/>
      <c r="I78" s="166">
        <f t="shared" si="14"/>
        <v>1410.4</v>
      </c>
      <c r="J78" s="167">
        <f t="shared" si="11"/>
        <v>2.1837903811199475E-4</v>
      </c>
      <c r="K78" s="458"/>
      <c r="L78" s="187"/>
      <c r="M78" s="163"/>
      <c r="O78" s="324">
        <f t="shared" si="12"/>
        <v>4.838090010976949E-2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'[38]Sch C'!D67</f>
        <v>49117</v>
      </c>
      <c r="D79" s="480">
        <f>'[38]Sch C'!F67</f>
        <v>0</v>
      </c>
      <c r="E79" s="480">
        <f>+'[38]Sch C'!H67</f>
        <v>0</v>
      </c>
      <c r="F79" s="166">
        <f t="shared" si="13"/>
        <v>49117</v>
      </c>
      <c r="G79" s="626"/>
      <c r="H79" s="166"/>
      <c r="I79" s="166">
        <f t="shared" si="14"/>
        <v>49117</v>
      </c>
      <c r="J79" s="167">
        <f t="shared" si="11"/>
        <v>7.6050221319815979E-3</v>
      </c>
      <c r="K79" s="458"/>
      <c r="L79" s="187"/>
      <c r="M79" s="163"/>
      <c r="O79" s="324">
        <f t="shared" si="12"/>
        <v>1.6848586717892426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'[38]Sch C'!D68</f>
        <v>35234</v>
      </c>
      <c r="D80" s="480">
        <f>'[38]Sch C'!F68</f>
        <v>0</v>
      </c>
      <c r="E80" s="480">
        <f>+'[38]Sch C'!H68</f>
        <v>-35234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'[38]Sch C'!D69</f>
        <v>1184.03</v>
      </c>
      <c r="D81" s="480">
        <f>'[38]Sch C'!F69</f>
        <v>0</v>
      </c>
      <c r="E81" s="480">
        <f>+'[38]Sch C'!H69</f>
        <v>0</v>
      </c>
      <c r="F81" s="166">
        <f t="shared" si="13"/>
        <v>1184.03</v>
      </c>
      <c r="G81" s="626"/>
      <c r="H81" s="166"/>
      <c r="I81" s="166">
        <f t="shared" si="14"/>
        <v>1184.03</v>
      </c>
      <c r="J81" s="167">
        <f t="shared" si="11"/>
        <v>1.8332907862715904E-4</v>
      </c>
      <c r="K81" s="458"/>
      <c r="L81" s="187"/>
      <c r="M81" s="163"/>
      <c r="O81" s="324">
        <f t="shared" si="12"/>
        <v>4.0615738199780461E-2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'[38]Sch C'!D70</f>
        <v>22052</v>
      </c>
      <c r="D82" s="480">
        <f>'[38]Sch C'!F70</f>
        <v>0</v>
      </c>
      <c r="E82" s="480">
        <f>+'[38]Sch C'!H70</f>
        <v>0</v>
      </c>
      <c r="F82" s="166">
        <f t="shared" si="13"/>
        <v>22052</v>
      </c>
      <c r="G82" s="626"/>
      <c r="H82" s="166"/>
      <c r="I82" s="166">
        <f t="shared" si="14"/>
        <v>22052</v>
      </c>
      <c r="J82" s="167">
        <f t="shared" si="11"/>
        <v>3.4144175754719994E-3</v>
      </c>
      <c r="K82" s="458"/>
      <c r="L82" s="187"/>
      <c r="M82" s="163"/>
      <c r="O82" s="324">
        <f t="shared" si="12"/>
        <v>0.75644895718990124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'[38]Sch C'!D71</f>
        <v>0</v>
      </c>
      <c r="D83" s="480">
        <f>'[38]Sch C'!F71</f>
        <v>0</v>
      </c>
      <c r="E83" s="480">
        <f>+'[38]Sch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442071.27000000008</v>
      </c>
      <c r="D84" s="480">
        <f t="shared" si="15"/>
        <v>0</v>
      </c>
      <c r="E84" s="480">
        <f t="shared" si="15"/>
        <v>-106660.79000000001</v>
      </c>
      <c r="F84" s="166">
        <f t="shared" ref="F84:I84" si="16">SUM(F69:F83)</f>
        <v>335410.48000000004</v>
      </c>
      <c r="G84" s="166">
        <f t="shared" si="16"/>
        <v>0</v>
      </c>
      <c r="H84" s="166">
        <f t="shared" si="16"/>
        <v>0</v>
      </c>
      <c r="I84" s="166">
        <f t="shared" si="16"/>
        <v>335410.48000000004</v>
      </c>
      <c r="J84" s="167">
        <f t="shared" si="11"/>
        <v>5.1933223195605831E-2</v>
      </c>
      <c r="K84" s="458"/>
      <c r="L84" s="187"/>
      <c r="M84" s="163"/>
      <c r="O84" s="324">
        <f t="shared" si="12"/>
        <v>11.505573545554338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'[38]Sch C'!D75</f>
        <v>166263.74</v>
      </c>
      <c r="D87" s="480">
        <f>'[38]Sch C'!F75</f>
        <v>0</v>
      </c>
      <c r="E87" s="480">
        <f>+'[38]Sch C'!H75</f>
        <v>0</v>
      </c>
      <c r="F87" s="166">
        <f t="shared" ref="F87:F97" si="17">C87+D87+E87</f>
        <v>166263.74</v>
      </c>
      <c r="G87" s="626"/>
      <c r="H87" s="166"/>
      <c r="I87" s="166">
        <f t="shared" ref="I87:I97" si="18">F87+G87+H87</f>
        <v>166263.74</v>
      </c>
      <c r="J87" s="167">
        <f t="shared" ref="J87:J98" si="19">IF($I$213=0,0,I87/$I$213)</f>
        <v>2.5743417196612862E-2</v>
      </c>
      <c r="K87" s="458"/>
      <c r="L87" s="176">
        <v>8239.6299999999992</v>
      </c>
      <c r="M87" s="176">
        <v>8815.6299999999992</v>
      </c>
      <c r="O87" s="324">
        <f t="shared" ref="O87:O97" si="20">I87/I$233</f>
        <v>5.7033390504939625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'[38]Sch C'!D76</f>
        <v>23367.56</v>
      </c>
      <c r="D88" s="480">
        <f>'[38]Sch C'!F76</f>
        <v>0</v>
      </c>
      <c r="E88" s="480">
        <f>+'[38]Sch C'!H76</f>
        <v>0</v>
      </c>
      <c r="F88" s="166">
        <f t="shared" si="17"/>
        <v>23367.56</v>
      </c>
      <c r="G88" s="626"/>
      <c r="H88" s="166"/>
      <c r="I88" s="166">
        <f t="shared" si="18"/>
        <v>23367.56</v>
      </c>
      <c r="J88" s="167">
        <f t="shared" si="19"/>
        <v>3.6181120787183241E-3</v>
      </c>
      <c r="K88" s="458"/>
      <c r="L88" s="163"/>
      <c r="M88" s="163"/>
      <c r="O88" s="324">
        <f t="shared" si="20"/>
        <v>0.80157656421514822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'[38]Sch C'!D77</f>
        <v>38023.14</v>
      </c>
      <c r="D89" s="480">
        <f>'[38]Sch C'!F77</f>
        <v>0</v>
      </c>
      <c r="E89" s="480">
        <f>+'[38]Sch C'!H77</f>
        <v>0</v>
      </c>
      <c r="F89" s="166">
        <f t="shared" si="17"/>
        <v>38023.14</v>
      </c>
      <c r="G89" s="626"/>
      <c r="H89" s="166"/>
      <c r="I89" s="166">
        <f t="shared" si="18"/>
        <v>38023.14</v>
      </c>
      <c r="J89" s="167">
        <f t="shared" si="19"/>
        <v>5.8873062529762564E-3</v>
      </c>
      <c r="K89" s="458"/>
      <c r="L89" s="163"/>
      <c r="M89" s="163"/>
      <c r="O89" s="324">
        <f t="shared" si="20"/>
        <v>1.3043063940724478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'[38]Sch C'!D78</f>
        <v>11447.54</v>
      </c>
      <c r="D90" s="480">
        <f>'[38]Sch C'!F78</f>
        <v>0</v>
      </c>
      <c r="E90" s="480">
        <f>+'[38]Sch C'!H78</f>
        <v>0</v>
      </c>
      <c r="F90" s="166">
        <f t="shared" si="17"/>
        <v>11447.54</v>
      </c>
      <c r="G90" s="626"/>
      <c r="H90" s="166"/>
      <c r="I90" s="166">
        <f t="shared" si="18"/>
        <v>11447.54</v>
      </c>
      <c r="J90" s="167">
        <f t="shared" si="19"/>
        <v>1.7724778601450543E-3</v>
      </c>
      <c r="K90" s="458"/>
      <c r="L90" s="163"/>
      <c r="M90" s="163"/>
      <c r="O90" s="324">
        <f t="shared" si="20"/>
        <v>0.39268454994511531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'[38]Sch C'!D79</f>
        <v>0</v>
      </c>
      <c r="D91" s="480">
        <f>'[38]Sch C'!F79</f>
        <v>0</v>
      </c>
      <c r="E91" s="480">
        <f>+'[38]Sch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'[38]Sch C'!D80</f>
        <v>22925.23</v>
      </c>
      <c r="D92" s="480">
        <f>'[38]Sch C'!F80</f>
        <v>0</v>
      </c>
      <c r="E92" s="480">
        <f>+'[38]Sch C'!H80</f>
        <v>0</v>
      </c>
      <c r="F92" s="166">
        <f t="shared" si="17"/>
        <v>22925.23</v>
      </c>
      <c r="G92" s="626"/>
      <c r="H92" s="166"/>
      <c r="I92" s="166">
        <f t="shared" si="18"/>
        <v>22925.23</v>
      </c>
      <c r="J92" s="167">
        <f t="shared" si="19"/>
        <v>3.5496239902837812E-3</v>
      </c>
      <c r="K92" s="458"/>
      <c r="L92" s="163"/>
      <c r="M92" s="163"/>
      <c r="O92" s="324">
        <f t="shared" si="20"/>
        <v>0.78640333424807907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'[38]Sch C'!D81</f>
        <v>0</v>
      </c>
      <c r="D93" s="480">
        <f>'[38]Sch C'!F81</f>
        <v>0</v>
      </c>
      <c r="E93" s="480">
        <f>+'[38]Sch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'[38]Sch C'!D82</f>
        <v>0</v>
      </c>
      <c r="D94" s="480">
        <f>'[38]Sch C'!F82</f>
        <v>0</v>
      </c>
      <c r="E94" s="480">
        <f>+'[38]Sch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'[38]Sch C'!D83</f>
        <v>33965</v>
      </c>
      <c r="D95" s="480">
        <f>'[38]Sch C'!F83</f>
        <v>0</v>
      </c>
      <c r="E95" s="480">
        <f>+'[38]Sch C'!H83</f>
        <v>0</v>
      </c>
      <c r="F95" s="166">
        <f t="shared" si="17"/>
        <v>33965</v>
      </c>
      <c r="G95" s="626"/>
      <c r="H95" s="166"/>
      <c r="I95" s="166">
        <f t="shared" si="18"/>
        <v>33965</v>
      </c>
      <c r="J95" s="167">
        <f t="shared" si="19"/>
        <v>5.25896485356913E-3</v>
      </c>
      <c r="K95" s="458"/>
      <c r="L95" s="163"/>
      <c r="M95" s="163"/>
      <c r="O95" s="324">
        <f t="shared" si="20"/>
        <v>1.1651001646542261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'[38]Sch C'!D84</f>
        <v>110049.92</v>
      </c>
      <c r="D96" s="480">
        <f>'[38]Sch C'!F84</f>
        <v>0</v>
      </c>
      <c r="E96" s="480">
        <f>+'[38]Sch C'!H84</f>
        <v>0</v>
      </c>
      <c r="F96" s="166">
        <f t="shared" si="17"/>
        <v>110049.92</v>
      </c>
      <c r="G96" s="626"/>
      <c r="H96" s="166"/>
      <c r="I96" s="166">
        <f t="shared" si="18"/>
        <v>110049.92</v>
      </c>
      <c r="J96" s="167">
        <f t="shared" si="19"/>
        <v>1.7039560177185175E-2</v>
      </c>
      <c r="K96" s="458"/>
      <c r="L96" s="163"/>
      <c r="M96" s="163"/>
      <c r="O96" s="324">
        <f t="shared" si="20"/>
        <v>3.7750384193194293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'[38]Sch C'!D85</f>
        <v>0</v>
      </c>
      <c r="D97" s="480">
        <f>'[38]Sch C'!F85</f>
        <v>0</v>
      </c>
      <c r="E97" s="480">
        <f>+'[38]Sch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406042.13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406042.13</v>
      </c>
      <c r="G98" s="166">
        <f t="shared" si="22"/>
        <v>0</v>
      </c>
      <c r="H98" s="166">
        <f t="shared" si="22"/>
        <v>0</v>
      </c>
      <c r="I98" s="166">
        <f t="shared" si="22"/>
        <v>406042.13</v>
      </c>
      <c r="J98" s="167">
        <f t="shared" si="19"/>
        <v>6.2869462409490581E-2</v>
      </c>
      <c r="K98" s="458"/>
      <c r="L98" s="163"/>
      <c r="M98" s="163"/>
      <c r="O98" s="329">
        <f>I98/I$233</f>
        <v>13.928448476948409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'[38]Sch C'!D89</f>
        <v>239031.29</v>
      </c>
      <c r="D101" s="480">
        <f>'[38]Sch C'!F89</f>
        <v>0</v>
      </c>
      <c r="E101" s="480">
        <f>+'[38]Sch C'!H89</f>
        <v>0</v>
      </c>
      <c r="F101" s="166">
        <f t="shared" ref="F101:F106" si="23">C101+D101+E101</f>
        <v>239031.29</v>
      </c>
      <c r="G101" s="626"/>
      <c r="H101" s="166"/>
      <c r="I101" s="166">
        <f t="shared" ref="I101:I106" si="24">F101+G101+H101</f>
        <v>239031.29</v>
      </c>
      <c r="J101" s="167">
        <f t="shared" ref="J101:J107" si="25">IF($I$213=0,0,I101/$I$213)</f>
        <v>3.7010368114626539E-2</v>
      </c>
      <c r="K101" s="458"/>
      <c r="L101" s="176">
        <v>17995.48</v>
      </c>
      <c r="M101" s="176">
        <v>19723.48</v>
      </c>
      <c r="O101" s="329">
        <f t="shared" ref="O101:O106" si="26">I101/I$233</f>
        <v>8.1994816822173444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'[38]Sch C'!D90</f>
        <v>24404</v>
      </c>
      <c r="D102" s="480">
        <f>'[38]Sch C'!F90</f>
        <v>0</v>
      </c>
      <c r="E102" s="480">
        <f>+'[38]Sch C'!H90</f>
        <v>0</v>
      </c>
      <c r="F102" s="166">
        <f t="shared" si="23"/>
        <v>24404</v>
      </c>
      <c r="G102" s="626"/>
      <c r="H102" s="166"/>
      <c r="I102" s="166">
        <f t="shared" si="24"/>
        <v>24404</v>
      </c>
      <c r="J102" s="167">
        <f t="shared" si="25"/>
        <v>3.7785890854262049E-3</v>
      </c>
      <c r="K102" s="458"/>
      <c r="L102" s="163"/>
      <c r="M102" s="163"/>
      <c r="O102" s="329">
        <f t="shared" si="26"/>
        <v>0.83712952799121843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'[38]Sch C'!D91</f>
        <v>10475.44</v>
      </c>
      <c r="D103" s="480">
        <f>'[38]Sch C'!F91</f>
        <v>0</v>
      </c>
      <c r="E103" s="480">
        <f>+'[38]Sch C'!H91</f>
        <v>0</v>
      </c>
      <c r="F103" s="166">
        <f t="shared" si="23"/>
        <v>10475.44</v>
      </c>
      <c r="G103" s="626"/>
      <c r="H103" s="166"/>
      <c r="I103" s="166">
        <f t="shared" si="24"/>
        <v>10475.44</v>
      </c>
      <c r="J103" s="167">
        <f t="shared" si="25"/>
        <v>1.6219629261201888E-3</v>
      </c>
      <c r="K103" s="458"/>
      <c r="L103" s="163"/>
      <c r="M103" s="163"/>
      <c r="O103" s="329">
        <f t="shared" si="26"/>
        <v>0.3593386388583974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'[38]Sch C'!D92</f>
        <v>277089.13</v>
      </c>
      <c r="D104" s="480">
        <f>'[38]Sch C'!F92</f>
        <v>0</v>
      </c>
      <c r="E104" s="480">
        <f>+'[38]Sch C'!H92</f>
        <v>0</v>
      </c>
      <c r="F104" s="166">
        <f t="shared" si="23"/>
        <v>277089.13</v>
      </c>
      <c r="G104" s="626"/>
      <c r="H104" s="166"/>
      <c r="I104" s="166">
        <f t="shared" si="24"/>
        <v>277089.13</v>
      </c>
      <c r="J104" s="167">
        <f t="shared" si="25"/>
        <v>4.2903047136053224E-2</v>
      </c>
      <c r="K104" s="458"/>
      <c r="L104" s="163"/>
      <c r="M104" s="163"/>
      <c r="O104" s="329">
        <f t="shared" si="26"/>
        <v>9.5049783891328214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'[38]Sch C'!D93</f>
        <v>546.36</v>
      </c>
      <c r="D105" s="480">
        <f>'[38]Sch C'!F93</f>
        <v>0</v>
      </c>
      <c r="E105" s="480">
        <f>+'[38]Sch C'!H93</f>
        <v>0</v>
      </c>
      <c r="F105" s="166">
        <f t="shared" si="23"/>
        <v>546.36</v>
      </c>
      <c r="G105" s="626"/>
      <c r="H105" s="166"/>
      <c r="I105" s="166">
        <f t="shared" si="24"/>
        <v>546.36</v>
      </c>
      <c r="J105" s="167">
        <f t="shared" si="25"/>
        <v>8.4595555348035623E-5</v>
      </c>
      <c r="K105" s="458"/>
      <c r="L105" s="163"/>
      <c r="M105" s="163"/>
      <c r="O105" s="329">
        <f t="shared" si="26"/>
        <v>1.8741767288693742E-2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'[38]Sch C'!D94</f>
        <v>0</v>
      </c>
      <c r="D106" s="480">
        <f>'[38]Sch C'!F94</f>
        <v>0</v>
      </c>
      <c r="E106" s="480">
        <f>+'[38]Sch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551546.22000000009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551546.22000000009</v>
      </c>
      <c r="G107" s="166">
        <f t="shared" si="28"/>
        <v>0</v>
      </c>
      <c r="H107" s="166">
        <f t="shared" si="28"/>
        <v>0</v>
      </c>
      <c r="I107" s="166">
        <f t="shared" si="28"/>
        <v>551546.22000000009</v>
      </c>
      <c r="J107" s="167">
        <f t="shared" si="25"/>
        <v>8.53985628175742E-2</v>
      </c>
      <c r="K107" s="458"/>
      <c r="L107" s="163"/>
      <c r="M107" s="163"/>
      <c r="O107" s="329">
        <f>I107/I$233</f>
        <v>18.919670005488477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'[38]Sch C'!D98</f>
        <v>87225.64</v>
      </c>
      <c r="D110" s="480">
        <f>'[38]Sch C'!F98</f>
        <v>0</v>
      </c>
      <c r="E110" s="480">
        <f>+'[38]Sch C'!H98</f>
        <v>0</v>
      </c>
      <c r="F110" s="166">
        <f t="shared" ref="F110:F115" si="29">C110+D110+E110</f>
        <v>87225.64</v>
      </c>
      <c r="G110" s="626"/>
      <c r="H110" s="166"/>
      <c r="I110" s="166">
        <f t="shared" ref="I110:I115" si="30">F110+G110+H110</f>
        <v>87225.64</v>
      </c>
      <c r="J110" s="167">
        <f t="shared" ref="J110:J116" si="31">IF($I$213=0,0,I110/$I$213)</f>
        <v>1.3505566762551853E-2</v>
      </c>
      <c r="K110" s="458"/>
      <c r="L110" s="176">
        <v>6961.9</v>
      </c>
      <c r="M110" s="176">
        <v>7537.9</v>
      </c>
      <c r="O110" s="329">
        <f t="shared" ref="O110:O115" si="32">I110/I$233</f>
        <v>2.9920979692645444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'[38]Sch C'!D99</f>
        <v>8025.83</v>
      </c>
      <c r="D111" s="480">
        <f>'[38]Sch C'!F99</f>
        <v>0</v>
      </c>
      <c r="E111" s="480">
        <f>+'[38]Sch C'!H99</f>
        <v>0</v>
      </c>
      <c r="F111" s="166">
        <f t="shared" si="29"/>
        <v>8025.83</v>
      </c>
      <c r="G111" s="626"/>
      <c r="H111" s="166"/>
      <c r="I111" s="166">
        <f t="shared" si="30"/>
        <v>8025.83</v>
      </c>
      <c r="J111" s="167">
        <f t="shared" si="31"/>
        <v>1.2426779888332323E-3</v>
      </c>
      <c r="K111" s="458"/>
      <c r="L111" s="163"/>
      <c r="M111" s="163"/>
      <c r="O111" s="329">
        <f t="shared" si="32"/>
        <v>0.2753097557628979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'[38]Sch C'!D100</f>
        <v>8538</v>
      </c>
      <c r="D112" s="480">
        <f>'[38]Sch C'!F100</f>
        <v>0</v>
      </c>
      <c r="E112" s="480">
        <f>+'[38]Sch C'!H100</f>
        <v>0</v>
      </c>
      <c r="F112" s="166">
        <f t="shared" si="29"/>
        <v>8538</v>
      </c>
      <c r="G112" s="626"/>
      <c r="H112" s="166"/>
      <c r="I112" s="166">
        <f t="shared" si="30"/>
        <v>8538</v>
      </c>
      <c r="J112" s="167">
        <f t="shared" si="31"/>
        <v>1.321979741491925E-3</v>
      </c>
      <c r="K112" s="458"/>
      <c r="L112" s="163"/>
      <c r="M112" s="163"/>
      <c r="O112" s="329">
        <f t="shared" si="32"/>
        <v>0.29287870472008781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'[38]Sch C'!D101</f>
        <v>0</v>
      </c>
      <c r="D113" s="480">
        <f>'[38]Sch C'!F101</f>
        <v>0</v>
      </c>
      <c r="E113" s="480">
        <f>+'[38]Sch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'[38]Sch C'!D102</f>
        <v>0</v>
      </c>
      <c r="D114" s="480">
        <f>'[38]Sch C'!F102</f>
        <v>0</v>
      </c>
      <c r="E114" s="480">
        <f>+'[38]Sch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'[38]Sch C'!D103</f>
        <v>0</v>
      </c>
      <c r="D115" s="480">
        <f>'[38]Sch C'!F103</f>
        <v>0</v>
      </c>
      <c r="E115" s="480">
        <f>+'[38]Sch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103789.47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103789.47</v>
      </c>
      <c r="G116" s="166">
        <f t="shared" si="34"/>
        <v>0</v>
      </c>
      <c r="H116" s="166">
        <f t="shared" si="34"/>
        <v>0</v>
      </c>
      <c r="I116" s="166">
        <f t="shared" si="34"/>
        <v>103789.47</v>
      </c>
      <c r="J116" s="167">
        <f t="shared" si="31"/>
        <v>1.6070224492877011E-2</v>
      </c>
      <c r="K116" s="458"/>
      <c r="L116" s="163"/>
      <c r="M116" s="163"/>
      <c r="O116" s="329">
        <f>I116/I$233</f>
        <v>3.5602864297475301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'[38]Sch C'!D115</f>
        <v>152613.76999999999</v>
      </c>
      <c r="D119" s="480">
        <f>'[38]Sch C'!F115</f>
        <v>0</v>
      </c>
      <c r="E119" s="480">
        <f>+'[38]Sch C'!H115</f>
        <v>0</v>
      </c>
      <c r="F119" s="166">
        <f t="shared" ref="F119:F123" si="35">C119+D119+E119</f>
        <v>152613.76999999999</v>
      </c>
      <c r="G119" s="626"/>
      <c r="H119" s="166"/>
      <c r="I119" s="166">
        <f t="shared" ref="I119:I123" si="36">F119+G119+H119</f>
        <v>152613.76999999999</v>
      </c>
      <c r="J119" s="167">
        <f t="shared" ref="J119:J124" si="37">IF($I$213=0,0,I119/$I$213)</f>
        <v>2.3629926471387688E-2</v>
      </c>
      <c r="K119" s="458"/>
      <c r="L119" s="176">
        <v>12727.12</v>
      </c>
      <c r="M119" s="176">
        <v>13879.12</v>
      </c>
      <c r="O119" s="329">
        <f t="shared" ref="O119:O124" si="38">I119/I$233</f>
        <v>5.2351046240395167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'[38]Sch C'!D116</f>
        <v>14262.71</v>
      </c>
      <c r="D120" s="480">
        <f>'[38]Sch C'!F116</f>
        <v>0</v>
      </c>
      <c r="E120" s="480">
        <f>+'[38]Sch C'!H116</f>
        <v>0</v>
      </c>
      <c r="F120" s="166">
        <f t="shared" si="35"/>
        <v>14262.71</v>
      </c>
      <c r="G120" s="626"/>
      <c r="H120" s="166"/>
      <c r="I120" s="166">
        <f t="shared" si="36"/>
        <v>14262.71</v>
      </c>
      <c r="J120" s="167">
        <f t="shared" si="37"/>
        <v>2.2083642163005729E-3</v>
      </c>
      <c r="K120" s="458"/>
      <c r="L120" s="163"/>
      <c r="M120" s="163"/>
      <c r="O120" s="329">
        <f t="shared" si="38"/>
        <v>0.48925322447859493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'[38]Sch C'!D117</f>
        <v>38199.199999999997</v>
      </c>
      <c r="D121" s="480">
        <f>'[38]Sch C'!F117</f>
        <v>0</v>
      </c>
      <c r="E121" s="480">
        <f>+'[38]Sch C'!H117</f>
        <v>0</v>
      </c>
      <c r="F121" s="166">
        <f t="shared" si="35"/>
        <v>38199.199999999997</v>
      </c>
      <c r="G121" s="626"/>
      <c r="H121" s="166"/>
      <c r="I121" s="166">
        <f t="shared" si="36"/>
        <v>38199.199999999997</v>
      </c>
      <c r="J121" s="167">
        <f t="shared" si="37"/>
        <v>5.9145664723820966E-3</v>
      </c>
      <c r="K121" s="458"/>
      <c r="L121" s="163"/>
      <c r="M121" s="163"/>
      <c r="O121" s="329">
        <f t="shared" si="38"/>
        <v>1.3103457738748627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'[38]Sch C'!D118</f>
        <v>0</v>
      </c>
      <c r="D122" s="480">
        <f>'[38]Sch C'!F118</f>
        <v>0</v>
      </c>
      <c r="E122" s="480">
        <f>+'[38]Sch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'[38]Sch C'!D119</f>
        <v>0</v>
      </c>
      <c r="D123" s="480">
        <f>'[38]Sch C'!F119</f>
        <v>0</v>
      </c>
      <c r="E123" s="480">
        <f>+'[38]Sch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205075.68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205075.68</v>
      </c>
      <c r="G124" s="166">
        <f t="shared" si="40"/>
        <v>0</v>
      </c>
      <c r="H124" s="166">
        <f t="shared" si="40"/>
        <v>0</v>
      </c>
      <c r="I124" s="166">
        <f t="shared" si="40"/>
        <v>205075.68</v>
      </c>
      <c r="J124" s="167">
        <f t="shared" si="37"/>
        <v>3.1752857160070362E-2</v>
      </c>
      <c r="K124" s="458"/>
      <c r="L124" s="163"/>
      <c r="M124" s="163"/>
      <c r="O124" s="329">
        <f t="shared" si="38"/>
        <v>7.0347036223929749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'[38]Sch C'!D124</f>
        <v>0</v>
      </c>
      <c r="D128" s="480">
        <f>'[38]Sch C'!F124</f>
        <v>0</v>
      </c>
      <c r="E128" s="480">
        <f>+'[38]Sch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'[38]Sch C'!D125</f>
        <v>92449.5</v>
      </c>
      <c r="D129" s="480">
        <f>'[38]Sch C'!F125</f>
        <v>0</v>
      </c>
      <c r="E129" s="480">
        <f>+'[38]Sch C'!H125</f>
        <v>0</v>
      </c>
      <c r="F129" s="166">
        <f t="shared" si="41"/>
        <v>92449.5</v>
      </c>
      <c r="G129" s="626"/>
      <c r="H129" s="166"/>
      <c r="I129" s="166">
        <f t="shared" si="42"/>
        <v>92449.5</v>
      </c>
      <c r="J129" s="167">
        <f>IF($I$213=0,0,I129/$I$213)</f>
        <v>1.4314402214928289E-2</v>
      </c>
      <c r="K129" s="458"/>
      <c r="L129" s="176">
        <v>1988</v>
      </c>
      <c r="M129" s="176">
        <v>2188</v>
      </c>
      <c r="O129" s="329">
        <f t="shared" si="43"/>
        <v>3.1712918496158067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'[38]Sch C'!D126</f>
        <v>93578.75</v>
      </c>
      <c r="D130" s="480">
        <f>'[38]Sch C'!F126</f>
        <v>0</v>
      </c>
      <c r="E130" s="480">
        <f>+'[38]Sch C'!H126</f>
        <v>0</v>
      </c>
      <c r="F130" s="166">
        <f t="shared" si="41"/>
        <v>93578.75</v>
      </c>
      <c r="G130" s="626"/>
      <c r="H130" s="166"/>
      <c r="I130" s="166">
        <f t="shared" si="42"/>
        <v>93578.75</v>
      </c>
      <c r="J130" s="167">
        <f>IF($I$213=0,0,I130/$I$213)</f>
        <v>1.4489249441805749E-2</v>
      </c>
      <c r="K130" s="458"/>
      <c r="L130" s="176">
        <v>2131.67</v>
      </c>
      <c r="M130" s="176">
        <v>2323.67</v>
      </c>
      <c r="O130" s="329">
        <f t="shared" si="43"/>
        <v>3.2100284714599341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'[38]Sch C'!D127</f>
        <v>0</v>
      </c>
      <c r="D131" s="480">
        <f>'[38]Sch C'!F127</f>
        <v>0</v>
      </c>
      <c r="E131" s="480">
        <f>+'[38]Sch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'[38]Sch C'!D128</f>
        <v>268974.45</v>
      </c>
      <c r="D132" s="480">
        <f>'[38]Sch C'!F128</f>
        <v>0</v>
      </c>
      <c r="E132" s="480">
        <f>+'[38]Sch C'!H128</f>
        <v>-87600</v>
      </c>
      <c r="F132" s="166">
        <f t="shared" si="41"/>
        <v>181374.45</v>
      </c>
      <c r="G132" s="626"/>
      <c r="H132" s="166"/>
      <c r="I132" s="166">
        <f t="shared" si="42"/>
        <v>181374.45</v>
      </c>
      <c r="J132" s="167">
        <f>IF($I$213=0,0,I132/$I$213)</f>
        <v>2.8083081345073799E-2</v>
      </c>
      <c r="K132" s="458"/>
      <c r="L132" s="176">
        <v>3431</v>
      </c>
      <c r="M132" s="176">
        <v>4550</v>
      </c>
      <c r="O132" s="329">
        <f t="shared" si="43"/>
        <v>6.2216811882546654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'[38]Sch C'!D130</f>
        <v>0</v>
      </c>
      <c r="D134" s="480">
        <f>'[38]Sch C'!F130</f>
        <v>0</v>
      </c>
      <c r="E134" s="480">
        <f>+'[38]Sch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'[38]Sch C'!D131</f>
        <v>6804</v>
      </c>
      <c r="D135" s="480">
        <f>'[38]Sch C'!F131</f>
        <v>0</v>
      </c>
      <c r="E135" s="480">
        <f>+'[38]Sch C'!H131</f>
        <v>0</v>
      </c>
      <c r="F135" s="166">
        <f t="shared" si="44"/>
        <v>6804</v>
      </c>
      <c r="G135" s="626"/>
      <c r="H135" s="166"/>
      <c r="I135" s="166">
        <f t="shared" si="45"/>
        <v>6804</v>
      </c>
      <c r="J135" s="167">
        <f>IF($I$213=0,0,I135/$I$213)</f>
        <v>1.0534961537960949E-3</v>
      </c>
      <c r="K135" s="458"/>
      <c r="L135" s="196"/>
      <c r="M135" s="196"/>
      <c r="O135" s="329">
        <f t="shared" si="43"/>
        <v>0.233397365532382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'[38]Sch C'!D132</f>
        <v>17018</v>
      </c>
      <c r="D136" s="480">
        <f>'[38]Sch C'!F132</f>
        <v>0</v>
      </c>
      <c r="E136" s="480">
        <f>+'[38]Sch C'!H132</f>
        <v>0</v>
      </c>
      <c r="F136" s="166">
        <f t="shared" si="44"/>
        <v>17018</v>
      </c>
      <c r="G136" s="626"/>
      <c r="H136" s="166"/>
      <c r="I136" s="166">
        <f t="shared" si="45"/>
        <v>17018</v>
      </c>
      <c r="J136" s="167">
        <f>IF($I$213=0,0,I136/$I$213)</f>
        <v>2.6349790630955236E-3</v>
      </c>
      <c r="K136" s="458"/>
      <c r="L136" s="163"/>
      <c r="M136" s="163"/>
      <c r="O136" s="329">
        <f t="shared" si="43"/>
        <v>0.58376783754116357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'[38]Sch C'!D133</f>
        <v>0</v>
      </c>
      <c r="D137" s="480">
        <f>'[38]Sch C'!F133</f>
        <v>0</v>
      </c>
      <c r="E137" s="480">
        <f>+'[38]Sch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'[38]Sch C'!D134</f>
        <v>23733.96</v>
      </c>
      <c r="D138" s="480">
        <f>'[38]Sch C'!F134</f>
        <v>0</v>
      </c>
      <c r="E138" s="480">
        <f>+'[38]Sch C'!H134</f>
        <v>0</v>
      </c>
      <c r="F138" s="166">
        <f t="shared" si="44"/>
        <v>23733.96</v>
      </c>
      <c r="G138" s="626"/>
      <c r="H138" s="166"/>
      <c r="I138" s="166">
        <f t="shared" si="45"/>
        <v>23733.96</v>
      </c>
      <c r="J138" s="167">
        <f>IF($I$213=0,0,I138/$I$213)</f>
        <v>3.6748435588404415E-3</v>
      </c>
      <c r="K138" s="458"/>
      <c r="L138" s="163"/>
      <c r="M138" s="163"/>
      <c r="O138" s="329">
        <f t="shared" si="43"/>
        <v>0.81414517014270027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'[38]Sch C'!D136</f>
        <v>387982.89</v>
      </c>
      <c r="D140" s="480">
        <f>'[38]Sch C'!F136</f>
        <v>0</v>
      </c>
      <c r="E140" s="480">
        <f>+'[38]Sch C'!H136</f>
        <v>0</v>
      </c>
      <c r="F140" s="166">
        <f t="shared" ref="F140:F143" si="46">C140+D140+E140</f>
        <v>387982.89</v>
      </c>
      <c r="G140" s="626"/>
      <c r="H140" s="166"/>
      <c r="I140" s="166">
        <f t="shared" ref="I140:I143" si="47">F140+G140+H140</f>
        <v>387982.89</v>
      </c>
      <c r="J140" s="167">
        <f>IF($I$213=0,0,I140/$I$213)</f>
        <v>6.0073263132524014E-2</v>
      </c>
      <c r="K140" s="458"/>
      <c r="L140" s="176">
        <v>15894.52</v>
      </c>
      <c r="M140" s="176">
        <v>17814.52</v>
      </c>
      <c r="O140" s="329">
        <f t="shared" si="43"/>
        <v>13.30896302140505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'[38]Sch C'!D137</f>
        <v>160936.85</v>
      </c>
      <c r="D141" s="480">
        <f>'[38]Sch C'!F137</f>
        <v>0</v>
      </c>
      <c r="E141" s="480">
        <f>+'[38]Sch C'!H137</f>
        <v>0</v>
      </c>
      <c r="F141" s="166">
        <f t="shared" si="46"/>
        <v>160936.85</v>
      </c>
      <c r="G141" s="626"/>
      <c r="H141" s="166"/>
      <c r="I141" s="166">
        <f t="shared" si="47"/>
        <v>160936.85</v>
      </c>
      <c r="J141" s="167">
        <f>IF($I$213=0,0,I141/$I$213)</f>
        <v>2.4918629112148597E-2</v>
      </c>
      <c r="K141" s="458"/>
      <c r="L141" s="176">
        <v>6439.73</v>
      </c>
      <c r="M141" s="176">
        <v>7207.73</v>
      </c>
      <c r="O141" s="329">
        <f t="shared" si="43"/>
        <v>5.5206109357848518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'[38]Sch C'!D138</f>
        <v>1507812</v>
      </c>
      <c r="D142" s="480">
        <f>'[38]Sch C'!F138</f>
        <v>0</v>
      </c>
      <c r="E142" s="480">
        <f>+'[38]Sch C'!H138</f>
        <v>0</v>
      </c>
      <c r="F142" s="166">
        <f t="shared" si="46"/>
        <v>1507812</v>
      </c>
      <c r="G142" s="626"/>
      <c r="H142" s="166"/>
      <c r="I142" s="166">
        <f t="shared" si="47"/>
        <v>1507812</v>
      </c>
      <c r="J142" s="167">
        <f>IF($I$213=0,0,I142/$I$213)</f>
        <v>0.23346180814926476</v>
      </c>
      <c r="K142" s="458"/>
      <c r="L142" s="176">
        <v>71248.929999999993</v>
      </c>
      <c r="M142" s="176">
        <v>77968.929999999993</v>
      </c>
      <c r="O142" s="329">
        <f t="shared" si="43"/>
        <v>51.722420417124042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'[38]Sch C'!D139</f>
        <v>0</v>
      </c>
      <c r="D143" s="480">
        <f>'[38]Sch C'!F139</f>
        <v>0</v>
      </c>
      <c r="E143" s="480">
        <f>+'[38]Sch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'[38]Sch C'!D141</f>
        <v>73033</v>
      </c>
      <c r="D145" s="480">
        <f>'[38]Sch C'!F141</f>
        <v>0</v>
      </c>
      <c r="E145" s="480">
        <f>+'[38]Sch C'!H141</f>
        <v>0</v>
      </c>
      <c r="F145" s="166">
        <f t="shared" ref="F145:F148" si="48">C145+D145+E145</f>
        <v>73033</v>
      </c>
      <c r="G145" s="626"/>
      <c r="H145" s="166"/>
      <c r="I145" s="166">
        <f t="shared" ref="I145:I148" si="49">F145+G145+H145</f>
        <v>73033</v>
      </c>
      <c r="J145" s="167">
        <f>IF($I$213=0,0,I145/$I$213)</f>
        <v>1.1308051822485331E-2</v>
      </c>
      <c r="K145" s="458"/>
      <c r="L145" s="163"/>
      <c r="M145" s="163"/>
      <c r="O145" s="329">
        <f t="shared" si="43"/>
        <v>2.5052483534577386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'[38]Sch C'!D142</f>
        <v>16790</v>
      </c>
      <c r="D146" s="480">
        <f>'[38]Sch C'!F142</f>
        <v>0</v>
      </c>
      <c r="E146" s="480">
        <f>+'[38]Sch C'!H142</f>
        <v>0</v>
      </c>
      <c r="F146" s="166">
        <f t="shared" si="48"/>
        <v>16790</v>
      </c>
      <c r="G146" s="626"/>
      <c r="H146" s="166"/>
      <c r="I146" s="166">
        <f t="shared" si="49"/>
        <v>16790</v>
      </c>
      <c r="J146" s="167">
        <f>IF($I$213=0,0,I146/$I$213)</f>
        <v>2.5996767228448608E-3</v>
      </c>
      <c r="K146" s="458"/>
      <c r="L146" s="163"/>
      <c r="M146" s="163"/>
      <c r="O146" s="329">
        <f t="shared" si="43"/>
        <v>0.57594676180021953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'[38]Sch C'!D143</f>
        <v>104591</v>
      </c>
      <c r="D147" s="480">
        <f>'[38]Sch C'!F143</f>
        <v>0</v>
      </c>
      <c r="E147" s="480">
        <f>+'[38]Sch C'!H143</f>
        <v>0</v>
      </c>
      <c r="F147" s="166">
        <f t="shared" si="48"/>
        <v>104591</v>
      </c>
      <c r="G147" s="626"/>
      <c r="H147" s="166"/>
      <c r="I147" s="166">
        <f t="shared" si="49"/>
        <v>104591</v>
      </c>
      <c r="J147" s="167">
        <f>IF($I$213=0,0,I147/$I$213)</f>
        <v>1.6194329250688911E-2</v>
      </c>
      <c r="K147" s="458"/>
      <c r="L147" s="163"/>
      <c r="M147" s="163"/>
      <c r="O147" s="329">
        <f t="shared" si="43"/>
        <v>3.5877812843029639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'[38]Sch C'!D144</f>
        <v>0</v>
      </c>
      <c r="D148" s="480">
        <f>'[38]Sch C'!F144</f>
        <v>0</v>
      </c>
      <c r="E148" s="480">
        <f>+'[38]Sch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'[38]Sch C'!D146</f>
        <v>25538.82</v>
      </c>
      <c r="D150" s="480">
        <f>'[38]Sch C'!F146</f>
        <v>0</v>
      </c>
      <c r="E150" s="480">
        <f>+'[38]Sch C'!H146</f>
        <v>0</v>
      </c>
      <c r="F150" s="166">
        <f t="shared" ref="F150:F158" si="50">C150+D150+E150</f>
        <v>25538.82</v>
      </c>
      <c r="G150" s="626"/>
      <c r="H150" s="166"/>
      <c r="I150" s="166">
        <f t="shared" ref="I150:I158" si="51">F150+G150+H150</f>
        <v>25538.82</v>
      </c>
      <c r="J150" s="167">
        <f t="shared" ref="J150:J158" si="52">IF($I$213=0,0,I150/$I$213)</f>
        <v>3.9542987422825958E-3</v>
      </c>
      <c r="K150" s="458"/>
      <c r="L150" s="176">
        <v>208</v>
      </c>
      <c r="M150" s="176">
        <v>208</v>
      </c>
      <c r="O150" s="329">
        <f t="shared" si="43"/>
        <v>0.87605721734357844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'[38]Sch C'!D147</f>
        <v>0</v>
      </c>
      <c r="D151" s="480">
        <f>'[38]Sch C'!F147</f>
        <v>0</v>
      </c>
      <c r="E151" s="480">
        <f>+'[38]Sch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'[38]Sch C'!D148</f>
        <v>0</v>
      </c>
      <c r="D152" s="480">
        <f>'[38]Sch C'!F148</f>
        <v>0</v>
      </c>
      <c r="E152" s="480">
        <f>+'[38]Sch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'[38]Sch C'!D149</f>
        <v>0</v>
      </c>
      <c r="D153" s="480">
        <f>'[38]Sch C'!F149</f>
        <v>0</v>
      </c>
      <c r="E153" s="480">
        <f>+'[38]Sch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'[38]Sch C'!D150</f>
        <v>10186</v>
      </c>
      <c r="D154" s="480">
        <f>'[38]Sch C'!F150</f>
        <v>0</v>
      </c>
      <c r="E154" s="480">
        <f>+'[38]Sch C'!H150</f>
        <v>0</v>
      </c>
      <c r="F154" s="166">
        <f t="shared" si="50"/>
        <v>10186</v>
      </c>
      <c r="G154" s="626"/>
      <c r="H154" s="166"/>
      <c r="I154" s="166">
        <f t="shared" si="51"/>
        <v>10186</v>
      </c>
      <c r="J154" s="167">
        <f t="shared" si="52"/>
        <v>1.5771475341809264E-3</v>
      </c>
      <c r="K154" s="458"/>
      <c r="L154" s="176">
        <v>429</v>
      </c>
      <c r="M154" s="176">
        <v>429</v>
      </c>
      <c r="O154" s="329">
        <f t="shared" si="43"/>
        <v>0.34940998902305159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'[38]Sch C'!D151</f>
        <v>133698.92000000001</v>
      </c>
      <c r="D155" s="480">
        <f>'[38]Sch C'!F151</f>
        <v>0</v>
      </c>
      <c r="E155" s="480">
        <f>+'[38]Sch C'!H151</f>
        <v>0</v>
      </c>
      <c r="F155" s="166">
        <f t="shared" si="50"/>
        <v>133698.92000000001</v>
      </c>
      <c r="G155" s="626"/>
      <c r="H155" s="166"/>
      <c r="I155" s="166">
        <f t="shared" si="51"/>
        <v>133698.92000000001</v>
      </c>
      <c r="J155" s="167">
        <f t="shared" si="52"/>
        <v>2.0701248969237477E-2</v>
      </c>
      <c r="K155" s="458"/>
      <c r="L155" s="163"/>
      <c r="M155" s="163"/>
      <c r="O155" s="329">
        <f t="shared" si="43"/>
        <v>4.5862692096597151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'[38]Sch C'!D152</f>
        <v>1117.76</v>
      </c>
      <c r="D156" s="480">
        <f>'[38]Sch C'!F152</f>
        <v>0</v>
      </c>
      <c r="E156" s="480">
        <f>+'[38]Sch C'!H152</f>
        <v>0</v>
      </c>
      <c r="F156" s="166">
        <f t="shared" si="50"/>
        <v>1117.76</v>
      </c>
      <c r="G156" s="626"/>
      <c r="H156" s="166"/>
      <c r="I156" s="166">
        <f t="shared" si="51"/>
        <v>1117.76</v>
      </c>
      <c r="J156" s="167">
        <f t="shared" si="52"/>
        <v>1.7306817473061771E-4</v>
      </c>
      <c r="K156" s="458"/>
      <c r="L156" s="163"/>
      <c r="M156" s="163"/>
      <c r="O156" s="329">
        <f t="shared" si="43"/>
        <v>3.8342480790340285E-2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'[38]Sch C'!D153</f>
        <v>0</v>
      </c>
      <c r="D157" s="480">
        <f>'[38]Sch C'!F153</f>
        <v>0</v>
      </c>
      <c r="E157" s="480">
        <f>+'[38]Sch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'[38]Sch C'!D154</f>
        <v>0</v>
      </c>
      <c r="D158" s="480">
        <f>'[38]Sch C'!F154</f>
        <v>0</v>
      </c>
      <c r="E158" s="480">
        <f>+'[38]Sch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'[38]Sch C'!D156</f>
        <v>0</v>
      </c>
      <c r="D160" s="480">
        <f>'[38]Sch C'!F156</f>
        <v>0</v>
      </c>
      <c r="E160" s="480">
        <f>+'[38]Sch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'[38]Sch C'!D157</f>
        <v>0</v>
      </c>
      <c r="D161" s="480">
        <f>'[38]Sch C'!F157</f>
        <v>0</v>
      </c>
      <c r="E161" s="480">
        <f>+'[38]Sch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'[38]Sch C'!D158</f>
        <v>0</v>
      </c>
      <c r="D162" s="480">
        <f>'[38]Sch C'!F158</f>
        <v>0</v>
      </c>
      <c r="E162" s="480">
        <f>+'[38]Sch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'[38]Sch C'!D159</f>
        <v>0</v>
      </c>
      <c r="D163" s="480">
        <f>'[38]Sch C'!F159</f>
        <v>0</v>
      </c>
      <c r="E163" s="480">
        <f>+'[38]Sch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'[38]Sch C'!D160</f>
        <v>0</v>
      </c>
      <c r="D164" s="480">
        <f>'[38]Sch C'!F160</f>
        <v>0</v>
      </c>
      <c r="E164" s="480">
        <f>+'[38]Sch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'[38]Sch C'!D161</f>
        <v>0</v>
      </c>
      <c r="D165" s="480">
        <f>'[38]Sch C'!F161</f>
        <v>0</v>
      </c>
      <c r="E165" s="480">
        <f>+'[38]Sch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2924245.9</v>
      </c>
      <c r="D166" s="480">
        <f t="shared" si="56"/>
        <v>0</v>
      </c>
      <c r="E166" s="480">
        <f t="shared" si="56"/>
        <v>-87600</v>
      </c>
      <c r="F166" s="166">
        <f t="shared" ref="F166:I166" si="57">SUM(F128:F165)</f>
        <v>2836645.8999999994</v>
      </c>
      <c r="G166" s="166">
        <f t="shared" si="57"/>
        <v>0</v>
      </c>
      <c r="H166" s="166">
        <f t="shared" si="57"/>
        <v>0</v>
      </c>
      <c r="I166" s="166">
        <f t="shared" si="57"/>
        <v>2836645.8999999994</v>
      </c>
      <c r="J166" s="167">
        <f t="shared" si="55"/>
        <v>0.43921157338792788</v>
      </c>
      <c r="K166" s="458"/>
      <c r="L166" s="163"/>
      <c r="M166" s="163"/>
      <c r="O166" s="329">
        <f>I166/I$233</f>
        <v>97.305361553238185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'[38]Sch C'!D175</f>
        <v>0</v>
      </c>
      <c r="D169" s="480">
        <f>'[38]Sch C'!F175</f>
        <v>0</v>
      </c>
      <c r="E169" s="480">
        <f>+'[38]Sch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'[38]Sch C'!D176</f>
        <v>0</v>
      </c>
      <c r="D170" s="480">
        <f>'[38]Sch C'!F176</f>
        <v>0</v>
      </c>
      <c r="E170" s="480">
        <f>+'[38]Sch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'[38]Sch C'!D177</f>
        <v>31822</v>
      </c>
      <c r="D171" s="480">
        <f>'[38]Sch C'!F177</f>
        <v>0</v>
      </c>
      <c r="E171" s="480">
        <f>+'[38]Sch C'!H177</f>
        <v>0</v>
      </c>
      <c r="F171" s="166">
        <f t="shared" si="58"/>
        <v>31822</v>
      </c>
      <c r="G171" s="626"/>
      <c r="H171" s="166"/>
      <c r="I171" s="166">
        <f t="shared" si="59"/>
        <v>31822</v>
      </c>
      <c r="J171" s="167">
        <f t="shared" si="60"/>
        <v>4.9271538221780323E-3</v>
      </c>
      <c r="K171" s="468"/>
      <c r="L171" s="176">
        <v>1498.77</v>
      </c>
      <c r="M171" s="176">
        <v>1498.77</v>
      </c>
      <c r="N171" s="208"/>
      <c r="O171" s="329">
        <f t="shared" si="61"/>
        <v>1.0915889132821075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'[38]Sch C'!D178</f>
        <v>2510.1</v>
      </c>
      <c r="D172" s="480">
        <f>'[38]Sch C'!F178</f>
        <v>0</v>
      </c>
      <c r="E172" s="480">
        <f>+'[38]Sch C'!H178</f>
        <v>0</v>
      </c>
      <c r="F172" s="166">
        <f t="shared" si="58"/>
        <v>2510.1</v>
      </c>
      <c r="G172" s="626"/>
      <c r="H172" s="166"/>
      <c r="I172" s="166">
        <f t="shared" si="59"/>
        <v>2510.1</v>
      </c>
      <c r="J172" s="167">
        <f t="shared" si="60"/>
        <v>3.886508958911784E-4</v>
      </c>
      <c r="K172" s="469"/>
      <c r="L172" s="212"/>
      <c r="M172" s="212"/>
      <c r="N172" s="208"/>
      <c r="O172" s="329">
        <f t="shared" si="61"/>
        <v>8.610386937431394E-2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'[38]Sch C'!D179</f>
        <v>0</v>
      </c>
      <c r="D173" s="480">
        <f>'[38]Sch C'!F179</f>
        <v>0</v>
      </c>
      <c r="E173" s="480">
        <f>+'[38]Sch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'[38]Sch C'!D180</f>
        <v>0</v>
      </c>
      <c r="D174" s="480">
        <f>'[38]Sch C'!F180</f>
        <v>0</v>
      </c>
      <c r="E174" s="480">
        <f>+'[38]Sch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'[38]Sch C'!D181</f>
        <v>0</v>
      </c>
      <c r="D175" s="480">
        <f>'[38]Sch C'!F181</f>
        <v>0</v>
      </c>
      <c r="E175" s="480">
        <f>+'[38]Sch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'[38]Sch C'!D182</f>
        <v>0</v>
      </c>
      <c r="D176" s="480">
        <f>'[38]Sch C'!F182</f>
        <v>0</v>
      </c>
      <c r="E176" s="480">
        <f>+'[38]Sch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'[38]Sch C'!D183</f>
        <v>25498</v>
      </c>
      <c r="D177" s="480">
        <f>'[38]Sch C'!F183</f>
        <v>0</v>
      </c>
      <c r="E177" s="480">
        <f>+'[38]Sch C'!H183</f>
        <v>0</v>
      </c>
      <c r="F177" s="166">
        <f t="shared" si="58"/>
        <v>25498</v>
      </c>
      <c r="G177" s="626"/>
      <c r="H177" s="166"/>
      <c r="I177" s="166">
        <f t="shared" si="59"/>
        <v>25498</v>
      </c>
      <c r="J177" s="167">
        <f t="shared" si="60"/>
        <v>3.9479783846991219E-3</v>
      </c>
      <c r="K177" s="468"/>
      <c r="L177" s="176">
        <v>926.64</v>
      </c>
      <c r="M177" s="176">
        <v>926.64</v>
      </c>
      <c r="N177" s="208"/>
      <c r="O177" s="329">
        <f t="shared" si="61"/>
        <v>0.87465697036223933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'[38]Sch C'!D184</f>
        <v>2510.1</v>
      </c>
      <c r="D178" s="480">
        <f>'[38]Sch C'!F184</f>
        <v>0</v>
      </c>
      <c r="E178" s="480">
        <f>+'[38]Sch C'!H184</f>
        <v>0</v>
      </c>
      <c r="F178" s="166">
        <f t="shared" si="58"/>
        <v>2510.1</v>
      </c>
      <c r="G178" s="626"/>
      <c r="H178" s="166"/>
      <c r="I178" s="166">
        <f t="shared" si="59"/>
        <v>2510.1</v>
      </c>
      <c r="J178" s="167">
        <f t="shared" si="60"/>
        <v>3.886508958911784E-4</v>
      </c>
      <c r="K178" s="469"/>
      <c r="L178" s="212"/>
      <c r="M178" s="212"/>
      <c r="N178" s="208"/>
      <c r="O178" s="329">
        <f t="shared" si="61"/>
        <v>8.610386937431394E-2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'[38]Sch C'!D185</f>
        <v>0</v>
      </c>
      <c r="D179" s="480">
        <f>'[38]Sch C'!F185</f>
        <v>0</v>
      </c>
      <c r="E179" s="480">
        <f>+'[38]Sch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'[38]Sch C'!D186</f>
        <v>0</v>
      </c>
      <c r="D180" s="480">
        <f>'[38]Sch C'!F186</f>
        <v>0</v>
      </c>
      <c r="E180" s="480">
        <f>+'[38]Sch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'[38]Sch C'!D187</f>
        <v>0</v>
      </c>
      <c r="D181" s="480">
        <f>'[38]Sch C'!F187</f>
        <v>0</v>
      </c>
      <c r="E181" s="480">
        <f>+'[38]Sch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'[38]Sch C'!D188</f>
        <v>0</v>
      </c>
      <c r="D182" s="480">
        <f>'[38]Sch C'!F188</f>
        <v>0</v>
      </c>
      <c r="E182" s="480">
        <f>+'[38]Sch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'[38]Sch C'!D189</f>
        <v>0</v>
      </c>
      <c r="D183" s="480">
        <f>'[38]Sch C'!F189</f>
        <v>0</v>
      </c>
      <c r="E183" s="480">
        <f>+'[38]Sch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'[38]Sch C'!D190</f>
        <v>0</v>
      </c>
      <c r="D184" s="480">
        <f>'[38]Sch C'!F190</f>
        <v>0</v>
      </c>
      <c r="E184" s="480">
        <f>+'[38]Sch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'[38]Sch C'!D191</f>
        <v>0</v>
      </c>
      <c r="D185" s="480">
        <f>'[38]Sch C'!F191</f>
        <v>0</v>
      </c>
      <c r="E185" s="480">
        <f>+'[38]Sch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'[38]Sch C'!D192</f>
        <v>0</v>
      </c>
      <c r="D186" s="480">
        <f>'[38]Sch C'!F192</f>
        <v>0</v>
      </c>
      <c r="E186" s="480">
        <f>+'[38]Sch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'[38]Sch C'!D193</f>
        <v>0</v>
      </c>
      <c r="D187" s="480">
        <f>'[38]Sch C'!F193</f>
        <v>0</v>
      </c>
      <c r="E187" s="480">
        <f>+'[38]Sch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'[38]Sch C'!D194</f>
        <v>94925</v>
      </c>
      <c r="D188" s="480">
        <f>'[38]Sch C'!F194</f>
        <v>0</v>
      </c>
      <c r="E188" s="480">
        <f>+'[38]Sch C'!H194</f>
        <v>0</v>
      </c>
      <c r="F188" s="166">
        <f t="shared" si="58"/>
        <v>94925</v>
      </c>
      <c r="G188" s="626"/>
      <c r="H188" s="166"/>
      <c r="I188" s="166">
        <f t="shared" si="59"/>
        <v>94925</v>
      </c>
      <c r="J188" s="167">
        <f t="shared" si="60"/>
        <v>1.4697695825851603E-2</v>
      </c>
      <c r="K188" s="458"/>
      <c r="L188" s="213"/>
      <c r="M188" s="208"/>
      <c r="O188" s="329">
        <f t="shared" si="61"/>
        <v>3.2562088364434687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'[38]Sch C'!D195</f>
        <v>27503.75</v>
      </c>
      <c r="D189" s="480">
        <f>'[38]Sch C'!F195</f>
        <v>0</v>
      </c>
      <c r="E189" s="480">
        <f>+'[38]Sch C'!H195</f>
        <v>0</v>
      </c>
      <c r="F189" s="166">
        <f t="shared" si="58"/>
        <v>27503.75</v>
      </c>
      <c r="G189" s="626"/>
      <c r="H189" s="166"/>
      <c r="I189" s="166">
        <f t="shared" si="59"/>
        <v>27503.75</v>
      </c>
      <c r="J189" s="167">
        <f t="shared" si="60"/>
        <v>4.2585383362682755E-3</v>
      </c>
      <c r="K189" s="458"/>
      <c r="L189" s="213"/>
      <c r="M189" s="208"/>
      <c r="O189" s="329">
        <f t="shared" si="61"/>
        <v>0.94346013995609224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'[38]Sch C'!D196</f>
        <v>0</v>
      </c>
      <c r="D190" s="480">
        <f>'[38]Sch C'!F196</f>
        <v>0</v>
      </c>
      <c r="E190" s="480">
        <f>+'[38]Sch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'[38]Sch C'!D197</f>
        <v>48460</v>
      </c>
      <c r="D191" s="480">
        <f>'[38]Sch C'!F197</f>
        <v>0</v>
      </c>
      <c r="E191" s="480">
        <f>+'[38]Sch C'!H197</f>
        <v>0</v>
      </c>
      <c r="F191" s="166">
        <f t="shared" si="58"/>
        <v>48460</v>
      </c>
      <c r="G191" s="626"/>
      <c r="H191" s="166"/>
      <c r="I191" s="166">
        <f t="shared" si="59"/>
        <v>48460</v>
      </c>
      <c r="J191" s="167">
        <f t="shared" si="60"/>
        <v>7.5032956515224515E-3</v>
      </c>
      <c r="K191" s="458"/>
      <c r="L191" s="213"/>
      <c r="M191" s="208"/>
      <c r="O191" s="329">
        <f t="shared" si="61"/>
        <v>1.6623216245883645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'[38]Sch C'!D198</f>
        <v>28589.040000000001</v>
      </c>
      <c r="D192" s="480">
        <f>'[38]Sch C'!F198</f>
        <v>0</v>
      </c>
      <c r="E192" s="480">
        <f>+'[38]Sch C'!H198</f>
        <v>0</v>
      </c>
      <c r="F192" s="166">
        <f t="shared" si="58"/>
        <v>28589.040000000001</v>
      </c>
      <c r="G192" s="626"/>
      <c r="H192" s="166"/>
      <c r="I192" s="166">
        <f t="shared" si="59"/>
        <v>28589.040000000001</v>
      </c>
      <c r="J192" s="167">
        <f t="shared" si="60"/>
        <v>4.4265790242096871E-3</v>
      </c>
      <c r="K192" s="458"/>
      <c r="L192" s="213"/>
      <c r="M192" s="208"/>
      <c r="O192" s="329">
        <f t="shared" si="61"/>
        <v>0.98068880351262355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'[38]Sch C'!D199</f>
        <v>0</v>
      </c>
      <c r="D193" s="480">
        <f>'[38]Sch C'!F199</f>
        <v>0</v>
      </c>
      <c r="E193" s="480">
        <f>+'[38]Sch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'[38]Sch C'!D200</f>
        <v>0</v>
      </c>
      <c r="D194" s="480">
        <f>'[38]Sch C'!F200</f>
        <v>0</v>
      </c>
      <c r="E194" s="480">
        <f>+'[38]Sch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'[38]Sch C'!D201</f>
        <v>0</v>
      </c>
      <c r="D195" s="480">
        <f>'[38]Sch C'!F201</f>
        <v>0</v>
      </c>
      <c r="E195" s="480">
        <f>+'[38]Sch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'[38]Sch C'!D202</f>
        <v>0</v>
      </c>
      <c r="D196" s="480">
        <f>'[38]Sch C'!F202</f>
        <v>0</v>
      </c>
      <c r="E196" s="480">
        <f>+'[38]Sch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'[38]Sch C'!D203</f>
        <v>0</v>
      </c>
      <c r="D197" s="480">
        <f>'[38]Sch C'!F203</f>
        <v>0</v>
      </c>
      <c r="E197" s="480">
        <f>+'[38]Sch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'[38]Sch C'!D204</f>
        <v>0</v>
      </c>
      <c r="D198" s="480">
        <f>'[38]Sch C'!F204</f>
        <v>0</v>
      </c>
      <c r="E198" s="480">
        <f>+'[38]Sch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'[38]Sch C'!D205</f>
        <v>97181.2</v>
      </c>
      <c r="D199" s="480">
        <f>'[38]Sch C'!F205</f>
        <v>0</v>
      </c>
      <c r="E199" s="480">
        <f>+'[38]Sch C'!H205</f>
        <v>0</v>
      </c>
      <c r="F199" s="166">
        <f t="shared" si="58"/>
        <v>97181.2</v>
      </c>
      <c r="G199" s="626"/>
      <c r="H199" s="166"/>
      <c r="I199" s="166">
        <f t="shared" si="59"/>
        <v>97181.2</v>
      </c>
      <c r="J199" s="167">
        <f t="shared" si="60"/>
        <v>1.5047034159507503E-2</v>
      </c>
      <c r="K199" s="458"/>
      <c r="L199" s="213"/>
      <c r="M199" s="208"/>
      <c r="O199" s="329">
        <f t="shared" si="61"/>
        <v>3.3336031833150384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'[38]Sch C'!D206</f>
        <v>9630.7800000000007</v>
      </c>
      <c r="D200" s="480">
        <f>'[38]Sch C'!F206</f>
        <v>0</v>
      </c>
      <c r="E200" s="480">
        <f>+'[38]Sch C'!H206</f>
        <v>0</v>
      </c>
      <c r="F200" s="166">
        <f t="shared" si="58"/>
        <v>9630.7800000000007</v>
      </c>
      <c r="G200" s="626"/>
      <c r="H200" s="166"/>
      <c r="I200" s="166">
        <f t="shared" si="59"/>
        <v>9630.7800000000007</v>
      </c>
      <c r="J200" s="167">
        <f t="shared" si="60"/>
        <v>1.491180142277536E-3</v>
      </c>
      <c r="K200" s="458"/>
      <c r="L200" s="213"/>
      <c r="M200" s="208"/>
      <c r="O200" s="329">
        <f t="shared" si="61"/>
        <v>0.33036429747530188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'[38]Sch C'!D207</f>
        <v>0</v>
      </c>
      <c r="D201" s="480">
        <f>'[38]Sch C'!F207</f>
        <v>0</v>
      </c>
      <c r="E201" s="480">
        <f>+'[38]Sch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368629.97000000003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368629.97000000003</v>
      </c>
      <c r="G202" s="166">
        <f t="shared" si="63"/>
        <v>0</v>
      </c>
      <c r="H202" s="166">
        <f t="shared" si="63"/>
        <v>0</v>
      </c>
      <c r="I202" s="166">
        <f t="shared" si="63"/>
        <v>368629.97000000003</v>
      </c>
      <c r="J202" s="167">
        <f>IF($I$213=0,0,I202/$I$213)</f>
        <v>5.7076757138296574E-2</v>
      </c>
      <c r="K202" s="458"/>
      <c r="L202" s="163"/>
      <c r="M202" s="163"/>
      <c r="O202" s="329">
        <f>I202/I$233</f>
        <v>12.645100507683864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'[38]Sch C'!D211</f>
        <v>229818.54</v>
      </c>
      <c r="D205" s="480">
        <f>'[38]Sch C'!F211</f>
        <v>0</v>
      </c>
      <c r="E205" s="480">
        <f>+'[38]Sch C'!H211</f>
        <v>0</v>
      </c>
      <c r="F205" s="166">
        <f t="shared" ref="F205:F210" si="64">C205+D205+E205</f>
        <v>229818.54</v>
      </c>
      <c r="G205" s="626"/>
      <c r="H205" s="166"/>
      <c r="I205" s="166">
        <f t="shared" ref="I205:I210" si="65">F205+G205+H205</f>
        <v>229818.54</v>
      </c>
      <c r="J205" s="167">
        <f t="shared" ref="J205:J211" si="66">IF($I$213=0,0,I205/$I$213)</f>
        <v>3.5583913574519989E-2</v>
      </c>
      <c r="K205" s="458"/>
      <c r="L205" s="176">
        <v>11791.46</v>
      </c>
      <c r="M205" s="176">
        <v>12943.46</v>
      </c>
      <c r="O205" s="329">
        <f t="shared" ref="O205:O210" si="67">I205/I$233</f>
        <v>7.8834570526893524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'[38]Sch C'!D212</f>
        <v>24326.3</v>
      </c>
      <c r="D206" s="480">
        <f>'[38]Sch C'!F212</f>
        <v>0</v>
      </c>
      <c r="E206" s="480">
        <f>+'[38]Sch C'!H212</f>
        <v>0</v>
      </c>
      <c r="F206" s="166">
        <f t="shared" si="64"/>
        <v>24326.3</v>
      </c>
      <c r="G206" s="626"/>
      <c r="H206" s="166"/>
      <c r="I206" s="166">
        <f t="shared" si="65"/>
        <v>24326.3</v>
      </c>
      <c r="J206" s="167">
        <f t="shared" si="66"/>
        <v>3.7665584194723606E-3</v>
      </c>
      <c r="K206" s="458"/>
      <c r="L206" s="163"/>
      <c r="M206" s="163"/>
      <c r="O206" s="329">
        <f t="shared" si="67"/>
        <v>0.83446418770581776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'[38]Sch C'!D213</f>
        <v>26675.25</v>
      </c>
      <c r="D207" s="480">
        <f>'[38]Sch C'!F213</f>
        <v>0</v>
      </c>
      <c r="E207" s="480">
        <f>+'[38]Sch C'!H213</f>
        <v>0</v>
      </c>
      <c r="F207" s="166">
        <f t="shared" si="64"/>
        <v>26675.25</v>
      </c>
      <c r="G207" s="626"/>
      <c r="H207" s="166"/>
      <c r="I207" s="166">
        <f t="shared" si="65"/>
        <v>26675.25</v>
      </c>
      <c r="J207" s="167">
        <f t="shared" si="66"/>
        <v>4.1302576832083007E-3</v>
      </c>
      <c r="K207" s="458"/>
      <c r="L207" s="163"/>
      <c r="M207" s="163"/>
      <c r="O207" s="329">
        <f t="shared" si="67"/>
        <v>0.915040134467618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'[38]Sch C'!D214</f>
        <v>0</v>
      </c>
      <c r="D208" s="480">
        <f>'[38]Sch C'!F214</f>
        <v>0</v>
      </c>
      <c r="E208" s="480">
        <f>+'[38]Sch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'[38]Sch C'!D215</f>
        <v>0</v>
      </c>
      <c r="D209" s="480">
        <f>'[38]Sch C'!F215</f>
        <v>0</v>
      </c>
      <c r="E209" s="480">
        <f>+'[38]Sch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'[38]Sch C'!D216</f>
        <v>369563</v>
      </c>
      <c r="D210" s="480">
        <f>'[38]Sch C'!F216</f>
        <v>-15637</v>
      </c>
      <c r="E210" s="480">
        <f>+'[38]Sch C'!H216</f>
        <v>-342685</v>
      </c>
      <c r="F210" s="166">
        <f t="shared" si="64"/>
        <v>11241</v>
      </c>
      <c r="G210" s="626"/>
      <c r="H210" s="166"/>
      <c r="I210" s="166">
        <f t="shared" si="65"/>
        <v>11241</v>
      </c>
      <c r="J210" s="167">
        <f t="shared" si="66"/>
        <v>1.7404982752530721E-3</v>
      </c>
      <c r="K210" s="457"/>
      <c r="L210" s="163"/>
      <c r="M210" s="163"/>
      <c r="O210" s="329">
        <f t="shared" si="67"/>
        <v>0.38559961580680568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650383.09</v>
      </c>
      <c r="D211" s="480">
        <f t="shared" si="68"/>
        <v>-15637</v>
      </c>
      <c r="E211" s="480">
        <f t="shared" si="68"/>
        <v>-342685</v>
      </c>
      <c r="F211" s="166">
        <f t="shared" ref="F211:I211" si="69">SUM(F205:F210)</f>
        <v>292061.08999999997</v>
      </c>
      <c r="G211" s="166">
        <f t="shared" si="69"/>
        <v>0</v>
      </c>
      <c r="H211" s="166">
        <f t="shared" si="69"/>
        <v>0</v>
      </c>
      <c r="I211" s="166">
        <f t="shared" si="69"/>
        <v>292061.08999999997</v>
      </c>
      <c r="J211" s="167">
        <f t="shared" si="66"/>
        <v>4.5221227952453716E-2</v>
      </c>
      <c r="K211" s="458"/>
      <c r="L211" s="163"/>
      <c r="M211" s="163"/>
      <c r="O211" s="329">
        <f>I211/I$233</f>
        <v>10.018560990669593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7046105.7299999977</v>
      </c>
      <c r="D213" s="480">
        <f t="shared" si="70"/>
        <v>-31796</v>
      </c>
      <c r="E213" s="480">
        <f t="shared" si="70"/>
        <v>-555814.39</v>
      </c>
      <c r="F213" s="166">
        <f t="shared" ref="F213:I213" si="71">SUM(F30:F211)/2</f>
        <v>6458495.339999998</v>
      </c>
      <c r="G213" s="166">
        <f t="shared" si="71"/>
        <v>0</v>
      </c>
      <c r="H213" s="166">
        <f t="shared" si="71"/>
        <v>0</v>
      </c>
      <c r="I213" s="166">
        <f t="shared" si="71"/>
        <v>6458495.339999998</v>
      </c>
      <c r="J213" s="167">
        <f>IF($I$213=0,0,I213/$I$213)</f>
        <v>1</v>
      </c>
      <c r="K213" s="458"/>
      <c r="L213" s="176">
        <f>SUM(L30:L205)</f>
        <v>171123.24</v>
      </c>
      <c r="M213" s="176">
        <f>SUM(M30:M205)</f>
        <v>188411.24</v>
      </c>
      <c r="O213" s="329">
        <f>I213/I$233</f>
        <v>221.54553169593845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'[38]Sch C'!D221</f>
        <v>7046106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-0.27000000234693289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-42684.959999997169</v>
      </c>
      <c r="D220" s="480">
        <f t="shared" si="72"/>
        <v>31796</v>
      </c>
      <c r="E220" s="480">
        <f t="shared" si="72"/>
        <v>555814.39</v>
      </c>
      <c r="F220" s="166">
        <f t="shared" ref="F220:H220" si="73">F26-F213</f>
        <v>544925.4300000025</v>
      </c>
      <c r="G220" s="166">
        <f t="shared" si="73"/>
        <v>0</v>
      </c>
      <c r="H220" s="166">
        <f t="shared" si="73"/>
        <v>0</v>
      </c>
      <c r="I220" s="166">
        <f>I26-I213</f>
        <v>544925.43000000156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'[38]Sch D'!C9</f>
        <v>19759</v>
      </c>
      <c r="D224" s="480"/>
      <c r="E224" s="480"/>
      <c r="F224" s="224">
        <f>C224+D224+E224</f>
        <v>19759</v>
      </c>
      <c r="G224" s="627"/>
      <c r="H224" s="223"/>
      <c r="I224" s="224">
        <f>F224+G224+H224</f>
        <v>19759</v>
      </c>
      <c r="J224" s="167">
        <f t="shared" ref="J224:J233" si="74">IF($I$233=0,0,I224/$I$233)</f>
        <v>0.67779226125137215</v>
      </c>
      <c r="K224" s="458"/>
      <c r="L224" s="163"/>
      <c r="M224" s="163"/>
    </row>
    <row r="225" spans="1:13">
      <c r="A225" s="158"/>
      <c r="B225" s="165" t="s">
        <v>201</v>
      </c>
      <c r="C225" s="504">
        <f>'[38]Sch D'!D9</f>
        <v>1836</v>
      </c>
      <c r="D225" s="480"/>
      <c r="E225" s="480"/>
      <c r="F225" s="224">
        <f t="shared" ref="F225:F232" si="75">C225+D225+E225</f>
        <v>1836</v>
      </c>
      <c r="G225" s="627"/>
      <c r="H225" s="223"/>
      <c r="I225" s="224">
        <f t="shared" ref="I225:I232" si="76">F225+G225+H225</f>
        <v>1836</v>
      </c>
      <c r="J225" s="167">
        <f t="shared" si="74"/>
        <v>6.2980241492864977E-2</v>
      </c>
      <c r="K225" s="458"/>
      <c r="L225" s="163"/>
      <c r="M225" s="163"/>
    </row>
    <row r="226" spans="1:13">
      <c r="A226" s="158"/>
      <c r="B226" s="165" t="s">
        <v>64</v>
      </c>
      <c r="C226" s="504">
        <f>'[38]Sch D'!E9</f>
        <v>576</v>
      </c>
      <c r="D226" s="480"/>
      <c r="E226" s="480"/>
      <c r="F226" s="224">
        <f t="shared" si="75"/>
        <v>576</v>
      </c>
      <c r="G226" s="627"/>
      <c r="H226" s="223"/>
      <c r="I226" s="224">
        <f t="shared" si="76"/>
        <v>576</v>
      </c>
      <c r="J226" s="167">
        <f t="shared" si="74"/>
        <v>1.9758507135016465E-2</v>
      </c>
      <c r="K226" s="458"/>
      <c r="L226" s="163"/>
      <c r="M226" s="163"/>
    </row>
    <row r="227" spans="1:13">
      <c r="A227" s="158"/>
      <c r="B227" s="194" t="s">
        <v>315</v>
      </c>
      <c r="C227" s="504">
        <f>'[38]Sch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'[38]Sch D'!G9</f>
        <v>5442</v>
      </c>
      <c r="D228" s="480"/>
      <c r="E228" s="480"/>
      <c r="F228" s="224">
        <f t="shared" si="75"/>
        <v>5442</v>
      </c>
      <c r="G228" s="627"/>
      <c r="H228" s="223"/>
      <c r="I228" s="224">
        <f t="shared" si="76"/>
        <v>5442</v>
      </c>
      <c r="J228" s="167">
        <f t="shared" si="74"/>
        <v>0.18667672886937431</v>
      </c>
      <c r="K228" s="458"/>
      <c r="L228" s="163"/>
      <c r="M228" s="163"/>
    </row>
    <row r="229" spans="1:13">
      <c r="A229" s="158"/>
      <c r="B229" s="165" t="s">
        <v>66</v>
      </c>
      <c r="C229" s="504">
        <f>'[38]Sch D'!H9</f>
        <v>999</v>
      </c>
      <c r="D229" s="480"/>
      <c r="E229" s="480"/>
      <c r="F229" s="224">
        <f t="shared" si="75"/>
        <v>999</v>
      </c>
      <c r="G229" s="627"/>
      <c r="H229" s="223"/>
      <c r="I229" s="224">
        <f t="shared" si="76"/>
        <v>999</v>
      </c>
      <c r="J229" s="167">
        <f t="shared" si="74"/>
        <v>3.4268660812294183E-2</v>
      </c>
      <c r="K229" s="458"/>
      <c r="L229" s="163"/>
      <c r="M229" s="163"/>
    </row>
    <row r="230" spans="1:13">
      <c r="A230" s="158"/>
      <c r="B230" s="165" t="s">
        <v>219</v>
      </c>
      <c r="C230" s="504">
        <f>'[38]Sch D'!I9</f>
        <v>540</v>
      </c>
      <c r="D230" s="480"/>
      <c r="E230" s="480"/>
      <c r="F230" s="224">
        <f t="shared" si="75"/>
        <v>540</v>
      </c>
      <c r="G230" s="627"/>
      <c r="H230" s="223"/>
      <c r="I230" s="224">
        <f t="shared" si="76"/>
        <v>540</v>
      </c>
      <c r="J230" s="167">
        <f t="shared" si="74"/>
        <v>1.8523600439077935E-2</v>
      </c>
      <c r="K230" s="458"/>
      <c r="L230" s="163"/>
      <c r="M230" s="163"/>
    </row>
    <row r="231" spans="1:13">
      <c r="A231" s="158"/>
      <c r="B231" s="165" t="s">
        <v>218</v>
      </c>
      <c r="C231" s="504">
        <f>'[38]Sch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'[38]Sch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29152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29152</v>
      </c>
      <c r="G233" s="226">
        <f t="shared" si="78"/>
        <v>0</v>
      </c>
      <c r="H233" s="226">
        <f t="shared" si="78"/>
        <v>0</v>
      </c>
      <c r="I233" s="226">
        <f t="shared" si="78"/>
        <v>29152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'[38]Sch D'!N22</f>
        <v>82</v>
      </c>
      <c r="D236" s="480"/>
      <c r="E236" s="480"/>
      <c r="F236" s="224">
        <f>C236+E236</f>
        <v>82</v>
      </c>
      <c r="G236" s="627"/>
      <c r="H236" s="224"/>
      <c r="I236" s="224">
        <f>F236+G236+H236</f>
        <v>82</v>
      </c>
      <c r="K236" s="460"/>
      <c r="L236" s="163"/>
      <c r="M236" s="163"/>
    </row>
    <row r="237" spans="1:13">
      <c r="A237" s="158"/>
      <c r="B237" s="194" t="s">
        <v>271</v>
      </c>
      <c r="C237" s="504">
        <f>'[38]Sch D'!N24</f>
        <v>78</v>
      </c>
      <c r="D237" s="480"/>
      <c r="E237" s="480"/>
      <c r="F237" s="224">
        <f>C237+E237</f>
        <v>78</v>
      </c>
      <c r="G237" s="627"/>
      <c r="H237" s="224"/>
      <c r="I237" s="224">
        <f>F237+G237+H237</f>
        <v>78</v>
      </c>
      <c r="J237" s="264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'[38]Sch D'!N28</f>
        <v>29930</v>
      </c>
      <c r="D240" s="427"/>
      <c r="E240" s="427"/>
      <c r="F240" s="223">
        <f>F236*F238</f>
        <v>29930</v>
      </c>
      <c r="G240"/>
      <c r="H240" s="228"/>
      <c r="I240" s="223">
        <f>I236*I238</f>
        <v>29930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'[38]Sch D'!N30</f>
        <v>0.97400601403274312</v>
      </c>
      <c r="D241" s="228"/>
      <c r="E241" s="228"/>
      <c r="F241" s="232">
        <f>F233/F240</f>
        <v>0.97400601403274312</v>
      </c>
      <c r="G241"/>
      <c r="H241" s="233"/>
      <c r="I241" s="232">
        <f>I233/I240</f>
        <v>0.97400601403274312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'[38]Sch D'!N32</f>
        <v>0.7215168727029736</v>
      </c>
      <c r="D242" s="228"/>
      <c r="E242" s="228"/>
      <c r="F242" s="232">
        <f>(F224+F225)/F240</f>
        <v>0.7215168727029736</v>
      </c>
      <c r="G242"/>
      <c r="H242" s="233"/>
      <c r="I242" s="232">
        <f>(I224+I225)/I240</f>
        <v>0.7215168727029736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'[38]Sch D'!N34</f>
        <v>0.740772502744237</v>
      </c>
      <c r="D243" s="228"/>
      <c r="E243" s="228"/>
      <c r="F243" s="232">
        <f>(F242/F241)</f>
        <v>0.740772502744237</v>
      </c>
      <c r="G243"/>
      <c r="H243" s="233"/>
      <c r="I243" s="232">
        <f>(I242/I241)</f>
        <v>0.740772502744237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/>
      <c r="H246" s="140" t="s">
        <v>321</v>
      </c>
      <c r="I246" s="480"/>
      <c r="K246" s="460"/>
    </row>
    <row r="247" spans="1:13">
      <c r="H247" s="140" t="s">
        <v>322</v>
      </c>
      <c r="I247" s="480"/>
      <c r="K247" s="460"/>
    </row>
    <row r="248" spans="1:13">
      <c r="B248" s="440"/>
      <c r="H248" s="140" t="s">
        <v>323</v>
      </c>
      <c r="I248" s="480"/>
      <c r="K248" s="460"/>
    </row>
    <row r="249" spans="1:13">
      <c r="B249" s="411"/>
      <c r="H249" s="140" t="s">
        <v>324</v>
      </c>
      <c r="I249" s="480"/>
      <c r="K249" s="460"/>
    </row>
    <row r="250" spans="1:13">
      <c r="B250" s="411"/>
      <c r="H250" s="140"/>
      <c r="K250" s="460"/>
    </row>
    <row r="251" spans="1:13">
      <c r="B251" s="411"/>
      <c r="K251" s="460"/>
    </row>
    <row r="252" spans="1:13">
      <c r="B252" s="411"/>
    </row>
    <row r="253" spans="1:13">
      <c r="B253" s="411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4" sqref="F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86">
    <tabColor rgb="FFE28CAB"/>
  </sheetPr>
  <dimension ref="A1:Q277"/>
  <sheetViews>
    <sheetView showGridLines="0" topLeftCell="B7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59"/>
    </row>
    <row r="2" spans="1:16" ht="23">
      <c r="B2" s="141" t="s">
        <v>178</v>
      </c>
      <c r="C2" s="234" t="s">
        <v>349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'[39]Sch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'[39]Sch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'[39]Sch B'!E10</f>
        <v>1059172.03</v>
      </c>
      <c r="D12" s="480">
        <f>'[39]Sch B'!G10</f>
        <v>0</v>
      </c>
      <c r="E12" s="480"/>
      <c r="F12" s="166">
        <f>C12+D12+E12</f>
        <v>1059172.03</v>
      </c>
      <c r="G12" s="626"/>
      <c r="H12" s="166"/>
      <c r="I12" s="166">
        <f>F12+G12+H12</f>
        <v>1059172.03</v>
      </c>
      <c r="J12" s="167">
        <f>IF($I$26=0,0,I12/$I$26)</f>
        <v>0.27657983396441743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'[39]Sch B'!E12</f>
        <v>550227.12</v>
      </c>
      <c r="D13" s="480">
        <f>'[39]Sch B'!G12</f>
        <v>0</v>
      </c>
      <c r="E13" s="480"/>
      <c r="F13" s="166">
        <f t="shared" ref="F13:F25" si="0">C13+D13+E13</f>
        <v>550227.12</v>
      </c>
      <c r="G13" s="626"/>
      <c r="H13" s="166"/>
      <c r="I13" s="166">
        <f t="shared" ref="I13:I25" si="1">F13+G13+H13</f>
        <v>550227.12</v>
      </c>
      <c r="J13" s="167">
        <f>IF($I$26=0,0,I13/$I$26)</f>
        <v>0.14367989446654814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'[39]Sch B'!E13</f>
        <v>5963.09</v>
      </c>
      <c r="D14" s="480">
        <f>'[39]Sch B'!G13</f>
        <v>0</v>
      </c>
      <c r="E14" s="480"/>
      <c r="F14" s="166">
        <f t="shared" si="0"/>
        <v>5963.09</v>
      </c>
      <c r="G14" s="626"/>
      <c r="H14" s="166"/>
      <c r="I14" s="166">
        <f t="shared" si="1"/>
        <v>5963.09</v>
      </c>
      <c r="J14" s="167">
        <f>IF($I$26=0,0,I14/$I$26)</f>
        <v>1.5571317929485712E-3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'[39]Sch B'!E14</f>
        <v>54199.96</v>
      </c>
      <c r="D15" s="480">
        <f>'[39]Sch B'!G14</f>
        <v>0</v>
      </c>
      <c r="E15" s="480"/>
      <c r="F15" s="166">
        <f t="shared" si="0"/>
        <v>54199.96</v>
      </c>
      <c r="G15" s="626"/>
      <c r="H15" s="166"/>
      <c r="I15" s="166">
        <f t="shared" si="1"/>
        <v>54199.96</v>
      </c>
      <c r="J15" s="167">
        <f>IF($I$26=0,0,I15/$I$26)</f>
        <v>1.4153145582666175E-2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'[39]Sch B'!E15</f>
        <v>1669562.2</v>
      </c>
      <c r="D16" s="480">
        <f>'[39]Sch B'!G15</f>
        <v>0</v>
      </c>
      <c r="E16" s="480"/>
      <c r="F16" s="166">
        <f t="shared" si="0"/>
        <v>1669562.2</v>
      </c>
      <c r="G16" s="626"/>
      <c r="H16" s="166"/>
      <c r="I16" s="166">
        <f>SUM(I12:I15)</f>
        <v>1669562.2</v>
      </c>
      <c r="J16" s="167">
        <f t="shared" ref="J16:J26" si="2">IF($I$26=0,0,I16/$I$26)</f>
        <v>0.4359700058065803</v>
      </c>
      <c r="K16" s="458"/>
      <c r="L16" s="333" t="s">
        <v>325</v>
      </c>
      <c r="M16" s="334">
        <f>I26</f>
        <v>3829534.5500000003</v>
      </c>
      <c r="O16" s="324">
        <f>IFERROR(I16/I224,0)</f>
        <v>275.2781863149217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'[39]Sch B'!E20</f>
        <v>0</v>
      </c>
      <c r="D17" s="480">
        <f>'[39]Sch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4070030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'[39]Sch B'!E26</f>
        <v>995630.6100000001</v>
      </c>
      <c r="D18" s="480">
        <f>'[39]Sch B'!G26</f>
        <v>0</v>
      </c>
      <c r="E18" s="480"/>
      <c r="F18" s="166">
        <f t="shared" si="0"/>
        <v>995630.6100000001</v>
      </c>
      <c r="G18" s="626"/>
      <c r="H18" s="166"/>
      <c r="I18" s="166">
        <f t="shared" si="1"/>
        <v>995630.6100000001</v>
      </c>
      <c r="J18" s="167">
        <f t="shared" si="2"/>
        <v>0.25998736843880937</v>
      </c>
      <c r="K18" s="458"/>
      <c r="L18" s="335" t="s">
        <v>327</v>
      </c>
      <c r="M18" s="336">
        <f>I233</f>
        <v>15905</v>
      </c>
      <c r="O18" s="324">
        <f t="shared" si="3"/>
        <v>522.092611431568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'[39]Sch B'!E32</f>
        <v>15179.5</v>
      </c>
      <c r="D19" s="480">
        <f>'[39]Sch B'!G32</f>
        <v>0</v>
      </c>
      <c r="E19" s="480"/>
      <c r="F19" s="166">
        <f t="shared" si="0"/>
        <v>15179.5</v>
      </c>
      <c r="G19" s="626"/>
      <c r="H19" s="166"/>
      <c r="I19" s="166">
        <f t="shared" si="1"/>
        <v>15179.5</v>
      </c>
      <c r="J19" s="170">
        <f t="shared" si="2"/>
        <v>3.9637976369739239E-3</v>
      </c>
      <c r="K19" s="464"/>
      <c r="L19" s="335" t="s">
        <v>328</v>
      </c>
      <c r="M19" s="336">
        <f>I236</f>
        <v>60</v>
      </c>
      <c r="O19" s="324">
        <f t="shared" si="3"/>
        <v>187.40123456790124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'[39]Sch B'!E37</f>
        <v>0</v>
      </c>
      <c r="D20" s="480">
        <f>'[39]Sch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21900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'[39]Sch B'!E42</f>
        <v>1099524.31</v>
      </c>
      <c r="D21" s="480">
        <f>'[39]Sch B'!G42</f>
        <v>11700</v>
      </c>
      <c r="E21" s="480"/>
      <c r="F21" s="166">
        <f t="shared" si="0"/>
        <v>1111224.31</v>
      </c>
      <c r="G21" s="626"/>
      <c r="H21" s="166"/>
      <c r="I21" s="166">
        <f t="shared" si="1"/>
        <v>1111224.31</v>
      </c>
      <c r="J21" s="167">
        <f t="shared" si="2"/>
        <v>0.29017215943384034</v>
      </c>
      <c r="K21" s="458"/>
      <c r="L21" s="337"/>
      <c r="M21" s="336"/>
      <c r="O21" s="324">
        <f t="shared" si="3"/>
        <v>141.52118059093226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'[39]Sch B'!E47</f>
        <v>0</v>
      </c>
      <c r="D22" s="480">
        <f>'[39]Sch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102762.61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'[39]Sch B'!E52</f>
        <v>11700</v>
      </c>
      <c r="D23" s="480">
        <f>'[39]Sch B'!G52</f>
        <v>-11700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111236.52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'[39]Sch B'!E57</f>
        <v>0</v>
      </c>
      <c r="D24" s="480">
        <f>'[39]Sch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'[39]Sch B'!E72</f>
        <v>115988.93000000002</v>
      </c>
      <c r="D25" s="480">
        <f>'[39]Sch B'!G72</f>
        <v>0</v>
      </c>
      <c r="E25" s="480"/>
      <c r="F25" s="166">
        <f t="shared" si="0"/>
        <v>115988.93000000002</v>
      </c>
      <c r="G25" s="626">
        <f>-46346-231-31474</f>
        <v>-78051</v>
      </c>
      <c r="H25" s="166"/>
      <c r="I25" s="166">
        <f t="shared" si="1"/>
        <v>37937.930000000022</v>
      </c>
      <c r="J25" s="167">
        <f t="shared" si="2"/>
        <v>9.9066686837960549E-3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3907585.5500000003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3907585.5500000003</v>
      </c>
      <c r="G26" s="166">
        <f>SUM(G12:G25)</f>
        <v>-78051</v>
      </c>
      <c r="H26" s="166">
        <f>SUM(H12:H25)</f>
        <v>0</v>
      </c>
      <c r="I26" s="166">
        <f>SUM(I16:I25)</f>
        <v>3829534.5500000003</v>
      </c>
      <c r="J26" s="167">
        <f t="shared" si="2"/>
        <v>1</v>
      </c>
      <c r="K26" s="458"/>
      <c r="L26" s="163"/>
      <c r="M26" s="163"/>
      <c r="O26" s="324">
        <f>IFERROR(I26/I233,0)</f>
        <v>240.77551398931155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'[39]Sch C'!D10</f>
        <v>76720.13</v>
      </c>
      <c r="D30" s="480">
        <f>'[39]Sch C'!F10</f>
        <v>0</v>
      </c>
      <c r="E30" s="480">
        <f>+'[39]Sch C'!H10</f>
        <v>0</v>
      </c>
      <c r="F30" s="166">
        <f t="shared" ref="F30:F65" si="5">C30+D30+E30</f>
        <v>76720.13</v>
      </c>
      <c r="G30" s="626"/>
      <c r="H30" s="166"/>
      <c r="I30" s="166">
        <f t="shared" ref="I30:I65" si="6">F30+G30+H30</f>
        <v>76720.13</v>
      </c>
      <c r="J30" s="167">
        <f>IF($I$213=0,0,I30/$I$213)</f>
        <v>1.8850015847549036E-2</v>
      </c>
      <c r="K30" s="458"/>
      <c r="L30" s="176">
        <v>2076.94</v>
      </c>
      <c r="M30" s="176">
        <v>2174.5500000000002</v>
      </c>
      <c r="O30" s="324">
        <f>I30/I$233</f>
        <v>4.8236485381955365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'[39]Sch C'!D11</f>
        <v>0</v>
      </c>
      <c r="D31" s="480">
        <f>'[39]Sch C'!F11</f>
        <v>0</v>
      </c>
      <c r="E31" s="480">
        <f>+'[39]Sch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'[39]Sch C'!D12</f>
        <v>58199.46</v>
      </c>
      <c r="D32" s="480">
        <f>'[39]Sch C'!F12</f>
        <v>0</v>
      </c>
      <c r="E32" s="480">
        <f>+'[39]Sch C'!H12</f>
        <v>0</v>
      </c>
      <c r="F32" s="166">
        <f t="shared" si="5"/>
        <v>58199.46</v>
      </c>
      <c r="G32" s="626"/>
      <c r="H32" s="166"/>
      <c r="I32" s="166">
        <f t="shared" si="6"/>
        <v>58199.46</v>
      </c>
      <c r="J32" s="167">
        <f t="shared" si="7"/>
        <v>1.4299516219782163E-2</v>
      </c>
      <c r="K32" s="458"/>
      <c r="L32" s="176">
        <v>4206.1000000000004</v>
      </c>
      <c r="M32" s="176">
        <v>4548.32</v>
      </c>
      <c r="O32" s="324">
        <f t="shared" si="8"/>
        <v>3.6591927066960075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'[39]Sch C'!D13</f>
        <v>669778.02</v>
      </c>
      <c r="D33" s="480">
        <f>'[39]Sch C'!F13</f>
        <v>-619445.86168141826</v>
      </c>
      <c r="E33" s="480">
        <f>+'[39]Sch C'!H13</f>
        <v>0</v>
      </c>
      <c r="F33" s="166">
        <f t="shared" si="5"/>
        <v>50332.158318581758</v>
      </c>
      <c r="G33" s="626"/>
      <c r="H33" s="166"/>
      <c r="I33" s="166">
        <f t="shared" si="6"/>
        <v>50332.158318581758</v>
      </c>
      <c r="J33" s="167">
        <f t="shared" si="7"/>
        <v>1.2366532511696907E-2</v>
      </c>
      <c r="K33" s="458"/>
      <c r="L33" s="163"/>
      <c r="M33" s="163"/>
      <c r="O33" s="324">
        <f t="shared" si="8"/>
        <v>3.1645494070155147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'[39]Sch C'!D14</f>
        <v>0</v>
      </c>
      <c r="D34" s="480">
        <f>'[39]Sch C'!F14</f>
        <v>0</v>
      </c>
      <c r="E34" s="480">
        <f>+'[39]Sch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'[39]Sch C'!D15</f>
        <v>225741.49</v>
      </c>
      <c r="D35" s="480">
        <f>'[39]Sch C'!F15</f>
        <v>0</v>
      </c>
      <c r="E35" s="480">
        <f>+'[39]Sch C'!H15</f>
        <v>-225741.41</v>
      </c>
      <c r="F35" s="166">
        <f t="shared" si="5"/>
        <v>7.9999999987194315E-2</v>
      </c>
      <c r="G35" s="626"/>
      <c r="H35" s="166"/>
      <c r="I35" s="166">
        <f t="shared" si="6"/>
        <v>7.9999999987194315E-2</v>
      </c>
      <c r="J35" s="167">
        <f t="shared" si="7"/>
        <v>1.9655874769275488E-8</v>
      </c>
      <c r="K35" s="458"/>
      <c r="L35" s="163"/>
      <c r="M35" s="163"/>
      <c r="O35" s="324">
        <f t="shared" si="8"/>
        <v>5.029864821577763E-6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'[39]Sch C'!D16</f>
        <v>0</v>
      </c>
      <c r="D36" s="480">
        <f>'[39]Sch C'!F16</f>
        <v>0</v>
      </c>
      <c r="E36" s="480">
        <f>+'[39]Sch C'!H16</f>
        <v>181663</v>
      </c>
      <c r="F36" s="166">
        <f t="shared" si="5"/>
        <v>181663</v>
      </c>
      <c r="G36" s="626"/>
      <c r="H36" s="166"/>
      <c r="I36" s="166">
        <f t="shared" si="6"/>
        <v>181663</v>
      </c>
      <c r="J36" s="167">
        <f t="shared" si="7"/>
        <v>4.4634314734780828E-2</v>
      </c>
      <c r="K36" s="458"/>
      <c r="L36" s="163"/>
      <c r="M36" s="163"/>
      <c r="O36" s="324">
        <f t="shared" si="8"/>
        <v>11.421754165356806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'[39]Sch C'!D17</f>
        <v>22241.919999999998</v>
      </c>
      <c r="D37" s="480">
        <f>'[39]Sch C'!F17</f>
        <v>-22241.919999999998</v>
      </c>
      <c r="E37" s="480">
        <f>+'[39]Sch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'[39]Sch C'!D18</f>
        <v>33898.410000000003</v>
      </c>
      <c r="D38" s="480">
        <f>'[39]Sch C'!F18</f>
        <v>0</v>
      </c>
      <c r="E38" s="480">
        <f>+'[39]Sch C'!H18</f>
        <v>0</v>
      </c>
      <c r="F38" s="166">
        <f t="shared" si="5"/>
        <v>33898.410000000003</v>
      </c>
      <c r="G38" s="626"/>
      <c r="H38" s="166"/>
      <c r="I38" s="166">
        <f t="shared" si="6"/>
        <v>33898.410000000003</v>
      </c>
      <c r="J38" s="167">
        <f t="shared" si="7"/>
        <v>8.3287862743026478E-3</v>
      </c>
      <c r="K38" s="458"/>
      <c r="L38" s="163"/>
      <c r="M38" s="163"/>
      <c r="O38" s="324">
        <f t="shared" si="8"/>
        <v>2.1313052499214087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'[39]Sch C'!D19</f>
        <v>8483</v>
      </c>
      <c r="D39" s="480">
        <f>'[39]Sch C'!F19</f>
        <v>0</v>
      </c>
      <c r="E39" s="480">
        <f>+'[39]Sch C'!H19</f>
        <v>0</v>
      </c>
      <c r="F39" s="166">
        <f t="shared" si="5"/>
        <v>8483</v>
      </c>
      <c r="G39" s="626"/>
      <c r="H39" s="166"/>
      <c r="I39" s="166">
        <f t="shared" si="6"/>
        <v>8483</v>
      </c>
      <c r="J39" s="167">
        <f t="shared" si="7"/>
        <v>2.0842598211806792E-3</v>
      </c>
      <c r="K39" s="458"/>
      <c r="L39" s="163"/>
      <c r="M39" s="163"/>
      <c r="O39" s="324">
        <f t="shared" si="8"/>
        <v>0.53335429110342658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'[39]Sch C'!D20</f>
        <v>8814.5300000000007</v>
      </c>
      <c r="D40" s="480">
        <f>'[39]Sch C'!F20</f>
        <v>0</v>
      </c>
      <c r="E40" s="480">
        <f>+'[39]Sch C'!H20</f>
        <v>0</v>
      </c>
      <c r="F40" s="166">
        <f t="shared" si="5"/>
        <v>8814.5300000000007</v>
      </c>
      <c r="G40" s="626"/>
      <c r="H40" s="166"/>
      <c r="I40" s="166">
        <f t="shared" si="6"/>
        <v>8814.5300000000007</v>
      </c>
      <c r="J40" s="167">
        <f t="shared" si="7"/>
        <v>2.1657162232219421E-3</v>
      </c>
      <c r="K40" s="458"/>
      <c r="L40" s="163"/>
      <c r="M40" s="163"/>
      <c r="O40" s="324">
        <f t="shared" si="8"/>
        <v>0.55419867966048419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'[39]Sch C'!D21</f>
        <v>23582.799999999999</v>
      </c>
      <c r="D41" s="480">
        <f>'[39]Sch C'!F21</f>
        <v>0</v>
      </c>
      <c r="E41" s="480">
        <f>+'[39]Sch C'!H21</f>
        <v>0</v>
      </c>
      <c r="F41" s="166">
        <f t="shared" si="5"/>
        <v>23582.799999999999</v>
      </c>
      <c r="G41" s="626"/>
      <c r="H41" s="166"/>
      <c r="I41" s="166">
        <f t="shared" si="6"/>
        <v>23582.799999999999</v>
      </c>
      <c r="J41" s="167">
        <f t="shared" si="7"/>
        <v>5.7942570447883672E-3</v>
      </c>
      <c r="K41" s="458"/>
      <c r="L41" s="163"/>
      <c r="M41" s="163"/>
      <c r="O41" s="324">
        <f t="shared" si="8"/>
        <v>1.4827287016661426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'[39]Sch C'!D22</f>
        <v>0</v>
      </c>
      <c r="D42" s="480">
        <f>'[39]Sch C'!F22</f>
        <v>0</v>
      </c>
      <c r="E42" s="480">
        <f>+'[39]Sch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'[39]Sch C'!D23</f>
        <v>5495.99</v>
      </c>
      <c r="D43" s="480">
        <f>'[39]Sch C'!F23</f>
        <v>0</v>
      </c>
      <c r="E43" s="480">
        <f>+'[39]Sch C'!H23</f>
        <v>0</v>
      </c>
      <c r="F43" s="166">
        <f t="shared" si="5"/>
        <v>5495.99</v>
      </c>
      <c r="G43" s="626"/>
      <c r="H43" s="166"/>
      <c r="I43" s="166">
        <f t="shared" si="6"/>
        <v>5495.99</v>
      </c>
      <c r="J43" s="167">
        <f t="shared" si="7"/>
        <v>1.3503561398810328E-3</v>
      </c>
      <c r="K43" s="458"/>
      <c r="L43" s="163"/>
      <c r="M43" s="163"/>
      <c r="O43" s="324">
        <f t="shared" si="8"/>
        <v>0.34555108456460232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'[39]Sch C'!D24</f>
        <v>37518.83</v>
      </c>
      <c r="D44" s="480">
        <f>'[39]Sch C'!F24</f>
        <v>0</v>
      </c>
      <c r="E44" s="480">
        <f>+'[39]Sch C'!H24</f>
        <v>-37518.83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'[39]Sch C'!D25</f>
        <v>0</v>
      </c>
      <c r="D45" s="480">
        <f>'[39]Sch C'!F25</f>
        <v>0</v>
      </c>
      <c r="E45" s="480">
        <f>+'[39]Sch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'[39]Sch C'!D26</f>
        <v>292380.79999999999</v>
      </c>
      <c r="D46" s="480">
        <f>'[39]Sch C'!F26</f>
        <v>0</v>
      </c>
      <c r="E46" s="480">
        <f>+'[39]Sch C'!H26</f>
        <v>0</v>
      </c>
      <c r="F46" s="166">
        <f t="shared" si="5"/>
        <v>292380.79999999999</v>
      </c>
      <c r="G46" s="626"/>
      <c r="H46" s="166"/>
      <c r="I46" s="166">
        <f t="shared" si="6"/>
        <v>292380.79999999999</v>
      </c>
      <c r="J46" s="167">
        <f t="shared" si="7"/>
        <v>7.1837504883256381E-2</v>
      </c>
      <c r="K46" s="458"/>
      <c r="L46" s="163"/>
      <c r="M46" s="163"/>
      <c r="O46" s="324">
        <f t="shared" si="8"/>
        <v>18.38294875825212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'[39]Sch C'!D27</f>
        <v>0</v>
      </c>
      <c r="D47" s="480">
        <f>'[39]Sch C'!F27</f>
        <v>0</v>
      </c>
      <c r="E47" s="480">
        <f>+'[39]Sch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'[39]Sch C'!D28</f>
        <v>0</v>
      </c>
      <c r="D48" s="480">
        <f>'[39]Sch C'!F28</f>
        <v>0</v>
      </c>
      <c r="E48" s="480">
        <f>+'[39]Sch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'[39]Sch C'!D29</f>
        <v>24577.03</v>
      </c>
      <c r="D49" s="480">
        <f>'[39]Sch C'!F29</f>
        <v>-24577.03</v>
      </c>
      <c r="E49" s="480">
        <f>+'[39]Sch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'[39]Sch C'!D30</f>
        <v>1359</v>
      </c>
      <c r="D50" s="480">
        <f>'[39]Sch C'!F30</f>
        <v>-1359</v>
      </c>
      <c r="E50" s="480">
        <f>+'[39]Sch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'[39]Sch C'!D31</f>
        <v>42956.06</v>
      </c>
      <c r="D51" s="480">
        <f>'[39]Sch C'!F31</f>
        <v>0</v>
      </c>
      <c r="E51" s="480">
        <f>+'[39]Sch C'!H31</f>
        <v>0</v>
      </c>
      <c r="F51" s="166">
        <f t="shared" si="5"/>
        <v>42956.06</v>
      </c>
      <c r="G51" s="626"/>
      <c r="H51" s="166"/>
      <c r="I51" s="166">
        <f t="shared" si="6"/>
        <v>42956.06</v>
      </c>
      <c r="J51" s="167">
        <f t="shared" si="7"/>
        <v>1.0554236700957977E-2</v>
      </c>
      <c r="K51" s="458"/>
      <c r="L51" s="163"/>
      <c r="M51" s="163"/>
      <c r="O51" s="324">
        <f t="shared" si="8"/>
        <v>2.7007896887771139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'[39]Sch C'!D32</f>
        <v>15143.3</v>
      </c>
      <c r="D52" s="480">
        <f>'[39]Sch C'!F32</f>
        <v>0</v>
      </c>
      <c r="E52" s="480">
        <f>+'[39]Sch C'!H32</f>
        <v>0</v>
      </c>
      <c r="F52" s="166">
        <f t="shared" si="5"/>
        <v>15143.3</v>
      </c>
      <c r="G52" s="626"/>
      <c r="H52" s="166"/>
      <c r="I52" s="166">
        <f t="shared" si="6"/>
        <v>15143.3</v>
      </c>
      <c r="J52" s="167">
        <f t="shared" si="7"/>
        <v>3.7206851055151926E-3</v>
      </c>
      <c r="K52" s="458"/>
      <c r="L52" s="163"/>
      <c r="M52" s="163"/>
      <c r="O52" s="324">
        <f t="shared" si="8"/>
        <v>0.95210939955988683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'[39]Sch C'!D33</f>
        <v>0</v>
      </c>
      <c r="D53" s="480">
        <f>'[39]Sch C'!F33</f>
        <v>0</v>
      </c>
      <c r="E53" s="480">
        <f>+'[39]Sch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'[39]Sch C'!D34</f>
        <v>0</v>
      </c>
      <c r="D54" s="480">
        <f>'[39]Sch C'!F34</f>
        <v>0</v>
      </c>
      <c r="E54" s="480">
        <f>+'[39]Sch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'[39]Sch C'!D35</f>
        <v>0</v>
      </c>
      <c r="D55" s="480">
        <f>'[39]Sch C'!F35</f>
        <v>0</v>
      </c>
      <c r="E55" s="480">
        <f>+'[39]Sch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'[39]Sch C'!D36</f>
        <v>0</v>
      </c>
      <c r="D56" s="480">
        <f>'[39]Sch C'!F36</f>
        <v>0</v>
      </c>
      <c r="E56" s="480">
        <f>+'[39]Sch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'[39]Sch C'!D37</f>
        <v>0</v>
      </c>
      <c r="D57" s="480">
        <f>'[39]Sch C'!F37</f>
        <v>0</v>
      </c>
      <c r="E57" s="480">
        <f>+'[39]Sch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'[39]Sch C'!D38</f>
        <v>980.26</v>
      </c>
      <c r="D58" s="480">
        <f>'[39]Sch C'!F38</f>
        <v>0</v>
      </c>
      <c r="E58" s="480">
        <f>+'[39]Sch C'!H38</f>
        <v>0</v>
      </c>
      <c r="F58" s="166">
        <f t="shared" si="5"/>
        <v>980.26</v>
      </c>
      <c r="G58" s="626"/>
      <c r="H58" s="166"/>
      <c r="I58" s="166">
        <f t="shared" si="6"/>
        <v>980.26</v>
      </c>
      <c r="J58" s="167">
        <f t="shared" si="7"/>
        <v>2.4084834755517772E-4</v>
      </c>
      <c r="K58" s="458"/>
      <c r="L58" s="163"/>
      <c r="M58" s="163"/>
      <c r="O58" s="324">
        <f t="shared" si="8"/>
        <v>6.1632191134863248E-2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'[39]Sch C'!D39</f>
        <v>4615.55</v>
      </c>
      <c r="D59" s="480">
        <f>'[39]Sch C'!F39</f>
        <v>0</v>
      </c>
      <c r="E59" s="480">
        <f>+'[39]Sch C'!H39</f>
        <v>0</v>
      </c>
      <c r="F59" s="166">
        <f t="shared" si="5"/>
        <v>4615.55</v>
      </c>
      <c r="G59" s="626"/>
      <c r="H59" s="166"/>
      <c r="I59" s="166">
        <f t="shared" si="6"/>
        <v>4615.55</v>
      </c>
      <c r="J59" s="167">
        <f t="shared" si="7"/>
        <v>1.1340334100731445E-3</v>
      </c>
      <c r="K59" s="458"/>
      <c r="L59" s="163"/>
      <c r="M59" s="163"/>
      <c r="O59" s="324">
        <f t="shared" si="8"/>
        <v>0.29019490726186736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'[39]Sch C'!D40</f>
        <v>3096.04</v>
      </c>
      <c r="D60" s="480">
        <f>'[39]Sch C'!F40</f>
        <v>0</v>
      </c>
      <c r="E60" s="480">
        <f>+'[39]Sch C'!H40</f>
        <v>0</v>
      </c>
      <c r="F60" s="166">
        <f t="shared" si="5"/>
        <v>3096.04</v>
      </c>
      <c r="G60" s="626"/>
      <c r="H60" s="166"/>
      <c r="I60" s="166">
        <f t="shared" si="6"/>
        <v>3096.04</v>
      </c>
      <c r="J60" s="167">
        <f t="shared" si="7"/>
        <v>7.6069218163011079E-4</v>
      </c>
      <c r="K60" s="458"/>
      <c r="L60" s="163"/>
      <c r="M60" s="163"/>
      <c r="O60" s="324">
        <f t="shared" si="8"/>
        <v>0.19465828355862935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'[39]Sch C'!D41</f>
        <v>6447.84</v>
      </c>
      <c r="D61" s="480">
        <f>'[39]Sch C'!F41</f>
        <v>0</v>
      </c>
      <c r="E61" s="480">
        <f>+'[39]Sch C'!H41</f>
        <v>0</v>
      </c>
      <c r="F61" s="166">
        <f t="shared" si="5"/>
        <v>6447.84</v>
      </c>
      <c r="G61" s="626"/>
      <c r="H61" s="166"/>
      <c r="I61" s="166">
        <f t="shared" si="6"/>
        <v>6447.84</v>
      </c>
      <c r="J61" s="167">
        <f t="shared" si="7"/>
        <v>1.5842241949076542E-3</v>
      </c>
      <c r="K61" s="458"/>
      <c r="L61" s="163"/>
      <c r="M61" s="163"/>
      <c r="O61" s="324">
        <f t="shared" si="8"/>
        <v>0.40539704495441686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'[39]Sch C'!D42</f>
        <v>1803</v>
      </c>
      <c r="D62" s="480">
        <f>'[39]Sch C'!F42</f>
        <v>0</v>
      </c>
      <c r="E62" s="480">
        <f>+'[39]Sch C'!H42</f>
        <v>0</v>
      </c>
      <c r="F62" s="166">
        <f t="shared" si="5"/>
        <v>1803</v>
      </c>
      <c r="G62" s="626"/>
      <c r="H62" s="166"/>
      <c r="I62" s="166">
        <f t="shared" si="6"/>
        <v>1803</v>
      </c>
      <c r="J62" s="167">
        <f t="shared" si="7"/>
        <v>4.429942776834569E-4</v>
      </c>
      <c r="K62" s="458"/>
      <c r="L62" s="163"/>
      <c r="M62" s="163"/>
      <c r="O62" s="324">
        <f t="shared" si="8"/>
        <v>0.11336057843445457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'[39]Sch C'!D43</f>
        <v>8180.76</v>
      </c>
      <c r="D63" s="480">
        <f>'[39]Sch C'!F43</f>
        <v>0</v>
      </c>
      <c r="E63" s="480">
        <f>+'[39]Sch C'!H43</f>
        <v>0</v>
      </c>
      <c r="F63" s="166">
        <f t="shared" si="5"/>
        <v>8180.76</v>
      </c>
      <c r="G63" s="626">
        <v>-8180.76</v>
      </c>
      <c r="H63" s="166"/>
      <c r="I63" s="166">
        <f t="shared" si="6"/>
        <v>0</v>
      </c>
      <c r="J63" s="167">
        <f t="shared" si="7"/>
        <v>0</v>
      </c>
      <c r="K63" s="458" t="s">
        <v>480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'[39]Sch C'!D44</f>
        <v>842.86</v>
      </c>
      <c r="D64" s="480">
        <f>'[39]Sch C'!F44</f>
        <v>0</v>
      </c>
      <c r="E64" s="480">
        <f>+'[39]Sch C'!H44</f>
        <v>0</v>
      </c>
      <c r="F64" s="166">
        <f t="shared" si="5"/>
        <v>842.86</v>
      </c>
      <c r="G64" s="626"/>
      <c r="H64" s="166"/>
      <c r="I64" s="166">
        <f t="shared" si="6"/>
        <v>842.86</v>
      </c>
      <c r="J64" s="167">
        <f t="shared" si="7"/>
        <v>2.0708938263354324E-4</v>
      </c>
      <c r="K64" s="458"/>
      <c r="L64" s="163"/>
      <c r="M64" s="163"/>
      <c r="O64" s="324">
        <f t="shared" si="8"/>
        <v>5.299339830242062E-2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'[39]Sch C'!D45</f>
        <v>193005.89</v>
      </c>
      <c r="D65" s="480">
        <f>'[39]Sch C'!F45</f>
        <v>-193005.89</v>
      </c>
      <c r="E65" s="480">
        <f>+'[39]Sch C'!H45</f>
        <v>0</v>
      </c>
      <c r="F65" s="166">
        <f t="shared" si="5"/>
        <v>0</v>
      </c>
      <c r="G65" s="626"/>
      <c r="H65" s="166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1765862.9700000007</v>
      </c>
      <c r="D66" s="480">
        <f t="shared" si="9"/>
        <v>-860629.70168141834</v>
      </c>
      <c r="E66" s="480">
        <f t="shared" si="9"/>
        <v>-81597.240000000005</v>
      </c>
      <c r="F66" s="166">
        <f t="shared" ref="F66:I66" si="10">SUM(F30:F65)</f>
        <v>823636.02831858187</v>
      </c>
      <c r="G66" s="166">
        <f t="shared" si="10"/>
        <v>-8180.76</v>
      </c>
      <c r="H66" s="166">
        <f t="shared" si="10"/>
        <v>0</v>
      </c>
      <c r="I66" s="166">
        <f t="shared" si="10"/>
        <v>815455.26831858186</v>
      </c>
      <c r="J66" s="178">
        <f t="shared" si="7"/>
        <v>0.20035608295727103</v>
      </c>
      <c r="K66" s="465"/>
      <c r="L66" s="163"/>
      <c r="M66" s="163"/>
      <c r="O66" s="329">
        <f>I66/I$233</f>
        <v>51.270372104280533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'[39]Sch C'!D57</f>
        <v>0</v>
      </c>
      <c r="D69" s="480">
        <f>'[39]Sch C'!F57</f>
        <v>0</v>
      </c>
      <c r="E69" s="480">
        <f>+'[39]Sch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'[39]Sch C'!D58</f>
        <v>165171.84</v>
      </c>
      <c r="D70" s="480">
        <f>'[39]Sch C'!F58</f>
        <v>0</v>
      </c>
      <c r="E70" s="480">
        <f>+'[39]Sch C'!H58</f>
        <v>0</v>
      </c>
      <c r="F70" s="166">
        <f t="shared" ref="F70:F83" si="13">C70+D70+E70</f>
        <v>165171.84</v>
      </c>
      <c r="G70" s="626"/>
      <c r="H70" s="166"/>
      <c r="I70" s="166">
        <f t="shared" ref="I70:I83" si="14">F70+G70+H70</f>
        <v>165171.84</v>
      </c>
      <c r="J70" s="167">
        <f t="shared" si="11"/>
        <v>4.0582462537131173E-2</v>
      </c>
      <c r="K70" s="458"/>
      <c r="L70" s="182"/>
      <c r="M70" s="163"/>
      <c r="O70" s="324">
        <f t="shared" si="12"/>
        <v>10.384900345803207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'[39]Sch C'!D59</f>
        <v>0</v>
      </c>
      <c r="D71" s="480">
        <f>'[39]Sch C'!F59</f>
        <v>0</v>
      </c>
      <c r="E71" s="480">
        <f>+'[39]Sch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'[39]Sch C'!D60</f>
        <v>0</v>
      </c>
      <c r="D72" s="480">
        <f>'[39]Sch C'!F60</f>
        <v>0</v>
      </c>
      <c r="E72" s="480">
        <f>+'[39]Sch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'[39]Sch C'!D61</f>
        <v>0</v>
      </c>
      <c r="D73" s="480">
        <f>'[39]Sch C'!F61</f>
        <v>0</v>
      </c>
      <c r="E73" s="480">
        <f>+'[39]Sch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'[39]Sch C'!D62</f>
        <v>14610.72</v>
      </c>
      <c r="D74" s="480">
        <f>'[39]Sch C'!F62</f>
        <v>0</v>
      </c>
      <c r="E74" s="480">
        <f>+'[39]Sch C'!H62</f>
        <v>0</v>
      </c>
      <c r="F74" s="166">
        <f t="shared" si="13"/>
        <v>14610.72</v>
      </c>
      <c r="G74" s="626"/>
      <c r="H74" s="166"/>
      <c r="I74" s="166">
        <f t="shared" si="14"/>
        <v>14610.72</v>
      </c>
      <c r="J74" s="167">
        <f t="shared" si="11"/>
        <v>3.5898310331864873E-3</v>
      </c>
      <c r="K74" s="458"/>
      <c r="L74" s="187"/>
      <c r="M74" s="163"/>
      <c r="O74" s="324">
        <f t="shared" si="12"/>
        <v>0.91862433197107829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'[39]Sch C'!D63</f>
        <v>0</v>
      </c>
      <c r="D75" s="480">
        <f>'[39]Sch C'!F63</f>
        <v>0</v>
      </c>
      <c r="E75" s="480">
        <f>+'[39]Sch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'[39]Sch C'!D64</f>
        <v>0</v>
      </c>
      <c r="D76" s="480">
        <f>'[39]Sch C'!F64</f>
        <v>0</v>
      </c>
      <c r="E76" s="480">
        <f>+'[39]Sch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'[39]Sch C'!D65</f>
        <v>2681.3</v>
      </c>
      <c r="D77" s="480">
        <f>'[39]Sch C'!F65</f>
        <v>0</v>
      </c>
      <c r="E77" s="480">
        <f>+'[39]Sch C'!H65</f>
        <v>0</v>
      </c>
      <c r="F77" s="166">
        <f t="shared" si="13"/>
        <v>2681.3</v>
      </c>
      <c r="G77" s="626"/>
      <c r="H77" s="166"/>
      <c r="I77" s="166">
        <f t="shared" si="14"/>
        <v>2681.3</v>
      </c>
      <c r="J77" s="167">
        <f t="shared" si="11"/>
        <v>6.5879121284118298E-4</v>
      </c>
      <c r="K77" s="458"/>
      <c r="L77" s="187"/>
      <c r="M77" s="163"/>
      <c r="O77" s="324">
        <f t="shared" si="12"/>
        <v>0.16858220685319084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'[39]Sch C'!D66</f>
        <v>24855.39</v>
      </c>
      <c r="D78" s="480">
        <f>'[39]Sch C'!F66</f>
        <v>0</v>
      </c>
      <c r="E78" s="480">
        <f>+'[39]Sch C'!H66</f>
        <v>0</v>
      </c>
      <c r="F78" s="166">
        <f t="shared" si="13"/>
        <v>24855.39</v>
      </c>
      <c r="G78" s="626"/>
      <c r="H78" s="166"/>
      <c r="I78" s="166">
        <f t="shared" si="14"/>
        <v>24855.39</v>
      </c>
      <c r="J78" s="167">
        <f t="shared" si="11"/>
        <v>6.106930415746321E-3</v>
      </c>
      <c r="K78" s="458"/>
      <c r="L78" s="187"/>
      <c r="M78" s="163"/>
      <c r="O78" s="324">
        <f t="shared" si="12"/>
        <v>1.5627406475950958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'[39]Sch C'!D67</f>
        <v>31548.6</v>
      </c>
      <c r="D79" s="480">
        <f>'[39]Sch C'!F67</f>
        <v>0</v>
      </c>
      <c r="E79" s="480">
        <f>+'[39]Sch C'!H67</f>
        <v>0</v>
      </c>
      <c r="F79" s="166">
        <f t="shared" si="13"/>
        <v>31548.6</v>
      </c>
      <c r="G79" s="626"/>
      <c r="H79" s="166"/>
      <c r="I79" s="166">
        <f t="shared" si="14"/>
        <v>31548.6</v>
      </c>
      <c r="J79" s="167">
        <f t="shared" si="11"/>
        <v>7.7514416355653395E-3</v>
      </c>
      <c r="K79" s="458"/>
      <c r="L79" s="187"/>
      <c r="M79" s="163"/>
      <c r="O79" s="324">
        <f t="shared" si="12"/>
        <v>1.9835649166928637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'[39]Sch C'!D68</f>
        <v>0</v>
      </c>
      <c r="D80" s="480">
        <f>'[39]Sch C'!F68</f>
        <v>0</v>
      </c>
      <c r="E80" s="480">
        <f>+'[39]Sch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'[39]Sch C'!D69</f>
        <v>0</v>
      </c>
      <c r="D81" s="480">
        <f>'[39]Sch C'!F69</f>
        <v>0</v>
      </c>
      <c r="E81" s="480">
        <f>+'[39]Sch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'[39]Sch C'!D70</f>
        <v>0</v>
      </c>
      <c r="D82" s="480">
        <f>'[39]Sch C'!F70</f>
        <v>0</v>
      </c>
      <c r="E82" s="480">
        <f>+'[39]Sch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'[39]Sch C'!D71</f>
        <v>0</v>
      </c>
      <c r="D83" s="480">
        <f>'[39]Sch C'!F71</f>
        <v>0</v>
      </c>
      <c r="E83" s="480">
        <f>+'[39]Sch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238867.85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238867.85</v>
      </c>
      <c r="G84" s="166">
        <f t="shared" si="16"/>
        <v>0</v>
      </c>
      <c r="H84" s="166">
        <f t="shared" si="16"/>
        <v>0</v>
      </c>
      <c r="I84" s="166">
        <f t="shared" si="16"/>
        <v>238867.85</v>
      </c>
      <c r="J84" s="167">
        <f t="shared" si="11"/>
        <v>5.8689456834470508E-2</v>
      </c>
      <c r="K84" s="458"/>
      <c r="L84" s="187"/>
      <c r="M84" s="163"/>
      <c r="O84" s="324">
        <f t="shared" si="12"/>
        <v>15.018412448915436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'[39]Sch C'!D75</f>
        <v>43147.55</v>
      </c>
      <c r="D87" s="480">
        <f>'[39]Sch C'!F75</f>
        <v>0</v>
      </c>
      <c r="E87" s="480">
        <f>+'[39]Sch C'!H75</f>
        <v>0</v>
      </c>
      <c r="F87" s="166">
        <f t="shared" ref="F87:F97" si="17">C87+D87+E87</f>
        <v>43147.55</v>
      </c>
      <c r="G87" s="626"/>
      <c r="H87" s="166"/>
      <c r="I87" s="166">
        <f t="shared" ref="I87:I97" si="18">F87+G87+H87</f>
        <v>43147.55</v>
      </c>
      <c r="J87" s="167">
        <f t="shared" ref="J87:J98" si="19">IF($I$213=0,0,I87/$I$213)</f>
        <v>1.0601285494210117E-2</v>
      </c>
      <c r="K87" s="458"/>
      <c r="L87" s="176">
        <v>2506.92</v>
      </c>
      <c r="M87" s="176">
        <v>2704.92</v>
      </c>
      <c r="O87" s="324">
        <f t="shared" ref="O87:O97" si="20">I87/I$233</f>
        <v>2.7128292989625904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'[39]Sch C'!D76</f>
        <v>0</v>
      </c>
      <c r="D88" s="480">
        <f>'[39]Sch C'!F76</f>
        <v>16096.323133348717</v>
      </c>
      <c r="E88" s="480">
        <f>+'[39]Sch C'!H76</f>
        <v>0</v>
      </c>
      <c r="F88" s="166">
        <f t="shared" si="17"/>
        <v>16096.323133348717</v>
      </c>
      <c r="G88" s="626"/>
      <c r="H88" s="166"/>
      <c r="I88" s="166">
        <f t="shared" si="18"/>
        <v>16096.323133348717</v>
      </c>
      <c r="J88" s="167">
        <f t="shared" si="19"/>
        <v>3.954841397569236E-3</v>
      </c>
      <c r="K88" s="458"/>
      <c r="L88" s="163"/>
      <c r="M88" s="163"/>
      <c r="O88" s="324">
        <f t="shared" si="20"/>
        <v>1.0120291187267347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'[39]Sch C'!D77</f>
        <v>11603.82</v>
      </c>
      <c r="D89" s="480">
        <f>'[39]Sch C'!F77</f>
        <v>0</v>
      </c>
      <c r="E89" s="480">
        <f>+'[39]Sch C'!H77</f>
        <v>0</v>
      </c>
      <c r="F89" s="166">
        <f t="shared" si="17"/>
        <v>11603.82</v>
      </c>
      <c r="G89" s="626"/>
      <c r="H89" s="166"/>
      <c r="I89" s="166">
        <f t="shared" si="18"/>
        <v>11603.82</v>
      </c>
      <c r="J89" s="167">
        <f t="shared" si="19"/>
        <v>2.8510404100215475E-3</v>
      </c>
      <c r="K89" s="458"/>
      <c r="L89" s="163"/>
      <c r="M89" s="163"/>
      <c r="O89" s="324">
        <f t="shared" si="20"/>
        <v>0.72957057529078906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'[39]Sch C'!D78</f>
        <v>0</v>
      </c>
      <c r="D90" s="480">
        <f>'[39]Sch C'!F78</f>
        <v>0</v>
      </c>
      <c r="E90" s="480">
        <f>+'[39]Sch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'[39]Sch C'!D79</f>
        <v>7899.15</v>
      </c>
      <c r="D91" s="480">
        <f>'[39]Sch C'!F79</f>
        <v>0</v>
      </c>
      <c r="E91" s="480">
        <f>+'[39]Sch C'!H79</f>
        <v>0</v>
      </c>
      <c r="F91" s="166">
        <f t="shared" si="17"/>
        <v>7899.15</v>
      </c>
      <c r="G91" s="626"/>
      <c r="H91" s="166"/>
      <c r="I91" s="166">
        <f t="shared" si="18"/>
        <v>7899.15</v>
      </c>
      <c r="J91" s="167">
        <f t="shared" si="19"/>
        <v>1.9408087901071982E-3</v>
      </c>
      <c r="K91" s="458"/>
      <c r="L91" s="163"/>
      <c r="M91" s="163"/>
      <c r="O91" s="324">
        <f t="shared" si="20"/>
        <v>0.49664570889657339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'[39]Sch C'!D80</f>
        <v>23067.66</v>
      </c>
      <c r="D92" s="480">
        <f>'[39]Sch C'!F80</f>
        <v>0</v>
      </c>
      <c r="E92" s="480">
        <f>+'[39]Sch C'!H80</f>
        <v>0</v>
      </c>
      <c r="F92" s="166">
        <f t="shared" si="17"/>
        <v>23067.66</v>
      </c>
      <c r="G92" s="626"/>
      <c r="H92" s="166"/>
      <c r="I92" s="166">
        <f t="shared" si="18"/>
        <v>23067.66</v>
      </c>
      <c r="J92" s="167">
        <f t="shared" si="19"/>
        <v>5.6676879531600503E-3</v>
      </c>
      <c r="K92" s="458"/>
      <c r="L92" s="163"/>
      <c r="M92" s="163"/>
      <c r="O92" s="324">
        <f t="shared" si="20"/>
        <v>1.4503401446086137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'[39]Sch C'!D81</f>
        <v>34586.050000000003</v>
      </c>
      <c r="D93" s="480">
        <f>'[39]Sch C'!F81</f>
        <v>0</v>
      </c>
      <c r="E93" s="480">
        <f>+'[39]Sch C'!H81</f>
        <v>0</v>
      </c>
      <c r="F93" s="166">
        <f t="shared" si="17"/>
        <v>34586.050000000003</v>
      </c>
      <c r="G93" s="626"/>
      <c r="H93" s="166"/>
      <c r="I93" s="166">
        <f t="shared" si="18"/>
        <v>34586.050000000003</v>
      </c>
      <c r="J93" s="167">
        <f t="shared" si="19"/>
        <v>8.4977383459089988E-3</v>
      </c>
      <c r="K93" s="458"/>
      <c r="L93" s="163"/>
      <c r="M93" s="163"/>
      <c r="O93" s="324">
        <f t="shared" si="20"/>
        <v>2.1745394530022009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'[39]Sch C'!D82</f>
        <v>18423.439999999999</v>
      </c>
      <c r="D94" s="480">
        <f>'[39]Sch C'!F82</f>
        <v>0</v>
      </c>
      <c r="E94" s="480">
        <f>+'[39]Sch C'!H82</f>
        <v>0</v>
      </c>
      <c r="F94" s="166">
        <f t="shared" si="17"/>
        <v>18423.439999999999</v>
      </c>
      <c r="G94" s="626"/>
      <c r="H94" s="166"/>
      <c r="I94" s="166">
        <f t="shared" si="18"/>
        <v>18423.439999999999</v>
      </c>
      <c r="J94" s="167">
        <f t="shared" si="19"/>
        <v>4.5266103689653387E-3</v>
      </c>
      <c r="K94" s="458"/>
      <c r="L94" s="163"/>
      <c r="M94" s="163"/>
      <c r="O94" s="324">
        <f t="shared" si="20"/>
        <v>1.1583426595410247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'[39]Sch C'!D83</f>
        <v>6365.23</v>
      </c>
      <c r="D95" s="480">
        <f>'[39]Sch C'!F83</f>
        <v>0</v>
      </c>
      <c r="E95" s="480">
        <f>+'[39]Sch C'!H83</f>
        <v>0</v>
      </c>
      <c r="F95" s="166">
        <f t="shared" si="17"/>
        <v>6365.23</v>
      </c>
      <c r="G95" s="626"/>
      <c r="H95" s="166"/>
      <c r="I95" s="166">
        <f t="shared" si="18"/>
        <v>6365.23</v>
      </c>
      <c r="J95" s="167">
        <f t="shared" si="19"/>
        <v>1.5639270472207821E-3</v>
      </c>
      <c r="K95" s="458"/>
      <c r="L95" s="163"/>
      <c r="M95" s="163"/>
      <c r="O95" s="324">
        <f t="shared" si="20"/>
        <v>0.40020308079220368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'[39]Sch C'!D84</f>
        <v>82904.78</v>
      </c>
      <c r="D96" s="480">
        <f>'[39]Sch C'!F84</f>
        <v>0</v>
      </c>
      <c r="E96" s="480">
        <f>+'[39]Sch C'!H84</f>
        <v>0</v>
      </c>
      <c r="F96" s="166">
        <f t="shared" si="17"/>
        <v>82904.78</v>
      </c>
      <c r="G96" s="626"/>
      <c r="H96" s="166"/>
      <c r="I96" s="166">
        <f t="shared" si="18"/>
        <v>82904.78</v>
      </c>
      <c r="J96" s="167">
        <f t="shared" si="19"/>
        <v>2.0369574671439766E-2</v>
      </c>
      <c r="K96" s="458"/>
      <c r="L96" s="163"/>
      <c r="M96" s="163"/>
      <c r="O96" s="324">
        <f t="shared" si="20"/>
        <v>5.2124979566174154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'[39]Sch C'!D85</f>
        <v>0</v>
      </c>
      <c r="D97" s="480">
        <f>'[39]Sch C'!F85</f>
        <v>0</v>
      </c>
      <c r="E97" s="480">
        <f>+'[39]Sch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227997.68000000002</v>
      </c>
      <c r="D98" s="480">
        <f t="shared" si="21"/>
        <v>16096.323133348717</v>
      </c>
      <c r="E98" s="480">
        <f t="shared" si="21"/>
        <v>0</v>
      </c>
      <c r="F98" s="166">
        <f t="shared" ref="F98:I98" si="22">SUM(F87:F97)</f>
        <v>244094.00313334871</v>
      </c>
      <c r="G98" s="166">
        <f t="shared" si="22"/>
        <v>0</v>
      </c>
      <c r="H98" s="166">
        <f t="shared" si="22"/>
        <v>0</v>
      </c>
      <c r="I98" s="166">
        <f t="shared" si="22"/>
        <v>244094.00313334871</v>
      </c>
      <c r="J98" s="167">
        <f t="shared" si="19"/>
        <v>5.9973514478603038E-2</v>
      </c>
      <c r="K98" s="458"/>
      <c r="L98" s="163"/>
      <c r="M98" s="163"/>
      <c r="O98" s="329">
        <f>I98/I$233</f>
        <v>15.346997996438146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'[39]Sch C'!D89</f>
        <v>146282.12</v>
      </c>
      <c r="D101" s="480">
        <f>'[39]Sch C'!F89</f>
        <v>0</v>
      </c>
      <c r="E101" s="480">
        <f>+'[39]Sch C'!H89</f>
        <v>0</v>
      </c>
      <c r="F101" s="166">
        <f t="shared" ref="F101:F106" si="23">C101+D101+E101</f>
        <v>146282.12</v>
      </c>
      <c r="G101" s="626"/>
      <c r="H101" s="166"/>
      <c r="I101" s="166">
        <f t="shared" ref="I101:I106" si="24">F101+G101+H101</f>
        <v>146282.12</v>
      </c>
      <c r="J101" s="167">
        <f t="shared" ref="J101:J107" si="25">IF($I$213=0,0,I101/$I$213)</f>
        <v>3.5941287902054773E-2</v>
      </c>
      <c r="K101" s="458"/>
      <c r="L101" s="176">
        <v>11873.66</v>
      </c>
      <c r="M101" s="176">
        <v>12686.48</v>
      </c>
      <c r="O101" s="329">
        <f t="shared" ref="O101:O106" si="26">I101/I$233</f>
        <v>9.1972411191449233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'[39]Sch C'!D90</f>
        <v>0</v>
      </c>
      <c r="D102" s="480">
        <f>'[39]Sch C'!F90</f>
        <v>54570.984265648745</v>
      </c>
      <c r="E102" s="480">
        <f>+'[39]Sch C'!H90</f>
        <v>0</v>
      </c>
      <c r="F102" s="166">
        <f t="shared" si="23"/>
        <v>54570.984265648745</v>
      </c>
      <c r="G102" s="626"/>
      <c r="H102" s="166"/>
      <c r="I102" s="166">
        <f t="shared" si="24"/>
        <v>54570.984265648745</v>
      </c>
      <c r="J102" s="167">
        <f t="shared" si="25"/>
        <v>1.340800541166742E-2</v>
      </c>
      <c r="K102" s="458"/>
      <c r="L102" s="163"/>
      <c r="M102" s="163"/>
      <c r="O102" s="329">
        <f t="shared" si="26"/>
        <v>3.4310584260074659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'[39]Sch C'!D91</f>
        <v>9891.81</v>
      </c>
      <c r="D103" s="480">
        <f>'[39]Sch C'!F91</f>
        <v>0</v>
      </c>
      <c r="E103" s="480">
        <f>+'[39]Sch C'!H91</f>
        <v>0</v>
      </c>
      <c r="F103" s="166">
        <f t="shared" si="23"/>
        <v>9891.81</v>
      </c>
      <c r="G103" s="626"/>
      <c r="H103" s="166"/>
      <c r="I103" s="166">
        <f t="shared" si="24"/>
        <v>9891.81</v>
      </c>
      <c r="J103" s="167">
        <f t="shared" si="25"/>
        <v>2.4304022329073739E-3</v>
      </c>
      <c r="K103" s="458"/>
      <c r="L103" s="163"/>
      <c r="M103" s="163"/>
      <c r="O103" s="329">
        <f t="shared" si="26"/>
        <v>0.6219308393586922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'[39]Sch C'!D92</f>
        <v>152518.17000000001</v>
      </c>
      <c r="D104" s="480">
        <f>'[39]Sch C'!F92</f>
        <v>0</v>
      </c>
      <c r="E104" s="480">
        <f>+'[39]Sch C'!H92</f>
        <v>0</v>
      </c>
      <c r="F104" s="166">
        <f t="shared" si="23"/>
        <v>152518.17000000001</v>
      </c>
      <c r="G104" s="626">
        <v>-46577</v>
      </c>
      <c r="H104" s="166"/>
      <c r="I104" s="166">
        <f t="shared" si="24"/>
        <v>105941.17000000001</v>
      </c>
      <c r="J104" s="167">
        <f t="shared" si="25"/>
        <v>2.6029579634548151E-2</v>
      </c>
      <c r="K104" s="458"/>
      <c r="L104" s="163"/>
      <c r="M104" s="163"/>
      <c r="O104" s="329">
        <f t="shared" si="26"/>
        <v>6.6608720528135814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'[39]Sch C'!D93</f>
        <v>16669.12</v>
      </c>
      <c r="D105" s="480">
        <f>'[39]Sch C'!F93</f>
        <v>0</v>
      </c>
      <c r="E105" s="480">
        <f>+'[39]Sch C'!H93</f>
        <v>0</v>
      </c>
      <c r="F105" s="166">
        <f t="shared" si="23"/>
        <v>16669.12</v>
      </c>
      <c r="G105" s="626"/>
      <c r="H105" s="166"/>
      <c r="I105" s="166">
        <f t="shared" si="24"/>
        <v>16669.12</v>
      </c>
      <c r="J105" s="167">
        <f t="shared" si="25"/>
        <v>4.0955766910809009E-3</v>
      </c>
      <c r="K105" s="458"/>
      <c r="L105" s="163"/>
      <c r="M105" s="163"/>
      <c r="O105" s="329">
        <f t="shared" si="26"/>
        <v>1.0480427538509902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'[39]Sch C'!D94</f>
        <v>0</v>
      </c>
      <c r="D106" s="480">
        <f>'[39]Sch C'!F94</f>
        <v>0</v>
      </c>
      <c r="E106" s="480">
        <f>+'[39]Sch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325361.21999999997</v>
      </c>
      <c r="D107" s="480">
        <f t="shared" si="27"/>
        <v>54570.984265648745</v>
      </c>
      <c r="E107" s="480">
        <f t="shared" si="27"/>
        <v>0</v>
      </c>
      <c r="F107" s="166">
        <f t="shared" ref="F107:I107" si="28">SUM(F101:F106)</f>
        <v>379932.20426564873</v>
      </c>
      <c r="G107" s="166">
        <f t="shared" si="28"/>
        <v>-46577</v>
      </c>
      <c r="H107" s="166">
        <f t="shared" si="28"/>
        <v>0</v>
      </c>
      <c r="I107" s="166">
        <f t="shared" si="28"/>
        <v>333355.20426564873</v>
      </c>
      <c r="J107" s="167">
        <f t="shared" si="25"/>
        <v>8.1904851872258613E-2</v>
      </c>
      <c r="K107" s="458"/>
      <c r="L107" s="163"/>
      <c r="M107" s="163"/>
      <c r="O107" s="329">
        <f>I107/I$233</f>
        <v>20.959145191175651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'[39]Sch C'!D98</f>
        <v>45837.38</v>
      </c>
      <c r="D110" s="480">
        <f>'[39]Sch C'!F98</f>
        <v>0</v>
      </c>
      <c r="E110" s="480">
        <f>+'[39]Sch C'!H98</f>
        <v>0</v>
      </c>
      <c r="F110" s="166">
        <f t="shared" ref="F110:F115" si="29">C110+D110+E110</f>
        <v>45837.38</v>
      </c>
      <c r="G110" s="626">
        <v>-20708</v>
      </c>
      <c r="H110" s="166"/>
      <c r="I110" s="166">
        <f t="shared" ref="I110:I115" si="30">F110+G110+H110</f>
        <v>25129.379999999997</v>
      </c>
      <c r="J110" s="167">
        <f t="shared" ref="J110:J116" si="31">IF($I$213=0,0,I110/$I$213)</f>
        <v>6.1742493298575186E-3</v>
      </c>
      <c r="K110" s="458"/>
      <c r="L110" s="176">
        <v>3973.42</v>
      </c>
      <c r="M110" s="176">
        <v>4332.71</v>
      </c>
      <c r="O110" s="329">
        <f t="shared" ref="O110:O115" si="32">I110/I$233</f>
        <v>1.5799673058786543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'[39]Sch C'!D99</f>
        <v>0</v>
      </c>
      <c r="D111" s="480">
        <f>'[39]Sch C'!F99</f>
        <v>17099.772294512564</v>
      </c>
      <c r="E111" s="480">
        <f>+'[39]Sch C'!H99</f>
        <v>0</v>
      </c>
      <c r="F111" s="166">
        <f t="shared" si="29"/>
        <v>17099.772294512564</v>
      </c>
      <c r="G111" s="626">
        <v>-7725</v>
      </c>
      <c r="H111" s="166"/>
      <c r="I111" s="166">
        <f t="shared" si="30"/>
        <v>9374.7722945125643</v>
      </c>
      <c r="J111" s="167">
        <f t="shared" si="31"/>
        <v>2.303366878011357E-3</v>
      </c>
      <c r="K111" s="458"/>
      <c r="L111" s="163"/>
      <c r="M111" s="163"/>
      <c r="O111" s="329">
        <f t="shared" si="32"/>
        <v>0.58942296727523191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'[39]Sch C'!D100</f>
        <v>6729.18</v>
      </c>
      <c r="D112" s="480">
        <f>'[39]Sch C'!F100</f>
        <v>0</v>
      </c>
      <c r="E112" s="480">
        <f>+'[39]Sch C'!H100</f>
        <v>0</v>
      </c>
      <c r="F112" s="166">
        <f t="shared" si="29"/>
        <v>6729.18</v>
      </c>
      <c r="G112" s="626">
        <v>-3041</v>
      </c>
      <c r="H112" s="166"/>
      <c r="I112" s="166">
        <f t="shared" si="30"/>
        <v>3688.1800000000003</v>
      </c>
      <c r="J112" s="167">
        <f t="shared" si="31"/>
        <v>9.0618005272688419E-4</v>
      </c>
      <c r="K112" s="458"/>
      <c r="L112" s="163"/>
      <c r="M112" s="163"/>
      <c r="O112" s="329">
        <f t="shared" si="32"/>
        <v>0.23188808550770199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'[39]Sch C'!D101</f>
        <v>0</v>
      </c>
      <c r="D113" s="480">
        <f>'[39]Sch C'!F101</f>
        <v>0</v>
      </c>
      <c r="E113" s="480">
        <f>+'[39]Sch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'[39]Sch C'!D102</f>
        <v>5855.54</v>
      </c>
      <c r="D114" s="480">
        <f>'[39]Sch C'!F102</f>
        <v>0</v>
      </c>
      <c r="E114" s="480">
        <f>+'[39]Sch C'!H102</f>
        <v>0</v>
      </c>
      <c r="F114" s="166">
        <f t="shared" si="29"/>
        <v>5855.54</v>
      </c>
      <c r="G114" s="626"/>
      <c r="H114" s="166"/>
      <c r="I114" s="166">
        <f t="shared" si="30"/>
        <v>5855.54</v>
      </c>
      <c r="J114" s="167">
        <f t="shared" si="31"/>
        <v>1.4386970120613362E-3</v>
      </c>
      <c r="K114" s="458"/>
      <c r="L114" s="163"/>
      <c r="M114" s="163"/>
      <c r="O114" s="329">
        <f t="shared" si="32"/>
        <v>0.36815718327569946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'[39]Sch C'!D103</f>
        <v>0</v>
      </c>
      <c r="D115" s="480">
        <f>'[39]Sch C'!F103</f>
        <v>0</v>
      </c>
      <c r="E115" s="480">
        <f>+'[39]Sch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58422.1</v>
      </c>
      <c r="D116" s="480">
        <f t="shared" si="33"/>
        <v>17099.772294512564</v>
      </c>
      <c r="E116" s="480">
        <f t="shared" si="33"/>
        <v>0</v>
      </c>
      <c r="F116" s="166">
        <f t="shared" ref="F116:I116" si="34">SUM(F110:F115)</f>
        <v>75521.872294512563</v>
      </c>
      <c r="G116" s="166">
        <f t="shared" si="34"/>
        <v>-31474</v>
      </c>
      <c r="H116" s="166">
        <f t="shared" si="34"/>
        <v>0</v>
      </c>
      <c r="I116" s="166">
        <f t="shared" si="34"/>
        <v>44047.872294512563</v>
      </c>
      <c r="J116" s="167">
        <f t="shared" si="31"/>
        <v>1.0822493272657097E-2</v>
      </c>
      <c r="K116" s="458"/>
      <c r="L116" s="163"/>
      <c r="M116" s="163"/>
      <c r="O116" s="329">
        <f>I116/I$233</f>
        <v>2.769435541937288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'[39]Sch C'!D115</f>
        <v>115033.89</v>
      </c>
      <c r="D119" s="480">
        <f>'[39]Sch C'!F115</f>
        <v>0</v>
      </c>
      <c r="E119" s="480">
        <f>+'[39]Sch C'!H115</f>
        <v>0</v>
      </c>
      <c r="F119" s="166">
        <f t="shared" ref="F119:F123" si="35">C119+D119+E119</f>
        <v>115033.89</v>
      </c>
      <c r="G119" s="626"/>
      <c r="H119" s="166"/>
      <c r="I119" s="166">
        <f t="shared" ref="I119:I123" si="36">F119+G119+H119</f>
        <v>115033.89</v>
      </c>
      <c r="J119" s="167">
        <f t="shared" ref="J119:J124" si="37">IF($I$213=0,0,I119/$I$213)</f>
        <v>2.8263646705306841E-2</v>
      </c>
      <c r="K119" s="458"/>
      <c r="L119" s="176">
        <v>9828.42</v>
      </c>
      <c r="M119" s="176">
        <v>10513.77</v>
      </c>
      <c r="O119" s="329">
        <f t="shared" ref="O119:O124" si="38">I119/I$233</f>
        <v>7.2325614586607987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'[39]Sch C'!D116</f>
        <v>0</v>
      </c>
      <c r="D120" s="480">
        <f>'[39]Sch C'!F116</f>
        <v>42913.738201267312</v>
      </c>
      <c r="E120" s="480">
        <f>+'[39]Sch C'!H116</f>
        <v>0</v>
      </c>
      <c r="F120" s="166">
        <f t="shared" si="35"/>
        <v>42913.738201267312</v>
      </c>
      <c r="G120" s="626"/>
      <c r="H120" s="166"/>
      <c r="I120" s="166">
        <f t="shared" si="36"/>
        <v>42913.738201267312</v>
      </c>
      <c r="J120" s="167">
        <f t="shared" si="37"/>
        <v>1.054383830125756E-2</v>
      </c>
      <c r="K120" s="458"/>
      <c r="L120" s="163"/>
      <c r="M120" s="163"/>
      <c r="O120" s="329">
        <f t="shared" si="38"/>
        <v>2.6981287771937952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'[39]Sch C'!D117</f>
        <v>19712.8</v>
      </c>
      <c r="D121" s="480">
        <f>'[39]Sch C'!F117</f>
        <v>0</v>
      </c>
      <c r="E121" s="480">
        <f>+'[39]Sch C'!H117</f>
        <v>0</v>
      </c>
      <c r="F121" s="166">
        <f t="shared" si="35"/>
        <v>19712.8</v>
      </c>
      <c r="G121" s="626"/>
      <c r="H121" s="166"/>
      <c r="I121" s="166">
        <f t="shared" si="36"/>
        <v>19712.8</v>
      </c>
      <c r="J121" s="167">
        <f t="shared" si="37"/>
        <v>4.8434041026724616E-3</v>
      </c>
      <c r="K121" s="458"/>
      <c r="L121" s="163"/>
      <c r="M121" s="163"/>
      <c r="O121" s="329">
        <f t="shared" si="38"/>
        <v>1.2394089908833699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'[39]Sch C'!D118</f>
        <v>0</v>
      </c>
      <c r="D122" s="480">
        <f>'[39]Sch C'!F118</f>
        <v>0</v>
      </c>
      <c r="E122" s="480">
        <f>+'[39]Sch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'[39]Sch C'!D119</f>
        <v>0</v>
      </c>
      <c r="D123" s="480">
        <f>'[39]Sch C'!F119</f>
        <v>0</v>
      </c>
      <c r="E123" s="480">
        <f>+'[39]Sch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134746.69</v>
      </c>
      <c r="D124" s="480">
        <f t="shared" si="39"/>
        <v>42913.738201267312</v>
      </c>
      <c r="E124" s="480">
        <f t="shared" si="39"/>
        <v>0</v>
      </c>
      <c r="F124" s="166">
        <f t="shared" ref="F124:I124" si="40">SUM(F119:F123)</f>
        <v>177660.42820126729</v>
      </c>
      <c r="G124" s="166">
        <f t="shared" si="40"/>
        <v>0</v>
      </c>
      <c r="H124" s="166">
        <f t="shared" si="40"/>
        <v>0</v>
      </c>
      <c r="I124" s="166">
        <f t="shared" si="40"/>
        <v>177660.42820126729</v>
      </c>
      <c r="J124" s="167">
        <f t="shared" si="37"/>
        <v>4.3650889109236861E-2</v>
      </c>
      <c r="K124" s="458"/>
      <c r="L124" s="163"/>
      <c r="M124" s="163"/>
      <c r="O124" s="329">
        <f t="shared" si="38"/>
        <v>11.170099226737962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'[39]Sch C'!D124</f>
        <v>0</v>
      </c>
      <c r="D128" s="480">
        <f>'[39]Sch C'!F124</f>
        <v>0</v>
      </c>
      <c r="E128" s="480">
        <f>+'[39]Sch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'[39]Sch C'!D125</f>
        <v>148134.35999999999</v>
      </c>
      <c r="D129" s="480">
        <f>'[39]Sch C'!F125</f>
        <v>0</v>
      </c>
      <c r="E129" s="480">
        <f>+'[39]Sch C'!H125</f>
        <v>0</v>
      </c>
      <c r="F129" s="166">
        <f t="shared" si="41"/>
        <v>148134.35999999999</v>
      </c>
      <c r="G129" s="626"/>
      <c r="H129" s="166"/>
      <c r="I129" s="166">
        <f t="shared" si="42"/>
        <v>148134.35999999999</v>
      </c>
      <c r="J129" s="167">
        <f>IF($I$213=0,0,I129/$I$213)</f>
        <v>3.6396380370660654E-2</v>
      </c>
      <c r="K129" s="458"/>
      <c r="L129" s="176">
        <v>4188.83</v>
      </c>
      <c r="M129" s="176">
        <v>4545.87</v>
      </c>
      <c r="O129" s="329">
        <f t="shared" si="43"/>
        <v>9.3136975793775534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'[39]Sch C'!D126</f>
        <v>0</v>
      </c>
      <c r="D130" s="480">
        <f>'[39]Sch C'!F126</f>
        <v>0</v>
      </c>
      <c r="E130" s="480">
        <f>+'[39]Sch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'[39]Sch C'!D127</f>
        <v>0</v>
      </c>
      <c r="D131" s="480">
        <f>'[39]Sch C'!F127</f>
        <v>0</v>
      </c>
      <c r="E131" s="480">
        <f>+'[39]Sch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'[39]Sch C'!D128</f>
        <v>0</v>
      </c>
      <c r="D132" s="480">
        <f>'[39]Sch C'!F128</f>
        <v>0</v>
      </c>
      <c r="E132" s="480">
        <f>+'[39]Sch C'!H128</f>
        <v>0</v>
      </c>
      <c r="F132" s="166">
        <f t="shared" si="41"/>
        <v>0</v>
      </c>
      <c r="G132" s="626"/>
      <c r="H132" s="166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'[39]Sch C'!D130</f>
        <v>0</v>
      </c>
      <c r="D134" s="480">
        <f>'[39]Sch C'!F130</f>
        <v>0</v>
      </c>
      <c r="E134" s="480">
        <f>+'[39]Sch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'[39]Sch C'!D131</f>
        <v>0</v>
      </c>
      <c r="D135" s="480">
        <f>'[39]Sch C'!F131</f>
        <v>55261.967961374547</v>
      </c>
      <c r="E135" s="480">
        <f>+'[39]Sch C'!H131</f>
        <v>0</v>
      </c>
      <c r="F135" s="166">
        <f t="shared" si="44"/>
        <v>55261.967961374547</v>
      </c>
      <c r="G135" s="626"/>
      <c r="H135" s="166"/>
      <c r="I135" s="166">
        <f t="shared" si="45"/>
        <v>55261.967961374547</v>
      </c>
      <c r="J135" s="167">
        <f>IF($I$213=0,0,I135/$I$213)</f>
        <v>1.3577779024079563E-2</v>
      </c>
      <c r="K135" s="458"/>
      <c r="L135" s="196"/>
      <c r="M135" s="196"/>
      <c r="O135" s="329">
        <f t="shared" si="43"/>
        <v>3.4745028583071078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'[39]Sch C'!D132</f>
        <v>0</v>
      </c>
      <c r="D136" s="480">
        <f>'[39]Sch C'!F132</f>
        <v>0</v>
      </c>
      <c r="E136" s="480">
        <f>+'[39]Sch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'[39]Sch C'!D133</f>
        <v>0</v>
      </c>
      <c r="D137" s="480">
        <f>'[39]Sch C'!F133</f>
        <v>0</v>
      </c>
      <c r="E137" s="480">
        <f>+'[39]Sch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'[39]Sch C'!D134</f>
        <v>0</v>
      </c>
      <c r="D138" s="480">
        <f>'[39]Sch C'!F134</f>
        <v>0</v>
      </c>
      <c r="E138" s="480">
        <f>+'[39]Sch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'[39]Sch C'!D136</f>
        <v>466375.86</v>
      </c>
      <c r="D140" s="480">
        <f>'[39]Sch C'!F136</f>
        <v>0</v>
      </c>
      <c r="E140" s="480">
        <f>+'[39]Sch C'!H136</f>
        <v>0</v>
      </c>
      <c r="F140" s="166">
        <f t="shared" ref="F140:F143" si="46">C140+D140+E140</f>
        <v>466375.86</v>
      </c>
      <c r="G140" s="626"/>
      <c r="H140" s="166"/>
      <c r="I140" s="166">
        <f t="shared" ref="I140:I143" si="47">F140+G140+H140</f>
        <v>466375.86</v>
      </c>
      <c r="J140" s="167">
        <f>IF($I$213=0,0,I140/$I$213)</f>
        <v>0.11458781876300665</v>
      </c>
      <c r="K140" s="458"/>
      <c r="L140" s="176">
        <v>15935.49</v>
      </c>
      <c r="M140" s="176">
        <v>17598.240000000002</v>
      </c>
      <c r="O140" s="329">
        <f t="shared" si="43"/>
        <v>29.322594152782145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'[39]Sch C'!D137</f>
        <v>95106.4</v>
      </c>
      <c r="D141" s="480">
        <f>'[39]Sch C'!F137</f>
        <v>0</v>
      </c>
      <c r="E141" s="480">
        <f>+'[39]Sch C'!H137</f>
        <v>0</v>
      </c>
      <c r="F141" s="166">
        <f t="shared" si="46"/>
        <v>95106.4</v>
      </c>
      <c r="G141" s="626"/>
      <c r="H141" s="166"/>
      <c r="I141" s="166">
        <f t="shared" si="47"/>
        <v>95106.4</v>
      </c>
      <c r="J141" s="167">
        <f>IF($I$213=0,0,I141/$I$213)</f>
        <v>2.3367493605698238E-2</v>
      </c>
      <c r="K141" s="458"/>
      <c r="L141" s="176">
        <v>3995.69</v>
      </c>
      <c r="M141" s="176">
        <v>4588.7700000000004</v>
      </c>
      <c r="O141" s="329">
        <f t="shared" si="43"/>
        <v>5.9796541967934607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'[39]Sch C'!D138</f>
        <v>516013.54</v>
      </c>
      <c r="D142" s="480">
        <f>'[39]Sch C'!F138</f>
        <v>0</v>
      </c>
      <c r="E142" s="480">
        <f>+'[39]Sch C'!H138</f>
        <v>0</v>
      </c>
      <c r="F142" s="166">
        <f t="shared" si="46"/>
        <v>516013.54</v>
      </c>
      <c r="G142" s="626"/>
      <c r="H142" s="166"/>
      <c r="I142" s="166">
        <f t="shared" si="47"/>
        <v>516013.54</v>
      </c>
      <c r="J142" s="167">
        <f>IF($I$213=0,0,I142/$I$213)</f>
        <v>0.12678371903892599</v>
      </c>
      <c r="K142" s="458"/>
      <c r="L142" s="176">
        <v>39191.33</v>
      </c>
      <c r="M142" s="176">
        <v>42173.55</v>
      </c>
      <c r="O142" s="329">
        <f t="shared" si="43"/>
        <v>32.443479408990882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'[39]Sch C'!D139</f>
        <v>0</v>
      </c>
      <c r="D143" s="480">
        <f>'[39]Sch C'!F139</f>
        <v>0</v>
      </c>
      <c r="E143" s="480">
        <f>+'[39]Sch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'[39]Sch C'!D141</f>
        <v>0</v>
      </c>
      <c r="D145" s="480">
        <f>'[39]Sch C'!F141</f>
        <v>173982.91546457217</v>
      </c>
      <c r="E145" s="480">
        <f>+'[39]Sch C'!H141</f>
        <v>0</v>
      </c>
      <c r="F145" s="166">
        <f t="shared" ref="F145:F148" si="48">C145+D145+E145</f>
        <v>173982.91546457217</v>
      </c>
      <c r="G145" s="626"/>
      <c r="H145" s="166"/>
      <c r="I145" s="166">
        <f t="shared" ref="I145:I148" si="49">F145+G145+H145</f>
        <v>173982.91546457217</v>
      </c>
      <c r="J145" s="167">
        <f>IF($I$213=0,0,I145/$I$213)</f>
        <v>4.2747329986406041E-2</v>
      </c>
      <c r="K145" s="458"/>
      <c r="L145" s="163"/>
      <c r="M145" s="163"/>
      <c r="O145" s="329">
        <f t="shared" si="43"/>
        <v>10.938881827385865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'[39]Sch C'!D142</f>
        <v>0</v>
      </c>
      <c r="D146" s="480">
        <f>'[39]Sch C'!F142</f>
        <v>35479.728198924757</v>
      </c>
      <c r="E146" s="480">
        <f>+'[39]Sch C'!H142</f>
        <v>0</v>
      </c>
      <c r="F146" s="166">
        <f t="shared" si="48"/>
        <v>35479.728198924757</v>
      </c>
      <c r="G146" s="626"/>
      <c r="H146" s="166"/>
      <c r="I146" s="166">
        <f t="shared" si="49"/>
        <v>35479.728198924757</v>
      </c>
      <c r="J146" s="167">
        <f>IF($I$213=0,0,I146/$I$213)</f>
        <v>8.7173136804703545E-3</v>
      </c>
      <c r="K146" s="458"/>
      <c r="L146" s="163"/>
      <c r="M146" s="163"/>
      <c r="O146" s="329">
        <f t="shared" si="43"/>
        <v>2.2307279596934775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'[39]Sch C'!D143</f>
        <v>0</v>
      </c>
      <c r="D147" s="480">
        <f>'[39]Sch C'!F143</f>
        <v>192500.40108935875</v>
      </c>
      <c r="E147" s="480">
        <f>+'[39]Sch C'!H143</f>
        <v>0</v>
      </c>
      <c r="F147" s="166">
        <f t="shared" si="48"/>
        <v>192500.40108935875</v>
      </c>
      <c r="G147" s="626"/>
      <c r="H147" s="166"/>
      <c r="I147" s="166">
        <f t="shared" si="49"/>
        <v>192500.40108935875</v>
      </c>
      <c r="J147" s="167">
        <f>IF($I$213=0,0,I147/$I$213)</f>
        <v>4.7297047218167618E-2</v>
      </c>
      <c r="K147" s="458"/>
      <c r="L147" s="163"/>
      <c r="M147" s="163"/>
      <c r="O147" s="329">
        <f t="shared" si="43"/>
        <v>12.103137446674552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'[39]Sch C'!D144</f>
        <v>0</v>
      </c>
      <c r="D148" s="480">
        <f>'[39]Sch C'!F144</f>
        <v>0</v>
      </c>
      <c r="E148" s="480">
        <f>+'[39]Sch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'[39]Sch C'!D146</f>
        <v>0</v>
      </c>
      <c r="D150" s="480">
        <f>'[39]Sch C'!F146</f>
        <v>0</v>
      </c>
      <c r="E150" s="480">
        <f>+'[39]Sch C'!H146</f>
        <v>0</v>
      </c>
      <c r="F150" s="166">
        <f t="shared" ref="F150:F158" si="50">C150+D150+E150</f>
        <v>0</v>
      </c>
      <c r="G150" s="626"/>
      <c r="H150" s="166"/>
      <c r="I150" s="166">
        <f t="shared" ref="I150:I158" si="51">F150+G150+H150</f>
        <v>0</v>
      </c>
      <c r="J150" s="167">
        <f t="shared" ref="J150:J158" si="52">IF($I$213=0,0,I150/$I$213)</f>
        <v>0</v>
      </c>
      <c r="K150" s="458"/>
      <c r="L150" s="176">
        <v>0</v>
      </c>
      <c r="M150" s="176">
        <v>0</v>
      </c>
      <c r="O150" s="329">
        <f t="shared" si="43"/>
        <v>0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'[39]Sch C'!D147</f>
        <v>0</v>
      </c>
      <c r="D151" s="480">
        <f>'[39]Sch C'!F147</f>
        <v>0</v>
      </c>
      <c r="E151" s="480">
        <f>+'[39]Sch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'[39]Sch C'!D148</f>
        <v>0</v>
      </c>
      <c r="D152" s="480">
        <f>'[39]Sch C'!F148</f>
        <v>0</v>
      </c>
      <c r="E152" s="480">
        <f>+'[39]Sch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'[39]Sch C'!D149</f>
        <v>0</v>
      </c>
      <c r="D153" s="480">
        <f>'[39]Sch C'!F149</f>
        <v>0</v>
      </c>
      <c r="E153" s="480">
        <f>+'[39]Sch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'[39]Sch C'!D150</f>
        <v>6948</v>
      </c>
      <c r="D154" s="480">
        <f>'[39]Sch C'!F150</f>
        <v>0</v>
      </c>
      <c r="E154" s="480">
        <f>+'[39]Sch C'!H150</f>
        <v>0</v>
      </c>
      <c r="F154" s="166">
        <f t="shared" si="50"/>
        <v>6948</v>
      </c>
      <c r="G154" s="626"/>
      <c r="H154" s="166"/>
      <c r="I154" s="166">
        <f t="shared" si="51"/>
        <v>6948</v>
      </c>
      <c r="J154" s="167">
        <f t="shared" si="52"/>
        <v>1.7071127239848354E-3</v>
      </c>
      <c r="K154" s="458"/>
      <c r="L154" s="176">
        <v>0</v>
      </c>
      <c r="M154" s="176">
        <v>0</v>
      </c>
      <c r="O154" s="329">
        <f t="shared" si="43"/>
        <v>0.43684375982395474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'[39]Sch C'!D151</f>
        <v>84031.67</v>
      </c>
      <c r="D155" s="480">
        <f>'[39]Sch C'!F151</f>
        <v>0</v>
      </c>
      <c r="E155" s="480">
        <f>+'[39]Sch C'!H151</f>
        <v>0</v>
      </c>
      <c r="F155" s="166">
        <f t="shared" si="50"/>
        <v>84031.67</v>
      </c>
      <c r="G155" s="626">
        <v>-4442</v>
      </c>
      <c r="H155" s="166"/>
      <c r="I155" s="166">
        <f t="shared" si="51"/>
        <v>79589.67</v>
      </c>
      <c r="J155" s="167">
        <f t="shared" si="52"/>
        <v>1.9555057333729725E-2</v>
      </c>
      <c r="K155" s="457"/>
      <c r="L155" s="163"/>
      <c r="M155" s="163"/>
      <c r="O155" s="329">
        <f t="shared" si="43"/>
        <v>5.004066016975794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'[39]Sch C'!D152</f>
        <v>965.56</v>
      </c>
      <c r="D156" s="480">
        <f>'[39]Sch C'!F152</f>
        <v>0</v>
      </c>
      <c r="E156" s="480">
        <f>+'[39]Sch C'!H152</f>
        <v>0</v>
      </c>
      <c r="F156" s="166">
        <f t="shared" si="50"/>
        <v>965.56</v>
      </c>
      <c r="G156" s="626"/>
      <c r="H156" s="166"/>
      <c r="I156" s="166">
        <f t="shared" si="51"/>
        <v>965.56</v>
      </c>
      <c r="J156" s="167">
        <f t="shared" si="52"/>
        <v>2.3723658056574521E-4</v>
      </c>
      <c r="K156" s="458"/>
      <c r="L156" s="163"/>
      <c r="M156" s="163"/>
      <c r="O156" s="329">
        <f t="shared" si="43"/>
        <v>6.0707953473750388E-2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'[39]Sch C'!D153</f>
        <v>2403.21</v>
      </c>
      <c r="D157" s="480">
        <f>'[39]Sch C'!F153</f>
        <v>0</v>
      </c>
      <c r="E157" s="480">
        <f>+'[39]Sch C'!H153</f>
        <v>0</v>
      </c>
      <c r="F157" s="166">
        <f t="shared" si="50"/>
        <v>2403.21</v>
      </c>
      <c r="G157" s="626"/>
      <c r="H157" s="166"/>
      <c r="I157" s="166">
        <f t="shared" si="51"/>
        <v>2403.21</v>
      </c>
      <c r="J157" s="167">
        <f t="shared" si="52"/>
        <v>5.9046493514789821E-4</v>
      </c>
      <c r="K157" s="458"/>
      <c r="L157" s="163"/>
      <c r="M157" s="163"/>
      <c r="O157" s="329">
        <f t="shared" si="43"/>
        <v>0.15109776799748506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'[39]Sch C'!D154</f>
        <v>0</v>
      </c>
      <c r="D158" s="480">
        <f>'[39]Sch C'!F154</f>
        <v>0</v>
      </c>
      <c r="E158" s="480">
        <f>+'[39]Sch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'[39]Sch C'!D156</f>
        <v>0</v>
      </c>
      <c r="D160" s="480">
        <f>'[39]Sch C'!F156</f>
        <v>0</v>
      </c>
      <c r="E160" s="480">
        <f>+'[39]Sch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'[39]Sch C'!D157</f>
        <v>1539</v>
      </c>
      <c r="D161" s="480">
        <f>'[39]Sch C'!F157</f>
        <v>0</v>
      </c>
      <c r="E161" s="480">
        <f>+'[39]Sch C'!H157</f>
        <v>0</v>
      </c>
      <c r="F161" s="166">
        <f t="shared" si="53"/>
        <v>1539</v>
      </c>
      <c r="G161" s="626"/>
      <c r="H161" s="166"/>
      <c r="I161" s="166">
        <f t="shared" si="54"/>
        <v>1539</v>
      </c>
      <c r="J161" s="167">
        <f t="shared" si="55"/>
        <v>3.7812989093446487E-4</v>
      </c>
      <c r="K161" s="458"/>
      <c r="L161" s="163"/>
      <c r="M161" s="163"/>
      <c r="O161" s="329">
        <f t="shared" si="43"/>
        <v>9.6762024520591003E-2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'[39]Sch C'!D158</f>
        <v>75</v>
      </c>
      <c r="D162" s="480">
        <f>'[39]Sch C'!F158</f>
        <v>0</v>
      </c>
      <c r="E162" s="480">
        <f>+'[39]Sch C'!H158</f>
        <v>0</v>
      </c>
      <c r="F162" s="166">
        <f t="shared" si="53"/>
        <v>75</v>
      </c>
      <c r="G162" s="626"/>
      <c r="H162" s="166"/>
      <c r="I162" s="166">
        <f t="shared" si="54"/>
        <v>75</v>
      </c>
      <c r="J162" s="167">
        <f t="shared" si="55"/>
        <v>1.8427382599145462E-5</v>
      </c>
      <c r="K162" s="458"/>
      <c r="L162" s="163"/>
      <c r="M162" s="163"/>
      <c r="O162" s="329">
        <f t="shared" si="43"/>
        <v>4.7154982709839673E-3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'[39]Sch C'!D159</f>
        <v>275</v>
      </c>
      <c r="D163" s="480">
        <f>'[39]Sch C'!F159</f>
        <v>0</v>
      </c>
      <c r="E163" s="480">
        <f>+'[39]Sch C'!H159</f>
        <v>0</v>
      </c>
      <c r="F163" s="166">
        <f t="shared" si="53"/>
        <v>275</v>
      </c>
      <c r="G163" s="626"/>
      <c r="H163" s="166"/>
      <c r="I163" s="166">
        <f t="shared" si="54"/>
        <v>275</v>
      </c>
      <c r="J163" s="167">
        <f t="shared" si="55"/>
        <v>6.7567069530200023E-5</v>
      </c>
      <c r="K163" s="458"/>
      <c r="L163" s="163"/>
      <c r="M163" s="163"/>
      <c r="O163" s="329">
        <f t="shared" si="43"/>
        <v>1.7290160326941213E-2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'[39]Sch C'!D160</f>
        <v>0</v>
      </c>
      <c r="D164" s="480">
        <f>'[39]Sch C'!F160</f>
        <v>0</v>
      </c>
      <c r="E164" s="480">
        <f>+'[39]Sch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'[39]Sch C'!D161</f>
        <v>0</v>
      </c>
      <c r="D165" s="480">
        <f>'[39]Sch C'!F161</f>
        <v>0</v>
      </c>
      <c r="E165" s="480">
        <f>+'[39]Sch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1321867.5999999999</v>
      </c>
      <c r="D166" s="480">
        <f t="shared" si="56"/>
        <v>457225.01271423022</v>
      </c>
      <c r="E166" s="480">
        <f t="shared" si="56"/>
        <v>0</v>
      </c>
      <c r="F166" s="166">
        <f t="shared" ref="F166:I166" si="57">SUM(F128:F165)</f>
        <v>1779092.6127142303</v>
      </c>
      <c r="G166" s="166">
        <f t="shared" si="57"/>
        <v>-4442</v>
      </c>
      <c r="H166" s="166">
        <f t="shared" si="57"/>
        <v>0</v>
      </c>
      <c r="I166" s="166">
        <f t="shared" si="57"/>
        <v>1774650.6127142303</v>
      </c>
      <c r="J166" s="167">
        <f t="shared" si="55"/>
        <v>0.43602887760390718</v>
      </c>
      <c r="K166" s="458"/>
      <c r="L166" s="163"/>
      <c r="M166" s="163"/>
      <c r="O166" s="329">
        <f>I166/I$233</f>
        <v>111.57815861139456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'[39]Sch C'!D175</f>
        <v>0</v>
      </c>
      <c r="D169" s="480">
        <f>'[39]Sch C'!F175</f>
        <v>0</v>
      </c>
      <c r="E169" s="480">
        <f>+'[39]Sch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'[39]Sch C'!D176</f>
        <v>0</v>
      </c>
      <c r="D170" s="480">
        <f>'[39]Sch C'!F176</f>
        <v>0</v>
      </c>
      <c r="E170" s="480">
        <f>+'[39]Sch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'[39]Sch C'!D177</f>
        <v>0</v>
      </c>
      <c r="D171" s="480">
        <f>'[39]Sch C'!F177</f>
        <v>0</v>
      </c>
      <c r="E171" s="480">
        <f>+'[39]Sch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'[39]Sch C'!D178</f>
        <v>0</v>
      </c>
      <c r="D172" s="480">
        <f>'[39]Sch C'!F178</f>
        <v>0</v>
      </c>
      <c r="E172" s="480">
        <f>+'[39]Sch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'[39]Sch C'!D179</f>
        <v>0</v>
      </c>
      <c r="D173" s="480">
        <f>'[39]Sch C'!F179</f>
        <v>0</v>
      </c>
      <c r="E173" s="480">
        <f>+'[39]Sch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'[39]Sch C'!D180</f>
        <v>0</v>
      </c>
      <c r="D174" s="480">
        <f>'[39]Sch C'!F180</f>
        <v>0</v>
      </c>
      <c r="E174" s="480">
        <f>+'[39]Sch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'[39]Sch C'!D181</f>
        <v>0</v>
      </c>
      <c r="D175" s="480">
        <f>'[39]Sch C'!F181</f>
        <v>0</v>
      </c>
      <c r="E175" s="480">
        <f>+'[39]Sch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'[39]Sch C'!D182</f>
        <v>0</v>
      </c>
      <c r="D176" s="480">
        <f>'[39]Sch C'!F182</f>
        <v>0</v>
      </c>
      <c r="E176" s="480">
        <f>+'[39]Sch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'[39]Sch C'!D183</f>
        <v>0</v>
      </c>
      <c r="D177" s="480">
        <f>'[39]Sch C'!F183</f>
        <v>0</v>
      </c>
      <c r="E177" s="480">
        <f>+'[39]Sch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'[39]Sch C'!D184</f>
        <v>0</v>
      </c>
      <c r="D178" s="480">
        <f>'[39]Sch C'!F184</f>
        <v>0</v>
      </c>
      <c r="E178" s="480">
        <f>+'[39]Sch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'[39]Sch C'!D185</f>
        <v>0</v>
      </c>
      <c r="D179" s="480">
        <f>'[39]Sch C'!F185</f>
        <v>0</v>
      </c>
      <c r="E179" s="480">
        <f>+'[39]Sch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'[39]Sch C'!D186</f>
        <v>0</v>
      </c>
      <c r="D180" s="480">
        <f>'[39]Sch C'!F186</f>
        <v>0</v>
      </c>
      <c r="E180" s="480">
        <f>+'[39]Sch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'[39]Sch C'!D187</f>
        <v>0</v>
      </c>
      <c r="D181" s="480">
        <f>'[39]Sch C'!F187</f>
        <v>0</v>
      </c>
      <c r="E181" s="480">
        <f>+'[39]Sch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'[39]Sch C'!D188</f>
        <v>0</v>
      </c>
      <c r="D182" s="480">
        <f>'[39]Sch C'!F188</f>
        <v>0</v>
      </c>
      <c r="E182" s="480">
        <f>+'[39]Sch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'[39]Sch C'!D189</f>
        <v>0</v>
      </c>
      <c r="D183" s="480">
        <f>'[39]Sch C'!F189</f>
        <v>0</v>
      </c>
      <c r="E183" s="480">
        <f>+'[39]Sch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'[39]Sch C'!D190</f>
        <v>0</v>
      </c>
      <c r="D184" s="480">
        <f>'[39]Sch C'!F190</f>
        <v>0</v>
      </c>
      <c r="E184" s="480">
        <f>+'[39]Sch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'[39]Sch C'!D191</f>
        <v>0</v>
      </c>
      <c r="D185" s="480">
        <f>'[39]Sch C'!F191</f>
        <v>0</v>
      </c>
      <c r="E185" s="480">
        <f>+'[39]Sch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'[39]Sch C'!D192</f>
        <v>0</v>
      </c>
      <c r="D186" s="480">
        <f>'[39]Sch C'!F192</f>
        <v>0</v>
      </c>
      <c r="E186" s="480">
        <f>+'[39]Sch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'[39]Sch C'!D193</f>
        <v>0</v>
      </c>
      <c r="D187" s="480">
        <f>'[39]Sch C'!F193</f>
        <v>0</v>
      </c>
      <c r="E187" s="480">
        <f>+'[39]Sch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'[39]Sch C'!D194</f>
        <v>150095</v>
      </c>
      <c r="D188" s="480">
        <f>'[39]Sch C'!F194</f>
        <v>0</v>
      </c>
      <c r="E188" s="480">
        <f>+'[39]Sch C'!H194</f>
        <v>0</v>
      </c>
      <c r="F188" s="166">
        <f t="shared" si="58"/>
        <v>150095</v>
      </c>
      <c r="G188" s="626"/>
      <c r="H188" s="166"/>
      <c r="I188" s="166">
        <f t="shared" si="59"/>
        <v>150095</v>
      </c>
      <c r="J188" s="167">
        <f t="shared" si="60"/>
        <v>3.6878106549583171E-2</v>
      </c>
      <c r="K188" s="458"/>
      <c r="L188" s="213"/>
      <c r="M188" s="208"/>
      <c r="O188" s="329">
        <f t="shared" si="61"/>
        <v>9.4369695064445143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'[39]Sch C'!D195</f>
        <v>307</v>
      </c>
      <c r="D189" s="480">
        <f>'[39]Sch C'!F195</f>
        <v>0</v>
      </c>
      <c r="E189" s="480">
        <f>+'[39]Sch C'!H195</f>
        <v>0</v>
      </c>
      <c r="F189" s="166">
        <f t="shared" si="58"/>
        <v>307</v>
      </c>
      <c r="G189" s="626"/>
      <c r="H189" s="166"/>
      <c r="I189" s="166">
        <f t="shared" si="59"/>
        <v>307</v>
      </c>
      <c r="J189" s="167">
        <f t="shared" si="60"/>
        <v>7.5429419439168753E-5</v>
      </c>
      <c r="K189" s="458"/>
      <c r="L189" s="213"/>
      <c r="M189" s="208"/>
      <c r="O189" s="329">
        <f t="shared" si="61"/>
        <v>1.9302106255894375E-2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'[39]Sch C'!D196</f>
        <v>0</v>
      </c>
      <c r="D190" s="480">
        <f>'[39]Sch C'!F196</f>
        <v>0</v>
      </c>
      <c r="E190" s="480">
        <f>+'[39]Sch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'[39]Sch C'!D197</f>
        <v>45999.33</v>
      </c>
      <c r="D191" s="480">
        <f>'[39]Sch C'!F197</f>
        <v>0</v>
      </c>
      <c r="E191" s="480">
        <f>+'[39]Sch C'!H197</f>
        <v>0</v>
      </c>
      <c r="F191" s="166">
        <f t="shared" si="58"/>
        <v>45999.33</v>
      </c>
      <c r="G191" s="626"/>
      <c r="H191" s="166"/>
      <c r="I191" s="166">
        <f t="shared" si="59"/>
        <v>45999.33</v>
      </c>
      <c r="J191" s="167">
        <f t="shared" si="60"/>
        <v>1.1301963376191331E-2</v>
      </c>
      <c r="K191" s="458"/>
      <c r="L191" s="213"/>
      <c r="M191" s="208"/>
      <c r="O191" s="329">
        <f t="shared" si="61"/>
        <v>2.8921301477522792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'[39]Sch C'!D198</f>
        <v>32072.02</v>
      </c>
      <c r="D192" s="480">
        <f>'[39]Sch C'!F198</f>
        <v>0</v>
      </c>
      <c r="E192" s="480">
        <f>+'[39]Sch C'!H198</f>
        <v>0</v>
      </c>
      <c r="F192" s="166">
        <f t="shared" si="58"/>
        <v>32072.02</v>
      </c>
      <c r="G192" s="626"/>
      <c r="H192" s="166"/>
      <c r="I192" s="166">
        <f t="shared" si="59"/>
        <v>32072.02</v>
      </c>
      <c r="J192" s="167">
        <f t="shared" si="60"/>
        <v>7.880045110232603E-3</v>
      </c>
      <c r="K192" s="458"/>
      <c r="L192" s="213"/>
      <c r="M192" s="208"/>
      <c r="O192" s="329">
        <f t="shared" si="61"/>
        <v>2.0164740647595094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'[39]Sch C'!D199</f>
        <v>0</v>
      </c>
      <c r="D193" s="480">
        <f>'[39]Sch C'!F199</f>
        <v>0</v>
      </c>
      <c r="E193" s="480">
        <f>+'[39]Sch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'[39]Sch C'!D200</f>
        <v>76</v>
      </c>
      <c r="D194" s="480">
        <f>'[39]Sch C'!F200</f>
        <v>0</v>
      </c>
      <c r="E194" s="480">
        <f>+'[39]Sch C'!H200</f>
        <v>0</v>
      </c>
      <c r="F194" s="166">
        <f t="shared" si="58"/>
        <v>76</v>
      </c>
      <c r="G194" s="626"/>
      <c r="H194" s="166"/>
      <c r="I194" s="166">
        <f t="shared" si="59"/>
        <v>76</v>
      </c>
      <c r="J194" s="167">
        <f t="shared" si="60"/>
        <v>1.8673081033800735E-5</v>
      </c>
      <c r="K194" s="458"/>
      <c r="L194" s="213"/>
      <c r="M194" s="208"/>
      <c r="O194" s="329">
        <f t="shared" si="61"/>
        <v>4.7783715812637533E-3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'[39]Sch C'!D201</f>
        <v>0</v>
      </c>
      <c r="D195" s="480">
        <f>'[39]Sch C'!F201</f>
        <v>0</v>
      </c>
      <c r="E195" s="480">
        <f>+'[39]Sch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'[39]Sch C'!D202</f>
        <v>4</v>
      </c>
      <c r="D196" s="480">
        <f>'[39]Sch C'!F202</f>
        <v>0</v>
      </c>
      <c r="E196" s="480">
        <f>+'[39]Sch C'!H202</f>
        <v>0</v>
      </c>
      <c r="F196" s="166">
        <f t="shared" si="58"/>
        <v>4</v>
      </c>
      <c r="G196" s="626"/>
      <c r="H196" s="166"/>
      <c r="I196" s="166">
        <f t="shared" si="59"/>
        <v>4</v>
      </c>
      <c r="J196" s="167">
        <f t="shared" si="60"/>
        <v>9.8279373862109123E-7</v>
      </c>
      <c r="K196" s="458"/>
      <c r="L196" s="213"/>
      <c r="M196" s="208"/>
      <c r="O196" s="329">
        <f t="shared" si="61"/>
        <v>2.5149324111914493E-4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'[39]Sch C'!D203</f>
        <v>0</v>
      </c>
      <c r="D197" s="480">
        <f>'[39]Sch C'!F203</f>
        <v>0</v>
      </c>
      <c r="E197" s="480">
        <f>+'[39]Sch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'[39]Sch C'!D204</f>
        <v>0</v>
      </c>
      <c r="D198" s="480">
        <f>'[39]Sch C'!F204</f>
        <v>0</v>
      </c>
      <c r="E198" s="480">
        <f>+'[39]Sch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'[39]Sch C'!D205</f>
        <v>76091.63</v>
      </c>
      <c r="D199" s="480">
        <f>'[39]Sch C'!F205</f>
        <v>0</v>
      </c>
      <c r="E199" s="480">
        <f>+'[39]Sch C'!H205</f>
        <v>0</v>
      </c>
      <c r="F199" s="166">
        <f t="shared" si="58"/>
        <v>76091.63</v>
      </c>
      <c r="G199" s="626"/>
      <c r="H199" s="166"/>
      <c r="I199" s="166">
        <f t="shared" si="59"/>
        <v>76091.63</v>
      </c>
      <c r="J199" s="167">
        <f t="shared" si="60"/>
        <v>1.8695594381368197E-2</v>
      </c>
      <c r="K199" s="458"/>
      <c r="L199" s="213"/>
      <c r="M199" s="208"/>
      <c r="O199" s="329">
        <f t="shared" si="61"/>
        <v>4.7841326626846907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'[39]Sch C'!D206</f>
        <v>0</v>
      </c>
      <c r="D200" s="480">
        <f>'[39]Sch C'!F206</f>
        <v>0</v>
      </c>
      <c r="E200" s="480">
        <f>+'[39]Sch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'[39]Sch C'!D207</f>
        <v>0</v>
      </c>
      <c r="D201" s="480">
        <f>'[39]Sch C'!F207</f>
        <v>0</v>
      </c>
      <c r="E201" s="480">
        <f>+'[39]Sch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304644.98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304644.98</v>
      </c>
      <c r="G202" s="166">
        <f t="shared" si="63"/>
        <v>0</v>
      </c>
      <c r="H202" s="166">
        <f t="shared" si="63"/>
        <v>0</v>
      </c>
      <c r="I202" s="166">
        <f t="shared" si="63"/>
        <v>304644.98</v>
      </c>
      <c r="J202" s="167">
        <f>IF($I$213=0,0,I202/$I$213)</f>
        <v>7.4850794711586885E-2</v>
      </c>
      <c r="K202" s="458"/>
      <c r="L202" s="163"/>
      <c r="M202" s="163"/>
      <c r="O202" s="329">
        <f>I202/I$233</f>
        <v>19.154038352719269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'[39]Sch C'!D211</f>
        <v>84545.71</v>
      </c>
      <c r="D205" s="480">
        <f>'[39]Sch C'!F211</f>
        <v>0</v>
      </c>
      <c r="E205" s="480">
        <f>+'[39]Sch C'!H211</f>
        <v>0</v>
      </c>
      <c r="F205" s="166">
        <f t="shared" ref="F205:F210" si="64">C205+D205+E205</f>
        <v>84545.71</v>
      </c>
      <c r="G205" s="626"/>
      <c r="H205" s="166"/>
      <c r="I205" s="166">
        <f t="shared" ref="I205:I210" si="65">F205+G205+H205</f>
        <v>84545.71</v>
      </c>
      <c r="J205" s="167">
        <f t="shared" ref="J205:J211" si="66">IF($I$213=0,0,I205/$I$213)</f>
        <v>2.0772748603818645E-2</v>
      </c>
      <c r="K205" s="458"/>
      <c r="L205" s="176">
        <v>4985.8100000000004</v>
      </c>
      <c r="M205" s="176">
        <v>5369.34</v>
      </c>
      <c r="O205" s="329">
        <f t="shared" ref="O205:O210" si="67">I205/I$233</f>
        <v>5.3156686576548262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'[39]Sch C'!D212</f>
        <v>0</v>
      </c>
      <c r="D206" s="480">
        <f>'[39]Sch C'!F212</f>
        <v>31540.031072410646</v>
      </c>
      <c r="E206" s="480">
        <f>+'[39]Sch C'!H212</f>
        <v>0</v>
      </c>
      <c r="F206" s="166">
        <f t="shared" si="64"/>
        <v>31540.031072410646</v>
      </c>
      <c r="G206" s="626"/>
      <c r="H206" s="166"/>
      <c r="I206" s="166">
        <f t="shared" si="65"/>
        <v>31540.031072410646</v>
      </c>
      <c r="J206" s="167">
        <f t="shared" si="66"/>
        <v>7.749336263469961E-3</v>
      </c>
      <c r="K206" s="458"/>
      <c r="L206" s="163"/>
      <c r="M206" s="163"/>
      <c r="O206" s="329">
        <f t="shared" si="67"/>
        <v>1.9830261598497734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'[39]Sch C'!D213</f>
        <v>13431.3</v>
      </c>
      <c r="D207" s="480">
        <f>'[39]Sch C'!F213</f>
        <v>0</v>
      </c>
      <c r="E207" s="480">
        <f>+'[39]Sch C'!H213</f>
        <v>0</v>
      </c>
      <c r="F207" s="166">
        <f t="shared" si="64"/>
        <v>13431.3</v>
      </c>
      <c r="G207" s="626"/>
      <c r="H207" s="166"/>
      <c r="I207" s="166">
        <f t="shared" si="65"/>
        <v>13431.3</v>
      </c>
      <c r="J207" s="167">
        <f t="shared" si="66"/>
        <v>3.3000493853853653E-3</v>
      </c>
      <c r="K207" s="458"/>
      <c r="L207" s="163"/>
      <c r="M207" s="163"/>
      <c r="O207" s="329">
        <f t="shared" si="67"/>
        <v>0.84447029236089277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'[39]Sch C'!D214</f>
        <v>3412.5</v>
      </c>
      <c r="D208" s="480">
        <f>'[39]Sch C'!F214</f>
        <v>0</v>
      </c>
      <c r="E208" s="480">
        <f>+'[39]Sch C'!H214</f>
        <v>0</v>
      </c>
      <c r="F208" s="166">
        <f t="shared" si="64"/>
        <v>3412.5</v>
      </c>
      <c r="G208" s="626"/>
      <c r="H208" s="166"/>
      <c r="I208" s="166">
        <f t="shared" si="65"/>
        <v>3412.5</v>
      </c>
      <c r="J208" s="167">
        <f t="shared" si="66"/>
        <v>8.384459082611185E-4</v>
      </c>
      <c r="K208" s="458"/>
      <c r="L208" s="163"/>
      <c r="M208" s="163"/>
      <c r="O208" s="329">
        <f t="shared" si="67"/>
        <v>0.21455517132977051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'[39]Sch C'!D215</f>
        <v>0</v>
      </c>
      <c r="D209" s="480">
        <f>'[39]Sch C'!F215</f>
        <v>0</v>
      </c>
      <c r="E209" s="480">
        <f>+'[39]Sch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'[39]Sch C'!D216</f>
        <v>4324.24</v>
      </c>
      <c r="D210" s="480">
        <f>'[39]Sch C'!F216</f>
        <v>0</v>
      </c>
      <c r="E210" s="480">
        <f>+'[39]Sch C'!H216</f>
        <v>0</v>
      </c>
      <c r="F210" s="166">
        <f t="shared" si="64"/>
        <v>4324.24</v>
      </c>
      <c r="G210" s="626"/>
      <c r="H210" s="166"/>
      <c r="I210" s="166">
        <f t="shared" si="65"/>
        <v>4324.24</v>
      </c>
      <c r="J210" s="167">
        <f t="shared" si="66"/>
        <v>1.0624589990737168E-3</v>
      </c>
      <c r="K210" s="457"/>
      <c r="L210" s="163"/>
      <c r="M210" s="163"/>
      <c r="O210" s="329">
        <f t="shared" si="67"/>
        <v>0.2718792832442628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105713.75000000001</v>
      </c>
      <c r="D211" s="480">
        <f t="shared" si="68"/>
        <v>31540.031072410646</v>
      </c>
      <c r="E211" s="480">
        <f t="shared" si="68"/>
        <v>0</v>
      </c>
      <c r="F211" s="166">
        <f t="shared" ref="F211:I211" si="69">SUM(F205:F210)</f>
        <v>137253.78107241064</v>
      </c>
      <c r="G211" s="166">
        <f t="shared" si="69"/>
        <v>0</v>
      </c>
      <c r="H211" s="166">
        <f t="shared" si="69"/>
        <v>0</v>
      </c>
      <c r="I211" s="166">
        <f t="shared" si="69"/>
        <v>137253.78107241064</v>
      </c>
      <c r="J211" s="167">
        <f t="shared" si="66"/>
        <v>3.3723039160008808E-2</v>
      </c>
      <c r="K211" s="458"/>
      <c r="L211" s="163"/>
      <c r="M211" s="163"/>
      <c r="O211" s="329">
        <f>I211/I$233</f>
        <v>8.6295995644395251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4483484.8400000008</v>
      </c>
      <c r="D213" s="480">
        <f t="shared" si="70"/>
        <v>-241183.84000000026</v>
      </c>
      <c r="E213" s="480">
        <f t="shared" si="70"/>
        <v>-81597.240000000005</v>
      </c>
      <c r="F213" s="166">
        <f t="shared" ref="F213:I213" si="71">SUM(F30:F211)/2</f>
        <v>4160703.76</v>
      </c>
      <c r="G213" s="166">
        <f t="shared" si="71"/>
        <v>-90673.760000000009</v>
      </c>
      <c r="H213" s="166">
        <f t="shared" si="71"/>
        <v>0</v>
      </c>
      <c r="I213" s="166">
        <f t="shared" si="71"/>
        <v>4070030</v>
      </c>
      <c r="J213" s="167">
        <f>IF($I$213=0,0,I213/$I$213)</f>
        <v>1</v>
      </c>
      <c r="K213" s="458"/>
      <c r="L213" s="176">
        <f>SUM(L30:L205)</f>
        <v>102762.61</v>
      </c>
      <c r="M213" s="176">
        <f>SUM(M30:M205)</f>
        <v>111236.52</v>
      </c>
      <c r="O213" s="329">
        <f>I213/I$233</f>
        <v>255.89625903803835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'[39]Sch C'!D221</f>
        <v>4483484.84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-575899.2900000005</v>
      </c>
      <c r="D220" s="480">
        <f t="shared" si="72"/>
        <v>241183.84000000026</v>
      </c>
      <c r="E220" s="480">
        <f t="shared" si="72"/>
        <v>81597.240000000005</v>
      </c>
      <c r="F220" s="166">
        <f t="shared" ref="F220:I220" si="73">F26-F213</f>
        <v>-253118.2099999995</v>
      </c>
      <c r="G220" s="166">
        <f t="shared" si="73"/>
        <v>12622.760000000009</v>
      </c>
      <c r="H220" s="166">
        <f t="shared" si="73"/>
        <v>0</v>
      </c>
      <c r="I220" s="166">
        <f t="shared" si="73"/>
        <v>-240495.44999999972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'[39]Sch D'!C9</f>
        <v>6065</v>
      </c>
      <c r="D224" s="480"/>
      <c r="E224" s="480"/>
      <c r="F224" s="224">
        <f>C224+D224+E224</f>
        <v>6065</v>
      </c>
      <c r="G224" s="627"/>
      <c r="H224" s="543"/>
      <c r="I224" s="224">
        <f>F224+G224+H224</f>
        <v>6065</v>
      </c>
      <c r="J224" s="167">
        <f t="shared" ref="J224:J233" si="74">IF($I$233=0,0,I224/$I$233)</f>
        <v>0.38132662684690349</v>
      </c>
      <c r="K224" s="457"/>
      <c r="L224" s="163"/>
      <c r="M224" s="163"/>
    </row>
    <row r="225" spans="1:13">
      <c r="A225" s="158"/>
      <c r="B225" s="165" t="s">
        <v>201</v>
      </c>
      <c r="C225" s="504">
        <f>'[39]Sch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'[39]Sch D'!E9</f>
        <v>1907</v>
      </c>
      <c r="D226" s="480"/>
      <c r="E226" s="480"/>
      <c r="F226" s="224">
        <f t="shared" si="75"/>
        <v>1907</v>
      </c>
      <c r="G226" s="627"/>
      <c r="H226" s="223"/>
      <c r="I226" s="224">
        <f t="shared" si="76"/>
        <v>1907</v>
      </c>
      <c r="J226" s="167">
        <f t="shared" si="74"/>
        <v>0.11989940270355234</v>
      </c>
      <c r="K226" s="458"/>
      <c r="L226" s="163"/>
      <c r="M226" s="163"/>
    </row>
    <row r="227" spans="1:13">
      <c r="A227" s="158"/>
      <c r="B227" s="194" t="s">
        <v>315</v>
      </c>
      <c r="C227" s="504">
        <f>'[39]Sch D'!F9</f>
        <v>81</v>
      </c>
      <c r="D227" s="480"/>
      <c r="E227" s="480"/>
      <c r="F227" s="224">
        <f t="shared" si="75"/>
        <v>81</v>
      </c>
      <c r="G227" s="627"/>
      <c r="H227" s="223"/>
      <c r="I227" s="224">
        <f t="shared" si="76"/>
        <v>81</v>
      </c>
      <c r="J227" s="167">
        <f t="shared" si="74"/>
        <v>5.092738132662685E-3</v>
      </c>
      <c r="K227" s="458"/>
      <c r="L227" s="163"/>
      <c r="M227" s="163"/>
    </row>
    <row r="228" spans="1:13">
      <c r="A228" s="158"/>
      <c r="B228" s="165" t="s">
        <v>65</v>
      </c>
      <c r="C228" s="504">
        <f>'[39]Sch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'[39]Sch D'!H9</f>
        <v>7852</v>
      </c>
      <c r="D229" s="480"/>
      <c r="E229" s="480"/>
      <c r="F229" s="224">
        <f t="shared" si="75"/>
        <v>7852</v>
      </c>
      <c r="G229" s="627"/>
      <c r="H229" s="223"/>
      <c r="I229" s="224">
        <f t="shared" si="76"/>
        <v>7852</v>
      </c>
      <c r="J229" s="167">
        <f t="shared" si="74"/>
        <v>0.49368123231688149</v>
      </c>
      <c r="K229" s="458"/>
      <c r="L229" s="163"/>
      <c r="M229" s="163"/>
    </row>
    <row r="230" spans="1:13">
      <c r="A230" s="158"/>
      <c r="B230" s="165" t="s">
        <v>219</v>
      </c>
      <c r="C230" s="504">
        <f>'[39]Sch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'[39]Sch D'!J9</f>
        <v>0</v>
      </c>
      <c r="D231" s="480"/>
      <c r="E231" s="480"/>
      <c r="F231" s="224">
        <f t="shared" si="75"/>
        <v>0</v>
      </c>
      <c r="G231" s="627"/>
      <c r="H231" s="543"/>
      <c r="I231" s="224">
        <f t="shared" si="76"/>
        <v>0</v>
      </c>
      <c r="J231" s="167">
        <f>IF($I$233=0,0,I231/$I$233)</f>
        <v>0</v>
      </c>
      <c r="K231" s="457"/>
      <c r="L231" s="163"/>
      <c r="M231" s="163"/>
    </row>
    <row r="232" spans="1:13">
      <c r="A232" s="158"/>
      <c r="B232" s="165" t="s">
        <v>170</v>
      </c>
      <c r="C232" s="504">
        <f>'[39]Sch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15905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15905</v>
      </c>
      <c r="G233" s="226">
        <f t="shared" si="78"/>
        <v>0</v>
      </c>
      <c r="H233" s="226">
        <f t="shared" si="78"/>
        <v>0</v>
      </c>
      <c r="I233" s="226">
        <f t="shared" si="78"/>
        <v>15905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L235" s="163"/>
      <c r="M235" s="163"/>
    </row>
    <row r="236" spans="1:13">
      <c r="A236" s="158"/>
      <c r="B236" s="194" t="s">
        <v>203</v>
      </c>
      <c r="C236" s="504">
        <f>'[39]Sch D'!N22</f>
        <v>60</v>
      </c>
      <c r="D236" s="480"/>
      <c r="E236" s="480"/>
      <c r="F236" s="224">
        <f>C236+E236</f>
        <v>60</v>
      </c>
      <c r="G236" s="627"/>
      <c r="H236" s="224"/>
      <c r="I236" s="224">
        <f>F236+G236+H236</f>
        <v>60</v>
      </c>
      <c r="J236" s="162"/>
      <c r="L236" s="163"/>
      <c r="M236" s="163"/>
    </row>
    <row r="237" spans="1:13">
      <c r="A237" s="158"/>
      <c r="B237" s="194" t="s">
        <v>271</v>
      </c>
      <c r="C237" s="504">
        <f>'[39]Sch D'!N24</f>
        <v>60</v>
      </c>
      <c r="D237" s="480"/>
      <c r="E237" s="480"/>
      <c r="F237" s="224">
        <f>C237+E237</f>
        <v>60</v>
      </c>
      <c r="G237" s="627"/>
      <c r="H237" s="224"/>
      <c r="I237" s="224">
        <f>F237+G237+H237</f>
        <v>60</v>
      </c>
      <c r="J237" s="162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'[39]Sch D'!N28</f>
        <v>21900</v>
      </c>
      <c r="D240" s="427"/>
      <c r="E240" s="427"/>
      <c r="F240" s="223">
        <f>F236*F238</f>
        <v>21900</v>
      </c>
      <c r="G240"/>
      <c r="H240" s="228"/>
      <c r="I240" s="223">
        <f>I236*I238</f>
        <v>21900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'[39]Sch D'!N30</f>
        <v>0.7262557077625571</v>
      </c>
      <c r="D241" s="228"/>
      <c r="E241" s="228"/>
      <c r="F241" s="232">
        <f>F233/F240</f>
        <v>0.7262557077625571</v>
      </c>
      <c r="G241"/>
      <c r="H241" s="233"/>
      <c r="I241" s="232">
        <f>I233/I240</f>
        <v>0.7262557077625571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'[39]Sch D'!N32</f>
        <v>0.27694063926940637</v>
      </c>
      <c r="D242" s="228"/>
      <c r="E242" s="228"/>
      <c r="F242" s="232">
        <f>(F224+F225)/F240</f>
        <v>0.27694063926940637</v>
      </c>
      <c r="G242"/>
      <c r="H242" s="233"/>
      <c r="I242" s="232">
        <f>(I224+I225)/I240</f>
        <v>0.27694063926940637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'[39]Sch D'!N34</f>
        <v>0.38132662684690344</v>
      </c>
      <c r="D243" s="228"/>
      <c r="E243" s="228"/>
      <c r="F243" s="232">
        <f>(F242/F241)</f>
        <v>0.38132662684690344</v>
      </c>
      <c r="G243"/>
      <c r="H243" s="233"/>
      <c r="I243" s="232">
        <f>(I242/I241)</f>
        <v>0.38132662684690344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/>
    </row>
    <row r="247" spans="1:13">
      <c r="H247" s="140" t="s">
        <v>322</v>
      </c>
      <c r="I247" s="480"/>
    </row>
    <row r="248" spans="1:13" ht="15">
      <c r="A248" s="239"/>
      <c r="B248" s="409"/>
      <c r="H248" s="140" t="s">
        <v>323</v>
      </c>
      <c r="I248" s="480"/>
    </row>
    <row r="249" spans="1:13" ht="15">
      <c r="B249" s="409"/>
      <c r="H249" s="140" t="s">
        <v>324</v>
      </c>
      <c r="I249" s="480"/>
    </row>
    <row r="250" spans="1:13">
      <c r="H250" s="140"/>
    </row>
    <row r="277" spans="2:2">
      <c r="B277" s="138">
        <v>0</v>
      </c>
    </row>
  </sheetData>
  <phoneticPr fontId="16" type="noConversion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6">
    <tabColor rgb="FFE28CAB"/>
  </sheetPr>
  <dimension ref="A1:Q277"/>
  <sheetViews>
    <sheetView showGridLines="0" topLeftCell="A2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436</v>
      </c>
      <c r="D2" s="234"/>
      <c r="E2" s="234"/>
      <c r="F2" s="471"/>
      <c r="G2" s="471"/>
    </row>
    <row r="3" spans="1:16">
      <c r="A3" s="143"/>
      <c r="B3" s="138" t="s">
        <v>71</v>
      </c>
      <c r="C3" s="557">
        <f>'[40]Sch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'[40]Sch A Pg 1'!G39</f>
        <v>43281</v>
      </c>
      <c r="D4" s="620"/>
      <c r="E4" s="531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205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'[40]Sch B'!E10</f>
        <v>2868079</v>
      </c>
      <c r="D12" s="480">
        <f>'[40]Sch B'!G10</f>
        <v>0</v>
      </c>
      <c r="E12" s="480"/>
      <c r="F12" s="166">
        <f>C12+D12+E12</f>
        <v>2868079</v>
      </c>
      <c r="G12" s="626"/>
      <c r="H12" s="166"/>
      <c r="I12" s="166">
        <f>F12+G12+H12</f>
        <v>2868079</v>
      </c>
      <c r="J12" s="167">
        <f>IF($I$26=0,0,I12/$I$26)</f>
        <v>0.44245333927368685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'[40]Sch B'!E12</f>
        <v>1366003</v>
      </c>
      <c r="D13" s="480">
        <f>'[40]Sch B'!G12</f>
        <v>581360</v>
      </c>
      <c r="E13" s="480"/>
      <c r="F13" s="166">
        <f t="shared" ref="F13:F25" si="0">C13+D13+E13</f>
        <v>1947363</v>
      </c>
      <c r="G13" s="626"/>
      <c r="H13" s="166"/>
      <c r="I13" s="166">
        <f t="shared" ref="I13:I25" si="1">F13+G13+H13</f>
        <v>1947363</v>
      </c>
      <c r="J13" s="167">
        <f>IF($I$26=0,0,I13/$I$26)</f>
        <v>0.30041615385351123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'[40]Sch B'!E13</f>
        <v>0</v>
      </c>
      <c r="D14" s="480">
        <f>'[40]Sch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'[40]Sch B'!E14</f>
        <v>35870</v>
      </c>
      <c r="D15" s="480">
        <f>'[40]Sch B'!G14</f>
        <v>0</v>
      </c>
      <c r="E15" s="480"/>
      <c r="F15" s="166">
        <f t="shared" si="0"/>
        <v>35870</v>
      </c>
      <c r="G15" s="626">
        <v>11704</v>
      </c>
      <c r="H15" s="166"/>
      <c r="I15" s="166">
        <f t="shared" si="1"/>
        <v>47574</v>
      </c>
      <c r="J15" s="167">
        <f>IF($I$26=0,0,I15/$I$26)</f>
        <v>7.3391545918387808E-3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'[40]Sch B'!E15</f>
        <v>4269952</v>
      </c>
      <c r="D16" s="480">
        <f>'[40]Sch B'!G15</f>
        <v>581360</v>
      </c>
      <c r="E16" s="480"/>
      <c r="F16" s="166">
        <f t="shared" si="0"/>
        <v>4851312</v>
      </c>
      <c r="G16" s="626"/>
      <c r="H16" s="166"/>
      <c r="I16" s="166">
        <f>SUM(I12:I15)</f>
        <v>4863016</v>
      </c>
      <c r="J16" s="167">
        <f t="shared" ref="J16:J26" si="2">IF($I$26=0,0,I16/$I$26)</f>
        <v>0.75020864771903695</v>
      </c>
      <c r="K16" s="458"/>
      <c r="L16" s="333" t="s">
        <v>325</v>
      </c>
      <c r="M16" s="334">
        <f>I26</f>
        <v>6482218</v>
      </c>
      <c r="O16" s="324">
        <f>IFERROR(I16/I224,0)</f>
        <v>335.19547835676866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'[40]Sch B'!E20</f>
        <v>891691</v>
      </c>
      <c r="D17" s="480">
        <f>'[40]Sch B'!G20</f>
        <v>0</v>
      </c>
      <c r="E17" s="480"/>
      <c r="F17" s="166">
        <f t="shared" si="0"/>
        <v>891691</v>
      </c>
      <c r="G17" s="626"/>
      <c r="H17" s="166"/>
      <c r="I17" s="166">
        <f t="shared" si="1"/>
        <v>891691</v>
      </c>
      <c r="J17" s="167">
        <f t="shared" si="2"/>
        <v>0.1375595513757791</v>
      </c>
      <c r="K17" s="458"/>
      <c r="L17" s="335" t="s">
        <v>326</v>
      </c>
      <c r="M17" s="336">
        <f>I213</f>
        <v>4307558</v>
      </c>
      <c r="O17" s="324">
        <f t="shared" ref="O17:O24" si="3">IFERROR(I17/I225,0)</f>
        <v>228.75602873268343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'[40]Sch B'!E26</f>
        <v>574203</v>
      </c>
      <c r="D18" s="480">
        <f>'[40]Sch B'!G26</f>
        <v>0</v>
      </c>
      <c r="E18" s="480"/>
      <c r="F18" s="166">
        <f t="shared" si="0"/>
        <v>574203</v>
      </c>
      <c r="G18" s="626"/>
      <c r="H18" s="166"/>
      <c r="I18" s="166">
        <f t="shared" si="1"/>
        <v>574203</v>
      </c>
      <c r="J18" s="167">
        <f t="shared" si="2"/>
        <v>8.8581254132458986E-2</v>
      </c>
      <c r="K18" s="458"/>
      <c r="L18" s="335" t="s">
        <v>327</v>
      </c>
      <c r="M18" s="336">
        <f>I233</f>
        <v>20059</v>
      </c>
      <c r="O18" s="324">
        <f t="shared" si="3"/>
        <v>631.68646864686468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'[40]Sch B'!E32</f>
        <v>7532</v>
      </c>
      <c r="D19" s="480">
        <f>'[40]Sch B'!G32</f>
        <v>0</v>
      </c>
      <c r="E19" s="480"/>
      <c r="F19" s="166">
        <f t="shared" si="0"/>
        <v>7532</v>
      </c>
      <c r="G19" s="626"/>
      <c r="H19" s="166"/>
      <c r="I19" s="166">
        <f t="shared" si="1"/>
        <v>7532</v>
      </c>
      <c r="J19" s="170">
        <f t="shared" si="2"/>
        <v>1.1619479628732017E-3</v>
      </c>
      <c r="K19" s="464"/>
      <c r="L19" s="335" t="s">
        <v>328</v>
      </c>
      <c r="M19" s="336">
        <f>I236</f>
        <v>61</v>
      </c>
      <c r="O19" s="324">
        <f t="shared" si="3"/>
        <v>502.13333333333333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'[40]Sch B'!E37</f>
        <v>0</v>
      </c>
      <c r="D20" s="480">
        <f>'[40]Sch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22265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'[40]Sch B'!E42</f>
        <v>71038</v>
      </c>
      <c r="D21" s="480">
        <f>'[40]Sch B'!G42</f>
        <v>0</v>
      </c>
      <c r="E21" s="480"/>
      <c r="F21" s="166">
        <f t="shared" si="0"/>
        <v>71038</v>
      </c>
      <c r="G21" s="626"/>
      <c r="H21" s="166"/>
      <c r="I21" s="166">
        <f t="shared" si="1"/>
        <v>71038</v>
      </c>
      <c r="J21" s="167">
        <f t="shared" si="2"/>
        <v>1.0958903264283922E-2</v>
      </c>
      <c r="K21" s="458"/>
      <c r="L21" s="337"/>
      <c r="M21" s="336"/>
      <c r="O21" s="324">
        <f t="shared" si="3"/>
        <v>203.54727793696276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'[40]Sch B'!E47</f>
        <v>74569</v>
      </c>
      <c r="D22" s="480">
        <f>'[40]Sch B'!G47</f>
        <v>0</v>
      </c>
      <c r="E22" s="480"/>
      <c r="F22" s="166">
        <f t="shared" si="0"/>
        <v>74569</v>
      </c>
      <c r="G22" s="626"/>
      <c r="H22" s="166"/>
      <c r="I22" s="166">
        <f t="shared" si="1"/>
        <v>74569</v>
      </c>
      <c r="J22" s="167">
        <f t="shared" si="2"/>
        <v>1.1503624222449785E-2</v>
      </c>
      <c r="K22" s="458"/>
      <c r="L22" s="335" t="s">
        <v>148</v>
      </c>
      <c r="M22" s="336">
        <f>L213</f>
        <v>90613</v>
      </c>
      <c r="O22" s="324">
        <f t="shared" si="3"/>
        <v>196.23421052631579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'[40]Sch B'!E52</f>
        <v>0</v>
      </c>
      <c r="D23" s="480">
        <f>'[40]Sch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93065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'[40]Sch B'!E57</f>
        <v>0</v>
      </c>
      <c r="D24" s="480">
        <f>'[40]Sch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'[40]Sch B'!E72</f>
        <v>11873</v>
      </c>
      <c r="D25" s="480">
        <f>'[40]Sch B'!G72</f>
        <v>0</v>
      </c>
      <c r="E25" s="480"/>
      <c r="F25" s="166">
        <f t="shared" si="0"/>
        <v>11873</v>
      </c>
      <c r="G25" s="626">
        <v>-11704</v>
      </c>
      <c r="H25" s="166"/>
      <c r="I25" s="166">
        <f t="shared" si="1"/>
        <v>169</v>
      </c>
      <c r="J25" s="167">
        <f t="shared" si="2"/>
        <v>2.6071323118105563E-5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5900858</v>
      </c>
      <c r="D26" s="480">
        <f t="shared" ref="D26:F26" si="4">SUM(D16:D25)</f>
        <v>581360</v>
      </c>
      <c r="E26" s="480">
        <f t="shared" si="4"/>
        <v>0</v>
      </c>
      <c r="F26" s="166">
        <f t="shared" si="4"/>
        <v>6482218</v>
      </c>
      <c r="G26" s="166">
        <f>SUM(G12:G25)</f>
        <v>0</v>
      </c>
      <c r="H26" s="166">
        <f>SUM(H12:H25)</f>
        <v>0</v>
      </c>
      <c r="I26" s="166">
        <f>SUM(I16:I25)</f>
        <v>6482218</v>
      </c>
      <c r="J26" s="167">
        <f t="shared" si="2"/>
        <v>1</v>
      </c>
      <c r="K26" s="458"/>
      <c r="L26" s="163"/>
      <c r="M26" s="163"/>
      <c r="O26" s="324">
        <f>IFERROR(I26/I233,0)</f>
        <v>323.15758512388453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'[40]Sch C'!D10</f>
        <v>151672</v>
      </c>
      <c r="D30" s="480">
        <f>'[40]Sch C'!F10</f>
        <v>0</v>
      </c>
      <c r="E30" s="480">
        <f>+'[40]Sch C'!H10</f>
        <v>0</v>
      </c>
      <c r="F30" s="166">
        <f t="shared" ref="F30:F65" si="5">C30+D30+E30</f>
        <v>151672</v>
      </c>
      <c r="G30" s="626"/>
      <c r="H30" s="166"/>
      <c r="I30" s="166">
        <f t="shared" ref="I30:I65" si="6">F30+G30+H30</f>
        <v>151672</v>
      </c>
      <c r="J30" s="167">
        <f>IF($I$213=0,0,I30/$I$213)</f>
        <v>3.5210669246937595E-2</v>
      </c>
      <c r="K30" s="458"/>
      <c r="L30" s="176">
        <v>2760</v>
      </c>
      <c r="M30" s="176">
        <v>2768</v>
      </c>
      <c r="O30" s="324">
        <f>I30/I$233</f>
        <v>7.5612941821626203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'[40]Sch C'!D11</f>
        <v>0</v>
      </c>
      <c r="D31" s="480">
        <f>'[40]Sch C'!F11</f>
        <v>0</v>
      </c>
      <c r="E31" s="480">
        <f>+'[40]Sch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'[40]Sch C'!D12</f>
        <v>50555</v>
      </c>
      <c r="D32" s="480">
        <f>'[40]Sch C'!F12</f>
        <v>-380</v>
      </c>
      <c r="E32" s="480">
        <f>+'[40]Sch C'!H12</f>
        <v>0</v>
      </c>
      <c r="F32" s="166">
        <f t="shared" si="5"/>
        <v>50175</v>
      </c>
      <c r="G32" s="626"/>
      <c r="H32" s="166"/>
      <c r="I32" s="166">
        <f t="shared" si="6"/>
        <v>50175</v>
      </c>
      <c r="J32" s="167">
        <f t="shared" si="7"/>
        <v>1.1648131029228161E-2</v>
      </c>
      <c r="K32" s="458"/>
      <c r="L32" s="176">
        <v>1950</v>
      </c>
      <c r="M32" s="176">
        <v>2088</v>
      </c>
      <c r="O32" s="324">
        <f t="shared" si="8"/>
        <v>2.5013709556807417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'[40]Sch C'!D13</f>
        <v>163820</v>
      </c>
      <c r="D33" s="480">
        <f>'[40]Sch C'!F13</f>
        <v>-135616</v>
      </c>
      <c r="E33" s="480">
        <f>+'[40]Sch C'!H13</f>
        <v>0</v>
      </c>
      <c r="F33" s="166">
        <f t="shared" si="5"/>
        <v>28204</v>
      </c>
      <c r="G33" s="626"/>
      <c r="H33" s="166"/>
      <c r="I33" s="166">
        <f t="shared" si="6"/>
        <v>28204</v>
      </c>
      <c r="J33" s="167">
        <f t="shared" si="7"/>
        <v>6.547561286464396E-3</v>
      </c>
      <c r="K33" s="458"/>
      <c r="L33" s="163"/>
      <c r="M33" s="163"/>
      <c r="O33" s="324">
        <f t="shared" si="8"/>
        <v>1.406052146168802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'[40]Sch C'!D14</f>
        <v>0</v>
      </c>
      <c r="D34" s="480">
        <f>'[40]Sch C'!F14</f>
        <v>0</v>
      </c>
      <c r="E34" s="480">
        <f>+'[40]Sch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'[40]Sch C'!D15</f>
        <v>1061319</v>
      </c>
      <c r="D35" s="480">
        <f>'[40]Sch C'!F15</f>
        <v>0</v>
      </c>
      <c r="E35" s="480">
        <f>+'[40]Sch C'!H15</f>
        <v>-1061319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'[40]Sch C'!D16</f>
        <v>109800</v>
      </c>
      <c r="D36" s="480">
        <f>'[40]Sch C'!F16</f>
        <v>0</v>
      </c>
      <c r="E36" s="480">
        <f>+'[40]Sch C'!H16</f>
        <v>33941</v>
      </c>
      <c r="F36" s="166">
        <f t="shared" si="5"/>
        <v>143741</v>
      </c>
      <c r="G36" s="626"/>
      <c r="H36" s="166"/>
      <c r="I36" s="166">
        <f t="shared" si="6"/>
        <v>143741</v>
      </c>
      <c r="J36" s="167">
        <f t="shared" si="7"/>
        <v>3.3369486841500449E-2</v>
      </c>
      <c r="K36" s="458"/>
      <c r="L36" s="163"/>
      <c r="M36" s="163"/>
      <c r="O36" s="324">
        <f t="shared" si="8"/>
        <v>7.1659105638366816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'[40]Sch C'!D17</f>
        <v>518</v>
      </c>
      <c r="D37" s="480">
        <f>'[40]Sch C'!F17</f>
        <v>-518</v>
      </c>
      <c r="E37" s="480">
        <f>+'[40]Sch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'[40]Sch C'!D18</f>
        <v>8101</v>
      </c>
      <c r="D38" s="480">
        <f>'[40]Sch C'!F18</f>
        <v>0</v>
      </c>
      <c r="E38" s="480">
        <f>+'[40]Sch C'!H18</f>
        <v>0</v>
      </c>
      <c r="F38" s="166">
        <f t="shared" si="5"/>
        <v>8101</v>
      </c>
      <c r="G38" s="626"/>
      <c r="H38" s="166"/>
      <c r="I38" s="166">
        <f t="shared" si="6"/>
        <v>8101</v>
      </c>
      <c r="J38" s="167">
        <f t="shared" si="7"/>
        <v>1.8806479216298422E-3</v>
      </c>
      <c r="K38" s="458"/>
      <c r="L38" s="163"/>
      <c r="M38" s="163"/>
      <c r="O38" s="324">
        <f t="shared" si="8"/>
        <v>0.40385861707961512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'[40]Sch C'!D19</f>
        <v>40275</v>
      </c>
      <c r="D39" s="480">
        <f>'[40]Sch C'!F19</f>
        <v>0</v>
      </c>
      <c r="E39" s="480">
        <f>+'[40]Sch C'!H19</f>
        <v>0</v>
      </c>
      <c r="F39" s="166">
        <f t="shared" si="5"/>
        <v>40275</v>
      </c>
      <c r="G39" s="626"/>
      <c r="H39" s="166"/>
      <c r="I39" s="166">
        <f t="shared" si="6"/>
        <v>40275</v>
      </c>
      <c r="J39" s="167">
        <f t="shared" si="7"/>
        <v>9.3498450862414383E-3</v>
      </c>
      <c r="K39" s="458"/>
      <c r="L39" s="163"/>
      <c r="M39" s="163"/>
      <c r="O39" s="324">
        <f t="shared" si="8"/>
        <v>2.0078269106136895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'[40]Sch C'!D20</f>
        <v>13500</v>
      </c>
      <c r="D40" s="480">
        <f>'[40]Sch C'!F20</f>
        <v>0</v>
      </c>
      <c r="E40" s="480">
        <f>+'[40]Sch C'!H20</f>
        <v>0</v>
      </c>
      <c r="F40" s="166">
        <f t="shared" si="5"/>
        <v>13500</v>
      </c>
      <c r="G40" s="626"/>
      <c r="H40" s="166"/>
      <c r="I40" s="166">
        <f t="shared" si="6"/>
        <v>13500</v>
      </c>
      <c r="J40" s="167">
        <f t="shared" si="7"/>
        <v>3.1340262858909852E-3</v>
      </c>
      <c r="K40" s="458"/>
      <c r="L40" s="163"/>
      <c r="M40" s="163"/>
      <c r="O40" s="324">
        <f t="shared" si="8"/>
        <v>0.67301460690961667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'[40]Sch C'!D21</f>
        <v>44337</v>
      </c>
      <c r="D41" s="480">
        <f>'[40]Sch C'!F21</f>
        <v>0</v>
      </c>
      <c r="E41" s="480">
        <f>+'[40]Sch C'!H21</f>
        <v>0</v>
      </c>
      <c r="F41" s="166">
        <f t="shared" si="5"/>
        <v>44337</v>
      </c>
      <c r="G41" s="626"/>
      <c r="H41" s="166"/>
      <c r="I41" s="166">
        <f t="shared" si="6"/>
        <v>44337</v>
      </c>
      <c r="J41" s="167">
        <f t="shared" si="7"/>
        <v>1.0292838773151748E-2</v>
      </c>
      <c r="K41" s="458"/>
      <c r="L41" s="163"/>
      <c r="M41" s="163"/>
      <c r="O41" s="324">
        <f t="shared" si="8"/>
        <v>2.2103295278927164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'[40]Sch C'!D22</f>
        <v>0</v>
      </c>
      <c r="D42" s="480">
        <f>'[40]Sch C'!F22</f>
        <v>0</v>
      </c>
      <c r="E42" s="480">
        <f>+'[40]Sch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'[40]Sch C'!D23</f>
        <v>12570</v>
      </c>
      <c r="D43" s="480">
        <f>'[40]Sch C'!F23</f>
        <v>0</v>
      </c>
      <c r="E43" s="480">
        <f>+'[40]Sch C'!H23</f>
        <v>0</v>
      </c>
      <c r="F43" s="166">
        <f t="shared" si="5"/>
        <v>12570</v>
      </c>
      <c r="G43" s="626"/>
      <c r="H43" s="166"/>
      <c r="I43" s="166">
        <f t="shared" si="6"/>
        <v>12570</v>
      </c>
      <c r="J43" s="167">
        <f t="shared" si="7"/>
        <v>2.9181266973073838E-3</v>
      </c>
      <c r="K43" s="458"/>
      <c r="L43" s="163"/>
      <c r="M43" s="163"/>
      <c r="O43" s="324">
        <f t="shared" si="8"/>
        <v>0.62665137843362084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'[40]Sch C'!D24</f>
        <v>0</v>
      </c>
      <c r="D44" s="480">
        <f>'[40]Sch C'!F24</f>
        <v>0</v>
      </c>
      <c r="E44" s="480">
        <f>+'[40]Sch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'[40]Sch C'!D25</f>
        <v>0</v>
      </c>
      <c r="D45" s="480">
        <f>'[40]Sch C'!F25</f>
        <v>0</v>
      </c>
      <c r="E45" s="480">
        <f>+'[40]Sch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'[40]Sch C'!D26</f>
        <v>401851</v>
      </c>
      <c r="D46" s="480">
        <f>'[40]Sch C'!F26</f>
        <v>0</v>
      </c>
      <c r="E46" s="480">
        <f>+'[40]Sch C'!H26</f>
        <v>0</v>
      </c>
      <c r="F46" s="166">
        <f t="shared" si="5"/>
        <v>401851</v>
      </c>
      <c r="G46" s="626"/>
      <c r="H46" s="166"/>
      <c r="I46" s="166">
        <f t="shared" si="6"/>
        <v>401851</v>
      </c>
      <c r="J46" s="167">
        <f t="shared" si="7"/>
        <v>9.3289747926783573E-2</v>
      </c>
      <c r="K46" s="458"/>
      <c r="L46" s="163"/>
      <c r="M46" s="163"/>
      <c r="O46" s="324">
        <f t="shared" si="8"/>
        <v>20.033451318610101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'[40]Sch C'!D27</f>
        <v>0</v>
      </c>
      <c r="D47" s="480">
        <f>'[40]Sch C'!F27</f>
        <v>0</v>
      </c>
      <c r="E47" s="480">
        <f>+'[40]Sch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'[40]Sch C'!D28</f>
        <v>0</v>
      </c>
      <c r="D48" s="480">
        <f>'[40]Sch C'!F28</f>
        <v>0</v>
      </c>
      <c r="E48" s="480">
        <f>+'[40]Sch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'[40]Sch C'!D29</f>
        <v>93010</v>
      </c>
      <c r="D49" s="480">
        <f>'[40]Sch C'!F29</f>
        <v>-93010</v>
      </c>
      <c r="E49" s="480">
        <f>+'[40]Sch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'[40]Sch C'!D30</f>
        <v>5040</v>
      </c>
      <c r="D50" s="480">
        <f>'[40]Sch C'!F30</f>
        <v>-5040</v>
      </c>
      <c r="E50" s="480">
        <f>+'[40]Sch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'[40]Sch C'!D31</f>
        <v>25857</v>
      </c>
      <c r="D51" s="480">
        <f>'[40]Sch C'!F31</f>
        <v>5415</v>
      </c>
      <c r="E51" s="480">
        <f>+'[40]Sch C'!H31</f>
        <v>0</v>
      </c>
      <c r="F51" s="166">
        <f t="shared" si="5"/>
        <v>31272</v>
      </c>
      <c r="G51" s="626"/>
      <c r="H51" s="166"/>
      <c r="I51" s="166">
        <f t="shared" si="6"/>
        <v>31272</v>
      </c>
      <c r="J51" s="167">
        <f t="shared" si="7"/>
        <v>7.2597977786950287E-3</v>
      </c>
      <c r="K51" s="458"/>
      <c r="L51" s="163"/>
      <c r="M51" s="163"/>
      <c r="O51" s="324">
        <f t="shared" si="8"/>
        <v>1.5590009472057431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'[40]Sch C'!D32</f>
        <v>42575</v>
      </c>
      <c r="D52" s="480">
        <f>'[40]Sch C'!F32</f>
        <v>-6050</v>
      </c>
      <c r="E52" s="480">
        <f>+'[40]Sch C'!H32</f>
        <v>0</v>
      </c>
      <c r="F52" s="166">
        <f t="shared" si="5"/>
        <v>36525</v>
      </c>
      <c r="G52" s="626"/>
      <c r="H52" s="166"/>
      <c r="I52" s="166">
        <f t="shared" si="6"/>
        <v>36525</v>
      </c>
      <c r="J52" s="167">
        <f t="shared" si="7"/>
        <v>8.4792822290494993E-3</v>
      </c>
      <c r="K52" s="458"/>
      <c r="L52" s="163"/>
      <c r="M52" s="163"/>
      <c r="O52" s="324">
        <f t="shared" si="8"/>
        <v>1.8208784086943517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'[40]Sch C'!D33</f>
        <v>0</v>
      </c>
      <c r="D53" s="480">
        <f>'[40]Sch C'!F33</f>
        <v>0</v>
      </c>
      <c r="E53" s="480">
        <f>+'[40]Sch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'[40]Sch C'!D34</f>
        <v>0</v>
      </c>
      <c r="D54" s="480">
        <f>'[40]Sch C'!F34</f>
        <v>0</v>
      </c>
      <c r="E54" s="480">
        <f>+'[40]Sch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'[40]Sch C'!D35</f>
        <v>0</v>
      </c>
      <c r="D55" s="480">
        <f>'[40]Sch C'!F35</f>
        <v>0</v>
      </c>
      <c r="E55" s="480">
        <f>+'[40]Sch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'[40]Sch C'!D36</f>
        <v>4340</v>
      </c>
      <c r="D56" s="480">
        <f>'[40]Sch C'!F36</f>
        <v>322</v>
      </c>
      <c r="E56" s="480">
        <f>+'[40]Sch C'!H36</f>
        <v>0</v>
      </c>
      <c r="F56" s="166">
        <f t="shared" si="5"/>
        <v>4662</v>
      </c>
      <c r="G56" s="626"/>
      <c r="H56" s="166"/>
      <c r="I56" s="166">
        <f t="shared" si="6"/>
        <v>4662</v>
      </c>
      <c r="J56" s="167">
        <f t="shared" si="7"/>
        <v>1.0822837440610201E-3</v>
      </c>
      <c r="K56" s="458"/>
      <c r="L56" s="176">
        <v>201</v>
      </c>
      <c r="M56" s="176">
        <v>201</v>
      </c>
      <c r="O56" s="324">
        <f t="shared" si="8"/>
        <v>0.23241437758612093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'[40]Sch C'!D37</f>
        <v>0</v>
      </c>
      <c r="D57" s="480">
        <f>'[40]Sch C'!F37</f>
        <v>738</v>
      </c>
      <c r="E57" s="480">
        <f>+'[40]Sch C'!H37</f>
        <v>0</v>
      </c>
      <c r="F57" s="166">
        <f t="shared" si="5"/>
        <v>738</v>
      </c>
      <c r="G57" s="626"/>
      <c r="H57" s="166"/>
      <c r="I57" s="166">
        <f t="shared" si="6"/>
        <v>738</v>
      </c>
      <c r="J57" s="167">
        <f t="shared" si="7"/>
        <v>1.7132677029537387E-4</v>
      </c>
      <c r="K57" s="458"/>
      <c r="L57" s="163"/>
      <c r="M57" s="163"/>
      <c r="O57" s="324">
        <f t="shared" si="8"/>
        <v>3.6791465177725712E-2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'[40]Sch C'!D38</f>
        <v>0</v>
      </c>
      <c r="D58" s="480">
        <f>'[40]Sch C'!F38</f>
        <v>0</v>
      </c>
      <c r="E58" s="480">
        <f>+'[40]Sch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'[40]Sch C'!D39</f>
        <v>13147</v>
      </c>
      <c r="D59" s="480">
        <f>'[40]Sch C'!F39</f>
        <v>0</v>
      </c>
      <c r="E59" s="480">
        <f>+'[40]Sch C'!H39</f>
        <v>0</v>
      </c>
      <c r="F59" s="166">
        <f t="shared" si="5"/>
        <v>13147</v>
      </c>
      <c r="G59" s="626"/>
      <c r="H59" s="166"/>
      <c r="I59" s="166">
        <f t="shared" si="6"/>
        <v>13147</v>
      </c>
      <c r="J59" s="167">
        <f t="shared" si="7"/>
        <v>3.0520773022673169E-3</v>
      </c>
      <c r="K59" s="458"/>
      <c r="L59" s="163"/>
      <c r="M59" s="163"/>
      <c r="O59" s="324">
        <f t="shared" si="8"/>
        <v>0.65541652126227623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'[40]Sch C'!D40</f>
        <v>0</v>
      </c>
      <c r="D60" s="480">
        <f>'[40]Sch C'!F40</f>
        <v>0</v>
      </c>
      <c r="E60" s="480">
        <f>+'[40]Sch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'[40]Sch C'!D41</f>
        <v>11392</v>
      </c>
      <c r="D61" s="480">
        <f>'[40]Sch C'!F41</f>
        <v>0</v>
      </c>
      <c r="E61" s="480">
        <f>+'[40]Sch C'!H41</f>
        <v>0</v>
      </c>
      <c r="F61" s="166">
        <f t="shared" si="5"/>
        <v>11392</v>
      </c>
      <c r="G61" s="626"/>
      <c r="H61" s="166"/>
      <c r="I61" s="166">
        <f t="shared" si="6"/>
        <v>11392</v>
      </c>
      <c r="J61" s="167">
        <f t="shared" si="7"/>
        <v>2.6446538851014889E-3</v>
      </c>
      <c r="K61" s="458"/>
      <c r="L61" s="163"/>
      <c r="M61" s="163"/>
      <c r="O61" s="324">
        <f t="shared" si="8"/>
        <v>0.56792462236402608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'[40]Sch C'!D42</f>
        <v>8027</v>
      </c>
      <c r="D62" s="480">
        <f>'[40]Sch C'!F42</f>
        <v>0</v>
      </c>
      <c r="E62" s="480">
        <f>+'[40]Sch C'!H42</f>
        <v>0</v>
      </c>
      <c r="F62" s="166">
        <f t="shared" si="5"/>
        <v>8027</v>
      </c>
      <c r="G62" s="626"/>
      <c r="H62" s="166"/>
      <c r="I62" s="166">
        <f t="shared" si="6"/>
        <v>8027</v>
      </c>
      <c r="J62" s="167">
        <f t="shared" si="7"/>
        <v>1.8634688145812545E-3</v>
      </c>
      <c r="K62" s="458"/>
      <c r="L62" s="163"/>
      <c r="M62" s="163"/>
      <c r="O62" s="324">
        <f t="shared" si="8"/>
        <v>0.40016949997507351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'[40]Sch C'!D43</f>
        <v>5374</v>
      </c>
      <c r="D63" s="480">
        <f>'[40]Sch C'!F43</f>
        <v>-5374</v>
      </c>
      <c r="E63" s="480">
        <f>+'[40]Sch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'[40]Sch C'!D44</f>
        <v>0</v>
      </c>
      <c r="D64" s="480">
        <f>'[40]Sch C'!F44</f>
        <v>0</v>
      </c>
      <c r="E64" s="480">
        <f>+'[40]Sch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'[40]Sch C'!D45</f>
        <v>60673</v>
      </c>
      <c r="D65" s="480">
        <f>'[40]Sch C'!F45</f>
        <v>-26431</v>
      </c>
      <c r="E65" s="480">
        <f>+'[40]Sch C'!H45</f>
        <v>0</v>
      </c>
      <c r="F65" s="166">
        <f t="shared" si="5"/>
        <v>34242</v>
      </c>
      <c r="G65" s="626">
        <v>-1663</v>
      </c>
      <c r="H65" s="166"/>
      <c r="I65" s="166">
        <f t="shared" si="6"/>
        <v>32579</v>
      </c>
      <c r="J65" s="167">
        <f t="shared" si="7"/>
        <v>7.5632179531883266E-3</v>
      </c>
      <c r="K65" s="458"/>
      <c r="L65" s="163"/>
      <c r="M65" s="163"/>
      <c r="O65" s="324">
        <f t="shared" si="8"/>
        <v>1.624158731741363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2327753</v>
      </c>
      <c r="D66" s="480">
        <f t="shared" si="9"/>
        <v>-265944</v>
      </c>
      <c r="E66" s="480">
        <f t="shared" si="9"/>
        <v>-1027378</v>
      </c>
      <c r="F66" s="166">
        <f t="shared" ref="F66:I66" si="10">SUM(F30:F65)</f>
        <v>1034431</v>
      </c>
      <c r="G66" s="166">
        <f t="shared" si="10"/>
        <v>-1663</v>
      </c>
      <c r="H66" s="166">
        <f t="shared" si="10"/>
        <v>0</v>
      </c>
      <c r="I66" s="166">
        <f t="shared" si="10"/>
        <v>1032768</v>
      </c>
      <c r="J66" s="178">
        <f t="shared" si="7"/>
        <v>0.23975718957237488</v>
      </c>
      <c r="K66" s="465"/>
      <c r="L66" s="163"/>
      <c r="M66" s="163"/>
      <c r="O66" s="329">
        <f>I66/I$233</f>
        <v>51.486514781394888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'[40]Sch C'!D57</f>
        <v>601152</v>
      </c>
      <c r="D69" s="480">
        <f>'[40]Sch C'!F57</f>
        <v>0</v>
      </c>
      <c r="E69" s="480">
        <f>+'[40]Sch C'!H57</f>
        <v>-24869</v>
      </c>
      <c r="F69" s="166">
        <f>C69+D69+E69</f>
        <v>576283</v>
      </c>
      <c r="G69" s="626"/>
      <c r="H69" s="166"/>
      <c r="I69" s="166">
        <f>F69+G69+H69</f>
        <v>576283</v>
      </c>
      <c r="J69" s="167">
        <f t="shared" ref="J69:J84" si="11">IF($I$213=0,0,I69/$I$213)</f>
        <v>0.13378415334163812</v>
      </c>
      <c r="K69" s="458"/>
      <c r="L69" s="182"/>
      <c r="M69" s="163"/>
      <c r="O69" s="324">
        <f t="shared" ref="O69:O84" si="12">I69/I$233</f>
        <v>28.729398275088489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'[40]Sch C'!D58</f>
        <v>0</v>
      </c>
      <c r="D70" s="480">
        <f>'[40]Sch C'!F58</f>
        <v>0</v>
      </c>
      <c r="E70" s="480">
        <f>+'[40]Sch C'!H58</f>
        <v>0</v>
      </c>
      <c r="F70" s="166">
        <f t="shared" ref="F70:F83" si="13">C70+D70+E70</f>
        <v>0</v>
      </c>
      <c r="G70" s="626"/>
      <c r="H70" s="166"/>
      <c r="I70" s="166">
        <f t="shared" ref="I70:I83" si="14">F70+G70+H70</f>
        <v>0</v>
      </c>
      <c r="J70" s="167">
        <f t="shared" si="11"/>
        <v>0</v>
      </c>
      <c r="K70" s="458"/>
      <c r="L70" s="182"/>
      <c r="M70" s="163"/>
      <c r="O70" s="324">
        <f t="shared" si="12"/>
        <v>0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'[40]Sch C'!D59</f>
        <v>0</v>
      </c>
      <c r="D71" s="480">
        <f>'[40]Sch C'!F59</f>
        <v>0</v>
      </c>
      <c r="E71" s="480">
        <f>+'[40]Sch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'[40]Sch C'!D60</f>
        <v>14977</v>
      </c>
      <c r="D72" s="480">
        <f>'[40]Sch C'!F60</f>
        <v>-1475</v>
      </c>
      <c r="E72" s="480">
        <f>+'[40]Sch C'!H60</f>
        <v>0</v>
      </c>
      <c r="F72" s="166">
        <f t="shared" si="13"/>
        <v>13502</v>
      </c>
      <c r="G72" s="626"/>
      <c r="H72" s="166"/>
      <c r="I72" s="166">
        <f t="shared" si="14"/>
        <v>13502</v>
      </c>
      <c r="J72" s="167">
        <f t="shared" si="11"/>
        <v>3.1344905860814874E-3</v>
      </c>
      <c r="K72" s="458"/>
      <c r="L72" s="185"/>
      <c r="M72" s="163"/>
      <c r="O72" s="324">
        <f t="shared" si="12"/>
        <v>0.67311431277730693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'[40]Sch C'!D61</f>
        <v>0</v>
      </c>
      <c r="D73" s="480">
        <f>'[40]Sch C'!F61</f>
        <v>12032</v>
      </c>
      <c r="E73" s="480">
        <f>+'[40]Sch C'!H61</f>
        <v>0</v>
      </c>
      <c r="F73" s="166">
        <f t="shared" si="13"/>
        <v>12032</v>
      </c>
      <c r="G73" s="626"/>
      <c r="H73" s="166"/>
      <c r="I73" s="166">
        <f t="shared" si="14"/>
        <v>12032</v>
      </c>
      <c r="J73" s="167">
        <f t="shared" si="11"/>
        <v>2.7932299460622467E-3</v>
      </c>
      <c r="K73" s="458"/>
      <c r="L73" s="185"/>
      <c r="M73" s="163"/>
      <c r="O73" s="324">
        <f t="shared" si="12"/>
        <v>0.59983050002492644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'[40]Sch C'!D62</f>
        <v>0</v>
      </c>
      <c r="D74" s="480">
        <f>'[40]Sch C'!F62</f>
        <v>0</v>
      </c>
      <c r="E74" s="480">
        <f>+'[40]Sch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'[40]Sch C'!D63</f>
        <v>0</v>
      </c>
      <c r="D75" s="480">
        <f>'[40]Sch C'!F63</f>
        <v>0</v>
      </c>
      <c r="E75" s="480">
        <f>+'[40]Sch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'[40]Sch C'!D64</f>
        <v>0</v>
      </c>
      <c r="D76" s="480">
        <f>'[40]Sch C'!F64</f>
        <v>0</v>
      </c>
      <c r="E76" s="480">
        <f>+'[40]Sch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'[40]Sch C'!D65</f>
        <v>3516</v>
      </c>
      <c r="D77" s="480">
        <f>'[40]Sch C'!F65</f>
        <v>35</v>
      </c>
      <c r="E77" s="480">
        <f>+'[40]Sch C'!H65</f>
        <v>0</v>
      </c>
      <c r="F77" s="166">
        <f t="shared" si="13"/>
        <v>3551</v>
      </c>
      <c r="G77" s="626"/>
      <c r="H77" s="166"/>
      <c r="I77" s="166">
        <f t="shared" si="14"/>
        <v>3551</v>
      </c>
      <c r="J77" s="167">
        <f t="shared" si="11"/>
        <v>8.2436498823695468E-4</v>
      </c>
      <c r="K77" s="458"/>
      <c r="L77" s="187"/>
      <c r="M77" s="163"/>
      <c r="O77" s="324">
        <f t="shared" si="12"/>
        <v>0.17702776808415174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'[40]Sch C'!D66</f>
        <v>0</v>
      </c>
      <c r="D78" s="480">
        <f>'[40]Sch C'!F66</f>
        <v>4526</v>
      </c>
      <c r="E78" s="480">
        <f>+'[40]Sch C'!H66</f>
        <v>0</v>
      </c>
      <c r="F78" s="166">
        <f t="shared" si="13"/>
        <v>4526</v>
      </c>
      <c r="G78" s="626"/>
      <c r="H78" s="166"/>
      <c r="I78" s="166">
        <f t="shared" si="14"/>
        <v>4526</v>
      </c>
      <c r="J78" s="167">
        <f t="shared" si="11"/>
        <v>1.0507113311068591E-3</v>
      </c>
      <c r="K78" s="458"/>
      <c r="L78" s="187"/>
      <c r="M78" s="163"/>
      <c r="O78" s="324">
        <f t="shared" si="12"/>
        <v>0.22563437858317961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'[40]Sch C'!D67</f>
        <v>0</v>
      </c>
      <c r="D79" s="480">
        <f>'[40]Sch C'!F67</f>
        <v>8130</v>
      </c>
      <c r="E79" s="480">
        <f>+'[40]Sch C'!H67</f>
        <v>0</v>
      </c>
      <c r="F79" s="166">
        <f t="shared" si="13"/>
        <v>8130</v>
      </c>
      <c r="G79" s="626">
        <v>488</v>
      </c>
      <c r="H79" s="166"/>
      <c r="I79" s="166">
        <f t="shared" si="14"/>
        <v>8618</v>
      </c>
      <c r="J79" s="167">
        <f t="shared" si="11"/>
        <v>2.0006695208747045E-3</v>
      </c>
      <c r="K79" s="458"/>
      <c r="L79" s="187"/>
      <c r="M79" s="163"/>
      <c r="O79" s="324">
        <f t="shared" si="12"/>
        <v>0.4296325838775612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'[40]Sch C'!D68</f>
        <v>0</v>
      </c>
      <c r="D80" s="480">
        <f>'[40]Sch C'!F68</f>
        <v>0</v>
      </c>
      <c r="E80" s="480">
        <f>+'[40]Sch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'[40]Sch C'!D69</f>
        <v>0</v>
      </c>
      <c r="D81" s="480">
        <f>'[40]Sch C'!F69</f>
        <v>1475</v>
      </c>
      <c r="E81" s="480">
        <f>+'[40]Sch C'!H69</f>
        <v>0</v>
      </c>
      <c r="F81" s="166">
        <f t="shared" si="13"/>
        <v>1475</v>
      </c>
      <c r="G81" s="626"/>
      <c r="H81" s="166"/>
      <c r="I81" s="166">
        <f t="shared" si="14"/>
        <v>1475</v>
      </c>
      <c r="J81" s="167">
        <f t="shared" si="11"/>
        <v>3.4242139049549654E-4</v>
      </c>
      <c r="K81" s="458"/>
      <c r="L81" s="187"/>
      <c r="M81" s="163"/>
      <c r="O81" s="324">
        <f t="shared" si="12"/>
        <v>7.3533077421606266E-2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'[40]Sch C'!D70</f>
        <v>0</v>
      </c>
      <c r="D82" s="480">
        <f>'[40]Sch C'!F70</f>
        <v>0</v>
      </c>
      <c r="E82" s="480">
        <f>+'[40]Sch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'[40]Sch C'!D71</f>
        <v>0</v>
      </c>
      <c r="D83" s="480">
        <f>'[40]Sch C'!F71</f>
        <v>0</v>
      </c>
      <c r="E83" s="480">
        <f>+'[40]Sch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619645</v>
      </c>
      <c r="D84" s="480">
        <f t="shared" si="15"/>
        <v>24723</v>
      </c>
      <c r="E84" s="480">
        <f t="shared" si="15"/>
        <v>-24869</v>
      </c>
      <c r="F84" s="166">
        <f t="shared" ref="F84:I84" si="16">SUM(F69:F83)</f>
        <v>619499</v>
      </c>
      <c r="G84" s="166">
        <f t="shared" si="16"/>
        <v>488</v>
      </c>
      <c r="H84" s="166">
        <f t="shared" si="16"/>
        <v>0</v>
      </c>
      <c r="I84" s="166">
        <f t="shared" si="16"/>
        <v>619987</v>
      </c>
      <c r="J84" s="167">
        <f t="shared" si="11"/>
        <v>0.14393004110449586</v>
      </c>
      <c r="K84" s="458"/>
      <c r="L84" s="187"/>
      <c r="M84" s="163"/>
      <c r="O84" s="324">
        <f t="shared" si="12"/>
        <v>30.908170895857221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'[40]Sch C'!D75</f>
        <v>49531</v>
      </c>
      <c r="D87" s="480">
        <f>'[40]Sch C'!F75</f>
        <v>0</v>
      </c>
      <c r="E87" s="480">
        <f>+'[40]Sch C'!H75</f>
        <v>0</v>
      </c>
      <c r="F87" s="166">
        <f t="shared" ref="F87:F97" si="17">C87+D87+E87</f>
        <v>49531</v>
      </c>
      <c r="G87" s="626"/>
      <c r="H87" s="166"/>
      <c r="I87" s="166">
        <f t="shared" ref="I87:I97" si="18">F87+G87+H87</f>
        <v>49531</v>
      </c>
      <c r="J87" s="167">
        <f t="shared" ref="J87:J98" si="19">IF($I$213=0,0,I87/$I$213)</f>
        <v>1.1498626367886398E-2</v>
      </c>
      <c r="K87" s="458"/>
      <c r="L87" s="176">
        <v>2216</v>
      </c>
      <c r="M87" s="176">
        <v>2329</v>
      </c>
      <c r="O87" s="324">
        <f t="shared" ref="O87:O97" si="20">I87/I$233</f>
        <v>2.469265666284461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'[40]Sch C'!D76</f>
        <v>3695</v>
      </c>
      <c r="D88" s="480">
        <f>'[40]Sch C'!F76</f>
        <v>4075</v>
      </c>
      <c r="E88" s="480">
        <f>+'[40]Sch C'!H76</f>
        <v>0</v>
      </c>
      <c r="F88" s="166">
        <f t="shared" si="17"/>
        <v>7770</v>
      </c>
      <c r="G88" s="626"/>
      <c r="H88" s="166"/>
      <c r="I88" s="166">
        <f t="shared" si="18"/>
        <v>7770</v>
      </c>
      <c r="J88" s="167">
        <f t="shared" si="19"/>
        <v>1.8038062401017003E-3</v>
      </c>
      <c r="K88" s="458"/>
      <c r="L88" s="163"/>
      <c r="M88" s="163"/>
      <c r="O88" s="324">
        <f t="shared" si="20"/>
        <v>0.38735729597686824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'[40]Sch C'!D77</f>
        <v>8926</v>
      </c>
      <c r="D89" s="480">
        <f>'[40]Sch C'!F77</f>
        <v>0</v>
      </c>
      <c r="E89" s="480">
        <f>+'[40]Sch C'!H77</f>
        <v>0</v>
      </c>
      <c r="F89" s="166">
        <f t="shared" si="17"/>
        <v>8926</v>
      </c>
      <c r="G89" s="626"/>
      <c r="H89" s="166"/>
      <c r="I89" s="166">
        <f t="shared" si="18"/>
        <v>8926</v>
      </c>
      <c r="J89" s="167">
        <f t="shared" si="19"/>
        <v>2.0721717502120689E-3</v>
      </c>
      <c r="K89" s="458"/>
      <c r="L89" s="163"/>
      <c r="M89" s="163"/>
      <c r="O89" s="324">
        <f t="shared" si="20"/>
        <v>0.4449872875018695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'[40]Sch C'!D78</f>
        <v>1834</v>
      </c>
      <c r="D90" s="480">
        <f>'[40]Sch C'!F78</f>
        <v>0</v>
      </c>
      <c r="E90" s="480">
        <f>+'[40]Sch C'!H78</f>
        <v>0</v>
      </c>
      <c r="F90" s="166">
        <f t="shared" si="17"/>
        <v>1834</v>
      </c>
      <c r="G90" s="626"/>
      <c r="H90" s="166"/>
      <c r="I90" s="166">
        <f t="shared" si="18"/>
        <v>1834</v>
      </c>
      <c r="J90" s="167">
        <f t="shared" si="19"/>
        <v>4.2576327469067159E-4</v>
      </c>
      <c r="K90" s="458"/>
      <c r="L90" s="163"/>
      <c r="M90" s="163"/>
      <c r="O90" s="324">
        <f t="shared" si="20"/>
        <v>9.1430280672017541E-2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'[40]Sch C'!D79</f>
        <v>8113</v>
      </c>
      <c r="D91" s="480">
        <f>'[40]Sch C'!F79</f>
        <v>0</v>
      </c>
      <c r="E91" s="480">
        <f>+'[40]Sch C'!H79</f>
        <v>0</v>
      </c>
      <c r="F91" s="166">
        <f t="shared" si="17"/>
        <v>8113</v>
      </c>
      <c r="G91" s="626">
        <v>1697</v>
      </c>
      <c r="H91" s="166"/>
      <c r="I91" s="166">
        <f t="shared" si="18"/>
        <v>9810</v>
      </c>
      <c r="J91" s="167">
        <f t="shared" si="19"/>
        <v>2.2773924344141158E-3</v>
      </c>
      <c r="K91" s="458"/>
      <c r="L91" s="163"/>
      <c r="M91" s="163"/>
      <c r="O91" s="324">
        <f t="shared" si="20"/>
        <v>0.48905728102098811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'[40]Sch C'!D80</f>
        <v>15979</v>
      </c>
      <c r="D92" s="480">
        <f>'[40]Sch C'!F80</f>
        <v>0</v>
      </c>
      <c r="E92" s="480">
        <f>+'[40]Sch C'!H80</f>
        <v>0</v>
      </c>
      <c r="F92" s="166">
        <f t="shared" si="17"/>
        <v>15979</v>
      </c>
      <c r="G92" s="626"/>
      <c r="H92" s="166"/>
      <c r="I92" s="166">
        <f t="shared" si="18"/>
        <v>15979</v>
      </c>
      <c r="J92" s="167">
        <f t="shared" si="19"/>
        <v>3.7095263720186705E-3</v>
      </c>
      <c r="K92" s="458"/>
      <c r="L92" s="163"/>
      <c r="M92" s="163"/>
      <c r="O92" s="324">
        <f t="shared" si="20"/>
        <v>0.79660002991176027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'[40]Sch C'!D81</f>
        <v>14779</v>
      </c>
      <c r="D93" s="480">
        <f>'[40]Sch C'!F81</f>
        <v>-13652</v>
      </c>
      <c r="E93" s="480">
        <f>+'[40]Sch C'!H81</f>
        <v>0</v>
      </c>
      <c r="F93" s="166">
        <f t="shared" si="17"/>
        <v>1127</v>
      </c>
      <c r="G93" s="626"/>
      <c r="H93" s="166"/>
      <c r="I93" s="166">
        <f t="shared" si="18"/>
        <v>1127</v>
      </c>
      <c r="J93" s="167">
        <f t="shared" si="19"/>
        <v>2.6163315734808448E-4</v>
      </c>
      <c r="K93" s="458"/>
      <c r="L93" s="163"/>
      <c r="M93" s="163"/>
      <c r="O93" s="324">
        <f t="shared" si="20"/>
        <v>5.6184256443491697E-2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'[40]Sch C'!D82</f>
        <v>1374</v>
      </c>
      <c r="D94" s="480">
        <f>'[40]Sch C'!F82</f>
        <v>0</v>
      </c>
      <c r="E94" s="480">
        <f>+'[40]Sch C'!H82</f>
        <v>0</v>
      </c>
      <c r="F94" s="166">
        <f t="shared" si="17"/>
        <v>1374</v>
      </c>
      <c r="G94" s="626"/>
      <c r="H94" s="166"/>
      <c r="I94" s="166">
        <f t="shared" si="18"/>
        <v>1374</v>
      </c>
      <c r="J94" s="167">
        <f t="shared" si="19"/>
        <v>3.1897423087512693E-4</v>
      </c>
      <c r="K94" s="458"/>
      <c r="L94" s="163"/>
      <c r="M94" s="163"/>
      <c r="O94" s="324">
        <f t="shared" si="20"/>
        <v>6.8497931103245424E-2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'[40]Sch C'!D83</f>
        <v>0</v>
      </c>
      <c r="D95" s="480">
        <f>'[40]Sch C'!F83</f>
        <v>0</v>
      </c>
      <c r="E95" s="480">
        <f>+'[40]Sch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'[40]Sch C'!D84</f>
        <v>48882</v>
      </c>
      <c r="D96" s="480">
        <f>'[40]Sch C'!F84</f>
        <v>0</v>
      </c>
      <c r="E96" s="480">
        <f>+'[40]Sch C'!H84</f>
        <v>0</v>
      </c>
      <c r="F96" s="166">
        <f t="shared" si="17"/>
        <v>48882</v>
      </c>
      <c r="G96" s="626"/>
      <c r="H96" s="166"/>
      <c r="I96" s="166">
        <f t="shared" si="18"/>
        <v>48882</v>
      </c>
      <c r="J96" s="167">
        <f t="shared" si="19"/>
        <v>1.134796095606838E-2</v>
      </c>
      <c r="K96" s="458"/>
      <c r="L96" s="163"/>
      <c r="M96" s="163"/>
      <c r="O96" s="324">
        <f t="shared" si="20"/>
        <v>2.436911112218954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'[40]Sch C'!D85</f>
        <v>7686</v>
      </c>
      <c r="D97" s="480">
        <f>'[40]Sch C'!F85</f>
        <v>0</v>
      </c>
      <c r="E97" s="480">
        <f>+'[40]Sch C'!H85</f>
        <v>0</v>
      </c>
      <c r="F97" s="166">
        <f t="shared" si="17"/>
        <v>7686</v>
      </c>
      <c r="G97" s="626"/>
      <c r="H97" s="166"/>
      <c r="I97" s="166">
        <f t="shared" si="18"/>
        <v>7686</v>
      </c>
      <c r="J97" s="167">
        <f t="shared" si="19"/>
        <v>1.7843056321006009E-3</v>
      </c>
      <c r="K97" s="458"/>
      <c r="L97" s="163"/>
      <c r="M97" s="163"/>
      <c r="O97" s="324">
        <f t="shared" si="20"/>
        <v>0.38316964953387506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160799</v>
      </c>
      <c r="D98" s="480">
        <f t="shared" si="21"/>
        <v>-9577</v>
      </c>
      <c r="E98" s="480">
        <f t="shared" si="21"/>
        <v>0</v>
      </c>
      <c r="F98" s="166">
        <f t="shared" ref="F98:I98" si="22">SUM(F87:F97)</f>
        <v>151222</v>
      </c>
      <c r="G98" s="166">
        <f t="shared" si="22"/>
        <v>1697</v>
      </c>
      <c r="H98" s="166">
        <f t="shared" si="22"/>
        <v>0</v>
      </c>
      <c r="I98" s="166">
        <f t="shared" si="22"/>
        <v>152919</v>
      </c>
      <c r="J98" s="167">
        <f t="shared" si="19"/>
        <v>3.5500160415715819E-2</v>
      </c>
      <c r="K98" s="458"/>
      <c r="L98" s="163"/>
      <c r="M98" s="163"/>
      <c r="O98" s="329">
        <f>I98/I$233</f>
        <v>7.6234607906675311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'[40]Sch C'!D89</f>
        <v>149238</v>
      </c>
      <c r="D101" s="480">
        <f>'[40]Sch C'!F89</f>
        <v>0</v>
      </c>
      <c r="E101" s="480">
        <f>+'[40]Sch C'!H89</f>
        <v>0</v>
      </c>
      <c r="F101" s="166">
        <f t="shared" ref="F101:F106" si="23">C101+D101+E101</f>
        <v>149238</v>
      </c>
      <c r="G101" s="626"/>
      <c r="H101" s="166"/>
      <c r="I101" s="166">
        <f t="shared" ref="I101:I106" si="24">F101+G101+H101</f>
        <v>149238</v>
      </c>
      <c r="J101" s="167">
        <f t="shared" ref="J101:J107" si="25">IF($I$213=0,0,I101/$I$213)</f>
        <v>3.4645615915096212E-2</v>
      </c>
      <c r="K101" s="458"/>
      <c r="L101" s="176">
        <v>10389</v>
      </c>
      <c r="M101" s="176">
        <v>10727</v>
      </c>
      <c r="O101" s="329">
        <f t="shared" ref="O101:O106" si="26">I101/I$233</f>
        <v>7.4399521411835083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'[40]Sch C'!D90</f>
        <v>11065</v>
      </c>
      <c r="D102" s="480">
        <f>'[40]Sch C'!F90</f>
        <v>12277</v>
      </c>
      <c r="E102" s="480">
        <f>+'[40]Sch C'!H90</f>
        <v>0</v>
      </c>
      <c r="F102" s="166">
        <f t="shared" si="23"/>
        <v>23342</v>
      </c>
      <c r="G102" s="626"/>
      <c r="H102" s="166"/>
      <c r="I102" s="166">
        <f t="shared" si="24"/>
        <v>23342</v>
      </c>
      <c r="J102" s="167">
        <f t="shared" si="25"/>
        <v>5.4188475233531387E-3</v>
      </c>
      <c r="K102" s="458"/>
      <c r="L102" s="163"/>
      <c r="M102" s="163"/>
      <c r="O102" s="329">
        <f t="shared" si="26"/>
        <v>1.1636671818136497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'[40]Sch C'!D91</f>
        <v>13065</v>
      </c>
      <c r="D103" s="480">
        <f>'[40]Sch C'!F91</f>
        <v>0</v>
      </c>
      <c r="E103" s="480">
        <f>+'[40]Sch C'!H91</f>
        <v>0</v>
      </c>
      <c r="F103" s="166">
        <f t="shared" si="23"/>
        <v>13065</v>
      </c>
      <c r="G103" s="626"/>
      <c r="H103" s="166"/>
      <c r="I103" s="166">
        <f t="shared" si="24"/>
        <v>13065</v>
      </c>
      <c r="J103" s="167">
        <f t="shared" si="25"/>
        <v>3.03304099445672E-3</v>
      </c>
      <c r="K103" s="458"/>
      <c r="L103" s="163"/>
      <c r="M103" s="163"/>
      <c r="O103" s="329">
        <f t="shared" si="26"/>
        <v>0.65132858068697341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'[40]Sch C'!D92</f>
        <v>127955</v>
      </c>
      <c r="D104" s="480">
        <f>'[40]Sch C'!F92</f>
        <v>0</v>
      </c>
      <c r="E104" s="480">
        <f>+'[40]Sch C'!H92</f>
        <v>0</v>
      </c>
      <c r="F104" s="166">
        <f t="shared" si="23"/>
        <v>127955</v>
      </c>
      <c r="G104" s="626"/>
      <c r="H104" s="166"/>
      <c r="I104" s="166">
        <f t="shared" si="24"/>
        <v>127955</v>
      </c>
      <c r="J104" s="167">
        <f t="shared" si="25"/>
        <v>2.9704765437865259E-2</v>
      </c>
      <c r="K104" s="458"/>
      <c r="L104" s="163"/>
      <c r="M104" s="163"/>
      <c r="O104" s="329">
        <f t="shared" si="26"/>
        <v>6.3789321501570369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'[40]Sch C'!D93</f>
        <v>18757</v>
      </c>
      <c r="D105" s="480">
        <f>'[40]Sch C'!F93</f>
        <v>0</v>
      </c>
      <c r="E105" s="480">
        <f>+'[40]Sch C'!H93</f>
        <v>0</v>
      </c>
      <c r="F105" s="166">
        <f t="shared" si="23"/>
        <v>18757</v>
      </c>
      <c r="G105" s="626"/>
      <c r="H105" s="166"/>
      <c r="I105" s="166">
        <f t="shared" si="24"/>
        <v>18757</v>
      </c>
      <c r="J105" s="167">
        <f t="shared" si="25"/>
        <v>4.3544393366264601E-3</v>
      </c>
      <c r="K105" s="458"/>
      <c r="L105" s="163"/>
      <c r="M105" s="163"/>
      <c r="O105" s="329">
        <f t="shared" si="26"/>
        <v>0.93509148013360588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'[40]Sch C'!D94</f>
        <v>0</v>
      </c>
      <c r="D106" s="480">
        <f>'[40]Sch C'!F94</f>
        <v>0</v>
      </c>
      <c r="E106" s="480">
        <f>+'[40]Sch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320080</v>
      </c>
      <c r="D107" s="480">
        <f t="shared" si="27"/>
        <v>12277</v>
      </c>
      <c r="E107" s="480">
        <f t="shared" si="27"/>
        <v>0</v>
      </c>
      <c r="F107" s="166">
        <f t="shared" ref="F107:I107" si="28">SUM(F101:F106)</f>
        <v>332357</v>
      </c>
      <c r="G107" s="166">
        <f t="shared" si="28"/>
        <v>0</v>
      </c>
      <c r="H107" s="166">
        <f t="shared" si="28"/>
        <v>0</v>
      </c>
      <c r="I107" s="166">
        <f t="shared" si="28"/>
        <v>332357</v>
      </c>
      <c r="J107" s="167">
        <f t="shared" si="25"/>
        <v>7.7156709207397783E-2</v>
      </c>
      <c r="K107" s="458"/>
      <c r="L107" s="163"/>
      <c r="M107" s="163"/>
      <c r="O107" s="329">
        <f>I107/I$233</f>
        <v>16.568971533974775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'[40]Sch C'!D98</f>
        <v>21689</v>
      </c>
      <c r="D110" s="480">
        <f>'[40]Sch C'!F98</f>
        <v>0</v>
      </c>
      <c r="E110" s="480">
        <f>+'[40]Sch C'!H98</f>
        <v>0</v>
      </c>
      <c r="F110" s="166">
        <f t="shared" ref="F110:F115" si="29">C110+D110+E110</f>
        <v>21689</v>
      </c>
      <c r="G110" s="626"/>
      <c r="H110" s="166"/>
      <c r="I110" s="166">
        <f t="shared" ref="I110:I115" si="30">F110+G110+H110</f>
        <v>21689</v>
      </c>
      <c r="J110" s="167">
        <f t="shared" ref="J110:J116" si="31">IF($I$213=0,0,I110/$I$213)</f>
        <v>5.0351034159029319E-3</v>
      </c>
      <c r="K110" s="458"/>
      <c r="L110" s="176">
        <v>2213</v>
      </c>
      <c r="M110" s="176">
        <v>2289</v>
      </c>
      <c r="O110" s="329">
        <f t="shared" ref="O110:O115" si="32">I110/I$233</f>
        <v>1.0812602821676056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'[40]Sch C'!D99</f>
        <v>1708</v>
      </c>
      <c r="D111" s="480">
        <f>'[40]Sch C'!F99</f>
        <v>1784</v>
      </c>
      <c r="E111" s="480">
        <f>+'[40]Sch C'!H99</f>
        <v>0</v>
      </c>
      <c r="F111" s="166">
        <f t="shared" si="29"/>
        <v>3492</v>
      </c>
      <c r="G111" s="626"/>
      <c r="H111" s="166"/>
      <c r="I111" s="166">
        <f t="shared" si="30"/>
        <v>3492</v>
      </c>
      <c r="J111" s="167">
        <f t="shared" si="31"/>
        <v>8.1066813261713479E-4</v>
      </c>
      <c r="K111" s="458"/>
      <c r="L111" s="163"/>
      <c r="M111" s="163"/>
      <c r="O111" s="329">
        <f t="shared" si="32"/>
        <v>0.17408644498728751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'[40]Sch C'!D100</f>
        <v>13321</v>
      </c>
      <c r="D112" s="480">
        <f>'[40]Sch C'!F100</f>
        <v>0</v>
      </c>
      <c r="E112" s="480">
        <f>+'[40]Sch C'!H100</f>
        <v>0</v>
      </c>
      <c r="F112" s="166">
        <f t="shared" si="29"/>
        <v>13321</v>
      </c>
      <c r="G112" s="626">
        <v>-9760</v>
      </c>
      <c r="H112" s="166"/>
      <c r="I112" s="166">
        <f t="shared" si="30"/>
        <v>3561</v>
      </c>
      <c r="J112" s="167">
        <f t="shared" si="31"/>
        <v>8.2668648918946647E-4</v>
      </c>
      <c r="K112" s="458"/>
      <c r="L112" s="163"/>
      <c r="M112" s="163"/>
      <c r="O112" s="329">
        <f t="shared" si="32"/>
        <v>0.17752629742260331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'[40]Sch C'!D101</f>
        <v>0</v>
      </c>
      <c r="D113" s="480">
        <f>'[40]Sch C'!F101</f>
        <v>0</v>
      </c>
      <c r="E113" s="480">
        <f>+'[40]Sch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'[40]Sch C'!D102</f>
        <v>5894</v>
      </c>
      <c r="D114" s="480">
        <f>'[40]Sch C'!F102</f>
        <v>0</v>
      </c>
      <c r="E114" s="480">
        <f>+'[40]Sch C'!H102</f>
        <v>0</v>
      </c>
      <c r="F114" s="166">
        <f t="shared" si="29"/>
        <v>5894</v>
      </c>
      <c r="G114" s="626"/>
      <c r="H114" s="166"/>
      <c r="I114" s="166">
        <f t="shared" si="30"/>
        <v>5894</v>
      </c>
      <c r="J114" s="167">
        <f t="shared" si="31"/>
        <v>1.368292661410479E-3</v>
      </c>
      <c r="K114" s="458"/>
      <c r="L114" s="163"/>
      <c r="M114" s="163"/>
      <c r="O114" s="329">
        <f t="shared" si="32"/>
        <v>0.29383319208335412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'[40]Sch C'!D103</f>
        <v>506</v>
      </c>
      <c r="D115" s="480">
        <f>'[40]Sch C'!F103</f>
        <v>0</v>
      </c>
      <c r="E115" s="480">
        <f>+'[40]Sch C'!H103</f>
        <v>0</v>
      </c>
      <c r="F115" s="166">
        <f t="shared" si="29"/>
        <v>506</v>
      </c>
      <c r="G115" s="626"/>
      <c r="H115" s="166"/>
      <c r="I115" s="166">
        <f t="shared" si="30"/>
        <v>506</v>
      </c>
      <c r="J115" s="167">
        <f t="shared" si="31"/>
        <v>1.1746794819709914E-4</v>
      </c>
      <c r="K115" s="458"/>
      <c r="L115" s="163"/>
      <c r="M115" s="163"/>
      <c r="O115" s="329">
        <f t="shared" si="32"/>
        <v>2.5225584525649335E-2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43118</v>
      </c>
      <c r="D116" s="480">
        <f t="shared" si="33"/>
        <v>1784</v>
      </c>
      <c r="E116" s="480">
        <f t="shared" si="33"/>
        <v>0</v>
      </c>
      <c r="F116" s="166">
        <f t="shared" ref="F116:I116" si="34">SUM(F110:F115)</f>
        <v>44902</v>
      </c>
      <c r="G116" s="166">
        <f t="shared" si="34"/>
        <v>-9760</v>
      </c>
      <c r="H116" s="166">
        <f t="shared" si="34"/>
        <v>0</v>
      </c>
      <c r="I116" s="166">
        <f t="shared" si="34"/>
        <v>35142</v>
      </c>
      <c r="J116" s="167">
        <f t="shared" si="31"/>
        <v>8.1582186473171114E-3</v>
      </c>
      <c r="K116" s="458"/>
      <c r="L116" s="163"/>
      <c r="M116" s="163"/>
      <c r="O116" s="329">
        <f>I116/I$233</f>
        <v>1.7519318011864997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'[40]Sch C'!D115</f>
        <v>75415</v>
      </c>
      <c r="D119" s="480">
        <f>'[40]Sch C'!F115</f>
        <v>0</v>
      </c>
      <c r="E119" s="480">
        <f>+'[40]Sch C'!H115</f>
        <v>0</v>
      </c>
      <c r="F119" s="166">
        <f t="shared" ref="F119:F123" si="35">C119+D119+E119</f>
        <v>75415</v>
      </c>
      <c r="G119" s="626"/>
      <c r="H119" s="166"/>
      <c r="I119" s="166">
        <f t="shared" ref="I119:I123" si="36">F119+G119+H119</f>
        <v>75415</v>
      </c>
      <c r="J119" s="167">
        <f t="shared" ref="J119:J124" si="37">IF($I$213=0,0,I119/$I$213)</f>
        <v>1.7507599433368048E-2</v>
      </c>
      <c r="K119" s="458"/>
      <c r="L119" s="176">
        <v>8525</v>
      </c>
      <c r="M119" s="176">
        <v>8649</v>
      </c>
      <c r="O119" s="329">
        <f t="shared" ref="O119:O124" si="38">I119/I$233</f>
        <v>3.759659005932499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'[40]Sch C'!D116</f>
        <v>6050</v>
      </c>
      <c r="D120" s="480">
        <f>'[40]Sch C'!F116</f>
        <v>6204</v>
      </c>
      <c r="E120" s="480">
        <f>+'[40]Sch C'!H116</f>
        <v>0</v>
      </c>
      <c r="F120" s="166">
        <f t="shared" si="35"/>
        <v>12254</v>
      </c>
      <c r="G120" s="626"/>
      <c r="H120" s="166"/>
      <c r="I120" s="166">
        <f t="shared" si="36"/>
        <v>12254</v>
      </c>
      <c r="J120" s="167">
        <f t="shared" si="37"/>
        <v>2.8447672672080098E-3</v>
      </c>
      <c r="K120" s="458"/>
      <c r="L120" s="163"/>
      <c r="M120" s="163"/>
      <c r="O120" s="329">
        <f t="shared" si="38"/>
        <v>0.61089785133855123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'[40]Sch C'!D117</f>
        <v>21189</v>
      </c>
      <c r="D121" s="480">
        <f>'[40]Sch C'!F117</f>
        <v>0</v>
      </c>
      <c r="E121" s="480">
        <f>+'[40]Sch C'!H117</f>
        <v>0</v>
      </c>
      <c r="F121" s="166">
        <f t="shared" si="35"/>
        <v>21189</v>
      </c>
      <c r="G121" s="626"/>
      <c r="H121" s="166"/>
      <c r="I121" s="166">
        <f t="shared" si="36"/>
        <v>21189</v>
      </c>
      <c r="J121" s="167">
        <f t="shared" si="37"/>
        <v>4.9190283682773398E-3</v>
      </c>
      <c r="K121" s="458"/>
      <c r="L121" s="163"/>
      <c r="M121" s="163"/>
      <c r="O121" s="329">
        <f t="shared" si="38"/>
        <v>1.0563338152450272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'[40]Sch C'!D118</f>
        <v>1452</v>
      </c>
      <c r="D122" s="480">
        <f>'[40]Sch C'!F118</f>
        <v>0</v>
      </c>
      <c r="E122" s="480">
        <f>+'[40]Sch C'!H118</f>
        <v>0</v>
      </c>
      <c r="F122" s="166">
        <f t="shared" si="35"/>
        <v>1452</v>
      </c>
      <c r="G122" s="626"/>
      <c r="H122" s="166"/>
      <c r="I122" s="166">
        <f t="shared" si="36"/>
        <v>1452</v>
      </c>
      <c r="J122" s="167">
        <f t="shared" si="37"/>
        <v>3.3708193830471928E-4</v>
      </c>
      <c r="K122" s="458"/>
      <c r="L122" s="163"/>
      <c r="M122" s="163"/>
      <c r="O122" s="329">
        <f t="shared" si="38"/>
        <v>7.2386459943167655E-2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'[40]Sch C'!D119</f>
        <v>0</v>
      </c>
      <c r="D123" s="480">
        <f>'[40]Sch C'!F119</f>
        <v>0</v>
      </c>
      <c r="E123" s="480">
        <f>+'[40]Sch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104106</v>
      </c>
      <c r="D124" s="480">
        <f t="shared" si="39"/>
        <v>6204</v>
      </c>
      <c r="E124" s="480">
        <f t="shared" si="39"/>
        <v>0</v>
      </c>
      <c r="F124" s="166">
        <f t="shared" ref="F124:I124" si="40">SUM(F119:F123)</f>
        <v>110310</v>
      </c>
      <c r="G124" s="166">
        <f t="shared" si="40"/>
        <v>0</v>
      </c>
      <c r="H124" s="166">
        <f t="shared" si="40"/>
        <v>0</v>
      </c>
      <c r="I124" s="166">
        <f t="shared" si="40"/>
        <v>110310</v>
      </c>
      <c r="J124" s="167">
        <f t="shared" si="37"/>
        <v>2.5608477007158115E-2</v>
      </c>
      <c r="K124" s="458"/>
      <c r="L124" s="163"/>
      <c r="M124" s="163"/>
      <c r="O124" s="329">
        <f t="shared" si="38"/>
        <v>5.4992771324592455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'[40]Sch C'!D124</f>
        <v>0</v>
      </c>
      <c r="D128" s="480">
        <f>'[40]Sch C'!F124</f>
        <v>0</v>
      </c>
      <c r="E128" s="480">
        <f>+'[40]Sch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'[40]Sch C'!D125</f>
        <v>228778</v>
      </c>
      <c r="D129" s="480">
        <f>'[40]Sch C'!F125</f>
        <v>8899</v>
      </c>
      <c r="E129" s="480">
        <f>+'[40]Sch C'!H125</f>
        <v>0</v>
      </c>
      <c r="F129" s="166">
        <f t="shared" si="41"/>
        <v>237677</v>
      </c>
      <c r="G129" s="626"/>
      <c r="H129" s="166"/>
      <c r="I129" s="166">
        <f t="shared" si="42"/>
        <v>237677</v>
      </c>
      <c r="J129" s="167">
        <f>IF($I$213=0,0,I129/$I$213)</f>
        <v>5.5176738189015681E-2</v>
      </c>
      <c r="K129" s="458"/>
      <c r="L129" s="176">
        <v>4560</v>
      </c>
      <c r="M129" s="176">
        <v>4645</v>
      </c>
      <c r="O129" s="329">
        <f t="shared" si="43"/>
        <v>11.848895757515329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'[40]Sch C'!D126</f>
        <v>0</v>
      </c>
      <c r="D130" s="480">
        <f>'[40]Sch C'!F126</f>
        <v>0</v>
      </c>
      <c r="E130" s="480">
        <f>+'[40]Sch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'[40]Sch C'!D127</f>
        <v>0</v>
      </c>
      <c r="D131" s="480">
        <f>'[40]Sch C'!F127</f>
        <v>0</v>
      </c>
      <c r="E131" s="480">
        <f>+'[40]Sch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'[40]Sch C'!D128</f>
        <v>2173</v>
      </c>
      <c r="D132" s="480">
        <f>'[40]Sch C'!F128</f>
        <v>0</v>
      </c>
      <c r="E132" s="480">
        <f>+'[40]Sch C'!H128</f>
        <v>0</v>
      </c>
      <c r="F132" s="166">
        <f t="shared" si="41"/>
        <v>2173</v>
      </c>
      <c r="G132" s="626"/>
      <c r="H132" s="166"/>
      <c r="I132" s="166">
        <f t="shared" si="42"/>
        <v>2173</v>
      </c>
      <c r="J132" s="167">
        <f>IF($I$213=0,0,I132/$I$213)</f>
        <v>5.0446215698082299E-4</v>
      </c>
      <c r="K132" s="458"/>
      <c r="L132" s="176">
        <v>200</v>
      </c>
      <c r="M132" s="176">
        <v>200</v>
      </c>
      <c r="O132" s="329">
        <f t="shared" si="43"/>
        <v>0.1083304252455257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'[40]Sch C'!D130</f>
        <v>0</v>
      </c>
      <c r="D134" s="480">
        <f>'[40]Sch C'!F130</f>
        <v>0</v>
      </c>
      <c r="E134" s="480">
        <f>+'[40]Sch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'[40]Sch C'!D131</f>
        <v>0</v>
      </c>
      <c r="D135" s="480">
        <f>'[40]Sch C'!F131</f>
        <v>37650</v>
      </c>
      <c r="E135" s="480">
        <f>+'[40]Sch C'!H131</f>
        <v>0</v>
      </c>
      <c r="F135" s="166">
        <f t="shared" si="44"/>
        <v>37650</v>
      </c>
      <c r="G135" s="626"/>
      <c r="H135" s="166"/>
      <c r="I135" s="166">
        <f t="shared" si="45"/>
        <v>37650</v>
      </c>
      <c r="J135" s="167">
        <f>IF($I$213=0,0,I135/$I$213)</f>
        <v>8.7404510862070812E-3</v>
      </c>
      <c r="K135" s="458"/>
      <c r="L135" s="196"/>
      <c r="M135" s="196"/>
      <c r="O135" s="329">
        <f t="shared" si="43"/>
        <v>1.8769629592701531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'[40]Sch C'!D132</f>
        <v>0</v>
      </c>
      <c r="D136" s="480">
        <f>'[40]Sch C'!F132</f>
        <v>0</v>
      </c>
      <c r="E136" s="480">
        <f>+'[40]Sch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'[40]Sch C'!D133</f>
        <v>0</v>
      </c>
      <c r="D137" s="480">
        <f>'[40]Sch C'!F133</f>
        <v>0</v>
      </c>
      <c r="E137" s="480">
        <f>+'[40]Sch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'[40]Sch C'!D134</f>
        <v>0</v>
      </c>
      <c r="D138" s="480">
        <f>'[40]Sch C'!F134</f>
        <v>0</v>
      </c>
      <c r="E138" s="480">
        <f>+'[40]Sch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'[40]Sch C'!D136</f>
        <v>350140</v>
      </c>
      <c r="D140" s="480">
        <f>'[40]Sch C'!F136</f>
        <v>-21873</v>
      </c>
      <c r="E140" s="480">
        <f>+'[40]Sch C'!H136</f>
        <v>0</v>
      </c>
      <c r="F140" s="166">
        <f t="shared" ref="F140:F143" si="46">C140+D140+E140</f>
        <v>328267</v>
      </c>
      <c r="G140" s="626"/>
      <c r="H140" s="166"/>
      <c r="I140" s="166">
        <f t="shared" ref="I140:I143" si="47">F140+G140+H140</f>
        <v>328267</v>
      </c>
      <c r="J140" s="167">
        <f>IF($I$213=0,0,I140/$I$213)</f>
        <v>7.6207215317820445E-2</v>
      </c>
      <c r="K140" s="458"/>
      <c r="L140" s="176">
        <v>10746</v>
      </c>
      <c r="M140" s="176">
        <v>11094</v>
      </c>
      <c r="O140" s="329">
        <f t="shared" si="43"/>
        <v>16.365073034548082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'[40]Sch C'!D137</f>
        <v>170663</v>
      </c>
      <c r="D141" s="480">
        <f>'[40]Sch C'!F137</f>
        <v>12653</v>
      </c>
      <c r="E141" s="480">
        <f>+'[40]Sch C'!H137</f>
        <v>0</v>
      </c>
      <c r="F141" s="166">
        <f t="shared" si="46"/>
        <v>183316</v>
      </c>
      <c r="G141" s="626"/>
      <c r="H141" s="166"/>
      <c r="I141" s="166">
        <f t="shared" si="47"/>
        <v>183316</v>
      </c>
      <c r="J141" s="167">
        <f>IF($I$213=0,0,I141/$I$213)</f>
        <v>4.2556826861066058E-2</v>
      </c>
      <c r="K141" s="458"/>
      <c r="L141" s="176">
        <v>6347</v>
      </c>
      <c r="M141" s="176">
        <v>6538</v>
      </c>
      <c r="O141" s="329">
        <f t="shared" si="43"/>
        <v>9.1388404207587612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'[40]Sch C'!D138</f>
        <v>511558</v>
      </c>
      <c r="D142" s="480">
        <f>'[40]Sch C'!F138</f>
        <v>0</v>
      </c>
      <c r="E142" s="480">
        <f>+'[40]Sch C'!H138</f>
        <v>0</v>
      </c>
      <c r="F142" s="166">
        <f t="shared" si="46"/>
        <v>511558</v>
      </c>
      <c r="G142" s="626"/>
      <c r="H142" s="166"/>
      <c r="I142" s="166">
        <f t="shared" si="47"/>
        <v>511558</v>
      </c>
      <c r="J142" s="167">
        <f>IF($I$213=0,0,I142/$I$213)</f>
        <v>0.11875823842650522</v>
      </c>
      <c r="K142" s="458"/>
      <c r="L142" s="176">
        <v>35316</v>
      </c>
      <c r="M142" s="176">
        <v>36144</v>
      </c>
      <c r="O142" s="329">
        <f t="shared" si="43"/>
        <v>25.502667131960717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'[40]Sch C'!D139</f>
        <v>0</v>
      </c>
      <c r="D143" s="480">
        <f>'[40]Sch C'!F139</f>
        <v>0</v>
      </c>
      <c r="E143" s="480">
        <f>+'[40]Sch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'[40]Sch C'!D141</f>
        <v>57407</v>
      </c>
      <c r="D145" s="480">
        <f>'[40]Sch C'!F141</f>
        <v>-5407</v>
      </c>
      <c r="E145" s="480">
        <f>+'[40]Sch C'!H141</f>
        <v>0</v>
      </c>
      <c r="F145" s="166">
        <f t="shared" ref="F145:F148" si="48">C145+D145+E145</f>
        <v>52000</v>
      </c>
      <c r="G145" s="626"/>
      <c r="H145" s="166"/>
      <c r="I145" s="166">
        <f t="shared" ref="I145:I148" si="49">F145+G145+H145</f>
        <v>52000</v>
      </c>
      <c r="J145" s="167">
        <f>IF($I$213=0,0,I145/$I$213)</f>
        <v>1.2071804953061573E-2</v>
      </c>
      <c r="K145" s="458"/>
      <c r="L145" s="163"/>
      <c r="M145" s="163"/>
      <c r="O145" s="329">
        <f t="shared" si="43"/>
        <v>2.5923525599481532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'[40]Sch C'!D142</f>
        <v>0</v>
      </c>
      <c r="D146" s="480">
        <f>'[40]Sch C'!F142</f>
        <v>29039</v>
      </c>
      <c r="E146" s="480">
        <f>+'[40]Sch C'!H142</f>
        <v>0</v>
      </c>
      <c r="F146" s="166">
        <f t="shared" si="48"/>
        <v>29039</v>
      </c>
      <c r="G146" s="626"/>
      <c r="H146" s="166"/>
      <c r="I146" s="166">
        <f t="shared" si="49"/>
        <v>29039</v>
      </c>
      <c r="J146" s="167">
        <f>IF($I$213=0,0,I146/$I$213)</f>
        <v>6.7414066159991346E-3</v>
      </c>
      <c r="K146" s="458"/>
      <c r="L146" s="163"/>
      <c r="M146" s="163"/>
      <c r="O146" s="329">
        <f t="shared" si="43"/>
        <v>1.4476793459295079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'[40]Sch C'!D143</f>
        <v>40046</v>
      </c>
      <c r="D147" s="480">
        <f>'[40]Sch C'!F143</f>
        <v>42083</v>
      </c>
      <c r="E147" s="480">
        <f>+'[40]Sch C'!H143</f>
        <v>0</v>
      </c>
      <c r="F147" s="166">
        <f t="shared" si="48"/>
        <v>82129</v>
      </c>
      <c r="G147" s="626"/>
      <c r="H147" s="166"/>
      <c r="I147" s="166">
        <f t="shared" si="49"/>
        <v>82129</v>
      </c>
      <c r="J147" s="167">
        <f>IF($I$213=0,0,I147/$I$213)</f>
        <v>1.9066255172884499E-2</v>
      </c>
      <c r="K147" s="458"/>
      <c r="L147" s="163"/>
      <c r="M147" s="163"/>
      <c r="O147" s="329">
        <f t="shared" si="43"/>
        <v>4.0943716037688818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'[40]Sch C'!D144</f>
        <v>0</v>
      </c>
      <c r="D148" s="480">
        <f>'[40]Sch C'!F144</f>
        <v>0</v>
      </c>
      <c r="E148" s="480">
        <f>+'[40]Sch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'[40]Sch C'!D146</f>
        <v>24000</v>
      </c>
      <c r="D150" s="480">
        <f>'[40]Sch C'!F146</f>
        <v>0</v>
      </c>
      <c r="E150" s="480">
        <f>+'[40]Sch C'!H146</f>
        <v>0</v>
      </c>
      <c r="F150" s="166">
        <f t="shared" ref="F150:F158" si="50">C150+D150+E150</f>
        <v>24000</v>
      </c>
      <c r="G150" s="626"/>
      <c r="H150" s="166"/>
      <c r="I150" s="166">
        <f t="shared" ref="I150:I158" si="51">F150+G150+H150</f>
        <v>24000</v>
      </c>
      <c r="J150" s="167">
        <f t="shared" ref="J150:J158" si="52">IF($I$213=0,0,I150/$I$213)</f>
        <v>5.5716022860284181E-3</v>
      </c>
      <c r="K150" s="458"/>
      <c r="L150" s="176">
        <v>208</v>
      </c>
      <c r="M150" s="176">
        <v>208</v>
      </c>
      <c r="O150" s="329">
        <f t="shared" si="43"/>
        <v>1.1964704122837628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'[40]Sch C'!D147</f>
        <v>6588</v>
      </c>
      <c r="D151" s="480">
        <f>'[40]Sch C'!F147</f>
        <v>0</v>
      </c>
      <c r="E151" s="480">
        <f>+'[40]Sch C'!H147</f>
        <v>0</v>
      </c>
      <c r="F151" s="166">
        <f t="shared" si="50"/>
        <v>6588</v>
      </c>
      <c r="G151" s="626"/>
      <c r="H151" s="166"/>
      <c r="I151" s="166">
        <f t="shared" si="51"/>
        <v>6588</v>
      </c>
      <c r="J151" s="167">
        <f t="shared" si="52"/>
        <v>1.5294048275148007E-3</v>
      </c>
      <c r="K151" s="458"/>
      <c r="L151" s="176">
        <v>127</v>
      </c>
      <c r="M151" s="176">
        <v>127</v>
      </c>
      <c r="O151" s="329">
        <f t="shared" si="43"/>
        <v>0.32843112817189291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'[40]Sch C'!D148</f>
        <v>0</v>
      </c>
      <c r="D152" s="480">
        <f>'[40]Sch C'!F148</f>
        <v>0</v>
      </c>
      <c r="E152" s="480">
        <f>+'[40]Sch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'[40]Sch C'!D149</f>
        <v>0</v>
      </c>
      <c r="D153" s="480">
        <f>'[40]Sch C'!F149</f>
        <v>0</v>
      </c>
      <c r="E153" s="480">
        <f>+'[40]Sch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'[40]Sch C'!D150</f>
        <v>6458</v>
      </c>
      <c r="D154" s="480">
        <f>'[40]Sch C'!F150</f>
        <v>0</v>
      </c>
      <c r="E154" s="480">
        <f>+'[40]Sch C'!H150</f>
        <v>0</v>
      </c>
      <c r="F154" s="166">
        <f t="shared" si="50"/>
        <v>6458</v>
      </c>
      <c r="G154" s="626"/>
      <c r="H154" s="166"/>
      <c r="I154" s="166">
        <f t="shared" si="51"/>
        <v>6458</v>
      </c>
      <c r="J154" s="167">
        <f t="shared" si="52"/>
        <v>1.4992253151321468E-3</v>
      </c>
      <c r="K154" s="458"/>
      <c r="L154" s="176">
        <v>100</v>
      </c>
      <c r="M154" s="176">
        <v>100</v>
      </c>
      <c r="O154" s="329">
        <f t="shared" si="43"/>
        <v>0.32195024677202255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'[40]Sch C'!D151</f>
        <v>74047</v>
      </c>
      <c r="D155" s="480">
        <f>'[40]Sch C'!F151</f>
        <v>0</v>
      </c>
      <c r="E155" s="480">
        <f>+'[40]Sch C'!H151</f>
        <v>0</v>
      </c>
      <c r="F155" s="166">
        <f t="shared" si="50"/>
        <v>74047</v>
      </c>
      <c r="G155" s="626"/>
      <c r="H155" s="166"/>
      <c r="I155" s="166">
        <f t="shared" si="51"/>
        <v>74047</v>
      </c>
      <c r="J155" s="167">
        <f t="shared" si="52"/>
        <v>1.7190018103064426E-2</v>
      </c>
      <c r="K155" s="458"/>
      <c r="L155" s="163"/>
      <c r="M155" s="163"/>
      <c r="O155" s="329">
        <f t="shared" si="43"/>
        <v>3.6914601924323245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'[40]Sch C'!D152</f>
        <v>26961</v>
      </c>
      <c r="D156" s="480">
        <f>'[40]Sch C'!F152</f>
        <v>0</v>
      </c>
      <c r="E156" s="480">
        <f>+'[40]Sch C'!H152</f>
        <v>0</v>
      </c>
      <c r="F156" s="166">
        <f t="shared" si="50"/>
        <v>26961</v>
      </c>
      <c r="G156" s="626">
        <v>-1697</v>
      </c>
      <c r="H156" s="166"/>
      <c r="I156" s="166">
        <f t="shared" si="51"/>
        <v>25264</v>
      </c>
      <c r="J156" s="167">
        <f t="shared" si="52"/>
        <v>5.8650400064259147E-3</v>
      </c>
      <c r="K156" s="458"/>
      <c r="L156" s="163"/>
      <c r="M156" s="163"/>
      <c r="O156" s="329">
        <f t="shared" si="43"/>
        <v>1.259484520664041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'[40]Sch C'!D153</f>
        <v>0</v>
      </c>
      <c r="D157" s="480">
        <f>'[40]Sch C'!F153</f>
        <v>0</v>
      </c>
      <c r="E157" s="480">
        <f>+'[40]Sch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'[40]Sch C'!D154</f>
        <v>0</v>
      </c>
      <c r="D158" s="480">
        <f>'[40]Sch C'!F154</f>
        <v>0</v>
      </c>
      <c r="E158" s="480">
        <f>+'[40]Sch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'[40]Sch C'!D156</f>
        <v>0</v>
      </c>
      <c r="D160" s="480">
        <f>'[40]Sch C'!F156</f>
        <v>0</v>
      </c>
      <c r="E160" s="480">
        <f>+'[40]Sch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'[40]Sch C'!D157</f>
        <v>0</v>
      </c>
      <c r="D161" s="480">
        <f>'[40]Sch C'!F157</f>
        <v>0</v>
      </c>
      <c r="E161" s="480">
        <f>+'[40]Sch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'[40]Sch C'!D158</f>
        <v>0</v>
      </c>
      <c r="D162" s="480">
        <f>'[40]Sch C'!F158</f>
        <v>0</v>
      </c>
      <c r="E162" s="480">
        <f>+'[40]Sch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'[40]Sch C'!D159</f>
        <v>0</v>
      </c>
      <c r="D163" s="480">
        <f>'[40]Sch C'!F159</f>
        <v>0</v>
      </c>
      <c r="E163" s="480">
        <f>+'[40]Sch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'[40]Sch C'!D160</f>
        <v>450</v>
      </c>
      <c r="D164" s="480">
        <f>'[40]Sch C'!F160</f>
        <v>0</v>
      </c>
      <c r="E164" s="480">
        <f>+'[40]Sch C'!H160</f>
        <v>0</v>
      </c>
      <c r="F164" s="166">
        <f t="shared" si="53"/>
        <v>450</v>
      </c>
      <c r="G164" s="626"/>
      <c r="H164" s="166"/>
      <c r="I164" s="166">
        <f t="shared" si="54"/>
        <v>450</v>
      </c>
      <c r="J164" s="167">
        <f>IF($I$213=0,0,I164/$I$213)</f>
        <v>1.0446754286303283E-4</v>
      </c>
      <c r="K164" s="458"/>
      <c r="L164" s="163"/>
      <c r="M164" s="163"/>
      <c r="O164" s="329">
        <f t="shared" si="43"/>
        <v>2.2433820230320554E-2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'[40]Sch C'!D161</f>
        <v>0</v>
      </c>
      <c r="D165" s="480">
        <f>'[40]Sch C'!F161</f>
        <v>0</v>
      </c>
      <c r="E165" s="480">
        <f>+'[40]Sch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1499269</v>
      </c>
      <c r="D166" s="480">
        <f t="shared" si="56"/>
        <v>103044</v>
      </c>
      <c r="E166" s="480">
        <f t="shared" si="56"/>
        <v>0</v>
      </c>
      <c r="F166" s="166">
        <f t="shared" ref="F166:I166" si="57">SUM(F128:F165)</f>
        <v>1602313</v>
      </c>
      <c r="G166" s="166">
        <f t="shared" si="57"/>
        <v>-1697</v>
      </c>
      <c r="H166" s="166">
        <f t="shared" si="57"/>
        <v>0</v>
      </c>
      <c r="I166" s="166">
        <f t="shared" si="57"/>
        <v>1600616</v>
      </c>
      <c r="J166" s="167">
        <f t="shared" si="55"/>
        <v>0.37158315686056925</v>
      </c>
      <c r="K166" s="458"/>
      <c r="L166" s="163"/>
      <c r="M166" s="163"/>
      <c r="O166" s="329">
        <f>I166/I$233</f>
        <v>79.795403559499476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'[40]Sch C'!D175</f>
        <v>0</v>
      </c>
      <c r="D169" s="480">
        <f>'[40]Sch C'!F175</f>
        <v>0</v>
      </c>
      <c r="E169" s="480">
        <f>+'[40]Sch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'[40]Sch C'!D176</f>
        <v>0</v>
      </c>
      <c r="D170" s="480">
        <f>'[40]Sch C'!F176</f>
        <v>0</v>
      </c>
      <c r="E170" s="480">
        <f>+'[40]Sch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'[40]Sch C'!D177</f>
        <v>0</v>
      </c>
      <c r="D171" s="480">
        <f>'[40]Sch C'!F177</f>
        <v>0</v>
      </c>
      <c r="E171" s="480">
        <f>+'[40]Sch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'[40]Sch C'!D178</f>
        <v>0</v>
      </c>
      <c r="D172" s="480">
        <f>'[40]Sch C'!F178</f>
        <v>0</v>
      </c>
      <c r="E172" s="480">
        <f>+'[40]Sch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'[40]Sch C'!D179</f>
        <v>0</v>
      </c>
      <c r="D173" s="480">
        <f>'[40]Sch C'!F179</f>
        <v>0</v>
      </c>
      <c r="E173" s="480">
        <f>+'[40]Sch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'[40]Sch C'!D180</f>
        <v>0</v>
      </c>
      <c r="D174" s="480">
        <f>'[40]Sch C'!F180</f>
        <v>0</v>
      </c>
      <c r="E174" s="480">
        <f>+'[40]Sch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'[40]Sch C'!D181</f>
        <v>0</v>
      </c>
      <c r="D175" s="480">
        <f>'[40]Sch C'!F181</f>
        <v>0</v>
      </c>
      <c r="E175" s="480">
        <f>+'[40]Sch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'[40]Sch C'!D182</f>
        <v>0</v>
      </c>
      <c r="D176" s="480">
        <f>'[40]Sch C'!F182</f>
        <v>0</v>
      </c>
      <c r="E176" s="480">
        <f>+'[40]Sch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'[40]Sch C'!D183</f>
        <v>0</v>
      </c>
      <c r="D177" s="480">
        <f>'[40]Sch C'!F183</f>
        <v>0</v>
      </c>
      <c r="E177" s="480">
        <f>+'[40]Sch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'[40]Sch C'!D184</f>
        <v>0</v>
      </c>
      <c r="D178" s="480">
        <f>'[40]Sch C'!F184</f>
        <v>0</v>
      </c>
      <c r="E178" s="480">
        <f>+'[40]Sch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'[40]Sch C'!D185</f>
        <v>0</v>
      </c>
      <c r="D179" s="480">
        <f>'[40]Sch C'!F185</f>
        <v>0</v>
      </c>
      <c r="E179" s="480">
        <f>+'[40]Sch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'[40]Sch C'!D186</f>
        <v>0</v>
      </c>
      <c r="D180" s="480">
        <f>'[40]Sch C'!F186</f>
        <v>0</v>
      </c>
      <c r="E180" s="480">
        <f>+'[40]Sch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'[40]Sch C'!D187</f>
        <v>0</v>
      </c>
      <c r="D181" s="480">
        <f>'[40]Sch C'!F187</f>
        <v>0</v>
      </c>
      <c r="E181" s="480">
        <f>+'[40]Sch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'[40]Sch C'!D188</f>
        <v>0</v>
      </c>
      <c r="D182" s="480">
        <f>'[40]Sch C'!F188</f>
        <v>0</v>
      </c>
      <c r="E182" s="480">
        <f>+'[40]Sch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'[40]Sch C'!D189</f>
        <v>0</v>
      </c>
      <c r="D183" s="480">
        <f>'[40]Sch C'!F189</f>
        <v>0</v>
      </c>
      <c r="E183" s="480">
        <f>+'[40]Sch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'[40]Sch C'!D190</f>
        <v>0</v>
      </c>
      <c r="D184" s="480">
        <f>'[40]Sch C'!F190</f>
        <v>0</v>
      </c>
      <c r="E184" s="480">
        <f>+'[40]Sch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'[40]Sch C'!D191</f>
        <v>0</v>
      </c>
      <c r="D185" s="480">
        <f>'[40]Sch C'!F191</f>
        <v>0</v>
      </c>
      <c r="E185" s="480">
        <f>+'[40]Sch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'[40]Sch C'!D192</f>
        <v>0</v>
      </c>
      <c r="D186" s="480">
        <f>'[40]Sch C'!F192</f>
        <v>0</v>
      </c>
      <c r="E186" s="480">
        <f>+'[40]Sch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'[40]Sch C'!D193</f>
        <v>0</v>
      </c>
      <c r="D187" s="480">
        <f>'[40]Sch C'!F193</f>
        <v>0</v>
      </c>
      <c r="E187" s="480">
        <f>+'[40]Sch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'[40]Sch C'!D194</f>
        <v>90056</v>
      </c>
      <c r="D188" s="480">
        <f>'[40]Sch C'!F194</f>
        <v>0</v>
      </c>
      <c r="E188" s="480">
        <f>+'[40]Sch C'!H194</f>
        <v>0</v>
      </c>
      <c r="F188" s="166">
        <f t="shared" si="58"/>
        <v>90056</v>
      </c>
      <c r="G188" s="626"/>
      <c r="H188" s="166"/>
      <c r="I188" s="166">
        <f t="shared" si="59"/>
        <v>90056</v>
      </c>
      <c r="J188" s="167">
        <f t="shared" si="60"/>
        <v>2.0906508977940632E-2</v>
      </c>
      <c r="K188" s="458"/>
      <c r="L188" s="213"/>
      <c r="M188" s="208"/>
      <c r="O188" s="329">
        <f t="shared" si="61"/>
        <v>4.4895558103594393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'[40]Sch C'!D195</f>
        <v>46462</v>
      </c>
      <c r="D189" s="480">
        <f>'[40]Sch C'!F195</f>
        <v>0</v>
      </c>
      <c r="E189" s="480">
        <f>+'[40]Sch C'!H195</f>
        <v>0</v>
      </c>
      <c r="F189" s="166">
        <f t="shared" si="58"/>
        <v>46462</v>
      </c>
      <c r="G189" s="626"/>
      <c r="H189" s="166"/>
      <c r="I189" s="166">
        <f t="shared" si="59"/>
        <v>46462</v>
      </c>
      <c r="J189" s="167">
        <f t="shared" si="60"/>
        <v>1.0786157725560516E-2</v>
      </c>
      <c r="K189" s="458"/>
      <c r="L189" s="213"/>
      <c r="M189" s="208"/>
      <c r="O189" s="329">
        <f t="shared" si="61"/>
        <v>2.3162670123136748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'[40]Sch C'!D196</f>
        <v>0</v>
      </c>
      <c r="D190" s="480">
        <f>'[40]Sch C'!F196</f>
        <v>0</v>
      </c>
      <c r="E190" s="480">
        <f>+'[40]Sch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'[40]Sch C'!D197</f>
        <v>84562</v>
      </c>
      <c r="D191" s="480">
        <f>'[40]Sch C'!F197</f>
        <v>0</v>
      </c>
      <c r="E191" s="480">
        <f>+'[40]Sch C'!H197</f>
        <v>0</v>
      </c>
      <c r="F191" s="166">
        <f t="shared" si="58"/>
        <v>84562</v>
      </c>
      <c r="G191" s="626"/>
      <c r="H191" s="166"/>
      <c r="I191" s="166">
        <f t="shared" si="59"/>
        <v>84562</v>
      </c>
      <c r="J191" s="167">
        <f t="shared" si="60"/>
        <v>1.9631076354630628E-2</v>
      </c>
      <c r="K191" s="458"/>
      <c r="L191" s="213"/>
      <c r="M191" s="208"/>
      <c r="O191" s="329">
        <f t="shared" si="61"/>
        <v>4.2156637918141486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'[40]Sch C'!D198</f>
        <v>16384</v>
      </c>
      <c r="D192" s="480">
        <f>'[40]Sch C'!F198</f>
        <v>0</v>
      </c>
      <c r="E192" s="480">
        <f>+'[40]Sch C'!H198</f>
        <v>0</v>
      </c>
      <c r="F192" s="166">
        <f t="shared" si="58"/>
        <v>16384</v>
      </c>
      <c r="G192" s="626"/>
      <c r="H192" s="166"/>
      <c r="I192" s="166">
        <f t="shared" si="59"/>
        <v>16384</v>
      </c>
      <c r="J192" s="167">
        <f t="shared" si="60"/>
        <v>3.8035471605953998E-3</v>
      </c>
      <c r="K192" s="458"/>
      <c r="L192" s="213"/>
      <c r="M192" s="208"/>
      <c r="O192" s="329">
        <f t="shared" si="61"/>
        <v>0.81679046811904876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'[40]Sch C'!D199</f>
        <v>0</v>
      </c>
      <c r="D193" s="480">
        <f>'[40]Sch C'!F199</f>
        <v>0</v>
      </c>
      <c r="E193" s="480">
        <f>+'[40]Sch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'[40]Sch C'!D200</f>
        <v>0</v>
      </c>
      <c r="D194" s="480">
        <f>'[40]Sch C'!F200</f>
        <v>0</v>
      </c>
      <c r="E194" s="480">
        <f>+'[40]Sch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'[40]Sch C'!D201</f>
        <v>0</v>
      </c>
      <c r="D195" s="480">
        <f>'[40]Sch C'!F201</f>
        <v>0</v>
      </c>
      <c r="E195" s="480">
        <f>+'[40]Sch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'[40]Sch C'!D202</f>
        <v>0</v>
      </c>
      <c r="D196" s="480">
        <f>'[40]Sch C'!F202</f>
        <v>0</v>
      </c>
      <c r="E196" s="480">
        <f>+'[40]Sch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'[40]Sch C'!D203</f>
        <v>0</v>
      </c>
      <c r="D197" s="480">
        <f>'[40]Sch C'!F203</f>
        <v>0</v>
      </c>
      <c r="E197" s="480">
        <f>+'[40]Sch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'[40]Sch C'!D204</f>
        <v>0</v>
      </c>
      <c r="D198" s="480">
        <f>'[40]Sch C'!F204</f>
        <v>0</v>
      </c>
      <c r="E198" s="480">
        <f>+'[40]Sch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'[40]Sch C'!D205</f>
        <v>68316</v>
      </c>
      <c r="D199" s="480">
        <f>'[40]Sch C'!F205</f>
        <v>0</v>
      </c>
      <c r="E199" s="480">
        <f>+'[40]Sch C'!H205</f>
        <v>0</v>
      </c>
      <c r="F199" s="166">
        <f t="shared" si="58"/>
        <v>68316</v>
      </c>
      <c r="G199" s="626"/>
      <c r="H199" s="166"/>
      <c r="I199" s="166">
        <f t="shared" si="59"/>
        <v>68316</v>
      </c>
      <c r="J199" s="167">
        <f t="shared" si="60"/>
        <v>1.5859565907179893E-2</v>
      </c>
      <c r="K199" s="458"/>
      <c r="L199" s="213"/>
      <c r="M199" s="208"/>
      <c r="O199" s="329">
        <f t="shared" si="61"/>
        <v>3.4057530285657309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'[40]Sch C'!D206</f>
        <v>668</v>
      </c>
      <c r="D200" s="480">
        <f>'[40]Sch C'!F206</f>
        <v>0</v>
      </c>
      <c r="E200" s="480">
        <f>+'[40]Sch C'!H206</f>
        <v>0</v>
      </c>
      <c r="F200" s="166">
        <f t="shared" si="58"/>
        <v>668</v>
      </c>
      <c r="G200" s="626"/>
      <c r="H200" s="166"/>
      <c r="I200" s="166">
        <f t="shared" si="59"/>
        <v>668</v>
      </c>
      <c r="J200" s="167">
        <f t="shared" si="60"/>
        <v>1.5507626362779096E-4</v>
      </c>
      <c r="K200" s="458"/>
      <c r="L200" s="213"/>
      <c r="M200" s="208"/>
      <c r="O200" s="329">
        <f t="shared" si="61"/>
        <v>3.3301759808564736E-2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'[40]Sch C'!D207</f>
        <v>0</v>
      </c>
      <c r="D201" s="480">
        <f>'[40]Sch C'!F207</f>
        <v>0</v>
      </c>
      <c r="E201" s="480">
        <f>+'[40]Sch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306448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306448</v>
      </c>
      <c r="G202" s="166">
        <f t="shared" si="63"/>
        <v>0</v>
      </c>
      <c r="H202" s="166">
        <f t="shared" si="63"/>
        <v>0</v>
      </c>
      <c r="I202" s="166">
        <f t="shared" si="63"/>
        <v>306448</v>
      </c>
      <c r="J202" s="167">
        <f>IF($I$213=0,0,I202/$I$213)</f>
        <v>7.1141932389534854E-2</v>
      </c>
      <c r="K202" s="458"/>
      <c r="L202" s="163"/>
      <c r="M202" s="163"/>
      <c r="O202" s="329">
        <f>I202/I$233</f>
        <v>15.277331870980607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'[40]Sch C'!D211</f>
        <v>87194</v>
      </c>
      <c r="D205" s="480">
        <f>'[40]Sch C'!F211</f>
        <v>0</v>
      </c>
      <c r="E205" s="480">
        <f>+'[40]Sch C'!H211</f>
        <v>0</v>
      </c>
      <c r="F205" s="166">
        <f t="shared" ref="F205:F210" si="64">C205+D205+E205</f>
        <v>87194</v>
      </c>
      <c r="G205" s="626"/>
      <c r="H205" s="166"/>
      <c r="I205" s="166">
        <f t="shared" ref="I205:I210" si="65">F205+G205+H205</f>
        <v>87194</v>
      </c>
      <c r="J205" s="167">
        <f t="shared" ref="J205:J211" si="66">IF($I$213=0,0,I205/$I$213)</f>
        <v>2.0242095405331745E-2</v>
      </c>
      <c r="K205" s="458"/>
      <c r="L205" s="176">
        <v>4755</v>
      </c>
      <c r="M205" s="176">
        <v>4958</v>
      </c>
      <c r="O205" s="329">
        <f t="shared" ref="O205:O210" si="67">I205/I$233</f>
        <v>4.3468767136946012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'[40]Sch C'!D212</f>
        <v>6785</v>
      </c>
      <c r="D206" s="480">
        <f>'[40]Sch C'!F212</f>
        <v>7173</v>
      </c>
      <c r="E206" s="480">
        <f>+'[40]Sch C'!H212</f>
        <v>0</v>
      </c>
      <c r="F206" s="166">
        <f t="shared" si="64"/>
        <v>13958</v>
      </c>
      <c r="G206" s="626"/>
      <c r="H206" s="166"/>
      <c r="I206" s="166">
        <f t="shared" si="65"/>
        <v>13958</v>
      </c>
      <c r="J206" s="167">
        <f t="shared" si="66"/>
        <v>3.2403510295160275E-3</v>
      </c>
      <c r="K206" s="458"/>
      <c r="L206" s="163"/>
      <c r="M206" s="163"/>
      <c r="O206" s="329">
        <f t="shared" si="67"/>
        <v>0.69584725061069841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'[40]Sch C'!D213</f>
        <v>11853</v>
      </c>
      <c r="D207" s="480">
        <f>'[40]Sch C'!F213</f>
        <v>0</v>
      </c>
      <c r="E207" s="480">
        <f>+'[40]Sch C'!H213</f>
        <v>0</v>
      </c>
      <c r="F207" s="166">
        <f t="shared" si="64"/>
        <v>11853</v>
      </c>
      <c r="G207" s="626"/>
      <c r="H207" s="166"/>
      <c r="I207" s="166">
        <f t="shared" si="65"/>
        <v>11853</v>
      </c>
      <c r="J207" s="167">
        <f t="shared" si="66"/>
        <v>2.7516750790122849E-3</v>
      </c>
      <c r="K207" s="458"/>
      <c r="O207" s="329">
        <f t="shared" si="67"/>
        <v>0.59090682486664337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'[40]Sch C'!D214</f>
        <v>0</v>
      </c>
      <c r="D208" s="480">
        <f>'[40]Sch C'!F214</f>
        <v>0</v>
      </c>
      <c r="E208" s="480">
        <f>+'[40]Sch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'[40]Sch C'!D215</f>
        <v>0</v>
      </c>
      <c r="D209" s="480">
        <f>'[40]Sch C'!F215</f>
        <v>0</v>
      </c>
      <c r="E209" s="480">
        <f>+'[40]Sch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'[40]Sch C'!D216</f>
        <v>4006</v>
      </c>
      <c r="D210" s="480">
        <f>'[40]Sch C'!F216</f>
        <v>0</v>
      </c>
      <c r="E210" s="480">
        <f>+'[40]Sch C'!H216</f>
        <v>0</v>
      </c>
      <c r="F210" s="166">
        <f t="shared" si="64"/>
        <v>4006</v>
      </c>
      <c r="G210" s="626"/>
      <c r="H210" s="166"/>
      <c r="I210" s="166">
        <f t="shared" si="65"/>
        <v>4006</v>
      </c>
      <c r="J210" s="167">
        <f t="shared" si="66"/>
        <v>9.2999328157624339E-4</v>
      </c>
      <c r="K210" s="458"/>
      <c r="L210" s="163"/>
      <c r="M210" s="163"/>
      <c r="O210" s="329">
        <f t="shared" si="67"/>
        <v>0.19971085298369809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109838</v>
      </c>
      <c r="D211" s="480">
        <f t="shared" si="68"/>
        <v>7173</v>
      </c>
      <c r="E211" s="480">
        <f t="shared" si="68"/>
        <v>0</v>
      </c>
      <c r="F211" s="166">
        <f t="shared" ref="F211:I211" si="69">SUM(F205:F210)</f>
        <v>117011</v>
      </c>
      <c r="G211" s="166">
        <f t="shared" si="69"/>
        <v>0</v>
      </c>
      <c r="H211" s="166">
        <f t="shared" si="69"/>
        <v>0</v>
      </c>
      <c r="I211" s="166">
        <f t="shared" si="69"/>
        <v>117011</v>
      </c>
      <c r="J211" s="167">
        <f t="shared" si="66"/>
        <v>2.71641147954363E-2</v>
      </c>
      <c r="K211" s="458"/>
      <c r="L211" s="163"/>
      <c r="M211" s="163"/>
      <c r="O211" s="329">
        <f>I211/I$233</f>
        <v>5.8333416421556405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5491056</v>
      </c>
      <c r="D213" s="480">
        <f t="shared" si="70"/>
        <v>-120316</v>
      </c>
      <c r="E213" s="480">
        <f t="shared" si="70"/>
        <v>-1052247</v>
      </c>
      <c r="F213" s="166">
        <f t="shared" ref="F213:I213" si="71">SUM(F30:F211)/2</f>
        <v>4318493</v>
      </c>
      <c r="G213" s="166">
        <f t="shared" si="71"/>
        <v>-10935</v>
      </c>
      <c r="H213" s="166">
        <f t="shared" si="71"/>
        <v>0</v>
      </c>
      <c r="I213" s="166">
        <f t="shared" si="71"/>
        <v>4307558</v>
      </c>
      <c r="J213" s="167">
        <f>IF($I$213=0,0,I213/$I$213)</f>
        <v>1</v>
      </c>
      <c r="K213" s="458"/>
      <c r="L213" s="176">
        <f>SUM(L30:L205)</f>
        <v>90613</v>
      </c>
      <c r="M213" s="176">
        <f>SUM(M30:M205)</f>
        <v>93065</v>
      </c>
      <c r="O213" s="329">
        <f>I213/I$233</f>
        <v>214.74440400817588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'[40]Sch C'!D221</f>
        <v>5491056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409802</v>
      </c>
      <c r="D220" s="480">
        <f t="shared" si="72"/>
        <v>701676</v>
      </c>
      <c r="E220" s="480">
        <f t="shared" si="72"/>
        <v>1052247</v>
      </c>
      <c r="F220" s="166">
        <f t="shared" ref="F220:I220" si="73">F26-F213</f>
        <v>2163725</v>
      </c>
      <c r="G220" s="166">
        <f t="shared" si="73"/>
        <v>10935</v>
      </c>
      <c r="H220" s="166">
        <f t="shared" si="73"/>
        <v>0</v>
      </c>
      <c r="I220" s="166">
        <f t="shared" si="73"/>
        <v>2174660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'[40]Sch D'!C9</f>
        <v>14508</v>
      </c>
      <c r="D224" s="480"/>
      <c r="E224" s="480"/>
      <c r="F224" s="224">
        <f>C224+D224+E224</f>
        <v>14508</v>
      </c>
      <c r="G224" s="627"/>
      <c r="H224" s="223"/>
      <c r="I224" s="224">
        <f>F224+G224+H224</f>
        <v>14508</v>
      </c>
      <c r="J224" s="167">
        <f t="shared" ref="J224:J233" si="74">IF($I$233=0,0,I224/$I$233)</f>
        <v>0.7232663642255347</v>
      </c>
      <c r="K224" s="458"/>
      <c r="L224" s="163"/>
      <c r="M224" s="163"/>
    </row>
    <row r="225" spans="1:13">
      <c r="A225" s="158"/>
      <c r="B225" s="165" t="s">
        <v>201</v>
      </c>
      <c r="C225" s="504">
        <f>'[40]Sch D'!D9</f>
        <v>3898</v>
      </c>
      <c r="D225" s="480"/>
      <c r="E225" s="480"/>
      <c r="F225" s="224">
        <f t="shared" ref="F225:F232" si="75">C225+D225+E225</f>
        <v>3898</v>
      </c>
      <c r="G225" s="627"/>
      <c r="H225" s="223"/>
      <c r="I225" s="224">
        <f t="shared" ref="I225:I232" si="76">F225+G225+H225</f>
        <v>3898</v>
      </c>
      <c r="J225" s="167">
        <f t="shared" si="74"/>
        <v>0.19432673612842116</v>
      </c>
      <c r="K225" s="458"/>
      <c r="L225" s="163"/>
      <c r="M225" s="163"/>
    </row>
    <row r="226" spans="1:13">
      <c r="A226" s="158"/>
      <c r="B226" s="165" t="s">
        <v>64</v>
      </c>
      <c r="C226" s="504">
        <f>'[40]Sch D'!E9</f>
        <v>909</v>
      </c>
      <c r="D226" s="480"/>
      <c r="E226" s="480"/>
      <c r="F226" s="224">
        <f t="shared" si="75"/>
        <v>909</v>
      </c>
      <c r="G226" s="627"/>
      <c r="H226" s="223"/>
      <c r="I226" s="224">
        <f t="shared" si="76"/>
        <v>909</v>
      </c>
      <c r="J226" s="167">
        <f t="shared" si="74"/>
        <v>4.5316316865247522E-2</v>
      </c>
      <c r="K226" s="458"/>
      <c r="L226" s="163"/>
      <c r="M226" s="163"/>
    </row>
    <row r="227" spans="1:13">
      <c r="A227" s="158"/>
      <c r="B227" s="194" t="s">
        <v>315</v>
      </c>
      <c r="C227" s="504">
        <f>'[40]Sch D'!F9</f>
        <v>15</v>
      </c>
      <c r="D227" s="480"/>
      <c r="E227" s="480"/>
      <c r="F227" s="224">
        <f t="shared" si="75"/>
        <v>15</v>
      </c>
      <c r="G227" s="627"/>
      <c r="H227" s="223"/>
      <c r="I227" s="224">
        <f t="shared" si="76"/>
        <v>15</v>
      </c>
      <c r="J227" s="167">
        <f t="shared" si="74"/>
        <v>7.4779400767735179E-4</v>
      </c>
      <c r="K227" s="458"/>
      <c r="L227" s="163"/>
      <c r="M227" s="163"/>
    </row>
    <row r="228" spans="1:13">
      <c r="A228" s="158"/>
      <c r="B228" s="165" t="s">
        <v>65</v>
      </c>
      <c r="C228" s="504">
        <f>'[40]Sch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'[40]Sch D'!H9</f>
        <v>349</v>
      </c>
      <c r="D229" s="480"/>
      <c r="E229" s="480"/>
      <c r="F229" s="224">
        <f t="shared" si="75"/>
        <v>349</v>
      </c>
      <c r="G229" s="627"/>
      <c r="H229" s="223"/>
      <c r="I229" s="224">
        <f t="shared" si="76"/>
        <v>349</v>
      </c>
      <c r="J229" s="167">
        <f t="shared" si="74"/>
        <v>1.7398673911959719E-2</v>
      </c>
      <c r="K229" s="458"/>
      <c r="L229" s="163"/>
      <c r="M229" s="163"/>
    </row>
    <row r="230" spans="1:13">
      <c r="A230" s="158"/>
      <c r="B230" s="165" t="s">
        <v>219</v>
      </c>
      <c r="C230" s="504">
        <f>'[40]Sch D'!I9</f>
        <v>380</v>
      </c>
      <c r="D230" s="480"/>
      <c r="E230" s="480"/>
      <c r="F230" s="224">
        <f t="shared" si="75"/>
        <v>380</v>
      </c>
      <c r="G230" s="627"/>
      <c r="H230" s="223"/>
      <c r="I230" s="224">
        <f t="shared" si="76"/>
        <v>380</v>
      </c>
      <c r="J230" s="167">
        <f t="shared" si="74"/>
        <v>1.8944114861159579E-2</v>
      </c>
      <c r="K230" s="458"/>
      <c r="L230" s="163"/>
      <c r="M230" s="163"/>
    </row>
    <row r="231" spans="1:13">
      <c r="A231" s="158"/>
      <c r="B231" s="165" t="s">
        <v>218</v>
      </c>
      <c r="C231" s="504">
        <f>'[40]Sch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'[40]Sch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20059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20059</v>
      </c>
      <c r="G233" s="226">
        <f t="shared" si="78"/>
        <v>0</v>
      </c>
      <c r="H233" s="226">
        <f t="shared" si="78"/>
        <v>0</v>
      </c>
      <c r="I233" s="226">
        <f t="shared" si="78"/>
        <v>20059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'[40]Sch D'!N22</f>
        <v>61</v>
      </c>
      <c r="D236" s="480"/>
      <c r="E236" s="480"/>
      <c r="F236" s="224">
        <f>C236+E236</f>
        <v>61</v>
      </c>
      <c r="G236" s="627"/>
      <c r="H236" s="224"/>
      <c r="I236" s="224">
        <f>F236+G236+H236</f>
        <v>61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'[40]Sch D'!N24</f>
        <v>61</v>
      </c>
      <c r="D237" s="480"/>
      <c r="E237" s="480"/>
      <c r="F237" s="224">
        <f>C237+E237</f>
        <v>61</v>
      </c>
      <c r="G237" s="627"/>
      <c r="H237" s="441"/>
      <c r="I237" s="224">
        <f>F237+G237+H237</f>
        <v>61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'[40]Sch D'!N28</f>
        <v>22265</v>
      </c>
      <c r="D240" s="427"/>
      <c r="E240" s="427"/>
      <c r="F240" s="223">
        <f>F236*F238</f>
        <v>22265</v>
      </c>
      <c r="G240"/>
      <c r="H240" s="228"/>
      <c r="I240" s="223">
        <f>I236*I238</f>
        <v>22265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'[40]Sch D'!N30</f>
        <v>0.90092072759937125</v>
      </c>
      <c r="D241" s="228"/>
      <c r="E241" s="228"/>
      <c r="F241" s="232">
        <f>F233/F240</f>
        <v>0.90092072759937125</v>
      </c>
      <c r="G241"/>
      <c r="H241" s="233"/>
      <c r="I241" s="232">
        <f>I233/I240</f>
        <v>0.90092072759937125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'[40]Sch D'!N32</f>
        <v>0.8266786436110487</v>
      </c>
      <c r="D242" s="228"/>
      <c r="E242" s="228"/>
      <c r="F242" s="232">
        <f>(F224+F225)/F240</f>
        <v>0.8266786436110487</v>
      </c>
      <c r="G242"/>
      <c r="H242" s="233"/>
      <c r="I242" s="232">
        <f>(I224+I225)/I240</f>
        <v>0.8266786436110487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'[40]Sch D'!N34</f>
        <v>0.9175931003539558</v>
      </c>
      <c r="D243" s="228"/>
      <c r="E243" s="228"/>
      <c r="F243" s="232">
        <f>(F242/F241)</f>
        <v>0.9175931003539558</v>
      </c>
      <c r="G243"/>
      <c r="H243" s="233"/>
      <c r="I243" s="232">
        <f>(I242/I241)</f>
        <v>0.9175931003539558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'[40]Sch B'!C90</f>
        <v>188.43697478991598</v>
      </c>
      <c r="K246" s="460"/>
    </row>
    <row r="247" spans="1:13">
      <c r="H247" s="140" t="s">
        <v>322</v>
      </c>
      <c r="I247" s="480">
        <f>'[40]Sch B'!E90</f>
        <v>250.05494505494505</v>
      </c>
      <c r="K247" s="460"/>
    </row>
    <row r="248" spans="1:13">
      <c r="H248" s="140" t="s">
        <v>323</v>
      </c>
      <c r="I248" s="480">
        <f>'[40]Sch B'!G90</f>
        <v>45.680555555555557</v>
      </c>
      <c r="K248" s="460"/>
    </row>
    <row r="249" spans="1:13">
      <c r="H249" s="140" t="s">
        <v>324</v>
      </c>
      <c r="I249" s="480">
        <f>'[40]Sch B'!I90</f>
        <v>336.86567164179104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">
    <tabColor rgb="FFE28CAB"/>
    <pageSetUpPr fitToPage="1"/>
  </sheetPr>
  <dimension ref="A1:Q277"/>
  <sheetViews>
    <sheetView showGridLines="0" topLeftCell="B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390" t="s">
        <v>417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533</v>
      </c>
      <c r="D2" s="426"/>
      <c r="E2" s="142"/>
    </row>
    <row r="3" spans="1:16">
      <c r="A3" s="143"/>
      <c r="B3" s="138" t="s">
        <v>71</v>
      </c>
      <c r="C3" s="557">
        <f>'[41]Sch A Pg 1'!B39</f>
        <v>42917</v>
      </c>
      <c r="D3" s="620"/>
      <c r="E3" s="142"/>
      <c r="F3" s="144"/>
      <c r="G3" s="144"/>
      <c r="H3" s="410"/>
    </row>
    <row r="4" spans="1:16">
      <c r="A4" s="143"/>
      <c r="B4" s="145" t="s">
        <v>72</v>
      </c>
      <c r="C4" s="557">
        <f>'[41]Sch A Pg 1'!G39</f>
        <v>43281</v>
      </c>
      <c r="D4" s="620"/>
      <c r="E4" s="142"/>
      <c r="F4" s="146"/>
      <c r="G4" s="146"/>
      <c r="H4" s="410"/>
      <c r="I4" s="147"/>
    </row>
    <row r="5" spans="1:16">
      <c r="A5" s="143"/>
      <c r="B5" s="145"/>
      <c r="C5" s="148"/>
      <c r="D5" s="148"/>
      <c r="E5" s="142"/>
      <c r="H5" s="410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'[41]Sch B'!E10</f>
        <v>2034310.52</v>
      </c>
      <c r="D12" s="480">
        <f>'[41]Sch B'!G10</f>
        <v>0</v>
      </c>
      <c r="E12" s="480"/>
      <c r="F12" s="166">
        <f>C12+D12+E12</f>
        <v>2034310.52</v>
      </c>
      <c r="G12" s="626"/>
      <c r="H12" s="166"/>
      <c r="I12" s="166">
        <f>F12+G12+H12</f>
        <v>2034310.52</v>
      </c>
      <c r="J12" s="167">
        <f>IF($I$26=0,0,I12/$I$26)</f>
        <v>0.6634021934161709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'[41]Sch B'!E12</f>
        <v>1026987.31</v>
      </c>
      <c r="D13" s="480">
        <f>'[41]Sch B'!G12</f>
        <v>0</v>
      </c>
      <c r="E13" s="480"/>
      <c r="F13" s="166">
        <f t="shared" ref="F13:F25" si="0">C13+D13+E13</f>
        <v>1026987.31</v>
      </c>
      <c r="G13" s="626">
        <v>-650288</v>
      </c>
      <c r="H13" s="166"/>
      <c r="I13" s="166">
        <f t="shared" ref="I13:I25" si="1">F13+G13+H13</f>
        <v>376699.31000000006</v>
      </c>
      <c r="J13" s="167">
        <f>IF($I$26=0,0,I13/$I$26)</f>
        <v>0.12284415090787525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'[41]Sch B'!E13</f>
        <v>-722.62000000000035</v>
      </c>
      <c r="D14" s="480">
        <f>'[41]Sch B'!G13</f>
        <v>0</v>
      </c>
      <c r="E14" s="480"/>
      <c r="F14" s="166">
        <f t="shared" si="0"/>
        <v>-722.62000000000035</v>
      </c>
      <c r="G14" s="626"/>
      <c r="H14" s="166"/>
      <c r="I14" s="166">
        <f t="shared" si="1"/>
        <v>-722.62000000000035</v>
      </c>
      <c r="J14" s="167">
        <f>IF($I$26=0,0,I14/$I$26)</f>
        <v>-2.3565118908513221E-4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'[41]Sch B'!E14</f>
        <v>26519.37</v>
      </c>
      <c r="D15" s="480">
        <f>'[41]Sch B'!G14</f>
        <v>0</v>
      </c>
      <c r="E15" s="480"/>
      <c r="F15" s="166">
        <f t="shared" si="0"/>
        <v>26519.37</v>
      </c>
      <c r="G15" s="626"/>
      <c r="H15" s="166"/>
      <c r="I15" s="166">
        <f t="shared" si="1"/>
        <v>26519.37</v>
      </c>
      <c r="J15" s="167">
        <f>IF($I$26=0,0,I15/$I$26)</f>
        <v>8.6481429718089451E-3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'[41]Sch B'!E15</f>
        <v>3087094.58</v>
      </c>
      <c r="D16" s="480">
        <f>'[41]Sch B'!G15</f>
        <v>0</v>
      </c>
      <c r="E16" s="480"/>
      <c r="F16" s="166">
        <f t="shared" si="0"/>
        <v>3087094.58</v>
      </c>
      <c r="G16" s="626"/>
      <c r="H16" s="166"/>
      <c r="I16" s="166">
        <f>SUM(I12:I15)</f>
        <v>2436806.58</v>
      </c>
      <c r="J16" s="167">
        <f t="shared" ref="J16:J26" si="2">IF($I$26=0,0,I16/$I$26)</f>
        <v>0.79465883610676991</v>
      </c>
      <c r="K16" s="458"/>
      <c r="L16" s="333" t="s">
        <v>325</v>
      </c>
      <c r="M16" s="334">
        <f>I26</f>
        <v>3066481.4499999997</v>
      </c>
      <c r="O16" s="324">
        <f>IFERROR(I16/I224,0)</f>
        <v>212.26538153310105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'[41]Sch B'!E20</f>
        <v>0</v>
      </c>
      <c r="D17" s="480">
        <f>'[41]Sch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2505082.1899999995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'[41]Sch B'!E26</f>
        <v>201997.78</v>
      </c>
      <c r="D18" s="480">
        <f>'[41]Sch B'!G26</f>
        <v>0</v>
      </c>
      <c r="E18" s="480"/>
      <c r="F18" s="166">
        <f t="shared" si="0"/>
        <v>201997.78</v>
      </c>
      <c r="G18" s="626"/>
      <c r="H18" s="166"/>
      <c r="I18" s="166">
        <f t="shared" si="1"/>
        <v>201997.78</v>
      </c>
      <c r="J18" s="167">
        <f t="shared" si="2"/>
        <v>6.5872819807861555E-2</v>
      </c>
      <c r="K18" s="458"/>
      <c r="L18" s="335" t="s">
        <v>327</v>
      </c>
      <c r="M18" s="336">
        <f>I233</f>
        <v>13898</v>
      </c>
      <c r="O18" s="324">
        <f t="shared" si="3"/>
        <v>776.91453846153843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'[41]Sch B'!E32</f>
        <v>45370.78</v>
      </c>
      <c r="D19" s="480">
        <f>'[41]Sch B'!G32</f>
        <v>0</v>
      </c>
      <c r="E19" s="480"/>
      <c r="F19" s="166">
        <f t="shared" si="0"/>
        <v>45370.78</v>
      </c>
      <c r="G19" s="626"/>
      <c r="H19" s="166"/>
      <c r="I19" s="166">
        <f t="shared" si="1"/>
        <v>45370.78</v>
      </c>
      <c r="J19" s="170">
        <f t="shared" si="2"/>
        <v>1.4795713178046456E-2</v>
      </c>
      <c r="K19" s="464"/>
      <c r="L19" s="335" t="s">
        <v>328</v>
      </c>
      <c r="M19" s="336">
        <f>I236</f>
        <v>52</v>
      </c>
      <c r="O19" s="324">
        <f t="shared" si="3"/>
        <v>362.96623999999997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'[41]Sch B'!E37</f>
        <v>0</v>
      </c>
      <c r="D20" s="480">
        <f>'[41]Sch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18980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'[41]Sch B'!E42</f>
        <v>240726</v>
      </c>
      <c r="D21" s="480">
        <f>'[41]Sch B'!G42</f>
        <v>0</v>
      </c>
      <c r="E21" s="480"/>
      <c r="F21" s="166">
        <f t="shared" si="0"/>
        <v>240726</v>
      </c>
      <c r="G21" s="626">
        <v>8190</v>
      </c>
      <c r="H21" s="166"/>
      <c r="I21" s="166">
        <f t="shared" si="1"/>
        <v>248916</v>
      </c>
      <c r="J21" s="167">
        <f t="shared" si="2"/>
        <v>8.1173163463943349E-2</v>
      </c>
      <c r="K21" s="458"/>
      <c r="L21" s="337"/>
      <c r="M21" s="336"/>
      <c r="O21" s="324">
        <f t="shared" si="3"/>
        <v>194.92247454972593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'[41]Sch B'!E47</f>
        <v>131889.54</v>
      </c>
      <c r="D22" s="480">
        <f>'[41]Sch B'!G47</f>
        <v>0</v>
      </c>
      <c r="E22" s="480"/>
      <c r="F22" s="166">
        <f t="shared" si="0"/>
        <v>131889.54</v>
      </c>
      <c r="G22" s="626"/>
      <c r="H22" s="166"/>
      <c r="I22" s="166">
        <f t="shared" si="1"/>
        <v>131889.54</v>
      </c>
      <c r="J22" s="167">
        <f t="shared" si="2"/>
        <v>4.3010056362806311E-2</v>
      </c>
      <c r="K22" s="458"/>
      <c r="L22" s="335" t="s">
        <v>148</v>
      </c>
      <c r="M22" s="336">
        <f>L213</f>
        <v>66743.39</v>
      </c>
      <c r="O22" s="324">
        <f t="shared" si="3"/>
        <v>174.4570634920635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'[41]Sch B'!E52</f>
        <v>0</v>
      </c>
      <c r="D23" s="480">
        <f>'[41]Sch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70744.720000000016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'[41]Sch B'!E57</f>
        <v>0</v>
      </c>
      <c r="D24" s="480">
        <f>'[41]Sch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'[41]Sch B'!E72</f>
        <v>10970.69</v>
      </c>
      <c r="D25" s="480">
        <f>'[41]Sch B'!G72</f>
        <v>-1279.92</v>
      </c>
      <c r="E25" s="480"/>
      <c r="F25" s="166">
        <f t="shared" si="0"/>
        <v>9690.77</v>
      </c>
      <c r="G25" s="626">
        <v>-8190</v>
      </c>
      <c r="H25" s="166"/>
      <c r="I25" s="166">
        <f t="shared" si="1"/>
        <v>1500.7700000000004</v>
      </c>
      <c r="J25" s="167">
        <f t="shared" si="2"/>
        <v>4.8941108057249153E-4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3718049.3699999996</v>
      </c>
      <c r="D26" s="480">
        <f t="shared" ref="D26:F26" si="4">SUM(D16:D25)</f>
        <v>-1279.92</v>
      </c>
      <c r="E26" s="480">
        <f t="shared" si="4"/>
        <v>0</v>
      </c>
      <c r="F26" s="166">
        <f t="shared" si="4"/>
        <v>3716769.4499999997</v>
      </c>
      <c r="G26" s="166">
        <f>SUM(G12:G25)</f>
        <v>-650288</v>
      </c>
      <c r="H26" s="166">
        <f>SUM(H12:H25)</f>
        <v>0</v>
      </c>
      <c r="I26" s="166">
        <f>SUM(I16:I25)</f>
        <v>3066481.4499999997</v>
      </c>
      <c r="J26" s="167">
        <f t="shared" si="2"/>
        <v>1</v>
      </c>
      <c r="K26" s="458"/>
      <c r="L26" s="163"/>
      <c r="M26" s="163"/>
      <c r="O26" s="324">
        <f>IFERROR(I26/I233,0)</f>
        <v>220.64192329831627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'[41]Sch C'!D10</f>
        <v>66107.73</v>
      </c>
      <c r="D30" s="480">
        <f>'[41]Sch C'!F10</f>
        <v>0</v>
      </c>
      <c r="E30" s="480">
        <f>+'[41]Sch C'!H10</f>
        <v>0</v>
      </c>
      <c r="F30" s="166">
        <f t="shared" ref="F30:F65" si="5">C30+D30+E30</f>
        <v>66107.73</v>
      </c>
      <c r="G30" s="626"/>
      <c r="H30" s="166"/>
      <c r="I30" s="166">
        <f t="shared" ref="I30:I65" si="6">F30+G30+H30</f>
        <v>66107.73</v>
      </c>
      <c r="J30" s="167">
        <f>IF($I$213=0,0,I30/$I$213)</f>
        <v>2.6389445529529716E-2</v>
      </c>
      <c r="K30" s="458"/>
      <c r="L30" s="176">
        <v>1894.02</v>
      </c>
      <c r="M30" s="176">
        <v>2076.9</v>
      </c>
      <c r="O30" s="324">
        <f>I30/I$233</f>
        <v>4.7566362066484382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'[41]Sch C'!D11</f>
        <v>0</v>
      </c>
      <c r="D31" s="480">
        <f>'[41]Sch C'!F11</f>
        <v>0</v>
      </c>
      <c r="E31" s="480">
        <f>+'[41]Sch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'[41]Sch C'!D12</f>
        <v>35269.279999999999</v>
      </c>
      <c r="D32" s="480">
        <f>'[41]Sch C'!F12</f>
        <v>0</v>
      </c>
      <c r="E32" s="480">
        <f>+'[41]Sch C'!H12</f>
        <v>0</v>
      </c>
      <c r="F32" s="166">
        <f t="shared" si="5"/>
        <v>35269.279999999999</v>
      </c>
      <c r="G32" s="626"/>
      <c r="H32" s="166"/>
      <c r="I32" s="166">
        <f t="shared" si="6"/>
        <v>35269.279999999999</v>
      </c>
      <c r="J32" s="167">
        <f t="shared" si="7"/>
        <v>1.4079090953898006E-2</v>
      </c>
      <c r="K32" s="458"/>
      <c r="L32" s="176">
        <v>1790.52</v>
      </c>
      <c r="M32" s="176">
        <v>1915.47</v>
      </c>
      <c r="O32" s="324">
        <f t="shared" si="8"/>
        <v>2.5377234134407827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'[41]Sch C'!D13</f>
        <v>271839.19</v>
      </c>
      <c r="D33" s="480">
        <f>'[41]Sch C'!F13</f>
        <v>-250392.09999999998</v>
      </c>
      <c r="E33" s="480">
        <f>+'[41]Sch C'!H13</f>
        <v>0</v>
      </c>
      <c r="F33" s="166">
        <f t="shared" si="5"/>
        <v>21447.090000000026</v>
      </c>
      <c r="G33" s="626"/>
      <c r="H33" s="166"/>
      <c r="I33" s="166">
        <f t="shared" si="6"/>
        <v>21447.090000000026</v>
      </c>
      <c r="J33" s="167">
        <f t="shared" si="7"/>
        <v>8.561431671030335E-3</v>
      </c>
      <c r="K33" s="458"/>
      <c r="L33" s="163"/>
      <c r="M33" s="163"/>
      <c r="O33" s="324">
        <f t="shared" si="8"/>
        <v>1.5431781551302364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'[41]Sch C'!D14</f>
        <v>0</v>
      </c>
      <c r="D34" s="480">
        <f>'[41]Sch C'!F14</f>
        <v>0</v>
      </c>
      <c r="E34" s="480">
        <f>+'[41]Sch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'[41]Sch C'!D15</f>
        <v>732075.24</v>
      </c>
      <c r="D35" s="480">
        <f>'[41]Sch C'!F15</f>
        <v>0</v>
      </c>
      <c r="E35" s="480">
        <f>+'[41]Sch C'!H15</f>
        <v>-591508</v>
      </c>
      <c r="F35" s="166">
        <f t="shared" si="5"/>
        <v>140567.24</v>
      </c>
      <c r="G35" s="626"/>
      <c r="H35" s="480">
        <v>-140567</v>
      </c>
      <c r="I35" s="166">
        <f t="shared" si="6"/>
        <v>0.23999999999068677</v>
      </c>
      <c r="J35" s="167">
        <f t="shared" si="7"/>
        <v>9.580523982356317E-8</v>
      </c>
      <c r="K35" s="458"/>
      <c r="L35" s="163"/>
      <c r="M35" s="163"/>
      <c r="O35" s="324">
        <f t="shared" si="8"/>
        <v>1.7268671750661015E-5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'[41]Sch C'!D16</f>
        <v>0</v>
      </c>
      <c r="D36" s="480">
        <f>'[41]Sch C'!F16</f>
        <v>0</v>
      </c>
      <c r="E36" s="480">
        <f>+'[41]Sch C'!H16</f>
        <v>0</v>
      </c>
      <c r="F36" s="166">
        <f t="shared" si="5"/>
        <v>0</v>
      </c>
      <c r="G36" s="626"/>
      <c r="H36" s="480">
        <v>140567</v>
      </c>
      <c r="I36" s="166">
        <f t="shared" si="6"/>
        <v>140567</v>
      </c>
      <c r="J36" s="167">
        <f t="shared" si="7"/>
        <v>5.6112729778339143E-2</v>
      </c>
      <c r="K36" s="458"/>
      <c r="L36" s="163"/>
      <c r="M36" s="163"/>
      <c r="O36" s="324">
        <f t="shared" si="8"/>
        <v>10.114189091955677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'[41]Sch C'!D17</f>
        <v>0</v>
      </c>
      <c r="D37" s="480">
        <f>'[41]Sch C'!F17</f>
        <v>0</v>
      </c>
      <c r="E37" s="480">
        <f>+'[41]Sch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'[41]Sch C'!D18</f>
        <v>12060.16</v>
      </c>
      <c r="D38" s="480">
        <f>'[41]Sch C'!F18</f>
        <v>0</v>
      </c>
      <c r="E38" s="480">
        <f>+'[41]Sch C'!H18</f>
        <v>0</v>
      </c>
      <c r="F38" s="166">
        <f t="shared" si="5"/>
        <v>12060.16</v>
      </c>
      <c r="G38" s="626"/>
      <c r="H38" s="166"/>
      <c r="I38" s="166">
        <f t="shared" si="6"/>
        <v>12060.16</v>
      </c>
      <c r="J38" s="167">
        <f t="shared" si="7"/>
        <v>4.8142771714807502E-3</v>
      </c>
      <c r="K38" s="458"/>
      <c r="L38" s="163"/>
      <c r="M38" s="163"/>
      <c r="O38" s="324">
        <f t="shared" si="8"/>
        <v>0.86776226795222333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'[41]Sch C'!D19</f>
        <v>14130.02</v>
      </c>
      <c r="D39" s="480">
        <f>'[41]Sch C'!F19</f>
        <v>0</v>
      </c>
      <c r="E39" s="480">
        <f>+'[41]Sch C'!H19</f>
        <v>0</v>
      </c>
      <c r="F39" s="166">
        <f t="shared" si="5"/>
        <v>14130.02</v>
      </c>
      <c r="G39" s="626"/>
      <c r="H39" s="166"/>
      <c r="I39" s="166">
        <f t="shared" si="6"/>
        <v>14130.02</v>
      </c>
      <c r="J39" s="167">
        <f t="shared" si="7"/>
        <v>5.6405414786011489E-3</v>
      </c>
      <c r="K39" s="458"/>
      <c r="L39" s="163"/>
      <c r="M39" s="163"/>
      <c r="O39" s="324">
        <f t="shared" si="8"/>
        <v>1.0166944884155995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'[41]Sch C'!D20</f>
        <v>3446.59</v>
      </c>
      <c r="D40" s="480">
        <f>'[41]Sch C'!F20</f>
        <v>0</v>
      </c>
      <c r="E40" s="480">
        <f>+'[41]Sch C'!H20</f>
        <v>0</v>
      </c>
      <c r="F40" s="166">
        <f t="shared" si="5"/>
        <v>3446.59</v>
      </c>
      <c r="G40" s="626">
        <v>1525</v>
      </c>
      <c r="H40" s="166"/>
      <c r="I40" s="166">
        <f t="shared" si="6"/>
        <v>4971.59</v>
      </c>
      <c r="J40" s="167">
        <f t="shared" si="7"/>
        <v>1.9846015511371311E-3</v>
      </c>
      <c r="K40" s="458"/>
      <c r="L40" s="163"/>
      <c r="M40" s="163"/>
      <c r="O40" s="324">
        <f t="shared" si="8"/>
        <v>0.35771981580083467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'[41]Sch C'!D21</f>
        <v>110</v>
      </c>
      <c r="D41" s="480">
        <f>'[41]Sch C'!F21</f>
        <v>0</v>
      </c>
      <c r="E41" s="480">
        <f>+'[41]Sch C'!H21</f>
        <v>0</v>
      </c>
      <c r="F41" s="166">
        <f t="shared" si="5"/>
        <v>110</v>
      </c>
      <c r="G41" s="626"/>
      <c r="H41" s="166"/>
      <c r="I41" s="166">
        <f t="shared" si="6"/>
        <v>110</v>
      </c>
      <c r="J41" s="167">
        <f t="shared" si="7"/>
        <v>4.3910734920837075E-5</v>
      </c>
      <c r="K41" s="458"/>
      <c r="L41" s="163"/>
      <c r="M41" s="163"/>
      <c r="O41" s="324">
        <f t="shared" si="8"/>
        <v>7.914807886026767E-3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'[41]Sch C'!D22</f>
        <v>0</v>
      </c>
      <c r="D42" s="480">
        <f>'[41]Sch C'!F22</f>
        <v>0</v>
      </c>
      <c r="E42" s="480">
        <f>+'[41]Sch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'[41]Sch C'!D23</f>
        <v>4996.49</v>
      </c>
      <c r="D43" s="480">
        <f>'[41]Sch C'!F23</f>
        <v>0</v>
      </c>
      <c r="E43" s="480">
        <f>+'[41]Sch C'!H23</f>
        <v>0</v>
      </c>
      <c r="F43" s="166">
        <f t="shared" si="5"/>
        <v>4996.49</v>
      </c>
      <c r="G43" s="626">
        <v>694</v>
      </c>
      <c r="H43" s="166"/>
      <c r="I43" s="166">
        <f t="shared" si="6"/>
        <v>5690.49</v>
      </c>
      <c r="J43" s="167">
        <f t="shared" si="7"/>
        <v>2.2715781632697651E-3</v>
      </c>
      <c r="K43" s="458"/>
      <c r="L43" s="163"/>
      <c r="M43" s="163"/>
      <c r="O43" s="324">
        <f t="shared" si="8"/>
        <v>0.40944668297596776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'[41]Sch C'!D24</f>
        <v>0</v>
      </c>
      <c r="D44" s="480">
        <f>'[41]Sch C'!F24</f>
        <v>0</v>
      </c>
      <c r="E44" s="480">
        <f>+'[41]Sch C'!H24</f>
        <v>0</v>
      </c>
      <c r="F44" s="166">
        <f t="shared" si="5"/>
        <v>0</v>
      </c>
      <c r="G44" s="626">
        <v>31530</v>
      </c>
      <c r="H44" s="166"/>
      <c r="I44" s="166">
        <f t="shared" si="6"/>
        <v>31530</v>
      </c>
      <c r="J44" s="167">
        <f t="shared" si="7"/>
        <v>1.2586413382309028E-2</v>
      </c>
      <c r="K44" s="458"/>
      <c r="L44" s="163"/>
      <c r="M44" s="163"/>
      <c r="O44" s="324">
        <f t="shared" si="8"/>
        <v>2.268671751331127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'[41]Sch C'!D25</f>
        <v>0</v>
      </c>
      <c r="D45" s="480">
        <f>'[41]Sch C'!F25</f>
        <v>0</v>
      </c>
      <c r="E45" s="480">
        <f>+'[41]Sch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'[41]Sch C'!D26</f>
        <v>283502.74</v>
      </c>
      <c r="D46" s="480">
        <f>'[41]Sch C'!F26</f>
        <v>0</v>
      </c>
      <c r="E46" s="480">
        <f>+'[41]Sch C'!H26</f>
        <v>0</v>
      </c>
      <c r="F46" s="166">
        <f t="shared" si="5"/>
        <v>283502.74</v>
      </c>
      <c r="G46" s="626"/>
      <c r="H46" s="166"/>
      <c r="I46" s="166">
        <f t="shared" si="6"/>
        <v>283502.74</v>
      </c>
      <c r="J46" s="167">
        <f t="shared" si="7"/>
        <v>0.11317103332246359</v>
      </c>
      <c r="K46" s="458"/>
      <c r="L46" s="163"/>
      <c r="M46" s="163"/>
      <c r="O46" s="324">
        <f t="shared" si="8"/>
        <v>20.398815656929052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'[41]Sch C'!D27</f>
        <v>0</v>
      </c>
      <c r="D47" s="480">
        <f>'[41]Sch C'!F27</f>
        <v>0</v>
      </c>
      <c r="E47" s="480">
        <f>+'[41]Sch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'[41]Sch C'!D28</f>
        <v>0</v>
      </c>
      <c r="D48" s="480">
        <f>'[41]Sch C'!F28</f>
        <v>0</v>
      </c>
      <c r="E48" s="480">
        <f>+'[41]Sch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'[41]Sch C'!D29</f>
        <v>37310.81</v>
      </c>
      <c r="D49" s="480">
        <f>'[41]Sch C'!F29</f>
        <v>-37310.81</v>
      </c>
      <c r="E49" s="480">
        <f>+'[41]Sch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'[41]Sch C'!D30</f>
        <v>0</v>
      </c>
      <c r="D50" s="480">
        <f>'[41]Sch C'!F30</f>
        <v>0</v>
      </c>
      <c r="E50" s="480">
        <f>+'[41]Sch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'[41]Sch C'!D31</f>
        <v>0</v>
      </c>
      <c r="D51" s="480">
        <f>'[41]Sch C'!F31</f>
        <v>27608.400000000001</v>
      </c>
      <c r="E51" s="480">
        <f>+'[41]Sch C'!H31</f>
        <v>0</v>
      </c>
      <c r="F51" s="166">
        <f t="shared" si="5"/>
        <v>27608.400000000001</v>
      </c>
      <c r="G51" s="626"/>
      <c r="H51" s="166"/>
      <c r="I51" s="166">
        <f t="shared" si="6"/>
        <v>27608.400000000001</v>
      </c>
      <c r="J51" s="167">
        <f t="shared" si="7"/>
        <v>1.1020955763531258E-2</v>
      </c>
      <c r="K51" s="458"/>
      <c r="L51" s="163"/>
      <c r="M51" s="163"/>
      <c r="O51" s="324">
        <f t="shared" si="8"/>
        <v>1.9865016549143764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'[41]Sch C'!D32</f>
        <v>13334.4</v>
      </c>
      <c r="D52" s="480">
        <f>'[41]Sch C'!F32</f>
        <v>0</v>
      </c>
      <c r="E52" s="480">
        <f>+'[41]Sch C'!H32</f>
        <v>0</v>
      </c>
      <c r="F52" s="166">
        <f t="shared" si="5"/>
        <v>13334.4</v>
      </c>
      <c r="G52" s="626"/>
      <c r="H52" s="166"/>
      <c r="I52" s="166">
        <f t="shared" si="6"/>
        <v>13334.4</v>
      </c>
      <c r="J52" s="167">
        <f t="shared" si="7"/>
        <v>5.3229391248037269E-3</v>
      </c>
      <c r="K52" s="458"/>
      <c r="L52" s="163"/>
      <c r="M52" s="163"/>
      <c r="O52" s="324">
        <f t="shared" si="8"/>
        <v>0.95944740250395733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'[41]Sch C'!D33</f>
        <v>0</v>
      </c>
      <c r="D53" s="480">
        <f>'[41]Sch C'!F33</f>
        <v>0</v>
      </c>
      <c r="E53" s="480">
        <f>+'[41]Sch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'[41]Sch C'!D34</f>
        <v>0</v>
      </c>
      <c r="D54" s="480">
        <f>'[41]Sch C'!F34</f>
        <v>0</v>
      </c>
      <c r="E54" s="480">
        <f>+'[41]Sch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'[41]Sch C'!D35</f>
        <v>0</v>
      </c>
      <c r="D55" s="480">
        <f>'[41]Sch C'!F35</f>
        <v>0</v>
      </c>
      <c r="E55" s="480">
        <f>+'[41]Sch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'[41]Sch C'!D36</f>
        <v>0</v>
      </c>
      <c r="D56" s="480">
        <f>'[41]Sch C'!F36</f>
        <v>0</v>
      </c>
      <c r="E56" s="480">
        <f>+'[41]Sch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'[41]Sch C'!D37</f>
        <v>0</v>
      </c>
      <c r="D57" s="480">
        <f>'[41]Sch C'!F37</f>
        <v>0</v>
      </c>
      <c r="E57" s="480">
        <f>+'[41]Sch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'[41]Sch C'!D38</f>
        <v>311.88</v>
      </c>
      <c r="D58" s="480">
        <f>'[41]Sch C'!F38</f>
        <v>0</v>
      </c>
      <c r="E58" s="480">
        <f>+'[41]Sch C'!H38</f>
        <v>0</v>
      </c>
      <c r="F58" s="166">
        <f t="shared" si="5"/>
        <v>311.88</v>
      </c>
      <c r="G58" s="626"/>
      <c r="H58" s="166"/>
      <c r="I58" s="166">
        <f t="shared" si="6"/>
        <v>311.88</v>
      </c>
      <c r="J58" s="167">
        <f t="shared" si="7"/>
        <v>1.2449890915555153E-4</v>
      </c>
      <c r="K58" s="458"/>
      <c r="L58" s="163"/>
      <c r="M58" s="163"/>
      <c r="O58" s="324">
        <f t="shared" si="8"/>
        <v>2.2440638940854799E-2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'[41]Sch C'!D39</f>
        <v>6763.11</v>
      </c>
      <c r="D59" s="480">
        <f>'[41]Sch C'!F39</f>
        <v>0</v>
      </c>
      <c r="E59" s="480">
        <f>+'[41]Sch C'!H39</f>
        <v>0</v>
      </c>
      <c r="F59" s="166">
        <f t="shared" si="5"/>
        <v>6763.11</v>
      </c>
      <c r="G59" s="626"/>
      <c r="H59" s="166"/>
      <c r="I59" s="166">
        <f t="shared" si="6"/>
        <v>6763.11</v>
      </c>
      <c r="J59" s="167">
        <f t="shared" si="7"/>
        <v>2.6997557313678403E-3</v>
      </c>
      <c r="K59" s="458"/>
      <c r="L59" s="163"/>
      <c r="M59" s="163"/>
      <c r="O59" s="324">
        <f t="shared" si="8"/>
        <v>0.48662469420060439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'[41]Sch C'!D40</f>
        <v>10373.67</v>
      </c>
      <c r="D60" s="480">
        <f>'[41]Sch C'!F40</f>
        <v>-10374</v>
      </c>
      <c r="E60" s="480">
        <f>+'[41]Sch C'!H40</f>
        <v>0</v>
      </c>
      <c r="F60" s="166">
        <f t="shared" si="5"/>
        <v>-0.32999999999992724</v>
      </c>
      <c r="G60" s="626"/>
      <c r="H60" s="166"/>
      <c r="I60" s="166">
        <f t="shared" si="6"/>
        <v>-0.32999999999992724</v>
      </c>
      <c r="J60" s="167">
        <f t="shared" si="7"/>
        <v>-1.3173220476248217E-7</v>
      </c>
      <c r="K60" s="458"/>
      <c r="L60" s="163"/>
      <c r="M60" s="163"/>
      <c r="O60" s="324">
        <f t="shared" si="8"/>
        <v>-2.3744423658075064E-5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'[41]Sch C'!D41</f>
        <v>92531</v>
      </c>
      <c r="D61" s="480">
        <f>'[41]Sch C'!F41</f>
        <v>-92531</v>
      </c>
      <c r="E61" s="480">
        <f>+'[41]Sch C'!H41</f>
        <v>0</v>
      </c>
      <c r="F61" s="166">
        <f t="shared" si="5"/>
        <v>0</v>
      </c>
      <c r="G61" s="626">
        <v>1726</v>
      </c>
      <c r="H61" s="166"/>
      <c r="I61" s="166">
        <f t="shared" si="6"/>
        <v>1726</v>
      </c>
      <c r="J61" s="167">
        <f t="shared" si="7"/>
        <v>6.8899934975786181E-4</v>
      </c>
      <c r="K61" s="458"/>
      <c r="L61" s="163"/>
      <c r="M61" s="163"/>
      <c r="O61" s="324">
        <f t="shared" si="8"/>
        <v>0.12419053101165635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'[41]Sch C'!D42</f>
        <v>2404.9</v>
      </c>
      <c r="D62" s="480">
        <f>'[41]Sch C'!F42</f>
        <v>0</v>
      </c>
      <c r="E62" s="480">
        <f>+'[41]Sch C'!H42</f>
        <v>0</v>
      </c>
      <c r="F62" s="166">
        <f t="shared" si="5"/>
        <v>2404.9</v>
      </c>
      <c r="G62" s="626"/>
      <c r="H62" s="166"/>
      <c r="I62" s="166">
        <f t="shared" si="6"/>
        <v>2404.9</v>
      </c>
      <c r="J62" s="167">
        <f t="shared" si="7"/>
        <v>9.6000842191928265E-4</v>
      </c>
      <c r="K62" s="458"/>
      <c r="L62" s="163"/>
      <c r="M62" s="163"/>
      <c r="O62" s="324">
        <f t="shared" si="8"/>
        <v>0.17303928622823428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'[41]Sch C'!D43</f>
        <v>6514.62</v>
      </c>
      <c r="D63" s="480">
        <f>'[41]Sch C'!F43</f>
        <v>0</v>
      </c>
      <c r="E63" s="480">
        <f>+'[41]Sch C'!H43</f>
        <v>0</v>
      </c>
      <c r="F63" s="166">
        <f t="shared" si="5"/>
        <v>6514.62</v>
      </c>
      <c r="G63" s="626">
        <v>-6515</v>
      </c>
      <c r="H63" s="166"/>
      <c r="I63" s="166">
        <f t="shared" si="6"/>
        <v>-0.38000000000010914</v>
      </c>
      <c r="J63" s="167">
        <f t="shared" si="7"/>
        <v>-1.5169162972657166E-7</v>
      </c>
      <c r="K63" s="458" t="s">
        <v>703</v>
      </c>
      <c r="L63" s="163"/>
      <c r="M63" s="163"/>
      <c r="O63" s="324">
        <f t="shared" si="8"/>
        <v>-2.7342063606282137E-5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'[41]Sch C'!D44</f>
        <v>0</v>
      </c>
      <c r="D64" s="480">
        <f>'[41]Sch C'!F44</f>
        <v>0</v>
      </c>
      <c r="E64" s="480">
        <f>+'[41]Sch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'[41]Sch C'!D45</f>
        <v>34955.49</v>
      </c>
      <c r="D65" s="480">
        <f>'[41]Sch C'!F45</f>
        <v>0</v>
      </c>
      <c r="E65" s="480">
        <f>+'[41]Sch C'!H45</f>
        <v>0</v>
      </c>
      <c r="F65" s="166">
        <f t="shared" si="5"/>
        <v>34955.49</v>
      </c>
      <c r="G65" s="626">
        <f>-34781+1784</f>
        <v>-32997</v>
      </c>
      <c r="H65" s="166"/>
      <c r="I65" s="166">
        <f t="shared" si="6"/>
        <v>1958.489999999998</v>
      </c>
      <c r="J65" s="167">
        <f t="shared" si="7"/>
        <v>7.8180668395554651E-4</v>
      </c>
      <c r="K65" s="458"/>
      <c r="L65" s="163"/>
      <c r="M65" s="163"/>
      <c r="O65" s="324">
        <f t="shared" si="8"/>
        <v>0.1409188372427686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1628037.3199999998</v>
      </c>
      <c r="D66" s="480">
        <f t="shared" si="9"/>
        <v>-362999.51</v>
      </c>
      <c r="E66" s="480">
        <f t="shared" si="9"/>
        <v>-591508</v>
      </c>
      <c r="F66" s="166">
        <f t="shared" ref="F66:I66" si="10">SUM(F30:F65)</f>
        <v>673529.81000000017</v>
      </c>
      <c r="G66" s="166">
        <f t="shared" si="10"/>
        <v>-4037</v>
      </c>
      <c r="H66" s="166">
        <f t="shared" si="10"/>
        <v>0</v>
      </c>
      <c r="I66" s="166">
        <f t="shared" si="10"/>
        <v>669492.81000000017</v>
      </c>
      <c r="J66" s="178">
        <f t="shared" si="7"/>
        <v>0.2672538301028759</v>
      </c>
      <c r="K66" s="465"/>
      <c r="L66" s="163"/>
      <c r="M66" s="163"/>
      <c r="O66" s="329">
        <f>I66/I$233</f>
        <v>48.171881565692921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'[41]Sch C'!D57</f>
        <v>356400</v>
      </c>
      <c r="D69" s="480">
        <f>'[41]Sch C'!F57</f>
        <v>0</v>
      </c>
      <c r="E69" s="480">
        <f>+'[41]Sch C'!H57</f>
        <v>-356400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'[41]Sch C'!D58</f>
        <v>0</v>
      </c>
      <c r="D70" s="480">
        <f>'[41]Sch C'!F58</f>
        <v>0</v>
      </c>
      <c r="E70" s="480">
        <f>+'[41]Sch C'!H58</f>
        <v>80122</v>
      </c>
      <c r="F70" s="166">
        <f t="shared" ref="F70:F83" si="13">C70+D70+E70</f>
        <v>80122</v>
      </c>
      <c r="G70" s="626"/>
      <c r="H70" s="166"/>
      <c r="I70" s="166">
        <f t="shared" ref="I70:I83" si="14">F70+G70+H70</f>
        <v>80122</v>
      </c>
      <c r="J70" s="167">
        <f t="shared" si="11"/>
        <v>3.1983780939339165E-2</v>
      </c>
      <c r="K70" s="458"/>
      <c r="L70" s="182"/>
      <c r="M70" s="163"/>
      <c r="O70" s="324">
        <f t="shared" si="12"/>
        <v>5.765002158583969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'[41]Sch C'!D59</f>
        <v>0</v>
      </c>
      <c r="D71" s="480">
        <f>'[41]Sch C'!F59</f>
        <v>0</v>
      </c>
      <c r="E71" s="480">
        <f>+'[41]Sch C'!H59</f>
        <v>113152.35</v>
      </c>
      <c r="F71" s="166">
        <f t="shared" si="13"/>
        <v>113152.35</v>
      </c>
      <c r="G71" s="626"/>
      <c r="H71" s="166"/>
      <c r="I71" s="166">
        <f t="shared" si="14"/>
        <v>113152.35</v>
      </c>
      <c r="J71" s="167">
        <f t="shared" si="11"/>
        <v>4.5169116786543451E-2</v>
      </c>
      <c r="K71" s="458"/>
      <c r="L71" s="182"/>
      <c r="M71" s="163"/>
      <c r="O71" s="324">
        <f t="shared" si="12"/>
        <v>8.1416282918405525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'[41]Sch C'!D60</f>
        <v>0</v>
      </c>
      <c r="D72" s="480">
        <f>'[41]Sch C'!F60</f>
        <v>0</v>
      </c>
      <c r="E72" s="480">
        <f>+'[41]Sch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'[41]Sch C'!D61</f>
        <v>5119.01</v>
      </c>
      <c r="D73" s="480">
        <f>'[41]Sch C'!F61</f>
        <v>0</v>
      </c>
      <c r="E73" s="480">
        <f>+'[41]Sch C'!H61</f>
        <v>0</v>
      </c>
      <c r="F73" s="166">
        <f t="shared" si="13"/>
        <v>5119.01</v>
      </c>
      <c r="G73" s="626"/>
      <c r="H73" s="166"/>
      <c r="I73" s="166">
        <f t="shared" si="14"/>
        <v>5119.01</v>
      </c>
      <c r="J73" s="167">
        <f t="shared" si="11"/>
        <v>2.0434499197010386E-3</v>
      </c>
      <c r="K73" s="458"/>
      <c r="L73" s="185"/>
      <c r="M73" s="163"/>
      <c r="O73" s="324">
        <f t="shared" si="12"/>
        <v>0.36832709742408981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'[41]Sch C'!D62</f>
        <v>0</v>
      </c>
      <c r="D74" s="480">
        <f>'[41]Sch C'!F62</f>
        <v>0</v>
      </c>
      <c r="E74" s="480">
        <f>+'[41]Sch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'[41]Sch C'!D63</f>
        <v>0</v>
      </c>
      <c r="D75" s="480">
        <f>'[41]Sch C'!F63</f>
        <v>0</v>
      </c>
      <c r="E75" s="480">
        <f>+'[41]Sch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'[41]Sch C'!D64</f>
        <v>0</v>
      </c>
      <c r="D76" s="480">
        <f>'[41]Sch C'!F64</f>
        <v>0</v>
      </c>
      <c r="E76" s="480">
        <f>+'[41]Sch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'[41]Sch C'!D65</f>
        <v>3241.83</v>
      </c>
      <c r="D77" s="480">
        <f>'[41]Sch C'!F65</f>
        <v>0</v>
      </c>
      <c r="E77" s="480">
        <f>+'[41]Sch C'!H65</f>
        <v>0</v>
      </c>
      <c r="F77" s="166">
        <f t="shared" si="13"/>
        <v>3241.83</v>
      </c>
      <c r="G77" s="626"/>
      <c r="H77" s="166"/>
      <c r="I77" s="166">
        <f t="shared" si="14"/>
        <v>3241.83</v>
      </c>
      <c r="J77" s="167">
        <f t="shared" si="11"/>
        <v>1.2941012526219752E-3</v>
      </c>
      <c r="K77" s="458"/>
      <c r="L77" s="187"/>
      <c r="M77" s="163"/>
      <c r="O77" s="324">
        <f t="shared" si="12"/>
        <v>0.23325874226507409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'[41]Sch C'!D66</f>
        <v>0</v>
      </c>
      <c r="D78" s="480">
        <f>'[41]Sch C'!F66</f>
        <v>0</v>
      </c>
      <c r="E78" s="480">
        <f>+'[41]Sch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'[41]Sch C'!D67</f>
        <v>0</v>
      </c>
      <c r="D79" s="480">
        <f>'[41]Sch C'!F67</f>
        <v>0</v>
      </c>
      <c r="E79" s="480">
        <f>+'[41]Sch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'[41]Sch C'!D68</f>
        <v>0</v>
      </c>
      <c r="D80" s="480">
        <f>'[41]Sch C'!F68</f>
        <v>0</v>
      </c>
      <c r="E80" s="480">
        <f>+'[41]Sch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'[41]Sch C'!D69</f>
        <v>0</v>
      </c>
      <c r="D81" s="480">
        <f>'[41]Sch C'!F69</f>
        <v>0</v>
      </c>
      <c r="E81" s="480">
        <f>+'[41]Sch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'[41]Sch C'!D70</f>
        <v>0</v>
      </c>
      <c r="D82" s="480">
        <f>'[41]Sch C'!F70</f>
        <v>0</v>
      </c>
      <c r="E82" s="480">
        <f>+'[41]Sch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'[41]Sch C'!D71</f>
        <v>0</v>
      </c>
      <c r="D83" s="480">
        <f>'[41]Sch C'!F71</f>
        <v>0</v>
      </c>
      <c r="E83" s="480">
        <f>+'[41]Sch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364760.84</v>
      </c>
      <c r="D84" s="480">
        <f t="shared" si="15"/>
        <v>0</v>
      </c>
      <c r="E84" s="480">
        <f t="shared" si="15"/>
        <v>-163125.65</v>
      </c>
      <c r="F84" s="166">
        <f t="shared" ref="F84:I84" si="16">SUM(F69:F83)</f>
        <v>201635.19</v>
      </c>
      <c r="G84" s="166">
        <f t="shared" si="16"/>
        <v>0</v>
      </c>
      <c r="H84" s="166">
        <f t="shared" si="16"/>
        <v>0</v>
      </c>
      <c r="I84" s="166">
        <f t="shared" si="16"/>
        <v>201635.19</v>
      </c>
      <c r="J84" s="167">
        <f t="shared" si="11"/>
        <v>8.0490448898205627E-2</v>
      </c>
      <c r="K84" s="458"/>
      <c r="L84" s="187"/>
      <c r="M84" s="163"/>
      <c r="O84" s="324">
        <f t="shared" si="12"/>
        <v>14.508216290113685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'[41]Sch C'!D75</f>
        <v>37190.93</v>
      </c>
      <c r="D87" s="480">
        <f>'[41]Sch C'!F75</f>
        <v>0</v>
      </c>
      <c r="E87" s="480">
        <f>+'[41]Sch C'!H75</f>
        <v>0</v>
      </c>
      <c r="F87" s="166">
        <f t="shared" ref="F87:F97" si="17">C87+D87+E87</f>
        <v>37190.93</v>
      </c>
      <c r="G87" s="626"/>
      <c r="H87" s="166"/>
      <c r="I87" s="166">
        <f t="shared" ref="I87:I97" si="18">F87+G87+H87</f>
        <v>37190.93</v>
      </c>
      <c r="J87" s="167">
        <f t="shared" ref="J87:J98" si="19">IF($I$213=0,0,I87/$I$213)</f>
        <v>1.4846191533540066E-2</v>
      </c>
      <c r="K87" s="458"/>
      <c r="L87" s="176">
        <v>1899.8999999999999</v>
      </c>
      <c r="M87" s="176">
        <v>2051.9</v>
      </c>
      <c r="O87" s="324">
        <f t="shared" ref="O87:O97" si="20">I87/I$233</f>
        <v>2.6759915095697222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'[41]Sch C'!D76</f>
        <v>0</v>
      </c>
      <c r="D88" s="480">
        <f>'[41]Sch C'!F76</f>
        <v>8187</v>
      </c>
      <c r="E88" s="480">
        <f>+'[41]Sch C'!H76</f>
        <v>0</v>
      </c>
      <c r="F88" s="166">
        <f t="shared" si="17"/>
        <v>8187</v>
      </c>
      <c r="G88" s="626"/>
      <c r="H88" s="166"/>
      <c r="I88" s="166">
        <f t="shared" si="18"/>
        <v>8187</v>
      </c>
      <c r="J88" s="167">
        <f t="shared" si="19"/>
        <v>3.2681562436081197E-3</v>
      </c>
      <c r="K88" s="458"/>
      <c r="L88" s="163"/>
      <c r="M88" s="163"/>
      <c r="O88" s="324">
        <f t="shared" si="20"/>
        <v>0.58907756511728304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'[41]Sch C'!D77</f>
        <v>17275.189999999999</v>
      </c>
      <c r="D89" s="480">
        <f>'[41]Sch C'!F77</f>
        <v>0</v>
      </c>
      <c r="E89" s="480">
        <f>+'[41]Sch C'!H77</f>
        <v>0</v>
      </c>
      <c r="F89" s="166">
        <f t="shared" si="17"/>
        <v>17275.189999999999</v>
      </c>
      <c r="G89" s="626"/>
      <c r="H89" s="166"/>
      <c r="I89" s="166">
        <f t="shared" si="18"/>
        <v>17275.189999999999</v>
      </c>
      <c r="J89" s="167">
        <f t="shared" si="19"/>
        <v>6.8960571708826853E-3</v>
      </c>
      <c r="K89" s="458"/>
      <c r="L89" s="163"/>
      <c r="M89" s="163"/>
      <c r="O89" s="324">
        <f t="shared" si="20"/>
        <v>1.2429982731328248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'[41]Sch C'!D78</f>
        <v>218.36</v>
      </c>
      <c r="D90" s="480">
        <f>'[41]Sch C'!F78</f>
        <v>0</v>
      </c>
      <c r="E90" s="480">
        <f>+'[41]Sch C'!H78</f>
        <v>0</v>
      </c>
      <c r="F90" s="166">
        <f t="shared" si="17"/>
        <v>218.36</v>
      </c>
      <c r="G90" s="626"/>
      <c r="H90" s="166"/>
      <c r="I90" s="166">
        <f t="shared" si="18"/>
        <v>218.36</v>
      </c>
      <c r="J90" s="167">
        <f t="shared" si="19"/>
        <v>8.7166800702854415E-5</v>
      </c>
      <c r="K90" s="458"/>
      <c r="L90" s="163"/>
      <c r="M90" s="163"/>
      <c r="O90" s="324">
        <f t="shared" si="20"/>
        <v>1.5711613181752772E-2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'[41]Sch C'!D79</f>
        <v>12425.82</v>
      </c>
      <c r="D91" s="480">
        <f>'[41]Sch C'!F79</f>
        <v>0</v>
      </c>
      <c r="E91" s="480">
        <f>+'[41]Sch C'!H79</f>
        <v>0</v>
      </c>
      <c r="F91" s="166">
        <f t="shared" si="17"/>
        <v>12425.82</v>
      </c>
      <c r="G91" s="626"/>
      <c r="H91" s="166"/>
      <c r="I91" s="166">
        <f t="shared" si="18"/>
        <v>12425.82</v>
      </c>
      <c r="J91" s="167">
        <f t="shared" si="19"/>
        <v>4.9602444381275975E-3</v>
      </c>
      <c r="K91" s="458"/>
      <c r="L91" s="163"/>
      <c r="M91" s="163"/>
      <c r="O91" s="324">
        <f t="shared" si="20"/>
        <v>0.89407252842135554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'[41]Sch C'!D80</f>
        <v>39590.79</v>
      </c>
      <c r="D92" s="480">
        <f>'[41]Sch C'!F80</f>
        <v>0</v>
      </c>
      <c r="E92" s="480">
        <f>+'[41]Sch C'!H80</f>
        <v>0</v>
      </c>
      <c r="F92" s="166">
        <f t="shared" si="17"/>
        <v>39590.79</v>
      </c>
      <c r="G92" s="626"/>
      <c r="H92" s="166"/>
      <c r="I92" s="166">
        <f t="shared" si="18"/>
        <v>39590.79</v>
      </c>
      <c r="J92" s="167">
        <f t="shared" si="19"/>
        <v>1.5804188045422975E-2</v>
      </c>
      <c r="K92" s="458"/>
      <c r="L92" s="163"/>
      <c r="M92" s="163"/>
      <c r="O92" s="324">
        <f t="shared" si="20"/>
        <v>2.8486681536911784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'[41]Sch C'!D81</f>
        <v>0</v>
      </c>
      <c r="D93" s="480">
        <f>'[41]Sch C'!F81</f>
        <v>0</v>
      </c>
      <c r="E93" s="480">
        <f>+'[41]Sch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'[41]Sch C'!D82</f>
        <v>0</v>
      </c>
      <c r="D94" s="480">
        <f>'[41]Sch C'!F82</f>
        <v>0</v>
      </c>
      <c r="E94" s="480">
        <f>+'[41]Sch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'[41]Sch C'!D83</f>
        <v>9138.6299999999992</v>
      </c>
      <c r="D95" s="480">
        <f>'[41]Sch C'!F83</f>
        <v>0</v>
      </c>
      <c r="E95" s="480">
        <f>+'[41]Sch C'!H83</f>
        <v>0</v>
      </c>
      <c r="F95" s="166">
        <f t="shared" si="17"/>
        <v>9138.6299999999992</v>
      </c>
      <c r="G95" s="626"/>
      <c r="H95" s="166"/>
      <c r="I95" s="166">
        <f t="shared" si="18"/>
        <v>9138.6299999999992</v>
      </c>
      <c r="J95" s="167">
        <f t="shared" si="19"/>
        <v>3.6480359951782666E-3</v>
      </c>
      <c r="K95" s="458"/>
      <c r="L95" s="163"/>
      <c r="M95" s="163"/>
      <c r="O95" s="324">
        <f t="shared" si="20"/>
        <v>0.65755000719527978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'[41]Sch C'!D84</f>
        <v>41192.240000000005</v>
      </c>
      <c r="D96" s="480">
        <f>'[41]Sch C'!F84</f>
        <v>0</v>
      </c>
      <c r="E96" s="480">
        <f>+'[41]Sch C'!H84</f>
        <v>0</v>
      </c>
      <c r="F96" s="166">
        <f t="shared" si="17"/>
        <v>41192.240000000005</v>
      </c>
      <c r="G96" s="626"/>
      <c r="H96" s="166"/>
      <c r="I96" s="166">
        <f t="shared" si="18"/>
        <v>41192.240000000005</v>
      </c>
      <c r="J96" s="167">
        <f t="shared" si="19"/>
        <v>1.6443468467595476E-2</v>
      </c>
      <c r="K96" s="458"/>
      <c r="L96" s="163"/>
      <c r="M96" s="163"/>
      <c r="O96" s="324">
        <f t="shared" si="20"/>
        <v>2.9638969635918841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'[41]Sch C'!D85</f>
        <v>0</v>
      </c>
      <c r="D97" s="480">
        <f>'[41]Sch C'!F85</f>
        <v>0</v>
      </c>
      <c r="E97" s="480">
        <f>+'[41]Sch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157031.96000000002</v>
      </c>
      <c r="D98" s="480">
        <f t="shared" si="21"/>
        <v>8187</v>
      </c>
      <c r="E98" s="480">
        <f t="shared" si="21"/>
        <v>0</v>
      </c>
      <c r="F98" s="166">
        <f t="shared" ref="F98:I98" si="22">SUM(F87:F97)</f>
        <v>165218.96000000002</v>
      </c>
      <c r="G98" s="166">
        <f t="shared" si="22"/>
        <v>0</v>
      </c>
      <c r="H98" s="166">
        <f t="shared" si="22"/>
        <v>0</v>
      </c>
      <c r="I98" s="166">
        <f t="shared" si="22"/>
        <v>165218.96000000002</v>
      </c>
      <c r="J98" s="167">
        <f t="shared" si="19"/>
        <v>6.5953508695058047E-2</v>
      </c>
      <c r="K98" s="458"/>
      <c r="L98" s="163"/>
      <c r="M98" s="163"/>
      <c r="O98" s="329">
        <f>I98/I$233</f>
        <v>11.887966613901282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'[41]Sch C'!D89</f>
        <v>83842.31</v>
      </c>
      <c r="D101" s="480">
        <f>'[41]Sch C'!F89</f>
        <v>0</v>
      </c>
      <c r="E101" s="480">
        <f>+'[41]Sch C'!H89</f>
        <v>0</v>
      </c>
      <c r="F101" s="166">
        <f t="shared" ref="F101:F106" si="23">C101+D101+E101</f>
        <v>83842.31</v>
      </c>
      <c r="G101" s="626"/>
      <c r="H101" s="166"/>
      <c r="I101" s="166">
        <f t="shared" ref="I101:I106" si="24">F101+G101+H101</f>
        <v>83842.31</v>
      </c>
      <c r="J101" s="167">
        <f t="shared" ref="J101:J107" si="25">IF($I$213=0,0,I101/$I$213)</f>
        <v>3.34688859050968E-2</v>
      </c>
      <c r="K101" s="458"/>
      <c r="L101" s="176">
        <v>6815.51</v>
      </c>
      <c r="M101" s="176">
        <v>7211.39</v>
      </c>
      <c r="O101" s="329">
        <f t="shared" ref="O101:O106" si="26">I101/I$233</f>
        <v>6.0326888760972803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'[41]Sch C'!D90</f>
        <v>0</v>
      </c>
      <c r="D102" s="480">
        <f>'[41]Sch C'!F90</f>
        <v>18457</v>
      </c>
      <c r="E102" s="480">
        <f>+'[41]Sch C'!H90</f>
        <v>0</v>
      </c>
      <c r="F102" s="166">
        <f t="shared" si="23"/>
        <v>18457</v>
      </c>
      <c r="G102" s="626"/>
      <c r="H102" s="166"/>
      <c r="I102" s="166">
        <f t="shared" si="24"/>
        <v>18457</v>
      </c>
      <c r="J102" s="167">
        <f t="shared" si="25"/>
        <v>7.3678221312171817E-3</v>
      </c>
      <c r="K102" s="458"/>
      <c r="L102" s="163"/>
      <c r="M102" s="163"/>
      <c r="O102" s="329">
        <f t="shared" si="26"/>
        <v>1.3280328104763275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'[41]Sch C'!D91</f>
        <v>4757.8500000000004</v>
      </c>
      <c r="D103" s="480">
        <f>'[41]Sch C'!F91</f>
        <v>0</v>
      </c>
      <c r="E103" s="480">
        <f>+'[41]Sch C'!H91</f>
        <v>0</v>
      </c>
      <c r="F103" s="166">
        <f t="shared" si="23"/>
        <v>4757.8500000000004</v>
      </c>
      <c r="G103" s="626"/>
      <c r="H103" s="166"/>
      <c r="I103" s="166">
        <f t="shared" si="24"/>
        <v>4757.8500000000004</v>
      </c>
      <c r="J103" s="167">
        <f t="shared" si="25"/>
        <v>1.8992790013009518E-3</v>
      </c>
      <c r="K103" s="458"/>
      <c r="L103" s="163"/>
      <c r="M103" s="163"/>
      <c r="O103" s="329">
        <f t="shared" si="26"/>
        <v>0.34234062455029501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'[41]Sch C'!D92</f>
        <v>78695.290000000008</v>
      </c>
      <c r="D104" s="480">
        <f>'[41]Sch C'!F92</f>
        <v>-409</v>
      </c>
      <c r="E104" s="480">
        <f>+'[41]Sch C'!H92</f>
        <v>0</v>
      </c>
      <c r="F104" s="166">
        <f t="shared" si="23"/>
        <v>78286.290000000008</v>
      </c>
      <c r="G104" s="626"/>
      <c r="H104" s="166"/>
      <c r="I104" s="166">
        <f t="shared" si="24"/>
        <v>78286.290000000008</v>
      </c>
      <c r="J104" s="167">
        <f t="shared" si="25"/>
        <v>3.1250986619325259E-2</v>
      </c>
      <c r="K104" s="458"/>
      <c r="L104" s="163"/>
      <c r="M104" s="163"/>
      <c r="O104" s="329">
        <f t="shared" si="26"/>
        <v>5.6329176859979855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'[41]Sch C'!D93</f>
        <v>7597.39</v>
      </c>
      <c r="D105" s="480">
        <f>'[41]Sch C'!F93</f>
        <v>0</v>
      </c>
      <c r="E105" s="480">
        <f>+'[41]Sch C'!H93</f>
        <v>0</v>
      </c>
      <c r="F105" s="166">
        <f t="shared" si="23"/>
        <v>7597.39</v>
      </c>
      <c r="G105" s="626"/>
      <c r="H105" s="166"/>
      <c r="I105" s="166">
        <f t="shared" si="24"/>
        <v>7597.39</v>
      </c>
      <c r="J105" s="167">
        <f t="shared" si="25"/>
        <v>3.0327907125474404E-3</v>
      </c>
      <c r="K105" s="458"/>
      <c r="L105" s="163"/>
      <c r="M105" s="163"/>
      <c r="O105" s="329">
        <f t="shared" si="26"/>
        <v>0.54665347532018993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'[41]Sch C'!D94</f>
        <v>0</v>
      </c>
      <c r="D106" s="480">
        <f>'[41]Sch C'!F94</f>
        <v>0</v>
      </c>
      <c r="E106" s="480">
        <f>+'[41]Sch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174892.84000000003</v>
      </c>
      <c r="D107" s="480">
        <f t="shared" si="27"/>
        <v>18048</v>
      </c>
      <c r="E107" s="480">
        <f t="shared" si="27"/>
        <v>0</v>
      </c>
      <c r="F107" s="166">
        <f t="shared" ref="F107:I107" si="28">SUM(F101:F106)</f>
        <v>192940.84000000003</v>
      </c>
      <c r="G107" s="166">
        <f t="shared" si="28"/>
        <v>0</v>
      </c>
      <c r="H107" s="166">
        <f t="shared" si="28"/>
        <v>0</v>
      </c>
      <c r="I107" s="166">
        <f t="shared" si="28"/>
        <v>192940.84000000003</v>
      </c>
      <c r="J107" s="167">
        <f t="shared" si="25"/>
        <v>7.7019764369487639E-2</v>
      </c>
      <c r="K107" s="458"/>
      <c r="L107" s="163"/>
      <c r="M107" s="163"/>
      <c r="O107" s="329">
        <f>I107/I$233</f>
        <v>13.88263347244208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'[41]Sch C'!D98</f>
        <v>24011.82</v>
      </c>
      <c r="D110" s="480">
        <f>'[41]Sch C'!F98</f>
        <v>0</v>
      </c>
      <c r="E110" s="480">
        <f>+'[41]Sch C'!H98</f>
        <v>0</v>
      </c>
      <c r="F110" s="166">
        <f t="shared" ref="F110:F115" si="29">C110+D110+E110</f>
        <v>24011.82</v>
      </c>
      <c r="G110" s="626"/>
      <c r="H110" s="166"/>
      <c r="I110" s="166">
        <f t="shared" ref="I110:I115" si="30">F110+G110+H110</f>
        <v>24011.82</v>
      </c>
      <c r="J110" s="167">
        <f t="shared" ref="J110:J116" si="31">IF($I$213=0,0,I110/$I$213)</f>
        <v>9.5852423907895837E-3</v>
      </c>
      <c r="K110" s="458"/>
      <c r="L110" s="176">
        <v>2536.92</v>
      </c>
      <c r="M110" s="176">
        <v>2726.92</v>
      </c>
      <c r="O110" s="329">
        <f t="shared" ref="O110:O115" si="32">I110/I$233</f>
        <v>1.7277176572168658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'[41]Sch C'!D99</f>
        <v>0</v>
      </c>
      <c r="D111" s="480">
        <f>'[41]Sch C'!F99</f>
        <v>5286</v>
      </c>
      <c r="E111" s="480">
        <f>+'[41]Sch C'!H99</f>
        <v>0</v>
      </c>
      <c r="F111" s="166">
        <f t="shared" si="29"/>
        <v>5286</v>
      </c>
      <c r="G111" s="626"/>
      <c r="H111" s="166"/>
      <c r="I111" s="166">
        <f t="shared" si="30"/>
        <v>5286</v>
      </c>
      <c r="J111" s="167">
        <f t="shared" si="31"/>
        <v>2.1101104071958618E-3</v>
      </c>
      <c r="K111" s="458"/>
      <c r="L111" s="163"/>
      <c r="M111" s="163"/>
      <c r="O111" s="329">
        <f t="shared" si="32"/>
        <v>0.38034249532306807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'[41]Sch C'!D100</f>
        <v>4044.5200000000004</v>
      </c>
      <c r="D112" s="480">
        <f>'[41]Sch C'!F100</f>
        <v>0</v>
      </c>
      <c r="E112" s="480">
        <f>+'[41]Sch C'!H100</f>
        <v>0</v>
      </c>
      <c r="F112" s="166">
        <f t="shared" si="29"/>
        <v>4044.5200000000004</v>
      </c>
      <c r="G112" s="626"/>
      <c r="H112" s="166"/>
      <c r="I112" s="166">
        <f t="shared" si="30"/>
        <v>4044.5200000000004</v>
      </c>
      <c r="J112" s="167">
        <f t="shared" si="31"/>
        <v>1.6145258691093092E-3</v>
      </c>
      <c r="K112" s="458"/>
      <c r="L112" s="163"/>
      <c r="M112" s="163"/>
      <c r="O112" s="329">
        <f t="shared" si="32"/>
        <v>0.29101453446539072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'[41]Sch C'!D101</f>
        <v>0</v>
      </c>
      <c r="D113" s="480">
        <f>'[41]Sch C'!F101</f>
        <v>0</v>
      </c>
      <c r="E113" s="480">
        <f>+'[41]Sch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'[41]Sch C'!D102</f>
        <v>0</v>
      </c>
      <c r="D114" s="480">
        <f>'[41]Sch C'!F102</f>
        <v>0</v>
      </c>
      <c r="E114" s="480">
        <f>+'[41]Sch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'[41]Sch C'!D103</f>
        <v>0</v>
      </c>
      <c r="D115" s="480">
        <f>'[41]Sch C'!F103</f>
        <v>0</v>
      </c>
      <c r="E115" s="480">
        <f>+'[41]Sch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28056.34</v>
      </c>
      <c r="D116" s="480">
        <f t="shared" si="33"/>
        <v>5286</v>
      </c>
      <c r="E116" s="480">
        <f t="shared" si="33"/>
        <v>0</v>
      </c>
      <c r="F116" s="166">
        <f t="shared" ref="F116:I116" si="34">SUM(F110:F115)</f>
        <v>33342.339999999997</v>
      </c>
      <c r="G116" s="166">
        <f t="shared" si="34"/>
        <v>0</v>
      </c>
      <c r="H116" s="166">
        <f t="shared" si="34"/>
        <v>0</v>
      </c>
      <c r="I116" s="166">
        <f t="shared" si="34"/>
        <v>33342.339999999997</v>
      </c>
      <c r="J116" s="167">
        <f t="shared" si="31"/>
        <v>1.3309878667094752E-2</v>
      </c>
      <c r="K116" s="458"/>
      <c r="L116" s="163"/>
      <c r="M116" s="163"/>
      <c r="O116" s="329">
        <f>I116/I$233</f>
        <v>2.3990746870053243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'[41]Sch C'!D115</f>
        <v>39758.67</v>
      </c>
      <c r="D119" s="480">
        <f>'[41]Sch C'!F115</f>
        <v>0</v>
      </c>
      <c r="E119" s="480">
        <f>+'[41]Sch C'!H115</f>
        <v>0</v>
      </c>
      <c r="F119" s="166">
        <f t="shared" ref="F119:F123" si="35">C119+D119+E119</f>
        <v>39758.67</v>
      </c>
      <c r="G119" s="626"/>
      <c r="H119" s="166"/>
      <c r="I119" s="166">
        <f t="shared" ref="I119:I123" si="36">F119+G119+H119</f>
        <v>39758.67</v>
      </c>
      <c r="J119" s="167">
        <f t="shared" ref="J119:J124" si="37">IF($I$213=0,0,I119/$I$213)</f>
        <v>1.5871203810682157E-2</v>
      </c>
      <c r="K119" s="458"/>
      <c r="L119" s="176">
        <v>4347.29</v>
      </c>
      <c r="M119" s="176">
        <v>4698.07</v>
      </c>
      <c r="O119" s="329">
        <f t="shared" ref="O119:O124" si="38">I119/I$233</f>
        <v>2.8607475895812344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'[41]Sch C'!D116</f>
        <v>0</v>
      </c>
      <c r="D120" s="480">
        <f>'[41]Sch C'!F116</f>
        <v>8753</v>
      </c>
      <c r="E120" s="480">
        <f>+'[41]Sch C'!H116</f>
        <v>0</v>
      </c>
      <c r="F120" s="166">
        <f t="shared" si="35"/>
        <v>8753</v>
      </c>
      <c r="G120" s="626"/>
      <c r="H120" s="166"/>
      <c r="I120" s="166">
        <f t="shared" si="36"/>
        <v>8753</v>
      </c>
      <c r="J120" s="167">
        <f t="shared" si="37"/>
        <v>3.4940969342007904E-3</v>
      </c>
      <c r="K120" s="458"/>
      <c r="L120" s="163"/>
      <c r="M120" s="163"/>
      <c r="O120" s="329">
        <f t="shared" si="38"/>
        <v>0.62980284933083897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'[41]Sch C'!D117</f>
        <v>7783.04</v>
      </c>
      <c r="D121" s="480">
        <f>'[41]Sch C'!F117</f>
        <v>0</v>
      </c>
      <c r="E121" s="480">
        <f>+'[41]Sch C'!H117</f>
        <v>0</v>
      </c>
      <c r="F121" s="166">
        <f t="shared" si="35"/>
        <v>7783.04</v>
      </c>
      <c r="G121" s="626"/>
      <c r="H121" s="166"/>
      <c r="I121" s="166">
        <f t="shared" si="36"/>
        <v>7783.04</v>
      </c>
      <c r="J121" s="167">
        <f t="shared" si="37"/>
        <v>3.1069000574388346E-3</v>
      </c>
      <c r="K121" s="458"/>
      <c r="L121" s="163"/>
      <c r="M121" s="163"/>
      <c r="O121" s="329">
        <f t="shared" si="38"/>
        <v>0.5600115124478342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'[41]Sch C'!D118</f>
        <v>0</v>
      </c>
      <c r="D122" s="480">
        <f>'[41]Sch C'!F118</f>
        <v>0</v>
      </c>
      <c r="E122" s="480">
        <f>+'[41]Sch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'[41]Sch C'!D119</f>
        <v>0</v>
      </c>
      <c r="D123" s="480">
        <f>'[41]Sch C'!F119</f>
        <v>0</v>
      </c>
      <c r="E123" s="480">
        <f>+'[41]Sch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47541.71</v>
      </c>
      <c r="D124" s="480">
        <f t="shared" si="39"/>
        <v>8753</v>
      </c>
      <c r="E124" s="480">
        <f t="shared" si="39"/>
        <v>0</v>
      </c>
      <c r="F124" s="166">
        <f t="shared" ref="F124:I124" si="40">SUM(F119:F123)</f>
        <v>56294.71</v>
      </c>
      <c r="G124" s="166">
        <f t="shared" si="40"/>
        <v>0</v>
      </c>
      <c r="H124" s="166">
        <f t="shared" si="40"/>
        <v>0</v>
      </c>
      <c r="I124" s="166">
        <f t="shared" si="40"/>
        <v>56294.71</v>
      </c>
      <c r="J124" s="167">
        <f t="shared" si="37"/>
        <v>2.2472200802321783E-2</v>
      </c>
      <c r="K124" s="458"/>
      <c r="L124" s="163"/>
      <c r="M124" s="163"/>
      <c r="O124" s="329">
        <f t="shared" si="38"/>
        <v>4.0505619513599083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 t="s">
        <v>658</v>
      </c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'[41]Sch C'!D124</f>
        <v>24000</v>
      </c>
      <c r="D128" s="480">
        <f>'[41]Sch C'!F124</f>
        <v>0</v>
      </c>
      <c r="E128" s="480">
        <f>+'[41]Sch C'!H124</f>
        <v>0</v>
      </c>
      <c r="F128" s="166">
        <f t="shared" ref="F128:F132" si="41">C128+D128+E128</f>
        <v>24000</v>
      </c>
      <c r="G128" s="626">
        <v>-24000</v>
      </c>
      <c r="H128" s="166"/>
      <c r="I128" s="166">
        <f t="shared" ref="I128:I132" si="42">F128+G128+H128</f>
        <v>0</v>
      </c>
      <c r="J128" s="167">
        <f>IF($I$213=0,0,I128/$I$213)</f>
        <v>0</v>
      </c>
      <c r="K128" s="457" t="s">
        <v>374</v>
      </c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'[41]Sch C'!D125</f>
        <v>118846.58</v>
      </c>
      <c r="D129" s="480">
        <f>'[41]Sch C'!F125</f>
        <v>0</v>
      </c>
      <c r="E129" s="480">
        <f>+'[41]Sch C'!H125</f>
        <v>0</v>
      </c>
      <c r="F129" s="166">
        <f t="shared" si="41"/>
        <v>118846.58</v>
      </c>
      <c r="G129" s="626"/>
      <c r="H129" s="166"/>
      <c r="I129" s="166">
        <f t="shared" si="42"/>
        <v>118846.58</v>
      </c>
      <c r="J129" s="167">
        <f>IF($I$213=0,0,I129/$I$213)</f>
        <v>4.7442187914800524E-2</v>
      </c>
      <c r="K129" s="458"/>
      <c r="L129" s="176">
        <v>3790.34</v>
      </c>
      <c r="M129" s="176">
        <v>4053.63</v>
      </c>
      <c r="O129" s="329">
        <f t="shared" si="43"/>
        <v>8.5513440782846448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'[41]Sch C'!D126</f>
        <v>0</v>
      </c>
      <c r="D130" s="480">
        <f>'[41]Sch C'!F126</f>
        <v>0</v>
      </c>
      <c r="E130" s="480">
        <f>+'[41]Sch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'[41]Sch C'!D127</f>
        <v>0</v>
      </c>
      <c r="D131" s="480">
        <f>'[41]Sch C'!F127</f>
        <v>0</v>
      </c>
      <c r="E131" s="480">
        <f>+'[41]Sch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'[41]Sch C'!D128</f>
        <v>7257.01</v>
      </c>
      <c r="D132" s="480">
        <f>'[41]Sch C'!F128</f>
        <v>0</v>
      </c>
      <c r="E132" s="480">
        <f>+'[41]Sch C'!H128</f>
        <v>0</v>
      </c>
      <c r="F132" s="166">
        <f t="shared" si="41"/>
        <v>7257.01</v>
      </c>
      <c r="G132" s="626"/>
      <c r="H132" s="166"/>
      <c r="I132" s="166">
        <f t="shared" si="42"/>
        <v>7257.01</v>
      </c>
      <c r="J132" s="167">
        <f>IF($I$213=0,0,I132/$I$213)</f>
        <v>2.8969149311623989E-3</v>
      </c>
      <c r="K132" s="458"/>
      <c r="L132" s="176">
        <v>490.25</v>
      </c>
      <c r="M132" s="176">
        <v>537.9</v>
      </c>
      <c r="O132" s="329">
        <f t="shared" si="43"/>
        <v>0.52216218160886463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/>
      <c r="G133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'[41]Sch C'!D130</f>
        <v>0</v>
      </c>
      <c r="D134" s="480">
        <f>'[41]Sch C'!F130</f>
        <v>0</v>
      </c>
      <c r="E134" s="480">
        <f>+'[41]Sch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'[41]Sch C'!D131</f>
        <v>0</v>
      </c>
      <c r="D135" s="480">
        <f>'[41]Sch C'!F131</f>
        <v>26163.64</v>
      </c>
      <c r="E135" s="480">
        <f>+'[41]Sch C'!H131</f>
        <v>0</v>
      </c>
      <c r="F135" s="166">
        <f t="shared" si="44"/>
        <v>26163.64</v>
      </c>
      <c r="G135" s="626"/>
      <c r="H135" s="166"/>
      <c r="I135" s="166">
        <f t="shared" si="45"/>
        <v>26163.64</v>
      </c>
      <c r="J135" s="167">
        <f>IF($I$213=0,0,I135/$I$213)</f>
        <v>1.0444224187310999E-2</v>
      </c>
      <c r="K135" s="458"/>
      <c r="L135" s="196"/>
      <c r="M135" s="196"/>
      <c r="O135" s="329">
        <f t="shared" si="43"/>
        <v>1.8825471290833213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'[41]Sch C'!D132</f>
        <v>0</v>
      </c>
      <c r="D136" s="480">
        <f>'[41]Sch C'!F132</f>
        <v>0</v>
      </c>
      <c r="E136" s="480">
        <f>+'[41]Sch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'[41]Sch C'!D133</f>
        <v>0</v>
      </c>
      <c r="D137" s="480">
        <f>'[41]Sch C'!F133</f>
        <v>0</v>
      </c>
      <c r="E137" s="480">
        <f>+'[41]Sch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'[41]Sch C'!D134</f>
        <v>0</v>
      </c>
      <c r="D138" s="480">
        <f>'[41]Sch C'!F134</f>
        <v>1597.6</v>
      </c>
      <c r="E138" s="480">
        <f>+'[41]Sch C'!H134</f>
        <v>0</v>
      </c>
      <c r="F138" s="166">
        <f t="shared" si="44"/>
        <v>1597.6</v>
      </c>
      <c r="G138" s="626"/>
      <c r="H138" s="166"/>
      <c r="I138" s="166">
        <f t="shared" si="45"/>
        <v>1597.6</v>
      </c>
      <c r="J138" s="167">
        <f>IF($I$213=0,0,I138/$I$213)</f>
        <v>6.3774354645026652E-4</v>
      </c>
      <c r="K138" s="458"/>
      <c r="L138" s="163"/>
      <c r="M138" s="163"/>
      <c r="O138" s="329">
        <f t="shared" si="43"/>
        <v>0.1149517916246942</v>
      </c>
      <c r="P138" s="324">
        <f>SUMMARY!L140</f>
        <v>0.57311755736724024</v>
      </c>
    </row>
    <row r="139" spans="1:16" s="162" customFormat="1" ht="15.5">
      <c r="A139" s="164" t="s">
        <v>78</v>
      </c>
      <c r="B139" s="165" t="s">
        <v>56</v>
      </c>
      <c r="C139" s="188"/>
      <c r="D139" s="188"/>
      <c r="E139" s="188"/>
      <c r="F139"/>
      <c r="G139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'[41]Sch C'!D136</f>
        <v>34178.67</v>
      </c>
      <c r="D140" s="480">
        <f>'[41]Sch C'!F136</f>
        <v>0</v>
      </c>
      <c r="E140" s="480">
        <f>+'[41]Sch C'!H136</f>
        <v>0</v>
      </c>
      <c r="F140" s="166">
        <f t="shared" ref="F140:F143" si="46">C140+D140+E140</f>
        <v>34178.67</v>
      </c>
      <c r="G140" s="626"/>
      <c r="H140" s="166"/>
      <c r="I140" s="166">
        <f t="shared" ref="I140:I143" si="47">F140+G140+H140</f>
        <v>34178.67</v>
      </c>
      <c r="J140" s="167">
        <f>IF($I$213=0,0,I140/$I$213)</f>
        <v>1.3643731984697878E-2</v>
      </c>
      <c r="K140" s="458"/>
      <c r="L140" s="176">
        <v>1304.3500000000001</v>
      </c>
      <c r="M140" s="176">
        <v>1312.35</v>
      </c>
      <c r="O140" s="329">
        <f t="shared" si="43"/>
        <v>2.4592509713627857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'[41]Sch C'!D137</f>
        <v>243337.48</v>
      </c>
      <c r="D141" s="480">
        <f>'[41]Sch C'!F137</f>
        <v>0</v>
      </c>
      <c r="E141" s="480">
        <f>+'[41]Sch C'!H137</f>
        <v>0</v>
      </c>
      <c r="F141" s="166">
        <f t="shared" si="46"/>
        <v>243337.48</v>
      </c>
      <c r="G141" s="626"/>
      <c r="H141" s="166"/>
      <c r="I141" s="166">
        <f t="shared" si="47"/>
        <v>243337.48</v>
      </c>
      <c r="J141" s="167">
        <f>IF($I$213=0,0,I141/$I$213)</f>
        <v>9.7137523459859043E-2</v>
      </c>
      <c r="K141" s="458"/>
      <c r="L141" s="176">
        <v>9861.4500000000007</v>
      </c>
      <c r="M141" s="176">
        <v>10447.870000000001</v>
      </c>
      <c r="O141" s="329">
        <f t="shared" si="43"/>
        <v>17.508812778817095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'[41]Sch C'!D138</f>
        <v>356593.14</v>
      </c>
      <c r="D142" s="480">
        <f>'[41]Sch C'!F138</f>
        <v>0</v>
      </c>
      <c r="E142" s="480">
        <f>+'[41]Sch C'!H138</f>
        <v>0</v>
      </c>
      <c r="F142" s="166">
        <f t="shared" si="46"/>
        <v>356593.14</v>
      </c>
      <c r="G142" s="626"/>
      <c r="H142" s="166"/>
      <c r="I142" s="166">
        <f t="shared" si="47"/>
        <v>356593.14</v>
      </c>
      <c r="J142" s="167">
        <f>IF($I$213=0,0,I142/$I$213)</f>
        <v>0.14234788041026314</v>
      </c>
      <c r="K142" s="458"/>
      <c r="L142" s="176">
        <v>28247.089999999997</v>
      </c>
      <c r="M142" s="176">
        <v>29568.639999999999</v>
      </c>
      <c r="O142" s="329">
        <f t="shared" si="43"/>
        <v>25.657874514318607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'[41]Sch C'!D139</f>
        <v>0</v>
      </c>
      <c r="D143" s="480">
        <f>'[41]Sch C'!F139</f>
        <v>0</v>
      </c>
      <c r="E143" s="480">
        <f>+'[41]Sch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 ht="15.5">
      <c r="A144" s="164" t="s">
        <v>88</v>
      </c>
      <c r="B144" s="165" t="s">
        <v>145</v>
      </c>
      <c r="C144" s="188"/>
      <c r="D144" s="188"/>
      <c r="E144" s="188"/>
      <c r="F144"/>
      <c r="G144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'[41]Sch C'!D141</f>
        <v>0</v>
      </c>
      <c r="D145" s="480">
        <f>'[41]Sch C'!F141</f>
        <v>7524.35</v>
      </c>
      <c r="E145" s="480">
        <f>+'[41]Sch C'!H141</f>
        <v>0</v>
      </c>
      <c r="F145" s="166">
        <f t="shared" ref="F145:F148" si="48">C145+D145+E145</f>
        <v>7524.35</v>
      </c>
      <c r="G145" s="626"/>
      <c r="H145" s="166"/>
      <c r="I145" s="166">
        <f t="shared" ref="I145:I148" si="49">F145+G145+H145</f>
        <v>7524.35</v>
      </c>
      <c r="J145" s="167">
        <f>IF($I$213=0,0,I145/$I$213)</f>
        <v>3.0036339845600042E-3</v>
      </c>
      <c r="K145" s="458"/>
      <c r="L145" s="163"/>
      <c r="M145" s="163"/>
      <c r="O145" s="329">
        <f t="shared" si="43"/>
        <v>0.54139804288386817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'[41]Sch C'!D142</f>
        <v>0</v>
      </c>
      <c r="D146" s="480">
        <f>'[41]Sch C'!F142</f>
        <v>53569.56</v>
      </c>
      <c r="E146" s="480">
        <f>+'[41]Sch C'!H142</f>
        <v>0</v>
      </c>
      <c r="F146" s="166">
        <f t="shared" si="48"/>
        <v>53569.56</v>
      </c>
      <c r="G146" s="626"/>
      <c r="H146" s="166"/>
      <c r="I146" s="166">
        <f t="shared" si="49"/>
        <v>53569.56</v>
      </c>
      <c r="J146" s="167">
        <f>IF($I$213=0,0,I146/$I$213)</f>
        <v>2.1384352263507971E-2</v>
      </c>
      <c r="K146" s="458"/>
      <c r="L146" s="163"/>
      <c r="M146" s="163"/>
      <c r="O146" s="329">
        <f t="shared" si="43"/>
        <v>3.8544797812634908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'[41]Sch C'!D143</f>
        <v>0</v>
      </c>
      <c r="D147" s="480">
        <f>'[41]Sch C'!F143</f>
        <v>78502.36</v>
      </c>
      <c r="E147" s="480">
        <f>+'[41]Sch C'!H143</f>
        <v>0</v>
      </c>
      <c r="F147" s="166">
        <f t="shared" si="48"/>
        <v>78502.36</v>
      </c>
      <c r="G147" s="626"/>
      <c r="H147" s="166"/>
      <c r="I147" s="166">
        <f t="shared" si="49"/>
        <v>78502.36</v>
      </c>
      <c r="J147" s="167">
        <f>IF($I$213=0,0,I147/$I$213)</f>
        <v>3.1337239278364765E-2</v>
      </c>
      <c r="K147" s="458"/>
      <c r="L147" s="163"/>
      <c r="M147" s="163"/>
      <c r="O147" s="329">
        <f t="shared" si="43"/>
        <v>5.6484645272701108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'[41]Sch C'!D144</f>
        <v>0</v>
      </c>
      <c r="D148" s="480">
        <f>'[41]Sch C'!F144</f>
        <v>0</v>
      </c>
      <c r="E148" s="480">
        <f>+'[41]Sch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 ht="15.5">
      <c r="A149" s="164" t="s">
        <v>79</v>
      </c>
      <c r="B149" s="165" t="s">
        <v>90</v>
      </c>
      <c r="C149" s="188"/>
      <c r="D149" s="188"/>
      <c r="E149" s="188"/>
      <c r="F149"/>
      <c r="G149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'[41]Sch C'!D146</f>
        <v>0</v>
      </c>
      <c r="D150" s="480">
        <f>'[41]Sch C'!F146</f>
        <v>0</v>
      </c>
      <c r="E150" s="480">
        <f>+'[41]Sch C'!H146</f>
        <v>0</v>
      </c>
      <c r="F150" s="166">
        <f t="shared" ref="F150:F158" si="50">C150+D150+E150</f>
        <v>0</v>
      </c>
      <c r="G150" s="626">
        <v>24000</v>
      </c>
      <c r="H150" s="166"/>
      <c r="I150" s="166">
        <f t="shared" ref="I150:I158" si="51">F150+G150+H150</f>
        <v>24000</v>
      </c>
      <c r="J150" s="167">
        <f t="shared" ref="J150:J158" si="52">IF($I$213=0,0,I150/$I$213)</f>
        <v>9.5805239827280904E-3</v>
      </c>
      <c r="K150" s="457" t="s">
        <v>374</v>
      </c>
      <c r="L150" s="176">
        <v>0</v>
      </c>
      <c r="M150" s="176">
        <v>0</v>
      </c>
      <c r="O150" s="329">
        <f t="shared" si="43"/>
        <v>1.7268671751331126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'[41]Sch C'!D147</f>
        <v>2966.45</v>
      </c>
      <c r="D151" s="480">
        <f>'[41]Sch C'!F147</f>
        <v>0</v>
      </c>
      <c r="E151" s="480">
        <f>+'[41]Sch C'!H147</f>
        <v>0</v>
      </c>
      <c r="F151" s="166">
        <f t="shared" si="50"/>
        <v>2966.45</v>
      </c>
      <c r="G151" s="626"/>
      <c r="H151" s="166"/>
      <c r="I151" s="166">
        <f t="shared" si="51"/>
        <v>2966.45</v>
      </c>
      <c r="J151" s="167">
        <f t="shared" si="52"/>
        <v>1.1841727236901558E-3</v>
      </c>
      <c r="K151" s="458"/>
      <c r="L151" s="176">
        <v>0</v>
      </c>
      <c r="M151" s="176">
        <v>67.209999999999994</v>
      </c>
      <c r="O151" s="329">
        <f t="shared" si="43"/>
        <v>0.21344438048640091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'[41]Sch C'!D148</f>
        <v>0</v>
      </c>
      <c r="D152" s="480">
        <f>'[41]Sch C'!F148</f>
        <v>0</v>
      </c>
      <c r="E152" s="480">
        <f>+'[41]Sch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'[41]Sch C'!D149</f>
        <v>0</v>
      </c>
      <c r="D153" s="480">
        <f>'[41]Sch C'!F149</f>
        <v>0</v>
      </c>
      <c r="E153" s="480">
        <f>+'[41]Sch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'[41]Sch C'!D150</f>
        <v>4481</v>
      </c>
      <c r="D154" s="480">
        <f>'[41]Sch C'!F150</f>
        <v>0</v>
      </c>
      <c r="E154" s="480">
        <f>+'[41]Sch C'!H150</f>
        <v>0</v>
      </c>
      <c r="F154" s="166">
        <f t="shared" si="50"/>
        <v>4481</v>
      </c>
      <c r="G154" s="626"/>
      <c r="H154" s="166"/>
      <c r="I154" s="166">
        <f t="shared" si="51"/>
        <v>4481</v>
      </c>
      <c r="J154" s="167">
        <f t="shared" si="52"/>
        <v>1.7887636652751905E-3</v>
      </c>
      <c r="K154" s="458"/>
      <c r="L154" s="176">
        <v>0</v>
      </c>
      <c r="M154" s="176">
        <v>184.86</v>
      </c>
      <c r="O154" s="329">
        <f t="shared" si="43"/>
        <v>0.32242049215714491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'[41]Sch C'!D151</f>
        <v>50346.85</v>
      </c>
      <c r="D155" s="480">
        <f>'[41]Sch C'!F151</f>
        <v>0</v>
      </c>
      <c r="E155" s="480">
        <f>+'[41]Sch C'!H151</f>
        <v>0</v>
      </c>
      <c r="F155" s="166">
        <f t="shared" si="50"/>
        <v>50346.85</v>
      </c>
      <c r="G155" s="626">
        <v>-646</v>
      </c>
      <c r="H155" s="166"/>
      <c r="I155" s="166">
        <f t="shared" si="51"/>
        <v>49700.85</v>
      </c>
      <c r="J155" s="167">
        <f t="shared" si="52"/>
        <v>1.984000772445714E-2</v>
      </c>
      <c r="K155" s="458"/>
      <c r="L155" s="163"/>
      <c r="M155" s="163"/>
      <c r="O155" s="329">
        <f t="shared" si="43"/>
        <v>3.5761152683839401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'[41]Sch C'!D152</f>
        <v>0</v>
      </c>
      <c r="D156" s="480">
        <f>'[41]Sch C'!F152</f>
        <v>0</v>
      </c>
      <c r="E156" s="480">
        <f>+'[41]Sch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'[41]Sch C'!D153</f>
        <v>0</v>
      </c>
      <c r="D157" s="480">
        <f>'[41]Sch C'!F153</f>
        <v>0</v>
      </c>
      <c r="E157" s="480">
        <f>+'[41]Sch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'[41]Sch C'!D154</f>
        <v>0</v>
      </c>
      <c r="D158" s="480">
        <f>'[41]Sch C'!F154</f>
        <v>0</v>
      </c>
      <c r="E158" s="480">
        <f>+'[41]Sch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 ht="15.5">
      <c r="A159" s="164"/>
      <c r="B159" s="201" t="s">
        <v>93</v>
      </c>
      <c r="C159" s="479"/>
      <c r="D159" s="479"/>
      <c r="E159" s="479"/>
      <c r="F159"/>
      <c r="G15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'[41]Sch C'!D156</f>
        <v>0</v>
      </c>
      <c r="D160" s="480">
        <f>'[41]Sch C'!F156</f>
        <v>0</v>
      </c>
      <c r="E160" s="480">
        <f>+'[41]Sch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'[41]Sch C'!D157</f>
        <v>0</v>
      </c>
      <c r="D161" s="480">
        <f>'[41]Sch C'!F157</f>
        <v>0</v>
      </c>
      <c r="E161" s="480">
        <f>+'[41]Sch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'[41]Sch C'!D158</f>
        <v>0</v>
      </c>
      <c r="D162" s="480">
        <f>'[41]Sch C'!F158</f>
        <v>0</v>
      </c>
      <c r="E162" s="480">
        <f>+'[41]Sch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'[41]Sch C'!D159</f>
        <v>0</v>
      </c>
      <c r="D163" s="480">
        <f>'[41]Sch C'!F159</f>
        <v>0</v>
      </c>
      <c r="E163" s="480">
        <f>+'[41]Sch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'[41]Sch C'!D160</f>
        <v>0</v>
      </c>
      <c r="D164" s="480">
        <f>'[41]Sch C'!F160</f>
        <v>0</v>
      </c>
      <c r="E164" s="480">
        <f>+'[41]Sch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'[41]Sch C'!D161</f>
        <v>3802.4</v>
      </c>
      <c r="D165" s="480">
        <f>'[41]Sch C'!F161</f>
        <v>0</v>
      </c>
      <c r="E165" s="480">
        <f>+'[41]Sch C'!H161</f>
        <v>0</v>
      </c>
      <c r="F165" s="166">
        <f t="shared" si="53"/>
        <v>3802.4</v>
      </c>
      <c r="G165" s="626"/>
      <c r="H165" s="166"/>
      <c r="I165" s="166">
        <f t="shared" si="54"/>
        <v>3802.4</v>
      </c>
      <c r="J165" s="167">
        <f t="shared" si="55"/>
        <v>1.5178743496635538E-3</v>
      </c>
      <c r="K165" s="458"/>
      <c r="L165" s="163"/>
      <c r="M165" s="163"/>
      <c r="O165" s="329">
        <f t="shared" si="43"/>
        <v>0.27359332278025617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845809.58</v>
      </c>
      <c r="D166" s="480">
        <f t="shared" si="56"/>
        <v>167357.51</v>
      </c>
      <c r="E166" s="480">
        <f t="shared" si="56"/>
        <v>0</v>
      </c>
      <c r="F166" s="166">
        <f t="shared" ref="F166:I166" si="57">SUM(F128:F165)</f>
        <v>1013167.09</v>
      </c>
      <c r="G166" s="166">
        <f t="shared" si="57"/>
        <v>-646</v>
      </c>
      <c r="H166" s="166">
        <f t="shared" si="57"/>
        <v>0</v>
      </c>
      <c r="I166" s="166">
        <f t="shared" si="57"/>
        <v>1012521.09</v>
      </c>
      <c r="J166" s="167">
        <f t="shared" si="55"/>
        <v>0.40418677440679107</v>
      </c>
      <c r="K166" s="458"/>
      <c r="L166" s="163"/>
      <c r="M166" s="163"/>
      <c r="O166" s="329">
        <f>I166/I$233</f>
        <v>72.853726435458341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'[41]Sch C'!D175</f>
        <v>0</v>
      </c>
      <c r="D169" s="480">
        <f>'[41]Sch C'!F175</f>
        <v>0</v>
      </c>
      <c r="E169" s="480">
        <f>+'[41]Sch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'[41]Sch C'!D176</f>
        <v>0</v>
      </c>
      <c r="D170" s="480">
        <f>'[41]Sch C'!F176</f>
        <v>0</v>
      </c>
      <c r="E170" s="480">
        <f>+'[41]Sch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'[41]Sch C'!D177</f>
        <v>0</v>
      </c>
      <c r="D171" s="480">
        <f>'[41]Sch C'!F177</f>
        <v>0</v>
      </c>
      <c r="E171" s="480">
        <f>+'[41]Sch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'[41]Sch C'!D178</f>
        <v>0</v>
      </c>
      <c r="D172" s="480">
        <f>'[41]Sch C'!F178</f>
        <v>0</v>
      </c>
      <c r="E172" s="480">
        <f>+'[41]Sch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'[41]Sch C'!D179</f>
        <v>0</v>
      </c>
      <c r="D173" s="480">
        <f>'[41]Sch C'!F179</f>
        <v>0</v>
      </c>
      <c r="E173" s="480">
        <f>+'[41]Sch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'[41]Sch C'!D180</f>
        <v>0</v>
      </c>
      <c r="D174" s="480">
        <f>'[41]Sch C'!F180</f>
        <v>0</v>
      </c>
      <c r="E174" s="480">
        <f>+'[41]Sch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'[41]Sch C'!D181</f>
        <v>0</v>
      </c>
      <c r="D175" s="480">
        <f>'[41]Sch C'!F181</f>
        <v>0</v>
      </c>
      <c r="E175" s="480">
        <f>+'[41]Sch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'[41]Sch C'!D182</f>
        <v>0</v>
      </c>
      <c r="D176" s="480">
        <f>'[41]Sch C'!F182</f>
        <v>0</v>
      </c>
      <c r="E176" s="480">
        <f>+'[41]Sch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'[41]Sch C'!D183</f>
        <v>0</v>
      </c>
      <c r="D177" s="480">
        <f>'[41]Sch C'!F183</f>
        <v>0</v>
      </c>
      <c r="E177" s="480">
        <f>+'[41]Sch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'[41]Sch C'!D184</f>
        <v>0</v>
      </c>
      <c r="D178" s="480">
        <f>'[41]Sch C'!F184</f>
        <v>0</v>
      </c>
      <c r="E178" s="480">
        <f>+'[41]Sch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'[41]Sch C'!D185</f>
        <v>0</v>
      </c>
      <c r="D179" s="480">
        <f>'[41]Sch C'!F185</f>
        <v>0</v>
      </c>
      <c r="E179" s="480">
        <f>+'[41]Sch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'[41]Sch C'!D186</f>
        <v>0</v>
      </c>
      <c r="D180" s="480">
        <f>'[41]Sch C'!F186</f>
        <v>0</v>
      </c>
      <c r="E180" s="480">
        <f>+'[41]Sch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'[41]Sch C'!D187</f>
        <v>0</v>
      </c>
      <c r="D181" s="480">
        <f>'[41]Sch C'!F187</f>
        <v>0</v>
      </c>
      <c r="E181" s="480">
        <f>+'[41]Sch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/>
      <c r="Q181" s="210"/>
    </row>
    <row r="182" spans="1:17" s="211" customFormat="1">
      <c r="A182" s="214" t="s">
        <v>275</v>
      </c>
      <c r="B182" s="145" t="s">
        <v>303</v>
      </c>
      <c r="C182" s="480">
        <f>'[41]Sch C'!D188</f>
        <v>0</v>
      </c>
      <c r="D182" s="480">
        <f>'[41]Sch C'!F188</f>
        <v>0</v>
      </c>
      <c r="E182" s="480">
        <f>+'[41]Sch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'[41]Sch C'!D189</f>
        <v>0</v>
      </c>
      <c r="D183" s="480">
        <f>'[41]Sch C'!F189</f>
        <v>0</v>
      </c>
      <c r="E183" s="480">
        <f>+'[41]Sch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'[41]Sch C'!D190</f>
        <v>0</v>
      </c>
      <c r="D184" s="480">
        <f>'[41]Sch C'!F190</f>
        <v>0</v>
      </c>
      <c r="E184" s="480">
        <f>+'[41]Sch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'[41]Sch C'!D191</f>
        <v>0</v>
      </c>
      <c r="D185" s="480">
        <f>'[41]Sch C'!F191</f>
        <v>0</v>
      </c>
      <c r="E185" s="480">
        <f>+'[41]Sch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'[41]Sch C'!D192</f>
        <v>0</v>
      </c>
      <c r="D186" s="480">
        <f>'[41]Sch C'!F192</f>
        <v>0</v>
      </c>
      <c r="E186" s="480">
        <f>+'[41]Sch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'[41]Sch C'!D193</f>
        <v>0</v>
      </c>
      <c r="D187" s="480">
        <f>'[41]Sch C'!F193</f>
        <v>0</v>
      </c>
      <c r="E187" s="480">
        <f>+'[41]Sch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'[41]Sch C'!D194</f>
        <v>44878.12</v>
      </c>
      <c r="D188" s="480">
        <f>'[41]Sch C'!F194</f>
        <v>0</v>
      </c>
      <c r="E188" s="480">
        <f>+'[41]Sch C'!H194</f>
        <v>0</v>
      </c>
      <c r="F188" s="166">
        <f t="shared" si="58"/>
        <v>44878.12</v>
      </c>
      <c r="G188" s="626"/>
      <c r="H188" s="166"/>
      <c r="I188" s="166">
        <f t="shared" si="59"/>
        <v>44878.12</v>
      </c>
      <c r="J188" s="167">
        <f t="shared" si="60"/>
        <v>1.7914829373322883E-2</v>
      </c>
      <c r="K188" s="458"/>
      <c r="L188" s="213"/>
      <c r="M188" s="208"/>
      <c r="O188" s="329">
        <f t="shared" si="61"/>
        <v>3.2291063462368688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'[41]Sch C'!D195</f>
        <v>4781</v>
      </c>
      <c r="D189" s="480">
        <f>'[41]Sch C'!F195</f>
        <v>0</v>
      </c>
      <c r="E189" s="480">
        <f>+'[41]Sch C'!H195</f>
        <v>0</v>
      </c>
      <c r="F189" s="166">
        <f t="shared" si="58"/>
        <v>4781</v>
      </c>
      <c r="G189" s="626"/>
      <c r="H189" s="166"/>
      <c r="I189" s="166">
        <f t="shared" si="59"/>
        <v>4781</v>
      </c>
      <c r="J189" s="167">
        <f t="shared" si="60"/>
        <v>1.9085202150592915E-3</v>
      </c>
      <c r="K189" s="458"/>
      <c r="L189" s="213"/>
      <c r="M189" s="208"/>
      <c r="O189" s="329">
        <f t="shared" si="61"/>
        <v>0.3440063318463088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'[41]Sch C'!D196</f>
        <v>0</v>
      </c>
      <c r="D190" s="480">
        <f>'[41]Sch C'!F196</f>
        <v>0</v>
      </c>
      <c r="E190" s="480">
        <f>+'[41]Sch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'[41]Sch C'!D197</f>
        <v>25227.42</v>
      </c>
      <c r="D191" s="480">
        <f>'[41]Sch C'!F197</f>
        <v>0</v>
      </c>
      <c r="E191" s="480">
        <f>+'[41]Sch C'!H197</f>
        <v>0</v>
      </c>
      <c r="F191" s="166">
        <f t="shared" si="58"/>
        <v>25227.42</v>
      </c>
      <c r="G191" s="626"/>
      <c r="H191" s="166"/>
      <c r="I191" s="166">
        <f t="shared" si="59"/>
        <v>25227.42</v>
      </c>
      <c r="J191" s="167">
        <f t="shared" si="60"/>
        <v>1.0070495930514759E-2</v>
      </c>
      <c r="K191" s="458"/>
      <c r="L191" s="213"/>
      <c r="M191" s="208"/>
      <c r="O191" s="329">
        <f t="shared" si="61"/>
        <v>1.8151834796373578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'[41]Sch C'!D198</f>
        <v>4074.64</v>
      </c>
      <c r="D192" s="480">
        <f>'[41]Sch C'!F198</f>
        <v>0</v>
      </c>
      <c r="E192" s="480">
        <f>+'[41]Sch C'!H198</f>
        <v>0</v>
      </c>
      <c r="F192" s="166">
        <f t="shared" si="58"/>
        <v>4074.64</v>
      </c>
      <c r="G192" s="626"/>
      <c r="H192" s="166"/>
      <c r="I192" s="166">
        <f t="shared" si="59"/>
        <v>4074.64</v>
      </c>
      <c r="J192" s="167">
        <f t="shared" si="60"/>
        <v>1.6265494267076327E-3</v>
      </c>
      <c r="K192" s="458"/>
      <c r="L192" s="213"/>
      <c r="M192" s="208"/>
      <c r="O192" s="329">
        <f t="shared" si="61"/>
        <v>0.29318175277018277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'[41]Sch C'!D199</f>
        <v>0</v>
      </c>
      <c r="D193" s="480">
        <f>'[41]Sch C'!F199</f>
        <v>0</v>
      </c>
      <c r="E193" s="480">
        <f>+'[41]Sch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'[41]Sch C'!D200</f>
        <v>0</v>
      </c>
      <c r="D194" s="480">
        <f>'[41]Sch C'!F200</f>
        <v>0</v>
      </c>
      <c r="E194" s="480">
        <f>+'[41]Sch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'[41]Sch C'!D201</f>
        <v>0</v>
      </c>
      <c r="D195" s="480">
        <f>'[41]Sch C'!F201</f>
        <v>0</v>
      </c>
      <c r="E195" s="480">
        <f>+'[41]Sch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'[41]Sch C'!D202</f>
        <v>0</v>
      </c>
      <c r="D196" s="480">
        <f>'[41]Sch C'!F202</f>
        <v>0</v>
      </c>
      <c r="E196" s="480">
        <f>+'[41]Sch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'[41]Sch C'!D203</f>
        <v>0</v>
      </c>
      <c r="D197" s="480">
        <f>'[41]Sch C'!F203</f>
        <v>0</v>
      </c>
      <c r="E197" s="480">
        <f>+'[41]Sch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'[41]Sch C'!D204</f>
        <v>0</v>
      </c>
      <c r="D198" s="480">
        <f>'[41]Sch C'!F204</f>
        <v>0</v>
      </c>
      <c r="E198" s="480">
        <f>+'[41]Sch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'[41]Sch C'!D205</f>
        <v>9437.7200000000012</v>
      </c>
      <c r="D199" s="480">
        <f>'[41]Sch C'!F205</f>
        <v>0</v>
      </c>
      <c r="E199" s="480">
        <f>+'[41]Sch C'!H205</f>
        <v>-2225</v>
      </c>
      <c r="F199" s="166">
        <f t="shared" si="58"/>
        <v>7212.7200000000012</v>
      </c>
      <c r="G199" s="626">
        <v>646</v>
      </c>
      <c r="H199" s="166"/>
      <c r="I199" s="166">
        <f t="shared" si="59"/>
        <v>7858.7200000000012</v>
      </c>
      <c r="J199" s="167">
        <f t="shared" si="60"/>
        <v>3.1371106430643711E-3</v>
      </c>
      <c r="K199" s="458"/>
      <c r="L199" s="213"/>
      <c r="M199" s="208"/>
      <c r="O199" s="329">
        <f t="shared" si="61"/>
        <v>0.56545690027342077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'[41]Sch C'!D206</f>
        <v>837.84</v>
      </c>
      <c r="D200" s="480">
        <f>'[41]Sch C'!F206</f>
        <v>0</v>
      </c>
      <c r="E200" s="480">
        <f>+'[41]Sch C'!H206</f>
        <v>0</v>
      </c>
      <c r="F200" s="166">
        <f t="shared" si="58"/>
        <v>837.84</v>
      </c>
      <c r="G200" s="626"/>
      <c r="H200" s="166"/>
      <c r="I200" s="166">
        <f t="shared" si="59"/>
        <v>837.84</v>
      </c>
      <c r="J200" s="167">
        <f t="shared" si="60"/>
        <v>3.3445609223703763E-4</v>
      </c>
      <c r="K200" s="458"/>
      <c r="L200" s="213"/>
      <c r="M200" s="208"/>
      <c r="O200" s="329">
        <f t="shared" si="61"/>
        <v>6.0284933083896965E-2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'[41]Sch C'!D207</f>
        <v>0</v>
      </c>
      <c r="D201" s="480">
        <f>'[41]Sch C'!F207</f>
        <v>0</v>
      </c>
      <c r="E201" s="480">
        <f>+'[41]Sch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89236.74</v>
      </c>
      <c r="D202" s="480">
        <f t="shared" si="62"/>
        <v>0</v>
      </c>
      <c r="E202" s="480">
        <f t="shared" si="62"/>
        <v>-2225</v>
      </c>
      <c r="F202" s="166">
        <f t="shared" ref="F202:I202" si="63">SUM(F169:F201)</f>
        <v>87011.74</v>
      </c>
      <c r="G202" s="166">
        <f t="shared" si="63"/>
        <v>646</v>
      </c>
      <c r="H202" s="166">
        <f t="shared" si="63"/>
        <v>0</v>
      </c>
      <c r="I202" s="166">
        <f t="shared" si="63"/>
        <v>87657.74</v>
      </c>
      <c r="J202" s="167">
        <f>IF($I$213=0,0,I202/$I$213)</f>
        <v>3.4991961680905979E-2</v>
      </c>
      <c r="K202" s="458"/>
      <c r="L202" s="163"/>
      <c r="M202" s="163"/>
      <c r="O202" s="329">
        <f>I202/I$233</f>
        <v>6.3072197438480364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'[41]Sch C'!D211</f>
        <v>63012.429999999993</v>
      </c>
      <c r="D205" s="480">
        <f>'[41]Sch C'!F211</f>
        <v>0</v>
      </c>
      <c r="E205" s="480">
        <f>+'[41]Sch C'!H211</f>
        <v>0</v>
      </c>
      <c r="F205" s="166">
        <f t="shared" ref="F205:F210" si="64">C205+D205+E205</f>
        <v>63012.429999999993</v>
      </c>
      <c r="G205" s="626"/>
      <c r="H205" s="166"/>
      <c r="I205" s="166">
        <f t="shared" ref="I205:I210" si="65">F205+G205+H205</f>
        <v>63012.429999999993</v>
      </c>
      <c r="J205" s="167">
        <f t="shared" ref="J205:J211" si="66">IF($I$213=0,0,I205/$I$213)</f>
        <v>2.5153837367707287E-2</v>
      </c>
      <c r="K205" s="458"/>
      <c r="L205" s="176">
        <v>3765.75</v>
      </c>
      <c r="M205" s="176">
        <v>3891.6099999999997</v>
      </c>
      <c r="O205" s="329">
        <f t="shared" ref="O205:O210" si="67">I205/I$233</f>
        <v>4.5339207080155415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'[41]Sch C'!D212</f>
        <v>0</v>
      </c>
      <c r="D206" s="480">
        <f>'[41]Sch C'!F212</f>
        <v>13871.81</v>
      </c>
      <c r="E206" s="480">
        <f>+'[41]Sch C'!H212</f>
        <v>0</v>
      </c>
      <c r="F206" s="166">
        <f t="shared" si="64"/>
        <v>13871.81</v>
      </c>
      <c r="G206" s="626"/>
      <c r="H206" s="166"/>
      <c r="I206" s="166">
        <f t="shared" si="65"/>
        <v>13871.81</v>
      </c>
      <c r="J206" s="167">
        <f t="shared" si="66"/>
        <v>5.537467016201972E-3</v>
      </c>
      <c r="K206" s="458"/>
      <c r="L206" s="163"/>
      <c r="M206" s="163"/>
      <c r="O206" s="329">
        <f t="shared" si="67"/>
        <v>0.99811555619513592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'[41]Sch C'!D213</f>
        <v>9788.06</v>
      </c>
      <c r="D207" s="480">
        <f>'[41]Sch C'!F213</f>
        <v>0</v>
      </c>
      <c r="E207" s="480">
        <f>+'[41]Sch C'!H213</f>
        <v>0</v>
      </c>
      <c r="F207" s="166">
        <f t="shared" si="64"/>
        <v>9788.06</v>
      </c>
      <c r="G207" s="626">
        <v>-694</v>
      </c>
      <c r="H207" s="166"/>
      <c r="I207" s="166">
        <f t="shared" si="65"/>
        <v>9094.06</v>
      </c>
      <c r="J207" s="167">
        <f t="shared" si="66"/>
        <v>3.6302441637653419E-3</v>
      </c>
      <c r="K207" s="458"/>
      <c r="L207" s="163"/>
      <c r="M207" s="163"/>
      <c r="O207" s="329">
        <f t="shared" si="67"/>
        <v>0.65434307094545974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'[41]Sch C'!D214</f>
        <v>0</v>
      </c>
      <c r="D208" s="480">
        <f>'[41]Sch C'!F214</f>
        <v>0</v>
      </c>
      <c r="E208" s="480">
        <f>+'[41]Sch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'[41]Sch C'!D215</f>
        <v>0</v>
      </c>
      <c r="D209" s="480">
        <f>'[41]Sch C'!F215</f>
        <v>0</v>
      </c>
      <c r="E209" s="480">
        <f>+'[41]Sch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'[41]Sch C'!D216</f>
        <v>1784.21</v>
      </c>
      <c r="D210" s="480">
        <f>'[41]Sch C'!F216</f>
        <v>0</v>
      </c>
      <c r="E210" s="480">
        <f>+'[41]Sch C'!H216</f>
        <v>0</v>
      </c>
      <c r="F210" s="166">
        <f t="shared" si="64"/>
        <v>1784.21</v>
      </c>
      <c r="G210" s="626">
        <v>-1784</v>
      </c>
      <c r="H210" s="166"/>
      <c r="I210" s="166">
        <f t="shared" si="65"/>
        <v>0.21000000000003638</v>
      </c>
      <c r="J210" s="167">
        <f t="shared" si="66"/>
        <v>8.3829584848885306E-8</v>
      </c>
      <c r="K210" s="458"/>
      <c r="L210" s="163"/>
      <c r="M210" s="163"/>
      <c r="O210" s="329">
        <f t="shared" si="67"/>
        <v>1.5110087782417353E-5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74584.7</v>
      </c>
      <c r="D211" s="480">
        <f t="shared" si="68"/>
        <v>13871.81</v>
      </c>
      <c r="E211" s="480">
        <f t="shared" si="68"/>
        <v>0</v>
      </c>
      <c r="F211" s="166">
        <f t="shared" ref="F211:I211" si="69">SUM(F205:F210)</f>
        <v>88456.51</v>
      </c>
      <c r="G211" s="166">
        <f t="shared" si="69"/>
        <v>-2478</v>
      </c>
      <c r="H211" s="166">
        <f t="shared" si="69"/>
        <v>0</v>
      </c>
      <c r="I211" s="166">
        <f t="shared" si="69"/>
        <v>85978.51</v>
      </c>
      <c r="J211" s="167">
        <f t="shared" si="66"/>
        <v>3.4321632377259451E-2</v>
      </c>
      <c r="K211" s="458"/>
      <c r="L211" s="163"/>
      <c r="M211" s="163"/>
      <c r="O211" s="329">
        <f>I211/I$233</f>
        <v>6.1863944452439199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3409952.0299999984</v>
      </c>
      <c r="D213" s="480">
        <f t="shared" si="70"/>
        <v>-141496.19000000006</v>
      </c>
      <c r="E213" s="480">
        <f t="shared" si="70"/>
        <v>-756858.64999999991</v>
      </c>
      <c r="F213" s="166">
        <f t="shared" ref="F213:I213" si="71">SUM(F30:F211)/2</f>
        <v>2511597.1899999995</v>
      </c>
      <c r="G213" s="166">
        <f t="shared" si="71"/>
        <v>-6515</v>
      </c>
      <c r="H213" s="166">
        <f t="shared" si="71"/>
        <v>0</v>
      </c>
      <c r="I213" s="166">
        <f t="shared" si="71"/>
        <v>2505082.1899999995</v>
      </c>
      <c r="J213" s="167">
        <f>IF($I$213=0,0,I213/$I$213)</f>
        <v>1</v>
      </c>
      <c r="K213" s="458"/>
      <c r="L213" s="176">
        <f>SUM(L30:L205)</f>
        <v>66743.39</v>
      </c>
      <c r="M213" s="176">
        <f>SUM(M30:M205)</f>
        <v>70744.720000000016</v>
      </c>
      <c r="O213" s="329">
        <f>I213/I$233</f>
        <v>180.24767520506543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'[41]Sch C'!D221</f>
        <v>3409952.39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-0.36000000173225999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308097.34000000125</v>
      </c>
      <c r="D220" s="480">
        <f t="shared" si="72"/>
        <v>140216.27000000005</v>
      </c>
      <c r="E220" s="480">
        <f t="shared" si="72"/>
        <v>756858.64999999991</v>
      </c>
      <c r="F220" s="166">
        <f t="shared" ref="F220:I220" si="73">F26-F213</f>
        <v>1205172.2600000002</v>
      </c>
      <c r="G220" s="166">
        <f t="shared" si="73"/>
        <v>-643773</v>
      </c>
      <c r="H220" s="166">
        <f t="shared" si="73"/>
        <v>0</v>
      </c>
      <c r="I220" s="166">
        <f t="shared" si="73"/>
        <v>561399.26000000024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'[41]Sch D'!C9</f>
        <v>11480</v>
      </c>
      <c r="D224" s="480"/>
      <c r="E224" s="480"/>
      <c r="F224" s="224">
        <f>C224+D224+E224</f>
        <v>11480</v>
      </c>
      <c r="G224" s="627"/>
      <c r="H224" s="223"/>
      <c r="I224" s="224">
        <f>F224+G224+H224</f>
        <v>11480</v>
      </c>
      <c r="J224" s="167">
        <f t="shared" ref="J224:J233" si="74">IF($I$233=0,0,I224/$I$233)</f>
        <v>0.82601813210533892</v>
      </c>
      <c r="K224" s="458"/>
      <c r="L224" s="163"/>
      <c r="M224" s="163"/>
    </row>
    <row r="225" spans="1:13">
      <c r="A225" s="158"/>
      <c r="B225" s="165" t="s">
        <v>201</v>
      </c>
      <c r="C225" s="504">
        <f>'[41]Sch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'[41]Sch D'!E9</f>
        <v>260</v>
      </c>
      <c r="D226" s="480"/>
      <c r="E226" s="480"/>
      <c r="F226" s="224">
        <f t="shared" si="75"/>
        <v>260</v>
      </c>
      <c r="G226" s="627"/>
      <c r="H226" s="223"/>
      <c r="I226" s="224">
        <f t="shared" si="76"/>
        <v>260</v>
      </c>
      <c r="J226" s="167">
        <f t="shared" si="74"/>
        <v>1.870772773060872E-2</v>
      </c>
      <c r="K226" s="458"/>
      <c r="L226" s="163"/>
      <c r="M226" s="163"/>
    </row>
    <row r="227" spans="1:13">
      <c r="A227" s="158"/>
      <c r="B227" s="194" t="s">
        <v>315</v>
      </c>
      <c r="C227" s="504">
        <f>'[41]Sch D'!F9</f>
        <v>125</v>
      </c>
      <c r="D227" s="480"/>
      <c r="E227" s="480"/>
      <c r="F227" s="224">
        <f t="shared" si="75"/>
        <v>125</v>
      </c>
      <c r="G227" s="627"/>
      <c r="H227" s="223"/>
      <c r="I227" s="224">
        <f t="shared" si="76"/>
        <v>125</v>
      </c>
      <c r="J227" s="167">
        <f t="shared" si="74"/>
        <v>8.9940998704849621E-3</v>
      </c>
      <c r="K227" s="458"/>
      <c r="L227" s="163"/>
      <c r="M227" s="163"/>
    </row>
    <row r="228" spans="1:13">
      <c r="A228" s="158"/>
      <c r="B228" s="165" t="s">
        <v>65</v>
      </c>
      <c r="C228" s="504">
        <f>'[41]Sch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'[41]Sch D'!H9</f>
        <v>1277</v>
      </c>
      <c r="D229" s="480"/>
      <c r="E229" s="480"/>
      <c r="F229" s="224">
        <f t="shared" si="75"/>
        <v>1277</v>
      </c>
      <c r="G229" s="627"/>
      <c r="H229" s="223"/>
      <c r="I229" s="224">
        <f t="shared" si="76"/>
        <v>1277</v>
      </c>
      <c r="J229" s="167">
        <f t="shared" si="74"/>
        <v>9.1883724276874371E-2</v>
      </c>
      <c r="K229" s="458"/>
      <c r="L229" s="163"/>
      <c r="M229" s="163"/>
    </row>
    <row r="230" spans="1:13">
      <c r="A230" s="158"/>
      <c r="B230" s="165" t="s">
        <v>219</v>
      </c>
      <c r="C230" s="504">
        <f>'[41]Sch D'!I9</f>
        <v>756</v>
      </c>
      <c r="D230" s="480"/>
      <c r="E230" s="480"/>
      <c r="F230" s="224">
        <f t="shared" si="75"/>
        <v>756</v>
      </c>
      <c r="G230" s="627"/>
      <c r="H230" s="223"/>
      <c r="I230" s="224">
        <f t="shared" si="76"/>
        <v>756</v>
      </c>
      <c r="J230" s="167">
        <f t="shared" si="74"/>
        <v>5.439631601669305E-2</v>
      </c>
      <c r="K230" s="458"/>
      <c r="L230" s="163"/>
      <c r="M230" s="163"/>
    </row>
    <row r="231" spans="1:13">
      <c r="A231" s="158"/>
      <c r="B231" s="165" t="s">
        <v>218</v>
      </c>
      <c r="C231" s="504">
        <f>'[41]Sch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'[41]Sch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13898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13898</v>
      </c>
      <c r="G233" s="226">
        <f t="shared" si="78"/>
        <v>0</v>
      </c>
      <c r="H233" s="226">
        <f t="shared" si="78"/>
        <v>0</v>
      </c>
      <c r="I233" s="226">
        <f t="shared" si="78"/>
        <v>13898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'[41]Sch D'!N22</f>
        <v>52</v>
      </c>
      <c r="D236" s="480"/>
      <c r="E236" s="480"/>
      <c r="F236" s="224">
        <f>C236+E236</f>
        <v>52</v>
      </c>
      <c r="G236" s="627"/>
      <c r="H236" s="224"/>
      <c r="I236" s="224">
        <f>F236+G236+H236</f>
        <v>52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'[41]Sch D'!N24</f>
        <v>52</v>
      </c>
      <c r="D237" s="480"/>
      <c r="E237" s="480"/>
      <c r="F237" s="224">
        <f>C237+E237</f>
        <v>52</v>
      </c>
      <c r="G237" s="627"/>
      <c r="H237" s="224"/>
      <c r="I237" s="224">
        <f>F237+G237+H237</f>
        <v>52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44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'[41]Sch D'!N28</f>
        <v>18980</v>
      </c>
      <c r="D240" s="427"/>
      <c r="E240" s="427"/>
      <c r="F240" s="223">
        <f>F236*F238</f>
        <v>18980</v>
      </c>
      <c r="G240"/>
      <c r="H240" s="228"/>
      <c r="I240" s="223">
        <f>I236*I238</f>
        <v>18980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'[41]Sch D'!N30</f>
        <v>0.73224446786090625</v>
      </c>
      <c r="D241" s="228"/>
      <c r="E241" s="228"/>
      <c r="F241" s="232">
        <f>IFERROR(F233/F240,"0")</f>
        <v>0.73224446786090625</v>
      </c>
      <c r="G241"/>
      <c r="H241" s="233"/>
      <c r="I241" s="232">
        <f>IFERROR(I233/I240,"0")</f>
        <v>0.73224446786090625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'[41]Sch D'!N32</f>
        <v>0.60484720758693367</v>
      </c>
      <c r="D242" s="228"/>
      <c r="E242" s="228"/>
      <c r="F242" s="232">
        <f>IFERROR((F224+F225)/F240,"0")</f>
        <v>0.60484720758693367</v>
      </c>
      <c r="G242"/>
      <c r="H242" s="233"/>
      <c r="I242" s="232">
        <f>IFERROR((I224+I225)/I240,"0")</f>
        <v>0.60484720758693367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'[41]Sch D'!N34</f>
        <v>0.82601813210533892</v>
      </c>
      <c r="D243" s="228"/>
      <c r="E243" s="228"/>
      <c r="F243" s="232">
        <f>IFERROR((F242/F241),"0")</f>
        <v>0.82601813210533892</v>
      </c>
      <c r="G243"/>
      <c r="H243" s="233"/>
      <c r="I243" s="232">
        <f>IFERROR((I242/I241),"0")</f>
        <v>0.82601813210533892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'[41]Sch B'!C90</f>
        <v>185.56343283582089</v>
      </c>
      <c r="K246" s="460"/>
    </row>
    <row r="247" spans="1:13">
      <c r="H247" s="140" t="s">
        <v>322</v>
      </c>
      <c r="I247" s="480">
        <f>'[41]Sch B'!E90</f>
        <v>187.77806122448979</v>
      </c>
      <c r="K247" s="460"/>
    </row>
    <row r="248" spans="1:13">
      <c r="H248" s="140" t="s">
        <v>323</v>
      </c>
      <c r="I248" s="480">
        <f>'[41]Sch B'!G90</f>
        <v>158.84640522875816</v>
      </c>
      <c r="K248" s="460"/>
    </row>
    <row r="249" spans="1:13">
      <c r="H249" s="140" t="s">
        <v>324</v>
      </c>
      <c r="I249" s="480">
        <f>'[41]Sch B'!I90</f>
        <v>221.15434083601286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4" sqref="F14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" bottom="1" header="0.5" footer="0.5"/>
  <pageSetup scale="40" fitToHeight="4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9">
    <tabColor rgb="FFE28CAB"/>
  </sheetPr>
  <dimension ref="A1:Q277"/>
  <sheetViews>
    <sheetView showGridLines="0" topLeftCell="A3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431</v>
      </c>
      <c r="D2" s="234"/>
      <c r="E2" s="234"/>
      <c r="F2" s="142"/>
      <c r="G2" s="142"/>
      <c r="H2" s="411"/>
    </row>
    <row r="3" spans="1:16">
      <c r="A3" s="143"/>
      <c r="B3" s="138" t="s">
        <v>71</v>
      </c>
      <c r="C3" s="557">
        <f>'[5]Sch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'[5]Sch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'[5]Sch B'!E10</f>
        <v>2334352.0099999998</v>
      </c>
      <c r="D12" s="480">
        <f>'[5]Sch B'!G10</f>
        <v>0</v>
      </c>
      <c r="E12" s="480"/>
      <c r="F12" s="166">
        <f>C12+D12+E12</f>
        <v>2334352.0099999998</v>
      </c>
      <c r="G12" s="626">
        <v>1065065</v>
      </c>
      <c r="H12" s="626"/>
      <c r="I12" s="166">
        <f>F12+G12+H12</f>
        <v>3399417.01</v>
      </c>
      <c r="J12" s="167">
        <f>IF($I$26=0,0,I12/$I$26)</f>
        <v>0.48988618361227337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'[5]Sch B'!E12</f>
        <v>101943.34</v>
      </c>
      <c r="D13" s="480">
        <f>'[5]Sch B'!G12</f>
        <v>0</v>
      </c>
      <c r="E13" s="480"/>
      <c r="F13" s="166">
        <f t="shared" ref="F13:F25" si="0">C13+D13+E13</f>
        <v>101943.34</v>
      </c>
      <c r="G13" s="626"/>
      <c r="H13" s="626"/>
      <c r="I13" s="166">
        <f t="shared" ref="I13:I25" si="1">F13+G13+H13</f>
        <v>101943.34</v>
      </c>
      <c r="J13" s="167">
        <f>IF($I$26=0,0,I13/$I$26)</f>
        <v>1.4690940720240856E-2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'[5]Sch B'!E13</f>
        <v>0</v>
      </c>
      <c r="D14" s="480">
        <f>'[5]Sch B'!G13</f>
        <v>0</v>
      </c>
      <c r="E14" s="480"/>
      <c r="F14" s="166">
        <f t="shared" si="0"/>
        <v>0</v>
      </c>
      <c r="G14" s="626"/>
      <c r="H14" s="62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'[5]Sch B'!E14</f>
        <v>93285.22</v>
      </c>
      <c r="D15" s="480">
        <f>'[5]Sch B'!G14</f>
        <v>0</v>
      </c>
      <c r="E15" s="480"/>
      <c r="F15" s="166">
        <f t="shared" si="0"/>
        <v>93285.22</v>
      </c>
      <c r="G15" s="626"/>
      <c r="H15" s="626"/>
      <c r="I15" s="166">
        <f t="shared" si="1"/>
        <v>93285.22</v>
      </c>
      <c r="J15" s="167">
        <f>IF($I$26=0,0,I15/$I$26)</f>
        <v>1.3443228729749552E-2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'[5]Sch B'!E15</f>
        <v>2529580.5699999998</v>
      </c>
      <c r="D16" s="480">
        <f>'[5]Sch B'!G15</f>
        <v>0</v>
      </c>
      <c r="E16" s="480"/>
      <c r="F16" s="166">
        <f t="shared" si="0"/>
        <v>2529580.5699999998</v>
      </c>
      <c r="G16" s="626"/>
      <c r="H16" s="626"/>
      <c r="I16" s="166">
        <f>SUM(I12:I15)</f>
        <v>3594645.57</v>
      </c>
      <c r="J16" s="167">
        <f t="shared" ref="J16:J26" si="2">IF($I$26=0,0,I16/$I$26)</f>
        <v>0.51802035306226379</v>
      </c>
      <c r="K16" s="458"/>
      <c r="L16" s="333" t="s">
        <v>325</v>
      </c>
      <c r="M16" s="334">
        <f>I26</f>
        <v>6939197.5600000005</v>
      </c>
      <c r="O16" s="324">
        <f>IFERROR(I16/I224,0)</f>
        <v>299.67866360983743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'[5]Sch B'!E20</f>
        <v>0</v>
      </c>
      <c r="D17" s="480">
        <f>'[5]Sch B'!G20</f>
        <v>0</v>
      </c>
      <c r="E17" s="480"/>
      <c r="F17" s="166">
        <f t="shared" si="0"/>
        <v>0</v>
      </c>
      <c r="G17" s="626"/>
      <c r="H17" s="62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6885728.5054134903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'[5]Sch B'!E26</f>
        <v>1336273.9400000004</v>
      </c>
      <c r="D18" s="480">
        <f>'[5]Sch B'!G26</f>
        <v>0</v>
      </c>
      <c r="E18" s="480"/>
      <c r="F18" s="166">
        <f t="shared" si="0"/>
        <v>1336273.9400000004</v>
      </c>
      <c r="G18" s="626"/>
      <c r="H18" s="626"/>
      <c r="I18" s="166">
        <f t="shared" si="1"/>
        <v>1336273.9400000004</v>
      </c>
      <c r="J18" s="167">
        <f t="shared" si="2"/>
        <v>0.19256894308684308</v>
      </c>
      <c r="K18" s="458"/>
      <c r="L18" s="335" t="s">
        <v>327</v>
      </c>
      <c r="M18" s="336">
        <f>I233</f>
        <v>22740</v>
      </c>
      <c r="O18" s="324">
        <f t="shared" si="3"/>
        <v>525.67818253343842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'[5]Sch B'!E32</f>
        <v>0</v>
      </c>
      <c r="D19" s="480">
        <f>'[5]Sch B'!G32</f>
        <v>0</v>
      </c>
      <c r="E19" s="480"/>
      <c r="F19" s="166">
        <f t="shared" si="0"/>
        <v>0</v>
      </c>
      <c r="G19" s="626"/>
      <c r="H19" s="62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120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'[5]Sch B'!E37</f>
        <v>0</v>
      </c>
      <c r="D20" s="480">
        <f>'[5]Sch B'!G37</f>
        <v>0</v>
      </c>
      <c r="E20" s="480"/>
      <c r="F20" s="166">
        <f t="shared" si="0"/>
        <v>0</v>
      </c>
      <c r="G20" s="626"/>
      <c r="H20" s="62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'[5]Sch B'!E42</f>
        <v>2008278.0500000003</v>
      </c>
      <c r="D21" s="480">
        <f>'[5]Sch B'!G42</f>
        <v>0</v>
      </c>
      <c r="E21" s="480"/>
      <c r="F21" s="166">
        <f t="shared" si="0"/>
        <v>2008278.0500000003</v>
      </c>
      <c r="G21" s="626"/>
      <c r="H21" s="626"/>
      <c r="I21" s="166">
        <f t="shared" si="1"/>
        <v>2008278.0500000003</v>
      </c>
      <c r="J21" s="167">
        <f t="shared" si="2"/>
        <v>0.28941070385089313</v>
      </c>
      <c r="K21" s="458"/>
      <c r="L21" s="337"/>
      <c r="M21" s="336"/>
      <c r="O21" s="324">
        <f t="shared" si="3"/>
        <v>279.00500833564882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'[5]Sch B'!E47</f>
        <v>0</v>
      </c>
      <c r="D22" s="480">
        <f>'[5]Sch B'!G47</f>
        <v>0</v>
      </c>
      <c r="E22" s="480"/>
      <c r="F22" s="166">
        <f t="shared" si="0"/>
        <v>0</v>
      </c>
      <c r="G22" s="626"/>
      <c r="H22" s="62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169389.30473227857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'[5]Sch B'!E52</f>
        <v>0</v>
      </c>
      <c r="D23" s="480">
        <f>'[5]Sch B'!G52</f>
        <v>0</v>
      </c>
      <c r="E23" s="480"/>
      <c r="F23" s="166">
        <f t="shared" si="0"/>
        <v>0</v>
      </c>
      <c r="G23" s="626"/>
      <c r="H23" s="62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181594.42193942971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'[5]Sch B'!E57</f>
        <v>0</v>
      </c>
      <c r="D24" s="480">
        <f>'[5]Sch B'!G57</f>
        <v>0</v>
      </c>
      <c r="E24" s="480"/>
      <c r="F24" s="166">
        <f t="shared" si="0"/>
        <v>0</v>
      </c>
      <c r="G24" s="626"/>
      <c r="H24" s="62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'[5]Sch B'!E72</f>
        <v>35596.159999999996</v>
      </c>
      <c r="D25" s="480">
        <f>'[5]Sch B'!G72</f>
        <v>-35596.159999999996</v>
      </c>
      <c r="E25" s="480"/>
      <c r="F25" s="166">
        <f t="shared" si="0"/>
        <v>0</v>
      </c>
      <c r="G25" s="626"/>
      <c r="H25" s="626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5909728.7200000007</v>
      </c>
      <c r="D26" s="480">
        <f t="shared" ref="D26:F26" si="4">SUM(D16:D25)</f>
        <v>-35596.159999999996</v>
      </c>
      <c r="E26" s="480">
        <f t="shared" si="4"/>
        <v>0</v>
      </c>
      <c r="F26" s="166">
        <f t="shared" si="4"/>
        <v>5874132.5600000005</v>
      </c>
      <c r="G26" s="166">
        <f>SUM(G12:G25)</f>
        <v>1065065</v>
      </c>
      <c r="H26" s="166">
        <f>SUM(H12:H25)</f>
        <v>0</v>
      </c>
      <c r="I26" s="166">
        <f>SUM(I16:I25)</f>
        <v>6939197.5600000005</v>
      </c>
      <c r="J26" s="167">
        <f t="shared" si="2"/>
        <v>1</v>
      </c>
      <c r="K26" s="458"/>
      <c r="L26" s="163"/>
      <c r="M26" s="163"/>
      <c r="O26" s="324">
        <f>IFERROR(I26/I233,0)</f>
        <v>305.15380650835533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'[5]Sch C'!D10</f>
        <v>81870.350000000006</v>
      </c>
      <c r="D30" s="480">
        <f>'[5]Sch C'!F10</f>
        <v>-68.087667722380914</v>
      </c>
      <c r="E30" s="480">
        <f>+'[5]Sch C'!H10</f>
        <v>16848.179435115409</v>
      </c>
      <c r="F30" s="166">
        <f t="shared" ref="F30:F65" si="5">C30+D30+E30</f>
        <v>98650.441767393029</v>
      </c>
      <c r="G30" s="626"/>
      <c r="H30" s="626"/>
      <c r="I30" s="166">
        <f t="shared" ref="I30:I65" si="6">F30+G30+H30</f>
        <v>98650.441767393029</v>
      </c>
      <c r="J30" s="167">
        <f>IF($I$213=0,0,I30/$I$213)</f>
        <v>1.4326798056274662E-2</v>
      </c>
      <c r="K30" s="458"/>
      <c r="L30" s="176">
        <v>1255</v>
      </c>
      <c r="M30" s="176">
        <v>1335</v>
      </c>
      <c r="O30" s="324">
        <f>I30/I$233</f>
        <v>4.3381900513365448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'[5]Sch C'!D11</f>
        <v>0</v>
      </c>
      <c r="D31" s="480">
        <f>'[5]Sch C'!F11</f>
        <v>0</v>
      </c>
      <c r="E31" s="480">
        <f>+'[5]Sch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'[5]Sch C'!D12</f>
        <v>68383.569999999992</v>
      </c>
      <c r="D32" s="480">
        <f>'[5]Sch C'!F12</f>
        <v>2267.5240543189211</v>
      </c>
      <c r="E32" s="480">
        <f>+'[5]Sch C'!H12</f>
        <v>130069.54649608904</v>
      </c>
      <c r="F32" s="166">
        <f t="shared" si="5"/>
        <v>200720.64055040793</v>
      </c>
      <c r="G32" s="626"/>
      <c r="H32" s="626"/>
      <c r="I32" s="166">
        <f t="shared" si="6"/>
        <v>200720.64055040793</v>
      </c>
      <c r="J32" s="167">
        <f t="shared" si="7"/>
        <v>2.9150240296666269E-2</v>
      </c>
      <c r="K32" s="458"/>
      <c r="L32" s="176">
        <v>11339</v>
      </c>
      <c r="M32" s="176">
        <v>12337</v>
      </c>
      <c r="O32" s="324">
        <f t="shared" si="8"/>
        <v>8.8267651957083526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'[5]Sch C'!D13</f>
        <v>519820.52000000008</v>
      </c>
      <c r="D33" s="480">
        <f>'[5]Sch C'!F13</f>
        <v>-491466.60077759274</v>
      </c>
      <c r="E33" s="480">
        <f>+'[5]Sch C'!H13</f>
        <v>27426.92041714878</v>
      </c>
      <c r="F33" s="166">
        <f t="shared" si="5"/>
        <v>55780.839639556114</v>
      </c>
      <c r="G33" s="626"/>
      <c r="H33" s="626"/>
      <c r="I33" s="166">
        <f t="shared" si="6"/>
        <v>55780.839639556114</v>
      </c>
      <c r="J33" s="167">
        <f t="shared" si="7"/>
        <v>8.1009350856197388E-3</v>
      </c>
      <c r="K33" s="458"/>
      <c r="L33" s="163"/>
      <c r="M33" s="163"/>
      <c r="O33" s="324">
        <f t="shared" si="8"/>
        <v>2.4529832735073049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'[5]Sch C'!D14</f>
        <v>0</v>
      </c>
      <c r="D34" s="480">
        <f>'[5]Sch C'!F14</f>
        <v>0</v>
      </c>
      <c r="E34" s="480">
        <f>+'[5]Sch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'[5]Sch C'!D15</f>
        <v>345715</v>
      </c>
      <c r="D35" s="480">
        <f>'[5]Sch C'!F15</f>
        <v>0</v>
      </c>
      <c r="E35" s="480">
        <f>+'[5]Sch C'!H15</f>
        <v>-345715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'[5]Sch C'!D16</f>
        <v>0</v>
      </c>
      <c r="D36" s="480">
        <f>'[5]Sch C'!F16</f>
        <v>0</v>
      </c>
      <c r="E36" s="480">
        <f>+'[5]Sch C'!H16</f>
        <v>0</v>
      </c>
      <c r="F36" s="166">
        <f t="shared" si="5"/>
        <v>0</v>
      </c>
      <c r="G36" s="626"/>
      <c r="H36" s="62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'[5]Sch C'!D17</f>
        <v>33202.379999999997</v>
      </c>
      <c r="D37" s="480">
        <f>'[5]Sch C'!F17</f>
        <v>-33202.379999999997</v>
      </c>
      <c r="E37" s="480">
        <f>+'[5]Sch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'[5]Sch C'!D18</f>
        <v>16155.35</v>
      </c>
      <c r="D38" s="480">
        <f>'[5]Sch C'!F18</f>
        <v>0</v>
      </c>
      <c r="E38" s="480">
        <f>+'[5]Sch C'!H18</f>
        <v>0</v>
      </c>
      <c r="F38" s="166">
        <f t="shared" si="5"/>
        <v>16155.35</v>
      </c>
      <c r="G38" s="626"/>
      <c r="H38" s="626"/>
      <c r="I38" s="166">
        <f t="shared" si="6"/>
        <v>16155.35</v>
      </c>
      <c r="J38" s="167">
        <f t="shared" si="7"/>
        <v>2.3462078104442875E-3</v>
      </c>
      <c r="K38" s="458"/>
      <c r="L38" s="163"/>
      <c r="M38" s="163"/>
      <c r="O38" s="324">
        <f t="shared" si="8"/>
        <v>0.71043755496921723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'[5]Sch C'!D19</f>
        <v>17723.68</v>
      </c>
      <c r="D39" s="480">
        <f>'[5]Sch C'!F19</f>
        <v>0</v>
      </c>
      <c r="E39" s="480">
        <f>+'[5]Sch C'!H19</f>
        <v>652.78871062839096</v>
      </c>
      <c r="F39" s="166">
        <f t="shared" si="5"/>
        <v>18376.468710628393</v>
      </c>
      <c r="G39" s="626"/>
      <c r="H39" s="626"/>
      <c r="I39" s="166">
        <f t="shared" si="6"/>
        <v>18376.468710628393</v>
      </c>
      <c r="J39" s="167">
        <f t="shared" si="7"/>
        <v>2.6687762516603725E-3</v>
      </c>
      <c r="K39" s="458"/>
      <c r="L39" s="163"/>
      <c r="M39" s="163"/>
      <c r="O39" s="324">
        <f t="shared" si="8"/>
        <v>0.80811208050256789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'[5]Sch C'!D20</f>
        <v>70718.740000000005</v>
      </c>
      <c r="D40" s="480">
        <f>'[5]Sch C'!F20</f>
        <v>0</v>
      </c>
      <c r="E40" s="480">
        <f>+'[5]Sch C'!H20</f>
        <v>0.77358990242432768</v>
      </c>
      <c r="F40" s="166">
        <f t="shared" si="5"/>
        <v>70719.513589902432</v>
      </c>
      <c r="G40" s="626"/>
      <c r="H40" s="626"/>
      <c r="I40" s="166">
        <f t="shared" si="6"/>
        <v>70719.513589902432</v>
      </c>
      <c r="J40" s="167">
        <f t="shared" si="7"/>
        <v>1.0270447569099402E-2</v>
      </c>
      <c r="K40" s="458"/>
      <c r="L40" s="163"/>
      <c r="M40" s="163"/>
      <c r="O40" s="324">
        <f t="shared" si="8"/>
        <v>3.1099170444108371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'[5]Sch C'!D21</f>
        <v>80686.63</v>
      </c>
      <c r="D41" s="480">
        <f>'[5]Sch C'!F21</f>
        <v>0</v>
      </c>
      <c r="E41" s="480">
        <f>+'[5]Sch C'!H21</f>
        <v>0</v>
      </c>
      <c r="F41" s="166">
        <f t="shared" si="5"/>
        <v>80686.63</v>
      </c>
      <c r="G41" s="626"/>
      <c r="H41" s="626"/>
      <c r="I41" s="166">
        <f t="shared" si="6"/>
        <v>80686.63</v>
      </c>
      <c r="J41" s="167">
        <f t="shared" si="7"/>
        <v>1.1717951112444383E-2</v>
      </c>
      <c r="K41" s="458"/>
      <c r="L41" s="163"/>
      <c r="M41" s="163"/>
      <c r="O41" s="324">
        <f t="shared" si="8"/>
        <v>3.5482247141600705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'[5]Sch C'!D22</f>
        <v>0</v>
      </c>
      <c r="D42" s="480">
        <f>'[5]Sch C'!F22</f>
        <v>0</v>
      </c>
      <c r="E42" s="480">
        <f>+'[5]Sch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'[5]Sch C'!D23</f>
        <v>14197.760000000002</v>
      </c>
      <c r="D43" s="480">
        <f>'[5]Sch C'!F23</f>
        <v>0</v>
      </c>
      <c r="E43" s="480">
        <f>+'[5]Sch C'!H23</f>
        <v>860.1878723350743</v>
      </c>
      <c r="F43" s="166">
        <f t="shared" si="5"/>
        <v>15057.947872335077</v>
      </c>
      <c r="G43" s="626"/>
      <c r="H43" s="626"/>
      <c r="I43" s="166">
        <f t="shared" si="6"/>
        <v>15057.947872335077</v>
      </c>
      <c r="J43" s="167">
        <f t="shared" si="7"/>
        <v>2.1868343865862078E-3</v>
      </c>
      <c r="K43" s="458"/>
      <c r="L43" s="163"/>
      <c r="M43" s="163"/>
      <c r="O43" s="324">
        <f t="shared" si="8"/>
        <v>0.6621788862064677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'[5]Sch C'!D24</f>
        <v>27046.28</v>
      </c>
      <c r="D44" s="480">
        <f>'[5]Sch C'!F24</f>
        <v>0</v>
      </c>
      <c r="E44" s="480">
        <f>+'[5]Sch C'!H24</f>
        <v>0</v>
      </c>
      <c r="F44" s="166">
        <f t="shared" si="5"/>
        <v>27046.28</v>
      </c>
      <c r="G44" s="626"/>
      <c r="H44" s="626"/>
      <c r="I44" s="166">
        <f t="shared" si="6"/>
        <v>27046.28</v>
      </c>
      <c r="J44" s="167">
        <f t="shared" si="7"/>
        <v>3.9278748760913952E-3</v>
      </c>
      <c r="K44" s="458"/>
      <c r="L44" s="163"/>
      <c r="M44" s="163"/>
      <c r="O44" s="324">
        <f t="shared" si="8"/>
        <v>1.1893702726473174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'[5]Sch C'!D25</f>
        <v>0</v>
      </c>
      <c r="D45" s="480">
        <f>'[5]Sch C'!F25</f>
        <v>0</v>
      </c>
      <c r="E45" s="480">
        <f>+'[5]Sch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'[5]Sch C'!D26</f>
        <v>377465.42</v>
      </c>
      <c r="D46" s="480">
        <f>'[5]Sch C'!F26</f>
        <v>0</v>
      </c>
      <c r="E46" s="480">
        <f>+'[5]Sch C'!H26</f>
        <v>0</v>
      </c>
      <c r="F46" s="166">
        <f t="shared" si="5"/>
        <v>377465.42</v>
      </c>
      <c r="G46" s="626"/>
      <c r="H46" s="626"/>
      <c r="I46" s="166">
        <f t="shared" si="6"/>
        <v>377465.42</v>
      </c>
      <c r="J46" s="167">
        <f t="shared" si="7"/>
        <v>5.4818516254778342E-2</v>
      </c>
      <c r="K46" s="458"/>
      <c r="L46" s="163"/>
      <c r="M46" s="163"/>
      <c r="O46" s="324">
        <f t="shared" si="8"/>
        <v>16.599182937554968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'[5]Sch C'!D27</f>
        <v>0</v>
      </c>
      <c r="D47" s="480">
        <f>'[5]Sch C'!F27</f>
        <v>0</v>
      </c>
      <c r="E47" s="480">
        <f>+'[5]Sch C'!H27</f>
        <v>4216.452580480699</v>
      </c>
      <c r="F47" s="166">
        <f t="shared" si="5"/>
        <v>4216.452580480699</v>
      </c>
      <c r="G47" s="626"/>
      <c r="H47" s="626"/>
      <c r="I47" s="166">
        <f t="shared" si="6"/>
        <v>4216.452580480699</v>
      </c>
      <c r="J47" s="167">
        <f t="shared" si="7"/>
        <v>6.1234662057409997E-4</v>
      </c>
      <c r="K47" s="458"/>
      <c r="L47" s="163"/>
      <c r="M47" s="163"/>
      <c r="O47" s="324">
        <f t="shared" si="8"/>
        <v>0.18542007829730425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'[5]Sch C'!D28</f>
        <v>0</v>
      </c>
      <c r="D48" s="480">
        <f>'[5]Sch C'!F28</f>
        <v>0</v>
      </c>
      <c r="E48" s="480">
        <f>+'[5]Sch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'[5]Sch C'!D29</f>
        <v>64451</v>
      </c>
      <c r="D49" s="480">
        <f>'[5]Sch C'!F29</f>
        <v>-64451</v>
      </c>
      <c r="E49" s="480">
        <f>+'[5]Sch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'[5]Sch C'!D30</f>
        <v>8216.11</v>
      </c>
      <c r="D50" s="480">
        <f>'[5]Sch C'!F30</f>
        <v>-8216.11</v>
      </c>
      <c r="E50" s="480">
        <f>+'[5]Sch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'[5]Sch C'!D31</f>
        <v>62528</v>
      </c>
      <c r="D51" s="480">
        <f>'[5]Sch C'!F31</f>
        <v>0</v>
      </c>
      <c r="E51" s="480">
        <f>+'[5]Sch C'!H31</f>
        <v>0</v>
      </c>
      <c r="F51" s="166">
        <f t="shared" si="5"/>
        <v>62528</v>
      </c>
      <c r="G51" s="626"/>
      <c r="H51" s="626"/>
      <c r="I51" s="166">
        <f t="shared" si="6"/>
        <v>62528</v>
      </c>
      <c r="J51" s="167">
        <f t="shared" si="7"/>
        <v>9.0808111227215996E-3</v>
      </c>
      <c r="K51" s="458"/>
      <c r="L51" s="163"/>
      <c r="M51" s="163"/>
      <c r="O51" s="324">
        <f t="shared" si="8"/>
        <v>2.7496921723834653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'[5]Sch C'!D32</f>
        <v>73506.759999999995</v>
      </c>
      <c r="D52" s="480">
        <f>'[5]Sch C'!F32</f>
        <v>0</v>
      </c>
      <c r="E52" s="480">
        <f>+'[5]Sch C'!H32</f>
        <v>962.40687562418213</v>
      </c>
      <c r="F52" s="166">
        <f t="shared" si="5"/>
        <v>74469.166875624171</v>
      </c>
      <c r="G52" s="626"/>
      <c r="H52" s="626"/>
      <c r="I52" s="166">
        <f t="shared" si="6"/>
        <v>74469.166875624171</v>
      </c>
      <c r="J52" s="167">
        <f t="shared" si="7"/>
        <v>1.0815001900972027E-2</v>
      </c>
      <c r="K52" s="458"/>
      <c r="L52" s="163"/>
      <c r="M52" s="163"/>
      <c r="O52" s="324">
        <f t="shared" si="8"/>
        <v>3.2748094492358915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'[5]Sch C'!D33</f>
        <v>0</v>
      </c>
      <c r="D53" s="480">
        <f>'[5]Sch C'!F33</f>
        <v>0</v>
      </c>
      <c r="E53" s="480">
        <f>+'[5]Sch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'[5]Sch C'!D34</f>
        <v>0</v>
      </c>
      <c r="D54" s="480">
        <f>'[5]Sch C'!F34</f>
        <v>0</v>
      </c>
      <c r="E54" s="480">
        <f>+'[5]Sch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'[5]Sch C'!D35</f>
        <v>348.3</v>
      </c>
      <c r="D55" s="480">
        <f>'[5]Sch C'!F35</f>
        <v>-348.3</v>
      </c>
      <c r="E55" s="480">
        <f>+'[5]Sch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'[5]Sch C'!D36</f>
        <v>54150.95</v>
      </c>
      <c r="D56" s="480">
        <f>'[5]Sch C'!F36</f>
        <v>-45.034681484188596</v>
      </c>
      <c r="E56" s="480">
        <f>+'[5]Sch C'!H36</f>
        <v>0</v>
      </c>
      <c r="F56" s="166">
        <f t="shared" si="5"/>
        <v>54105.915318515807</v>
      </c>
      <c r="G56" s="626"/>
      <c r="H56" s="626"/>
      <c r="I56" s="166">
        <f t="shared" si="6"/>
        <v>54105.915318515807</v>
      </c>
      <c r="J56" s="167">
        <f t="shared" si="7"/>
        <v>7.8576893172564496E-3</v>
      </c>
      <c r="K56" s="458"/>
      <c r="L56" s="176">
        <v>4213</v>
      </c>
      <c r="M56" s="176">
        <v>4427</v>
      </c>
      <c r="O56" s="324">
        <f t="shared" si="8"/>
        <v>2.379327850418461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'[5]Sch C'!D37</f>
        <v>0</v>
      </c>
      <c r="D57" s="480">
        <f>'[5]Sch C'!F37</f>
        <v>10063.056314585912</v>
      </c>
      <c r="E57" s="480">
        <f>+'[5]Sch C'!H37</f>
        <v>0</v>
      </c>
      <c r="F57" s="166">
        <f t="shared" si="5"/>
        <v>10063.056314585912</v>
      </c>
      <c r="G57" s="626"/>
      <c r="H57" s="626"/>
      <c r="I57" s="166">
        <f t="shared" si="6"/>
        <v>10063.056314585912</v>
      </c>
      <c r="J57" s="167">
        <f t="shared" si="7"/>
        <v>1.4614366957213661E-3</v>
      </c>
      <c r="K57" s="458"/>
      <c r="L57" s="163"/>
      <c r="M57" s="163"/>
      <c r="O57" s="324">
        <f t="shared" si="8"/>
        <v>0.44252666291055026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'[5]Sch C'!D38</f>
        <v>0</v>
      </c>
      <c r="D58" s="480">
        <f>'[5]Sch C'!F38</f>
        <v>0</v>
      </c>
      <c r="E58" s="480">
        <f>+'[5]Sch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'[5]Sch C'!D39</f>
        <v>0</v>
      </c>
      <c r="D59" s="480">
        <f>'[5]Sch C'!F39</f>
        <v>0</v>
      </c>
      <c r="E59" s="480">
        <f>+'[5]Sch C'!H39</f>
        <v>0</v>
      </c>
      <c r="F59" s="166">
        <f t="shared" si="5"/>
        <v>0</v>
      </c>
      <c r="G59" s="626"/>
      <c r="H59" s="626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'[5]Sch C'!D40</f>
        <v>0</v>
      </c>
      <c r="D60" s="480">
        <f>'[5]Sch C'!F40</f>
        <v>0</v>
      </c>
      <c r="E60" s="480">
        <f>+'[5]Sch C'!H40</f>
        <v>0</v>
      </c>
      <c r="F60" s="166">
        <f t="shared" si="5"/>
        <v>0</v>
      </c>
      <c r="G60" s="626"/>
      <c r="H60" s="62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'[5]Sch C'!D41</f>
        <v>40355.54</v>
      </c>
      <c r="D61" s="480">
        <f>'[5]Sch C'!F41</f>
        <v>0</v>
      </c>
      <c r="E61" s="480">
        <f>+'[5]Sch C'!H41</f>
        <v>15274.628498161015</v>
      </c>
      <c r="F61" s="166">
        <f t="shared" si="5"/>
        <v>55630.168498161016</v>
      </c>
      <c r="G61" s="626"/>
      <c r="H61" s="626"/>
      <c r="I61" s="166">
        <f t="shared" si="6"/>
        <v>55630.168498161016</v>
      </c>
      <c r="J61" s="167">
        <f t="shared" si="7"/>
        <v>8.0790534297750984E-3</v>
      </c>
      <c r="K61" s="458"/>
      <c r="L61" s="163"/>
      <c r="M61" s="163"/>
      <c r="O61" s="324">
        <f t="shared" si="8"/>
        <v>2.4463574537449877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'[5]Sch C'!D42</f>
        <v>10218</v>
      </c>
      <c r="D62" s="480">
        <f>'[5]Sch C'!F42</f>
        <v>0</v>
      </c>
      <c r="E62" s="480">
        <f>+'[5]Sch C'!H42</f>
        <v>0</v>
      </c>
      <c r="F62" s="166">
        <f t="shared" si="5"/>
        <v>10218</v>
      </c>
      <c r="G62" s="626"/>
      <c r="H62" s="626"/>
      <c r="I62" s="166">
        <f t="shared" si="6"/>
        <v>10218</v>
      </c>
      <c r="J62" s="167">
        <f t="shared" si="7"/>
        <v>1.4839388442292941E-3</v>
      </c>
      <c r="K62" s="458"/>
      <c r="L62" s="163"/>
      <c r="M62" s="163"/>
      <c r="O62" s="324">
        <f t="shared" si="8"/>
        <v>0.44934036939313982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'[5]Sch C'!D43</f>
        <v>11870.1</v>
      </c>
      <c r="D63" s="480">
        <f>'[5]Sch C'!F43</f>
        <v>-11870.1</v>
      </c>
      <c r="E63" s="480">
        <f>+'[5]Sch C'!H43</f>
        <v>0</v>
      </c>
      <c r="F63" s="166">
        <f t="shared" si="5"/>
        <v>0</v>
      </c>
      <c r="G63" s="626"/>
      <c r="H63" s="62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'[5]Sch C'!D44</f>
        <v>0</v>
      </c>
      <c r="D64" s="480">
        <f>'[5]Sch C'!F44</f>
        <v>0</v>
      </c>
      <c r="E64" s="480">
        <f>+'[5]Sch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'[5]Sch C'!D45</f>
        <v>49146.52</v>
      </c>
      <c r="D65" s="480">
        <f>'[5]Sch C'!F45</f>
        <v>-40414.42</v>
      </c>
      <c r="E65" s="480">
        <f>+'[5]Sch C'!H45</f>
        <v>0</v>
      </c>
      <c r="F65" s="166">
        <f t="shared" si="5"/>
        <v>8732.0999999999985</v>
      </c>
      <c r="G65" s="626"/>
      <c r="H65" s="626"/>
      <c r="I65" s="166">
        <f t="shared" si="6"/>
        <v>8732.0999999999985</v>
      </c>
      <c r="J65" s="167">
        <f t="shared" si="7"/>
        <v>1.2681446840570188E-3</v>
      </c>
      <c r="K65" s="457"/>
      <c r="L65" s="163"/>
      <c r="M65" s="163"/>
      <c r="O65" s="324">
        <f t="shared" si="8"/>
        <v>0.38399736147757252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2027776.9600000004</v>
      </c>
      <c r="D66" s="480">
        <f t="shared" si="9"/>
        <v>-637751.45275789453</v>
      </c>
      <c r="E66" s="480">
        <f t="shared" si="9"/>
        <v>-149403.11552451499</v>
      </c>
      <c r="F66" s="166">
        <f t="shared" ref="F66:I66" si="10">SUM(F30:F65)</f>
        <v>1240622.3917175909</v>
      </c>
      <c r="G66" s="166">
        <f t="shared" si="10"/>
        <v>0</v>
      </c>
      <c r="H66" s="166">
        <f t="shared" si="10"/>
        <v>0</v>
      </c>
      <c r="I66" s="166">
        <f t="shared" si="10"/>
        <v>1240622.3917175909</v>
      </c>
      <c r="J66" s="178">
        <f t="shared" si="7"/>
        <v>0.18017300431497205</v>
      </c>
      <c r="K66" s="465"/>
      <c r="L66" s="163"/>
      <c r="M66" s="163"/>
      <c r="O66" s="329">
        <f>I66/I$233</f>
        <v>54.556833408865032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'[5]Sch C'!D57</f>
        <v>284726.03000000003</v>
      </c>
      <c r="D69" s="480">
        <f>'[5]Sch C'!F57</f>
        <v>0</v>
      </c>
      <c r="E69" s="480">
        <f>+'[5]Sch C'!H57</f>
        <v>-284726</v>
      </c>
      <c r="F69" s="166">
        <f>C69+D69+E69</f>
        <v>3.0000000027939677E-2</v>
      </c>
      <c r="G69" s="626"/>
      <c r="H69" s="626"/>
      <c r="I69" s="166">
        <f>F69+G69+H69</f>
        <v>3.0000000027939677E-2</v>
      </c>
      <c r="J69" s="167">
        <f t="shared" ref="J69:J84" si="11">IF($I$213=0,0,I69/$I$213)</f>
        <v>4.3568374797748675E-9</v>
      </c>
      <c r="K69" s="458"/>
      <c r="L69" s="182"/>
      <c r="M69" s="163"/>
      <c r="O69" s="324">
        <f t="shared" ref="O69:O84" si="12">I69/I$233</f>
        <v>1.3192612149489743E-6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'[5]Sch C'!D58</f>
        <v>41500</v>
      </c>
      <c r="D70" s="480">
        <f>'[5]Sch C'!F58</f>
        <v>0</v>
      </c>
      <c r="E70" s="480">
        <f>+'[5]Sch C'!H58</f>
        <v>257167</v>
      </c>
      <c r="F70" s="166">
        <f t="shared" ref="F70:F83" si="13">C70+D70+E70</f>
        <v>298667</v>
      </c>
      <c r="G70" s="626"/>
      <c r="H70" s="626"/>
      <c r="I70" s="166">
        <f t="shared" ref="I70:I83" si="14">F70+G70+H70</f>
        <v>298667</v>
      </c>
      <c r="J70" s="167">
        <f t="shared" si="11"/>
        <v>4.3374785945334761E-2</v>
      </c>
      <c r="K70" s="458"/>
      <c r="L70" s="182"/>
      <c r="M70" s="163"/>
      <c r="O70" s="324">
        <f t="shared" si="12"/>
        <v>13.133992963940193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'[5]Sch C'!D59</f>
        <v>0</v>
      </c>
      <c r="D71" s="480">
        <f>'[5]Sch C'!F59</f>
        <v>0</v>
      </c>
      <c r="E71" s="480">
        <f>+'[5]Sch C'!H59</f>
        <v>997367.44</v>
      </c>
      <c r="F71" s="166">
        <f t="shared" si="13"/>
        <v>997367.44</v>
      </c>
      <c r="G71" s="626"/>
      <c r="H71" s="626"/>
      <c r="I71" s="166">
        <f t="shared" si="14"/>
        <v>997367.44</v>
      </c>
      <c r="J71" s="167">
        <f t="shared" si="11"/>
        <v>0.14484559465507241</v>
      </c>
      <c r="K71" s="458"/>
      <c r="L71" s="182"/>
      <c r="M71" s="163"/>
      <c r="O71" s="324">
        <f t="shared" si="12"/>
        <v>43.859605980650834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'[5]Sch C'!D60</f>
        <v>0</v>
      </c>
      <c r="D72" s="480">
        <f>'[5]Sch C'!F60</f>
        <v>0</v>
      </c>
      <c r="E72" s="480">
        <f>+'[5]Sch C'!H60</f>
        <v>27444.582072567075</v>
      </c>
      <c r="F72" s="166">
        <f t="shared" si="13"/>
        <v>27444.582072567075</v>
      </c>
      <c r="G72" s="626"/>
      <c r="H72" s="626"/>
      <c r="I72" s="166">
        <f t="shared" si="14"/>
        <v>27444.582072567075</v>
      </c>
      <c r="J72" s="167">
        <f t="shared" si="11"/>
        <v>3.9857194559719308E-3</v>
      </c>
      <c r="K72" s="458"/>
      <c r="L72" s="185"/>
      <c r="M72" s="163"/>
      <c r="O72" s="324">
        <f t="shared" si="12"/>
        <v>1.206885755170056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'[5]Sch C'!D61</f>
        <v>0</v>
      </c>
      <c r="D73" s="480">
        <f>'[5]Sch C'!F61</f>
        <v>0</v>
      </c>
      <c r="E73" s="480">
        <f>+'[5]Sch C'!H61</f>
        <v>0</v>
      </c>
      <c r="F73" s="166">
        <f t="shared" si="13"/>
        <v>0</v>
      </c>
      <c r="G73" s="626"/>
      <c r="H73" s="62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'[5]Sch C'!D62</f>
        <v>0</v>
      </c>
      <c r="D74" s="480">
        <f>'[5]Sch C'!F62</f>
        <v>0</v>
      </c>
      <c r="E74" s="480">
        <f>+'[5]Sch C'!H62</f>
        <v>0</v>
      </c>
      <c r="F74" s="166">
        <f t="shared" si="13"/>
        <v>0</v>
      </c>
      <c r="G74" s="626"/>
      <c r="H74" s="62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'[5]Sch C'!D63</f>
        <v>0</v>
      </c>
      <c r="D75" s="480">
        <f>'[5]Sch C'!F63</f>
        <v>0</v>
      </c>
      <c r="E75" s="480">
        <f>+'[5]Sch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'[5]Sch C'!D64</f>
        <v>0</v>
      </c>
      <c r="D76" s="480">
        <f>'[5]Sch C'!F64</f>
        <v>0</v>
      </c>
      <c r="E76" s="480">
        <f>+'[5]Sch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'[5]Sch C'!D65</f>
        <v>0</v>
      </c>
      <c r="D77" s="480">
        <f>'[5]Sch C'!F65</f>
        <v>0</v>
      </c>
      <c r="E77" s="480">
        <f>+'[5]Sch C'!H65</f>
        <v>0</v>
      </c>
      <c r="F77" s="166">
        <f t="shared" si="13"/>
        <v>0</v>
      </c>
      <c r="G77" s="626"/>
      <c r="H77" s="62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'[5]Sch C'!D66</f>
        <v>12580.88</v>
      </c>
      <c r="D78" s="480">
        <f>'[5]Sch C'!F66</f>
        <v>0</v>
      </c>
      <c r="E78" s="480">
        <f>+'[5]Sch C'!H66</f>
        <v>2442.1901191304564</v>
      </c>
      <c r="F78" s="166">
        <f t="shared" si="13"/>
        <v>15023.070119130456</v>
      </c>
      <c r="G78" s="626">
        <f>6426.51+13588.22</f>
        <v>20014.73</v>
      </c>
      <c r="H78" s="626"/>
      <c r="I78" s="166">
        <f t="shared" si="14"/>
        <v>35037.800119130457</v>
      </c>
      <c r="J78" s="167">
        <f t="shared" si="11"/>
        <v>5.0884666875239265E-3</v>
      </c>
      <c r="K78" s="458" t="s">
        <v>626</v>
      </c>
      <c r="L78" s="187"/>
      <c r="M78" s="163"/>
      <c r="O78" s="324">
        <f t="shared" si="12"/>
        <v>1.5408003570417967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'[5]Sch C'!D67</f>
        <v>0</v>
      </c>
      <c r="D79" s="480">
        <f>'[5]Sch C'!F67</f>
        <v>0</v>
      </c>
      <c r="E79" s="480">
        <f>+'[5]Sch C'!H67</f>
        <v>0</v>
      </c>
      <c r="F79" s="166">
        <f t="shared" si="13"/>
        <v>0</v>
      </c>
      <c r="G79" s="626"/>
      <c r="H79" s="62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'[5]Sch C'!D68</f>
        <v>0</v>
      </c>
      <c r="D80" s="480">
        <f>'[5]Sch C'!F68</f>
        <v>0</v>
      </c>
      <c r="E80" s="480">
        <f>+'[5]Sch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'[5]Sch C'!D69</f>
        <v>0</v>
      </c>
      <c r="D81" s="480">
        <f>'[5]Sch C'!F69</f>
        <v>0</v>
      </c>
      <c r="E81" s="480">
        <f>+'[5]Sch C'!H69</f>
        <v>0</v>
      </c>
      <c r="F81" s="166">
        <f t="shared" si="13"/>
        <v>0</v>
      </c>
      <c r="G81" s="626"/>
      <c r="H81" s="62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'[5]Sch C'!D70</f>
        <v>0</v>
      </c>
      <c r="D82" s="480">
        <f>'[5]Sch C'!F70</f>
        <v>0</v>
      </c>
      <c r="E82" s="480">
        <f>+'[5]Sch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'[5]Sch C'!D71</f>
        <v>3468</v>
      </c>
      <c r="D83" s="480">
        <f>'[5]Sch C'!F71</f>
        <v>0</v>
      </c>
      <c r="E83" s="480">
        <f>+'[5]Sch C'!H71</f>
        <v>69.583692289635394</v>
      </c>
      <c r="F83" s="166">
        <f t="shared" si="13"/>
        <v>3537.5836922896356</v>
      </c>
      <c r="G83" s="626"/>
      <c r="H83" s="626"/>
      <c r="I83" s="166">
        <f t="shared" si="14"/>
        <v>3537.5836922896356</v>
      </c>
      <c r="J83" s="167">
        <f t="shared" si="11"/>
        <v>5.1375590680178911E-4</v>
      </c>
      <c r="K83" s="458"/>
      <c r="L83" s="187"/>
      <c r="M83" s="163"/>
      <c r="O83" s="324">
        <f t="shared" si="12"/>
        <v>0.15556656518424078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342274.91000000003</v>
      </c>
      <c r="D84" s="480">
        <f t="shared" si="15"/>
        <v>0</v>
      </c>
      <c r="E84" s="480">
        <f t="shared" si="15"/>
        <v>999764.7958839871</v>
      </c>
      <c r="F84" s="166">
        <f t="shared" ref="F84:I84" si="16">SUM(F69:F83)</f>
        <v>1342039.705883987</v>
      </c>
      <c r="G84" s="166">
        <f t="shared" si="16"/>
        <v>20014.73</v>
      </c>
      <c r="H84" s="166">
        <f t="shared" si="16"/>
        <v>0</v>
      </c>
      <c r="I84" s="166">
        <f t="shared" si="16"/>
        <v>1362054.435883987</v>
      </c>
      <c r="J84" s="167">
        <f t="shared" si="11"/>
        <v>0.19780832700754228</v>
      </c>
      <c r="K84" s="458"/>
      <c r="L84" s="187"/>
      <c r="M84" s="163"/>
      <c r="O84" s="324">
        <f t="shared" si="12"/>
        <v>59.896852941248326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'[5]Sch C'!D75</f>
        <v>48167.270000000004</v>
      </c>
      <c r="D87" s="480">
        <f>'[5]Sch C'!F75</f>
        <v>-40.058349159394488</v>
      </c>
      <c r="E87" s="480">
        <f>+'[5]Sch C'!H75</f>
        <v>0</v>
      </c>
      <c r="F87" s="166">
        <f t="shared" ref="F87:F97" si="17">C87+D87+E87</f>
        <v>48127.211650840611</v>
      </c>
      <c r="G87" s="626"/>
      <c r="H87" s="626"/>
      <c r="I87" s="166">
        <f t="shared" ref="I87:I97" si="18">F87+G87+H87</f>
        <v>48127.211650840611</v>
      </c>
      <c r="J87" s="167">
        <f t="shared" ref="J87:J98" si="19">IF($I$213=0,0,I87/$I$213)</f>
        <v>6.9894146440719358E-3</v>
      </c>
      <c r="K87" s="458"/>
      <c r="L87" s="176">
        <v>2235.5256555995456</v>
      </c>
      <c r="M87" s="176">
        <v>2463.7945200109757</v>
      </c>
      <c r="O87" s="324">
        <f t="shared" ref="O87:O97" si="20">I87/I$233</f>
        <v>2.1164121218487515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'[5]Sch C'!D76</f>
        <v>0</v>
      </c>
      <c r="D88" s="480">
        <f>'[5]Sch C'!F76</f>
        <v>8951.0352133234046</v>
      </c>
      <c r="E88" s="480">
        <f>+'[5]Sch C'!H76</f>
        <v>0</v>
      </c>
      <c r="F88" s="166">
        <f t="shared" si="17"/>
        <v>8951.0352133234046</v>
      </c>
      <c r="G88" s="626"/>
      <c r="H88" s="626"/>
      <c r="I88" s="166">
        <f t="shared" si="18"/>
        <v>8951.0352133234046</v>
      </c>
      <c r="J88" s="167">
        <f t="shared" si="19"/>
        <v>1.2999401887957376E-3</v>
      </c>
      <c r="K88" s="458"/>
      <c r="L88" s="163"/>
      <c r="M88" s="163"/>
      <c r="O88" s="324">
        <f t="shared" si="20"/>
        <v>0.39362511931941091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'[5]Sch C'!D77</f>
        <v>13803.96</v>
      </c>
      <c r="D89" s="480">
        <f>'[5]Sch C'!F77</f>
        <v>0</v>
      </c>
      <c r="E89" s="480">
        <f>+'[5]Sch C'!H77</f>
        <v>0</v>
      </c>
      <c r="F89" s="166">
        <f t="shared" si="17"/>
        <v>13803.96</v>
      </c>
      <c r="G89" s="626"/>
      <c r="H89" s="626"/>
      <c r="I89" s="166">
        <f t="shared" si="18"/>
        <v>13803.96</v>
      </c>
      <c r="J89" s="167">
        <f t="shared" si="19"/>
        <v>2.0047203413767279E-3</v>
      </c>
      <c r="K89" s="458"/>
      <c r="L89" s="163"/>
      <c r="M89" s="163"/>
      <c r="O89" s="324">
        <f t="shared" si="20"/>
        <v>0.60703430079155674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'[5]Sch C'!D78</f>
        <v>0</v>
      </c>
      <c r="D90" s="480">
        <f>'[5]Sch C'!F78</f>
        <v>0</v>
      </c>
      <c r="E90" s="480">
        <f>+'[5]Sch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'[5]Sch C'!D79</f>
        <v>0</v>
      </c>
      <c r="D91" s="480">
        <f>'[5]Sch C'!F79</f>
        <v>0</v>
      </c>
      <c r="E91" s="480">
        <f>+'[5]Sch C'!H79</f>
        <v>0</v>
      </c>
      <c r="F91" s="166">
        <f t="shared" si="17"/>
        <v>0</v>
      </c>
      <c r="G91" s="626">
        <v>19347.52</v>
      </c>
      <c r="H91" s="626"/>
      <c r="I91" s="166">
        <f t="shared" si="18"/>
        <v>19347.52</v>
      </c>
      <c r="J91" s="167">
        <f t="shared" si="19"/>
        <v>2.8098000066062983E-3</v>
      </c>
      <c r="K91" s="458" t="s">
        <v>621</v>
      </c>
      <c r="L91" s="163"/>
      <c r="M91" s="163"/>
      <c r="O91" s="324">
        <f t="shared" si="20"/>
        <v>0.85081442392260331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'[5]Sch C'!D80</f>
        <v>10149.33</v>
      </c>
      <c r="D92" s="480">
        <f>'[5]Sch C'!F80</f>
        <v>0</v>
      </c>
      <c r="E92" s="480">
        <f>+'[5]Sch C'!H80</f>
        <v>0</v>
      </c>
      <c r="F92" s="166">
        <f t="shared" si="17"/>
        <v>10149.33</v>
      </c>
      <c r="G92" s="626"/>
      <c r="H92" s="626"/>
      <c r="I92" s="166">
        <f t="shared" si="18"/>
        <v>10149.33</v>
      </c>
      <c r="J92" s="167">
        <f t="shared" si="19"/>
        <v>1.4739660432473774E-3</v>
      </c>
      <c r="K92" s="458"/>
      <c r="L92" s="163"/>
      <c r="M92" s="163"/>
      <c r="O92" s="324">
        <f t="shared" si="20"/>
        <v>0.44632058047493406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'[5]Sch C'!D81</f>
        <v>27250.260000000002</v>
      </c>
      <c r="D93" s="480">
        <f>'[5]Sch C'!F81</f>
        <v>0</v>
      </c>
      <c r="E93" s="480">
        <f>+'[5]Sch C'!H81</f>
        <v>3320.414924347011</v>
      </c>
      <c r="F93" s="166">
        <f t="shared" si="17"/>
        <v>30570.674924347011</v>
      </c>
      <c r="G93" s="626">
        <v>-5900</v>
      </c>
      <c r="H93" s="626"/>
      <c r="I93" s="166">
        <f t="shared" si="18"/>
        <v>24670.674924347011</v>
      </c>
      <c r="J93" s="167">
        <f t="shared" si="19"/>
        <v>3.5828707020544269E-3</v>
      </c>
      <c r="K93" s="458" t="s">
        <v>618</v>
      </c>
      <c r="L93" s="163"/>
      <c r="M93" s="163"/>
      <c r="O93" s="324">
        <f t="shared" si="20"/>
        <v>1.0849021514664472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'[5]Sch C'!D82</f>
        <v>11771.52</v>
      </c>
      <c r="D94" s="480">
        <f>'[5]Sch C'!F82</f>
        <v>0</v>
      </c>
      <c r="E94" s="480">
        <f>+'[5]Sch C'!H82</f>
        <v>0</v>
      </c>
      <c r="F94" s="166">
        <f t="shared" si="17"/>
        <v>11771.52</v>
      </c>
      <c r="G94" s="626">
        <v>224.28</v>
      </c>
      <c r="H94" s="626"/>
      <c r="I94" s="166">
        <f t="shared" si="18"/>
        <v>11995.800000000001</v>
      </c>
      <c r="J94" s="167">
        <f t="shared" si="19"/>
        <v>1.7421250330402983E-3</v>
      </c>
      <c r="K94" s="458" t="s">
        <v>620</v>
      </c>
      <c r="L94" s="163"/>
      <c r="M94" s="163"/>
      <c r="O94" s="324">
        <f t="shared" si="20"/>
        <v>0.52751978891820583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'[5]Sch C'!D83</f>
        <v>6382.25</v>
      </c>
      <c r="D95" s="480">
        <f>'[5]Sch C'!F83</f>
        <v>0</v>
      </c>
      <c r="E95" s="480">
        <f>+'[5]Sch C'!H83</f>
        <v>0</v>
      </c>
      <c r="F95" s="166">
        <f t="shared" si="17"/>
        <v>6382.25</v>
      </c>
      <c r="G95" s="626"/>
      <c r="H95" s="626"/>
      <c r="I95" s="166">
        <f t="shared" si="18"/>
        <v>6382.25</v>
      </c>
      <c r="J95" s="167">
        <f t="shared" si="19"/>
        <v>9.2688086597987986E-4</v>
      </c>
      <c r="K95" s="458"/>
      <c r="L95" s="163"/>
      <c r="M95" s="163"/>
      <c r="O95" s="324">
        <f t="shared" si="20"/>
        <v>0.28066182937554968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'[5]Sch C'!D84</f>
        <v>83222.69</v>
      </c>
      <c r="D96" s="480">
        <f>'[5]Sch C'!F84</f>
        <v>0</v>
      </c>
      <c r="E96" s="480">
        <f>+'[5]Sch C'!H84</f>
        <v>939.30196575279626</v>
      </c>
      <c r="F96" s="166">
        <f t="shared" si="17"/>
        <v>84161.991965752793</v>
      </c>
      <c r="G96" s="626"/>
      <c r="H96" s="626"/>
      <c r="I96" s="166">
        <f t="shared" si="18"/>
        <v>84161.991965752793</v>
      </c>
      <c r="J96" s="167">
        <f t="shared" si="19"/>
        <v>1.2222670687580187E-2</v>
      </c>
      <c r="K96" s="458"/>
      <c r="L96" s="163"/>
      <c r="M96" s="163"/>
      <c r="O96" s="324">
        <f t="shared" si="20"/>
        <v>3.7010550556619521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'[5]Sch C'!D85</f>
        <v>0</v>
      </c>
      <c r="D97" s="480">
        <f>'[5]Sch C'!F85</f>
        <v>0</v>
      </c>
      <c r="E97" s="480">
        <f>+'[5]Sch C'!H85</f>
        <v>0</v>
      </c>
      <c r="F97" s="166">
        <f t="shared" si="17"/>
        <v>0</v>
      </c>
      <c r="G97" s="626"/>
      <c r="H97" s="62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200747.28000000003</v>
      </c>
      <c r="D98" s="480">
        <f t="shared" si="21"/>
        <v>8910.9768641640094</v>
      </c>
      <c r="E98" s="480">
        <f t="shared" si="21"/>
        <v>4259.7168900998076</v>
      </c>
      <c r="F98" s="166">
        <f t="shared" ref="F98:I98" si="22">SUM(F87:F97)</f>
        <v>213917.97375426383</v>
      </c>
      <c r="G98" s="166">
        <f t="shared" si="22"/>
        <v>13671.800000000001</v>
      </c>
      <c r="H98" s="166">
        <f t="shared" si="22"/>
        <v>0</v>
      </c>
      <c r="I98" s="166">
        <f t="shared" si="22"/>
        <v>227589.77375426382</v>
      </c>
      <c r="J98" s="167">
        <f t="shared" si="19"/>
        <v>3.305238851275287E-2</v>
      </c>
      <c r="K98" s="458"/>
      <c r="L98" s="163"/>
      <c r="M98" s="163"/>
      <c r="O98" s="329">
        <f>I98/I$233</f>
        <v>10.008345371779411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'[5]Sch C'!D89</f>
        <v>253198.25</v>
      </c>
      <c r="D101" s="480">
        <f>'[5]Sch C'!F89</f>
        <v>-210.57252995753456</v>
      </c>
      <c r="E101" s="480">
        <f>+'[5]Sch C'!H89</f>
        <v>0</v>
      </c>
      <c r="F101" s="166">
        <f t="shared" ref="F101:F106" si="23">C101+D101+E101</f>
        <v>252987.67747004246</v>
      </c>
      <c r="G101" s="626"/>
      <c r="H101" s="626"/>
      <c r="I101" s="166">
        <f t="shared" ref="I101:I106" si="24">F101+G101+H101</f>
        <v>252987.67747004246</v>
      </c>
      <c r="J101" s="167">
        <f t="shared" ref="J101:J107" si="25">IF($I$213=0,0,I101/$I$213)</f>
        <v>3.6740873136538288E-2</v>
      </c>
      <c r="K101" s="458"/>
      <c r="L101" s="176">
        <v>17962.262189425506</v>
      </c>
      <c r="M101" s="176">
        <v>19226.31257413375</v>
      </c>
      <c r="O101" s="329">
        <f t="shared" ref="O101:O106" si="26">I101/I$233</f>
        <v>11.125227681180407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'[5]Sch C'!D90</f>
        <v>0</v>
      </c>
      <c r="D102" s="480">
        <f>'[5]Sch C'!F90</f>
        <v>47052.683453119076</v>
      </c>
      <c r="E102" s="480">
        <f>+'[5]Sch C'!H90</f>
        <v>0</v>
      </c>
      <c r="F102" s="166">
        <f t="shared" si="23"/>
        <v>47052.683453119076</v>
      </c>
      <c r="G102" s="626"/>
      <c r="H102" s="626"/>
      <c r="I102" s="166">
        <f t="shared" si="24"/>
        <v>47052.683453119076</v>
      </c>
      <c r="J102" s="167">
        <f t="shared" si="25"/>
        <v>6.8333631533869987E-3</v>
      </c>
      <c r="K102" s="458"/>
      <c r="L102" s="163"/>
      <c r="M102" s="163"/>
      <c r="O102" s="329">
        <f t="shared" si="26"/>
        <v>2.0691593427053245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'[5]Sch C'!D91</f>
        <v>8626.24</v>
      </c>
      <c r="D103" s="480">
        <f>'[5]Sch C'!F91</f>
        <v>0</v>
      </c>
      <c r="E103" s="480">
        <f>+'[5]Sch C'!H91</f>
        <v>0</v>
      </c>
      <c r="F103" s="166">
        <f t="shared" si="23"/>
        <v>8626.24</v>
      </c>
      <c r="G103" s="626"/>
      <c r="H103" s="626"/>
      <c r="I103" s="166">
        <f t="shared" si="24"/>
        <v>8626.24</v>
      </c>
      <c r="J103" s="167">
        <f t="shared" si="25"/>
        <v>1.2527708568843712E-3</v>
      </c>
      <c r="K103" s="458"/>
      <c r="L103" s="163"/>
      <c r="M103" s="163"/>
      <c r="O103" s="329">
        <f t="shared" si="26"/>
        <v>0.37934212840809145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'[5]Sch C'!D92</f>
        <v>187090.25</v>
      </c>
      <c r="D104" s="480">
        <f>'[5]Sch C'!F92</f>
        <v>0</v>
      </c>
      <c r="E104" s="480">
        <f>+'[5]Sch C'!H92</f>
        <v>36</v>
      </c>
      <c r="F104" s="166">
        <f t="shared" si="23"/>
        <v>187126.25</v>
      </c>
      <c r="G104" s="626"/>
      <c r="H104" s="626"/>
      <c r="I104" s="166">
        <f t="shared" si="24"/>
        <v>187126.25</v>
      </c>
      <c r="J104" s="167">
        <f t="shared" si="25"/>
        <v>2.7175955289681145E-2</v>
      </c>
      <c r="K104" s="458"/>
      <c r="L104" s="163"/>
      <c r="M104" s="163"/>
      <c r="O104" s="329">
        <f t="shared" si="26"/>
        <v>8.228946789797714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'[5]Sch C'!D93</f>
        <v>17999.239999999998</v>
      </c>
      <c r="D105" s="480">
        <f>'[5]Sch C'!F93</f>
        <v>0</v>
      </c>
      <c r="E105" s="480">
        <f>+'[5]Sch C'!H93</f>
        <v>0</v>
      </c>
      <c r="F105" s="166">
        <f t="shared" si="23"/>
        <v>17999.239999999998</v>
      </c>
      <c r="G105" s="626"/>
      <c r="H105" s="626"/>
      <c r="I105" s="166">
        <f t="shared" si="24"/>
        <v>17999.239999999998</v>
      </c>
      <c r="J105" s="167">
        <f t="shared" si="25"/>
        <v>2.6139921122142963E-3</v>
      </c>
      <c r="K105" s="458"/>
      <c r="L105" s="163"/>
      <c r="M105" s="163"/>
      <c r="O105" s="329">
        <f t="shared" si="26"/>
        <v>0.79152330694810902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'[5]Sch C'!D94</f>
        <v>0</v>
      </c>
      <c r="D106" s="480">
        <f>'[5]Sch C'!F94</f>
        <v>0</v>
      </c>
      <c r="E106" s="480">
        <f>+'[5]Sch C'!H94</f>
        <v>0</v>
      </c>
      <c r="F106" s="166">
        <f t="shared" si="23"/>
        <v>0</v>
      </c>
      <c r="G106" s="626"/>
      <c r="H106" s="62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466913.98</v>
      </c>
      <c r="D107" s="480">
        <f t="shared" si="27"/>
        <v>46842.110923161541</v>
      </c>
      <c r="E107" s="480">
        <f t="shared" si="27"/>
        <v>36</v>
      </c>
      <c r="F107" s="166">
        <f t="shared" ref="F107:I107" si="28">SUM(F101:F106)</f>
        <v>513792.09092316154</v>
      </c>
      <c r="G107" s="166">
        <f t="shared" si="28"/>
        <v>0</v>
      </c>
      <c r="H107" s="166">
        <f t="shared" si="28"/>
        <v>0</v>
      </c>
      <c r="I107" s="166">
        <f t="shared" si="28"/>
        <v>513792.09092316154</v>
      </c>
      <c r="J107" s="167">
        <f t="shared" si="25"/>
        <v>7.4616954548705108E-2</v>
      </c>
      <c r="K107" s="458"/>
      <c r="L107" s="163"/>
      <c r="M107" s="163"/>
      <c r="O107" s="329">
        <f>I107/I$233</f>
        <v>22.594199249039644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'[5]Sch C'!D98</f>
        <v>64199.45</v>
      </c>
      <c r="D110" s="480">
        <f>'[5]Sch C'!F98</f>
        <v>-53.391524658571853</v>
      </c>
      <c r="E110" s="480">
        <f>+'[5]Sch C'!H98</f>
        <v>0</v>
      </c>
      <c r="F110" s="166">
        <f t="shared" ref="F110:F115" si="29">C110+D110+E110</f>
        <v>64146.058475341422</v>
      </c>
      <c r="G110" s="626"/>
      <c r="H110" s="626"/>
      <c r="I110" s="166">
        <f t="shared" ref="I110:I115" si="30">F110+G110+H110</f>
        <v>64146.058475341422</v>
      </c>
      <c r="J110" s="167">
        <f t="shared" ref="J110:J116" si="31">IF($I$213=0,0,I110/$I$213)</f>
        <v>9.3157983828305799E-3</v>
      </c>
      <c r="K110" s="458"/>
      <c r="L110" s="176">
        <v>5316.8551426101994</v>
      </c>
      <c r="M110" s="176">
        <v>5693.8584269662924</v>
      </c>
      <c r="O110" s="329">
        <f t="shared" ref="O110:O115" si="32">I110/I$233</f>
        <v>2.8208468986517774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'[5]Sch C'!D99</f>
        <v>0</v>
      </c>
      <c r="D111" s="480">
        <f>'[5]Sch C'!F99</f>
        <v>11930.373902255349</v>
      </c>
      <c r="E111" s="480">
        <f>+'[5]Sch C'!H99</f>
        <v>0</v>
      </c>
      <c r="F111" s="166">
        <f t="shared" si="29"/>
        <v>11930.373902255349</v>
      </c>
      <c r="G111" s="626"/>
      <c r="H111" s="626"/>
      <c r="I111" s="166">
        <f t="shared" si="30"/>
        <v>11930.373902255349</v>
      </c>
      <c r="J111" s="167">
        <f t="shared" si="31"/>
        <v>1.7326233372221703E-3</v>
      </c>
      <c r="K111" s="458"/>
      <c r="L111" s="163"/>
      <c r="M111" s="163"/>
      <c r="O111" s="329">
        <f t="shared" si="32"/>
        <v>0.52464265181421943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'[5]Sch C'!D100</f>
        <v>3468.75</v>
      </c>
      <c r="D112" s="480">
        <f>'[5]Sch C'!F100</f>
        <v>0</v>
      </c>
      <c r="E112" s="480">
        <f>+'[5]Sch C'!H100</f>
        <v>0</v>
      </c>
      <c r="F112" s="166">
        <f t="shared" si="29"/>
        <v>3468.75</v>
      </c>
      <c r="G112" s="626"/>
      <c r="H112" s="626"/>
      <c r="I112" s="166">
        <f t="shared" si="30"/>
        <v>3468.75</v>
      </c>
      <c r="J112" s="167">
        <f t="shared" si="31"/>
        <v>5.0375933312980662E-4</v>
      </c>
      <c r="K112" s="458"/>
      <c r="L112" s="163"/>
      <c r="M112" s="163"/>
      <c r="O112" s="329">
        <f t="shared" si="32"/>
        <v>0.15253957783641162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'[5]Sch C'!D101</f>
        <v>0</v>
      </c>
      <c r="D113" s="480">
        <f>'[5]Sch C'!F101</f>
        <v>0</v>
      </c>
      <c r="E113" s="480">
        <f>+'[5]Sch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'[5]Sch C'!D102</f>
        <v>3586.3</v>
      </c>
      <c r="D114" s="480">
        <f>'[5]Sch C'!F102</f>
        <v>0</v>
      </c>
      <c r="E114" s="480">
        <f>+'[5]Sch C'!H102</f>
        <v>4.1941600087189075</v>
      </c>
      <c r="F114" s="166">
        <f t="shared" si="29"/>
        <v>3590.4941600087191</v>
      </c>
      <c r="G114" s="626"/>
      <c r="H114" s="626"/>
      <c r="I114" s="166">
        <f t="shared" si="30"/>
        <v>3590.4941600087191</v>
      </c>
      <c r="J114" s="167">
        <f t="shared" si="31"/>
        <v>5.2143998375566347E-4</v>
      </c>
      <c r="K114" s="458"/>
      <c r="L114" s="163"/>
      <c r="M114" s="163"/>
      <c r="O114" s="329">
        <f t="shared" si="32"/>
        <v>0.15789332277962706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'[5]Sch C'!D103</f>
        <v>0</v>
      </c>
      <c r="D115" s="480">
        <f>'[5]Sch C'!F103</f>
        <v>0</v>
      </c>
      <c r="E115" s="480">
        <f>+'[5]Sch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71254.5</v>
      </c>
      <c r="D116" s="480">
        <f t="shared" si="33"/>
        <v>11876.982377596778</v>
      </c>
      <c r="E116" s="480">
        <f t="shared" si="33"/>
        <v>4.1941600087189075</v>
      </c>
      <c r="F116" s="166">
        <f t="shared" ref="F116:I116" si="34">SUM(F110:F115)</f>
        <v>83135.676537605483</v>
      </c>
      <c r="G116" s="166">
        <f t="shared" si="34"/>
        <v>0</v>
      </c>
      <c r="H116" s="166">
        <f t="shared" si="34"/>
        <v>0</v>
      </c>
      <c r="I116" s="166">
        <f t="shared" si="34"/>
        <v>83135.676537605483</v>
      </c>
      <c r="J116" s="167">
        <f t="shared" si="31"/>
        <v>1.207362103693822E-2</v>
      </c>
      <c r="K116" s="458"/>
      <c r="L116" s="163"/>
      <c r="M116" s="163"/>
      <c r="O116" s="329">
        <f>I116/I$233</f>
        <v>3.6559224510820352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'[5]Sch C'!D115</f>
        <v>98428.74</v>
      </c>
      <c r="D119" s="480">
        <f>'[5]Sch C'!F115</f>
        <v>-81.858341447195542</v>
      </c>
      <c r="E119" s="480">
        <f>+'[5]Sch C'!H115</f>
        <v>0</v>
      </c>
      <c r="F119" s="166">
        <f t="shared" ref="F119:F123" si="35">C119+D119+E119</f>
        <v>98346.881658552811</v>
      </c>
      <c r="G119" s="626"/>
      <c r="H119" s="626"/>
      <c r="I119" s="166">
        <f t="shared" ref="I119:I123" si="36">F119+G119+H119</f>
        <v>98346.881658552811</v>
      </c>
      <c r="J119" s="167">
        <f t="shared" ref="J119:J124" si="37">IF($I$213=0,0,I119/$I$213)</f>
        <v>1.42827126543304E-2</v>
      </c>
      <c r="K119" s="458"/>
      <c r="L119" s="176">
        <v>7775.7378583835225</v>
      </c>
      <c r="M119" s="176">
        <v>8419.0942004466397</v>
      </c>
      <c r="O119" s="329">
        <f t="shared" ref="O119:O124" si="38">I119/I$233</f>
        <v>4.3248408820823574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'[5]Sch C'!D116</f>
        <v>0</v>
      </c>
      <c r="D120" s="480">
        <f>'[5]Sch C'!F116</f>
        <v>18291.342907821327</v>
      </c>
      <c r="E120" s="480">
        <f>+'[5]Sch C'!H116</f>
        <v>0</v>
      </c>
      <c r="F120" s="166">
        <f t="shared" si="35"/>
        <v>18291.342907821327</v>
      </c>
      <c r="G120" s="626"/>
      <c r="H120" s="626"/>
      <c r="I120" s="166">
        <f t="shared" si="36"/>
        <v>18291.342907821327</v>
      </c>
      <c r="J120" s="167">
        <f t="shared" si="37"/>
        <v>2.6564136087330278E-3</v>
      </c>
      <c r="K120" s="458"/>
      <c r="L120" s="163"/>
      <c r="M120" s="163"/>
      <c r="O120" s="329">
        <f t="shared" si="38"/>
        <v>0.80436864150489562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'[5]Sch C'!D117</f>
        <v>22407.38</v>
      </c>
      <c r="D121" s="480">
        <f>'[5]Sch C'!F117</f>
        <v>0</v>
      </c>
      <c r="E121" s="480">
        <f>+'[5]Sch C'!H117</f>
        <v>159.58444681047277</v>
      </c>
      <c r="F121" s="166">
        <f t="shared" si="35"/>
        <v>22566.964446810474</v>
      </c>
      <c r="G121" s="626"/>
      <c r="H121" s="626"/>
      <c r="I121" s="166">
        <f t="shared" si="36"/>
        <v>22566.964446810474</v>
      </c>
      <c r="J121" s="167">
        <f t="shared" si="37"/>
        <v>3.2773532138347531E-3</v>
      </c>
      <c r="K121" s="458"/>
      <c r="L121" s="163"/>
      <c r="M121" s="163"/>
      <c r="O121" s="329">
        <f t="shared" si="38"/>
        <v>0.99239069686941395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'[5]Sch C'!D118</f>
        <v>0</v>
      </c>
      <c r="D122" s="480">
        <f>'[5]Sch C'!F118</f>
        <v>0</v>
      </c>
      <c r="E122" s="480">
        <f>+'[5]Sch C'!H118</f>
        <v>0</v>
      </c>
      <c r="F122" s="166">
        <f t="shared" si="35"/>
        <v>0</v>
      </c>
      <c r="G122" s="626"/>
      <c r="H122" s="62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'[5]Sch C'!D119</f>
        <v>0</v>
      </c>
      <c r="D123" s="480">
        <f>'[5]Sch C'!F119</f>
        <v>0</v>
      </c>
      <c r="E123" s="480">
        <f>+'[5]Sch C'!H119</f>
        <v>0</v>
      </c>
      <c r="F123" s="166">
        <f t="shared" si="35"/>
        <v>0</v>
      </c>
      <c r="G123" s="626"/>
      <c r="H123" s="62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120836.12000000001</v>
      </c>
      <c r="D124" s="480">
        <f t="shared" si="39"/>
        <v>18209.484566374133</v>
      </c>
      <c r="E124" s="480">
        <f t="shared" si="39"/>
        <v>159.58444681047277</v>
      </c>
      <c r="F124" s="166">
        <f t="shared" ref="F124:I124" si="40">SUM(F119:F123)</f>
        <v>139205.1890131846</v>
      </c>
      <c r="G124" s="166">
        <f t="shared" si="40"/>
        <v>0</v>
      </c>
      <c r="H124" s="166">
        <f t="shared" si="40"/>
        <v>0</v>
      </c>
      <c r="I124" s="166">
        <f t="shared" si="40"/>
        <v>139205.1890131846</v>
      </c>
      <c r="J124" s="167">
        <f t="shared" si="37"/>
        <v>2.021647947689818E-2</v>
      </c>
      <c r="K124" s="458"/>
      <c r="L124" s="163"/>
      <c r="M124" s="163"/>
      <c r="O124" s="329">
        <f t="shared" si="38"/>
        <v>6.1216002204566671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'[5]Sch C'!D124</f>
        <v>0</v>
      </c>
      <c r="D128" s="480">
        <f>'[5]Sch C'!F124</f>
        <v>0</v>
      </c>
      <c r="E128" s="480">
        <f>+'[5]Sch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'[5]Sch C'!D125</f>
        <v>169417.47999999998</v>
      </c>
      <c r="D129" s="480">
        <f>'[5]Sch C'!F125</f>
        <v>-140.89618464041519</v>
      </c>
      <c r="E129" s="480">
        <f>+'[5]Sch C'!H125</f>
        <v>0</v>
      </c>
      <c r="F129" s="166">
        <f t="shared" si="41"/>
        <v>169276.58381535957</v>
      </c>
      <c r="G129" s="626"/>
      <c r="H129" s="626"/>
      <c r="I129" s="166">
        <f t="shared" si="42"/>
        <v>169276.58381535957</v>
      </c>
      <c r="J129" s="167">
        <f>IF($I$213=0,0,I129/$I$213)</f>
        <v>2.4583685470938338E-2</v>
      </c>
      <c r="K129" s="458"/>
      <c r="L129" s="176">
        <v>3971.9319122191382</v>
      </c>
      <c r="M129" s="176">
        <v>4379.7642067773531</v>
      </c>
      <c r="O129" s="329">
        <f t="shared" si="43"/>
        <v>7.4440010472893388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'[5]Sch C'!D126</f>
        <v>0</v>
      </c>
      <c r="D130" s="480">
        <f>'[5]Sch C'!F126</f>
        <v>0</v>
      </c>
      <c r="E130" s="480">
        <f>+'[5]Sch C'!H126</f>
        <v>0</v>
      </c>
      <c r="F130" s="166">
        <f t="shared" si="41"/>
        <v>0</v>
      </c>
      <c r="G130" s="626"/>
      <c r="H130" s="62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'[5]Sch C'!D127</f>
        <v>0</v>
      </c>
      <c r="D131" s="480">
        <f>'[5]Sch C'!F127</f>
        <v>0</v>
      </c>
      <c r="E131" s="480">
        <f>+'[5]Sch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'[5]Sch C'!D128</f>
        <v>82972.999999999985</v>
      </c>
      <c r="D132" s="480">
        <f>'[5]Sch C'!F128</f>
        <v>-69.004562741513865</v>
      </c>
      <c r="E132" s="480">
        <f>+'[5]Sch C'!H128</f>
        <v>0</v>
      </c>
      <c r="F132" s="166">
        <f t="shared" si="41"/>
        <v>82903.995437258476</v>
      </c>
      <c r="G132" s="626"/>
      <c r="H132" s="626"/>
      <c r="I132" s="166">
        <f t="shared" si="42"/>
        <v>82903.995437258476</v>
      </c>
      <c r="J132" s="167">
        <f>IF($I$213=0,0,I132/$I$213)</f>
        <v>1.2039974473591312E-2</v>
      </c>
      <c r="K132" s="458"/>
      <c r="L132" s="176">
        <v>4897.5952769052992</v>
      </c>
      <c r="M132" s="176">
        <v>5900.7172010907225</v>
      </c>
      <c r="O132" s="329">
        <f t="shared" si="43"/>
        <v>3.6457341880940404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'[5]Sch C'!D130</f>
        <v>0</v>
      </c>
      <c r="D134" s="480">
        <f>'[5]Sch C'!F130</f>
        <v>0</v>
      </c>
      <c r="E134" s="480">
        <f>+'[5]Sch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'[5]Sch C'!D131</f>
        <v>0</v>
      </c>
      <c r="D135" s="480">
        <f>'[5]Sch C'!F131</f>
        <v>31483.458096406303</v>
      </c>
      <c r="E135" s="480">
        <f>+'[5]Sch C'!H131</f>
        <v>0</v>
      </c>
      <c r="F135" s="166">
        <f t="shared" si="44"/>
        <v>31483.458096406303</v>
      </c>
      <c r="G135" s="626"/>
      <c r="H135" s="626"/>
      <c r="I135" s="166">
        <f t="shared" si="45"/>
        <v>31483.458096406303</v>
      </c>
      <c r="J135" s="167">
        <f>IF($I$213=0,0,I135/$I$213)</f>
        <v>4.5722770033198848E-3</v>
      </c>
      <c r="K135" s="458"/>
      <c r="L135" s="196"/>
      <c r="M135" s="196"/>
      <c r="O135" s="329">
        <f t="shared" si="43"/>
        <v>1.3844968380125902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'[5]Sch C'!D132</f>
        <v>0</v>
      </c>
      <c r="D136" s="480">
        <f>'[5]Sch C'!F132</f>
        <v>0</v>
      </c>
      <c r="E136" s="480">
        <f>+'[5]Sch C'!H132</f>
        <v>0</v>
      </c>
      <c r="F136" s="166">
        <f t="shared" si="44"/>
        <v>0</v>
      </c>
      <c r="G136" s="626"/>
      <c r="H136" s="62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'[5]Sch C'!D133</f>
        <v>0</v>
      </c>
      <c r="D137" s="480">
        <f>'[5]Sch C'!F133</f>
        <v>0</v>
      </c>
      <c r="E137" s="480">
        <f>+'[5]Sch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'[5]Sch C'!D134</f>
        <v>0</v>
      </c>
      <c r="D138" s="480">
        <f>'[5]Sch C'!F134</f>
        <v>15419.133196030578</v>
      </c>
      <c r="E138" s="480">
        <f>+'[5]Sch C'!H134</f>
        <v>0</v>
      </c>
      <c r="F138" s="166">
        <f t="shared" si="44"/>
        <v>15419.133196030578</v>
      </c>
      <c r="G138" s="626"/>
      <c r="H138" s="626"/>
      <c r="I138" s="166">
        <f t="shared" si="45"/>
        <v>15419.133196030578</v>
      </c>
      <c r="J138" s="167">
        <f>IF($I$213=0,0,I138/$I$213)</f>
        <v>2.2392885783847289E-3</v>
      </c>
      <c r="K138" s="458"/>
      <c r="L138" s="163"/>
      <c r="M138" s="163"/>
      <c r="O138" s="329">
        <f t="shared" si="43"/>
        <v>0.67806214582368418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'[5]Sch C'!D136</f>
        <v>396915.24</v>
      </c>
      <c r="D140" s="480">
        <f>'[5]Sch C'!F136</f>
        <v>-330.0948812462251</v>
      </c>
      <c r="E140" s="480">
        <f>+'[5]Sch C'!H136</f>
        <v>0</v>
      </c>
      <c r="F140" s="166">
        <f t="shared" ref="F140:F143" si="46">C140+D140+E140</f>
        <v>396585.14511875378</v>
      </c>
      <c r="G140" s="626"/>
      <c r="H140" s="626"/>
      <c r="I140" s="166">
        <f t="shared" ref="I140:I143" si="47">F140+G140+H140</f>
        <v>396585.14511875378</v>
      </c>
      <c r="J140" s="167">
        <f>IF($I$213=0,0,I140/$I$213)</f>
        <v>5.7595234085538301E-2</v>
      </c>
      <c r="K140" s="458"/>
      <c r="L140" s="176">
        <v>14794.436557849578</v>
      </c>
      <c r="M140" s="176">
        <v>15590.850739197947</v>
      </c>
      <c r="O140" s="329">
        <f t="shared" si="43"/>
        <v>17.439979996427166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'[5]Sch C'!D137</f>
        <v>435248.58</v>
      </c>
      <c r="D141" s="480">
        <f>'[5]Sch C'!F137</f>
        <v>-361.97483454575371</v>
      </c>
      <c r="E141" s="480">
        <f>+'[5]Sch C'!H137</f>
        <v>0</v>
      </c>
      <c r="F141" s="166">
        <f t="shared" si="46"/>
        <v>434886.60516545427</v>
      </c>
      <c r="G141" s="626"/>
      <c r="H141" s="626"/>
      <c r="I141" s="166">
        <f t="shared" si="47"/>
        <v>434886.60516545427</v>
      </c>
      <c r="J141" s="167">
        <f>IF($I$213=0,0,I141/$I$213)</f>
        <v>6.3157675302410024E-2</v>
      </c>
      <c r="K141" s="458"/>
      <c r="L141" s="176">
        <v>18928.100823772143</v>
      </c>
      <c r="M141" s="176">
        <v>19920.56497472891</v>
      </c>
      <c r="O141" s="329">
        <f t="shared" si="43"/>
        <v>19.124301018709509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'[5]Sch C'!D138</f>
        <v>818964.52999999991</v>
      </c>
      <c r="D142" s="480">
        <f>'[5]Sch C'!F138</f>
        <v>-681.09251555878916</v>
      </c>
      <c r="E142" s="480">
        <f>+'[5]Sch C'!H138</f>
        <v>0</v>
      </c>
      <c r="F142" s="166">
        <f t="shared" si="46"/>
        <v>818283.43748444109</v>
      </c>
      <c r="G142" s="626"/>
      <c r="H142" s="626"/>
      <c r="I142" s="166">
        <f t="shared" si="47"/>
        <v>818283.43748444109</v>
      </c>
      <c r="J142" s="167">
        <f>IF($I$213=0,0,I142/$I$213)</f>
        <v>0.11883759820636479</v>
      </c>
      <c r="K142" s="458"/>
      <c r="L142" s="176">
        <v>57274.775120747669</v>
      </c>
      <c r="M142" s="176">
        <v>61555.096393116721</v>
      </c>
      <c r="O142" s="329">
        <f t="shared" si="43"/>
        <v>35.984320030098552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'[5]Sch C'!D139</f>
        <v>0</v>
      </c>
      <c r="D143" s="480">
        <f>'[5]Sch C'!F139</f>
        <v>0</v>
      </c>
      <c r="E143" s="480">
        <f>+'[5]Sch C'!H139</f>
        <v>0</v>
      </c>
      <c r="F143" s="166">
        <f t="shared" si="46"/>
        <v>0</v>
      </c>
      <c r="G143" s="626"/>
      <c r="H143" s="62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'[5]Sch C'!D141</f>
        <v>0</v>
      </c>
      <c r="D145" s="480">
        <f>'[5]Sch C'!F141</f>
        <v>73760.001642299292</v>
      </c>
      <c r="E145" s="480">
        <f>+'[5]Sch C'!H141</f>
        <v>0</v>
      </c>
      <c r="F145" s="166">
        <f t="shared" ref="F145:F148" si="48">C145+D145+E145</f>
        <v>73760.001642299292</v>
      </c>
      <c r="G145" s="626"/>
      <c r="H145" s="626"/>
      <c r="I145" s="166">
        <f t="shared" ref="I145:I148" si="49">F145+G145+H145</f>
        <v>73760.001642299292</v>
      </c>
      <c r="J145" s="167">
        <f>IF($I$213=0,0,I145/$I$213)</f>
        <v>1.071201131213784E-2</v>
      </c>
      <c r="K145" s="458"/>
      <c r="L145" s="163"/>
      <c r="M145" s="163"/>
      <c r="O145" s="329">
        <f t="shared" si="43"/>
        <v>3.2436236430210772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'[5]Sch C'!D142</f>
        <v>0</v>
      </c>
      <c r="D146" s="480">
        <f>'[5]Sch C'!F142</f>
        <v>80883.606221843322</v>
      </c>
      <c r="E146" s="480">
        <f>+'[5]Sch C'!H142</f>
        <v>0</v>
      </c>
      <c r="F146" s="166">
        <f t="shared" si="48"/>
        <v>80883.606221843322</v>
      </c>
      <c r="G146" s="626"/>
      <c r="H146" s="626"/>
      <c r="I146" s="166">
        <f t="shared" si="49"/>
        <v>80883.606221843322</v>
      </c>
      <c r="J146" s="167">
        <f>IF($I$213=0,0,I146/$I$213)</f>
        <v>1.1746557558616122E-2</v>
      </c>
      <c r="K146" s="458"/>
      <c r="L146" s="163"/>
      <c r="M146" s="163"/>
      <c r="O146" s="329">
        <f t="shared" si="43"/>
        <v>3.5568868171435057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'[5]Sch C'!D143</f>
        <v>0</v>
      </c>
      <c r="D147" s="480">
        <f>'[5]Sch C'!F143</f>
        <v>152190.74248140448</v>
      </c>
      <c r="E147" s="480">
        <f>+'[5]Sch C'!H143</f>
        <v>0</v>
      </c>
      <c r="F147" s="166">
        <f t="shared" si="48"/>
        <v>152190.74248140448</v>
      </c>
      <c r="G147" s="626"/>
      <c r="H147" s="626"/>
      <c r="I147" s="166">
        <f t="shared" si="49"/>
        <v>152190.74248140448</v>
      </c>
      <c r="J147" s="167">
        <f>IF($I$213=0,0,I147/$I$213)</f>
        <v>2.2102344343340526E-2</v>
      </c>
      <c r="K147" s="458"/>
      <c r="L147" s="163"/>
      <c r="M147" s="163"/>
      <c r="O147" s="329">
        <f t="shared" si="43"/>
        <v>6.6926447881004609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'[5]Sch C'!D144</f>
        <v>0</v>
      </c>
      <c r="D148" s="480">
        <f>'[5]Sch C'!F144</f>
        <v>0</v>
      </c>
      <c r="E148" s="480">
        <f>+'[5]Sch C'!H144</f>
        <v>0</v>
      </c>
      <c r="F148" s="166">
        <f t="shared" si="48"/>
        <v>0</v>
      </c>
      <c r="G148" s="626"/>
      <c r="H148" s="62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'[5]Sch C'!D146</f>
        <v>22050</v>
      </c>
      <c r="D150" s="480">
        <f>'[5]Sch C'!F146</f>
        <v>0</v>
      </c>
      <c r="E150" s="480">
        <f>+'[5]Sch C'!H146</f>
        <v>489.60018779185287</v>
      </c>
      <c r="F150" s="166">
        <f t="shared" ref="F150:F158" si="50">C150+D150+E150</f>
        <v>22539.600187791853</v>
      </c>
      <c r="G150" s="626"/>
      <c r="H150" s="626"/>
      <c r="I150" s="166">
        <f t="shared" ref="I150:I158" si="51">F150+G150+H150</f>
        <v>22539.600187791853</v>
      </c>
      <c r="J150" s="167">
        <f t="shared" ref="J150:J158" si="52">IF($I$213=0,0,I150/$I$213)</f>
        <v>3.273379159528501E-3</v>
      </c>
      <c r="K150" s="458"/>
      <c r="L150" s="176" t="s">
        <v>470</v>
      </c>
      <c r="M150" s="176" t="s">
        <v>470</v>
      </c>
      <c r="O150" s="329">
        <f t="shared" si="43"/>
        <v>0.99118734335056524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'[5]Sch C'!D147</f>
        <v>0</v>
      </c>
      <c r="D151" s="480">
        <f>'[5]Sch C'!F147</f>
        <v>0</v>
      </c>
      <c r="E151" s="480">
        <f>+'[5]Sch C'!H147</f>
        <v>0</v>
      </c>
      <c r="F151" s="166">
        <f t="shared" si="50"/>
        <v>0</v>
      </c>
      <c r="G151" s="626"/>
      <c r="H151" s="62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'[5]Sch C'!D148</f>
        <v>0</v>
      </c>
      <c r="D152" s="480">
        <f>'[5]Sch C'!F148</f>
        <v>0</v>
      </c>
      <c r="E152" s="480">
        <f>+'[5]Sch C'!H148</f>
        <v>0</v>
      </c>
      <c r="F152" s="166">
        <f t="shared" si="50"/>
        <v>0</v>
      </c>
      <c r="G152" s="626"/>
      <c r="H152" s="62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'[5]Sch C'!D149</f>
        <v>0</v>
      </c>
      <c r="D153" s="480">
        <f>'[5]Sch C'!F149</f>
        <v>0</v>
      </c>
      <c r="E153" s="480">
        <f>+'[5]Sch C'!H149</f>
        <v>0</v>
      </c>
      <c r="F153" s="166">
        <f t="shared" si="50"/>
        <v>0</v>
      </c>
      <c r="G153" s="626"/>
      <c r="H153" s="62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'[5]Sch C'!D150</f>
        <v>1045.1400000000001</v>
      </c>
      <c r="D154" s="480">
        <f>'[5]Sch C'!F150</f>
        <v>0</v>
      </c>
      <c r="E154" s="480">
        <f>+'[5]Sch C'!H150</f>
        <v>0</v>
      </c>
      <c r="F154" s="166">
        <f t="shared" si="50"/>
        <v>1045.1400000000001</v>
      </c>
      <c r="G154" s="626"/>
      <c r="H154" s="626"/>
      <c r="I154" s="166">
        <f t="shared" si="51"/>
        <v>1045.1400000000001</v>
      </c>
      <c r="J154" s="167">
        <f t="shared" si="52"/>
        <v>1.5178350397903744E-4</v>
      </c>
      <c r="K154" s="458"/>
      <c r="L154" s="176" t="s">
        <v>470</v>
      </c>
      <c r="M154" s="176" t="s">
        <v>470</v>
      </c>
      <c r="O154" s="329">
        <f t="shared" si="43"/>
        <v>4.5960422163588394E-2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'[5]Sch C'!D151</f>
        <v>174413.02</v>
      </c>
      <c r="D155" s="480">
        <f>'[5]Sch C'!F151</f>
        <v>0</v>
      </c>
      <c r="E155" s="480">
        <f>+'[5]Sch C'!H151</f>
        <v>30.293032419245314</v>
      </c>
      <c r="F155" s="166">
        <f t="shared" si="50"/>
        <v>174443.31303241925</v>
      </c>
      <c r="G155" s="626">
        <f>-19347.52-6426.28-224.28-13588.22</f>
        <v>-39586.299999999996</v>
      </c>
      <c r="H155" s="626"/>
      <c r="I155" s="166">
        <f t="shared" si="51"/>
        <v>134857.01303241926</v>
      </c>
      <c r="J155" s="167">
        <f t="shared" si="52"/>
        <v>1.9585002941431111E-2</v>
      </c>
      <c r="K155" s="458" t="s">
        <v>617</v>
      </c>
      <c r="L155" s="163"/>
      <c r="M155" s="163"/>
      <c r="O155" s="329">
        <f t="shared" si="43"/>
        <v>5.9303875563948658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'[5]Sch C'!D152</f>
        <v>0</v>
      </c>
      <c r="D156" s="480">
        <f>'[5]Sch C'!F152</f>
        <v>0</v>
      </c>
      <c r="E156" s="480">
        <f>+'[5]Sch C'!H152</f>
        <v>0</v>
      </c>
      <c r="F156" s="166">
        <f t="shared" si="50"/>
        <v>0</v>
      </c>
      <c r="G156" s="626"/>
      <c r="H156" s="62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'[5]Sch C'!D153</f>
        <v>2426.02</v>
      </c>
      <c r="D157" s="480">
        <f>'[5]Sch C'!F153</f>
        <v>0</v>
      </c>
      <c r="E157" s="480">
        <f>+'[5]Sch C'!H153</f>
        <v>0</v>
      </c>
      <c r="F157" s="166">
        <f t="shared" si="50"/>
        <v>2426.02</v>
      </c>
      <c r="G157" s="626"/>
      <c r="H157" s="626"/>
      <c r="I157" s="166">
        <f t="shared" si="51"/>
        <v>2426.02</v>
      </c>
      <c r="J157" s="167">
        <f t="shared" si="52"/>
        <v>3.5232582842798513E-4</v>
      </c>
      <c r="K157" s="458"/>
      <c r="L157" s="163"/>
      <c r="M157" s="163"/>
      <c r="O157" s="329">
        <f t="shared" si="43"/>
        <v>0.10668513632365875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'[5]Sch C'!D154</f>
        <v>0</v>
      </c>
      <c r="D158" s="480">
        <f>'[5]Sch C'!F154</f>
        <v>0</v>
      </c>
      <c r="E158" s="480">
        <f>+'[5]Sch C'!H154</f>
        <v>0</v>
      </c>
      <c r="F158" s="166">
        <f t="shared" si="50"/>
        <v>0</v>
      </c>
      <c r="G158" s="626"/>
      <c r="H158" s="62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'[5]Sch C'!D156</f>
        <v>0</v>
      </c>
      <c r="D160" s="480">
        <f>'[5]Sch C'!F156</f>
        <v>0</v>
      </c>
      <c r="E160" s="480">
        <f>+'[5]Sch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'[5]Sch C'!D157</f>
        <v>0</v>
      </c>
      <c r="D161" s="480">
        <f>'[5]Sch C'!F157</f>
        <v>0</v>
      </c>
      <c r="E161" s="480">
        <f>+'[5]Sch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'[5]Sch C'!D158</f>
        <v>0</v>
      </c>
      <c r="D162" s="480">
        <f>'[5]Sch C'!F158</f>
        <v>0</v>
      </c>
      <c r="E162" s="480">
        <f>+'[5]Sch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'[5]Sch C'!D159</f>
        <v>0</v>
      </c>
      <c r="D163" s="480">
        <f>'[5]Sch C'!F159</f>
        <v>0</v>
      </c>
      <c r="E163" s="480">
        <f>+'[5]Sch C'!H159</f>
        <v>0</v>
      </c>
      <c r="F163" s="166">
        <f t="shared" si="53"/>
        <v>0</v>
      </c>
      <c r="G163" s="626"/>
      <c r="H163" s="62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'[5]Sch C'!D160</f>
        <v>0</v>
      </c>
      <c r="D164" s="480">
        <f>'[5]Sch C'!F160</f>
        <v>0</v>
      </c>
      <c r="E164" s="480">
        <f>+'[5]Sch C'!H160</f>
        <v>0</v>
      </c>
      <c r="F164" s="166">
        <f t="shared" si="53"/>
        <v>0</v>
      </c>
      <c r="G164" s="626"/>
      <c r="H164" s="62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'[5]Sch C'!D161</f>
        <v>3790.78</v>
      </c>
      <c r="D165" s="480">
        <f>'[5]Sch C'!F161</f>
        <v>-3790.78</v>
      </c>
      <c r="E165" s="480">
        <f>+'[5]Sch C'!H161</f>
        <v>0</v>
      </c>
      <c r="F165" s="166">
        <f t="shared" si="53"/>
        <v>0</v>
      </c>
      <c r="G165" s="626">
        <v>5900</v>
      </c>
      <c r="H165" s="626"/>
      <c r="I165" s="166">
        <f t="shared" si="54"/>
        <v>5900</v>
      </c>
      <c r="J165" s="167">
        <f t="shared" si="55"/>
        <v>8.5684470355772515E-4</v>
      </c>
      <c r="K165" s="457" t="s">
        <v>619</v>
      </c>
      <c r="L165" s="163"/>
      <c r="M165" s="163"/>
      <c r="O165" s="329">
        <f t="shared" si="43"/>
        <v>0.2594547053649956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2107243.7899999996</v>
      </c>
      <c r="D166" s="480">
        <f t="shared" si="56"/>
        <v>348363.09865925123</v>
      </c>
      <c r="E166" s="480">
        <f t="shared" si="56"/>
        <v>519.8932202110982</v>
      </c>
      <c r="F166" s="166">
        <f>SUM(F128:F165)</f>
        <v>2456126.7818794628</v>
      </c>
      <c r="G166" s="166">
        <f t="shared" ref="G166:H166" si="57">SUM(G128:G165)</f>
        <v>-33686.299999999996</v>
      </c>
      <c r="H166" s="166">
        <f t="shared" si="57"/>
        <v>0</v>
      </c>
      <c r="I166" s="166">
        <f>SUM(I128:I165)</f>
        <v>2422440.4818794625</v>
      </c>
      <c r="J166" s="167">
        <f t="shared" si="55"/>
        <v>0.35180598247156625</v>
      </c>
      <c r="K166" s="458"/>
      <c r="L166" s="163"/>
      <c r="M166" s="163"/>
      <c r="O166" s="329">
        <f>I166/I$233</f>
        <v>106.52772567631762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'[5]Sch C'!D175</f>
        <v>0</v>
      </c>
      <c r="D169" s="480">
        <f>'[5]Sch C'!F175</f>
        <v>0</v>
      </c>
      <c r="E169" s="480">
        <f>+'[5]Sch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'[5]Sch C'!D176</f>
        <v>0</v>
      </c>
      <c r="D170" s="480">
        <f>'[5]Sch C'!F176</f>
        <v>0</v>
      </c>
      <c r="E170" s="480">
        <f>+'[5]Sch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'[5]Sch C'!D177</f>
        <v>111750.01</v>
      </c>
      <c r="D171" s="480">
        <f>'[5]Sch C'!F177</f>
        <v>-20684.52</v>
      </c>
      <c r="E171" s="480">
        <f>+'[5]Sch C'!H177</f>
        <v>0</v>
      </c>
      <c r="F171" s="166">
        <f t="shared" si="58"/>
        <v>91065.489999999991</v>
      </c>
      <c r="G171" s="626"/>
      <c r="H171" s="626"/>
      <c r="I171" s="166">
        <f t="shared" si="59"/>
        <v>91065.489999999991</v>
      </c>
      <c r="J171" s="167">
        <f t="shared" si="60"/>
        <v>1.322525131921847E-2</v>
      </c>
      <c r="K171" s="468"/>
      <c r="L171" s="176">
        <v>2224.0576267586935</v>
      </c>
      <c r="M171" s="176">
        <v>2417.4539421290146</v>
      </c>
      <c r="N171" s="208"/>
      <c r="O171" s="329">
        <f t="shared" si="61"/>
        <v>4.0046389621811782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'[5]Sch C'!D178</f>
        <v>21869.17</v>
      </c>
      <c r="D172" s="480">
        <f>'[5]Sch C'!F178</f>
        <v>-13337.986696206768</v>
      </c>
      <c r="E172" s="480">
        <f>+'[5]Sch C'!H178</f>
        <v>0</v>
      </c>
      <c r="F172" s="166">
        <f t="shared" si="58"/>
        <v>8531.1833037932302</v>
      </c>
      <c r="G172" s="626"/>
      <c r="H172" s="626"/>
      <c r="I172" s="166">
        <f t="shared" si="59"/>
        <v>8531.1833037932302</v>
      </c>
      <c r="J172" s="167">
        <f t="shared" si="60"/>
        <v>1.2389659710059873E-3</v>
      </c>
      <c r="K172" s="469"/>
      <c r="L172" s="212"/>
      <c r="M172" s="212"/>
      <c r="N172" s="208"/>
      <c r="O172" s="329">
        <f t="shared" si="61"/>
        <v>0.37516197466109191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'[5]Sch C'!D179</f>
        <v>45152.149999999994</v>
      </c>
      <c r="D173" s="480">
        <f>'[5]Sch C'!F179</f>
        <v>7674.78</v>
      </c>
      <c r="E173" s="480">
        <f>+'[5]Sch C'!H179</f>
        <v>0</v>
      </c>
      <c r="F173" s="166">
        <f t="shared" si="58"/>
        <v>52826.929999999993</v>
      </c>
      <c r="G173" s="626"/>
      <c r="H173" s="626"/>
      <c r="I173" s="166">
        <f t="shared" si="59"/>
        <v>52826.929999999993</v>
      </c>
      <c r="J173" s="167">
        <f t="shared" si="60"/>
        <v>7.6719449450363885E-3</v>
      </c>
      <c r="K173" s="468"/>
      <c r="L173" s="176">
        <v>1221.4335260115608</v>
      </c>
      <c r="M173" s="176">
        <v>1327.6451369690878</v>
      </c>
      <c r="N173" s="208"/>
      <c r="O173" s="329">
        <f t="shared" si="61"/>
        <v>2.32308399296394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'[5]Sch C'!D180</f>
        <v>0</v>
      </c>
      <c r="D174" s="480">
        <f>'[5]Sch C'!F180</f>
        <v>4948.9243752672246</v>
      </c>
      <c r="E174" s="480">
        <f>+'[5]Sch C'!H180</f>
        <v>0</v>
      </c>
      <c r="F174" s="166">
        <f t="shared" si="58"/>
        <v>4948.9243752672246</v>
      </c>
      <c r="G174" s="626"/>
      <c r="H174" s="626"/>
      <c r="I174" s="166">
        <f t="shared" si="59"/>
        <v>4948.9243752672246</v>
      </c>
      <c r="J174" s="167">
        <f t="shared" si="60"/>
        <v>7.1872197275516024E-4</v>
      </c>
      <c r="K174" s="469"/>
      <c r="L174" s="212"/>
      <c r="M174" s="212"/>
      <c r="N174" s="208"/>
      <c r="O174" s="329">
        <f t="shared" si="61"/>
        <v>0.21763079926416995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'[5]Sch C'!D181</f>
        <v>0</v>
      </c>
      <c r="D175" s="480">
        <f>'[5]Sch C'!F181</f>
        <v>0</v>
      </c>
      <c r="E175" s="480">
        <f>+'[5]Sch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'[5]Sch C'!D182</f>
        <v>0</v>
      </c>
      <c r="D176" s="480">
        <f>'[5]Sch C'!F182</f>
        <v>0</v>
      </c>
      <c r="E176" s="480">
        <f>+'[5]Sch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'[5]Sch C'!D183</f>
        <v>76538.69</v>
      </c>
      <c r="D177" s="480">
        <f>'[5]Sch C'!F183</f>
        <v>13009.740000000002</v>
      </c>
      <c r="E177" s="480">
        <f>+'[5]Sch C'!H183</f>
        <v>0</v>
      </c>
      <c r="F177" s="166">
        <f t="shared" si="58"/>
        <v>89548.430000000008</v>
      </c>
      <c r="G177" s="626"/>
      <c r="H177" s="626"/>
      <c r="I177" s="166">
        <f t="shared" si="59"/>
        <v>89548.430000000008</v>
      </c>
      <c r="J177" s="167">
        <f t="shared" si="60"/>
        <v>1.3004931857188087E-2</v>
      </c>
      <c r="K177" s="468"/>
      <c r="L177" s="176">
        <v>2257.1002739726027</v>
      </c>
      <c r="M177" s="176">
        <v>2453.3698630136987</v>
      </c>
      <c r="N177" s="208"/>
      <c r="O177" s="329">
        <f t="shared" si="61"/>
        <v>3.9379256816182941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'[5]Sch C'!D184</f>
        <v>0</v>
      </c>
      <c r="D178" s="480">
        <f>'[5]Sch C'!F184</f>
        <v>8389.0623209395453</v>
      </c>
      <c r="E178" s="480">
        <f>+'[5]Sch C'!H184</f>
        <v>0</v>
      </c>
      <c r="F178" s="166">
        <f t="shared" si="58"/>
        <v>8389.0623209395453</v>
      </c>
      <c r="G178" s="626"/>
      <c r="H178" s="626"/>
      <c r="I178" s="166">
        <f t="shared" si="59"/>
        <v>8389.0623209395453</v>
      </c>
      <c r="J178" s="167">
        <f t="shared" si="60"/>
        <v>1.2183260368665639E-3</v>
      </c>
      <c r="K178" s="469"/>
      <c r="L178" s="212"/>
      <c r="M178" s="212"/>
      <c r="N178" s="208"/>
      <c r="O178" s="329">
        <f t="shared" si="61"/>
        <v>0.36891215131660271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'[5]Sch C'!D185</f>
        <v>0</v>
      </c>
      <c r="D179" s="480">
        <f>'[5]Sch C'!F185</f>
        <v>0</v>
      </c>
      <c r="E179" s="480">
        <f>+'[5]Sch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'[5]Sch C'!D186</f>
        <v>0</v>
      </c>
      <c r="D180" s="480">
        <f>'[5]Sch C'!F186</f>
        <v>0</v>
      </c>
      <c r="E180" s="480">
        <f>+'[5]Sch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'[5]Sch C'!D187</f>
        <v>0</v>
      </c>
      <c r="D181" s="480">
        <f>'[5]Sch C'!F187</f>
        <v>0</v>
      </c>
      <c r="E181" s="480">
        <f>+'[5]Sch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'[5]Sch C'!D188</f>
        <v>65398.73</v>
      </c>
      <c r="D182" s="480">
        <f>'[5]Sch C'!F188</f>
        <v>0</v>
      </c>
      <c r="E182" s="480">
        <f>+'[5]Sch C'!H188</f>
        <v>0</v>
      </c>
      <c r="F182" s="166">
        <f t="shared" si="58"/>
        <v>65398.73</v>
      </c>
      <c r="G182" s="626"/>
      <c r="H182" s="626"/>
      <c r="I182" s="166">
        <f t="shared" si="59"/>
        <v>65398.73</v>
      </c>
      <c r="J182" s="167">
        <f t="shared" si="60"/>
        <v>9.4977212576104596E-3</v>
      </c>
      <c r="K182" s="458"/>
      <c r="L182" s="213"/>
      <c r="M182" s="208"/>
      <c r="N182" s="210"/>
      <c r="O182" s="329">
        <f t="shared" si="61"/>
        <v>2.8759335971855764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'[5]Sch C'!D189</f>
        <v>33355.519999999997</v>
      </c>
      <c r="D183" s="480">
        <f>'[5]Sch C'!F189</f>
        <v>0</v>
      </c>
      <c r="E183" s="480">
        <f>+'[5]Sch C'!H189</f>
        <v>0</v>
      </c>
      <c r="F183" s="166">
        <f t="shared" si="58"/>
        <v>33355.519999999997</v>
      </c>
      <c r="G183" s="626"/>
      <c r="H183" s="626"/>
      <c r="I183" s="166">
        <f t="shared" si="59"/>
        <v>33355.519999999997</v>
      </c>
      <c r="J183" s="167">
        <f t="shared" si="60"/>
        <v>4.8441526519345376E-3</v>
      </c>
      <c r="K183" s="458"/>
      <c r="L183" s="213"/>
      <c r="M183" s="208"/>
      <c r="N183" s="210"/>
      <c r="O183" s="329">
        <f t="shared" si="61"/>
        <v>1.4668214599824096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'[5]Sch C'!D190</f>
        <v>0</v>
      </c>
      <c r="D184" s="480">
        <f>'[5]Sch C'!F190</f>
        <v>0</v>
      </c>
      <c r="E184" s="480">
        <f>+'[5]Sch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'[5]Sch C'!D191</f>
        <v>52138.18</v>
      </c>
      <c r="D185" s="480">
        <f>'[5]Sch C'!F191</f>
        <v>0</v>
      </c>
      <c r="E185" s="480">
        <f>+'[5]Sch C'!H191</f>
        <v>0</v>
      </c>
      <c r="F185" s="166">
        <f t="shared" si="58"/>
        <v>52138.18</v>
      </c>
      <c r="G185" s="626"/>
      <c r="H185" s="626"/>
      <c r="I185" s="166">
        <f t="shared" si="59"/>
        <v>52138.18</v>
      </c>
      <c r="J185" s="167">
        <f t="shared" si="60"/>
        <v>7.5719192179897147E-3</v>
      </c>
      <c r="K185" s="458"/>
      <c r="L185" s="213"/>
      <c r="M185" s="208"/>
      <c r="N185" s="210"/>
      <c r="O185" s="329">
        <f t="shared" si="61"/>
        <v>2.2927959542656113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'[5]Sch C'!D192</f>
        <v>34157.629999999997</v>
      </c>
      <c r="D186" s="480">
        <f>'[5]Sch C'!F192</f>
        <v>0</v>
      </c>
      <c r="E186" s="480">
        <f>+'[5]Sch C'!H192</f>
        <v>0</v>
      </c>
      <c r="F186" s="166">
        <f t="shared" si="58"/>
        <v>34157.629999999997</v>
      </c>
      <c r="G186" s="626"/>
      <c r="H186" s="626"/>
      <c r="I186" s="166">
        <f t="shared" si="59"/>
        <v>34157.629999999997</v>
      </c>
      <c r="J186" s="167">
        <f t="shared" si="60"/>
        <v>4.9606414155227889E-3</v>
      </c>
      <c r="K186" s="458"/>
      <c r="L186" s="213"/>
      <c r="M186" s="208"/>
      <c r="N186" s="210"/>
      <c r="O186" s="329">
        <f t="shared" si="61"/>
        <v>1.5020945470536498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'[5]Sch C'!D193</f>
        <v>0</v>
      </c>
      <c r="D187" s="480">
        <f>'[5]Sch C'!F193</f>
        <v>0</v>
      </c>
      <c r="E187" s="480">
        <f>+'[5]Sch C'!H193</f>
        <v>0</v>
      </c>
      <c r="F187" s="166">
        <f t="shared" si="58"/>
        <v>0</v>
      </c>
      <c r="G187" s="626"/>
      <c r="H187" s="62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'[5]Sch C'!D194</f>
        <v>0</v>
      </c>
      <c r="D188" s="480">
        <f>'[5]Sch C'!F194</f>
        <v>0</v>
      </c>
      <c r="E188" s="480">
        <f>+'[5]Sch C'!H194</f>
        <v>0</v>
      </c>
      <c r="F188" s="166">
        <f t="shared" si="58"/>
        <v>0</v>
      </c>
      <c r="G188" s="626"/>
      <c r="H188" s="62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'[5]Sch C'!D195</f>
        <v>0</v>
      </c>
      <c r="D189" s="480">
        <f>'[5]Sch C'!F195</f>
        <v>0</v>
      </c>
      <c r="E189" s="480">
        <f>+'[5]Sch C'!H195</f>
        <v>0</v>
      </c>
      <c r="F189" s="166">
        <f t="shared" si="58"/>
        <v>0</v>
      </c>
      <c r="G189" s="626"/>
      <c r="H189" s="62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'[5]Sch C'!D196</f>
        <v>0</v>
      </c>
      <c r="D190" s="480">
        <f>'[5]Sch C'!F196</f>
        <v>0</v>
      </c>
      <c r="E190" s="480">
        <f>+'[5]Sch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'[5]Sch C'!D197</f>
        <v>0</v>
      </c>
      <c r="D191" s="480">
        <f>'[5]Sch C'!F197</f>
        <v>0</v>
      </c>
      <c r="E191" s="480">
        <f>+'[5]Sch C'!H197</f>
        <v>0</v>
      </c>
      <c r="F191" s="166">
        <f t="shared" si="58"/>
        <v>0</v>
      </c>
      <c r="G191" s="626"/>
      <c r="H191" s="62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'[5]Sch C'!D198</f>
        <v>0</v>
      </c>
      <c r="D192" s="480">
        <f>'[5]Sch C'!F198</f>
        <v>0</v>
      </c>
      <c r="E192" s="480">
        <f>+'[5]Sch C'!H198</f>
        <v>0</v>
      </c>
      <c r="F192" s="166">
        <f t="shared" si="58"/>
        <v>0</v>
      </c>
      <c r="G192" s="626"/>
      <c r="H192" s="62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'[5]Sch C'!D199</f>
        <v>0</v>
      </c>
      <c r="D193" s="480">
        <f>'[5]Sch C'!F199</f>
        <v>0</v>
      </c>
      <c r="E193" s="480">
        <f>+'[5]Sch C'!H199</f>
        <v>0</v>
      </c>
      <c r="F193" s="166">
        <f t="shared" si="58"/>
        <v>0</v>
      </c>
      <c r="G193" s="626"/>
      <c r="H193" s="62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'[5]Sch C'!D200</f>
        <v>153.6</v>
      </c>
      <c r="D194" s="480">
        <f>'[5]Sch C'!F200</f>
        <v>0</v>
      </c>
      <c r="E194" s="480">
        <f>+'[5]Sch C'!H200</f>
        <v>0</v>
      </c>
      <c r="F194" s="166">
        <f t="shared" si="58"/>
        <v>153.6</v>
      </c>
      <c r="G194" s="626"/>
      <c r="H194" s="626"/>
      <c r="I194" s="166">
        <f t="shared" si="59"/>
        <v>153.6</v>
      </c>
      <c r="J194" s="167">
        <f t="shared" si="60"/>
        <v>2.2307007875672301E-5</v>
      </c>
      <c r="K194" s="458"/>
      <c r="L194" s="213"/>
      <c r="M194" s="208"/>
      <c r="O194" s="329">
        <f t="shared" si="61"/>
        <v>6.7546174142480205E-3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'[5]Sch C'!D201</f>
        <v>0</v>
      </c>
      <c r="D195" s="480">
        <f>'[5]Sch C'!F201</f>
        <v>0</v>
      </c>
      <c r="E195" s="480">
        <f>+'[5]Sch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'[5]Sch C'!D202</f>
        <v>0</v>
      </c>
      <c r="D196" s="480">
        <f>'[5]Sch C'!F202</f>
        <v>0</v>
      </c>
      <c r="E196" s="480">
        <f>+'[5]Sch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'[5]Sch C'!D203</f>
        <v>0</v>
      </c>
      <c r="D197" s="480">
        <f>'[5]Sch C'!F203</f>
        <v>0</v>
      </c>
      <c r="E197" s="480">
        <f>+'[5]Sch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'[5]Sch C'!D204</f>
        <v>0</v>
      </c>
      <c r="D198" s="480">
        <f>'[5]Sch C'!F204</f>
        <v>0</v>
      </c>
      <c r="E198" s="480">
        <f>+'[5]Sch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'[5]Sch C'!D205</f>
        <v>174493.22999999998</v>
      </c>
      <c r="D199" s="480">
        <f>'[5]Sch C'!F205</f>
        <v>0</v>
      </c>
      <c r="E199" s="480">
        <f>+'[5]Sch C'!H205</f>
        <v>0</v>
      </c>
      <c r="F199" s="166">
        <f t="shared" si="58"/>
        <v>174493.22999999998</v>
      </c>
      <c r="G199" s="626"/>
      <c r="H199" s="626"/>
      <c r="I199" s="166">
        <f t="shared" si="59"/>
        <v>174493.22999999998</v>
      </c>
      <c r="J199" s="167">
        <f t="shared" si="60"/>
        <v>2.5341288124098294E-2</v>
      </c>
      <c r="K199" s="458"/>
      <c r="L199" s="213"/>
      <c r="M199" s="208"/>
      <c r="O199" s="329">
        <f t="shared" si="61"/>
        <v>7.6734050131926113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'[5]Sch C'!D206</f>
        <v>106.56</v>
      </c>
      <c r="D200" s="480">
        <f>'[5]Sch C'!F206</f>
        <v>0</v>
      </c>
      <c r="E200" s="480">
        <f>+'[5]Sch C'!H206</f>
        <v>0</v>
      </c>
      <c r="F200" s="166">
        <f t="shared" si="58"/>
        <v>106.56</v>
      </c>
      <c r="G200" s="626"/>
      <c r="H200" s="626"/>
      <c r="I200" s="166">
        <f t="shared" si="59"/>
        <v>106.56</v>
      </c>
      <c r="J200" s="167">
        <f t="shared" si="60"/>
        <v>1.5475486713747661E-5</v>
      </c>
      <c r="K200" s="458"/>
      <c r="L200" s="213"/>
      <c r="M200" s="208"/>
      <c r="O200" s="329">
        <f t="shared" si="61"/>
        <v>4.6860158311345648E-3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'[5]Sch C'!D207</f>
        <v>2356.63</v>
      </c>
      <c r="D201" s="480">
        <f>'[5]Sch C'!F207</f>
        <v>0</v>
      </c>
      <c r="E201" s="480">
        <f>+'[5]Sch C'!H207</f>
        <v>0</v>
      </c>
      <c r="F201" s="166">
        <f t="shared" si="58"/>
        <v>2356.63</v>
      </c>
      <c r="G201" s="626"/>
      <c r="H201" s="626"/>
      <c r="I201" s="166">
        <f t="shared" si="59"/>
        <v>2356.63</v>
      </c>
      <c r="J201" s="167">
        <f t="shared" si="60"/>
        <v>3.4224846334665116E-4</v>
      </c>
      <c r="K201" s="458"/>
      <c r="L201" s="213"/>
      <c r="M201" s="208"/>
      <c r="O201" s="329">
        <f t="shared" si="61"/>
        <v>0.10363368513632366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617470.1</v>
      </c>
      <c r="D202" s="480">
        <f t="shared" si="62"/>
        <v>7.2759576141834259E-12</v>
      </c>
      <c r="E202" s="480">
        <f t="shared" si="62"/>
        <v>0</v>
      </c>
      <c r="F202" s="166">
        <f t="shared" ref="F202:I202" si="63">SUM(F169:F201)</f>
        <v>617470.1</v>
      </c>
      <c r="G202" s="166">
        <f t="shared" si="63"/>
        <v>0</v>
      </c>
      <c r="H202" s="166">
        <f t="shared" si="63"/>
        <v>0</v>
      </c>
      <c r="I202" s="166">
        <f t="shared" si="63"/>
        <v>617470.1</v>
      </c>
      <c r="J202" s="167">
        <f>IF($I$213=0,0,I202/$I$213)</f>
        <v>8.9673895727162528E-2</v>
      </c>
      <c r="K202" s="458"/>
      <c r="L202" s="163"/>
      <c r="M202" s="163"/>
      <c r="O202" s="329">
        <f>I202/I$233</f>
        <v>27.153478452066842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'[5]Sch C'!D211</f>
        <v>222999.81999999998</v>
      </c>
      <c r="D205" s="480">
        <f>'[5]Sch C'!F211</f>
        <v>-185.45798115695825</v>
      </c>
      <c r="E205" s="480">
        <f>+'[5]Sch C'!H211</f>
        <v>0</v>
      </c>
      <c r="F205" s="166">
        <f t="shared" ref="F205:F210" si="64">C205+D205+E205</f>
        <v>222814.36201884301</v>
      </c>
      <c r="G205" s="626"/>
      <c r="H205" s="626"/>
      <c r="I205" s="166">
        <f t="shared" ref="I205:I210" si="65">F205+G205+H205</f>
        <v>222814.36201884301</v>
      </c>
      <c r="J205" s="167">
        <f t="shared" ref="J205:J211" si="66">IF($I$213=0,0,I205/$I$213)</f>
        <v>3.2358865419057491E-2</v>
      </c>
      <c r="K205" s="458"/>
      <c r="L205" s="176">
        <v>13722.49276802311</v>
      </c>
      <c r="M205" s="176">
        <v>14146.899760848568</v>
      </c>
      <c r="O205" s="329">
        <f t="shared" ref="O205:O210" si="67">I205/I$233</f>
        <v>9.7983448557098942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'[5]Sch C'!D212</f>
        <v>0</v>
      </c>
      <c r="D206" s="480">
        <f>'[5]Sch C'!F212</f>
        <v>41440.687348503772</v>
      </c>
      <c r="E206" s="480">
        <f>+'[5]Sch C'!H212</f>
        <v>0</v>
      </c>
      <c r="F206" s="166">
        <f t="shared" si="64"/>
        <v>41440.687348503772</v>
      </c>
      <c r="G206" s="626"/>
      <c r="H206" s="626"/>
      <c r="I206" s="166">
        <f t="shared" si="65"/>
        <v>41440.687348503772</v>
      </c>
      <c r="J206" s="167">
        <f t="shared" si="66"/>
        <v>6.01834465531476E-3</v>
      </c>
      <c r="K206" s="458"/>
      <c r="L206" s="163"/>
      <c r="M206" s="163"/>
      <c r="O206" s="329">
        <f t="shared" si="67"/>
        <v>1.8223697162930419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'[5]Sch C'!D213</f>
        <v>1100</v>
      </c>
      <c r="D207" s="480">
        <f>'[5]Sch C'!F213</f>
        <v>0</v>
      </c>
      <c r="E207" s="480">
        <f>+'[5]Sch C'!H213</f>
        <v>58.546880056337557</v>
      </c>
      <c r="F207" s="166">
        <f t="shared" si="64"/>
        <v>1158.5468800563376</v>
      </c>
      <c r="G207" s="626"/>
      <c r="H207" s="626"/>
      <c r="I207" s="166">
        <f t="shared" si="65"/>
        <v>1158.5468800563376</v>
      </c>
      <c r="J207" s="167">
        <f t="shared" si="66"/>
        <v>1.6825334881349151E-4</v>
      </c>
      <c r="K207" s="458"/>
      <c r="L207" s="163"/>
      <c r="M207" s="163"/>
      <c r="O207" s="329">
        <f t="shared" si="67"/>
        <v>5.0947532104500336E-2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'[5]Sch C'!D214</f>
        <v>0</v>
      </c>
      <c r="D208" s="480">
        <f>'[5]Sch C'!F214</f>
        <v>0</v>
      </c>
      <c r="E208" s="480">
        <f>+'[5]Sch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'[5]Sch C'!D215</f>
        <v>0</v>
      </c>
      <c r="D209" s="480">
        <f>'[5]Sch C'!F215</f>
        <v>0</v>
      </c>
      <c r="E209" s="480">
        <f>+'[5]Sch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'[5]Sch C'!D216</f>
        <v>10298.379999999999</v>
      </c>
      <c r="D210" s="480">
        <f>'[5]Sch C'!F216</f>
        <v>0</v>
      </c>
      <c r="E210" s="480">
        <f>+'[5]Sch C'!H216</f>
        <v>3706.3894568288329</v>
      </c>
      <c r="F210" s="166">
        <f t="shared" si="64"/>
        <v>14004.769456828832</v>
      </c>
      <c r="G210" s="626"/>
      <c r="H210" s="626"/>
      <c r="I210" s="166">
        <f t="shared" si="65"/>
        <v>14004.769456828832</v>
      </c>
      <c r="J210" s="167">
        <f t="shared" si="66"/>
        <v>2.0338834802764039E-3</v>
      </c>
      <c r="K210" s="458"/>
      <c r="L210" s="163"/>
      <c r="M210" s="163"/>
      <c r="O210" s="329">
        <f t="shared" si="67"/>
        <v>0.6158649717163075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234398.19999999998</v>
      </c>
      <c r="D211" s="480">
        <f t="shared" si="68"/>
        <v>41255.229367346816</v>
      </c>
      <c r="E211" s="480">
        <f t="shared" si="68"/>
        <v>3764.9363368851705</v>
      </c>
      <c r="F211" s="166">
        <f t="shared" ref="F211:I211" si="69">SUM(F205:F210)</f>
        <v>279418.36570423195</v>
      </c>
      <c r="G211" s="166">
        <f t="shared" si="69"/>
        <v>0</v>
      </c>
      <c r="H211" s="166">
        <f t="shared" si="69"/>
        <v>0</v>
      </c>
      <c r="I211" s="166">
        <f t="shared" si="69"/>
        <v>279418.36570423195</v>
      </c>
      <c r="J211" s="167">
        <f t="shared" si="66"/>
        <v>4.0579346903462148E-2</v>
      </c>
      <c r="K211" s="458"/>
      <c r="L211" s="163"/>
      <c r="M211" s="163"/>
      <c r="O211" s="329">
        <f>I211/I$233</f>
        <v>12.287527075823744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6188915.8400000008</v>
      </c>
      <c r="D213" s="480">
        <f t="shared" si="70"/>
        <v>-162293.57000000027</v>
      </c>
      <c r="E213" s="480">
        <f t="shared" si="70"/>
        <v>859106.00541348744</v>
      </c>
      <c r="F213" s="166">
        <f t="shared" ref="F213:I213" si="71">SUM(F30:F211)/2</f>
        <v>6885728.2754134899</v>
      </c>
      <c r="G213" s="166">
        <f t="shared" si="71"/>
        <v>0.23000000000320142</v>
      </c>
      <c r="H213" s="166">
        <f t="shared" si="71"/>
        <v>0</v>
      </c>
      <c r="I213" s="166">
        <f t="shared" si="71"/>
        <v>6885728.5054134903</v>
      </c>
      <c r="J213" s="167">
        <f>IF($I$213=0,0,I213/$I$213)</f>
        <v>1</v>
      </c>
      <c r="K213" s="458"/>
      <c r="L213" s="176">
        <f>SUM(L30:L205)</f>
        <v>169389.30473227857</v>
      </c>
      <c r="M213" s="176">
        <f>SUM(M30:M205)</f>
        <v>181594.42193942971</v>
      </c>
      <c r="O213" s="329">
        <f>I213/I$233</f>
        <v>302.80248484667942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411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'[5]Sch C'!D221</f>
        <v>6188915.8399999952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-279187.12000000011</v>
      </c>
      <c r="D220" s="480">
        <f t="shared" si="72"/>
        <v>126697.41000000027</v>
      </c>
      <c r="E220" s="480">
        <f t="shared" si="72"/>
        <v>-859106.00541348744</v>
      </c>
      <c r="F220" s="166">
        <f t="shared" ref="F220:I220" si="73">F26-F213</f>
        <v>-1011595.7154134894</v>
      </c>
      <c r="G220" s="166">
        <f t="shared" si="73"/>
        <v>1065064.77</v>
      </c>
      <c r="H220" s="166">
        <f t="shared" si="73"/>
        <v>0</v>
      </c>
      <c r="I220" s="166">
        <f t="shared" si="73"/>
        <v>53469.054586510174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'[5]Sch D'!C9</f>
        <v>11995</v>
      </c>
      <c r="D224" s="480"/>
      <c r="E224" s="480"/>
      <c r="F224" s="224">
        <f>C224+D224+E224</f>
        <v>11995</v>
      </c>
      <c r="G224" s="627"/>
      <c r="H224" s="223"/>
      <c r="I224" s="224">
        <f>F224+G224+H224</f>
        <v>11995</v>
      </c>
      <c r="J224" s="167">
        <f t="shared" ref="J224:J233" si="74">IF($I$233=0,0,I224/$I$233)</f>
        <v>0.52748460861917323</v>
      </c>
      <c r="K224" s="458"/>
      <c r="L224" s="163"/>
      <c r="M224" s="163"/>
    </row>
    <row r="225" spans="1:13">
      <c r="A225" s="158"/>
      <c r="B225" s="165" t="s">
        <v>201</v>
      </c>
      <c r="C225" s="504">
        <f>'[5]Sch D'!D9</f>
        <v>365</v>
      </c>
      <c r="D225" s="480"/>
      <c r="E225" s="480"/>
      <c r="F225" s="224">
        <f t="shared" ref="F225:F232" si="75">C225+D225+E225</f>
        <v>365</v>
      </c>
      <c r="G225" s="627"/>
      <c r="H225" s="223"/>
      <c r="I225" s="224">
        <f t="shared" ref="I225:I232" si="76">F225+G225+H225</f>
        <v>365</v>
      </c>
      <c r="J225" s="167">
        <f t="shared" si="74"/>
        <v>1.6051011433597186E-2</v>
      </c>
      <c r="K225" s="458"/>
      <c r="L225" s="163"/>
      <c r="M225" s="163"/>
    </row>
    <row r="226" spans="1:13">
      <c r="A226" s="158"/>
      <c r="B226" s="165" t="s">
        <v>64</v>
      </c>
      <c r="C226" s="504">
        <f>'[5]Sch D'!E9</f>
        <v>2542</v>
      </c>
      <c r="D226" s="480"/>
      <c r="E226" s="480"/>
      <c r="F226" s="224">
        <f t="shared" si="75"/>
        <v>2542</v>
      </c>
      <c r="G226" s="627"/>
      <c r="H226" s="223"/>
      <c r="I226" s="224">
        <f t="shared" si="76"/>
        <v>2542</v>
      </c>
      <c r="J226" s="167">
        <f t="shared" si="74"/>
        <v>0.11178540017590149</v>
      </c>
      <c r="K226" s="458"/>
      <c r="L226" s="163"/>
      <c r="M226" s="163"/>
    </row>
    <row r="227" spans="1:13">
      <c r="A227" s="158"/>
      <c r="B227" s="194" t="s">
        <v>315</v>
      </c>
      <c r="C227" s="504">
        <f>'[5]Sch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'[5]Sch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'[5]Sch D'!H9</f>
        <v>7198</v>
      </c>
      <c r="D229" s="480"/>
      <c r="E229" s="480"/>
      <c r="F229" s="224">
        <f t="shared" si="75"/>
        <v>7198</v>
      </c>
      <c r="G229" s="627"/>
      <c r="H229" s="223"/>
      <c r="I229" s="224">
        <f t="shared" si="76"/>
        <v>7198</v>
      </c>
      <c r="J229" s="167">
        <f t="shared" si="74"/>
        <v>0.31653474054529462</v>
      </c>
      <c r="K229" s="458"/>
      <c r="L229" s="163"/>
      <c r="M229" s="163"/>
    </row>
    <row r="230" spans="1:13">
      <c r="A230" s="158"/>
      <c r="B230" s="165" t="s">
        <v>219</v>
      </c>
      <c r="C230" s="504">
        <f>'[5]Sch D'!I9</f>
        <v>640</v>
      </c>
      <c r="D230" s="480"/>
      <c r="E230" s="480"/>
      <c r="F230" s="224">
        <f t="shared" si="75"/>
        <v>640</v>
      </c>
      <c r="G230" s="627"/>
      <c r="H230" s="223"/>
      <c r="I230" s="224">
        <f t="shared" si="76"/>
        <v>640</v>
      </c>
      <c r="J230" s="167">
        <f t="shared" si="74"/>
        <v>2.8144239226033423E-2</v>
      </c>
      <c r="K230" s="458"/>
      <c r="L230" s="163"/>
      <c r="M230" s="163"/>
    </row>
    <row r="231" spans="1:13">
      <c r="A231" s="158"/>
      <c r="B231" s="165" t="s">
        <v>218</v>
      </c>
      <c r="C231" s="504">
        <f>'[5]Sch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'[5]Sch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22740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22740</v>
      </c>
      <c r="G233" s="226">
        <f t="shared" si="78"/>
        <v>0</v>
      </c>
      <c r="H233" s="226">
        <f t="shared" si="78"/>
        <v>0</v>
      </c>
      <c r="I233" s="226">
        <f t="shared" si="78"/>
        <v>22740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'[5]Sch D'!N30</f>
        <v>0.51917808219178085</v>
      </c>
      <c r="D241" s="228"/>
      <c r="E241" s="228"/>
      <c r="F241" s="232">
        <f>F233/F240</f>
        <v>0.51917808219178085</v>
      </c>
      <c r="G241"/>
      <c r="H241" s="233"/>
      <c r="I241" s="232">
        <f>I233/I240</f>
        <v>0.51917808219178085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'[5]Sch D'!N32</f>
        <v>0.28219178082191781</v>
      </c>
      <c r="D242" s="228"/>
      <c r="E242" s="228"/>
      <c r="F242" s="232">
        <f>(F224+F225)/F240</f>
        <v>0.28219178082191781</v>
      </c>
      <c r="G242"/>
      <c r="H242" s="233"/>
      <c r="I242" s="232">
        <f>(I224+I225)/I240</f>
        <v>0.28219178082191781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'[5]Sch D'!N34</f>
        <v>0.54353562005277045</v>
      </c>
      <c r="D243" s="228"/>
      <c r="E243" s="228"/>
      <c r="F243" s="232">
        <f>(F242/F241)</f>
        <v>0.54353562005277045</v>
      </c>
      <c r="G243"/>
      <c r="H243" s="233"/>
      <c r="I243" s="232">
        <f>(I242/I241)</f>
        <v>0.54353562005277045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'[5]Sch B'!C90</f>
        <v>286.13421342134211</v>
      </c>
      <c r="K246" s="460"/>
    </row>
    <row r="247" spans="1:13">
      <c r="H247" s="140" t="s">
        <v>322</v>
      </c>
      <c r="I247" s="480">
        <f>'[5]Sch B'!E90</f>
        <v>282.94320241691844</v>
      </c>
      <c r="K247" s="460"/>
    </row>
    <row r="248" spans="1:13">
      <c r="H248" s="140" t="s">
        <v>323</v>
      </c>
      <c r="I248" s="480">
        <f>'[5]Sch B'!G90</f>
        <v>284.21205479452055</v>
      </c>
      <c r="K248" s="460"/>
    </row>
    <row r="249" spans="1:13">
      <c r="H249" s="140" t="s">
        <v>324</v>
      </c>
      <c r="I249" s="480">
        <f>'[5]Sch B'!I90</f>
        <v>265.28745367919532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4">
    <tabColor rgb="FFE28CAB"/>
  </sheetPr>
  <dimension ref="A1:Q277"/>
  <sheetViews>
    <sheetView showGridLines="0" topLeftCell="B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391" t="s">
        <v>437</v>
      </c>
      <c r="G1" s="391"/>
      <c r="H1" s="419"/>
      <c r="I1" s="419"/>
      <c r="J1" s="419"/>
      <c r="K1" s="420"/>
    </row>
    <row r="2" spans="1:16" ht="23">
      <c r="B2" s="141" t="s">
        <v>178</v>
      </c>
      <c r="C2" s="234" t="s">
        <v>462</v>
      </c>
      <c r="D2" s="234"/>
      <c r="E2" s="142"/>
    </row>
    <row r="3" spans="1:16">
      <c r="A3" s="143"/>
      <c r="B3" s="138" t="s">
        <v>71</v>
      </c>
      <c r="C3" s="557">
        <f>'[42]Sch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'[42]Sch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'[43]Sch B'!E10</f>
        <v>733802.74</v>
      </c>
      <c r="D12" s="480">
        <f>'[43]Sch B'!G10</f>
        <v>0</v>
      </c>
      <c r="E12" s="480"/>
      <c r="F12" s="166">
        <f>C12+D12+E12</f>
        <v>733802.74</v>
      </c>
      <c r="G12" s="626"/>
      <c r="H12" s="166"/>
      <c r="I12" s="166">
        <f>F12+G12+H12</f>
        <v>733802.74</v>
      </c>
      <c r="J12" s="167">
        <f>IF($I$26=0,0,I12/$I$26)</f>
        <v>0.29070564784809161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'[43]Sch B'!E12</f>
        <v>315315.15000000002</v>
      </c>
      <c r="D13" s="480">
        <f>'[43]Sch B'!G12</f>
        <v>0</v>
      </c>
      <c r="E13" s="480"/>
      <c r="F13" s="166">
        <f t="shared" ref="F13:F25" si="0">C13+D13+E13</f>
        <v>315315.15000000002</v>
      </c>
      <c r="G13" s="626">
        <v>135305</v>
      </c>
      <c r="H13" s="166"/>
      <c r="I13" s="166">
        <f t="shared" ref="I13:I25" si="1">F13+G13+H13</f>
        <v>450620.15</v>
      </c>
      <c r="J13" s="167">
        <f>IF($I$26=0,0,I13/$I$26)</f>
        <v>0.17851912441639867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'[43]Sch B'!E13</f>
        <v>-2551.3599999999997</v>
      </c>
      <c r="D14" s="480">
        <f>'[43]Sch B'!G13</f>
        <v>0</v>
      </c>
      <c r="E14" s="480"/>
      <c r="F14" s="166">
        <f t="shared" si="0"/>
        <v>-2551.3599999999997</v>
      </c>
      <c r="G14" s="626"/>
      <c r="H14" s="166"/>
      <c r="I14" s="166">
        <f t="shared" si="1"/>
        <v>-2551.3599999999997</v>
      </c>
      <c r="J14" s="167">
        <f>IF($I$26=0,0,I14/$I$26)</f>
        <v>-1.0107549635120017E-3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'[43]Sch B'!E14</f>
        <v>5664.3</v>
      </c>
      <c r="D15" s="480">
        <f>'[43]Sch B'!G14</f>
        <v>0</v>
      </c>
      <c r="E15" s="480"/>
      <c r="F15" s="166">
        <f t="shared" si="0"/>
        <v>5664.3</v>
      </c>
      <c r="G15" s="626"/>
      <c r="H15" s="166"/>
      <c r="I15" s="166">
        <f t="shared" si="1"/>
        <v>5664.3</v>
      </c>
      <c r="J15" s="167">
        <f>IF($I$26=0,0,I15/$I$26)</f>
        <v>2.2439872616255773E-3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'[43]Sch B'!E15</f>
        <v>1052230.83</v>
      </c>
      <c r="D16" s="480">
        <f>'[43]Sch B'!G15</f>
        <v>0</v>
      </c>
      <c r="E16" s="480"/>
      <c r="F16" s="166">
        <f t="shared" si="0"/>
        <v>1052230.83</v>
      </c>
      <c r="G16" s="626"/>
      <c r="H16" s="166"/>
      <c r="I16" s="166">
        <f>SUM(I12:I15)</f>
        <v>1187535.83</v>
      </c>
      <c r="J16" s="167">
        <f t="shared" ref="J16:J26" si="2">IF($I$26=0,0,I16/$I$26)</f>
        <v>0.47045800456260389</v>
      </c>
      <c r="K16" s="458"/>
      <c r="L16" s="333" t="s">
        <v>325</v>
      </c>
      <c r="M16" s="334">
        <f>I26</f>
        <v>2524212.1899999995</v>
      </c>
      <c r="O16" s="324">
        <f>IFERROR(I16/I224,0)</f>
        <v>294.89342686863671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'[43]Sch B'!E20</f>
        <v>0</v>
      </c>
      <c r="D17" s="480">
        <f>'[43]Sch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2158685.7000000002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'[43]Sch B'!E26</f>
        <v>469599.91</v>
      </c>
      <c r="D18" s="480">
        <f>'[43]Sch B'!G26</f>
        <v>0</v>
      </c>
      <c r="E18" s="480"/>
      <c r="F18" s="166">
        <f t="shared" si="0"/>
        <v>469599.91</v>
      </c>
      <c r="G18" s="626"/>
      <c r="H18" s="166"/>
      <c r="I18" s="166">
        <f t="shared" si="1"/>
        <v>469599.91</v>
      </c>
      <c r="J18" s="167">
        <f t="shared" si="2"/>
        <v>0.18603820703361712</v>
      </c>
      <c r="K18" s="458"/>
      <c r="L18" s="335" t="s">
        <v>327</v>
      </c>
      <c r="M18" s="336">
        <f>I233</f>
        <v>8955</v>
      </c>
      <c r="O18" s="324">
        <f t="shared" si="3"/>
        <v>496.40582452431289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'[43]Sch B'!E32</f>
        <v>250450.43000000002</v>
      </c>
      <c r="D19" s="480">
        <f>'[43]Sch B'!G32</f>
        <v>0</v>
      </c>
      <c r="E19" s="480"/>
      <c r="F19" s="166">
        <f t="shared" si="0"/>
        <v>250450.43000000002</v>
      </c>
      <c r="G19" s="626"/>
      <c r="H19" s="166"/>
      <c r="I19" s="166">
        <f t="shared" si="1"/>
        <v>250450.43000000002</v>
      </c>
      <c r="J19" s="170">
        <f t="shared" si="2"/>
        <v>9.921924590658128E-2</v>
      </c>
      <c r="K19" s="464"/>
      <c r="L19" s="335" t="s">
        <v>328</v>
      </c>
      <c r="M19" s="336">
        <f>I236</f>
        <v>38</v>
      </c>
      <c r="O19" s="324">
        <f t="shared" si="3"/>
        <v>407.89972312703588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'[43]Sch B'!E37</f>
        <v>0</v>
      </c>
      <c r="D20" s="480">
        <f>'[43]Sch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13870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'[43]Sch B'!E42</f>
        <v>347275.61</v>
      </c>
      <c r="D21" s="480">
        <f>'[43]Sch B'!G42</f>
        <v>0</v>
      </c>
      <c r="E21" s="480"/>
      <c r="F21" s="166">
        <f t="shared" si="0"/>
        <v>347275.61</v>
      </c>
      <c r="G21" s="626"/>
      <c r="H21" s="166"/>
      <c r="I21" s="166">
        <f t="shared" si="1"/>
        <v>347275.61</v>
      </c>
      <c r="J21" s="167">
        <f t="shared" si="2"/>
        <v>0.13757781987416837</v>
      </c>
      <c r="K21" s="458"/>
      <c r="L21" s="337"/>
      <c r="M21" s="336"/>
      <c r="O21" s="324">
        <f t="shared" si="3"/>
        <v>179.56339710444672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'[43]Sch B'!E47</f>
        <v>260897.65</v>
      </c>
      <c r="D22" s="480">
        <f>'[43]Sch B'!G47</f>
        <v>0</v>
      </c>
      <c r="E22" s="480"/>
      <c r="F22" s="166">
        <f t="shared" si="0"/>
        <v>260897.65</v>
      </c>
      <c r="G22" s="626"/>
      <c r="H22" s="166"/>
      <c r="I22" s="166">
        <f t="shared" si="1"/>
        <v>260897.65</v>
      </c>
      <c r="J22" s="167">
        <f t="shared" si="2"/>
        <v>0.10335805010116841</v>
      </c>
      <c r="K22" s="458"/>
      <c r="L22" s="335" t="s">
        <v>148</v>
      </c>
      <c r="M22" s="336">
        <f>L213</f>
        <v>58196.060000000005</v>
      </c>
      <c r="O22" s="324">
        <f t="shared" si="3"/>
        <v>182.82946741415557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'[43]Sch B'!E52</f>
        <v>0</v>
      </c>
      <c r="D23" s="480">
        <f>'[43]Sch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63689.319999999992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'[43]Sch B'!E57</f>
        <v>2987</v>
      </c>
      <c r="D24" s="480">
        <f>'[43]Sch B'!G57</f>
        <v>0</v>
      </c>
      <c r="E24" s="480"/>
      <c r="F24" s="166">
        <f t="shared" si="0"/>
        <v>2987</v>
      </c>
      <c r="G24" s="626"/>
      <c r="H24" s="166"/>
      <c r="I24" s="166">
        <f t="shared" si="1"/>
        <v>2987</v>
      </c>
      <c r="J24" s="167">
        <f t="shared" si="2"/>
        <v>1.1833395036413325E-3</v>
      </c>
      <c r="K24" s="458"/>
      <c r="L24" s="163"/>
      <c r="M24" s="163"/>
      <c r="O24" s="324">
        <f t="shared" si="3"/>
        <v>426.71428571428572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'[43]Sch B'!E72</f>
        <v>11115.76</v>
      </c>
      <c r="D25" s="480">
        <f>'[43]Sch B'!G72</f>
        <v>-5650</v>
      </c>
      <c r="E25" s="480"/>
      <c r="F25" s="166">
        <f t="shared" si="0"/>
        <v>5465.76</v>
      </c>
      <c r="G25" s="626"/>
      <c r="H25" s="166"/>
      <c r="I25" s="166">
        <f t="shared" si="1"/>
        <v>5465.76</v>
      </c>
      <c r="J25" s="167">
        <f t="shared" si="2"/>
        <v>2.1653330182198356E-3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2394557.1899999995</v>
      </c>
      <c r="D26" s="480">
        <f t="shared" ref="D26:F26" si="4">SUM(D16:D25)</f>
        <v>-5650</v>
      </c>
      <c r="E26" s="480">
        <f t="shared" si="4"/>
        <v>0</v>
      </c>
      <c r="F26" s="166">
        <f t="shared" si="4"/>
        <v>2388907.1899999995</v>
      </c>
      <c r="G26" s="166">
        <f>SUM(G12:G25)</f>
        <v>135305</v>
      </c>
      <c r="H26" s="166">
        <f>SUM(H12:H25)</f>
        <v>0</v>
      </c>
      <c r="I26" s="166">
        <f>SUM(I16:I25)</f>
        <v>2524212.1899999995</v>
      </c>
      <c r="J26" s="167">
        <f t="shared" si="2"/>
        <v>1</v>
      </c>
      <c r="K26" s="458"/>
      <c r="L26" s="163"/>
      <c r="M26" s="163"/>
      <c r="O26" s="324">
        <f>IFERROR(I26/I233,0)</f>
        <v>281.87740815187038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'[43]Sch C'!D10</f>
        <v>73696.479999999996</v>
      </c>
      <c r="D30" s="480">
        <f>'[43]Sch C'!F10</f>
        <v>0</v>
      </c>
      <c r="E30" s="480">
        <f>+'[43]Sch C'!H10</f>
        <v>0</v>
      </c>
      <c r="F30" s="166">
        <f t="shared" ref="F30:F65" si="5">C30+D30+E30</f>
        <v>73696.479999999996</v>
      </c>
      <c r="G30" s="626"/>
      <c r="H30" s="166"/>
      <c r="I30" s="166">
        <f t="shared" ref="I30:I65" si="6">F30+G30+H30</f>
        <v>73696.479999999996</v>
      </c>
      <c r="J30" s="167">
        <f>IF($I$213=0,0,I30/$I$213)</f>
        <v>3.4139513686499146E-2</v>
      </c>
      <c r="K30" s="458"/>
      <c r="L30" s="176">
        <v>1860</v>
      </c>
      <c r="M30" s="176">
        <v>2080</v>
      </c>
      <c r="O30" s="324">
        <f>I30/I$233</f>
        <v>8.2296460078168625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'[43]Sch C'!D11</f>
        <v>0</v>
      </c>
      <c r="D31" s="480">
        <f>'[43]Sch C'!F11</f>
        <v>0</v>
      </c>
      <c r="E31" s="480">
        <f>+'[43]Sch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'[43]Sch C'!D12</f>
        <v>36377.11</v>
      </c>
      <c r="D32" s="480">
        <f>'[43]Sch C'!F12</f>
        <v>0</v>
      </c>
      <c r="E32" s="480">
        <f>+'[43]Sch C'!H12</f>
        <v>0</v>
      </c>
      <c r="F32" s="166">
        <f t="shared" si="5"/>
        <v>36377.11</v>
      </c>
      <c r="G32" s="626"/>
      <c r="H32" s="166"/>
      <c r="I32" s="166">
        <f t="shared" si="6"/>
        <v>36377.11</v>
      </c>
      <c r="J32" s="167">
        <f t="shared" si="7"/>
        <v>1.6851508304335364E-2</v>
      </c>
      <c r="K32" s="458"/>
      <c r="L32" s="176">
        <v>1893.6</v>
      </c>
      <c r="M32" s="176">
        <v>2070.6</v>
      </c>
      <c r="O32" s="324">
        <f t="shared" si="8"/>
        <v>4.0622121719709661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'[43]Sch C'!D13</f>
        <v>210845.75</v>
      </c>
      <c r="D33" s="480">
        <f>'[43]Sch C'!F13</f>
        <v>-188579.8</v>
      </c>
      <c r="E33" s="480">
        <f>+'[43]Sch C'!H13</f>
        <v>0</v>
      </c>
      <c r="F33" s="166">
        <f t="shared" si="5"/>
        <v>22265.950000000012</v>
      </c>
      <c r="G33" s="626"/>
      <c r="H33" s="166"/>
      <c r="I33" s="166">
        <f t="shared" si="6"/>
        <v>22265.950000000012</v>
      </c>
      <c r="J33" s="167">
        <f t="shared" si="7"/>
        <v>1.0314586324447329E-2</v>
      </c>
      <c r="K33" s="458"/>
      <c r="L33" s="163"/>
      <c r="M33" s="163"/>
      <c r="O33" s="324">
        <f t="shared" si="8"/>
        <v>2.4864265773311014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'[43]Sch C'!D14</f>
        <v>0</v>
      </c>
      <c r="D34" s="480">
        <f>'[43]Sch C'!F14</f>
        <v>0</v>
      </c>
      <c r="E34" s="480">
        <f>+'[43]Sch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'[43]Sch C'!D15</f>
        <v>0</v>
      </c>
      <c r="D35" s="480">
        <f>'[43]Sch C'!F15</f>
        <v>0</v>
      </c>
      <c r="E35" s="480">
        <f>+'[43]Sch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'[43]Sch C'!D16</f>
        <v>135301</v>
      </c>
      <c r="D36" s="480">
        <f>'[43]Sch C'!F16</f>
        <v>0</v>
      </c>
      <c r="E36" s="480">
        <f>+'[43]Sch C'!H16</f>
        <v>32144</v>
      </c>
      <c r="F36" s="166">
        <f t="shared" si="5"/>
        <v>167445</v>
      </c>
      <c r="G36" s="626"/>
      <c r="H36" s="166"/>
      <c r="I36" s="166">
        <f t="shared" si="6"/>
        <v>167445</v>
      </c>
      <c r="J36" s="167">
        <f t="shared" si="7"/>
        <v>7.7568031325727496E-2</v>
      </c>
      <c r="K36" s="458"/>
      <c r="L36" s="163"/>
      <c r="M36" s="163"/>
      <c r="O36" s="324">
        <f t="shared" si="8"/>
        <v>18.698492462311556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'[43]Sch C'!D17</f>
        <v>0</v>
      </c>
      <c r="D37" s="480">
        <f>'[43]Sch C'!F17</f>
        <v>0</v>
      </c>
      <c r="E37" s="480">
        <f>+'[43]Sch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'[43]Sch C'!D18</f>
        <v>15657.62</v>
      </c>
      <c r="D38" s="480">
        <f>'[43]Sch C'!F18</f>
        <v>0</v>
      </c>
      <c r="E38" s="480">
        <f>+'[43]Sch C'!H18</f>
        <v>0</v>
      </c>
      <c r="F38" s="166">
        <f t="shared" si="5"/>
        <v>15657.62</v>
      </c>
      <c r="G38" s="626"/>
      <c r="H38" s="166"/>
      <c r="I38" s="166">
        <f t="shared" si="6"/>
        <v>15657.62</v>
      </c>
      <c r="J38" s="167">
        <f t="shared" si="7"/>
        <v>7.2533115867678185E-3</v>
      </c>
      <c r="K38" s="458"/>
      <c r="L38" s="163"/>
      <c r="M38" s="163"/>
      <c r="O38" s="324">
        <f t="shared" si="8"/>
        <v>1.7484779452819654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'[43]Sch C'!D19</f>
        <v>10174.549999999999</v>
      </c>
      <c r="D39" s="480">
        <f>'[43]Sch C'!F19</f>
        <v>0</v>
      </c>
      <c r="E39" s="480">
        <f>+'[43]Sch C'!H19</f>
        <v>0</v>
      </c>
      <c r="F39" s="166">
        <f t="shared" si="5"/>
        <v>10174.549999999999</v>
      </c>
      <c r="G39" s="626"/>
      <c r="H39" s="166"/>
      <c r="I39" s="166">
        <f t="shared" si="6"/>
        <v>10174.549999999999</v>
      </c>
      <c r="J39" s="167">
        <f t="shared" si="7"/>
        <v>4.713307731644305E-3</v>
      </c>
      <c r="K39" s="458"/>
      <c r="L39" s="163"/>
      <c r="M39" s="163"/>
      <c r="O39" s="324">
        <f t="shared" si="8"/>
        <v>1.1361864879955332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'[43]Sch C'!D20</f>
        <v>3227.36</v>
      </c>
      <c r="D40" s="480">
        <f>'[43]Sch C'!F20</f>
        <v>0</v>
      </c>
      <c r="E40" s="480">
        <f>+'[43]Sch C'!H20</f>
        <v>0</v>
      </c>
      <c r="F40" s="166">
        <f t="shared" si="5"/>
        <v>3227.36</v>
      </c>
      <c r="G40" s="626">
        <v>3221</v>
      </c>
      <c r="H40" s="166"/>
      <c r="I40" s="166">
        <f t="shared" si="6"/>
        <v>6448.3600000000006</v>
      </c>
      <c r="J40" s="167">
        <f t="shared" si="7"/>
        <v>2.9871694614922403E-3</v>
      </c>
      <c r="K40" s="458"/>
      <c r="L40" s="163"/>
      <c r="M40" s="163"/>
      <c r="O40" s="324">
        <f t="shared" si="8"/>
        <v>0.7200848687883864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'[43]Sch C'!D21</f>
        <v>0</v>
      </c>
      <c r="D41" s="480">
        <f>'[43]Sch C'!F21</f>
        <v>0</v>
      </c>
      <c r="E41" s="480">
        <f>+'[43]Sch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'[43]Sch C'!D22</f>
        <v>0</v>
      </c>
      <c r="D42" s="480">
        <f>'[43]Sch C'!F22</f>
        <v>0</v>
      </c>
      <c r="E42" s="480">
        <f>+'[43]Sch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'[43]Sch C'!D23</f>
        <v>7685.93</v>
      </c>
      <c r="D43" s="480">
        <f>'[43]Sch C'!F23</f>
        <v>0</v>
      </c>
      <c r="E43" s="480">
        <f>+'[43]Sch C'!H23</f>
        <v>0</v>
      </c>
      <c r="F43" s="166">
        <f t="shared" si="5"/>
        <v>7685.93</v>
      </c>
      <c r="G43" s="626">
        <v>2677</v>
      </c>
      <c r="H43" s="166"/>
      <c r="I43" s="166">
        <f t="shared" si="6"/>
        <v>10362.93</v>
      </c>
      <c r="J43" s="167">
        <f t="shared" si="7"/>
        <v>4.8005737935818997E-3</v>
      </c>
      <c r="K43" s="458"/>
      <c r="L43" s="163"/>
      <c r="M43" s="163"/>
      <c r="O43" s="324">
        <f t="shared" si="8"/>
        <v>1.1572227805695143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'[43]Sch C'!D24</f>
        <v>0</v>
      </c>
      <c r="D44" s="480">
        <f>'[43]Sch C'!F24</f>
        <v>0</v>
      </c>
      <c r="E44" s="480">
        <f>+'[43]Sch C'!H24</f>
        <v>0</v>
      </c>
      <c r="F44" s="166">
        <f t="shared" si="5"/>
        <v>0</v>
      </c>
      <c r="G44" s="626">
        <f>22097-4966</f>
        <v>17131</v>
      </c>
      <c r="H44" s="166"/>
      <c r="I44" s="166">
        <f t="shared" si="6"/>
        <v>17131</v>
      </c>
      <c r="J44" s="167">
        <f t="shared" si="7"/>
        <v>7.9358472611367175E-3</v>
      </c>
      <c r="K44" s="458"/>
      <c r="L44" s="163"/>
      <c r="M44" s="163"/>
      <c r="O44" s="324">
        <f t="shared" si="8"/>
        <v>1.9130094919039642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'[43]Sch C'!D25</f>
        <v>0</v>
      </c>
      <c r="D45" s="480">
        <f>'[43]Sch C'!F25</f>
        <v>0</v>
      </c>
      <c r="E45" s="480">
        <f>+'[43]Sch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'[43]Sch C'!D26</f>
        <v>155315.82</v>
      </c>
      <c r="D46" s="480">
        <f>'[43]Sch C'!F26</f>
        <v>0</v>
      </c>
      <c r="E46" s="480">
        <f>+'[43]Sch C'!H26</f>
        <v>0</v>
      </c>
      <c r="F46" s="166">
        <f t="shared" si="5"/>
        <v>155315.82</v>
      </c>
      <c r="G46" s="626"/>
      <c r="H46" s="166"/>
      <c r="I46" s="166">
        <f t="shared" si="6"/>
        <v>155315.82</v>
      </c>
      <c r="J46" s="167">
        <f t="shared" si="7"/>
        <v>7.1949251343074158E-2</v>
      </c>
      <c r="K46" s="458"/>
      <c r="L46" s="163"/>
      <c r="M46" s="163"/>
      <c r="O46" s="324">
        <f t="shared" si="8"/>
        <v>17.344033500837522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'[43]Sch C'!D27</f>
        <v>0</v>
      </c>
      <c r="D47" s="480">
        <f>'[43]Sch C'!F27</f>
        <v>0</v>
      </c>
      <c r="E47" s="480">
        <f>+'[43]Sch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'[43]Sch C'!D28</f>
        <v>0</v>
      </c>
      <c r="D48" s="480">
        <f>'[43]Sch C'!F28</f>
        <v>0</v>
      </c>
      <c r="E48" s="480">
        <f>+'[43]Sch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'[43]Sch C'!D29</f>
        <v>22741.43</v>
      </c>
      <c r="D49" s="480">
        <f>'[43]Sch C'!F29</f>
        <v>-22741.43</v>
      </c>
      <c r="E49" s="480">
        <f>+'[43]Sch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'[43]Sch C'!D30</f>
        <v>0</v>
      </c>
      <c r="D50" s="480">
        <f>'[43]Sch C'!F30</f>
        <v>0</v>
      </c>
      <c r="E50" s="480">
        <f>+'[43]Sch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'[43]Sch C'!D31</f>
        <v>0</v>
      </c>
      <c r="D51" s="480">
        <f>'[43]Sch C'!F31</f>
        <v>25092.799999999999</v>
      </c>
      <c r="E51" s="480">
        <f>+'[43]Sch C'!H31</f>
        <v>0</v>
      </c>
      <c r="F51" s="166">
        <f t="shared" si="5"/>
        <v>25092.799999999999</v>
      </c>
      <c r="G51" s="626"/>
      <c r="H51" s="166"/>
      <c r="I51" s="166">
        <f t="shared" si="6"/>
        <v>25092.799999999999</v>
      </c>
      <c r="J51" s="167">
        <f t="shared" si="7"/>
        <v>1.1624109985071008E-2</v>
      </c>
      <c r="K51" s="458"/>
      <c r="L51" s="163"/>
      <c r="M51" s="163"/>
      <c r="O51" s="324">
        <f t="shared" si="8"/>
        <v>2.8020993858179786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'[43]Sch C'!D32</f>
        <v>11681.41</v>
      </c>
      <c r="D52" s="480">
        <f>'[43]Sch C'!F32</f>
        <v>0</v>
      </c>
      <c r="E52" s="480">
        <f>+'[43]Sch C'!H32</f>
        <v>0</v>
      </c>
      <c r="F52" s="166">
        <f t="shared" si="5"/>
        <v>11681.41</v>
      </c>
      <c r="G52" s="626"/>
      <c r="H52" s="166"/>
      <c r="I52" s="166">
        <f t="shared" si="6"/>
        <v>11681.41</v>
      </c>
      <c r="J52" s="167">
        <f t="shared" si="7"/>
        <v>5.4113528430748386E-3</v>
      </c>
      <c r="K52" s="458"/>
      <c r="L52" s="163"/>
      <c r="M52" s="163"/>
      <c r="O52" s="324">
        <f t="shared" si="8"/>
        <v>1.3044567280848687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'[43]Sch C'!D33</f>
        <v>0</v>
      </c>
      <c r="D53" s="480">
        <f>'[43]Sch C'!F33</f>
        <v>0</v>
      </c>
      <c r="E53" s="480">
        <f>+'[43]Sch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'[43]Sch C'!D34</f>
        <v>0</v>
      </c>
      <c r="D54" s="480">
        <f>'[43]Sch C'!F34</f>
        <v>0</v>
      </c>
      <c r="E54" s="480">
        <f>+'[43]Sch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'[43]Sch C'!D35</f>
        <v>0</v>
      </c>
      <c r="D55" s="480">
        <f>'[43]Sch C'!F35</f>
        <v>0</v>
      </c>
      <c r="E55" s="480">
        <f>+'[43]Sch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'[43]Sch C'!D36</f>
        <v>0</v>
      </c>
      <c r="D56" s="480">
        <f>'[43]Sch C'!F36</f>
        <v>0</v>
      </c>
      <c r="E56" s="480">
        <f>+'[43]Sch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'[43]Sch C'!D37</f>
        <v>0</v>
      </c>
      <c r="D57" s="480">
        <f>'[43]Sch C'!F37</f>
        <v>0</v>
      </c>
      <c r="E57" s="480">
        <f>+'[43]Sch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'[43]Sch C'!D38</f>
        <v>0</v>
      </c>
      <c r="D58" s="480">
        <f>'[43]Sch C'!F38</f>
        <v>0</v>
      </c>
      <c r="E58" s="480">
        <f>+'[43]Sch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'[43]Sch C'!D39</f>
        <v>2371.87</v>
      </c>
      <c r="D59" s="480">
        <f>'[43]Sch C'!F39</f>
        <v>0</v>
      </c>
      <c r="E59" s="480">
        <f>+'[43]Sch C'!H39</f>
        <v>0</v>
      </c>
      <c r="F59" s="166">
        <f t="shared" si="5"/>
        <v>2371.87</v>
      </c>
      <c r="G59" s="626"/>
      <c r="H59" s="166"/>
      <c r="I59" s="166">
        <f t="shared" si="6"/>
        <v>2371.87</v>
      </c>
      <c r="J59" s="167">
        <f t="shared" si="7"/>
        <v>1.0987565257878902E-3</v>
      </c>
      <c r="K59" s="458"/>
      <c r="L59" s="163"/>
      <c r="M59" s="163"/>
      <c r="O59" s="324">
        <f t="shared" si="8"/>
        <v>0.26486543830262421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'[43]Sch C'!D40</f>
        <v>7781.91</v>
      </c>
      <c r="D60" s="480">
        <f>'[43]Sch C'!F40</f>
        <v>-7782</v>
      </c>
      <c r="E60" s="480">
        <f>+'[43]Sch C'!H40</f>
        <v>0</v>
      </c>
      <c r="F60" s="166">
        <f t="shared" si="5"/>
        <v>-9.0000000000145519E-2</v>
      </c>
      <c r="G60" s="626"/>
      <c r="H60" s="166"/>
      <c r="I60" s="166">
        <f t="shared" si="6"/>
        <v>-9.0000000000145519E-2</v>
      </c>
      <c r="J60" s="167">
        <f t="shared" si="7"/>
        <v>-4.1692035111987591E-8</v>
      </c>
      <c r="K60" s="458"/>
      <c r="L60" s="163"/>
      <c r="M60" s="163"/>
      <c r="O60" s="324">
        <f t="shared" si="8"/>
        <v>-1.0050251256297657E-5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'[43]Sch C'!D41</f>
        <v>0</v>
      </c>
      <c r="D61" s="480">
        <f>'[43]Sch C'!F41</f>
        <v>0</v>
      </c>
      <c r="E61" s="480">
        <f>+'[43]Sch C'!H41</f>
        <v>0</v>
      </c>
      <c r="F61" s="166">
        <f t="shared" si="5"/>
        <v>0</v>
      </c>
      <c r="G61" s="626">
        <v>1915</v>
      </c>
      <c r="H61" s="166"/>
      <c r="I61" s="166">
        <f t="shared" si="6"/>
        <v>1915</v>
      </c>
      <c r="J61" s="167">
        <f t="shared" si="7"/>
        <v>8.8711385821474604E-4</v>
      </c>
      <c r="K61" s="458"/>
      <c r="L61" s="163"/>
      <c r="M61" s="163"/>
      <c r="O61" s="324">
        <f t="shared" si="8"/>
        <v>0.2138470128419877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'[43]Sch C'!D42</f>
        <v>2609.6999999999998</v>
      </c>
      <c r="D62" s="480">
        <f>'[43]Sch C'!F42</f>
        <v>0</v>
      </c>
      <c r="E62" s="480">
        <f>+'[43]Sch C'!H42</f>
        <v>0</v>
      </c>
      <c r="F62" s="166">
        <f t="shared" si="5"/>
        <v>2609.6999999999998</v>
      </c>
      <c r="G62" s="626"/>
      <c r="H62" s="166"/>
      <c r="I62" s="166">
        <f t="shared" si="6"/>
        <v>2609.6999999999998</v>
      </c>
      <c r="J62" s="167">
        <f t="shared" si="7"/>
        <v>1.208930044795312E-3</v>
      </c>
      <c r="K62" s="458"/>
      <c r="L62" s="163"/>
      <c r="M62" s="163"/>
      <c r="O62" s="324">
        <f t="shared" si="8"/>
        <v>0.29142378559463983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'[43]Sch C'!D43</f>
        <v>8071.63</v>
      </c>
      <c r="D63" s="480">
        <f>'[43]Sch C'!F43</f>
        <v>0</v>
      </c>
      <c r="E63" s="480">
        <f>+'[43]Sch C'!H43</f>
        <v>0</v>
      </c>
      <c r="F63" s="166">
        <f t="shared" si="5"/>
        <v>8071.63</v>
      </c>
      <c r="G63" s="626">
        <v>-8072</v>
      </c>
      <c r="H63" s="166"/>
      <c r="I63" s="166">
        <f t="shared" si="6"/>
        <v>-0.36999999999989086</v>
      </c>
      <c r="J63" s="167">
        <f t="shared" si="7"/>
        <v>-1.7140058879339906E-7</v>
      </c>
      <c r="K63" s="458" t="s">
        <v>742</v>
      </c>
      <c r="L63" s="163"/>
      <c r="M63" s="163"/>
      <c r="O63" s="324">
        <f t="shared" si="8"/>
        <v>-4.1317699609144709E-5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'[43]Sch C'!D44</f>
        <v>0</v>
      </c>
      <c r="D64" s="480">
        <f>'[43]Sch C'!F44</f>
        <v>0</v>
      </c>
      <c r="E64" s="480">
        <f>+'[43]Sch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'[43]Sch C'!D45</f>
        <v>30177.26</v>
      </c>
      <c r="D65" s="480">
        <f>'[43]Sch C'!F45</f>
        <v>0</v>
      </c>
      <c r="E65" s="480">
        <f>+'[43]Sch C'!H45</f>
        <v>0</v>
      </c>
      <c r="F65" s="166">
        <f t="shared" si="5"/>
        <v>30177.26</v>
      </c>
      <c r="G65" s="626">
        <f>-4966.11-24944</f>
        <v>-29910.11</v>
      </c>
      <c r="H65" s="166"/>
      <c r="I65" s="166">
        <f t="shared" si="6"/>
        <v>267.14999999999782</v>
      </c>
      <c r="J65" s="167">
        <f t="shared" si="7"/>
        <v>1.2375585755721539E-4</v>
      </c>
      <c r="K65" s="162" t="s">
        <v>660</v>
      </c>
      <c r="L65" s="163"/>
      <c r="M65" s="163"/>
      <c r="O65" s="324">
        <f t="shared" si="8"/>
        <v>2.9832495812395065E-2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733716.83</v>
      </c>
      <c r="D66" s="480">
        <f t="shared" si="9"/>
        <v>-194010.43</v>
      </c>
      <c r="E66" s="480">
        <f t="shared" si="9"/>
        <v>32144</v>
      </c>
      <c r="F66" s="166">
        <f t="shared" ref="F66:I66" si="10">SUM(F30:F65)</f>
        <v>571850.4</v>
      </c>
      <c r="G66" s="166">
        <f t="shared" si="10"/>
        <v>-13038.11</v>
      </c>
      <c r="H66" s="166">
        <f t="shared" si="10"/>
        <v>0</v>
      </c>
      <c r="I66" s="166">
        <f t="shared" si="10"/>
        <v>558812.29</v>
      </c>
      <c r="J66" s="178">
        <f t="shared" si="7"/>
        <v>0.25886690684058361</v>
      </c>
      <c r="K66" s="465"/>
      <c r="L66" s="163"/>
      <c r="M66" s="163"/>
      <c r="O66" s="329">
        <f>I66/I$233</f>
        <v>62.402265773311001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'[43]Sch C'!D57</f>
        <v>244816.16</v>
      </c>
      <c r="D69" s="480">
        <f>'[43]Sch C'!F57</f>
        <v>0</v>
      </c>
      <c r="E69" s="480">
        <f>+'[43]Sch C'!H57</f>
        <v>-244816</v>
      </c>
      <c r="F69" s="166">
        <f>C69+D69+E69</f>
        <v>0.16000000000349246</v>
      </c>
      <c r="G69" s="626"/>
      <c r="H69" s="166"/>
      <c r="I69" s="166">
        <f>F69+G69+H69</f>
        <v>0.16000000000349246</v>
      </c>
      <c r="J69" s="167">
        <f t="shared" ref="J69:J84" si="11">IF($I$213=0,0,I69/$I$213)</f>
        <v>7.4119173533920411E-8</v>
      </c>
      <c r="K69" s="458"/>
      <c r="L69" s="182"/>
      <c r="M69" s="163"/>
      <c r="O69" s="324">
        <f t="shared" ref="O69:O84" si="12">I69/I$233</f>
        <v>1.786711334489028E-5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'[43]Sch C'!D58</f>
        <v>0</v>
      </c>
      <c r="D70" s="480">
        <f>'[43]Sch C'!F58</f>
        <v>0</v>
      </c>
      <c r="E70" s="480">
        <f>+'[43]Sch C'!H58</f>
        <v>96860</v>
      </c>
      <c r="F70" s="166">
        <f t="shared" ref="F70:F83" si="13">C70+D70+E70</f>
        <v>96860</v>
      </c>
      <c r="G70" s="626"/>
      <c r="H70" s="166"/>
      <c r="I70" s="166">
        <f t="shared" ref="I70:I83" si="14">F70+G70+H70</f>
        <v>96860</v>
      </c>
      <c r="J70" s="167">
        <f t="shared" si="11"/>
        <v>4.4869894677117654E-2</v>
      </c>
      <c r="K70" s="458"/>
      <c r="L70" s="182"/>
      <c r="M70" s="163"/>
      <c r="O70" s="324">
        <f t="shared" si="12"/>
        <v>10.816303740926857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'[43]Sch C'!D59</f>
        <v>0</v>
      </c>
      <c r="D71" s="480">
        <f>'[43]Sch C'!F59</f>
        <v>-1436</v>
      </c>
      <c r="E71" s="480">
        <f>+'[43]Sch C'!H59</f>
        <v>28780</v>
      </c>
      <c r="F71" s="166">
        <f t="shared" si="13"/>
        <v>27344</v>
      </c>
      <c r="G71" s="626"/>
      <c r="H71" s="166"/>
      <c r="I71" s="166">
        <f t="shared" si="14"/>
        <v>27344</v>
      </c>
      <c r="J71" s="167">
        <f t="shared" si="11"/>
        <v>1.2666966756670504E-2</v>
      </c>
      <c r="K71" s="458"/>
      <c r="L71" s="182"/>
      <c r="M71" s="163"/>
      <c r="O71" s="324">
        <f t="shared" si="12"/>
        <v>3.0534896705750976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'[43]Sch C'!D60</f>
        <v>0</v>
      </c>
      <c r="D72" s="480">
        <f>'[43]Sch C'!F60</f>
        <v>0</v>
      </c>
      <c r="E72" s="480">
        <f>+'[43]Sch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'[43]Sch C'!D61</f>
        <v>5763.81</v>
      </c>
      <c r="D73" s="480">
        <f>'[43]Sch C'!F61</f>
        <v>0</v>
      </c>
      <c r="E73" s="480">
        <f>+'[43]Sch C'!H61</f>
        <v>0</v>
      </c>
      <c r="F73" s="166">
        <f t="shared" si="13"/>
        <v>5763.81</v>
      </c>
      <c r="G73" s="626"/>
      <c r="H73" s="166"/>
      <c r="I73" s="166">
        <f t="shared" si="14"/>
        <v>5763.81</v>
      </c>
      <c r="J73" s="167">
        <f t="shared" si="11"/>
        <v>2.6700552099826295E-3</v>
      </c>
      <c r="K73" s="458"/>
      <c r="L73" s="185"/>
      <c r="M73" s="163"/>
      <c r="O73" s="324">
        <f t="shared" si="12"/>
        <v>0.643641541038526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'[43]Sch C'!D62</f>
        <v>0</v>
      </c>
      <c r="D74" s="480">
        <f>'[43]Sch C'!F62</f>
        <v>0</v>
      </c>
      <c r="E74" s="480">
        <f>+'[43]Sch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'[43]Sch C'!D63</f>
        <v>0</v>
      </c>
      <c r="D75" s="480">
        <f>'[43]Sch C'!F63</f>
        <v>0</v>
      </c>
      <c r="E75" s="480">
        <f>+'[43]Sch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'[43]Sch C'!D64</f>
        <v>0</v>
      </c>
      <c r="D76" s="480">
        <f>'[43]Sch C'!F64</f>
        <v>0</v>
      </c>
      <c r="E76" s="480">
        <f>+'[43]Sch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'[43]Sch C'!D65</f>
        <v>3868.89</v>
      </c>
      <c r="D77" s="480">
        <f>'[43]Sch C'!F65</f>
        <v>0</v>
      </c>
      <c r="E77" s="480">
        <f>+'[43]Sch C'!H65</f>
        <v>0</v>
      </c>
      <c r="F77" s="166">
        <f t="shared" si="13"/>
        <v>3868.89</v>
      </c>
      <c r="G77" s="626"/>
      <c r="H77" s="166"/>
      <c r="I77" s="166">
        <f t="shared" si="14"/>
        <v>3868.89</v>
      </c>
      <c r="J77" s="167">
        <f t="shared" si="11"/>
        <v>1.7922433080461873E-3</v>
      </c>
      <c r="K77" s="458"/>
      <c r="L77" s="187"/>
      <c r="M77" s="163"/>
      <c r="O77" s="324">
        <f t="shared" si="12"/>
        <v>0.43203685092127303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'[43]Sch C'!D66</f>
        <v>0</v>
      </c>
      <c r="D78" s="480">
        <f>'[43]Sch C'!F66</f>
        <v>0</v>
      </c>
      <c r="E78" s="480">
        <f>+'[43]Sch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'[43]Sch C'!D67</f>
        <v>648.64</v>
      </c>
      <c r="D79" s="480">
        <f>'[43]Sch C'!F67</f>
        <v>0</v>
      </c>
      <c r="E79" s="480">
        <f>+'[43]Sch C'!H67</f>
        <v>0</v>
      </c>
      <c r="F79" s="166">
        <f t="shared" si="13"/>
        <v>648.64</v>
      </c>
      <c r="G79" s="626"/>
      <c r="H79" s="166"/>
      <c r="I79" s="166">
        <f t="shared" si="14"/>
        <v>648.64</v>
      </c>
      <c r="J79" s="167">
        <f t="shared" si="11"/>
        <v>3.0047912949995452E-4</v>
      </c>
      <c r="K79" s="458"/>
      <c r="L79" s="187"/>
      <c r="M79" s="163"/>
      <c r="O79" s="324">
        <f t="shared" si="12"/>
        <v>7.2433277498604134E-2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'[43]Sch C'!D68</f>
        <v>0</v>
      </c>
      <c r="D80" s="480">
        <f>'[43]Sch C'!F68</f>
        <v>0</v>
      </c>
      <c r="E80" s="480">
        <f>+'[43]Sch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'[43]Sch C'!D69</f>
        <v>0</v>
      </c>
      <c r="D81" s="480">
        <f>'[43]Sch C'!F69</f>
        <v>0</v>
      </c>
      <c r="E81" s="480">
        <f>+'[43]Sch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'[43]Sch C'!D70</f>
        <v>0</v>
      </c>
      <c r="D82" s="480">
        <f>'[43]Sch C'!F70</f>
        <v>0</v>
      </c>
      <c r="E82" s="480">
        <f>+'[43]Sch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'[43]Sch C'!D71</f>
        <v>0</v>
      </c>
      <c r="D83" s="480">
        <f>'[43]Sch C'!F71</f>
        <v>0</v>
      </c>
      <c r="E83" s="480">
        <f>+'[43]Sch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255097.50000000003</v>
      </c>
      <c r="D84" s="480">
        <f t="shared" si="15"/>
        <v>-1436</v>
      </c>
      <c r="E84" s="480">
        <f t="shared" si="15"/>
        <v>-119176</v>
      </c>
      <c r="F84" s="166">
        <f t="shared" ref="F84:I84" si="16">SUM(F69:F83)</f>
        <v>134485.50000000003</v>
      </c>
      <c r="G84" s="166">
        <f t="shared" si="16"/>
        <v>0</v>
      </c>
      <c r="H84" s="166">
        <f t="shared" si="16"/>
        <v>0</v>
      </c>
      <c r="I84" s="166">
        <f t="shared" si="16"/>
        <v>134485.50000000003</v>
      </c>
      <c r="J84" s="167">
        <f t="shared" si="11"/>
        <v>6.2299713200490471E-2</v>
      </c>
      <c r="K84" s="458"/>
      <c r="L84" s="187"/>
      <c r="M84" s="163"/>
      <c r="O84" s="324">
        <f t="shared" si="12"/>
        <v>15.017922948073705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'[43]Sch C'!D75</f>
        <v>30083.78</v>
      </c>
      <c r="D87" s="480">
        <f>'[43]Sch C'!F75</f>
        <v>-3150</v>
      </c>
      <c r="E87" s="480">
        <f>+'[43]Sch C'!H75</f>
        <v>0</v>
      </c>
      <c r="F87" s="166">
        <f t="shared" ref="F87:F97" si="17">C87+D87+E87</f>
        <v>26933.78</v>
      </c>
      <c r="G87" s="626"/>
      <c r="H87" s="166"/>
      <c r="I87" s="166">
        <f t="shared" ref="I87:I97" si="18">F87+G87+H87</f>
        <v>26933.78</v>
      </c>
      <c r="J87" s="167">
        <f t="shared" ref="J87:J98" si="19">IF($I$213=0,0,I87/$I$213)</f>
        <v>1.2476934460630371E-2</v>
      </c>
      <c r="K87" s="458"/>
      <c r="L87" s="176">
        <v>1460</v>
      </c>
      <c r="M87" s="176">
        <v>1688</v>
      </c>
      <c r="O87" s="324">
        <f t="shared" ref="O87:O97" si="20">I87/I$233</f>
        <v>3.007680625348967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'[43]Sch C'!D76</f>
        <v>0</v>
      </c>
      <c r="D88" s="480">
        <f>'[43]Sch C'!F76</f>
        <v>6085</v>
      </c>
      <c r="E88" s="480">
        <f>+'[43]Sch C'!H76</f>
        <v>0</v>
      </c>
      <c r="F88" s="166">
        <f t="shared" si="17"/>
        <v>6085</v>
      </c>
      <c r="G88" s="626"/>
      <c r="H88" s="166"/>
      <c r="I88" s="166">
        <f t="shared" si="18"/>
        <v>6085</v>
      </c>
      <c r="J88" s="167">
        <f t="shared" si="19"/>
        <v>2.8188448184003809E-3</v>
      </c>
      <c r="K88" s="458"/>
      <c r="L88" s="163"/>
      <c r="M88" s="163"/>
      <c r="O88" s="324">
        <f t="shared" si="20"/>
        <v>0.67950865438302621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'[43]Sch C'!D77</f>
        <v>12394.59</v>
      </c>
      <c r="D89" s="480">
        <f>'[43]Sch C'!F77</f>
        <v>0</v>
      </c>
      <c r="E89" s="480">
        <f>+'[43]Sch C'!H77</f>
        <v>0</v>
      </c>
      <c r="F89" s="166">
        <f t="shared" si="17"/>
        <v>12394.59</v>
      </c>
      <c r="G89" s="626"/>
      <c r="H89" s="166"/>
      <c r="I89" s="166">
        <f t="shared" si="18"/>
        <v>12394.59</v>
      </c>
      <c r="J89" s="167">
        <f t="shared" si="19"/>
        <v>5.741729794198386E-3</v>
      </c>
      <c r="K89" s="458"/>
      <c r="L89" s="163"/>
      <c r="M89" s="163"/>
      <c r="O89" s="324">
        <f t="shared" si="20"/>
        <v>1.3840971524288108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'[43]Sch C'!D78</f>
        <v>8644.67</v>
      </c>
      <c r="D90" s="480">
        <f>'[43]Sch C'!F78</f>
        <v>0</v>
      </c>
      <c r="E90" s="480">
        <f>+'[43]Sch C'!H78</f>
        <v>0</v>
      </c>
      <c r="F90" s="166">
        <f t="shared" si="17"/>
        <v>8644.67</v>
      </c>
      <c r="G90" s="626"/>
      <c r="H90" s="166"/>
      <c r="I90" s="166">
        <f t="shared" si="18"/>
        <v>8644.67</v>
      </c>
      <c r="J90" s="167">
        <f t="shared" si="19"/>
        <v>4.0045987241218118E-3</v>
      </c>
      <c r="K90" s="458"/>
      <c r="L90" s="163"/>
      <c r="M90" s="163"/>
      <c r="O90" s="324">
        <f t="shared" si="20"/>
        <v>0.96534561697375765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'[43]Sch C'!D79</f>
        <v>1000.12</v>
      </c>
      <c r="D91" s="480">
        <f>'[43]Sch C'!F79</f>
        <v>0</v>
      </c>
      <c r="E91" s="480">
        <f>+'[43]Sch C'!H79</f>
        <v>0</v>
      </c>
      <c r="F91" s="166">
        <f t="shared" si="17"/>
        <v>1000.12</v>
      </c>
      <c r="G91" s="626">
        <v>4966.1099999999997</v>
      </c>
      <c r="H91" s="166"/>
      <c r="I91" s="166">
        <f t="shared" si="18"/>
        <v>5966.23</v>
      </c>
      <c r="J91" s="167">
        <f t="shared" si="19"/>
        <v>2.7638252293976837E-3</v>
      </c>
      <c r="K91" s="162" t="s">
        <v>660</v>
      </c>
      <c r="L91" s="163"/>
      <c r="M91" s="163"/>
      <c r="O91" s="324">
        <f t="shared" si="20"/>
        <v>0.66624567280848679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'[43]Sch C'!D80</f>
        <v>22678.68</v>
      </c>
      <c r="D92" s="480">
        <f>'[43]Sch C'!F80</f>
        <v>0</v>
      </c>
      <c r="E92" s="480">
        <f>+'[43]Sch C'!H80</f>
        <v>0</v>
      </c>
      <c r="F92" s="166">
        <f t="shared" si="17"/>
        <v>22678.68</v>
      </c>
      <c r="G92" s="626"/>
      <c r="H92" s="166"/>
      <c r="I92" s="166">
        <f t="shared" si="18"/>
        <v>22678.68</v>
      </c>
      <c r="J92" s="167">
        <f t="shared" si="19"/>
        <v>1.0505781365022244E-2</v>
      </c>
      <c r="K92" s="458"/>
      <c r="L92" s="163"/>
      <c r="M92" s="163"/>
      <c r="O92" s="324">
        <f t="shared" si="20"/>
        <v>2.5325159128978223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'[43]Sch C'!D81</f>
        <v>0</v>
      </c>
      <c r="D93" s="480">
        <f>'[43]Sch C'!F81</f>
        <v>0</v>
      </c>
      <c r="E93" s="480">
        <f>+'[43]Sch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'[43]Sch C'!D82</f>
        <v>0</v>
      </c>
      <c r="D94" s="480">
        <f>'[43]Sch C'!F82</f>
        <v>0</v>
      </c>
      <c r="E94" s="480">
        <f>+'[43]Sch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'[43]Sch C'!D83</f>
        <v>4796.21</v>
      </c>
      <c r="D95" s="480">
        <f>'[43]Sch C'!F83</f>
        <v>-93</v>
      </c>
      <c r="E95" s="480">
        <f>+'[43]Sch C'!H83</f>
        <v>0</v>
      </c>
      <c r="F95" s="166">
        <f t="shared" si="17"/>
        <v>4703.21</v>
      </c>
      <c r="G95" s="626"/>
      <c r="H95" s="166"/>
      <c r="I95" s="166">
        <f t="shared" si="18"/>
        <v>4703.21</v>
      </c>
      <c r="J95" s="167">
        <f t="shared" si="19"/>
        <v>2.1787377384303789E-3</v>
      </c>
      <c r="K95" s="458"/>
      <c r="L95" s="163"/>
      <c r="M95" s="163"/>
      <c r="O95" s="324">
        <f t="shared" si="20"/>
        <v>0.52520491345616971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'[43]Sch C'!D84</f>
        <v>64260.36</v>
      </c>
      <c r="D96" s="480">
        <f>'[43]Sch C'!F84</f>
        <v>0</v>
      </c>
      <c r="E96" s="480">
        <f>+'[43]Sch C'!H84</f>
        <v>0</v>
      </c>
      <c r="F96" s="166">
        <f t="shared" si="17"/>
        <v>64260.36</v>
      </c>
      <c r="G96" s="626"/>
      <c r="H96" s="166"/>
      <c r="I96" s="166">
        <f t="shared" si="18"/>
        <v>64260.36</v>
      </c>
      <c r="J96" s="167">
        <f t="shared" si="19"/>
        <v>2.9768279838051456E-2</v>
      </c>
      <c r="K96" s="458"/>
      <c r="L96" s="163"/>
      <c r="M96" s="163"/>
      <c r="O96" s="324">
        <f t="shared" si="20"/>
        <v>7.1759195979899495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'[43]Sch C'!D85</f>
        <v>0</v>
      </c>
      <c r="D97" s="480">
        <f>'[43]Sch C'!F85</f>
        <v>0</v>
      </c>
      <c r="E97" s="480">
        <f>+'[43]Sch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143858.41</v>
      </c>
      <c r="D98" s="480">
        <f t="shared" si="21"/>
        <v>2842</v>
      </c>
      <c r="E98" s="480">
        <f t="shared" si="21"/>
        <v>0</v>
      </c>
      <c r="F98" s="166">
        <f t="shared" ref="F98:I98" si="22">SUM(F87:F97)</f>
        <v>146700.41</v>
      </c>
      <c r="G98" s="166">
        <f t="shared" si="22"/>
        <v>4966.1099999999997</v>
      </c>
      <c r="H98" s="166">
        <f t="shared" si="22"/>
        <v>0</v>
      </c>
      <c r="I98" s="166">
        <f t="shared" si="22"/>
        <v>151666.51999999999</v>
      </c>
      <c r="J98" s="167">
        <f t="shared" si="19"/>
        <v>7.0258731968252705E-2</v>
      </c>
      <c r="K98" s="458"/>
      <c r="L98" s="163"/>
      <c r="M98" s="163"/>
      <c r="O98" s="329">
        <f>I98/I$233</f>
        <v>16.936518146286989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'[43]Sch C'!D89</f>
        <v>94078.16</v>
      </c>
      <c r="D101" s="480">
        <f>'[43]Sch C'!F89</f>
        <v>0</v>
      </c>
      <c r="E101" s="480">
        <f>+'[43]Sch C'!H89</f>
        <v>0</v>
      </c>
      <c r="F101" s="166">
        <f t="shared" ref="F101:F106" si="23">C101+D101+E101</f>
        <v>94078.16</v>
      </c>
      <c r="G101" s="626"/>
      <c r="H101" s="166"/>
      <c r="I101" s="166">
        <f t="shared" ref="I101:I106" si="24">F101+G101+H101</f>
        <v>94078.16</v>
      </c>
      <c r="J101" s="167">
        <f t="shared" ref="J101:J107" si="25">IF($I$213=0,0,I101/$I$213)</f>
        <v>4.3581221666498277E-2</v>
      </c>
      <c r="K101" s="458"/>
      <c r="L101" s="176">
        <v>9678.4500000000007</v>
      </c>
      <c r="M101" s="176">
        <v>10215</v>
      </c>
      <c r="O101" s="329">
        <f t="shared" ref="O101:O106" si="26">I101/I$233</f>
        <v>10.505657174762703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'[43]Sch C'!D90</f>
        <v>0</v>
      </c>
      <c r="D102" s="480">
        <f>'[43]Sch C'!F90</f>
        <v>19030</v>
      </c>
      <c r="E102" s="480">
        <f>+'[43]Sch C'!H90</f>
        <v>0</v>
      </c>
      <c r="F102" s="166">
        <f t="shared" si="23"/>
        <v>19030</v>
      </c>
      <c r="G102" s="626"/>
      <c r="H102" s="166"/>
      <c r="I102" s="166">
        <f t="shared" si="24"/>
        <v>19030</v>
      </c>
      <c r="J102" s="167">
        <f t="shared" si="25"/>
        <v>8.815549201998233E-3</v>
      </c>
      <c r="K102" s="458"/>
      <c r="L102" s="163"/>
      <c r="M102" s="163"/>
      <c r="O102" s="329">
        <f t="shared" si="26"/>
        <v>2.1250697934115022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'[43]Sch C'!D91</f>
        <v>1374.6</v>
      </c>
      <c r="D103" s="480">
        <f>'[43]Sch C'!F91</f>
        <v>0</v>
      </c>
      <c r="E103" s="480">
        <f>+'[43]Sch C'!H91</f>
        <v>0</v>
      </c>
      <c r="F103" s="166">
        <f t="shared" si="23"/>
        <v>1374.6</v>
      </c>
      <c r="G103" s="626"/>
      <c r="H103" s="166"/>
      <c r="I103" s="166">
        <f t="shared" si="24"/>
        <v>1374.6</v>
      </c>
      <c r="J103" s="167">
        <f t="shared" si="25"/>
        <v>6.367763496093942E-4</v>
      </c>
      <c r="K103" s="458"/>
      <c r="L103" s="163"/>
      <c r="M103" s="163"/>
      <c r="O103" s="329">
        <f t="shared" si="26"/>
        <v>0.15350083752093802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'[43]Sch C'!D92</f>
        <v>59002.32</v>
      </c>
      <c r="D104" s="480">
        <f>'[43]Sch C'!F92</f>
        <v>-842</v>
      </c>
      <c r="E104" s="480">
        <f>+'[43]Sch C'!H92</f>
        <v>0</v>
      </c>
      <c r="F104" s="166">
        <f t="shared" si="23"/>
        <v>58160.32</v>
      </c>
      <c r="G104" s="626"/>
      <c r="H104" s="166"/>
      <c r="I104" s="166">
        <f t="shared" si="24"/>
        <v>58160.32</v>
      </c>
      <c r="J104" s="167">
        <f t="shared" si="25"/>
        <v>2.6942467817339038E-2</v>
      </c>
      <c r="K104" s="458"/>
      <c r="L104" s="163"/>
      <c r="M104" s="163"/>
      <c r="O104" s="329">
        <f t="shared" si="26"/>
        <v>6.4947314349525405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'[43]Sch C'!D93</f>
        <v>6526.61</v>
      </c>
      <c r="D105" s="480">
        <f>'[43]Sch C'!F93</f>
        <v>0</v>
      </c>
      <c r="E105" s="480">
        <f>+'[43]Sch C'!H93</f>
        <v>0</v>
      </c>
      <c r="F105" s="166">
        <f t="shared" si="23"/>
        <v>6526.61</v>
      </c>
      <c r="G105" s="626"/>
      <c r="H105" s="166"/>
      <c r="I105" s="166">
        <f t="shared" si="24"/>
        <v>6526.61</v>
      </c>
      <c r="J105" s="167">
        <f t="shared" si="25"/>
        <v>3.0234183697978815E-3</v>
      </c>
      <c r="K105" s="458"/>
      <c r="L105" s="163"/>
      <c r="M105" s="163"/>
      <c r="O105" s="329">
        <f t="shared" si="26"/>
        <v>0.72882300390843102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'[43]Sch C'!D94</f>
        <v>0</v>
      </c>
      <c r="D106" s="480">
        <f>'[43]Sch C'!F94</f>
        <v>0</v>
      </c>
      <c r="E106" s="480">
        <f>+'[43]Sch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160981.69</v>
      </c>
      <c r="D107" s="480">
        <f t="shared" si="27"/>
        <v>18188</v>
      </c>
      <c r="E107" s="480">
        <f t="shared" si="27"/>
        <v>0</v>
      </c>
      <c r="F107" s="166">
        <f t="shared" ref="F107:I107" si="28">SUM(F101:F106)</f>
        <v>179169.69</v>
      </c>
      <c r="G107" s="166">
        <f t="shared" si="28"/>
        <v>0</v>
      </c>
      <c r="H107" s="166">
        <f t="shared" si="28"/>
        <v>0</v>
      </c>
      <c r="I107" s="166">
        <f t="shared" si="28"/>
        <v>179169.69</v>
      </c>
      <c r="J107" s="167">
        <f t="shared" si="25"/>
        <v>8.2999433405242823E-2</v>
      </c>
      <c r="K107" s="458"/>
      <c r="L107" s="163"/>
      <c r="M107" s="163"/>
      <c r="O107" s="329">
        <f>I107/I$233</f>
        <v>20.007782244556115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'[43]Sch C'!D98</f>
        <v>26864.53</v>
      </c>
      <c r="D110" s="480">
        <f>'[43]Sch C'!F98</f>
        <v>0</v>
      </c>
      <c r="E110" s="480">
        <f>+'[43]Sch C'!H98</f>
        <v>0</v>
      </c>
      <c r="F110" s="166">
        <f t="shared" ref="F110:F115" si="29">C110+D110+E110</f>
        <v>26864.53</v>
      </c>
      <c r="G110" s="626"/>
      <c r="H110" s="166"/>
      <c r="I110" s="166">
        <f t="shared" ref="I110:I115" si="30">F110+G110+H110</f>
        <v>26864.53</v>
      </c>
      <c r="J110" s="167">
        <f t="shared" ref="J110:J116" si="31">IF($I$213=0,0,I110/$I$213)</f>
        <v>1.2444854755835922E-2</v>
      </c>
      <c r="K110" s="458"/>
      <c r="L110" s="176">
        <v>2366.5</v>
      </c>
      <c r="M110" s="176">
        <v>2629.5</v>
      </c>
      <c r="O110" s="329">
        <f t="shared" ref="O110:O115" si="32">I110/I$233</f>
        <v>2.9999475153545503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'[43]Sch C'!D99</f>
        <v>0</v>
      </c>
      <c r="D111" s="480">
        <f>'[43]Sch C'!F99</f>
        <v>5434</v>
      </c>
      <c r="E111" s="480">
        <f>+'[43]Sch C'!H99</f>
        <v>0</v>
      </c>
      <c r="F111" s="166">
        <f t="shared" si="29"/>
        <v>5434</v>
      </c>
      <c r="G111" s="626"/>
      <c r="H111" s="166"/>
      <c r="I111" s="166">
        <f t="shared" si="30"/>
        <v>5434</v>
      </c>
      <c r="J111" s="167">
        <f t="shared" si="31"/>
        <v>2.517272431090825E-3</v>
      </c>
      <c r="K111" s="458"/>
      <c r="L111" s="163"/>
      <c r="M111" s="163"/>
      <c r="O111" s="329">
        <f t="shared" si="32"/>
        <v>0.60681183696259078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'[43]Sch C'!D100</f>
        <v>2433.5</v>
      </c>
      <c r="D112" s="480">
        <f>'[43]Sch C'!F100</f>
        <v>0</v>
      </c>
      <c r="E112" s="480">
        <f>+'[43]Sch C'!H100</f>
        <v>0</v>
      </c>
      <c r="F112" s="166">
        <f t="shared" si="29"/>
        <v>2433.5</v>
      </c>
      <c r="G112" s="626"/>
      <c r="H112" s="166"/>
      <c r="I112" s="166">
        <f t="shared" si="30"/>
        <v>2433.5</v>
      </c>
      <c r="J112" s="167">
        <f t="shared" si="31"/>
        <v>1.1273063049428639E-3</v>
      </c>
      <c r="K112" s="458"/>
      <c r="L112" s="163"/>
      <c r="M112" s="163"/>
      <c r="O112" s="329">
        <f t="shared" si="32"/>
        <v>0.27174762702400895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'[43]Sch C'!D101</f>
        <v>0</v>
      </c>
      <c r="D113" s="480">
        <f>'[43]Sch C'!F101</f>
        <v>0</v>
      </c>
      <c r="E113" s="480">
        <f>+'[43]Sch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'[43]Sch C'!D102</f>
        <v>728.74</v>
      </c>
      <c r="D114" s="480">
        <f>'[43]Sch C'!F102</f>
        <v>0</v>
      </c>
      <c r="E114" s="480">
        <f>+'[43]Sch C'!H102</f>
        <v>0</v>
      </c>
      <c r="F114" s="166">
        <f t="shared" si="29"/>
        <v>728.74</v>
      </c>
      <c r="G114" s="626"/>
      <c r="H114" s="166"/>
      <c r="I114" s="166">
        <f t="shared" si="30"/>
        <v>728.74</v>
      </c>
      <c r="J114" s="167">
        <f t="shared" si="31"/>
        <v>3.3758504074956345E-4</v>
      </c>
      <c r="K114" s="458"/>
      <c r="L114" s="163"/>
      <c r="M114" s="163"/>
      <c r="O114" s="329">
        <f t="shared" si="32"/>
        <v>8.137800111669459E-2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'[43]Sch C'!D103</f>
        <v>0</v>
      </c>
      <c r="D115" s="480">
        <f>'[43]Sch C'!F103</f>
        <v>0</v>
      </c>
      <c r="E115" s="480">
        <f>+'[43]Sch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30026.77</v>
      </c>
      <c r="D116" s="480">
        <f t="shared" si="33"/>
        <v>5434</v>
      </c>
      <c r="E116" s="480">
        <f t="shared" si="33"/>
        <v>0</v>
      </c>
      <c r="F116" s="166">
        <f t="shared" ref="F116:I116" si="34">SUM(F110:F115)</f>
        <v>35460.769999999997</v>
      </c>
      <c r="G116" s="166">
        <f t="shared" si="34"/>
        <v>0</v>
      </c>
      <c r="H116" s="166">
        <f t="shared" si="34"/>
        <v>0</v>
      </c>
      <c r="I116" s="166">
        <f t="shared" si="34"/>
        <v>35460.769999999997</v>
      </c>
      <c r="J116" s="167">
        <f t="shared" si="31"/>
        <v>1.6427018532619173E-2</v>
      </c>
      <c r="K116" s="458"/>
      <c r="L116" s="163"/>
      <c r="M116" s="163"/>
      <c r="O116" s="329">
        <f>I116/I$233</f>
        <v>3.9598849804578444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'[43]Sch C'!D115</f>
        <v>21244.52</v>
      </c>
      <c r="D119" s="480">
        <f>'[43]Sch C'!F115</f>
        <v>0</v>
      </c>
      <c r="E119" s="480">
        <f>+'[43]Sch C'!H115</f>
        <v>0</v>
      </c>
      <c r="F119" s="166">
        <f t="shared" ref="F119:F123" si="35">C119+D119+E119</f>
        <v>21244.52</v>
      </c>
      <c r="G119" s="626"/>
      <c r="H119" s="166"/>
      <c r="I119" s="166">
        <f t="shared" ref="I119:I123" si="36">F119+G119+H119</f>
        <v>21244.52</v>
      </c>
      <c r="J119" s="167">
        <f t="shared" ref="J119:J124" si="37">IF($I$213=0,0,I119/$I$213)</f>
        <v>9.8414141530654507E-3</v>
      </c>
      <c r="K119" s="458"/>
      <c r="L119" s="176">
        <v>2527.1</v>
      </c>
      <c r="M119" s="176">
        <v>2559.1</v>
      </c>
      <c r="O119" s="329">
        <f t="shared" ref="O119:O124" si="38">I119/I$233</f>
        <v>2.3723640424343944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'[43]Sch C'!D116</f>
        <v>0</v>
      </c>
      <c r="D120" s="480">
        <f>'[43]Sch C'!F116</f>
        <v>4297</v>
      </c>
      <c r="E120" s="480">
        <f>+'[43]Sch C'!H116</f>
        <v>0</v>
      </c>
      <c r="F120" s="166">
        <f t="shared" si="35"/>
        <v>4297</v>
      </c>
      <c r="G120" s="626"/>
      <c r="H120" s="166"/>
      <c r="I120" s="166">
        <f t="shared" si="36"/>
        <v>4297</v>
      </c>
      <c r="J120" s="167">
        <f t="shared" si="37"/>
        <v>1.9905630541769003E-3</v>
      </c>
      <c r="K120" s="458"/>
      <c r="L120" s="163"/>
      <c r="M120" s="163"/>
      <c r="O120" s="329">
        <f t="shared" si="38"/>
        <v>0.47984366275823565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'[43]Sch C'!D117</f>
        <v>6173.22</v>
      </c>
      <c r="D121" s="480">
        <f>'[43]Sch C'!F117</f>
        <v>0</v>
      </c>
      <c r="E121" s="480">
        <f>+'[43]Sch C'!H117</f>
        <v>0</v>
      </c>
      <c r="F121" s="166">
        <f t="shared" si="35"/>
        <v>6173.22</v>
      </c>
      <c r="G121" s="626"/>
      <c r="H121" s="166"/>
      <c r="I121" s="166">
        <f t="shared" si="36"/>
        <v>6173.22</v>
      </c>
      <c r="J121" s="167">
        <f t="shared" si="37"/>
        <v>2.8597122777067547E-3</v>
      </c>
      <c r="K121" s="458"/>
      <c r="L121" s="163"/>
      <c r="M121" s="163"/>
      <c r="O121" s="329">
        <f t="shared" si="38"/>
        <v>0.68936013400335017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'[43]Sch C'!D118</f>
        <v>0</v>
      </c>
      <c r="D122" s="480">
        <f>'[43]Sch C'!F118</f>
        <v>0</v>
      </c>
      <c r="E122" s="480">
        <f>+'[43]Sch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'[43]Sch C'!D119</f>
        <v>0</v>
      </c>
      <c r="D123" s="480">
        <f>'[43]Sch C'!F119</f>
        <v>0</v>
      </c>
      <c r="E123" s="480">
        <f>+'[43]Sch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27417.74</v>
      </c>
      <c r="D124" s="480">
        <f t="shared" si="39"/>
        <v>4297</v>
      </c>
      <c r="E124" s="480">
        <f t="shared" si="39"/>
        <v>0</v>
      </c>
      <c r="F124" s="166">
        <f t="shared" ref="F124:I124" si="40">SUM(F119:F123)</f>
        <v>31714.74</v>
      </c>
      <c r="G124" s="166">
        <f t="shared" si="40"/>
        <v>0</v>
      </c>
      <c r="H124" s="166">
        <f t="shared" si="40"/>
        <v>0</v>
      </c>
      <c r="I124" s="166">
        <f t="shared" si="40"/>
        <v>31714.74</v>
      </c>
      <c r="J124" s="167">
        <f t="shared" si="37"/>
        <v>1.4691689484949106E-2</v>
      </c>
      <c r="K124" s="458"/>
      <c r="L124" s="163"/>
      <c r="M124" s="163"/>
      <c r="O124" s="329">
        <f t="shared" si="38"/>
        <v>3.5415678391959799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 t="s">
        <v>659</v>
      </c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'[43]Sch C'!D124</f>
        <v>10225</v>
      </c>
      <c r="D128" s="480">
        <f>'[43]Sch C'!F124</f>
        <v>0</v>
      </c>
      <c r="E128" s="480">
        <f>+'[43]Sch C'!H124</f>
        <v>0</v>
      </c>
      <c r="F128" s="166">
        <f t="shared" ref="F128:F132" si="41">C128+D128+E128</f>
        <v>10225</v>
      </c>
      <c r="G128" s="626">
        <v>-10225</v>
      </c>
      <c r="H128" s="166"/>
      <c r="I128" s="166">
        <f t="shared" ref="I128:I132" si="42">F128+G128+H128</f>
        <v>0</v>
      </c>
      <c r="J128" s="167">
        <f>IF($I$213=0,0,I128/$I$213)</f>
        <v>0</v>
      </c>
      <c r="K128" s="442" t="s">
        <v>374</v>
      </c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'[43]Sch C'!D125</f>
        <v>119266.9</v>
      </c>
      <c r="D129" s="480">
        <f>'[43]Sch C'!F125</f>
        <v>0</v>
      </c>
      <c r="E129" s="480">
        <f>+'[43]Sch C'!H125</f>
        <v>0</v>
      </c>
      <c r="F129" s="166">
        <f t="shared" si="41"/>
        <v>119266.9</v>
      </c>
      <c r="G129" s="626"/>
      <c r="H129" s="166"/>
      <c r="I129" s="166">
        <f t="shared" si="42"/>
        <v>119266.9</v>
      </c>
      <c r="J129" s="167">
        <f>IF($I$213=0,0,I129/$I$213)</f>
        <v>5.5249775360998586E-2</v>
      </c>
      <c r="K129" s="458"/>
      <c r="L129" s="176">
        <v>3975.9</v>
      </c>
      <c r="M129" s="176">
        <v>4218.3999999999996</v>
      </c>
      <c r="O129" s="329">
        <f t="shared" si="43"/>
        <v>13.318470128419877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'[43]Sch C'!D126</f>
        <v>0</v>
      </c>
      <c r="D130" s="480">
        <f>'[43]Sch C'!F126</f>
        <v>0</v>
      </c>
      <c r="E130" s="480">
        <f>+'[43]Sch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'[43]Sch C'!D127</f>
        <v>0</v>
      </c>
      <c r="D131" s="480">
        <f>'[43]Sch C'!F127</f>
        <v>0</v>
      </c>
      <c r="E131" s="480">
        <f>+'[43]Sch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'[43]Sch C'!D128</f>
        <v>3741.61</v>
      </c>
      <c r="D132" s="480">
        <f>'[43]Sch C'!F128</f>
        <v>0</v>
      </c>
      <c r="E132" s="480">
        <f>+'[43]Sch C'!H128</f>
        <v>0</v>
      </c>
      <c r="F132" s="166">
        <f t="shared" si="41"/>
        <v>3741.61</v>
      </c>
      <c r="G132" s="626"/>
      <c r="H132" s="166"/>
      <c r="I132" s="166">
        <f t="shared" si="42"/>
        <v>3741.61</v>
      </c>
      <c r="J132" s="167">
        <f>IF($I$213=0,0,I132/$I$213)</f>
        <v>1.7332815055012408E-3</v>
      </c>
      <c r="K132" s="458"/>
      <c r="L132" s="176">
        <v>0</v>
      </c>
      <c r="M132" s="176">
        <v>0</v>
      </c>
      <c r="O132" s="329">
        <f t="shared" si="43"/>
        <v>0.41782356225572309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'[43]Sch C'!D130</f>
        <v>0</v>
      </c>
      <c r="D134" s="480">
        <f>'[43]Sch C'!F130</f>
        <v>0</v>
      </c>
      <c r="E134" s="480">
        <f>+'[43]Sch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'[43]Sch C'!D131</f>
        <v>0</v>
      </c>
      <c r="D135" s="480">
        <f>'[43]Sch C'!F131</f>
        <v>24126</v>
      </c>
      <c r="E135" s="480">
        <f>+'[43]Sch C'!H131</f>
        <v>0</v>
      </c>
      <c r="F135" s="166">
        <f t="shared" si="44"/>
        <v>24126</v>
      </c>
      <c r="G135" s="626"/>
      <c r="H135" s="166"/>
      <c r="I135" s="166">
        <f t="shared" si="45"/>
        <v>24126</v>
      </c>
      <c r="J135" s="167">
        <f>IF($I$213=0,0,I135/$I$213)</f>
        <v>1.1176244879002069E-2</v>
      </c>
      <c r="K135" s="458"/>
      <c r="L135" s="196"/>
      <c r="M135" s="196"/>
      <c r="O135" s="329">
        <f t="shared" si="43"/>
        <v>2.694137353433836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'[43]Sch C'!D132</f>
        <v>0</v>
      </c>
      <c r="D136" s="480">
        <f>'[43]Sch C'!F132</f>
        <v>0</v>
      </c>
      <c r="E136" s="480">
        <f>+'[43]Sch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'[43]Sch C'!D133</f>
        <v>0</v>
      </c>
      <c r="D137" s="480">
        <f>'[43]Sch C'!F133</f>
        <v>0</v>
      </c>
      <c r="E137" s="480">
        <f>+'[43]Sch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'[43]Sch C'!D134</f>
        <v>0</v>
      </c>
      <c r="D138" s="480">
        <f>'[43]Sch C'!F134</f>
        <v>757</v>
      </c>
      <c r="E138" s="480">
        <f>+'[43]Sch C'!H134</f>
        <v>0</v>
      </c>
      <c r="F138" s="166">
        <f t="shared" si="44"/>
        <v>757</v>
      </c>
      <c r="G138" s="626"/>
      <c r="H138" s="166"/>
      <c r="I138" s="166">
        <f t="shared" si="45"/>
        <v>757</v>
      </c>
      <c r="J138" s="167">
        <f>IF($I$213=0,0,I138/$I$213)</f>
        <v>3.5067633977470638E-4</v>
      </c>
      <c r="K138" s="458"/>
      <c r="L138" s="163"/>
      <c r="M138" s="163"/>
      <c r="O138" s="329">
        <f t="shared" si="43"/>
        <v>8.4533780011166945E-2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'[43]Sch C'!D136</f>
        <v>81534.960000000006</v>
      </c>
      <c r="D140" s="480">
        <f>'[43]Sch C'!F136</f>
        <v>16493</v>
      </c>
      <c r="E140" s="480">
        <f>+'[43]Sch C'!H136</f>
        <v>0</v>
      </c>
      <c r="F140" s="166">
        <f t="shared" ref="F140:F143" si="46">C140+D140+E140</f>
        <v>98027.96</v>
      </c>
      <c r="G140" s="626"/>
      <c r="H140" s="166"/>
      <c r="I140" s="166">
        <f t="shared" ref="I140:I143" si="47">F140+G140+H140</f>
        <v>98027.96</v>
      </c>
      <c r="J140" s="167">
        <f>IF($I$213=0,0,I140/$I$213)</f>
        <v>4.5410946114110083E-2</v>
      </c>
      <c r="K140" s="458"/>
      <c r="L140" s="176">
        <v>3348.65</v>
      </c>
      <c r="M140" s="176">
        <v>3535.41</v>
      </c>
      <c r="O140" s="329">
        <f t="shared" si="43"/>
        <v>10.946729201563373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'[43]Sch C'!D137</f>
        <v>125680.97</v>
      </c>
      <c r="D141" s="480">
        <f>'[43]Sch C'!F137</f>
        <v>25423</v>
      </c>
      <c r="E141" s="480">
        <f>+'[43]Sch C'!H137</f>
        <v>0</v>
      </c>
      <c r="F141" s="166">
        <f t="shared" si="46"/>
        <v>151103.97</v>
      </c>
      <c r="G141" s="626"/>
      <c r="H141" s="166"/>
      <c r="I141" s="166">
        <f t="shared" si="47"/>
        <v>151103.97</v>
      </c>
      <c r="J141" s="167">
        <f>IF($I$213=0,0,I141/$I$213)</f>
        <v>6.9998133586561484E-2</v>
      </c>
      <c r="K141" s="458"/>
      <c r="L141" s="176">
        <v>6339.8</v>
      </c>
      <c r="M141" s="176">
        <v>6530</v>
      </c>
      <c r="O141" s="329">
        <f t="shared" si="43"/>
        <v>16.87369849246231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'[43]Sch C'!D138</f>
        <v>257531.97</v>
      </c>
      <c r="D142" s="480">
        <f>'[43]Sch C'!F138</f>
        <v>52094</v>
      </c>
      <c r="E142" s="480">
        <f>+'[43]Sch C'!H138</f>
        <v>0</v>
      </c>
      <c r="F142" s="166">
        <f t="shared" si="46"/>
        <v>309625.96999999997</v>
      </c>
      <c r="G142" s="626"/>
      <c r="H142" s="166"/>
      <c r="I142" s="166">
        <f t="shared" si="47"/>
        <v>309625.96999999997</v>
      </c>
      <c r="J142" s="167">
        <f>IF($I$213=0,0,I142/$I$213)</f>
        <v>0.14343263125335937</v>
      </c>
      <c r="K142" s="458"/>
      <c r="L142" s="176">
        <v>21190.36</v>
      </c>
      <c r="M142" s="176">
        <v>24284.43</v>
      </c>
      <c r="O142" s="329">
        <f t="shared" si="43"/>
        <v>34.575764377442766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'[43]Sch C'!D139</f>
        <v>0</v>
      </c>
      <c r="D143" s="480">
        <f>'[43]Sch C'!F139</f>
        <v>0</v>
      </c>
      <c r="E143" s="480">
        <f>+'[43]Sch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'[43]Sch C'!D141</f>
        <v>0</v>
      </c>
      <c r="D145" s="480">
        <f>'[43]Sch C'!F141</f>
        <v>0</v>
      </c>
      <c r="E145" s="480">
        <f>+'[43]Sch C'!H141</f>
        <v>0</v>
      </c>
      <c r="F145" s="166">
        <f t="shared" ref="F145:F148" si="48">C145+D145+E145</f>
        <v>0</v>
      </c>
      <c r="G145" s="626"/>
      <c r="H145" s="166"/>
      <c r="I145" s="166">
        <f t="shared" ref="I145:I148" si="49">F145+G145+H145</f>
        <v>0</v>
      </c>
      <c r="J145" s="167">
        <f>IF($I$213=0,0,I145/$I$213)</f>
        <v>0</v>
      </c>
      <c r="K145" s="458"/>
      <c r="L145" s="163"/>
      <c r="M145" s="163"/>
      <c r="O145" s="329">
        <f t="shared" si="43"/>
        <v>0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'[43]Sch C'!D142</f>
        <v>0</v>
      </c>
      <c r="D146" s="480">
        <f>'[43]Sch C'!F142</f>
        <v>0</v>
      </c>
      <c r="E146" s="480">
        <f>+'[43]Sch C'!H142</f>
        <v>0</v>
      </c>
      <c r="F146" s="166">
        <f t="shared" si="48"/>
        <v>0</v>
      </c>
      <c r="G146" s="626"/>
      <c r="H146" s="166"/>
      <c r="I146" s="166">
        <f t="shared" si="49"/>
        <v>0</v>
      </c>
      <c r="J146" s="167">
        <f>IF($I$213=0,0,I146/$I$213)</f>
        <v>0</v>
      </c>
      <c r="K146" s="458"/>
      <c r="L146" s="163"/>
      <c r="M146" s="163"/>
      <c r="O146" s="329">
        <f t="shared" si="43"/>
        <v>0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'[43]Sch C'!D143</f>
        <v>0</v>
      </c>
      <c r="D147" s="480">
        <f>'[43]Sch C'!F143</f>
        <v>0</v>
      </c>
      <c r="E147" s="480">
        <f>+'[43]Sch C'!H143</f>
        <v>0</v>
      </c>
      <c r="F147" s="166">
        <f t="shared" si="48"/>
        <v>0</v>
      </c>
      <c r="G147" s="626"/>
      <c r="H147" s="166"/>
      <c r="I147" s="166">
        <f t="shared" si="49"/>
        <v>0</v>
      </c>
      <c r="J147" s="167">
        <f>IF($I$213=0,0,I147/$I$213)</f>
        <v>0</v>
      </c>
      <c r="K147" s="458"/>
      <c r="L147" s="163"/>
      <c r="M147" s="163"/>
      <c r="O147" s="329">
        <f t="shared" si="43"/>
        <v>0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'[43]Sch C'!D144</f>
        <v>0</v>
      </c>
      <c r="D148" s="480">
        <f>'[43]Sch C'!F144</f>
        <v>0</v>
      </c>
      <c r="E148" s="480">
        <f>+'[43]Sch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'[43]Sch C'!D146</f>
        <v>0</v>
      </c>
      <c r="D150" s="480">
        <f>'[43]Sch C'!F146</f>
        <v>0</v>
      </c>
      <c r="E150" s="480">
        <f>+'[43]Sch C'!H146</f>
        <v>0</v>
      </c>
      <c r="F150" s="166">
        <f t="shared" ref="F150:F158" si="50">C150+D150+E150</f>
        <v>0</v>
      </c>
      <c r="G150" s="626">
        <v>10225</v>
      </c>
      <c r="H150" s="166"/>
      <c r="I150" s="166">
        <f t="shared" ref="I150:I158" si="51">F150+G150+H150</f>
        <v>10225</v>
      </c>
      <c r="J150" s="167">
        <f t="shared" ref="J150:J158" si="52">IF($I$213=0,0,I150/$I$213)</f>
        <v>4.7366784335487093E-3</v>
      </c>
      <c r="K150" s="442" t="s">
        <v>374</v>
      </c>
      <c r="L150" s="176">
        <v>0</v>
      </c>
      <c r="M150" s="176">
        <v>0</v>
      </c>
      <c r="O150" s="329">
        <f t="shared" si="43"/>
        <v>1.1418202121719709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'[43]Sch C'!D147</f>
        <v>5570.36</v>
      </c>
      <c r="D151" s="480">
        <f>'[43]Sch C'!F147</f>
        <v>0</v>
      </c>
      <c r="E151" s="480">
        <f>+'[43]Sch C'!H147</f>
        <v>0</v>
      </c>
      <c r="F151" s="166">
        <f t="shared" si="50"/>
        <v>5570.36</v>
      </c>
      <c r="G151" s="626"/>
      <c r="H151" s="166"/>
      <c r="I151" s="166">
        <f t="shared" si="51"/>
        <v>5570.36</v>
      </c>
      <c r="J151" s="167">
        <f t="shared" si="52"/>
        <v>2.5804404967337299E-3</v>
      </c>
      <c r="K151" s="458"/>
      <c r="L151" s="176">
        <v>0</v>
      </c>
      <c r="M151" s="176">
        <v>126.18</v>
      </c>
      <c r="O151" s="329">
        <f t="shared" si="43"/>
        <v>0.62203908431044108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'[43]Sch C'!D148</f>
        <v>0</v>
      </c>
      <c r="D152" s="480">
        <f>'[43]Sch C'!F148</f>
        <v>0</v>
      </c>
      <c r="E152" s="480">
        <f>+'[43]Sch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'[43]Sch C'!D149</f>
        <v>0</v>
      </c>
      <c r="D153" s="480">
        <f>'[43]Sch C'!F149</f>
        <v>0</v>
      </c>
      <c r="E153" s="480">
        <f>+'[43]Sch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'[43]Sch C'!D150</f>
        <v>3449</v>
      </c>
      <c r="D154" s="480">
        <f>'[43]Sch C'!F150</f>
        <v>0</v>
      </c>
      <c r="E154" s="480">
        <f>+'[43]Sch C'!H150</f>
        <v>0</v>
      </c>
      <c r="F154" s="166">
        <f t="shared" si="50"/>
        <v>3449</v>
      </c>
      <c r="G154" s="626"/>
      <c r="H154" s="166"/>
      <c r="I154" s="166">
        <f t="shared" si="51"/>
        <v>3449</v>
      </c>
      <c r="J154" s="167">
        <f t="shared" si="52"/>
        <v>1.5977314344556967E-3</v>
      </c>
      <c r="K154" s="458"/>
      <c r="L154" s="176">
        <v>0</v>
      </c>
      <c r="M154" s="176">
        <v>0</v>
      </c>
      <c r="O154" s="329">
        <f t="shared" si="43"/>
        <v>0.38514796203238416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'[43]Sch C'!D151</f>
        <v>40303.160000000003</v>
      </c>
      <c r="D155" s="480">
        <f>'[43]Sch C'!F151</f>
        <v>-129</v>
      </c>
      <c r="E155" s="480">
        <f>+'[43]Sch C'!H151</f>
        <v>0</v>
      </c>
      <c r="F155" s="166">
        <f t="shared" si="50"/>
        <v>40174.160000000003</v>
      </c>
      <c r="G155" s="626"/>
      <c r="H155" s="166"/>
      <c r="I155" s="166">
        <f t="shared" si="51"/>
        <v>40174.160000000003</v>
      </c>
      <c r="J155" s="167">
        <f t="shared" si="52"/>
        <v>1.8610472103465548E-2</v>
      </c>
      <c r="K155" s="458"/>
      <c r="L155" s="163"/>
      <c r="M155" s="163"/>
      <c r="O155" s="329">
        <f t="shared" si="43"/>
        <v>4.4862266890005591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'[43]Sch C'!D152</f>
        <v>0</v>
      </c>
      <c r="D156" s="480">
        <f>'[43]Sch C'!F152</f>
        <v>0</v>
      </c>
      <c r="E156" s="480">
        <f>+'[43]Sch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'[43]Sch C'!D153</f>
        <v>0</v>
      </c>
      <c r="D157" s="480">
        <f>'[43]Sch C'!F153</f>
        <v>0</v>
      </c>
      <c r="E157" s="480">
        <f>+'[43]Sch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'[43]Sch C'!D154</f>
        <v>0</v>
      </c>
      <c r="D158" s="480">
        <f>'[43]Sch C'!F154</f>
        <v>0</v>
      </c>
      <c r="E158" s="480">
        <f>+'[43]Sch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'[43]Sch C'!D156</f>
        <v>0</v>
      </c>
      <c r="D160" s="480">
        <f>'[43]Sch C'!F156</f>
        <v>0</v>
      </c>
      <c r="E160" s="480">
        <f>+'[43]Sch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'[43]Sch C'!D157</f>
        <v>0</v>
      </c>
      <c r="D161" s="480">
        <f>'[43]Sch C'!F157</f>
        <v>0</v>
      </c>
      <c r="E161" s="480">
        <f>+'[43]Sch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'[43]Sch C'!D158</f>
        <v>0</v>
      </c>
      <c r="D162" s="480">
        <f>'[43]Sch C'!F158</f>
        <v>0</v>
      </c>
      <c r="E162" s="480">
        <f>+'[43]Sch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'[43]Sch C'!D159</f>
        <v>0</v>
      </c>
      <c r="D163" s="480">
        <f>'[43]Sch C'!F159</f>
        <v>0</v>
      </c>
      <c r="E163" s="480">
        <f>+'[43]Sch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'[43]Sch C'!D160</f>
        <v>0</v>
      </c>
      <c r="D164" s="480">
        <f>'[43]Sch C'!F160</f>
        <v>0</v>
      </c>
      <c r="E164" s="480">
        <f>+'[43]Sch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'[43]Sch C'!D161</f>
        <v>2896.95</v>
      </c>
      <c r="D165" s="480">
        <f>'[43]Sch C'!F161</f>
        <v>0</v>
      </c>
      <c r="E165" s="480">
        <f>+'[43]Sch C'!H161</f>
        <v>0</v>
      </c>
      <c r="F165" s="166">
        <f t="shared" si="53"/>
        <v>2896.95</v>
      </c>
      <c r="G165" s="626"/>
      <c r="H165" s="166"/>
      <c r="I165" s="166">
        <f t="shared" si="54"/>
        <v>2896.95</v>
      </c>
      <c r="J165" s="167">
        <f t="shared" si="55"/>
        <v>1.3419971235275241E-3</v>
      </c>
      <c r="K165" s="458"/>
      <c r="L165" s="163"/>
      <c r="M165" s="163"/>
      <c r="O165" s="329">
        <f t="shared" si="43"/>
        <v>0.323500837520938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650200.87999999989</v>
      </c>
      <c r="D166" s="480">
        <f t="shared" si="56"/>
        <v>118764</v>
      </c>
      <c r="E166" s="480">
        <f t="shared" si="56"/>
        <v>0</v>
      </c>
      <c r="F166" s="166">
        <f t="shared" ref="F166:I166" si="57">SUM(F128:F165)</f>
        <v>768964.87999999989</v>
      </c>
      <c r="G166" s="166">
        <f t="shared" si="57"/>
        <v>0</v>
      </c>
      <c r="H166" s="166">
        <f t="shared" si="57"/>
        <v>0</v>
      </c>
      <c r="I166" s="166">
        <f t="shared" si="57"/>
        <v>768964.88</v>
      </c>
      <c r="J166" s="167">
        <f t="shared" si="55"/>
        <v>0.35621900863103878</v>
      </c>
      <c r="K166" s="458"/>
      <c r="L166" s="163"/>
      <c r="M166" s="163"/>
      <c r="O166" s="329">
        <f>I166/I$233</f>
        <v>85.869891680625344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'[43]Sch C'!D175</f>
        <v>0</v>
      </c>
      <c r="D169" s="480">
        <f>'[43]Sch C'!F175</f>
        <v>0</v>
      </c>
      <c r="E169" s="480">
        <f>+'[43]Sch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'[43]Sch C'!D176</f>
        <v>0</v>
      </c>
      <c r="D170" s="480">
        <f>'[43]Sch C'!F176</f>
        <v>0</v>
      </c>
      <c r="E170" s="480">
        <f>+'[43]Sch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'[43]Sch C'!D177</f>
        <v>0</v>
      </c>
      <c r="D171" s="480">
        <f>'[43]Sch C'!F177</f>
        <v>0</v>
      </c>
      <c r="E171" s="480">
        <f>+'[43]Sch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'[43]Sch C'!D178</f>
        <v>0</v>
      </c>
      <c r="D172" s="480">
        <f>'[43]Sch C'!F178</f>
        <v>0</v>
      </c>
      <c r="E172" s="480">
        <f>+'[43]Sch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'[43]Sch C'!D179</f>
        <v>0</v>
      </c>
      <c r="D173" s="480">
        <f>'[43]Sch C'!F179</f>
        <v>0</v>
      </c>
      <c r="E173" s="480">
        <f>+'[43]Sch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'[43]Sch C'!D180</f>
        <v>0</v>
      </c>
      <c r="D174" s="480">
        <f>'[43]Sch C'!F180</f>
        <v>0</v>
      </c>
      <c r="E174" s="480">
        <f>+'[43]Sch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'[43]Sch C'!D181</f>
        <v>0</v>
      </c>
      <c r="D175" s="480">
        <f>'[43]Sch C'!F181</f>
        <v>0</v>
      </c>
      <c r="E175" s="480">
        <f>+'[43]Sch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'[43]Sch C'!D182</f>
        <v>0</v>
      </c>
      <c r="D176" s="480">
        <f>'[43]Sch C'!F182</f>
        <v>0</v>
      </c>
      <c r="E176" s="480">
        <f>+'[43]Sch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'[43]Sch C'!D183</f>
        <v>0</v>
      </c>
      <c r="D177" s="480">
        <f>'[43]Sch C'!F183</f>
        <v>0</v>
      </c>
      <c r="E177" s="480">
        <f>+'[43]Sch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'[43]Sch C'!D184</f>
        <v>0</v>
      </c>
      <c r="D178" s="480">
        <f>'[43]Sch C'!F184</f>
        <v>0</v>
      </c>
      <c r="E178" s="480">
        <f>+'[43]Sch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'[43]Sch C'!D185</f>
        <v>0</v>
      </c>
      <c r="D179" s="480">
        <f>'[43]Sch C'!F185</f>
        <v>0</v>
      </c>
      <c r="E179" s="480">
        <f>+'[43]Sch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'[43]Sch C'!D186</f>
        <v>0</v>
      </c>
      <c r="D180" s="480">
        <f>'[43]Sch C'!F186</f>
        <v>0</v>
      </c>
      <c r="E180" s="480">
        <f>+'[43]Sch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'[43]Sch C'!D187</f>
        <v>0</v>
      </c>
      <c r="D181" s="480">
        <f>'[43]Sch C'!F187</f>
        <v>0</v>
      </c>
      <c r="E181" s="480">
        <f>+'[43]Sch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'[43]Sch C'!D188</f>
        <v>0</v>
      </c>
      <c r="D182" s="480">
        <f>'[43]Sch C'!F188</f>
        <v>0</v>
      </c>
      <c r="E182" s="480">
        <f>+'[43]Sch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'[43]Sch C'!D189</f>
        <v>0</v>
      </c>
      <c r="D183" s="480">
        <f>'[43]Sch C'!F189</f>
        <v>0</v>
      </c>
      <c r="E183" s="480">
        <f>+'[43]Sch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'[43]Sch C'!D190</f>
        <v>0</v>
      </c>
      <c r="D184" s="480">
        <f>'[43]Sch C'!F190</f>
        <v>0</v>
      </c>
      <c r="E184" s="480">
        <f>+'[43]Sch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'[43]Sch C'!D191</f>
        <v>455.59</v>
      </c>
      <c r="D185" s="480">
        <f>'[43]Sch C'!F191</f>
        <v>0</v>
      </c>
      <c r="E185" s="480">
        <f>+'[43]Sch C'!H191</f>
        <v>0</v>
      </c>
      <c r="F185" s="166">
        <f t="shared" si="58"/>
        <v>455.59</v>
      </c>
      <c r="G185" s="626"/>
      <c r="H185" s="166"/>
      <c r="I185" s="166">
        <f t="shared" si="59"/>
        <v>455.59</v>
      </c>
      <c r="J185" s="167">
        <f t="shared" si="60"/>
        <v>2.110497141848857E-4</v>
      </c>
      <c r="K185" s="458"/>
      <c r="L185" s="213"/>
      <c r="M185" s="208"/>
      <c r="N185" s="210"/>
      <c r="O185" s="329">
        <f t="shared" si="61"/>
        <v>5.0875488553880514E-2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'[43]Sch C'!D192</f>
        <v>0</v>
      </c>
      <c r="D186" s="480">
        <f>'[43]Sch C'!F192</f>
        <v>0</v>
      </c>
      <c r="E186" s="480">
        <f>+'[43]Sch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'[43]Sch C'!D193</f>
        <v>0</v>
      </c>
      <c r="D187" s="480">
        <f>'[43]Sch C'!F193</f>
        <v>0</v>
      </c>
      <c r="E187" s="480">
        <f>+'[43]Sch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'[43]Sch C'!D194</f>
        <v>105247.22</v>
      </c>
      <c r="D188" s="480">
        <f>'[43]Sch C'!F194</f>
        <v>0</v>
      </c>
      <c r="E188" s="480">
        <f>+'[43]Sch C'!H194</f>
        <v>0</v>
      </c>
      <c r="F188" s="166">
        <f t="shared" si="58"/>
        <v>105247.22</v>
      </c>
      <c r="G188" s="626"/>
      <c r="H188" s="166"/>
      <c r="I188" s="166">
        <f t="shared" si="59"/>
        <v>105247.22</v>
      </c>
      <c r="J188" s="167">
        <f t="shared" si="60"/>
        <v>4.8755231018577642E-2</v>
      </c>
      <c r="K188" s="458"/>
      <c r="L188" s="213"/>
      <c r="M188" s="208"/>
      <c r="O188" s="329">
        <f t="shared" si="61"/>
        <v>11.752900055834729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'[43]Sch C'!D195</f>
        <v>17519.419999999998</v>
      </c>
      <c r="D189" s="480">
        <f>'[43]Sch C'!F195</f>
        <v>0</v>
      </c>
      <c r="E189" s="480">
        <f>+'[43]Sch C'!H195</f>
        <v>0</v>
      </c>
      <c r="F189" s="166">
        <f t="shared" si="58"/>
        <v>17519.419999999998</v>
      </c>
      <c r="G189" s="626"/>
      <c r="H189" s="166"/>
      <c r="I189" s="166">
        <f t="shared" si="59"/>
        <v>17519.419999999998</v>
      </c>
      <c r="J189" s="167">
        <f t="shared" si="60"/>
        <v>8.1157808197830725E-3</v>
      </c>
      <c r="K189" s="458"/>
      <c r="L189" s="213"/>
      <c r="M189" s="208"/>
      <c r="O189" s="329">
        <f t="shared" si="61"/>
        <v>1.9563841429369067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'[43]Sch C'!D196</f>
        <v>0</v>
      </c>
      <c r="D190" s="480">
        <f>'[43]Sch C'!F196</f>
        <v>0</v>
      </c>
      <c r="E190" s="480">
        <f>+'[43]Sch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'[43]Sch C'!D197</f>
        <v>55070.04</v>
      </c>
      <c r="D191" s="480">
        <f>'[43]Sch C'!F197</f>
        <v>0</v>
      </c>
      <c r="E191" s="480">
        <f>+'[43]Sch C'!H197</f>
        <v>0</v>
      </c>
      <c r="F191" s="166">
        <f t="shared" si="58"/>
        <v>55070.04</v>
      </c>
      <c r="G191" s="626"/>
      <c r="H191" s="166"/>
      <c r="I191" s="166">
        <f t="shared" si="59"/>
        <v>55070.04</v>
      </c>
      <c r="J191" s="167">
        <f t="shared" si="60"/>
        <v>2.5510911569942764E-2</v>
      </c>
      <c r="K191" s="458"/>
      <c r="L191" s="213"/>
      <c r="M191" s="208"/>
      <c r="O191" s="329">
        <f t="shared" si="61"/>
        <v>6.1496415410385259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'[43]Sch C'!D198</f>
        <v>7894.4</v>
      </c>
      <c r="D192" s="480">
        <f>'[43]Sch C'!F198</f>
        <v>0</v>
      </c>
      <c r="E192" s="480">
        <f>+'[43]Sch C'!H198</f>
        <v>0</v>
      </c>
      <c r="F192" s="166">
        <f t="shared" si="58"/>
        <v>7894.4</v>
      </c>
      <c r="G192" s="626"/>
      <c r="H192" s="166"/>
      <c r="I192" s="166">
        <f t="shared" si="59"/>
        <v>7894.4</v>
      </c>
      <c r="J192" s="167">
        <f t="shared" si="60"/>
        <v>3.6570400220838073E-3</v>
      </c>
      <c r="K192" s="458"/>
      <c r="L192" s="213"/>
      <c r="M192" s="208"/>
      <c r="O192" s="329">
        <f t="shared" si="61"/>
        <v>0.88156337241764371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'[43]Sch C'!D199</f>
        <v>0</v>
      </c>
      <c r="D193" s="480">
        <f>'[43]Sch C'!F199</f>
        <v>0</v>
      </c>
      <c r="E193" s="480">
        <f>+'[43]Sch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'[43]Sch C'!D200</f>
        <v>0</v>
      </c>
      <c r="D194" s="480">
        <f>'[43]Sch C'!F200</f>
        <v>0</v>
      </c>
      <c r="E194" s="480">
        <f>+'[43]Sch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'[43]Sch C'!D201</f>
        <v>0</v>
      </c>
      <c r="D195" s="480">
        <f>'[43]Sch C'!F201</f>
        <v>0</v>
      </c>
      <c r="E195" s="480">
        <f>+'[43]Sch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'[43]Sch C'!D202</f>
        <v>0</v>
      </c>
      <c r="D196" s="480">
        <f>'[43]Sch C'!F202</f>
        <v>0</v>
      </c>
      <c r="E196" s="480">
        <f>+'[43]Sch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'[43]Sch C'!D203</f>
        <v>0</v>
      </c>
      <c r="D197" s="480">
        <f>'[43]Sch C'!F203</f>
        <v>0</v>
      </c>
      <c r="E197" s="480">
        <f>+'[43]Sch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'[43]Sch C'!D204</f>
        <v>0</v>
      </c>
      <c r="D198" s="480">
        <f>'[43]Sch C'!F204</f>
        <v>0</v>
      </c>
      <c r="E198" s="480">
        <f>+'[43]Sch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'[43]Sch C'!D205</f>
        <v>57301.090000000004</v>
      </c>
      <c r="D199" s="480">
        <f>'[43]Sch C'!F205</f>
        <v>0</v>
      </c>
      <c r="E199" s="480">
        <f>+'[43]Sch C'!H205</f>
        <v>-9999</v>
      </c>
      <c r="F199" s="166">
        <f t="shared" si="58"/>
        <v>47302.090000000004</v>
      </c>
      <c r="G199" s="626"/>
      <c r="H199" s="166"/>
      <c r="I199" s="166">
        <f t="shared" si="59"/>
        <v>47302.090000000004</v>
      </c>
      <c r="J199" s="167">
        <f t="shared" si="60"/>
        <v>2.1912448857191208E-2</v>
      </c>
      <c r="K199" s="458"/>
      <c r="L199" s="213"/>
      <c r="M199" s="208"/>
      <c r="O199" s="329">
        <f t="shared" si="61"/>
        <v>5.282198771635958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'[43]Sch C'!D206</f>
        <v>3804</v>
      </c>
      <c r="D200" s="480">
        <f>'[43]Sch C'!F206</f>
        <v>0</v>
      </c>
      <c r="E200" s="480">
        <f>+'[43]Sch C'!H206</f>
        <v>0</v>
      </c>
      <c r="F200" s="166">
        <f t="shared" si="58"/>
        <v>3804</v>
      </c>
      <c r="G200" s="626"/>
      <c r="H200" s="166"/>
      <c r="I200" s="166">
        <f t="shared" si="59"/>
        <v>3804</v>
      </c>
      <c r="J200" s="167">
        <f t="shared" si="60"/>
        <v>1.7621833507304929E-3</v>
      </c>
      <c r="K200" s="458"/>
      <c r="L200" s="213"/>
      <c r="M200" s="208"/>
      <c r="O200" s="329">
        <f t="shared" si="61"/>
        <v>0.42479061976549415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'[43]Sch C'!D207</f>
        <v>0</v>
      </c>
      <c r="D201" s="480">
        <f>'[43]Sch C'!F207</f>
        <v>0</v>
      </c>
      <c r="E201" s="480">
        <f>+'[43]Sch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247291.75999999998</v>
      </c>
      <c r="D202" s="480">
        <f t="shared" si="62"/>
        <v>0</v>
      </c>
      <c r="E202" s="480">
        <f t="shared" si="62"/>
        <v>-9999</v>
      </c>
      <c r="F202" s="166">
        <f t="shared" ref="F202:I202" si="63">SUM(F169:F201)</f>
        <v>237292.75999999998</v>
      </c>
      <c r="G202" s="166">
        <f t="shared" si="63"/>
        <v>0</v>
      </c>
      <c r="H202" s="166">
        <f t="shared" si="63"/>
        <v>0</v>
      </c>
      <c r="I202" s="166">
        <f t="shared" si="63"/>
        <v>237292.75999999998</v>
      </c>
      <c r="J202" s="167">
        <f>IF($I$213=0,0,I202/$I$213)</f>
        <v>0.10992464535249387</v>
      </c>
      <c r="K202" s="458"/>
      <c r="L202" s="163"/>
      <c r="M202" s="163"/>
      <c r="O202" s="329">
        <f>I202/I$233</f>
        <v>26.498353992183137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'[43]Sch C'!D211</f>
        <v>48186.78</v>
      </c>
      <c r="D205" s="480">
        <f>'[43]Sch C'!F211</f>
        <v>0</v>
      </c>
      <c r="E205" s="480">
        <f>+'[43]Sch C'!H211</f>
        <v>0</v>
      </c>
      <c r="F205" s="166">
        <f t="shared" ref="F205:F210" si="64">C205+D205+E205</f>
        <v>48186.78</v>
      </c>
      <c r="G205" s="626"/>
      <c r="H205" s="166"/>
      <c r="I205" s="166">
        <f t="shared" ref="I205:I210" si="65">F205+G205+H205</f>
        <v>48186.78</v>
      </c>
      <c r="J205" s="167">
        <f t="shared" ref="J205:J211" si="66">IF($I$213=0,0,I205/$I$213)</f>
        <v>2.2322276929893033E-2</v>
      </c>
      <c r="K205" s="458"/>
      <c r="L205" s="176">
        <v>3555.7</v>
      </c>
      <c r="M205" s="176">
        <v>3752.7</v>
      </c>
      <c r="O205" s="329">
        <f t="shared" ref="O205:O210" si="67">I205/I$233</f>
        <v>5.38099162479062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'[43]Sch C'!D212</f>
        <v>0</v>
      </c>
      <c r="D206" s="480">
        <f>'[43]Sch C'!F212</f>
        <v>9747</v>
      </c>
      <c r="E206" s="480">
        <f>+'[43]Sch C'!H212</f>
        <v>0</v>
      </c>
      <c r="F206" s="166">
        <f t="shared" si="64"/>
        <v>9747</v>
      </c>
      <c r="G206" s="626"/>
      <c r="H206" s="166"/>
      <c r="I206" s="166">
        <f t="shared" si="65"/>
        <v>9747</v>
      </c>
      <c r="J206" s="167">
        <f t="shared" si="66"/>
        <v>4.5152474026209557E-3</v>
      </c>
      <c r="K206" s="458"/>
      <c r="L206" s="163"/>
      <c r="M206" s="163"/>
      <c r="O206" s="329">
        <f t="shared" si="67"/>
        <v>1.0884422110552763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'[43]Sch C'!D213</f>
        <v>2125</v>
      </c>
      <c r="D207" s="480">
        <f>'[43]Sch C'!F213</f>
        <v>0</v>
      </c>
      <c r="E207" s="480">
        <f>+'[43]Sch C'!H213</f>
        <v>0</v>
      </c>
      <c r="F207" s="166">
        <f t="shared" si="64"/>
        <v>2125</v>
      </c>
      <c r="G207" s="626"/>
      <c r="H207" s="166"/>
      <c r="I207" s="166">
        <f t="shared" si="65"/>
        <v>2125</v>
      </c>
      <c r="J207" s="167">
        <f t="shared" si="66"/>
        <v>9.8439527347589308E-4</v>
      </c>
      <c r="K207" s="458"/>
      <c r="L207" s="163"/>
      <c r="M207" s="163"/>
      <c r="O207" s="329">
        <f t="shared" si="67"/>
        <v>0.23729759910664433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'[43]Sch C'!D214</f>
        <v>0</v>
      </c>
      <c r="D208" s="480">
        <f>'[43]Sch C'!F214</f>
        <v>0</v>
      </c>
      <c r="E208" s="480">
        <f>+'[43]Sch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'[43]Sch C'!D215</f>
        <v>0</v>
      </c>
      <c r="D209" s="480">
        <f>'[43]Sch C'!F215</f>
        <v>0</v>
      </c>
      <c r="E209" s="480">
        <f>+'[43]Sch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'[43]Sch C'!D216</f>
        <v>1059.77</v>
      </c>
      <c r="D210" s="480">
        <f>'[43]Sch C'!F216</f>
        <v>0</v>
      </c>
      <c r="E210" s="480">
        <f>+'[43]Sch C'!H216</f>
        <v>0</v>
      </c>
      <c r="F210" s="166">
        <f t="shared" si="64"/>
        <v>1059.77</v>
      </c>
      <c r="G210" s="626"/>
      <c r="H210" s="166"/>
      <c r="I210" s="166">
        <f t="shared" si="65"/>
        <v>1059.77</v>
      </c>
      <c r="J210" s="167">
        <f t="shared" si="66"/>
        <v>4.9093297833955165E-4</v>
      </c>
      <c r="K210" s="458"/>
      <c r="L210" s="163"/>
      <c r="M210" s="163"/>
      <c r="O210" s="329">
        <f t="shared" si="67"/>
        <v>0.11834394193188162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51371.549999999996</v>
      </c>
      <c r="D211" s="480">
        <f t="shared" si="68"/>
        <v>9747</v>
      </c>
      <c r="E211" s="480">
        <f t="shared" si="68"/>
        <v>0</v>
      </c>
      <c r="F211" s="166">
        <f t="shared" ref="F211:I211" si="69">SUM(F205:F210)</f>
        <v>61118.549999999996</v>
      </c>
      <c r="G211" s="166">
        <f t="shared" si="69"/>
        <v>0</v>
      </c>
      <c r="H211" s="166">
        <f t="shared" si="69"/>
        <v>0</v>
      </c>
      <c r="I211" s="166">
        <f t="shared" si="69"/>
        <v>61118.549999999996</v>
      </c>
      <c r="J211" s="167">
        <f t="shared" si="66"/>
        <v>2.8312852584329432E-2</v>
      </c>
      <c r="K211" s="458"/>
      <c r="L211" s="163"/>
      <c r="M211" s="163"/>
      <c r="O211" s="329">
        <f>I211/I$233</f>
        <v>6.8250753768844215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2299963.13</v>
      </c>
      <c r="D213" s="480">
        <f t="shared" si="70"/>
        <v>-36174.429999999993</v>
      </c>
      <c r="E213" s="480">
        <f t="shared" si="70"/>
        <v>-97031</v>
      </c>
      <c r="F213" s="166">
        <f t="shared" ref="F213:I213" si="71">SUM(F30:F211)/2</f>
        <v>2166757.7000000002</v>
      </c>
      <c r="G213" s="166">
        <f t="shared" si="71"/>
        <v>-8072</v>
      </c>
      <c r="H213" s="166">
        <f t="shared" si="71"/>
        <v>0</v>
      </c>
      <c r="I213" s="166">
        <f t="shared" si="71"/>
        <v>2158685.7000000002</v>
      </c>
      <c r="J213" s="167">
        <f>IF($I$213=0,0,I213/$I$213)</f>
        <v>1</v>
      </c>
      <c r="K213" s="458"/>
      <c r="L213" s="176">
        <f>SUM(L30:L205)</f>
        <v>58196.060000000005</v>
      </c>
      <c r="M213" s="176">
        <f>SUM(M30:M205)</f>
        <v>63689.319999999992</v>
      </c>
      <c r="O213" s="329">
        <f>I213/I$233</f>
        <v>241.05926298157456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'[43]Sch C'!D221</f>
        <v>2299962.96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0.16999999992549419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94594.05999999959</v>
      </c>
      <c r="D220" s="480">
        <f t="shared" si="72"/>
        <v>30524.429999999993</v>
      </c>
      <c r="E220" s="480">
        <f t="shared" si="72"/>
        <v>97031</v>
      </c>
      <c r="F220" s="166">
        <f t="shared" ref="F220:I220" si="73">F26-F213</f>
        <v>222149.48999999929</v>
      </c>
      <c r="G220" s="166">
        <f t="shared" si="73"/>
        <v>143377</v>
      </c>
      <c r="H220" s="166">
        <f t="shared" si="73"/>
        <v>0</v>
      </c>
      <c r="I220" s="166">
        <f t="shared" si="73"/>
        <v>365526.48999999929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'[43]Sch D'!C9</f>
        <v>4027</v>
      </c>
      <c r="D224" s="480"/>
      <c r="E224" s="480"/>
      <c r="F224" s="224">
        <f>C224+D224+E224</f>
        <v>4027</v>
      </c>
      <c r="G224" s="627"/>
      <c r="H224" s="223"/>
      <c r="I224" s="224">
        <f>F224+G224+H224</f>
        <v>4027</v>
      </c>
      <c r="J224" s="167">
        <f t="shared" ref="J224:J233" si="74">IF($I$233=0,0,I224/$I$233)</f>
        <v>0.4496929089893914</v>
      </c>
      <c r="K224" s="458"/>
      <c r="L224" s="163"/>
      <c r="M224" s="163"/>
    </row>
    <row r="225" spans="1:13">
      <c r="A225" s="158"/>
      <c r="B225" s="165" t="s">
        <v>201</v>
      </c>
      <c r="C225" s="504">
        <f>'[43]Sch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'[43]Sch D'!E9</f>
        <v>946</v>
      </c>
      <c r="D226" s="480"/>
      <c r="E226" s="480"/>
      <c r="F226" s="224">
        <f t="shared" si="75"/>
        <v>946</v>
      </c>
      <c r="G226" s="627"/>
      <c r="H226" s="223"/>
      <c r="I226" s="224">
        <f t="shared" si="76"/>
        <v>946</v>
      </c>
      <c r="J226" s="167">
        <f t="shared" si="74"/>
        <v>0.1056393076493579</v>
      </c>
      <c r="K226" s="458"/>
      <c r="L226" s="163"/>
      <c r="M226" s="163"/>
    </row>
    <row r="227" spans="1:13">
      <c r="A227" s="158"/>
      <c r="B227" s="194" t="s">
        <v>315</v>
      </c>
      <c r="C227" s="504">
        <f>'[43]Sch D'!F9</f>
        <v>614</v>
      </c>
      <c r="D227" s="480"/>
      <c r="E227" s="480"/>
      <c r="F227" s="224">
        <f t="shared" si="75"/>
        <v>614</v>
      </c>
      <c r="G227" s="627"/>
      <c r="H227" s="223"/>
      <c r="I227" s="224">
        <f t="shared" si="76"/>
        <v>614</v>
      </c>
      <c r="J227" s="167">
        <f t="shared" si="74"/>
        <v>6.8565047459519815E-2</v>
      </c>
      <c r="K227" s="458"/>
      <c r="L227" s="163"/>
      <c r="M227" s="163"/>
    </row>
    <row r="228" spans="1:13">
      <c r="A228" s="158"/>
      <c r="B228" s="165" t="s">
        <v>65</v>
      </c>
      <c r="C228" s="504">
        <f>'[43]Sch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'[43]Sch D'!H9</f>
        <v>1934</v>
      </c>
      <c r="D229" s="480"/>
      <c r="E229" s="480"/>
      <c r="F229" s="224">
        <f t="shared" si="75"/>
        <v>1934</v>
      </c>
      <c r="G229" s="627"/>
      <c r="H229" s="223"/>
      <c r="I229" s="224">
        <f t="shared" si="76"/>
        <v>1934</v>
      </c>
      <c r="J229" s="167">
        <f t="shared" si="74"/>
        <v>0.21596873255164711</v>
      </c>
      <c r="K229" s="458"/>
      <c r="L229" s="163"/>
      <c r="M229" s="163"/>
    </row>
    <row r="230" spans="1:13">
      <c r="A230" s="158"/>
      <c r="B230" s="165" t="s">
        <v>219</v>
      </c>
      <c r="C230" s="504">
        <f>'[43]Sch D'!I9</f>
        <v>1427</v>
      </c>
      <c r="D230" s="480"/>
      <c r="E230" s="480"/>
      <c r="F230" s="224">
        <f t="shared" si="75"/>
        <v>1427</v>
      </c>
      <c r="G230" s="627"/>
      <c r="H230" s="223"/>
      <c r="I230" s="224">
        <f t="shared" si="76"/>
        <v>1427</v>
      </c>
      <c r="J230" s="167">
        <f t="shared" si="74"/>
        <v>0.15935231714126186</v>
      </c>
      <c r="K230" s="458"/>
      <c r="L230" s="163"/>
      <c r="M230" s="163"/>
    </row>
    <row r="231" spans="1:13">
      <c r="A231" s="158"/>
      <c r="B231" s="165" t="s">
        <v>218</v>
      </c>
      <c r="C231" s="504">
        <f>'[43]Sch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'[43]Sch D'!K9</f>
        <v>7</v>
      </c>
      <c r="D232" s="480"/>
      <c r="E232" s="480"/>
      <c r="F232" s="224">
        <f t="shared" si="75"/>
        <v>7</v>
      </c>
      <c r="G232" s="627"/>
      <c r="H232" s="223"/>
      <c r="I232" s="224">
        <f t="shared" si="76"/>
        <v>7</v>
      </c>
      <c r="J232" s="167">
        <f t="shared" si="74"/>
        <v>7.8168620882188716E-4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8955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8955</v>
      </c>
      <c r="G233" s="226">
        <f t="shared" si="78"/>
        <v>0</v>
      </c>
      <c r="H233" s="226">
        <f t="shared" si="78"/>
        <v>0</v>
      </c>
      <c r="I233" s="226">
        <f t="shared" si="78"/>
        <v>8955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'[43]Sch D'!N22</f>
        <v>38</v>
      </c>
      <c r="D236" s="480"/>
      <c r="E236" s="480"/>
      <c r="F236" s="224">
        <f>C236+E236</f>
        <v>38</v>
      </c>
      <c r="G236" s="627"/>
      <c r="H236" s="224"/>
      <c r="I236" s="224">
        <f>F236+G236+H236</f>
        <v>38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'[43]Sch D'!N24</f>
        <v>38</v>
      </c>
      <c r="D237" s="480"/>
      <c r="E237" s="480"/>
      <c r="F237" s="224">
        <f>C237+E237</f>
        <v>38</v>
      </c>
      <c r="G237" s="627"/>
      <c r="H237" s="224"/>
      <c r="I237" s="224">
        <f>F237+G237+H237</f>
        <v>38</v>
      </c>
      <c r="J237" s="162" t="s">
        <v>545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'[43]Sch D'!N28</f>
        <v>13870</v>
      </c>
      <c r="D240" s="427"/>
      <c r="E240" s="427"/>
      <c r="F240" s="223">
        <f>F236*F238</f>
        <v>13870</v>
      </c>
      <c r="G240"/>
      <c r="H240" s="228"/>
      <c r="I240" s="223">
        <f>I236*I238</f>
        <v>13870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'[43]Sch D'!N30</f>
        <v>0.64563806777217014</v>
      </c>
      <c r="D241" s="228"/>
      <c r="E241" s="228"/>
      <c r="F241" s="232">
        <f>F233/F240</f>
        <v>0.64563806777217014</v>
      </c>
      <c r="G241"/>
      <c r="H241" s="233"/>
      <c r="I241" s="232">
        <f>I233/I240</f>
        <v>0.64563806777217014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'[43]Sch D'!N32</f>
        <v>0.29033886085075705</v>
      </c>
      <c r="D242" s="228"/>
      <c r="E242" s="228"/>
      <c r="F242" s="232">
        <f>(F224+F225)/F240</f>
        <v>0.29033886085075705</v>
      </c>
      <c r="G242"/>
      <c r="H242" s="233"/>
      <c r="I242" s="232">
        <f>(I224+I225)/I240</f>
        <v>0.29033886085075705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'[43]Sch D'!N34</f>
        <v>0.44969290898939146</v>
      </c>
      <c r="D243" s="228"/>
      <c r="E243" s="228"/>
      <c r="F243" s="232">
        <f>(F242/F241)</f>
        <v>0.44969290898939146</v>
      </c>
      <c r="G243"/>
      <c r="H243" s="233"/>
      <c r="I243" s="232">
        <f>(I242/I241)</f>
        <v>0.44969290898939146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'[42]Sch B'!C90</f>
        <v>179.26061776061775</v>
      </c>
      <c r="K246" s="460"/>
    </row>
    <row r="247" spans="1:13">
      <c r="H247" s="140" t="s">
        <v>322</v>
      </c>
      <c r="I247" s="480">
        <f>'[42]Sch B'!E90</f>
        <v>179.60077519379846</v>
      </c>
      <c r="K247" s="460"/>
    </row>
    <row r="248" spans="1:13">
      <c r="H248" s="140" t="s">
        <v>323</v>
      </c>
      <c r="I248" s="480">
        <f>'[42]Sch B'!G90</f>
        <v>179.51423149905122</v>
      </c>
      <c r="K248" s="460"/>
    </row>
    <row r="249" spans="1:13">
      <c r="H249" s="140" t="s">
        <v>324</v>
      </c>
      <c r="I249" s="480">
        <f>'[42]Sch B'!I90</f>
        <v>180.00268096514745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honeticPr fontId="16" type="noConversion"/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28CAB"/>
  </sheetPr>
  <dimension ref="A1:Q277"/>
  <sheetViews>
    <sheetView showGridLines="0" topLeftCell="A3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43"/>
      <c r="D1" s="443"/>
      <c r="E1" s="419"/>
      <c r="F1" s="419"/>
      <c r="G1" s="419"/>
      <c r="H1" s="482"/>
      <c r="I1" s="419"/>
      <c r="J1" s="419"/>
      <c r="K1" s="420"/>
    </row>
    <row r="2" spans="1:16" ht="23">
      <c r="B2" s="141" t="s">
        <v>178</v>
      </c>
      <c r="C2" s="234" t="s">
        <v>461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'[44]Sch A Pg 1'!B39</f>
        <v>42917</v>
      </c>
      <c r="D3" s="623"/>
      <c r="E3" s="342"/>
      <c r="F3" s="144"/>
      <c r="G3" s="144"/>
      <c r="H3" s="444"/>
    </row>
    <row r="4" spans="1:16" ht="15.5">
      <c r="A4" s="143"/>
      <c r="B4" s="145" t="s">
        <v>72</v>
      </c>
      <c r="C4" s="557">
        <f>'[44]Sch A Pg 1'!G39</f>
        <v>43281</v>
      </c>
      <c r="D4" s="623"/>
      <c r="E4"/>
      <c r="F4" s="146"/>
      <c r="G4" s="146"/>
      <c r="H4" s="476"/>
    </row>
    <row r="5" spans="1:16" ht="15.5">
      <c r="A5" s="143"/>
      <c r="B5" s="145"/>
      <c r="C5" s="148"/>
      <c r="D5" s="148"/>
      <c r="E5"/>
      <c r="H5" s="477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603"/>
      <c r="I9" s="142"/>
      <c r="K9" s="460"/>
    </row>
    <row r="10" spans="1:16" s="162" customFormat="1" ht="15.5">
      <c r="A10" s="158" t="s">
        <v>228</v>
      </c>
      <c r="B10" s="159" t="s">
        <v>229</v>
      </c>
      <c r="C10" s="492"/>
      <c r="D10" s="492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492"/>
      <c r="D11" s="492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'[44]Sch B'!E10</f>
        <v>1528273.96</v>
      </c>
      <c r="D12" s="480">
        <f>'[44]Sch B'!G10</f>
        <v>0</v>
      </c>
      <c r="E12" s="480"/>
      <c r="F12" s="166">
        <f>C12+D12+E12</f>
        <v>1528273.96</v>
      </c>
      <c r="G12" s="626"/>
      <c r="H12" s="166"/>
      <c r="I12" s="166">
        <f>F12+G12+H12</f>
        <v>1528273.96</v>
      </c>
      <c r="J12" s="167">
        <f>IF($I$26=0,0,I12/$I$26)</f>
        <v>0.41283505442579937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'[44]Sch B'!E12</f>
        <v>595691.21</v>
      </c>
      <c r="D13" s="480">
        <f>'[44]Sch B'!G12</f>
        <v>0</v>
      </c>
      <c r="E13" s="480"/>
      <c r="F13" s="166">
        <f t="shared" ref="F13:F25" si="0">C13+D13+E13</f>
        <v>595691.21</v>
      </c>
      <c r="G13" s="626">
        <v>235621</v>
      </c>
      <c r="H13" s="166"/>
      <c r="I13" s="166">
        <f t="shared" ref="I13:I25" si="1">F13+G13+H13</f>
        <v>831312.21</v>
      </c>
      <c r="J13" s="167">
        <f>IF($I$26=0,0,I13/$I$26)</f>
        <v>0.22456367800716931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'[44]Sch B'!E13</f>
        <v>-2107.1500000000005</v>
      </c>
      <c r="D14" s="480">
        <f>'[44]Sch B'!G13</f>
        <v>0</v>
      </c>
      <c r="E14" s="480"/>
      <c r="F14" s="166">
        <f t="shared" si="0"/>
        <v>-2107.1500000000005</v>
      </c>
      <c r="G14" s="626"/>
      <c r="H14" s="166"/>
      <c r="I14" s="166">
        <f t="shared" si="1"/>
        <v>-2107.1500000000005</v>
      </c>
      <c r="J14" s="167">
        <f>IF($I$26=0,0,I14/$I$26)</f>
        <v>-5.6920775181782421E-4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'[44]Sch B'!E14</f>
        <v>38875.449999999997</v>
      </c>
      <c r="D15" s="480">
        <f>'[44]Sch B'!G14</f>
        <v>0</v>
      </c>
      <c r="E15" s="480"/>
      <c r="F15" s="166">
        <f t="shared" si="0"/>
        <v>38875.449999999997</v>
      </c>
      <c r="G15" s="626"/>
      <c r="H15" s="166"/>
      <c r="I15" s="166">
        <f t="shared" si="1"/>
        <v>38875.449999999997</v>
      </c>
      <c r="J15" s="167">
        <f>IF($I$26=0,0,I15/$I$26)</f>
        <v>1.0501486602950064E-2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'[44]Sch B'!E15</f>
        <v>2160733.4699999997</v>
      </c>
      <c r="D16" s="480">
        <f>'[44]Sch B'!G15</f>
        <v>0</v>
      </c>
      <c r="E16" s="480"/>
      <c r="F16" s="166">
        <f t="shared" si="0"/>
        <v>2160733.4699999997</v>
      </c>
      <c r="G16" s="626"/>
      <c r="H16" s="166"/>
      <c r="I16" s="166">
        <f>SUM(I12:I15)</f>
        <v>2396354.4700000002</v>
      </c>
      <c r="J16" s="167">
        <f t="shared" ref="J16:J26" si="2">IF($I$26=0,0,I16/$I$26)</f>
        <v>0.64733101128410098</v>
      </c>
      <c r="K16" s="458" t="s">
        <v>485</v>
      </c>
      <c r="L16" s="333" t="s">
        <v>325</v>
      </c>
      <c r="M16" s="334">
        <f>I26</f>
        <v>3701899.6900000004</v>
      </c>
      <c r="O16" s="324">
        <f>IFERROR(I16/I224,0)</f>
        <v>278.32223809523811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'[44]Sch B'!E20</f>
        <v>0</v>
      </c>
      <c r="D17" s="480">
        <f>'[44]Sch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2614956.4899999998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'[44]Sch B'!E26</f>
        <v>507011.76999999996</v>
      </c>
      <c r="D18" s="480">
        <f>'[44]Sch B'!G26</f>
        <v>0</v>
      </c>
      <c r="E18" s="480"/>
      <c r="F18" s="166">
        <f t="shared" si="0"/>
        <v>507011.76999999996</v>
      </c>
      <c r="G18" s="626"/>
      <c r="H18" s="166"/>
      <c r="I18" s="166">
        <f t="shared" si="1"/>
        <v>507011.76999999996</v>
      </c>
      <c r="J18" s="167">
        <f t="shared" si="2"/>
        <v>0.13695988882940258</v>
      </c>
      <c r="K18" s="464" t="s">
        <v>485</v>
      </c>
      <c r="L18" s="335" t="s">
        <v>327</v>
      </c>
      <c r="M18" s="336">
        <f>I233</f>
        <v>14249</v>
      </c>
      <c r="O18" s="324">
        <f t="shared" si="3"/>
        <v>460.91979090909086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'[44]Sch B'!E32</f>
        <v>0</v>
      </c>
      <c r="D19" s="480">
        <f>'[44]Sch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L19" s="335" t="s">
        <v>328</v>
      </c>
      <c r="M19" s="336">
        <f>I236</f>
        <v>46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'[44]Sch B'!E37</f>
        <v>0</v>
      </c>
      <c r="D20" s="480">
        <f>'[44]Sch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16790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'[44]Sch B'!E42</f>
        <v>566025.98</v>
      </c>
      <c r="D21" s="480">
        <f>'[44]Sch B'!G42</f>
        <v>0</v>
      </c>
      <c r="E21" s="480"/>
      <c r="F21" s="166">
        <f t="shared" si="0"/>
        <v>566025.98</v>
      </c>
      <c r="G21" s="626"/>
      <c r="H21" s="166"/>
      <c r="I21" s="166">
        <f t="shared" si="1"/>
        <v>566025.98</v>
      </c>
      <c r="J21" s="167">
        <f t="shared" si="2"/>
        <v>0.15290149042369106</v>
      </c>
      <c r="K21" s="458"/>
      <c r="L21" s="337"/>
      <c r="M21" s="336"/>
      <c r="O21" s="324">
        <f t="shared" si="3"/>
        <v>168.91255744553865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'[44]Sch B'!E47</f>
        <v>224853.88999999998</v>
      </c>
      <c r="D22" s="480">
        <f>'[44]Sch B'!G47</f>
        <v>0</v>
      </c>
      <c r="E22" s="480"/>
      <c r="F22" s="166">
        <f t="shared" si="0"/>
        <v>224853.88999999998</v>
      </c>
      <c r="G22" s="626"/>
      <c r="H22" s="166"/>
      <c r="I22" s="166">
        <f t="shared" si="1"/>
        <v>224853.88999999998</v>
      </c>
      <c r="J22" s="167">
        <f t="shared" si="2"/>
        <v>6.0740135830098615E-2</v>
      </c>
      <c r="K22" s="458"/>
      <c r="L22" s="335" t="s">
        <v>148</v>
      </c>
      <c r="M22" s="336">
        <f>L213</f>
        <v>93358.520000000019</v>
      </c>
      <c r="O22" s="324">
        <f t="shared" si="3"/>
        <v>192.51189212328765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'[44]Sch B'!E52</f>
        <v>0</v>
      </c>
      <c r="D23" s="480">
        <f>'[44]Sch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99171.75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'[44]Sch B'!E57</f>
        <v>3517</v>
      </c>
      <c r="D24" s="480">
        <f>'[44]Sch B'!G57</f>
        <v>0</v>
      </c>
      <c r="E24" s="480"/>
      <c r="F24" s="166">
        <f t="shared" si="0"/>
        <v>3517</v>
      </c>
      <c r="G24" s="626"/>
      <c r="H24" s="166"/>
      <c r="I24" s="166">
        <f t="shared" si="1"/>
        <v>3517</v>
      </c>
      <c r="J24" s="167">
        <f t="shared" si="2"/>
        <v>9.5005275521120331E-4</v>
      </c>
      <c r="K24" s="458"/>
      <c r="L24" s="163"/>
      <c r="M24" s="163"/>
      <c r="O24" s="324">
        <f t="shared" si="3"/>
        <v>175.85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'[44]Sch B'!E72</f>
        <v>457026.33</v>
      </c>
      <c r="D25" s="480">
        <f>'[44]Sch B'!G72</f>
        <v>-452889.75</v>
      </c>
      <c r="E25" s="480"/>
      <c r="F25" s="166">
        <f t="shared" si="0"/>
        <v>4136.5800000000163</v>
      </c>
      <c r="G25" s="626"/>
      <c r="H25" s="166"/>
      <c r="I25" s="166">
        <f t="shared" si="1"/>
        <v>4136.5800000000163</v>
      </c>
      <c r="J25" s="167">
        <f t="shared" si="2"/>
        <v>1.1174208774954719E-3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3919168.44</v>
      </c>
      <c r="D26" s="480">
        <f t="shared" ref="D26:F26" si="4">SUM(D16:D25)</f>
        <v>-452889.75</v>
      </c>
      <c r="E26" s="480">
        <f t="shared" si="4"/>
        <v>0</v>
      </c>
      <c r="F26" s="166">
        <f t="shared" si="4"/>
        <v>3466278.69</v>
      </c>
      <c r="G26" s="166">
        <f>SUM(G12:G25)</f>
        <v>235621</v>
      </c>
      <c r="H26" s="166">
        <f>SUM(H12:H25)</f>
        <v>0</v>
      </c>
      <c r="I26" s="166">
        <f>SUM(I16:I25)</f>
        <v>3701899.6900000004</v>
      </c>
      <c r="J26" s="167">
        <f t="shared" si="2"/>
        <v>1</v>
      </c>
      <c r="K26" s="458"/>
      <c r="L26" s="163"/>
      <c r="M26" s="163"/>
      <c r="O26" s="324">
        <f>IFERROR(I26/I233,0)</f>
        <v>259.80066601164998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L27"/>
      <c r="M27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L28"/>
      <c r="M28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L29"/>
      <c r="M2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'[44]Sch C'!D10</f>
        <v>101425.21</v>
      </c>
      <c r="D30" s="480">
        <f>'[44]Sch C'!F10</f>
        <v>-3755</v>
      </c>
      <c r="E30" s="480">
        <f>+'[44]Sch C'!H10</f>
        <v>0</v>
      </c>
      <c r="F30" s="166">
        <f t="shared" ref="F30:F65" si="5">C30+D30+E30</f>
        <v>97670.21</v>
      </c>
      <c r="G30" s="626">
        <v>-25310</v>
      </c>
      <c r="H30" s="166"/>
      <c r="I30" s="166">
        <f t="shared" ref="I30:I65" si="6">F30+G30+H30</f>
        <v>72360.210000000006</v>
      </c>
      <c r="J30" s="167">
        <f>IF($I$213=0,0,I30/$I$213)</f>
        <v>2.7671668831476433E-2</v>
      </c>
      <c r="K30" s="458"/>
      <c r="L30" s="176">
        <v>2182</v>
      </c>
      <c r="M30" s="176">
        <v>2257</v>
      </c>
      <c r="O30" s="324">
        <f>I30/I$233</f>
        <v>5.0782658432170686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'[44]Sch C'!D11</f>
        <v>0</v>
      </c>
      <c r="D31" s="480">
        <f>'[44]Sch C'!F11</f>
        <v>0</v>
      </c>
      <c r="E31" s="480">
        <f>+'[44]Sch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'[44]Sch C'!D12</f>
        <v>34756.71</v>
      </c>
      <c r="D32" s="480">
        <f>'[44]Sch C'!F12</f>
        <v>0</v>
      </c>
      <c r="E32" s="480">
        <f>+'[44]Sch C'!H12</f>
        <v>0</v>
      </c>
      <c r="F32" s="166">
        <f t="shared" si="5"/>
        <v>34756.71</v>
      </c>
      <c r="G32" s="626">
        <v>-8943</v>
      </c>
      <c r="H32" s="166"/>
      <c r="I32" s="166">
        <f t="shared" si="6"/>
        <v>25813.71</v>
      </c>
      <c r="J32" s="167">
        <f t="shared" si="7"/>
        <v>9.8715638668236509E-3</v>
      </c>
      <c r="K32" s="458"/>
      <c r="L32" s="176">
        <v>2428.9</v>
      </c>
      <c r="M32" s="176">
        <v>2799.97</v>
      </c>
      <c r="O32" s="324">
        <f t="shared" si="8"/>
        <v>1.8116155519685591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'[44]Sch C'!D13</f>
        <v>342779.93</v>
      </c>
      <c r="D33" s="480">
        <f>'[44]Sch C'!F13</f>
        <v>-312781.65000000002</v>
      </c>
      <c r="E33" s="480">
        <f>+'[44]Sch C'!H13</f>
        <v>0</v>
      </c>
      <c r="F33" s="166">
        <f t="shared" si="5"/>
        <v>29998.27999999997</v>
      </c>
      <c r="G33" s="626">
        <f>-7718-950</f>
        <v>-8668</v>
      </c>
      <c r="H33" s="166"/>
      <c r="I33" s="166">
        <f t="shared" si="6"/>
        <v>21330.27999999997</v>
      </c>
      <c r="J33" s="167">
        <f t="shared" si="7"/>
        <v>8.1570305592350307E-3</v>
      </c>
      <c r="K33" s="458"/>
      <c r="L33" s="163"/>
      <c r="M33" s="163"/>
      <c r="O33" s="324">
        <f t="shared" si="8"/>
        <v>1.4969668046880462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'[44]Sch C'!D14</f>
        <v>0</v>
      </c>
      <c r="D34" s="480">
        <f>'[44]Sch C'!F14</f>
        <v>0</v>
      </c>
      <c r="E34" s="480">
        <f>+'[44]Sch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'[44]Sch C'!D15</f>
        <v>0</v>
      </c>
      <c r="D35" s="480">
        <f>'[44]Sch C'!F15</f>
        <v>0</v>
      </c>
      <c r="E35" s="480">
        <f>+'[44]Sch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'[44]Sch C'!D16</f>
        <v>293504</v>
      </c>
      <c r="D36" s="480">
        <f>'[44]Sch C'!F16</f>
        <v>0</v>
      </c>
      <c r="E36" s="480">
        <f>+'[44]Sch C'!H16</f>
        <v>-56247</v>
      </c>
      <c r="F36" s="166">
        <f t="shared" si="5"/>
        <v>237257</v>
      </c>
      <c r="G36" s="626"/>
      <c r="H36" s="166">
        <v>-27118</v>
      </c>
      <c r="I36" s="166">
        <f t="shared" si="6"/>
        <v>210139</v>
      </c>
      <c r="J36" s="167">
        <f t="shared" si="7"/>
        <v>8.0360419304720446E-2</v>
      </c>
      <c r="K36" s="458"/>
      <c r="L36" s="163"/>
      <c r="M36" s="163"/>
      <c r="O36" s="324">
        <f t="shared" si="8"/>
        <v>14.747631412730717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'[44]Sch C'!D17</f>
        <v>0</v>
      </c>
      <c r="D37" s="480">
        <f>'[44]Sch C'!F17</f>
        <v>0</v>
      </c>
      <c r="E37" s="480">
        <f>+'[44]Sch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'[44]Sch C'!D18</f>
        <v>20565.329999999998</v>
      </c>
      <c r="D38" s="480">
        <f>'[44]Sch C'!F18</f>
        <v>0</v>
      </c>
      <c r="E38" s="480">
        <f>+'[44]Sch C'!H18</f>
        <v>0</v>
      </c>
      <c r="F38" s="166">
        <f t="shared" si="5"/>
        <v>20565.329999999998</v>
      </c>
      <c r="G38" s="166">
        <v>-2351</v>
      </c>
      <c r="H38" s="166"/>
      <c r="I38" s="166">
        <f t="shared" si="6"/>
        <v>18214.329999999998</v>
      </c>
      <c r="J38" s="167">
        <f t="shared" si="7"/>
        <v>6.9654428552270095E-3</v>
      </c>
      <c r="K38" s="458"/>
      <c r="L38" s="163"/>
      <c r="M38" s="163"/>
      <c r="O38" s="324">
        <f t="shared" si="8"/>
        <v>1.2782883009333987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'[44]Sch C'!D19</f>
        <v>10701.859999999999</v>
      </c>
      <c r="D39" s="480">
        <f>'[44]Sch C'!F19</f>
        <v>0</v>
      </c>
      <c r="E39" s="480">
        <f>+'[44]Sch C'!H19</f>
        <v>0</v>
      </c>
      <c r="F39" s="166">
        <f t="shared" si="5"/>
        <v>10701.859999999999</v>
      </c>
      <c r="G39" s="166">
        <v>-1223</v>
      </c>
      <c r="H39" s="166"/>
      <c r="I39" s="166">
        <f t="shared" si="6"/>
        <v>9478.8599999999988</v>
      </c>
      <c r="J39" s="167">
        <f t="shared" si="7"/>
        <v>3.6248633720096812E-3</v>
      </c>
      <c r="K39" s="458"/>
      <c r="L39" s="163"/>
      <c r="M39" s="163"/>
      <c r="O39" s="324">
        <f t="shared" si="8"/>
        <v>0.66522984069057467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'[44]Sch C'!D20</f>
        <v>6919.37</v>
      </c>
      <c r="D40" s="480">
        <f>'[44]Sch C'!F20</f>
        <v>0</v>
      </c>
      <c r="E40" s="480">
        <f>+'[44]Sch C'!H20</f>
        <v>0</v>
      </c>
      <c r="F40" s="166">
        <f t="shared" si="5"/>
        <v>6919.37</v>
      </c>
      <c r="G40" s="166">
        <f>-791+1497</f>
        <v>706</v>
      </c>
      <c r="H40" s="166"/>
      <c r="I40" s="166">
        <f t="shared" si="6"/>
        <v>7625.37</v>
      </c>
      <c r="J40" s="167">
        <f t="shared" si="7"/>
        <v>2.9160599914991323E-3</v>
      </c>
      <c r="K40" s="458"/>
      <c r="L40" s="163"/>
      <c r="M40" s="163"/>
      <c r="O40" s="324">
        <f t="shared" si="8"/>
        <v>0.53515123868341641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'[44]Sch C'!D21</f>
        <v>3088</v>
      </c>
      <c r="D41" s="480">
        <f>'[44]Sch C'!F21</f>
        <v>0</v>
      </c>
      <c r="E41" s="480">
        <f>+'[44]Sch C'!H21</f>
        <v>0</v>
      </c>
      <c r="F41" s="166">
        <f t="shared" si="5"/>
        <v>3088</v>
      </c>
      <c r="G41" s="166">
        <v>-353</v>
      </c>
      <c r="H41" s="166"/>
      <c r="I41" s="166">
        <f t="shared" si="6"/>
        <v>2735</v>
      </c>
      <c r="J41" s="167">
        <f t="shared" si="7"/>
        <v>1.0459065037827838E-3</v>
      </c>
      <c r="K41" s="458"/>
      <c r="L41" s="163"/>
      <c r="M41" s="163"/>
      <c r="O41" s="324">
        <f t="shared" si="8"/>
        <v>0.1919432942662643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'[44]Sch C'!D22</f>
        <v>0</v>
      </c>
      <c r="D42" s="480">
        <f>'[44]Sch C'!F22</f>
        <v>0</v>
      </c>
      <c r="E42" s="480">
        <f>+'[44]Sch C'!H22</f>
        <v>0</v>
      </c>
      <c r="F42" s="166">
        <f t="shared" si="5"/>
        <v>0</v>
      </c>
      <c r="G42" s="16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'[44]Sch C'!D23</f>
        <v>4174.24</v>
      </c>
      <c r="D43" s="480">
        <f>'[44]Sch C'!F23</f>
        <v>0</v>
      </c>
      <c r="E43" s="480">
        <f>+'[44]Sch C'!H23</f>
        <v>0</v>
      </c>
      <c r="F43" s="166">
        <f t="shared" si="5"/>
        <v>4174.24</v>
      </c>
      <c r="G43" s="166">
        <f>-477+10693</f>
        <v>10216</v>
      </c>
      <c r="H43" s="166"/>
      <c r="I43" s="166">
        <f t="shared" si="6"/>
        <v>14390.24</v>
      </c>
      <c r="J43" s="167">
        <f t="shared" si="7"/>
        <v>5.5030514102358931E-3</v>
      </c>
      <c r="K43" s="458"/>
      <c r="L43" s="163"/>
      <c r="M43" s="163"/>
      <c r="O43" s="324">
        <f t="shared" si="8"/>
        <v>1.0099122745455822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'[44]Sch C'!D24</f>
        <v>0</v>
      </c>
      <c r="D44" s="480">
        <f>'[44]Sch C'!F24</f>
        <v>0</v>
      </c>
      <c r="E44" s="480">
        <f>+'[44]Sch C'!H24</f>
        <v>0</v>
      </c>
      <c r="F44" s="166">
        <f t="shared" si="5"/>
        <v>0</v>
      </c>
      <c r="G44" s="626">
        <v>23335</v>
      </c>
      <c r="H44" s="166"/>
      <c r="I44" s="166">
        <f t="shared" si="6"/>
        <v>23335</v>
      </c>
      <c r="J44" s="167">
        <f t="shared" si="7"/>
        <v>8.9236666419638989E-3</v>
      </c>
      <c r="K44" s="458"/>
      <c r="L44" s="163"/>
      <c r="M44" s="163"/>
      <c r="O44" s="324">
        <f t="shared" si="8"/>
        <v>1.6376587830724962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'[44]Sch C'!D25</f>
        <v>0</v>
      </c>
      <c r="D45" s="480">
        <f>'[44]Sch C'!F25</f>
        <v>0</v>
      </c>
      <c r="E45" s="480">
        <f>+'[44]Sch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'[44]Sch C'!D26</f>
        <v>275966.28000000003</v>
      </c>
      <c r="D46" s="480">
        <f>'[44]Sch C'!F26</f>
        <v>0</v>
      </c>
      <c r="E46" s="480">
        <f>+'[44]Sch C'!H26</f>
        <v>0</v>
      </c>
      <c r="F46" s="166">
        <f t="shared" si="5"/>
        <v>275966.28000000003</v>
      </c>
      <c r="G46" s="626"/>
      <c r="H46" s="166"/>
      <c r="I46" s="166">
        <f t="shared" si="6"/>
        <v>275966.28000000003</v>
      </c>
      <c r="J46" s="167">
        <f t="shared" si="7"/>
        <v>0.10553379417796739</v>
      </c>
      <c r="K46" s="458"/>
      <c r="L46" s="163"/>
      <c r="M46" s="163"/>
      <c r="O46" s="324">
        <f t="shared" si="8"/>
        <v>19.367413853603765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'[44]Sch C'!D27</f>
        <v>0</v>
      </c>
      <c r="D47" s="480">
        <f>'[44]Sch C'!F27</f>
        <v>0</v>
      </c>
      <c r="E47" s="480">
        <f>+'[44]Sch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7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'[44]Sch C'!D28</f>
        <v>0</v>
      </c>
      <c r="D48" s="480">
        <f>'[44]Sch C'!F28</f>
        <v>0</v>
      </c>
      <c r="E48" s="480">
        <f>+'[44]Sch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'[44]Sch C'!D29</f>
        <v>180713.87</v>
      </c>
      <c r="D49" s="480">
        <f>'[44]Sch C'!F29</f>
        <v>-180713.87</v>
      </c>
      <c r="E49" s="480">
        <f>+'[44]Sch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'[44]Sch C'!D30</f>
        <v>0</v>
      </c>
      <c r="D50" s="480">
        <f>'[44]Sch C'!F30</f>
        <v>0</v>
      </c>
      <c r="E50" s="480">
        <f>+'[44]Sch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'[44]Sch C'!D31</f>
        <v>0</v>
      </c>
      <c r="D51" s="480">
        <f>'[44]Sch C'!F31</f>
        <v>34256.949999999997</v>
      </c>
      <c r="E51" s="480">
        <f>+'[44]Sch C'!H31</f>
        <v>0</v>
      </c>
      <c r="F51" s="166">
        <f t="shared" si="5"/>
        <v>34256.949999999997</v>
      </c>
      <c r="G51" s="626"/>
      <c r="H51" s="166"/>
      <c r="I51" s="166">
        <f t="shared" si="6"/>
        <v>34256.949999999997</v>
      </c>
      <c r="J51" s="167">
        <f t="shared" si="7"/>
        <v>1.3100390056585608E-2</v>
      </c>
      <c r="K51" s="458"/>
      <c r="L51" s="163"/>
      <c r="M51" s="163"/>
      <c r="O51" s="324">
        <f t="shared" si="8"/>
        <v>2.4041652045757593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'[44]Sch C'!D32</f>
        <v>14370.47</v>
      </c>
      <c r="D52" s="480">
        <f>'[44]Sch C'!F32</f>
        <v>0</v>
      </c>
      <c r="E52" s="480">
        <f>+'[44]Sch C'!H32</f>
        <v>0</v>
      </c>
      <c r="F52" s="166">
        <f t="shared" si="5"/>
        <v>14370.47</v>
      </c>
      <c r="G52" s="626">
        <v>-1642</v>
      </c>
      <c r="H52" s="166"/>
      <c r="I52" s="166">
        <f t="shared" si="6"/>
        <v>12728.47</v>
      </c>
      <c r="J52" s="167">
        <f t="shared" si="7"/>
        <v>4.8675647371861242E-3</v>
      </c>
      <c r="K52" s="458"/>
      <c r="L52" s="163"/>
      <c r="M52" s="163"/>
      <c r="O52" s="324">
        <f t="shared" si="8"/>
        <v>0.89328865183521644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'[44]Sch C'!D33</f>
        <v>0</v>
      </c>
      <c r="D53" s="480">
        <f>'[44]Sch C'!F33</f>
        <v>0</v>
      </c>
      <c r="E53" s="480">
        <f>+'[44]Sch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'[44]Sch C'!D34</f>
        <v>0</v>
      </c>
      <c r="D54" s="480">
        <f>'[44]Sch C'!F34</f>
        <v>0</v>
      </c>
      <c r="E54" s="480">
        <f>+'[44]Sch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'[44]Sch C'!D35</f>
        <v>0</v>
      </c>
      <c r="D55" s="480">
        <f>'[44]Sch C'!F35</f>
        <v>0</v>
      </c>
      <c r="E55" s="480">
        <f>+'[44]Sch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'[44]Sch C'!D36</f>
        <v>0</v>
      </c>
      <c r="D56" s="480">
        <f>'[44]Sch C'!F36</f>
        <v>0</v>
      </c>
      <c r="E56" s="480">
        <f>+'[44]Sch C'!H36</f>
        <v>0</v>
      </c>
      <c r="F56" s="166">
        <f t="shared" si="5"/>
        <v>0</v>
      </c>
      <c r="G56" s="626">
        <v>10269</v>
      </c>
      <c r="H56" s="166"/>
      <c r="I56" s="166">
        <f t="shared" si="6"/>
        <v>10269</v>
      </c>
      <c r="J56" s="167">
        <f t="shared" si="7"/>
        <v>3.927025187329217E-3</v>
      </c>
      <c r="K56" s="458"/>
      <c r="L56" s="176">
        <v>0</v>
      </c>
      <c r="M56" s="176">
        <v>0</v>
      </c>
      <c r="O56" s="324">
        <f t="shared" si="8"/>
        <v>0.72068215313355322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'[44]Sch C'!D37</f>
        <v>0</v>
      </c>
      <c r="D57" s="480">
        <f>'[44]Sch C'!F37</f>
        <v>0</v>
      </c>
      <c r="E57" s="480">
        <f>+'[44]Sch C'!H37</f>
        <v>0</v>
      </c>
      <c r="F57" s="166">
        <f t="shared" si="5"/>
        <v>0</v>
      </c>
      <c r="G57" s="626">
        <v>2253</v>
      </c>
      <c r="H57" s="166"/>
      <c r="I57" s="166">
        <f t="shared" si="6"/>
        <v>2253</v>
      </c>
      <c r="J57" s="167">
        <f t="shared" si="7"/>
        <v>8.6158221317097334E-4</v>
      </c>
      <c r="K57" s="458"/>
      <c r="L57" s="163"/>
      <c r="M57" s="163"/>
      <c r="O57" s="324">
        <f t="shared" si="8"/>
        <v>0.15811635904273985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'[44]Sch C'!D38</f>
        <v>0</v>
      </c>
      <c r="D58" s="480">
        <f>'[44]Sch C'!F38</f>
        <v>0</v>
      </c>
      <c r="E58" s="480">
        <f>+'[44]Sch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'[44]Sch C'!D39</f>
        <v>3695.58</v>
      </c>
      <c r="D59" s="480">
        <f>'[44]Sch C'!F39</f>
        <v>0</v>
      </c>
      <c r="E59" s="480">
        <f>+'[44]Sch C'!H39</f>
        <v>0</v>
      </c>
      <c r="F59" s="166">
        <f t="shared" si="5"/>
        <v>3695.58</v>
      </c>
      <c r="G59" s="626">
        <v>-422</v>
      </c>
      <c r="H59" s="166"/>
      <c r="I59" s="166">
        <f t="shared" si="6"/>
        <v>3273.58</v>
      </c>
      <c r="J59" s="167">
        <f t="shared" si="7"/>
        <v>1.2518678656867443E-3</v>
      </c>
      <c r="K59" s="458"/>
      <c r="L59" s="163"/>
      <c r="M59" s="163"/>
      <c r="O59" s="324">
        <f t="shared" si="8"/>
        <v>0.22974103445855848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'[44]Sch C'!D40</f>
        <v>16299.87</v>
      </c>
      <c r="D60" s="480">
        <f>'[44]Sch C'!F40</f>
        <v>-16300</v>
      </c>
      <c r="E60" s="480">
        <f>+'[44]Sch C'!H40</f>
        <v>0</v>
      </c>
      <c r="F60" s="166">
        <f t="shared" si="5"/>
        <v>-0.12999999999919964</v>
      </c>
      <c r="G60" s="626"/>
      <c r="H60" s="166"/>
      <c r="I60" s="166">
        <f t="shared" si="6"/>
        <v>-0.12999999999919964</v>
      </c>
      <c r="J60" s="167">
        <f t="shared" si="7"/>
        <v>-4.9714020289186403E-8</v>
      </c>
      <c r="K60" s="458"/>
      <c r="L60" s="163"/>
      <c r="M60" s="163"/>
      <c r="O60" s="324">
        <f t="shared" si="8"/>
        <v>-9.1234472594006349E-6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'[44]Sch C'!D41</f>
        <v>147957.79999999999</v>
      </c>
      <c r="D61" s="480">
        <f>'[44]Sch C'!F41</f>
        <v>-145545</v>
      </c>
      <c r="E61" s="480">
        <f>+'[44]Sch C'!H41</f>
        <v>0</v>
      </c>
      <c r="F61" s="166">
        <f t="shared" si="5"/>
        <v>2412.7999999999884</v>
      </c>
      <c r="G61" s="626">
        <v>-276</v>
      </c>
      <c r="H61" s="166"/>
      <c r="I61" s="166">
        <f t="shared" si="6"/>
        <v>2136.7999999999884</v>
      </c>
      <c r="J61" s="167">
        <f t="shared" si="7"/>
        <v>8.1714552734297639E-4</v>
      </c>
      <c r="K61" s="458"/>
      <c r="L61" s="163"/>
      <c r="M61" s="163"/>
      <c r="O61" s="324">
        <f t="shared" si="8"/>
        <v>0.14996140080005532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'[44]Sch C'!D42</f>
        <v>3276.2</v>
      </c>
      <c r="D62" s="480">
        <f>'[44]Sch C'!F42</f>
        <v>0</v>
      </c>
      <c r="E62" s="480">
        <f>+'[44]Sch C'!H42</f>
        <v>0</v>
      </c>
      <c r="F62" s="166">
        <f t="shared" si="5"/>
        <v>3276.2</v>
      </c>
      <c r="G62" s="626">
        <v>-374</v>
      </c>
      <c r="H62" s="166"/>
      <c r="I62" s="166">
        <f t="shared" si="6"/>
        <v>2902.2</v>
      </c>
      <c r="J62" s="167">
        <f t="shared" si="7"/>
        <v>1.109846382185885E-3</v>
      </c>
      <c r="K62" s="458"/>
      <c r="L62" s="163"/>
      <c r="M62" s="163"/>
      <c r="O62" s="324">
        <f t="shared" si="8"/>
        <v>0.20367745104919643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'[44]Sch C'!D43</f>
        <v>10665.93</v>
      </c>
      <c r="D63" s="480">
        <f>'[44]Sch C'!F43</f>
        <v>0</v>
      </c>
      <c r="E63" s="480">
        <f>+'[44]Sch C'!H43</f>
        <v>0</v>
      </c>
      <c r="F63" s="166">
        <f t="shared" si="5"/>
        <v>10665.93</v>
      </c>
      <c r="G63" s="626">
        <f>-1219-9446.93</f>
        <v>-10665.93</v>
      </c>
      <c r="H63" s="166"/>
      <c r="I63" s="166">
        <f t="shared" si="6"/>
        <v>0</v>
      </c>
      <c r="J63" s="167">
        <f t="shared" si="7"/>
        <v>0</v>
      </c>
      <c r="K63" s="458" t="s">
        <v>704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'[44]Sch C'!D44</f>
        <v>0</v>
      </c>
      <c r="D64" s="480">
        <f>'[44]Sch C'!F44</f>
        <v>0</v>
      </c>
      <c r="E64" s="480">
        <f>+'[44]Sch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'[44]Sch C'!D45</f>
        <v>44850.020000000004</v>
      </c>
      <c r="D65" s="480">
        <f>'[44]Sch C'!F45</f>
        <v>-86926</v>
      </c>
      <c r="E65" s="480">
        <f>+'[44]Sch C'!H45</f>
        <v>2168</v>
      </c>
      <c r="F65" s="166">
        <f t="shared" si="5"/>
        <v>-39907.979999999996</v>
      </c>
      <c r="G65" s="626">
        <f>78037-35525-4473</f>
        <v>38039</v>
      </c>
      <c r="H65" s="166"/>
      <c r="I65" s="166">
        <f t="shared" si="6"/>
        <v>-1868.9799999999959</v>
      </c>
      <c r="J65" s="167">
        <f t="shared" si="7"/>
        <v>-7.1472699723581102E-4</v>
      </c>
      <c r="K65" s="162" t="s">
        <v>705</v>
      </c>
      <c r="L65" s="163"/>
      <c r="M65" s="163"/>
      <c r="O65" s="324">
        <f t="shared" si="8"/>
        <v>-0.13116569583830415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1515710.67</v>
      </c>
      <c r="D66" s="480">
        <f t="shared" si="9"/>
        <v>-711764.57000000007</v>
      </c>
      <c r="E66" s="480">
        <f t="shared" si="9"/>
        <v>-54079</v>
      </c>
      <c r="F66" s="166">
        <f t="shared" ref="F66:I66" si="10">SUM(F30:F65)</f>
        <v>749867.1</v>
      </c>
      <c r="G66" s="166">
        <f t="shared" si="10"/>
        <v>24590.07</v>
      </c>
      <c r="H66" s="166">
        <f t="shared" si="10"/>
        <v>-27118</v>
      </c>
      <c r="I66" s="166">
        <f t="shared" si="10"/>
        <v>747339.16999999993</v>
      </c>
      <c r="J66" s="178">
        <f t="shared" si="7"/>
        <v>0.28579411277317274</v>
      </c>
      <c r="K66" s="465"/>
      <c r="L66" s="163"/>
      <c r="M66" s="163"/>
      <c r="O66" s="329">
        <f>I66/I$233</f>
        <v>52.448534634009398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'[44]Sch C'!D57</f>
        <v>348910.02</v>
      </c>
      <c r="D69" s="480">
        <f>'[44]Sch C'!F57</f>
        <v>0</v>
      </c>
      <c r="E69" s="480">
        <f>+'[44]Sch C'!H57</f>
        <v>-348910</v>
      </c>
      <c r="F69" s="166">
        <f>C69+D69+E69</f>
        <v>2.0000000018626451E-2</v>
      </c>
      <c r="G69" s="626"/>
      <c r="H69" s="166"/>
      <c r="I69" s="166">
        <f>F69+G69+H69</f>
        <v>2.0000000018626451E-2</v>
      </c>
      <c r="J69" s="167">
        <f t="shared" ref="J69:J84" si="11">IF($I$213=0,0,I69/$I$213)</f>
        <v>7.6483108208911163E-9</v>
      </c>
      <c r="K69" s="457"/>
      <c r="L69" s="182"/>
      <c r="M69" s="163"/>
      <c r="O69" s="324">
        <f t="shared" ref="O69:O84" si="12">I69/I$233</f>
        <v>1.4036072719928734E-6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'[44]Sch C'!D58</f>
        <v>0</v>
      </c>
      <c r="D70" s="480">
        <f>'[44]Sch C'!F58</f>
        <v>0</v>
      </c>
      <c r="E70" s="480">
        <f>+'[44]Sch C'!H58</f>
        <v>134731</v>
      </c>
      <c r="F70" s="166">
        <f t="shared" ref="F70:F83" si="13">C70+D70+E70</f>
        <v>134731</v>
      </c>
      <c r="G70" s="626"/>
      <c r="H70" s="166">
        <v>-39643</v>
      </c>
      <c r="I70" s="166">
        <f t="shared" ref="I70:I83" si="14">F70+G70+H70</f>
        <v>95088</v>
      </c>
      <c r="J70" s="167">
        <f t="shared" si="11"/>
        <v>3.6363128932978925E-2</v>
      </c>
      <c r="K70" s="458"/>
      <c r="L70" s="182"/>
      <c r="M70" s="163"/>
      <c r="O70" s="324">
        <f t="shared" si="12"/>
        <v>6.6733104077479117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'[44]Sch C'!D59</f>
        <v>0</v>
      </c>
      <c r="D71" s="480">
        <f>'[44]Sch C'!F59</f>
        <v>0</v>
      </c>
      <c r="E71" s="480">
        <f>+'[44]Sch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'[44]Sch C'!D60</f>
        <v>0</v>
      </c>
      <c r="D72" s="480">
        <f>'[44]Sch C'!F60</f>
        <v>0</v>
      </c>
      <c r="E72" s="480">
        <f>+'[44]Sch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7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'[44]Sch C'!D61</f>
        <v>2963.68</v>
      </c>
      <c r="D73" s="480">
        <f>'[44]Sch C'!F61</f>
        <v>0</v>
      </c>
      <c r="E73" s="480">
        <f>+'[44]Sch C'!H61</f>
        <v>0</v>
      </c>
      <c r="F73" s="166">
        <f t="shared" si="13"/>
        <v>2963.68</v>
      </c>
      <c r="G73" s="626">
        <v>-872</v>
      </c>
      <c r="H73" s="166"/>
      <c r="I73" s="166">
        <f t="shared" si="14"/>
        <v>2091.6799999999998</v>
      </c>
      <c r="J73" s="167">
        <f t="shared" si="11"/>
        <v>7.9989093814712003E-4</v>
      </c>
      <c r="K73" s="458"/>
      <c r="L73" s="185"/>
      <c r="M73" s="163"/>
      <c r="O73" s="324">
        <f t="shared" si="12"/>
        <v>0.14679486279738929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'[44]Sch C'!D62</f>
        <v>0</v>
      </c>
      <c r="D74" s="480">
        <f>'[44]Sch C'!F62</f>
        <v>0</v>
      </c>
      <c r="E74" s="480">
        <f>+'[44]Sch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'[44]Sch C'!D63</f>
        <v>0</v>
      </c>
      <c r="D75" s="480">
        <f>'[44]Sch C'!F63</f>
        <v>0</v>
      </c>
      <c r="E75" s="480">
        <f>+'[44]Sch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'[44]Sch C'!D64</f>
        <v>0</v>
      </c>
      <c r="D76" s="480">
        <f>'[44]Sch C'!F64</f>
        <v>0</v>
      </c>
      <c r="E76" s="480">
        <f>+'[44]Sch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'[44]Sch C'!D65</f>
        <v>2656</v>
      </c>
      <c r="D77" s="480">
        <f>'[44]Sch C'!F65</f>
        <v>0</v>
      </c>
      <c r="E77" s="480">
        <f>+'[44]Sch C'!H65</f>
        <v>0</v>
      </c>
      <c r="F77" s="166">
        <f t="shared" si="13"/>
        <v>2656</v>
      </c>
      <c r="G77" s="626">
        <v>-781</v>
      </c>
      <c r="H77" s="166"/>
      <c r="I77" s="166">
        <f t="shared" si="14"/>
        <v>1875</v>
      </c>
      <c r="J77" s="167">
        <f t="shared" si="11"/>
        <v>7.1702913879075677E-4</v>
      </c>
      <c r="K77" s="458"/>
      <c r="L77" s="187"/>
      <c r="M77" s="163"/>
      <c r="O77" s="324">
        <f t="shared" si="12"/>
        <v>0.13158818162678082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'[44]Sch C'!D66</f>
        <v>0</v>
      </c>
      <c r="D78" s="480">
        <f>'[44]Sch C'!F66</f>
        <v>0</v>
      </c>
      <c r="E78" s="480">
        <f>+'[44]Sch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'[44]Sch C'!D67</f>
        <v>6316.37</v>
      </c>
      <c r="D79" s="480">
        <f>'[44]Sch C'!F67</f>
        <v>0</v>
      </c>
      <c r="E79" s="480">
        <f>+'[44]Sch C'!H67</f>
        <v>0</v>
      </c>
      <c r="F79" s="166">
        <f t="shared" si="13"/>
        <v>6316.37</v>
      </c>
      <c r="G79" s="626"/>
      <c r="H79" s="166">
        <v>-1858</v>
      </c>
      <c r="I79" s="166">
        <f t="shared" si="14"/>
        <v>4458.37</v>
      </c>
      <c r="J79" s="167">
        <f t="shared" si="11"/>
        <v>1.704949974138958E-3</v>
      </c>
      <c r="K79" s="458"/>
      <c r="L79" s="187"/>
      <c r="M79" s="163"/>
      <c r="O79" s="324">
        <f t="shared" si="12"/>
        <v>0.31289002737034177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'[44]Sch C'!D68</f>
        <v>0</v>
      </c>
      <c r="D80" s="480">
        <f>'[44]Sch C'!F68</f>
        <v>0</v>
      </c>
      <c r="E80" s="480">
        <f>+'[44]Sch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'[44]Sch C'!D69</f>
        <v>0</v>
      </c>
      <c r="D81" s="480">
        <f>'[44]Sch C'!F69</f>
        <v>0</v>
      </c>
      <c r="E81" s="480">
        <f>+'[44]Sch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'[44]Sch C'!D70</f>
        <v>0</v>
      </c>
      <c r="D82" s="480">
        <f>'[44]Sch C'!F70</f>
        <v>0</v>
      </c>
      <c r="E82" s="480">
        <f>+'[44]Sch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'[44]Sch C'!D71</f>
        <v>0</v>
      </c>
      <c r="D83" s="480">
        <f>'[44]Sch C'!F71</f>
        <v>-43155</v>
      </c>
      <c r="E83" s="480">
        <f>+'[44]Sch C'!H71</f>
        <v>0</v>
      </c>
      <c r="F83" s="166">
        <f t="shared" si="13"/>
        <v>-43155</v>
      </c>
      <c r="G83" s="626">
        <v>43154</v>
      </c>
      <c r="H83" s="166"/>
      <c r="I83" s="166">
        <f t="shared" si="14"/>
        <v>-1</v>
      </c>
      <c r="J83" s="167">
        <f t="shared" si="11"/>
        <v>-3.8241554068840361E-7</v>
      </c>
      <c r="K83" s="457"/>
      <c r="L83" s="187"/>
      <c r="M83" s="163"/>
      <c r="O83" s="324">
        <f t="shared" si="12"/>
        <v>-7.0180363534283103E-5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360846.07</v>
      </c>
      <c r="D84" s="480">
        <f t="shared" si="15"/>
        <v>-43155</v>
      </c>
      <c r="E84" s="480">
        <f t="shared" si="15"/>
        <v>-214179</v>
      </c>
      <c r="F84" s="166">
        <f t="shared" ref="F84:I84" si="16">SUM(F69:F83)</f>
        <v>103512.07</v>
      </c>
      <c r="G84" s="166">
        <f t="shared" si="16"/>
        <v>41501</v>
      </c>
      <c r="H84" s="166">
        <f t="shared" si="16"/>
        <v>-41501</v>
      </c>
      <c r="I84" s="166">
        <f t="shared" si="16"/>
        <v>103512.07</v>
      </c>
      <c r="J84" s="167">
        <f t="shared" si="11"/>
        <v>3.9584624216825882E-2</v>
      </c>
      <c r="K84" s="458"/>
      <c r="L84" s="187"/>
      <c r="M84" s="163"/>
      <c r="O84" s="324">
        <f t="shared" si="12"/>
        <v>7.264514702786161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'[44]Sch C'!D75</f>
        <v>41641.11</v>
      </c>
      <c r="D87" s="480">
        <f>'[44]Sch C'!F75</f>
        <v>0</v>
      </c>
      <c r="E87" s="480">
        <f>+'[44]Sch C'!H75</f>
        <v>0</v>
      </c>
      <c r="F87" s="166">
        <f t="shared" ref="F87:F97" si="17">C87+D87+E87</f>
        <v>41641.11</v>
      </c>
      <c r="G87" s="626">
        <v>-12252</v>
      </c>
      <c r="H87" s="166"/>
      <c r="I87" s="166">
        <f t="shared" ref="I87:I97" si="18">F87+G87+H87</f>
        <v>29389.11</v>
      </c>
      <c r="J87" s="167">
        <f t="shared" ref="J87:J98" si="19">IF($I$213=0,0,I87/$I$213)</f>
        <v>1.123885239100097E-2</v>
      </c>
      <c r="K87" s="458"/>
      <c r="L87" s="176">
        <v>1937.05</v>
      </c>
      <c r="M87" s="176">
        <v>2111.08</v>
      </c>
      <c r="O87" s="324">
        <f t="shared" ref="O87:O97" si="20">I87/I$233</f>
        <v>2.062538423749035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'[44]Sch C'!D76</f>
        <v>0</v>
      </c>
      <c r="D88" s="480">
        <f>'[44]Sch C'!F76</f>
        <v>9172.7099999999991</v>
      </c>
      <c r="E88" s="480">
        <f>+'[44]Sch C'!H76</f>
        <v>0</v>
      </c>
      <c r="F88" s="166">
        <f t="shared" si="17"/>
        <v>9172.7099999999991</v>
      </c>
      <c r="G88" s="626">
        <f>-2699-39</f>
        <v>-2738</v>
      </c>
      <c r="H88" s="166"/>
      <c r="I88" s="166">
        <f t="shared" si="18"/>
        <v>6434.7099999999991</v>
      </c>
      <c r="J88" s="167">
        <f t="shared" si="19"/>
        <v>2.4607331038230774E-3</v>
      </c>
      <c r="K88" s="458"/>
      <c r="L88" s="163"/>
      <c r="M88" s="163"/>
      <c r="O88" s="324">
        <f t="shared" si="20"/>
        <v>0.45159028703768678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'[44]Sch C'!D77</f>
        <v>11836.12</v>
      </c>
      <c r="D89" s="480">
        <f>'[44]Sch C'!F77</f>
        <v>0</v>
      </c>
      <c r="E89" s="480">
        <f>+'[44]Sch C'!H77</f>
        <v>0</v>
      </c>
      <c r="F89" s="166">
        <f t="shared" si="17"/>
        <v>11836.12</v>
      </c>
      <c r="G89" s="626">
        <v>-3483</v>
      </c>
      <c r="H89" s="166"/>
      <c r="I89" s="166">
        <f t="shared" si="18"/>
        <v>8353.1200000000008</v>
      </c>
      <c r="J89" s="167">
        <f t="shared" si="19"/>
        <v>3.1943629012351183E-3</v>
      </c>
      <c r="K89" s="458"/>
      <c r="L89" s="163"/>
      <c r="M89" s="163"/>
      <c r="O89" s="324">
        <f t="shared" si="20"/>
        <v>0.58622499824549101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'[44]Sch C'!D78</f>
        <v>1721.99</v>
      </c>
      <c r="D90" s="480">
        <f>'[44]Sch C'!F78</f>
        <v>0</v>
      </c>
      <c r="E90" s="480">
        <f>+'[44]Sch C'!H78</f>
        <v>0</v>
      </c>
      <c r="F90" s="166">
        <f t="shared" si="17"/>
        <v>1721.99</v>
      </c>
      <c r="G90" s="626"/>
      <c r="H90" s="166"/>
      <c r="I90" s="166">
        <f t="shared" si="18"/>
        <v>1721.99</v>
      </c>
      <c r="J90" s="167">
        <f t="shared" si="19"/>
        <v>6.5851573691002414E-4</v>
      </c>
      <c r="K90" s="458"/>
      <c r="L90" s="163"/>
      <c r="M90" s="163"/>
      <c r="O90" s="324">
        <f t="shared" si="20"/>
        <v>0.12084988420240017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'[44]Sch C'!D79</f>
        <v>17873.16</v>
      </c>
      <c r="D91" s="480">
        <f>'[44]Sch C'!F79</f>
        <v>0</v>
      </c>
      <c r="E91" s="480">
        <f>+'[44]Sch C'!H79</f>
        <v>0</v>
      </c>
      <c r="F91" s="166">
        <f t="shared" si="17"/>
        <v>17873.16</v>
      </c>
      <c r="G91" s="626">
        <f>-252+4473</f>
        <v>4221</v>
      </c>
      <c r="H91" s="166"/>
      <c r="I91" s="166">
        <f t="shared" si="18"/>
        <v>22094.16</v>
      </c>
      <c r="J91" s="167">
        <f t="shared" si="19"/>
        <v>8.4491501424560998E-3</v>
      </c>
      <c r="K91" s="162" t="s">
        <v>705</v>
      </c>
      <c r="L91" s="163"/>
      <c r="M91" s="163"/>
      <c r="O91" s="324">
        <f t="shared" si="20"/>
        <v>1.5505761807846166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'[44]Sch C'!D80</f>
        <v>36377.25</v>
      </c>
      <c r="D92" s="480">
        <f>'[44]Sch C'!F80</f>
        <v>0</v>
      </c>
      <c r="E92" s="480">
        <f>+'[44]Sch C'!H80</f>
        <v>0</v>
      </c>
      <c r="F92" s="166">
        <f t="shared" si="17"/>
        <v>36377.25</v>
      </c>
      <c r="G92" s="626">
        <v>-10703</v>
      </c>
      <c r="H92" s="166"/>
      <c r="I92" s="166">
        <f t="shared" si="18"/>
        <v>25674.25</v>
      </c>
      <c r="J92" s="167">
        <f t="shared" si="19"/>
        <v>9.8182321955192463E-3</v>
      </c>
      <c r="K92" s="458"/>
      <c r="L92" s="163"/>
      <c r="M92" s="163"/>
      <c r="O92" s="324">
        <f t="shared" si="20"/>
        <v>1.8018281984700681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'[44]Sch C'!D81</f>
        <v>0</v>
      </c>
      <c r="D93" s="480">
        <f>'[44]Sch C'!F81</f>
        <v>0</v>
      </c>
      <c r="E93" s="480">
        <f>+'[44]Sch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'[44]Sch C'!D82</f>
        <v>0</v>
      </c>
      <c r="D94" s="480">
        <f>'[44]Sch C'!F82</f>
        <v>0</v>
      </c>
      <c r="E94" s="480">
        <f>+'[44]Sch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'[44]Sch C'!D83</f>
        <v>7264.57</v>
      </c>
      <c r="D95" s="480">
        <f>'[44]Sch C'!F83</f>
        <v>0</v>
      </c>
      <c r="E95" s="480">
        <f>+'[44]Sch C'!H83</f>
        <v>0</v>
      </c>
      <c r="F95" s="166">
        <f t="shared" si="17"/>
        <v>7264.57</v>
      </c>
      <c r="G95" s="626"/>
      <c r="H95" s="166"/>
      <c r="I95" s="166">
        <f t="shared" si="18"/>
        <v>7264.57</v>
      </c>
      <c r="J95" s="167">
        <f t="shared" si="19"/>
        <v>2.7780844644187562E-3</v>
      </c>
      <c r="K95" s="458"/>
      <c r="L95" s="163"/>
      <c r="M95" s="163"/>
      <c r="O95" s="324">
        <f t="shared" si="20"/>
        <v>0.50983016352024702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'[44]Sch C'!D84</f>
        <v>56615.02</v>
      </c>
      <c r="D96" s="480">
        <f>'[44]Sch C'!F84</f>
        <v>0</v>
      </c>
      <c r="E96" s="480">
        <f>+'[44]Sch C'!H84</f>
        <v>0</v>
      </c>
      <c r="F96" s="166">
        <f t="shared" si="17"/>
        <v>56615.02</v>
      </c>
      <c r="G96" s="626">
        <v>-16658</v>
      </c>
      <c r="H96" s="166"/>
      <c r="I96" s="166">
        <f t="shared" si="18"/>
        <v>39957.019999999997</v>
      </c>
      <c r="J96" s="167">
        <f t="shared" si="19"/>
        <v>1.5280185407597355E-2</v>
      </c>
      <c r="K96" s="458"/>
      <c r="L96" s="163"/>
      <c r="M96" s="163"/>
      <c r="O96" s="324">
        <f t="shared" si="20"/>
        <v>2.8041981893466206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'[44]Sch C'!D85</f>
        <v>0</v>
      </c>
      <c r="D97" s="480">
        <f>'[44]Sch C'!F85</f>
        <v>-45796</v>
      </c>
      <c r="E97" s="480">
        <f>+'[44]Sch C'!H85</f>
        <v>0</v>
      </c>
      <c r="F97" s="166">
        <f t="shared" si="17"/>
        <v>-45796</v>
      </c>
      <c r="G97" s="626">
        <v>45795</v>
      </c>
      <c r="H97" s="166"/>
      <c r="I97" s="166">
        <f t="shared" si="18"/>
        <v>-1</v>
      </c>
      <c r="J97" s="167">
        <f t="shared" si="19"/>
        <v>-3.8241554068840361E-7</v>
      </c>
      <c r="K97" s="458"/>
      <c r="L97" s="163"/>
      <c r="M97" s="163"/>
      <c r="O97" s="324">
        <f t="shared" si="20"/>
        <v>-7.0180363534283103E-5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173329.22</v>
      </c>
      <c r="D98" s="480">
        <f t="shared" si="21"/>
        <v>-36623.29</v>
      </c>
      <c r="E98" s="480">
        <f t="shared" si="21"/>
        <v>0</v>
      </c>
      <c r="F98" s="166">
        <f t="shared" ref="F98:I98" si="22">SUM(F87:F97)</f>
        <v>136705.93</v>
      </c>
      <c r="G98" s="166">
        <f t="shared" si="22"/>
        <v>4182</v>
      </c>
      <c r="H98" s="166">
        <f t="shared" si="22"/>
        <v>0</v>
      </c>
      <c r="I98" s="166">
        <f t="shared" si="22"/>
        <v>140887.93</v>
      </c>
      <c r="J98" s="167">
        <f t="shared" si="19"/>
        <v>5.3877733927419957E-2</v>
      </c>
      <c r="K98" s="458"/>
      <c r="L98" s="163"/>
      <c r="M98" s="163"/>
      <c r="O98" s="329">
        <f>I98/I$233</f>
        <v>9.8875661449926309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'[44]Sch C'!D89</f>
        <v>141039.01</v>
      </c>
      <c r="D101" s="480">
        <f>'[44]Sch C'!F89</f>
        <v>0</v>
      </c>
      <c r="E101" s="480">
        <f>+'[44]Sch C'!H89</f>
        <v>0</v>
      </c>
      <c r="F101" s="166">
        <f t="shared" ref="F101:F106" si="23">C101+D101+E101</f>
        <v>141039.01</v>
      </c>
      <c r="G101" s="626">
        <v>-36289</v>
      </c>
      <c r="H101" s="166"/>
      <c r="I101" s="166">
        <f t="shared" ref="I101:I106" si="24">F101+G101+H101</f>
        <v>104750.01000000001</v>
      </c>
      <c r="J101" s="167">
        <f t="shared" ref="J101:J107" si="25">IF($I$213=0,0,I101/$I$213)</f>
        <v>4.0058031711265686E-2</v>
      </c>
      <c r="K101" s="458"/>
      <c r="L101" s="176">
        <v>13320.25</v>
      </c>
      <c r="M101" s="176">
        <v>13915.23</v>
      </c>
      <c r="O101" s="329">
        <f t="shared" ref="O101:O106" si="26">I101/I$233</f>
        <v>7.3513937820197919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'[44]Sch C'!D90</f>
        <v>0</v>
      </c>
      <c r="D102" s="480">
        <f>'[44]Sch C'!F90</f>
        <v>31068.18</v>
      </c>
      <c r="E102" s="480">
        <f>+'[44]Sch C'!H90</f>
        <v>0</v>
      </c>
      <c r="F102" s="166">
        <f t="shared" si="23"/>
        <v>31068.18</v>
      </c>
      <c r="G102" s="626">
        <f>-7994-131</f>
        <v>-8125</v>
      </c>
      <c r="H102" s="166"/>
      <c r="I102" s="166">
        <f t="shared" si="24"/>
        <v>22943.18</v>
      </c>
      <c r="J102" s="167">
        <f t="shared" si="25"/>
        <v>8.7738285848113686E-3</v>
      </c>
      <c r="K102" s="458"/>
      <c r="L102" s="163"/>
      <c r="M102" s="163"/>
      <c r="O102" s="329">
        <f t="shared" si="26"/>
        <v>1.6101607130324935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'[44]Sch C'!D91</f>
        <v>3276.8</v>
      </c>
      <c r="D103" s="480">
        <f>'[44]Sch C'!F91</f>
        <v>0</v>
      </c>
      <c r="E103" s="480">
        <f>+'[44]Sch C'!H91</f>
        <v>0</v>
      </c>
      <c r="F103" s="166">
        <f t="shared" si="23"/>
        <v>3276.8</v>
      </c>
      <c r="G103" s="626">
        <v>-320</v>
      </c>
      <c r="H103" s="166"/>
      <c r="I103" s="166">
        <f t="shared" si="24"/>
        <v>2956.8</v>
      </c>
      <c r="J103" s="167">
        <f t="shared" si="25"/>
        <v>1.1307262707074719E-3</v>
      </c>
      <c r="K103" s="458"/>
      <c r="L103" s="163"/>
      <c r="M103" s="163"/>
      <c r="O103" s="329">
        <f t="shared" si="26"/>
        <v>0.2075092988981683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'[44]Sch C'!D92</f>
        <v>116583.19</v>
      </c>
      <c r="D104" s="480">
        <f>'[44]Sch C'!F92</f>
        <v>-1053</v>
      </c>
      <c r="E104" s="480">
        <f>+'[44]Sch C'!H92</f>
        <v>0</v>
      </c>
      <c r="F104" s="166">
        <f t="shared" si="23"/>
        <v>115530.19</v>
      </c>
      <c r="G104" s="626">
        <v>-29726</v>
      </c>
      <c r="H104" s="166"/>
      <c r="I104" s="166">
        <f t="shared" si="24"/>
        <v>85804.19</v>
      </c>
      <c r="J104" s="167">
        <f t="shared" si="25"/>
        <v>3.2812855712180518E-2</v>
      </c>
      <c r="K104" s="458"/>
      <c r="L104" s="163"/>
      <c r="M104" s="163"/>
      <c r="O104" s="329">
        <f t="shared" si="26"/>
        <v>6.0217692469646993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'[44]Sch C'!D93</f>
        <v>15644.75</v>
      </c>
      <c r="D105" s="480">
        <f>'[44]Sch C'!F93</f>
        <v>0</v>
      </c>
      <c r="E105" s="480">
        <f>+'[44]Sch C'!H93</f>
        <v>0</v>
      </c>
      <c r="F105" s="166">
        <f t="shared" si="23"/>
        <v>15644.75</v>
      </c>
      <c r="G105" s="626">
        <v>-4025</v>
      </c>
      <c r="H105" s="166"/>
      <c r="I105" s="166">
        <f t="shared" si="24"/>
        <v>11619.75</v>
      </c>
      <c r="J105" s="167">
        <f t="shared" si="25"/>
        <v>4.4435729789140781E-3</v>
      </c>
      <c r="K105" s="458"/>
      <c r="L105" s="163"/>
      <c r="M105" s="163"/>
      <c r="O105" s="329">
        <f t="shared" si="26"/>
        <v>0.81547827917748616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'[44]Sch C'!D94</f>
        <v>0</v>
      </c>
      <c r="D106" s="480">
        <f>'[44]Sch C'!F94</f>
        <v>-78034</v>
      </c>
      <c r="E106" s="480">
        <f>+'[44]Sch C'!H94</f>
        <v>0</v>
      </c>
      <c r="F106" s="166">
        <f t="shared" si="23"/>
        <v>-78034</v>
      </c>
      <c r="G106" s="626">
        <v>78034</v>
      </c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276543.75</v>
      </c>
      <c r="D107" s="480">
        <f t="shared" si="27"/>
        <v>-48018.82</v>
      </c>
      <c r="E107" s="480">
        <f t="shared" si="27"/>
        <v>0</v>
      </c>
      <c r="F107" s="166">
        <f t="shared" ref="F107:I107" si="28">SUM(F101:F106)</f>
        <v>228524.93</v>
      </c>
      <c r="G107" s="166">
        <f t="shared" si="28"/>
        <v>-451</v>
      </c>
      <c r="H107" s="166">
        <f t="shared" si="28"/>
        <v>0</v>
      </c>
      <c r="I107" s="166">
        <f t="shared" si="28"/>
        <v>228073.93</v>
      </c>
      <c r="J107" s="167">
        <f t="shared" si="25"/>
        <v>8.7219015257879118E-2</v>
      </c>
      <c r="K107" s="458"/>
      <c r="L107" s="163"/>
      <c r="M107" s="163"/>
      <c r="O107" s="329">
        <f>I107/I$233</f>
        <v>16.006311320092639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'[44]Sch C'!D98</f>
        <v>23252.6</v>
      </c>
      <c r="D110" s="480">
        <f>'[44]Sch C'!F98</f>
        <v>0</v>
      </c>
      <c r="E110" s="480">
        <f>+'[44]Sch C'!H98</f>
        <v>0</v>
      </c>
      <c r="F110" s="166">
        <f t="shared" ref="F110:F115" si="29">C110+D110+E110</f>
        <v>23252.6</v>
      </c>
      <c r="G110" s="626"/>
      <c r="H110" s="166"/>
      <c r="I110" s="166">
        <f t="shared" ref="I110:I115" si="30">F110+G110+H110</f>
        <v>23252.6</v>
      </c>
      <c r="J110" s="167">
        <f t="shared" ref="J110:J116" si="31">IF($I$213=0,0,I110/$I$213)</f>
        <v>8.8921556014111731E-3</v>
      </c>
      <c r="K110" s="458"/>
      <c r="L110" s="176">
        <v>2471.1999999999998</v>
      </c>
      <c r="M110" s="176">
        <v>2550.85</v>
      </c>
      <c r="O110" s="329">
        <f t="shared" ref="O110:O115" si="32">I110/I$233</f>
        <v>1.6318759211172713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'[44]Sch C'!D99</f>
        <v>0</v>
      </c>
      <c r="D111" s="480">
        <f>'[44]Sch C'!F99</f>
        <v>5122.1899999999996</v>
      </c>
      <c r="E111" s="480">
        <f>+'[44]Sch C'!H99</f>
        <v>0</v>
      </c>
      <c r="F111" s="166">
        <f t="shared" si="29"/>
        <v>5122.1899999999996</v>
      </c>
      <c r="G111" s="626">
        <v>-21</v>
      </c>
      <c r="H111" s="166"/>
      <c r="I111" s="166">
        <f t="shared" si="30"/>
        <v>5101.1899999999996</v>
      </c>
      <c r="J111" s="167">
        <f t="shared" si="31"/>
        <v>1.9507743320042775E-3</v>
      </c>
      <c r="K111" s="458"/>
      <c r="L111" s="163"/>
      <c r="M111" s="163"/>
      <c r="O111" s="329">
        <f t="shared" si="32"/>
        <v>0.35800336865744964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'[44]Sch C'!D100</f>
        <v>5498.96</v>
      </c>
      <c r="D112" s="480">
        <f>'[44]Sch C'!F100</f>
        <v>0</v>
      </c>
      <c r="E112" s="480">
        <f>+'[44]Sch C'!H100</f>
        <v>0</v>
      </c>
      <c r="F112" s="166">
        <f t="shared" si="29"/>
        <v>5498.96</v>
      </c>
      <c r="G112" s="626"/>
      <c r="H112" s="166"/>
      <c r="I112" s="166">
        <f t="shared" si="30"/>
        <v>5498.96</v>
      </c>
      <c r="J112" s="167">
        <f t="shared" si="31"/>
        <v>2.102887761623904E-3</v>
      </c>
      <c r="K112" s="458"/>
      <c r="L112" s="163"/>
      <c r="M112" s="163"/>
      <c r="O112" s="329">
        <f t="shared" si="32"/>
        <v>0.38591901186048144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'[44]Sch C'!D101</f>
        <v>0</v>
      </c>
      <c r="D113" s="480">
        <f>'[44]Sch C'!F101</f>
        <v>0</v>
      </c>
      <c r="E113" s="480">
        <f>+'[44]Sch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'[44]Sch C'!D102</f>
        <v>-94.82</v>
      </c>
      <c r="D114" s="480">
        <f>'[44]Sch C'!F102</f>
        <v>0</v>
      </c>
      <c r="E114" s="480">
        <f>+'[44]Sch C'!H102</f>
        <v>0</v>
      </c>
      <c r="F114" s="166">
        <f t="shared" si="29"/>
        <v>-94.82</v>
      </c>
      <c r="G114" s="626"/>
      <c r="H114" s="166"/>
      <c r="I114" s="166">
        <f t="shared" si="30"/>
        <v>-94.82</v>
      </c>
      <c r="J114" s="167">
        <f t="shared" si="31"/>
        <v>-3.6260641568074425E-5</v>
      </c>
      <c r="K114" s="458"/>
      <c r="L114" s="163"/>
      <c r="M114" s="163"/>
      <c r="O114" s="329">
        <f t="shared" si="32"/>
        <v>-6.6545020703207237E-3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'[44]Sch C'!D103</f>
        <v>0</v>
      </c>
      <c r="D115" s="480">
        <f>'[44]Sch C'!F103</f>
        <v>0</v>
      </c>
      <c r="E115" s="480">
        <f>+'[44]Sch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28656.739999999998</v>
      </c>
      <c r="D116" s="480">
        <f t="shared" si="33"/>
        <v>5122.1899999999996</v>
      </c>
      <c r="E116" s="480">
        <f t="shared" si="33"/>
        <v>0</v>
      </c>
      <c r="F116" s="166">
        <f t="shared" ref="F116:I116" si="34">SUM(F110:F115)</f>
        <v>33778.93</v>
      </c>
      <c r="G116" s="166">
        <f t="shared" si="34"/>
        <v>-21</v>
      </c>
      <c r="H116" s="166">
        <f t="shared" si="34"/>
        <v>0</v>
      </c>
      <c r="I116" s="166">
        <f t="shared" si="34"/>
        <v>33757.93</v>
      </c>
      <c r="J116" s="167">
        <f t="shared" si="31"/>
        <v>1.2909557053471282E-2</v>
      </c>
      <c r="K116" s="458"/>
      <c r="L116" s="163"/>
      <c r="M116" s="163"/>
      <c r="O116" s="329">
        <f>I116/I$233</f>
        <v>2.3691437995648816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'[44]Sch C'!D115</f>
        <v>30840.09</v>
      </c>
      <c r="D119" s="480">
        <f>'[44]Sch C'!F115</f>
        <v>0</v>
      </c>
      <c r="E119" s="480">
        <f>+'[44]Sch C'!H115</f>
        <v>0</v>
      </c>
      <c r="F119" s="166">
        <f t="shared" ref="F119:F123" si="35">C119+D119+E119</f>
        <v>30840.09</v>
      </c>
      <c r="G119" s="626"/>
      <c r="H119" s="166"/>
      <c r="I119" s="166">
        <f t="shared" ref="I119:I123" si="36">F119+G119+H119</f>
        <v>30840.09</v>
      </c>
      <c r="J119" s="167">
        <f t="shared" ref="J119:J124" si="37">IF($I$213=0,0,I119/$I$213)</f>
        <v>1.1793729692229029E-2</v>
      </c>
      <c r="K119" s="458"/>
      <c r="L119" s="176">
        <v>3346.85</v>
      </c>
      <c r="M119" s="176">
        <v>3507.86</v>
      </c>
      <c r="O119" s="329">
        <f t="shared" ref="O119:O124" si="38">I119/I$233</f>
        <v>2.1643687276300092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'[44]Sch C'!D116</f>
        <v>0</v>
      </c>
      <c r="D120" s="480">
        <f>'[44]Sch C'!F116</f>
        <v>6793.46</v>
      </c>
      <c r="E120" s="480">
        <f>+'[44]Sch C'!H116</f>
        <v>0</v>
      </c>
      <c r="F120" s="166">
        <f t="shared" si="35"/>
        <v>6793.46</v>
      </c>
      <c r="G120" s="626">
        <v>-28</v>
      </c>
      <c r="H120" s="166"/>
      <c r="I120" s="166">
        <f t="shared" si="36"/>
        <v>6765.46</v>
      </c>
      <c r="J120" s="167">
        <f t="shared" si="37"/>
        <v>2.5872170439057672E-3</v>
      </c>
      <c r="K120" s="458"/>
      <c r="L120" s="163"/>
      <c r="M120" s="163"/>
      <c r="O120" s="329">
        <f t="shared" si="38"/>
        <v>0.47480244227665097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'[44]Sch C'!D117</f>
        <v>15820.4</v>
      </c>
      <c r="D121" s="480">
        <f>'[44]Sch C'!F117</f>
        <v>0</v>
      </c>
      <c r="E121" s="480">
        <f>+'[44]Sch C'!H117</f>
        <v>0</v>
      </c>
      <c r="F121" s="166">
        <f t="shared" si="35"/>
        <v>15820.4</v>
      </c>
      <c r="G121" s="626"/>
      <c r="H121" s="166"/>
      <c r="I121" s="166">
        <f t="shared" si="36"/>
        <v>15820.4</v>
      </c>
      <c r="J121" s="167">
        <f t="shared" si="37"/>
        <v>6.0499668199068208E-3</v>
      </c>
      <c r="K121" s="458"/>
      <c r="L121" s="163"/>
      <c r="M121" s="163"/>
      <c r="O121" s="329">
        <f t="shared" si="38"/>
        <v>1.1102814232577725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'[44]Sch C'!D118</f>
        <v>0</v>
      </c>
      <c r="D122" s="480">
        <f>'[44]Sch C'!F118</f>
        <v>0</v>
      </c>
      <c r="E122" s="480">
        <f>+'[44]Sch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'[44]Sch C'!D119</f>
        <v>0</v>
      </c>
      <c r="D123" s="480">
        <f>'[44]Sch C'!F119</f>
        <v>0</v>
      </c>
      <c r="E123" s="480">
        <f>+'[44]Sch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46660.49</v>
      </c>
      <c r="D124" s="480">
        <f t="shared" si="39"/>
        <v>6793.46</v>
      </c>
      <c r="E124" s="480">
        <f t="shared" si="39"/>
        <v>0</v>
      </c>
      <c r="F124" s="166">
        <f t="shared" ref="F124:I124" si="40">SUM(F119:F123)</f>
        <v>53453.950000000004</v>
      </c>
      <c r="G124" s="166">
        <f t="shared" si="40"/>
        <v>-28</v>
      </c>
      <c r="H124" s="166">
        <f t="shared" si="40"/>
        <v>0</v>
      </c>
      <c r="I124" s="166">
        <f t="shared" si="40"/>
        <v>53425.950000000004</v>
      </c>
      <c r="J124" s="167">
        <f t="shared" si="37"/>
        <v>2.0430913556041617E-2</v>
      </c>
      <c r="K124" s="458"/>
      <c r="L124" s="163"/>
      <c r="M124" s="163"/>
      <c r="O124" s="329">
        <f t="shared" si="38"/>
        <v>3.7494525931644329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 t="s">
        <v>720</v>
      </c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'[44]Sch C'!D124</f>
        <v>22000</v>
      </c>
      <c r="D128" s="480">
        <f>'[44]Sch C'!F124</f>
        <v>0</v>
      </c>
      <c r="E128" s="480">
        <f>+'[44]Sch C'!H124</f>
        <v>0</v>
      </c>
      <c r="F128" s="166">
        <f t="shared" ref="F128:F132" si="41">C128+D128+E128</f>
        <v>22000</v>
      </c>
      <c r="G128" s="626">
        <v>-22000</v>
      </c>
      <c r="H128" s="166"/>
      <c r="I128" s="166">
        <f t="shared" ref="I128:I132" si="42">F128+G128+H128</f>
        <v>0</v>
      </c>
      <c r="J128" s="167">
        <f>IF($I$213=0,0,I128/$I$213)</f>
        <v>0</v>
      </c>
      <c r="K128" s="457" t="s">
        <v>374</v>
      </c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'[44]Sch C'!D125</f>
        <v>94164.64</v>
      </c>
      <c r="D129" s="480">
        <f>'[44]Sch C'!F125</f>
        <v>0</v>
      </c>
      <c r="E129" s="480">
        <f>+'[44]Sch C'!H125</f>
        <v>0</v>
      </c>
      <c r="F129" s="166">
        <f t="shared" si="41"/>
        <v>94164.64</v>
      </c>
      <c r="G129" s="626"/>
      <c r="H129" s="166"/>
      <c r="I129" s="166">
        <f t="shared" si="42"/>
        <v>94164.64</v>
      </c>
      <c r="J129" s="167">
        <f>IF($I$213=0,0,I129/$I$213)</f>
        <v>3.6010021719328877E-2</v>
      </c>
      <c r="K129" s="458"/>
      <c r="L129" s="176">
        <v>2150.15</v>
      </c>
      <c r="M129" s="176">
        <v>2317.69</v>
      </c>
      <c r="O129" s="329">
        <f t="shared" si="43"/>
        <v>6.6085086672748963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'[44]Sch C'!D126</f>
        <v>34552.730000000003</v>
      </c>
      <c r="D130" s="480">
        <f>'[44]Sch C'!F126</f>
        <v>0</v>
      </c>
      <c r="E130" s="480">
        <f>+'[44]Sch C'!H126</f>
        <v>0</v>
      </c>
      <c r="F130" s="166">
        <f t="shared" si="41"/>
        <v>34552.730000000003</v>
      </c>
      <c r="G130" s="626"/>
      <c r="H130" s="166"/>
      <c r="I130" s="166">
        <f t="shared" si="42"/>
        <v>34552.730000000003</v>
      </c>
      <c r="J130" s="167">
        <f>IF($I$213=0,0,I130/$I$213)</f>
        <v>1.3213500925210425E-2</v>
      </c>
      <c r="K130" s="458"/>
      <c r="L130" s="176">
        <v>1330.29</v>
      </c>
      <c r="M130" s="176">
        <v>1406.41</v>
      </c>
      <c r="O130" s="329">
        <f t="shared" si="43"/>
        <v>2.4249231525019304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'[44]Sch C'!D127</f>
        <v>0</v>
      </c>
      <c r="D131" s="480">
        <f>'[44]Sch C'!F127</f>
        <v>0</v>
      </c>
      <c r="E131" s="480">
        <f>+'[44]Sch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'[44]Sch C'!D128</f>
        <v>11901.79</v>
      </c>
      <c r="D132" s="480">
        <f>'[44]Sch C'!F128</f>
        <v>-1360</v>
      </c>
      <c r="E132" s="480">
        <f>+'[44]Sch C'!H128</f>
        <v>0</v>
      </c>
      <c r="F132" s="166">
        <f t="shared" si="41"/>
        <v>10541.79</v>
      </c>
      <c r="G132" s="626"/>
      <c r="H132" s="166"/>
      <c r="I132" s="166">
        <f t="shared" si="42"/>
        <v>10541.79</v>
      </c>
      <c r="J132" s="167">
        <f>IF($I$213=0,0,I132/$I$213)</f>
        <v>4.0313443226736067E-3</v>
      </c>
      <c r="K132" s="458"/>
      <c r="L132" s="176">
        <v>900.28</v>
      </c>
      <c r="M132" s="176">
        <v>930.78</v>
      </c>
      <c r="O132" s="329">
        <f t="shared" si="43"/>
        <v>0.73982665450207041</v>
      </c>
      <c r="P132" s="324">
        <f>SUMMARY!L134</f>
        <v>2.9246178488865282</v>
      </c>
    </row>
    <row r="133" spans="1:16" s="162" customFormat="1" ht="13.9" customHeigh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475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'[44]Sch C'!D130</f>
        <v>0</v>
      </c>
      <c r="D134" s="480">
        <f>'[44]Sch C'!F130</f>
        <v>0</v>
      </c>
      <c r="E134" s="480">
        <f>+'[44]Sch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'[44]Sch C'!D131</f>
        <v>0</v>
      </c>
      <c r="D135" s="480">
        <f>'[44]Sch C'!F131</f>
        <v>28354.1</v>
      </c>
      <c r="E135" s="480">
        <f>+'[44]Sch C'!H131</f>
        <v>0</v>
      </c>
      <c r="F135" s="166">
        <f t="shared" si="44"/>
        <v>28354.1</v>
      </c>
      <c r="G135" s="626">
        <v>-7699</v>
      </c>
      <c r="H135" s="166"/>
      <c r="I135" s="166">
        <f t="shared" si="45"/>
        <v>20655.099999999999</v>
      </c>
      <c r="J135" s="167">
        <f>IF($I$213=0,0,I135/$I$213)</f>
        <v>7.8988312344730454E-3</v>
      </c>
      <c r="K135" s="458"/>
      <c r="L135" s="196"/>
      <c r="M135" s="196"/>
      <c r="O135" s="329">
        <f t="shared" si="43"/>
        <v>1.4495824268369708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'[44]Sch C'!D132</f>
        <v>0</v>
      </c>
      <c r="D136" s="480">
        <f>'[44]Sch C'!F132</f>
        <v>0</v>
      </c>
      <c r="E136" s="480">
        <f>+'[44]Sch C'!H132</f>
        <v>0</v>
      </c>
      <c r="F136" s="166">
        <f t="shared" si="44"/>
        <v>0</v>
      </c>
      <c r="G136" s="626">
        <v>7579</v>
      </c>
      <c r="H136" s="166"/>
      <c r="I136" s="166">
        <f t="shared" si="45"/>
        <v>7579</v>
      </c>
      <c r="J136" s="167">
        <f>IF($I$213=0,0,I136/$I$213)</f>
        <v>2.8983273828774108E-3</v>
      </c>
      <c r="K136" s="458"/>
      <c r="L136" s="163"/>
      <c r="M136" s="163"/>
      <c r="O136" s="329">
        <f t="shared" si="43"/>
        <v>0.53189697522633173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'[44]Sch C'!D133</f>
        <v>0</v>
      </c>
      <c r="D137" s="480">
        <f>'[44]Sch C'!F133</f>
        <v>0</v>
      </c>
      <c r="E137" s="480">
        <f>+'[44]Sch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'[44]Sch C'!D134</f>
        <v>0</v>
      </c>
      <c r="D138" s="480">
        <f>'[44]Sch C'!F134</f>
        <v>2621.78</v>
      </c>
      <c r="E138" s="480">
        <f>+'[44]Sch C'!H134</f>
        <v>0</v>
      </c>
      <c r="F138" s="166">
        <f t="shared" si="44"/>
        <v>2621.78</v>
      </c>
      <c r="G138" s="626">
        <v>-310</v>
      </c>
      <c r="H138" s="166"/>
      <c r="I138" s="166">
        <f t="shared" si="45"/>
        <v>2311.7800000000002</v>
      </c>
      <c r="J138" s="167">
        <f>IF($I$213=0,0,I138/$I$213)</f>
        <v>8.8406059865263776E-4</v>
      </c>
      <c r="K138" s="458"/>
      <c r="L138" s="163"/>
      <c r="M138" s="163"/>
      <c r="O138" s="329">
        <f t="shared" si="43"/>
        <v>0.16224156081128502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'[44]Sch C'!D136</f>
        <v>106021.58</v>
      </c>
      <c r="D140" s="480">
        <f>'[44]Sch C'!F136</f>
        <v>0</v>
      </c>
      <c r="E140" s="480">
        <f>+'[44]Sch C'!H136</f>
        <v>0</v>
      </c>
      <c r="F140" s="166">
        <f t="shared" ref="F140:F143" si="46">C140+D140+E140</f>
        <v>106021.58</v>
      </c>
      <c r="G140" s="626"/>
      <c r="H140" s="166"/>
      <c r="I140" s="166">
        <f t="shared" ref="I140:I143" si="47">F140+G140+H140</f>
        <v>106021.58</v>
      </c>
      <c r="J140" s="167">
        <f>IF($I$213=0,0,I140/$I$213)</f>
        <v>4.0544299840338839E-2</v>
      </c>
      <c r="K140" s="458"/>
      <c r="L140" s="176">
        <v>4094.05</v>
      </c>
      <c r="M140" s="176">
        <v>4498.24</v>
      </c>
      <c r="O140" s="329">
        <f t="shared" si="43"/>
        <v>7.4406330268790795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'[44]Sch C'!D137</f>
        <v>191536.16</v>
      </c>
      <c r="D141" s="480">
        <f>'[44]Sch C'!F137</f>
        <v>0</v>
      </c>
      <c r="E141" s="480">
        <f>+'[44]Sch C'!H137</f>
        <v>0</v>
      </c>
      <c r="F141" s="166">
        <f t="shared" si="46"/>
        <v>191536.16</v>
      </c>
      <c r="G141" s="626"/>
      <c r="H141" s="166"/>
      <c r="I141" s="166">
        <f t="shared" si="47"/>
        <v>191536.16</v>
      </c>
      <c r="J141" s="167">
        <f>IF($I$213=0,0,I141/$I$213)</f>
        <v>7.3246404187780584E-2</v>
      </c>
      <c r="K141" s="458"/>
      <c r="L141" s="176">
        <v>10079.69</v>
      </c>
      <c r="M141" s="176">
        <v>10734.41</v>
      </c>
      <c r="O141" s="329">
        <f t="shared" si="43"/>
        <v>13.442077338760615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'[44]Sch C'!D138</f>
        <v>349482.22000000003</v>
      </c>
      <c r="D142" s="480">
        <f>'[44]Sch C'!F138</f>
        <v>0</v>
      </c>
      <c r="E142" s="480">
        <f>+'[44]Sch C'!H138</f>
        <v>0</v>
      </c>
      <c r="F142" s="166">
        <f t="shared" si="46"/>
        <v>349482.22000000003</v>
      </c>
      <c r="G142" s="626"/>
      <c r="H142" s="166"/>
      <c r="I142" s="166">
        <f t="shared" si="47"/>
        <v>349482.22000000003</v>
      </c>
      <c r="J142" s="167">
        <f>IF($I$213=0,0,I142/$I$213)</f>
        <v>0.13364743212228364</v>
      </c>
      <c r="K142" s="458"/>
      <c r="L142" s="176">
        <v>44881.15</v>
      </c>
      <c r="M142" s="176">
        <v>47370.3</v>
      </c>
      <c r="O142" s="329">
        <f t="shared" si="43"/>
        <v>24.52678924836831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'[44]Sch C'!D139</f>
        <v>7488.04</v>
      </c>
      <c r="D143" s="480">
        <f>'[44]Sch C'!F139</f>
        <v>0</v>
      </c>
      <c r="E143" s="480">
        <f>+'[44]Sch C'!H139</f>
        <v>0</v>
      </c>
      <c r="F143" s="166">
        <f t="shared" si="46"/>
        <v>7488.04</v>
      </c>
      <c r="G143" s="626"/>
      <c r="H143" s="166"/>
      <c r="I143" s="166">
        <f t="shared" si="47"/>
        <v>7488.04</v>
      </c>
      <c r="J143" s="167">
        <f>IF($I$213=0,0,I143/$I$213)</f>
        <v>2.8635428652963937E-3</v>
      </c>
      <c r="K143" s="458"/>
      <c r="L143" s="176">
        <v>563.36</v>
      </c>
      <c r="M143" s="176">
        <v>667.36</v>
      </c>
      <c r="O143" s="329">
        <f t="shared" si="43"/>
        <v>0.5255133693592533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'[44]Sch C'!D141</f>
        <v>0</v>
      </c>
      <c r="D145" s="480">
        <f>'[44]Sch C'!F141</f>
        <v>23354.61</v>
      </c>
      <c r="E145" s="480">
        <f>+'[44]Sch C'!H141</f>
        <v>0</v>
      </c>
      <c r="F145" s="166">
        <f t="shared" ref="F145:F148" si="48">C145+D145+E145</f>
        <v>23354.61</v>
      </c>
      <c r="G145" s="626">
        <v>-99</v>
      </c>
      <c r="H145" s="166"/>
      <c r="I145" s="166">
        <f t="shared" ref="I145:I148" si="49">F145+G145+H145</f>
        <v>23255.61</v>
      </c>
      <c r="J145" s="167">
        <f>IF($I$213=0,0,I145/$I$213)</f>
        <v>8.8933066721886469E-3</v>
      </c>
      <c r="K145" s="458"/>
      <c r="L145" s="163"/>
      <c r="M145" s="163"/>
      <c r="O145" s="329">
        <f t="shared" si="43"/>
        <v>1.6320871640115096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'[44]Sch C'!D142</f>
        <v>0</v>
      </c>
      <c r="D146" s="480">
        <f>'[44]Sch C'!F142</f>
        <v>42191.7</v>
      </c>
      <c r="E146" s="480">
        <f>+'[44]Sch C'!H142</f>
        <v>0</v>
      </c>
      <c r="F146" s="166">
        <f t="shared" si="48"/>
        <v>42191.7</v>
      </c>
      <c r="G146" s="626">
        <v>-178</v>
      </c>
      <c r="H146" s="166"/>
      <c r="I146" s="166">
        <f t="shared" si="49"/>
        <v>42013.7</v>
      </c>
      <c r="J146" s="167">
        <f>IF($I$213=0,0,I146/$I$213)</f>
        <v>1.6066691801820382E-2</v>
      </c>
      <c r="K146" s="458"/>
      <c r="L146" s="163"/>
      <c r="M146" s="163"/>
      <c r="O146" s="329">
        <f t="shared" si="43"/>
        <v>2.9485367394203101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'[44]Sch C'!D143</f>
        <v>0</v>
      </c>
      <c r="D147" s="480">
        <f>'[44]Sch C'!F143</f>
        <v>76984.179999999993</v>
      </c>
      <c r="E147" s="480">
        <f>+'[44]Sch C'!H143</f>
        <v>0</v>
      </c>
      <c r="F147" s="166">
        <f t="shared" si="48"/>
        <v>76984.179999999993</v>
      </c>
      <c r="G147" s="626">
        <v>-324</v>
      </c>
      <c r="H147" s="166"/>
      <c r="I147" s="166">
        <f t="shared" si="49"/>
        <v>76660.179999999993</v>
      </c>
      <c r="J147" s="167">
        <f>IF($I$213=0,0,I147/$I$213)</f>
        <v>2.9316044183970342E-2</v>
      </c>
      <c r="K147" s="458"/>
      <c r="L147" s="163"/>
      <c r="M147" s="163"/>
      <c r="O147" s="329">
        <f t="shared" si="43"/>
        <v>5.3800393010035785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'[44]Sch C'!D144</f>
        <v>0</v>
      </c>
      <c r="D148" s="480">
        <f>'[44]Sch C'!F144</f>
        <v>1649.46</v>
      </c>
      <c r="E148" s="480">
        <f>+'[44]Sch C'!H144</f>
        <v>0</v>
      </c>
      <c r="F148" s="166">
        <f t="shared" si="48"/>
        <v>1649.46</v>
      </c>
      <c r="G148" s="626">
        <v>-6</v>
      </c>
      <c r="H148" s="166"/>
      <c r="I148" s="166">
        <f t="shared" si="49"/>
        <v>1643.46</v>
      </c>
      <c r="J148" s="167">
        <f>IF($I$213=0,0,I148/$I$213)</f>
        <v>6.2848464449976379E-4</v>
      </c>
      <c r="K148" s="458"/>
      <c r="L148" s="163"/>
      <c r="M148" s="163"/>
      <c r="O148" s="329">
        <f t="shared" si="43"/>
        <v>0.11533862025405292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'[44]Sch C'!D146</f>
        <v>0</v>
      </c>
      <c r="D150" s="480">
        <f>'[44]Sch C'!F146</f>
        <v>0</v>
      </c>
      <c r="E150" s="480">
        <f>+'[44]Sch C'!H146</f>
        <v>0</v>
      </c>
      <c r="F150" s="166">
        <f t="shared" ref="F150:F158" si="50">C150+D150+E150</f>
        <v>0</v>
      </c>
      <c r="G150" s="626">
        <v>22000</v>
      </c>
      <c r="H150" s="166"/>
      <c r="I150" s="166">
        <f t="shared" ref="I150:I158" si="51">F150+G150+H150</f>
        <v>22000</v>
      </c>
      <c r="J150" s="167">
        <f t="shared" ref="J150:J158" si="52">IF($I$213=0,0,I150/$I$213)</f>
        <v>8.4131418951448791E-3</v>
      </c>
      <c r="K150" s="457" t="s">
        <v>374</v>
      </c>
      <c r="L150" s="176">
        <v>0</v>
      </c>
      <c r="M150" s="176">
        <v>0</v>
      </c>
      <c r="O150" s="329">
        <f t="shared" si="43"/>
        <v>1.5439679977542284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'[44]Sch C'!D147</f>
        <v>0</v>
      </c>
      <c r="D151" s="480">
        <f>'[44]Sch C'!F147</f>
        <v>0</v>
      </c>
      <c r="E151" s="480">
        <f>+'[44]Sch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'[44]Sch C'!D148</f>
        <v>0</v>
      </c>
      <c r="D152" s="480">
        <f>'[44]Sch C'!F148</f>
        <v>0</v>
      </c>
      <c r="E152" s="480">
        <f>+'[44]Sch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'[44]Sch C'!D149</f>
        <v>0</v>
      </c>
      <c r="D153" s="480">
        <f>'[44]Sch C'!F149</f>
        <v>0</v>
      </c>
      <c r="E153" s="480">
        <f>+'[44]Sch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'[44]Sch C'!D150</f>
        <v>9866.1699999999983</v>
      </c>
      <c r="D154" s="480">
        <f>'[44]Sch C'!F150</f>
        <v>0</v>
      </c>
      <c r="E154" s="480">
        <f>+'[44]Sch C'!H150</f>
        <v>0</v>
      </c>
      <c r="F154" s="166">
        <f t="shared" si="50"/>
        <v>9866.1699999999983</v>
      </c>
      <c r="G154" s="626"/>
      <c r="H154" s="166"/>
      <c r="I154" s="166">
        <f t="shared" si="51"/>
        <v>9866.1699999999983</v>
      </c>
      <c r="J154" s="167">
        <f t="shared" si="52"/>
        <v>3.7729767350737063E-3</v>
      </c>
      <c r="K154" s="458"/>
      <c r="L154" s="176">
        <v>0</v>
      </c>
      <c r="M154" s="176">
        <v>0</v>
      </c>
      <c r="O154" s="329">
        <f t="shared" si="43"/>
        <v>0.69241139729103784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'[44]Sch C'!D151</f>
        <v>61181.909999999996</v>
      </c>
      <c r="D155" s="480">
        <f>'[44]Sch C'!F151</f>
        <v>0</v>
      </c>
      <c r="E155" s="480">
        <f>+'[44]Sch C'!H151</f>
        <v>0</v>
      </c>
      <c r="F155" s="166">
        <f t="shared" si="50"/>
        <v>61181.909999999996</v>
      </c>
      <c r="G155" s="626"/>
      <c r="H155" s="166"/>
      <c r="I155" s="166">
        <f t="shared" si="51"/>
        <v>61181.909999999996</v>
      </c>
      <c r="J155" s="167">
        <f t="shared" si="52"/>
        <v>2.3396913192999247E-2</v>
      </c>
      <c r="K155" s="458"/>
      <c r="L155" s="163"/>
      <c r="M155" s="163"/>
      <c r="O155" s="329">
        <f t="shared" si="43"/>
        <v>4.2937686855217905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'[44]Sch C'!D152</f>
        <v>0</v>
      </c>
      <c r="D156" s="480">
        <f>'[44]Sch C'!F152</f>
        <v>0</v>
      </c>
      <c r="E156" s="480">
        <f>+'[44]Sch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'[44]Sch C'!D153</f>
        <v>0</v>
      </c>
      <c r="D157" s="480">
        <f>'[44]Sch C'!F153</f>
        <v>0</v>
      </c>
      <c r="E157" s="480">
        <f>+'[44]Sch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'[44]Sch C'!D154</f>
        <v>0</v>
      </c>
      <c r="D158" s="480">
        <f>'[44]Sch C'!F154</f>
        <v>0</v>
      </c>
      <c r="E158" s="480">
        <f>+'[44]Sch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'[44]Sch C'!D156</f>
        <v>0</v>
      </c>
      <c r="D160" s="480">
        <f>'[44]Sch C'!F156</f>
        <v>0</v>
      </c>
      <c r="E160" s="480">
        <f>+'[44]Sch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'[44]Sch C'!D157</f>
        <v>0</v>
      </c>
      <c r="D161" s="480">
        <f>'[44]Sch C'!F157</f>
        <v>0</v>
      </c>
      <c r="E161" s="480">
        <f>+'[44]Sch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'[44]Sch C'!D158</f>
        <v>0</v>
      </c>
      <c r="D162" s="480">
        <f>'[44]Sch C'!F158</f>
        <v>0</v>
      </c>
      <c r="E162" s="480">
        <f>+'[44]Sch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'[44]Sch C'!D159</f>
        <v>0</v>
      </c>
      <c r="D163" s="480">
        <f>'[44]Sch C'!F159</f>
        <v>0</v>
      </c>
      <c r="E163" s="480">
        <f>+'[44]Sch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'[44]Sch C'!D160</f>
        <v>0</v>
      </c>
      <c r="D164" s="480">
        <f>'[44]Sch C'!F160</f>
        <v>0</v>
      </c>
      <c r="E164" s="480">
        <f>+'[44]Sch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'[44]Sch C'!D161</f>
        <v>4201.84</v>
      </c>
      <c r="D165" s="480">
        <f>'[44]Sch C'!F161</f>
        <v>0</v>
      </c>
      <c r="E165" s="480">
        <f>+'[44]Sch C'!H161</f>
        <v>0</v>
      </c>
      <c r="F165" s="166">
        <f t="shared" si="53"/>
        <v>4201.84</v>
      </c>
      <c r="G165" s="626">
        <v>-702</v>
      </c>
      <c r="H165" s="166"/>
      <c r="I165" s="166">
        <f t="shared" si="54"/>
        <v>3499.84</v>
      </c>
      <c r="J165" s="167">
        <f t="shared" si="55"/>
        <v>1.3383932059229026E-3</v>
      </c>
      <c r="K165" s="458"/>
      <c r="L165" s="163"/>
      <c r="M165" s="163"/>
      <c r="O165" s="329">
        <f t="shared" si="43"/>
        <v>0.2456200435118254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892397.08000000019</v>
      </c>
      <c r="D166" s="480">
        <f t="shared" si="56"/>
        <v>173795.83</v>
      </c>
      <c r="E166" s="480">
        <f t="shared" si="56"/>
        <v>0</v>
      </c>
      <c r="F166" s="166">
        <f t="shared" ref="F166:I166" si="57">SUM(F128:F165)</f>
        <v>1066192.9100000001</v>
      </c>
      <c r="G166" s="166">
        <f t="shared" si="57"/>
        <v>-1739</v>
      </c>
      <c r="H166" s="166">
        <f t="shared" si="57"/>
        <v>0</v>
      </c>
      <c r="I166" s="166">
        <f t="shared" si="57"/>
        <v>1064453.9100000001</v>
      </c>
      <c r="J166" s="167">
        <f t="shared" si="55"/>
        <v>0.40706371753053538</v>
      </c>
      <c r="K166" s="458"/>
      <c r="L166" s="163"/>
      <c r="M166" s="163"/>
      <c r="O166" s="329">
        <f>I166/I$233</f>
        <v>74.70376236928908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'[44]Sch C'!D175</f>
        <v>0</v>
      </c>
      <c r="D169" s="480">
        <f>'[44]Sch C'!F175</f>
        <v>0</v>
      </c>
      <c r="E169" s="480">
        <f>+'[44]Sch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'[44]Sch C'!D176</f>
        <v>0</v>
      </c>
      <c r="D170" s="480">
        <f>'[44]Sch C'!F176</f>
        <v>0</v>
      </c>
      <c r="E170" s="480">
        <f>+'[44]Sch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'[44]Sch C'!D177</f>
        <v>0</v>
      </c>
      <c r="D171" s="480">
        <f>'[44]Sch C'!F177</f>
        <v>0</v>
      </c>
      <c r="E171" s="480">
        <f>+'[44]Sch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'[44]Sch C'!D178</f>
        <v>0</v>
      </c>
      <c r="D172" s="480">
        <f>'[44]Sch C'!F178</f>
        <v>0</v>
      </c>
      <c r="E172" s="480">
        <f>+'[44]Sch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'[44]Sch C'!D179</f>
        <v>0</v>
      </c>
      <c r="D173" s="480">
        <f>'[44]Sch C'!F179</f>
        <v>0</v>
      </c>
      <c r="E173" s="480">
        <f>+'[44]Sch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'[44]Sch C'!D180</f>
        <v>0</v>
      </c>
      <c r="D174" s="480">
        <f>'[44]Sch C'!F180</f>
        <v>0</v>
      </c>
      <c r="E174" s="480">
        <f>+'[44]Sch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'[44]Sch C'!D181</f>
        <v>0</v>
      </c>
      <c r="D175" s="480">
        <f>'[44]Sch C'!F181</f>
        <v>0</v>
      </c>
      <c r="E175" s="480">
        <f>+'[44]Sch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'[44]Sch C'!D182</f>
        <v>0</v>
      </c>
      <c r="D176" s="480">
        <f>'[44]Sch C'!F182</f>
        <v>0</v>
      </c>
      <c r="E176" s="480">
        <f>+'[44]Sch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'[44]Sch C'!D183</f>
        <v>0</v>
      </c>
      <c r="D177" s="480">
        <f>'[44]Sch C'!F183</f>
        <v>0</v>
      </c>
      <c r="E177" s="480">
        <f>+'[44]Sch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'[44]Sch C'!D184</f>
        <v>0</v>
      </c>
      <c r="D178" s="480">
        <f>'[44]Sch C'!F184</f>
        <v>0</v>
      </c>
      <c r="E178" s="480">
        <f>+'[44]Sch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'[44]Sch C'!D185</f>
        <v>0</v>
      </c>
      <c r="D179" s="480">
        <f>'[44]Sch C'!F185</f>
        <v>0</v>
      </c>
      <c r="E179" s="480">
        <f>+'[44]Sch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'[44]Sch C'!D186</f>
        <v>0</v>
      </c>
      <c r="D180" s="480">
        <f>'[44]Sch C'!F186</f>
        <v>0</v>
      </c>
      <c r="E180" s="480">
        <f>+'[44]Sch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'[44]Sch C'!D187</f>
        <v>0</v>
      </c>
      <c r="D181" s="480">
        <f>'[44]Sch C'!F187</f>
        <v>0</v>
      </c>
      <c r="E181" s="480">
        <f>+'[44]Sch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'[44]Sch C'!D188</f>
        <v>0</v>
      </c>
      <c r="D182" s="480">
        <f>'[44]Sch C'!F188</f>
        <v>0</v>
      </c>
      <c r="E182" s="480">
        <f>+'[44]Sch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'[44]Sch C'!D189</f>
        <v>0</v>
      </c>
      <c r="D183" s="480">
        <f>'[44]Sch C'!F189</f>
        <v>0</v>
      </c>
      <c r="E183" s="480">
        <f>+'[44]Sch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'[44]Sch C'!D190</f>
        <v>0</v>
      </c>
      <c r="D184" s="480">
        <f>'[44]Sch C'!F190</f>
        <v>0</v>
      </c>
      <c r="E184" s="480">
        <f>+'[44]Sch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'[44]Sch C'!D191</f>
        <v>0.4</v>
      </c>
      <c r="D185" s="480">
        <f>'[44]Sch C'!F191</f>
        <v>0</v>
      </c>
      <c r="E185" s="480">
        <f>+'[44]Sch C'!H191</f>
        <v>0</v>
      </c>
      <c r="F185" s="166">
        <f t="shared" si="58"/>
        <v>0.4</v>
      </c>
      <c r="G185" s="626"/>
      <c r="H185" s="166"/>
      <c r="I185" s="166">
        <f t="shared" si="59"/>
        <v>0.4</v>
      </c>
      <c r="J185" s="167">
        <f t="shared" si="60"/>
        <v>1.5296621627536145E-7</v>
      </c>
      <c r="K185" s="458"/>
      <c r="L185" s="213"/>
      <c r="M185" s="208"/>
      <c r="N185" s="210"/>
      <c r="O185" s="329">
        <f t="shared" si="61"/>
        <v>2.8072145413713245E-5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'[44]Sch C'!D192</f>
        <v>0</v>
      </c>
      <c r="D186" s="480">
        <f>'[44]Sch C'!F192</f>
        <v>0</v>
      </c>
      <c r="E186" s="480">
        <f>+'[44]Sch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'[44]Sch C'!D193</f>
        <v>0</v>
      </c>
      <c r="D187" s="480">
        <f>'[44]Sch C'!F193</f>
        <v>0</v>
      </c>
      <c r="E187" s="480">
        <f>+'[44]Sch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'[44]Sch C'!D194</f>
        <v>59057.85</v>
      </c>
      <c r="D188" s="480">
        <f>'[44]Sch C'!F194</f>
        <v>0</v>
      </c>
      <c r="E188" s="480">
        <f>+'[44]Sch C'!H194</f>
        <v>0</v>
      </c>
      <c r="F188" s="166">
        <f t="shared" si="58"/>
        <v>59057.85</v>
      </c>
      <c r="G188" s="626"/>
      <c r="H188" s="166"/>
      <c r="I188" s="166">
        <f t="shared" si="59"/>
        <v>59057.85</v>
      </c>
      <c r="J188" s="167">
        <f t="shared" si="60"/>
        <v>2.2584639639644636E-2</v>
      </c>
      <c r="K188" s="458"/>
      <c r="L188" s="213"/>
      <c r="M188" s="208"/>
      <c r="O188" s="329">
        <f t="shared" si="61"/>
        <v>4.1447013825531611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'[44]Sch C'!D195</f>
        <v>0</v>
      </c>
      <c r="D189" s="480">
        <f>'[44]Sch C'!F195</f>
        <v>0</v>
      </c>
      <c r="E189" s="480">
        <f>+'[44]Sch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'[44]Sch C'!D196</f>
        <v>0</v>
      </c>
      <c r="D190" s="480">
        <f>'[44]Sch C'!F196</f>
        <v>0</v>
      </c>
      <c r="E190" s="480">
        <f>+'[44]Sch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'[44]Sch C'!D197</f>
        <v>52473.85</v>
      </c>
      <c r="D191" s="480">
        <f>'[44]Sch C'!F197</f>
        <v>0</v>
      </c>
      <c r="E191" s="480">
        <f>+'[44]Sch C'!H197</f>
        <v>0</v>
      </c>
      <c r="F191" s="166">
        <f t="shared" si="58"/>
        <v>52473.85</v>
      </c>
      <c r="G191" s="626"/>
      <c r="H191" s="166"/>
      <c r="I191" s="166">
        <f t="shared" si="59"/>
        <v>52473.85</v>
      </c>
      <c r="J191" s="167">
        <f t="shared" si="60"/>
        <v>2.0066815719752187E-2</v>
      </c>
      <c r="K191" s="458"/>
      <c r="L191" s="213"/>
      <c r="M191" s="208"/>
      <c r="O191" s="329">
        <f t="shared" si="61"/>
        <v>3.6826338690434417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'[44]Sch C'!D198</f>
        <v>8227</v>
      </c>
      <c r="D192" s="480">
        <f>'[44]Sch C'!F198</f>
        <v>0</v>
      </c>
      <c r="E192" s="480">
        <f>+'[44]Sch C'!H198</f>
        <v>-3846</v>
      </c>
      <c r="F192" s="166">
        <f t="shared" si="58"/>
        <v>4381</v>
      </c>
      <c r="G192" s="626"/>
      <c r="H192" s="166"/>
      <c r="I192" s="166">
        <f t="shared" si="59"/>
        <v>4381</v>
      </c>
      <c r="J192" s="167">
        <f t="shared" si="60"/>
        <v>1.6753624837558961E-3</v>
      </c>
      <c r="K192" s="458"/>
      <c r="L192" s="213"/>
      <c r="M192" s="208"/>
      <c r="O192" s="329">
        <f t="shared" si="61"/>
        <v>0.3074601726436943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'[44]Sch C'!D199</f>
        <v>0</v>
      </c>
      <c r="D193" s="480">
        <f>'[44]Sch C'!F199</f>
        <v>0</v>
      </c>
      <c r="E193" s="480">
        <f>+'[44]Sch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'[44]Sch C'!D200</f>
        <v>0</v>
      </c>
      <c r="D194" s="480">
        <f>'[44]Sch C'!F200</f>
        <v>0</v>
      </c>
      <c r="E194" s="480">
        <f>+'[44]Sch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'[44]Sch C'!D201</f>
        <v>0</v>
      </c>
      <c r="D195" s="480">
        <f>'[44]Sch C'!F201</f>
        <v>0</v>
      </c>
      <c r="E195" s="480">
        <f>+'[44]Sch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'[44]Sch C'!D202</f>
        <v>0</v>
      </c>
      <c r="D196" s="480">
        <f>'[44]Sch C'!F202</f>
        <v>0</v>
      </c>
      <c r="E196" s="480">
        <f>+'[44]Sch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'[44]Sch C'!D203</f>
        <v>0</v>
      </c>
      <c r="D197" s="480">
        <f>'[44]Sch C'!F203</f>
        <v>0</v>
      </c>
      <c r="E197" s="480">
        <f>+'[44]Sch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'[44]Sch C'!D204</f>
        <v>0</v>
      </c>
      <c r="D198" s="480">
        <f>'[44]Sch C'!F204</f>
        <v>0</v>
      </c>
      <c r="E198" s="480">
        <f>+'[44]Sch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'[44]Sch C'!D205</f>
        <v>43697.85</v>
      </c>
      <c r="D199" s="480">
        <f>'[44]Sch C'!F205</f>
        <v>0</v>
      </c>
      <c r="E199" s="480">
        <f>+'[44]Sch C'!H205</f>
        <v>-4179.49</v>
      </c>
      <c r="F199" s="166">
        <f t="shared" si="58"/>
        <v>39518.36</v>
      </c>
      <c r="G199" s="626"/>
      <c r="H199" s="166"/>
      <c r="I199" s="166">
        <f t="shared" si="59"/>
        <v>39518.36</v>
      </c>
      <c r="J199" s="167">
        <f t="shared" si="60"/>
        <v>1.5112435006518982E-2</v>
      </c>
      <c r="K199" s="458"/>
      <c r="L199" s="213"/>
      <c r="M199" s="208"/>
      <c r="O199" s="329">
        <f t="shared" si="61"/>
        <v>2.7734128710786723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'[44]Sch C'!D206</f>
        <v>6701.06</v>
      </c>
      <c r="D200" s="480">
        <f>'[44]Sch C'!F206</f>
        <v>0</v>
      </c>
      <c r="E200" s="480">
        <f>+'[44]Sch C'!H206</f>
        <v>0</v>
      </c>
      <c r="F200" s="166">
        <f t="shared" si="58"/>
        <v>6701.06</v>
      </c>
      <c r="G200" s="626"/>
      <c r="H200" s="166"/>
      <c r="I200" s="166">
        <f t="shared" si="59"/>
        <v>6701.06</v>
      </c>
      <c r="J200" s="167">
        <f t="shared" si="60"/>
        <v>2.5625894830854342E-3</v>
      </c>
      <c r="K200" s="458"/>
      <c r="L200" s="213"/>
      <c r="M200" s="208"/>
      <c r="O200" s="329">
        <f t="shared" si="61"/>
        <v>0.47028282686504319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'[44]Sch C'!D207</f>
        <v>182988.90000000002</v>
      </c>
      <c r="D201" s="480">
        <f>'[44]Sch C'!F207</f>
        <v>-182104.88</v>
      </c>
      <c r="E201" s="480">
        <f>+'[44]Sch C'!H207</f>
        <v>0</v>
      </c>
      <c r="F201" s="166">
        <f t="shared" si="58"/>
        <v>884.02000000001863</v>
      </c>
      <c r="G201" s="626"/>
      <c r="H201" s="166"/>
      <c r="I201" s="166">
        <f t="shared" si="59"/>
        <v>884.02000000001863</v>
      </c>
      <c r="J201" s="167">
        <f t="shared" si="60"/>
        <v>3.3806298627936967E-4</v>
      </c>
      <c r="K201" s="458"/>
      <c r="L201" s="213"/>
      <c r="M201" s="208"/>
      <c r="O201" s="329">
        <f t="shared" si="61"/>
        <v>6.204084497157826E-2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353146.91000000003</v>
      </c>
      <c r="D202" s="480">
        <f t="shared" si="62"/>
        <v>-182104.88</v>
      </c>
      <c r="E202" s="480">
        <f t="shared" si="62"/>
        <v>-8025.49</v>
      </c>
      <c r="F202" s="166">
        <f t="shared" ref="F202:I202" si="63">SUM(F169:F201)</f>
        <v>163016.54000000004</v>
      </c>
      <c r="G202" s="166">
        <f t="shared" si="63"/>
        <v>0</v>
      </c>
      <c r="H202" s="166">
        <f t="shared" si="63"/>
        <v>0</v>
      </c>
      <c r="I202" s="166">
        <f t="shared" si="63"/>
        <v>163016.54000000004</v>
      </c>
      <c r="J202" s="167">
        <f>IF($I$213=0,0,I202/$I$213)</f>
        <v>6.234005828525279E-2</v>
      </c>
      <c r="K202" s="458"/>
      <c r="L202" s="163"/>
      <c r="M202" s="163"/>
      <c r="O202" s="329">
        <f>I202/I$233</f>
        <v>11.440560039301007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'[44]Sch C'!D211</f>
        <v>50381.520000000004</v>
      </c>
      <c r="D205" s="480">
        <f>'[44]Sch C'!F211</f>
        <v>0</v>
      </c>
      <c r="E205" s="480">
        <f>+'[44]Sch C'!H211</f>
        <v>0</v>
      </c>
      <c r="F205" s="166">
        <f t="shared" ref="F205:F210" si="64">C205+D205+E205</f>
        <v>50381.520000000004</v>
      </c>
      <c r="G205" s="626"/>
      <c r="H205" s="166"/>
      <c r="I205" s="166">
        <f t="shared" ref="I205:I210" si="65">F205+G205+H205</f>
        <v>50381.520000000004</v>
      </c>
      <c r="J205" s="167">
        <f t="shared" ref="J205:J211" si="66">IF($I$213=0,0,I205/$I$213)</f>
        <v>1.9266676211503624E-2</v>
      </c>
      <c r="K205" s="458"/>
      <c r="L205" s="176">
        <v>3673.3</v>
      </c>
      <c r="M205" s="176">
        <v>4104.57</v>
      </c>
      <c r="O205" s="329">
        <f t="shared" ref="O205:O210" si="67">I205/I$233</f>
        <v>3.5357933890097555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'[44]Sch C'!D212</f>
        <v>0</v>
      </c>
      <c r="D206" s="480">
        <f>'[44]Sch C'!F212</f>
        <v>11098</v>
      </c>
      <c r="E206" s="480">
        <f>+'[44]Sch C'!H212</f>
        <v>0</v>
      </c>
      <c r="F206" s="166">
        <f t="shared" si="64"/>
        <v>11098</v>
      </c>
      <c r="G206" s="626">
        <v>-47</v>
      </c>
      <c r="H206" s="166"/>
      <c r="I206" s="166">
        <f t="shared" si="65"/>
        <v>11051</v>
      </c>
      <c r="J206" s="167">
        <f t="shared" si="66"/>
        <v>4.2260741401475479E-3</v>
      </c>
      <c r="K206" s="458"/>
      <c r="L206" s="163"/>
      <c r="M206" s="163"/>
      <c r="O206" s="329">
        <f t="shared" si="67"/>
        <v>0.77556319741736257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'[44]Sch C'!D213</f>
        <v>23473.989999999998</v>
      </c>
      <c r="D207" s="480">
        <f>'[44]Sch C'!F213</f>
        <v>0</v>
      </c>
      <c r="E207" s="480">
        <f>+'[44]Sch C'!H213</f>
        <v>0</v>
      </c>
      <c r="F207" s="166">
        <f t="shared" si="64"/>
        <v>23473.989999999998</v>
      </c>
      <c r="G207" s="626">
        <v>-10269</v>
      </c>
      <c r="H207" s="166"/>
      <c r="I207" s="166">
        <f t="shared" si="65"/>
        <v>13204.989999999998</v>
      </c>
      <c r="J207" s="167">
        <f t="shared" si="66"/>
        <v>5.0497933906349622E-3</v>
      </c>
      <c r="K207" s="458"/>
      <c r="L207" s="163"/>
      <c r="M207" s="163"/>
      <c r="O207" s="329">
        <f t="shared" si="67"/>
        <v>0.92673099866657294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'[44]Sch C'!D214</f>
        <v>0</v>
      </c>
      <c r="D208" s="480">
        <f>'[44]Sch C'!F214</f>
        <v>0</v>
      </c>
      <c r="E208" s="480">
        <f>+'[44]Sch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'[44]Sch C'!D215</f>
        <v>0</v>
      </c>
      <c r="D209" s="480">
        <f>'[44]Sch C'!F215</f>
        <v>0</v>
      </c>
      <c r="E209" s="480">
        <f>+'[44]Sch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'[44]Sch C'!D216</f>
        <v>5851.55</v>
      </c>
      <c r="D210" s="480">
        <f>'[44]Sch C'!F216</f>
        <v>0</v>
      </c>
      <c r="E210" s="480">
        <f>+'[44]Sch C'!H216</f>
        <v>0</v>
      </c>
      <c r="F210" s="166">
        <f t="shared" si="64"/>
        <v>5851.55</v>
      </c>
      <c r="G210" s="626"/>
      <c r="H210" s="166"/>
      <c r="I210" s="166">
        <f t="shared" si="65"/>
        <v>5851.55</v>
      </c>
      <c r="J210" s="167">
        <f t="shared" si="66"/>
        <v>2.2377236571152282E-3</v>
      </c>
      <c r="K210" s="458"/>
      <c r="L210" s="163"/>
      <c r="M210" s="163"/>
      <c r="O210" s="329">
        <f t="shared" si="67"/>
        <v>0.41066390623903432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79707.060000000012</v>
      </c>
      <c r="D211" s="480">
        <f t="shared" si="68"/>
        <v>11098</v>
      </c>
      <c r="E211" s="480">
        <f t="shared" si="68"/>
        <v>0</v>
      </c>
      <c r="F211" s="166">
        <f t="shared" ref="F211:I211" si="69">SUM(F205:F210)</f>
        <v>90805.060000000012</v>
      </c>
      <c r="G211" s="166">
        <f t="shared" si="69"/>
        <v>-10316</v>
      </c>
      <c r="H211" s="166">
        <f t="shared" si="69"/>
        <v>0</v>
      </c>
      <c r="I211" s="166">
        <f t="shared" si="69"/>
        <v>80489.060000000012</v>
      </c>
      <c r="J211" s="167">
        <f t="shared" si="66"/>
        <v>3.0780267399401363E-2</v>
      </c>
      <c r="K211" s="458"/>
      <c r="L211" s="163"/>
      <c r="M211" s="163"/>
      <c r="O211" s="329">
        <f>I211/I$233</f>
        <v>5.6487514913327264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3726997.9899999998</v>
      </c>
      <c r="D213" s="480">
        <f t="shared" si="70"/>
        <v>-824857.08000000007</v>
      </c>
      <c r="E213" s="480">
        <f t="shared" si="70"/>
        <v>-276283.49</v>
      </c>
      <c r="F213" s="166">
        <f t="shared" ref="F213:I213" si="71">SUM(F30:F211)/2</f>
        <v>2625857.4199999995</v>
      </c>
      <c r="G213" s="166">
        <f t="shared" si="71"/>
        <v>57718.070000000007</v>
      </c>
      <c r="H213" s="166">
        <f t="shared" si="71"/>
        <v>-68619</v>
      </c>
      <c r="I213" s="166">
        <f t="shared" si="71"/>
        <v>2614956.4899999998</v>
      </c>
      <c r="J213" s="167">
        <f>IF($I$213=0,0,I213/$I$213)</f>
        <v>1</v>
      </c>
      <c r="K213" s="458"/>
      <c r="L213" s="176">
        <f>SUM(L30:L205)</f>
        <v>93358.520000000019</v>
      </c>
      <c r="M213" s="176">
        <f>SUM(M30:M205)</f>
        <v>99171.75</v>
      </c>
      <c r="O213" s="329">
        <f>I213/I$233</f>
        <v>183.51859709453294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'[44]Sch C'!D221</f>
        <v>3726997.99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192170.45000000019</v>
      </c>
      <c r="D220" s="480">
        <f t="shared" si="72"/>
        <v>371967.33000000007</v>
      </c>
      <c r="E220" s="480">
        <f t="shared" si="72"/>
        <v>276283.49</v>
      </c>
      <c r="F220" s="166">
        <f t="shared" ref="F220:I220" si="73">F26-F213</f>
        <v>840421.27000000048</v>
      </c>
      <c r="G220" s="166">
        <f t="shared" si="73"/>
        <v>177902.93</v>
      </c>
      <c r="H220" s="166">
        <f t="shared" si="73"/>
        <v>68619</v>
      </c>
      <c r="I220" s="166">
        <f t="shared" si="73"/>
        <v>1086943.2000000007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'[44]Sch D'!C9</f>
        <v>8610</v>
      </c>
      <c r="D224" s="480"/>
      <c r="E224" s="480"/>
      <c r="F224" s="224">
        <f>C224+D224+E224</f>
        <v>8610</v>
      </c>
      <c r="G224" s="627"/>
      <c r="H224" s="224"/>
      <c r="I224" s="224">
        <f>F224+G224+H224</f>
        <v>8610</v>
      </c>
      <c r="J224" s="167">
        <f t="shared" ref="J224:J233" si="74">IF($I$233=0,0,I224/$I$233)</f>
        <v>0.60425293003017755</v>
      </c>
      <c r="K224" s="458"/>
      <c r="L224" s="163"/>
      <c r="M224" s="163"/>
    </row>
    <row r="225" spans="1:13">
      <c r="A225" s="158"/>
      <c r="B225" s="165" t="s">
        <v>201</v>
      </c>
      <c r="C225" s="504">
        <f>'[44]Sch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'[44]Sch D'!E9</f>
        <v>1100</v>
      </c>
      <c r="D226" s="480"/>
      <c r="E226" s="480"/>
      <c r="F226" s="224">
        <f t="shared" si="75"/>
        <v>1100</v>
      </c>
      <c r="G226" s="627"/>
      <c r="H226" s="224"/>
      <c r="I226" s="224">
        <f t="shared" si="76"/>
        <v>1100</v>
      </c>
      <c r="J226" s="167">
        <f t="shared" si="74"/>
        <v>7.7198399887711419E-2</v>
      </c>
      <c r="K226" s="458"/>
      <c r="L226" s="163"/>
      <c r="M226" s="163"/>
    </row>
    <row r="227" spans="1:13">
      <c r="A227" s="158"/>
      <c r="B227" s="194" t="s">
        <v>315</v>
      </c>
      <c r="C227" s="504">
        <f>'[44]Sch D'!F9</f>
        <v>0</v>
      </c>
      <c r="D227" s="480"/>
      <c r="E227" s="480"/>
      <c r="F227" s="224">
        <f t="shared" si="75"/>
        <v>0</v>
      </c>
      <c r="G227" s="627"/>
      <c r="H227" s="224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'[44]Sch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'[44]Sch D'!H9</f>
        <v>3351</v>
      </c>
      <c r="D229" s="480"/>
      <c r="E229" s="480"/>
      <c r="F229" s="224">
        <f t="shared" si="75"/>
        <v>3351</v>
      </c>
      <c r="G229" s="627"/>
      <c r="H229" s="224"/>
      <c r="I229" s="224">
        <f t="shared" si="76"/>
        <v>3351</v>
      </c>
      <c r="J229" s="167">
        <f t="shared" si="74"/>
        <v>0.23517439820338271</v>
      </c>
      <c r="K229" s="458"/>
      <c r="L229" s="163"/>
      <c r="M229" s="163"/>
    </row>
    <row r="230" spans="1:13">
      <c r="A230" s="158"/>
      <c r="B230" s="165" t="s">
        <v>219</v>
      </c>
      <c r="C230" s="504">
        <f>'[44]Sch D'!I9</f>
        <v>1168</v>
      </c>
      <c r="D230" s="480"/>
      <c r="E230" s="480"/>
      <c r="F230" s="224">
        <f t="shared" si="75"/>
        <v>1168</v>
      </c>
      <c r="G230" s="627"/>
      <c r="H230" s="224"/>
      <c r="I230" s="224">
        <f t="shared" si="76"/>
        <v>1168</v>
      </c>
      <c r="J230" s="167">
        <f t="shared" si="74"/>
        <v>8.197066460804267E-2</v>
      </c>
      <c r="K230" s="458"/>
      <c r="L230" s="163"/>
      <c r="M230" s="163"/>
    </row>
    <row r="231" spans="1:13">
      <c r="A231" s="158"/>
      <c r="B231" s="165" t="s">
        <v>218</v>
      </c>
      <c r="C231" s="504">
        <f>'[44]Sch D'!J9</f>
        <v>0</v>
      </c>
      <c r="D231" s="480"/>
      <c r="E231" s="480"/>
      <c r="F231" s="224">
        <f t="shared" si="75"/>
        <v>0</v>
      </c>
      <c r="G231" s="627"/>
      <c r="H231" s="224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'[44]Sch D'!K9</f>
        <v>20</v>
      </c>
      <c r="D232" s="480"/>
      <c r="E232" s="480"/>
      <c r="F232" s="224">
        <f t="shared" si="75"/>
        <v>20</v>
      </c>
      <c r="G232" s="627"/>
      <c r="H232" s="224"/>
      <c r="I232" s="224">
        <f t="shared" si="76"/>
        <v>20</v>
      </c>
      <c r="J232" s="167">
        <f t="shared" si="74"/>
        <v>1.4036072706856621E-3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14249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14249</v>
      </c>
      <c r="G233" s="226">
        <f t="shared" si="78"/>
        <v>0</v>
      </c>
      <c r="H233" s="226">
        <f t="shared" si="78"/>
        <v>0</v>
      </c>
      <c r="I233" s="226">
        <f t="shared" si="78"/>
        <v>14249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'[44]Sch D'!N22</f>
        <v>46</v>
      </c>
      <c r="D236" s="480"/>
      <c r="E236" s="480"/>
      <c r="F236" s="224">
        <f>C236+E236</f>
        <v>46</v>
      </c>
      <c r="G236" s="627"/>
      <c r="H236" s="166"/>
      <c r="I236" s="224">
        <f>F236+G236+H236</f>
        <v>46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'[44]Sch D'!N24</f>
        <v>46</v>
      </c>
      <c r="D237" s="480"/>
      <c r="E237" s="480"/>
      <c r="F237" s="224">
        <f>C237+E237</f>
        <v>46</v>
      </c>
      <c r="G237" s="627"/>
      <c r="H237" s="166"/>
      <c r="I237" s="224">
        <f>F237+G237+H237</f>
        <v>46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'[44]Sch D'!N28</f>
        <v>16790</v>
      </c>
      <c r="D240" s="427"/>
      <c r="E240" s="427"/>
      <c r="F240" s="223">
        <f>F236*F238</f>
        <v>16790</v>
      </c>
      <c r="G240"/>
      <c r="H240" s="228"/>
      <c r="I240" s="223">
        <f>I236*I238</f>
        <v>16790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'[44]Sch D'!N30</f>
        <v>0.84865991661703399</v>
      </c>
      <c r="D241" s="228"/>
      <c r="E241" s="228"/>
      <c r="F241" s="232">
        <f>F233/F240</f>
        <v>0.84865991661703399</v>
      </c>
      <c r="G241"/>
      <c r="H241" s="233"/>
      <c r="I241" s="232">
        <f>I233/I240</f>
        <v>0.84865991661703399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'[44]Sch D'!N32</f>
        <v>0.51280524121500892</v>
      </c>
      <c r="D242" s="228"/>
      <c r="E242" s="228"/>
      <c r="F242" s="232">
        <f>(F224+F225)/F240</f>
        <v>0.51280524121500892</v>
      </c>
      <c r="G242"/>
      <c r="H242" s="233"/>
      <c r="I242" s="232">
        <f>(I224+I225)/I240</f>
        <v>0.51280524121500892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'[44]Sch D'!N34</f>
        <v>0.60425293003017755</v>
      </c>
      <c r="D243" s="228"/>
      <c r="E243" s="228"/>
      <c r="F243" s="232">
        <f>(F242/F241)</f>
        <v>0.60425293003017755</v>
      </c>
      <c r="G243"/>
      <c r="H243" s="233"/>
      <c r="I243" s="232">
        <f>(I242/I241)</f>
        <v>0.60425293003017755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'[44]Sch B'!C90</f>
        <v>171.58885017421602</v>
      </c>
      <c r="K246" s="460"/>
    </row>
    <row r="247" spans="1:13">
      <c r="H247" s="140" t="s">
        <v>322</v>
      </c>
      <c r="I247" s="480">
        <f>'[44]Sch B'!E90</f>
        <v>153.38685344827587</v>
      </c>
      <c r="K247" s="460"/>
    </row>
    <row r="248" spans="1:13">
      <c r="H248" s="140" t="s">
        <v>323</v>
      </c>
      <c r="I248" s="480">
        <f>'[44]Sch B'!G90</f>
        <v>170.67168998923574</v>
      </c>
      <c r="K248" s="460"/>
    </row>
    <row r="249" spans="1:13">
      <c r="H249" s="140" t="s">
        <v>324</v>
      </c>
      <c r="I249" s="480">
        <f>'[44]Sch B'!I90</f>
        <v>185.45181674565561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0">
    <tabColor rgb="FFE28CAB"/>
  </sheetPr>
  <dimension ref="A1:Q277"/>
  <sheetViews>
    <sheetView showGridLines="0" topLeftCell="B211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650" t="s">
        <v>541</v>
      </c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364" t="s">
        <v>530</v>
      </c>
      <c r="D2" s="364"/>
      <c r="E2" s="364"/>
      <c r="F2" s="391" t="s">
        <v>387</v>
      </c>
      <c r="G2" s="391"/>
    </row>
    <row r="3" spans="1:16">
      <c r="A3" s="143"/>
      <c r="B3" s="138" t="s">
        <v>71</v>
      </c>
      <c r="C3" s="557">
        <f>'[45]Sch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'[45]Sch A Pg 1'!G39</f>
        <v>43253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39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'[45]Sch B'!E10</f>
        <v>1863805.5</v>
      </c>
      <c r="D12" s="480">
        <f>'[45]Sch B'!G10</f>
        <v>0</v>
      </c>
      <c r="E12" s="480"/>
      <c r="F12" s="166">
        <f>C12+D12+E12</f>
        <v>1863805.5</v>
      </c>
      <c r="G12" s="626"/>
      <c r="H12" s="166"/>
      <c r="I12" s="166">
        <f>F12+G12+H12</f>
        <v>1863805.5</v>
      </c>
      <c r="J12" s="167">
        <f>IF($I$26=0,0,I12/$I$26)</f>
        <v>0.43410129565229061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'[45]Sch B'!E12</f>
        <v>1449183.67</v>
      </c>
      <c r="D13" s="480">
        <f>'[45]Sch B'!G12</f>
        <v>0</v>
      </c>
      <c r="E13" s="480"/>
      <c r="F13" s="166">
        <f t="shared" ref="F13:F25" si="0">C13+D13+E13</f>
        <v>1449183.67</v>
      </c>
      <c r="G13" s="626">
        <v>-846327</v>
      </c>
      <c r="H13" s="166"/>
      <c r="I13" s="166">
        <f t="shared" ref="I13:I25" si="1">F13+G13+H13</f>
        <v>602856.66999999993</v>
      </c>
      <c r="J13" s="167">
        <f>IF($I$26=0,0,I13/$I$26)</f>
        <v>0.14041210927836908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'[45]Sch B'!E13</f>
        <v>-8627.76</v>
      </c>
      <c r="D14" s="480">
        <f>'[45]Sch B'!G13</f>
        <v>0</v>
      </c>
      <c r="E14" s="480"/>
      <c r="F14" s="166">
        <f t="shared" si="0"/>
        <v>-8627.76</v>
      </c>
      <c r="G14" s="626"/>
      <c r="H14" s="166"/>
      <c r="I14" s="166">
        <f t="shared" si="1"/>
        <v>-8627.76</v>
      </c>
      <c r="J14" s="167">
        <f>IF($I$26=0,0,I14/$I$26)</f>
        <v>-2.0095024907786818E-3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'[45]Sch B'!E14</f>
        <v>0</v>
      </c>
      <c r="D15" s="480">
        <f>'[45]Sch B'!G14</f>
        <v>32466.720000000001</v>
      </c>
      <c r="E15" s="480"/>
      <c r="F15" s="166">
        <f t="shared" si="0"/>
        <v>32466.720000000001</v>
      </c>
      <c r="G15" s="626">
        <v>38720</v>
      </c>
      <c r="H15" s="166"/>
      <c r="I15" s="166">
        <f t="shared" si="1"/>
        <v>71186.720000000001</v>
      </c>
      <c r="J15" s="167">
        <f>IF($I$26=0,0,I15/$I$26)</f>
        <v>1.6580188965660221E-2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'[45]Sch B'!E15</f>
        <v>3304361.41</v>
      </c>
      <c r="D16" s="480">
        <f>'[45]Sch B'!G15</f>
        <v>32466.720000000001</v>
      </c>
      <c r="E16" s="480"/>
      <c r="F16" s="166">
        <f t="shared" si="0"/>
        <v>3336828.1300000004</v>
      </c>
      <c r="G16" s="626"/>
      <c r="H16" s="166"/>
      <c r="I16" s="166">
        <f>SUM(I12:I15)</f>
        <v>2529221.1300000004</v>
      </c>
      <c r="J16" s="167">
        <f t="shared" ref="J16:J26" si="2">IF($I$26=0,0,I16/$I$26)</f>
        <v>0.5890840914055413</v>
      </c>
      <c r="K16" s="458"/>
      <c r="L16" s="333" t="s">
        <v>325</v>
      </c>
      <c r="M16" s="334">
        <f>I26</f>
        <v>4293480.62</v>
      </c>
      <c r="O16" s="324">
        <f>IFERROR(I16/I224,0)</f>
        <v>234.10043780081455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'[45]Sch B'!E20</f>
        <v>0</v>
      </c>
      <c r="D17" s="480">
        <f>'[45]Sch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4119272.1199999996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'[45]Sch B'!E26</f>
        <v>576403.05000000005</v>
      </c>
      <c r="D18" s="480">
        <f>'[45]Sch B'!G26</f>
        <v>0</v>
      </c>
      <c r="E18" s="480"/>
      <c r="F18" s="166">
        <f t="shared" si="0"/>
        <v>576403.05000000005</v>
      </c>
      <c r="G18" s="626"/>
      <c r="H18" s="166"/>
      <c r="I18" s="166">
        <f t="shared" si="1"/>
        <v>576403.05000000005</v>
      </c>
      <c r="J18" s="167">
        <f t="shared" si="2"/>
        <v>0.13425076319547938</v>
      </c>
      <c r="K18" s="458"/>
      <c r="L18" s="335" t="s">
        <v>327</v>
      </c>
      <c r="M18" s="336">
        <f>I233</f>
        <v>17591</v>
      </c>
      <c r="O18" s="324">
        <f t="shared" si="3"/>
        <v>569.56823122529647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'[45]Sch B'!E32</f>
        <v>43468.930000000008</v>
      </c>
      <c r="D19" s="480">
        <f>'[45]Sch B'!G32</f>
        <v>-7929.6</v>
      </c>
      <c r="E19" s="480"/>
      <c r="F19" s="166">
        <f t="shared" si="0"/>
        <v>35539.330000000009</v>
      </c>
      <c r="G19" s="626"/>
      <c r="H19" s="166"/>
      <c r="I19" s="166">
        <f t="shared" si="1"/>
        <v>35539.330000000009</v>
      </c>
      <c r="J19" s="170">
        <f t="shared" si="2"/>
        <v>8.2775102872130833E-3</v>
      </c>
      <c r="K19" s="464"/>
      <c r="L19" s="335" t="s">
        <v>328</v>
      </c>
      <c r="M19" s="336">
        <f>I236</f>
        <v>111.27</v>
      </c>
      <c r="O19" s="324">
        <f t="shared" si="3"/>
        <v>332.14327102803747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'[45]Sch B'!E37</f>
        <v>0</v>
      </c>
      <c r="D20" s="480">
        <f>'[45]Sch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37497.99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'[45]Sch B'!E42</f>
        <v>858827.06</v>
      </c>
      <c r="D21" s="480">
        <f>'[45]Sch B'!G42</f>
        <v>0</v>
      </c>
      <c r="E21" s="480"/>
      <c r="F21" s="166">
        <f t="shared" si="0"/>
        <v>858827.06</v>
      </c>
      <c r="G21" s="626"/>
      <c r="H21" s="166"/>
      <c r="I21" s="166">
        <f t="shared" si="1"/>
        <v>858827.06</v>
      </c>
      <c r="J21" s="167">
        <f t="shared" si="2"/>
        <v>0.20003049646931911</v>
      </c>
      <c r="K21" s="458"/>
      <c r="L21" s="337"/>
      <c r="M21" s="336"/>
      <c r="O21" s="324">
        <f t="shared" si="3"/>
        <v>216.05712201257862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'[45]Sch B'!E47</f>
        <v>283355.7</v>
      </c>
      <c r="D22" s="480">
        <f>'[45]Sch B'!G47</f>
        <v>0</v>
      </c>
      <c r="E22" s="480"/>
      <c r="F22" s="166">
        <f t="shared" si="0"/>
        <v>283355.7</v>
      </c>
      <c r="G22" s="626"/>
      <c r="H22" s="166"/>
      <c r="I22" s="166">
        <f t="shared" si="1"/>
        <v>283355.7</v>
      </c>
      <c r="J22" s="167">
        <f t="shared" si="2"/>
        <v>6.5996734369794363E-2</v>
      </c>
      <c r="K22" s="458"/>
      <c r="L22" s="335" t="s">
        <v>148</v>
      </c>
      <c r="M22" s="336">
        <f>L213</f>
        <v>91115.13</v>
      </c>
      <c r="O22" s="324">
        <f t="shared" si="3"/>
        <v>172.25270516717325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'[45]Sch B'!E52</f>
        <v>0</v>
      </c>
      <c r="D23" s="480">
        <f>'[45]Sch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99294.14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'[45]Sch B'!E57</f>
        <v>0</v>
      </c>
      <c r="D24" s="480">
        <f>'[45]Sch B'!G57</f>
        <v>7929.6</v>
      </c>
      <c r="E24" s="480"/>
      <c r="F24" s="166">
        <f t="shared" si="0"/>
        <v>7929.6</v>
      </c>
      <c r="G24" s="626"/>
      <c r="H24" s="166"/>
      <c r="I24" s="166">
        <f t="shared" si="1"/>
        <v>7929.6</v>
      </c>
      <c r="J24" s="167">
        <f t="shared" si="2"/>
        <v>1.8468931624058432E-3</v>
      </c>
      <c r="K24" s="458"/>
      <c r="L24" s="163"/>
      <c r="M24" s="163"/>
      <c r="O24" s="324">
        <f t="shared" si="3"/>
        <v>165.20000000000002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'[45]Sch B'!E72</f>
        <v>40266.660000000003</v>
      </c>
      <c r="D25" s="480">
        <f>'[45]Sch B'!G72</f>
        <v>-38061.909999999996</v>
      </c>
      <c r="E25" s="480"/>
      <c r="F25" s="166">
        <f t="shared" si="0"/>
        <v>2204.7500000000073</v>
      </c>
      <c r="G25" s="626"/>
      <c r="H25" s="166"/>
      <c r="I25" s="166">
        <f t="shared" si="1"/>
        <v>2204.7500000000073</v>
      </c>
      <c r="J25" s="167">
        <f t="shared" si="2"/>
        <v>5.1351111024696024E-4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5106682.8100000005</v>
      </c>
      <c r="D26" s="480">
        <f t="shared" ref="D26:F26" si="4">SUM(D16:D25)</f>
        <v>-5595.1899999999951</v>
      </c>
      <c r="E26" s="480">
        <f t="shared" si="4"/>
        <v>0</v>
      </c>
      <c r="F26" s="166">
        <f t="shared" si="4"/>
        <v>5101087.62</v>
      </c>
      <c r="G26" s="166">
        <f>SUM(G12:G25)</f>
        <v>-807607</v>
      </c>
      <c r="H26" s="166">
        <f>SUM(H12:H25)</f>
        <v>0</v>
      </c>
      <c r="I26" s="166">
        <f>SUM(I16:I25)</f>
        <v>4293480.62</v>
      </c>
      <c r="J26" s="167">
        <f t="shared" si="2"/>
        <v>1</v>
      </c>
      <c r="K26" s="458"/>
      <c r="L26" s="163"/>
      <c r="M26" s="163"/>
      <c r="O26" s="324">
        <f>IFERROR(I26/I233,0)</f>
        <v>244.07257233812746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568"/>
      <c r="I28" s="568"/>
      <c r="K28" s="460"/>
      <c r="O28" s="328"/>
      <c r="P28" s="328"/>
    </row>
    <row r="29" spans="1:16">
      <c r="A29" s="175" t="s">
        <v>153</v>
      </c>
      <c r="B29" s="145" t="s">
        <v>8</v>
      </c>
      <c r="H29" s="567"/>
      <c r="I29" s="567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'[45]Sch C'!D10</f>
        <v>109461.53</v>
      </c>
      <c r="D30" s="480">
        <f>'[45]Sch C'!F10</f>
        <v>0</v>
      </c>
      <c r="E30" s="480">
        <f>+'[45]Sch C'!H10</f>
        <v>0</v>
      </c>
      <c r="F30" s="166">
        <f t="shared" ref="F30:F65" si="5">C30+D30+E30</f>
        <v>109461.53</v>
      </c>
      <c r="G30" s="626"/>
      <c r="H30" s="166"/>
      <c r="I30" s="166">
        <f t="shared" ref="I30:I65" si="6">F30+G30+H30</f>
        <v>109461.53</v>
      </c>
      <c r="J30" s="167">
        <f>IF($I$213=0,0,I30/$I$213)</f>
        <v>2.6573027178403548E-2</v>
      </c>
      <c r="K30" s="458"/>
      <c r="L30" s="564">
        <v>1984</v>
      </c>
      <c r="M30" s="564">
        <v>2140</v>
      </c>
      <c r="O30" s="324">
        <f>I30/I$233</f>
        <v>6.2225871184128243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'[45]Sch C'!D11</f>
        <v>0</v>
      </c>
      <c r="D31" s="480">
        <f>'[45]Sch C'!F11</f>
        <v>0</v>
      </c>
      <c r="E31" s="480">
        <f>+'[45]Sch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564">
        <v>0</v>
      </c>
      <c r="M31" s="564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'[45]Sch C'!D12</f>
        <v>119352.31</v>
      </c>
      <c r="D32" s="480">
        <f>'[45]Sch C'!F12</f>
        <v>-62098</v>
      </c>
      <c r="E32" s="480">
        <f>+'[45]Sch C'!H12</f>
        <v>0</v>
      </c>
      <c r="F32" s="166">
        <f t="shared" si="5"/>
        <v>57254.31</v>
      </c>
      <c r="G32" s="626"/>
      <c r="H32" s="166"/>
      <c r="I32" s="166">
        <f t="shared" si="6"/>
        <v>57254.31</v>
      </c>
      <c r="J32" s="167">
        <f t="shared" si="7"/>
        <v>1.3899132742898277E-2</v>
      </c>
      <c r="K32" s="458"/>
      <c r="L32" s="564">
        <v>3430.53</v>
      </c>
      <c r="M32" s="564">
        <v>3642.84</v>
      </c>
      <c r="O32" s="324">
        <f t="shared" si="8"/>
        <v>3.2547501563299415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'[45]Sch C'!D13</f>
        <v>431904.78</v>
      </c>
      <c r="D33" s="480">
        <f>'[45]Sch C'!F13</f>
        <v>-397511.7</v>
      </c>
      <c r="E33" s="480">
        <f>+'[45]Sch C'!H13</f>
        <v>0</v>
      </c>
      <c r="F33" s="166">
        <f t="shared" si="5"/>
        <v>34393.080000000016</v>
      </c>
      <c r="G33" s="626"/>
      <c r="H33" s="166"/>
      <c r="I33" s="166">
        <f t="shared" si="6"/>
        <v>34393.080000000016</v>
      </c>
      <c r="J33" s="167">
        <f t="shared" si="7"/>
        <v>8.3493100232475102E-3</v>
      </c>
      <c r="K33" s="458"/>
      <c r="L33" s="446"/>
      <c r="M33" s="446"/>
      <c r="O33" s="324">
        <f t="shared" si="8"/>
        <v>1.9551520663975905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'[45]Sch C'!D14</f>
        <v>0</v>
      </c>
      <c r="D34" s="480">
        <f>'[45]Sch C'!F14</f>
        <v>0</v>
      </c>
      <c r="E34" s="480">
        <f>+'[45]Sch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446"/>
      <c r="M34" s="446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'[45]Sch C'!D15</f>
        <v>0</v>
      </c>
      <c r="D35" s="480">
        <f>'[45]Sch C'!F15</f>
        <v>0</v>
      </c>
      <c r="E35" s="480">
        <f>+'[45]Sch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446"/>
      <c r="M35" s="446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'[45]Sch C'!D16</f>
        <v>342392</v>
      </c>
      <c r="D36" s="480">
        <f>'[45]Sch C'!F16</f>
        <v>0</v>
      </c>
      <c r="E36" s="480">
        <f>+'[45]Sch C'!H16</f>
        <v>-91562.66</v>
      </c>
      <c r="F36" s="166">
        <f t="shared" si="5"/>
        <v>250829.34</v>
      </c>
      <c r="G36" s="626"/>
      <c r="H36" s="166"/>
      <c r="I36" s="166">
        <f t="shared" si="6"/>
        <v>250829.34</v>
      </c>
      <c r="J36" s="167">
        <f t="shared" si="7"/>
        <v>6.0891665491620887E-2</v>
      </c>
      <c r="K36" s="458"/>
      <c r="L36" s="446"/>
      <c r="M36" s="446"/>
      <c r="O36" s="324">
        <f t="shared" si="8"/>
        <v>14.258958558353703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'[45]Sch C'!D17</f>
        <v>0</v>
      </c>
      <c r="D37" s="480">
        <f>'[45]Sch C'!F17</f>
        <v>0</v>
      </c>
      <c r="E37" s="480">
        <f>+'[45]Sch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446"/>
      <c r="M37" s="446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'[45]Sch C'!D18</f>
        <v>18069.689999999999</v>
      </c>
      <c r="D38" s="480">
        <f>'[45]Sch C'!F18</f>
        <v>0</v>
      </c>
      <c r="E38" s="480">
        <f>+'[45]Sch C'!H18</f>
        <v>0</v>
      </c>
      <c r="F38" s="166">
        <f t="shared" si="5"/>
        <v>18069.689999999999</v>
      </c>
      <c r="G38" s="626"/>
      <c r="H38" s="166"/>
      <c r="I38" s="166">
        <f t="shared" si="6"/>
        <v>18069.689999999999</v>
      </c>
      <c r="J38" s="167">
        <f t="shared" si="7"/>
        <v>4.3866220714741224E-3</v>
      </c>
      <c r="K38" s="458"/>
      <c r="L38" s="446"/>
      <c r="M38" s="446"/>
      <c r="O38" s="324">
        <f t="shared" si="8"/>
        <v>1.0272122107896082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'[45]Sch C'!D19</f>
        <v>13861.33</v>
      </c>
      <c r="D39" s="480">
        <f>'[45]Sch C'!F19</f>
        <v>0</v>
      </c>
      <c r="E39" s="480">
        <f>+'[45]Sch C'!H19</f>
        <v>0</v>
      </c>
      <c r="F39" s="166">
        <f t="shared" si="5"/>
        <v>13861.33</v>
      </c>
      <c r="G39" s="626"/>
      <c r="H39" s="166"/>
      <c r="I39" s="166">
        <f t="shared" si="6"/>
        <v>13861.33</v>
      </c>
      <c r="J39" s="167">
        <f t="shared" si="7"/>
        <v>3.3649949787730947E-3</v>
      </c>
      <c r="K39" s="458"/>
      <c r="L39" s="446"/>
      <c r="M39" s="446"/>
      <c r="O39" s="324">
        <f t="shared" si="8"/>
        <v>0.78797851173895739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'[45]Sch C'!D20</f>
        <v>5884.63</v>
      </c>
      <c r="D40" s="480">
        <f>'[45]Sch C'!F20</f>
        <v>0</v>
      </c>
      <c r="E40" s="480">
        <f>+'[45]Sch C'!H20</f>
        <v>0</v>
      </c>
      <c r="F40" s="166">
        <f t="shared" si="5"/>
        <v>5884.63</v>
      </c>
      <c r="G40" s="626">
        <v>3446</v>
      </c>
      <c r="H40" s="166"/>
      <c r="I40" s="166">
        <f t="shared" si="6"/>
        <v>9330.630000000001</v>
      </c>
      <c r="J40" s="167">
        <f t="shared" si="7"/>
        <v>2.2651161972761348E-3</v>
      </c>
      <c r="K40" s="458"/>
      <c r="L40" s="446"/>
      <c r="M40" s="446"/>
      <c r="O40" s="324">
        <f t="shared" si="8"/>
        <v>0.53042066966062196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'[45]Sch C'!D21</f>
        <v>6921.8</v>
      </c>
      <c r="D41" s="480">
        <f>'[45]Sch C'!F21</f>
        <v>0</v>
      </c>
      <c r="E41" s="480">
        <f>+'[45]Sch C'!H21</f>
        <v>0</v>
      </c>
      <c r="F41" s="166">
        <f t="shared" si="5"/>
        <v>6921.8</v>
      </c>
      <c r="G41" s="626"/>
      <c r="H41" s="166"/>
      <c r="I41" s="166">
        <f t="shared" si="6"/>
        <v>6921.8</v>
      </c>
      <c r="J41" s="167">
        <f t="shared" si="7"/>
        <v>1.6803454101497915E-3</v>
      </c>
      <c r="K41" s="458"/>
      <c r="L41" s="446"/>
      <c r="M41" s="446"/>
      <c r="O41" s="324">
        <f t="shared" si="8"/>
        <v>0.39348530498550394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'[45]Sch C'!D22</f>
        <v>0</v>
      </c>
      <c r="D42" s="480">
        <f>'[45]Sch C'!F22</f>
        <v>0</v>
      </c>
      <c r="E42" s="480">
        <f>+'[45]Sch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446"/>
      <c r="M42" s="446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'[45]Sch C'!D23</f>
        <v>13775.87</v>
      </c>
      <c r="D43" s="480">
        <f>'[45]Sch C'!F23</f>
        <v>0</v>
      </c>
      <c r="E43" s="480">
        <f>+'[45]Sch C'!H23</f>
        <v>0</v>
      </c>
      <c r="F43" s="166">
        <f t="shared" si="5"/>
        <v>13775.87</v>
      </c>
      <c r="G43" s="626"/>
      <c r="H43" s="166"/>
      <c r="I43" s="166">
        <f t="shared" si="6"/>
        <v>13775.87</v>
      </c>
      <c r="J43" s="167">
        <f t="shared" si="7"/>
        <v>3.3442485950648977E-3</v>
      </c>
      <c r="K43" s="458"/>
      <c r="L43" s="446"/>
      <c r="M43" s="446"/>
      <c r="O43" s="324">
        <f t="shared" si="8"/>
        <v>0.78312034563128874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'[45]Sch C'!D24</f>
        <v>0</v>
      </c>
      <c r="D44" s="480">
        <f>'[45]Sch C'!F24</f>
        <v>0</v>
      </c>
      <c r="E44" s="480">
        <f>+'[45]Sch C'!H24</f>
        <v>0</v>
      </c>
      <c r="F44" s="166">
        <f t="shared" si="5"/>
        <v>0</v>
      </c>
      <c r="G44" s="626">
        <v>40099</v>
      </c>
      <c r="H44" s="166"/>
      <c r="I44" s="166">
        <f t="shared" si="6"/>
        <v>40099</v>
      </c>
      <c r="J44" s="167">
        <f t="shared" si="7"/>
        <v>9.7344867811257878E-3</v>
      </c>
      <c r="K44" s="458"/>
      <c r="L44" s="446"/>
      <c r="M44" s="446"/>
      <c r="O44" s="324">
        <f t="shared" si="8"/>
        <v>2.2795179353078279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'[45]Sch C'!D25</f>
        <v>0</v>
      </c>
      <c r="D45" s="480">
        <f>'[45]Sch C'!F25</f>
        <v>0</v>
      </c>
      <c r="E45" s="480">
        <f>+'[45]Sch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446"/>
      <c r="M45" s="446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'[45]Sch C'!D26</f>
        <v>345771.38</v>
      </c>
      <c r="D46" s="480">
        <f>'[45]Sch C'!F26</f>
        <v>0</v>
      </c>
      <c r="E46" s="480">
        <f>+'[45]Sch C'!H26</f>
        <v>0</v>
      </c>
      <c r="F46" s="166">
        <f t="shared" si="5"/>
        <v>345771.38</v>
      </c>
      <c r="G46" s="626"/>
      <c r="H46" s="166"/>
      <c r="I46" s="166">
        <f t="shared" si="6"/>
        <v>345771.38</v>
      </c>
      <c r="J46" s="167">
        <f t="shared" si="7"/>
        <v>8.3939921890860664E-2</v>
      </c>
      <c r="K46" s="458"/>
      <c r="L46" s="446"/>
      <c r="M46" s="446"/>
      <c r="O46" s="324">
        <f t="shared" si="8"/>
        <v>19.656152578022851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'[45]Sch C'!D27</f>
        <v>0</v>
      </c>
      <c r="D47" s="480">
        <f>'[45]Sch C'!F27</f>
        <v>0</v>
      </c>
      <c r="E47" s="480">
        <f>+'[45]Sch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446"/>
      <c r="M47" s="446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'[45]Sch C'!D28</f>
        <v>0</v>
      </c>
      <c r="D48" s="480">
        <f>'[45]Sch C'!F28</f>
        <v>0</v>
      </c>
      <c r="E48" s="480">
        <f>+'[45]Sch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446"/>
      <c r="M48" s="446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'[45]Sch C'!D29</f>
        <v>312709</v>
      </c>
      <c r="D49" s="480">
        <f>'[45]Sch C'!F29</f>
        <v>-312709</v>
      </c>
      <c r="E49" s="480">
        <f>+'[45]Sch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446"/>
      <c r="M49" s="446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'[45]Sch C'!D30</f>
        <v>0</v>
      </c>
      <c r="D50" s="480">
        <f>'[45]Sch C'!F30</f>
        <v>0</v>
      </c>
      <c r="E50" s="480">
        <f>+'[45]Sch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446"/>
      <c r="M50" s="446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'[45]Sch C'!D31</f>
        <v>0</v>
      </c>
      <c r="D51" s="480">
        <f>'[45]Sch C'!F31</f>
        <v>45871.8</v>
      </c>
      <c r="E51" s="480">
        <f>+'[45]Sch C'!H31</f>
        <v>0</v>
      </c>
      <c r="F51" s="166">
        <f t="shared" si="5"/>
        <v>45871.8</v>
      </c>
      <c r="G51" s="626"/>
      <c r="H51" s="166"/>
      <c r="I51" s="166">
        <f t="shared" si="6"/>
        <v>45871.8</v>
      </c>
      <c r="J51" s="167">
        <f t="shared" si="7"/>
        <v>1.1135899417103818E-2</v>
      </c>
      <c r="K51" s="458"/>
      <c r="L51" s="446"/>
      <c r="M51" s="446"/>
      <c r="O51" s="324">
        <f t="shared" si="8"/>
        <v>2.6076857483940654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'[45]Sch C'!D32</f>
        <v>20485.78</v>
      </c>
      <c r="D52" s="480">
        <f>'[45]Sch C'!F32</f>
        <v>0</v>
      </c>
      <c r="E52" s="480">
        <f>+'[45]Sch C'!H32</f>
        <v>0</v>
      </c>
      <c r="F52" s="166">
        <f t="shared" si="5"/>
        <v>20485.78</v>
      </c>
      <c r="G52" s="626"/>
      <c r="H52" s="166"/>
      <c r="I52" s="166">
        <f t="shared" si="6"/>
        <v>20485.78</v>
      </c>
      <c r="J52" s="167">
        <f t="shared" si="7"/>
        <v>4.9731553058941884E-3</v>
      </c>
      <c r="K52" s="458"/>
      <c r="L52" s="446"/>
      <c r="M52" s="446"/>
      <c r="O52" s="324">
        <f t="shared" si="8"/>
        <v>1.1645602865101472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'[45]Sch C'!D33</f>
        <v>0</v>
      </c>
      <c r="D53" s="480">
        <f>'[45]Sch C'!F33</f>
        <v>0</v>
      </c>
      <c r="E53" s="480">
        <f>+'[45]Sch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446"/>
      <c r="M53" s="446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'[45]Sch C'!D34</f>
        <v>0</v>
      </c>
      <c r="D54" s="480">
        <f>'[45]Sch C'!F34</f>
        <v>0</v>
      </c>
      <c r="E54" s="480">
        <f>+'[45]Sch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446"/>
      <c r="M54" s="446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'[45]Sch C'!D35</f>
        <v>0</v>
      </c>
      <c r="D55" s="480">
        <f>'[45]Sch C'!F35</f>
        <v>0</v>
      </c>
      <c r="E55" s="480">
        <f>+'[45]Sch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446"/>
      <c r="M55" s="446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'[45]Sch C'!D36</f>
        <v>18078.11</v>
      </c>
      <c r="D56" s="480">
        <f>'[45]Sch C'!F36</f>
        <v>3729.39</v>
      </c>
      <c r="E56" s="480">
        <f>+'[45]Sch C'!H36</f>
        <v>0</v>
      </c>
      <c r="F56" s="166">
        <f t="shared" si="5"/>
        <v>21807.5</v>
      </c>
      <c r="G56" s="626"/>
      <c r="H56" s="166"/>
      <c r="I56" s="166">
        <f t="shared" si="6"/>
        <v>21807.5</v>
      </c>
      <c r="J56" s="167">
        <f t="shared" si="7"/>
        <v>5.2940178178857485E-3</v>
      </c>
      <c r="K56" s="458"/>
      <c r="L56" s="564">
        <v>1276.5999999999999</v>
      </c>
      <c r="M56" s="564">
        <v>1341.3</v>
      </c>
      <c r="O56" s="324">
        <f t="shared" si="8"/>
        <v>1.239696435677335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'[45]Sch C'!D37</f>
        <v>0</v>
      </c>
      <c r="D57" s="480">
        <f>'[45]Sch C'!F37</f>
        <v>0</v>
      </c>
      <c r="E57" s="480">
        <f>+'[45]Sch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446"/>
      <c r="M57" s="446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'[45]Sch C'!D38</f>
        <v>109.32</v>
      </c>
      <c r="D58" s="480">
        <f>'[45]Sch C'!F38</f>
        <v>0</v>
      </c>
      <c r="E58" s="480">
        <f>+'[45]Sch C'!H38</f>
        <v>0</v>
      </c>
      <c r="F58" s="166">
        <f t="shared" si="5"/>
        <v>109.32</v>
      </c>
      <c r="G58" s="626"/>
      <c r="H58" s="166"/>
      <c r="I58" s="166">
        <f t="shared" si="6"/>
        <v>109.32</v>
      </c>
      <c r="J58" s="167">
        <f t="shared" si="7"/>
        <v>2.6538669166629371E-5</v>
      </c>
      <c r="K58" s="458"/>
      <c r="L58" s="446"/>
      <c r="M58" s="446"/>
      <c r="O58" s="324">
        <f t="shared" si="8"/>
        <v>6.2145415269171736E-3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'[45]Sch C'!D39</f>
        <v>12431.6</v>
      </c>
      <c r="D59" s="480">
        <f>'[45]Sch C'!F39</f>
        <v>0</v>
      </c>
      <c r="E59" s="480">
        <f>+'[45]Sch C'!H39</f>
        <v>0</v>
      </c>
      <c r="F59" s="166">
        <f t="shared" si="5"/>
        <v>12431.6</v>
      </c>
      <c r="G59" s="626"/>
      <c r="H59" s="166"/>
      <c r="I59" s="166">
        <f t="shared" si="6"/>
        <v>12431.6</v>
      </c>
      <c r="J59" s="167">
        <f t="shared" si="7"/>
        <v>3.0179118149640479E-3</v>
      </c>
      <c r="K59" s="458"/>
      <c r="L59" s="446"/>
      <c r="M59" s="446"/>
      <c r="O59" s="324">
        <f t="shared" si="8"/>
        <v>0.70670229094423287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'[45]Sch C'!D40</f>
        <v>8582.75</v>
      </c>
      <c r="D60" s="480">
        <f>'[45]Sch C'!F40</f>
        <v>-8583</v>
      </c>
      <c r="E60" s="480">
        <f>+'[45]Sch C'!H40</f>
        <v>0</v>
      </c>
      <c r="F60" s="166">
        <f t="shared" si="5"/>
        <v>-0.25</v>
      </c>
      <c r="G60" s="626"/>
      <c r="H60" s="166"/>
      <c r="I60" s="166">
        <f t="shared" si="6"/>
        <v>-0.25</v>
      </c>
      <c r="J60" s="167">
        <f t="shared" si="7"/>
        <v>-6.0690333805866656E-8</v>
      </c>
      <c r="K60" s="458"/>
      <c r="L60" s="446"/>
      <c r="M60" s="446"/>
      <c r="O60" s="324">
        <f t="shared" si="8"/>
        <v>-1.4211812858848275E-5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'[45]Sch C'!D41</f>
        <v>70434</v>
      </c>
      <c r="D61" s="480">
        <f>'[45]Sch C'!F41</f>
        <v>-70434</v>
      </c>
      <c r="E61" s="480">
        <f>+'[45]Sch C'!H41</f>
        <v>0</v>
      </c>
      <c r="F61" s="166">
        <f t="shared" si="5"/>
        <v>0</v>
      </c>
      <c r="G61" s="626">
        <v>4641</v>
      </c>
      <c r="H61" s="166"/>
      <c r="I61" s="166">
        <f t="shared" si="6"/>
        <v>4641</v>
      </c>
      <c r="J61" s="167">
        <f t="shared" si="7"/>
        <v>1.1266553567721087E-3</v>
      </c>
      <c r="K61" s="458"/>
      <c r="L61" s="446"/>
      <c r="M61" s="446"/>
      <c r="O61" s="324">
        <f t="shared" si="8"/>
        <v>0.26382809391165934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'[45]Sch C'!D42</f>
        <v>4461.18</v>
      </c>
      <c r="D62" s="480">
        <f>'[45]Sch C'!F42</f>
        <v>0</v>
      </c>
      <c r="E62" s="480">
        <f>+'[45]Sch C'!H42</f>
        <v>0</v>
      </c>
      <c r="F62" s="166">
        <f t="shared" si="5"/>
        <v>4461.18</v>
      </c>
      <c r="G62" s="626"/>
      <c r="H62" s="166"/>
      <c r="I62" s="166">
        <f t="shared" si="6"/>
        <v>4461.18</v>
      </c>
      <c r="J62" s="167">
        <f t="shared" si="7"/>
        <v>1.0830020134722249E-3</v>
      </c>
      <c r="K62" s="458"/>
      <c r="L62" s="446"/>
      <c r="M62" s="446"/>
      <c r="O62" s="324">
        <f t="shared" si="8"/>
        <v>0.25360582115854702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'[45]Sch C'!D43</f>
        <v>14659.07</v>
      </c>
      <c r="D63" s="480">
        <f>'[45]Sch C'!F43</f>
        <v>0</v>
      </c>
      <c r="E63" s="480">
        <f>+'[45]Sch C'!H43</f>
        <v>0</v>
      </c>
      <c r="F63" s="166">
        <f t="shared" si="5"/>
        <v>14659.07</v>
      </c>
      <c r="G63" s="626">
        <v>-14659</v>
      </c>
      <c r="H63" s="166"/>
      <c r="I63" s="166">
        <f t="shared" si="6"/>
        <v>6.9999999999708962E-2</v>
      </c>
      <c r="J63" s="167">
        <f t="shared" si="7"/>
        <v>1.6993293465572013E-8</v>
      </c>
      <c r="K63" s="162" t="s">
        <v>714</v>
      </c>
      <c r="L63" s="446"/>
      <c r="M63" s="446"/>
      <c r="O63" s="324">
        <f t="shared" si="8"/>
        <v>3.9793076004609721E-6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'[45]Sch C'!D44</f>
        <v>0</v>
      </c>
      <c r="D64" s="480">
        <f>'[45]Sch C'!F44</f>
        <v>0</v>
      </c>
      <c r="E64" s="480">
        <f>+'[45]Sch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569"/>
      <c r="M64" s="446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'[45]Sch C'!D45</f>
        <v>49075.130000000005</v>
      </c>
      <c r="D65" s="480">
        <f>'[45]Sch C'!F45</f>
        <v>-676.99</v>
      </c>
      <c r="E65" s="480">
        <f>+'[45]Sch C'!H45</f>
        <v>0</v>
      </c>
      <c r="F65" s="166">
        <f t="shared" si="5"/>
        <v>48398.140000000007</v>
      </c>
      <c r="G65" s="626">
        <v>-48186</v>
      </c>
      <c r="H65" s="166"/>
      <c r="I65" s="166">
        <f t="shared" si="6"/>
        <v>212.14000000000669</v>
      </c>
      <c r="J65" s="167">
        <f t="shared" si="7"/>
        <v>5.1499389654307839E-5</v>
      </c>
      <c r="K65" s="579"/>
      <c r="L65" s="446"/>
      <c r="M65" s="446"/>
      <c r="O65" s="324">
        <f t="shared" si="8"/>
        <v>1.2059575919504673E-2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1918421.2600000002</v>
      </c>
      <c r="D66" s="480">
        <f t="shared" si="9"/>
        <v>-802411.49999999988</v>
      </c>
      <c r="E66" s="480">
        <f t="shared" si="9"/>
        <v>-91562.66</v>
      </c>
      <c r="F66" s="166">
        <f t="shared" ref="F66:I66" si="10">SUM(F30:F65)</f>
        <v>1024447.1</v>
      </c>
      <c r="G66" s="166">
        <f t="shared" si="10"/>
        <v>-14659</v>
      </c>
      <c r="H66" s="166">
        <f t="shared" si="10"/>
        <v>0</v>
      </c>
      <c r="I66" s="166">
        <f t="shared" si="10"/>
        <v>1009788.1000000001</v>
      </c>
      <c r="J66" s="178">
        <f t="shared" si="7"/>
        <v>0.24513750744876747</v>
      </c>
      <c r="K66" s="465"/>
      <c r="L66" s="446"/>
      <c r="M66" s="446"/>
      <c r="O66" s="329">
        <f>I66/I$233</f>
        <v>57.403678017167877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446"/>
      <c r="M67" s="446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446"/>
      <c r="M68" s="446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'[45]Sch C'!D57</f>
        <v>296010</v>
      </c>
      <c r="D69" s="480">
        <f>'[45]Sch C'!F57</f>
        <v>0</v>
      </c>
      <c r="E69" s="480">
        <f>+'[45]Sch C'!H57</f>
        <v>-296010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447"/>
      <c r="M69" s="446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'[45]Sch C'!D58</f>
        <v>0</v>
      </c>
      <c r="D70" s="480">
        <f>'[45]Sch C'!F58</f>
        <v>0</v>
      </c>
      <c r="E70" s="480">
        <f>+'[45]Sch C'!H58</f>
        <v>188243.9</v>
      </c>
      <c r="F70" s="166">
        <f t="shared" ref="F70:F83" si="13">C70+D70+E70</f>
        <v>188243.9</v>
      </c>
      <c r="G70" s="626"/>
      <c r="H70" s="166"/>
      <c r="I70" s="166">
        <f t="shared" ref="I70:I83" si="14">F70+G70+H70</f>
        <v>188243.9</v>
      </c>
      <c r="J70" s="167">
        <f t="shared" si="11"/>
        <v>4.5698340511672729E-2</v>
      </c>
      <c r="K70" s="458"/>
      <c r="L70" s="447"/>
      <c r="M70" s="446"/>
      <c r="O70" s="324">
        <f t="shared" si="12"/>
        <v>10.701148314478994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'[45]Sch C'!D59</f>
        <v>0</v>
      </c>
      <c r="D71" s="480">
        <f>'[45]Sch C'!F59</f>
        <v>0</v>
      </c>
      <c r="E71" s="480">
        <f>+'[45]Sch C'!H59</f>
        <v>91228.09</v>
      </c>
      <c r="F71" s="166">
        <f t="shared" si="13"/>
        <v>91228.09</v>
      </c>
      <c r="G71" s="626"/>
      <c r="H71" s="166"/>
      <c r="I71" s="166">
        <f t="shared" si="14"/>
        <v>91228.09</v>
      </c>
      <c r="J71" s="167">
        <f t="shared" si="11"/>
        <v>2.2146652938286583E-2</v>
      </c>
      <c r="K71" s="458"/>
      <c r="L71" s="447"/>
      <c r="M71" s="446"/>
      <c r="O71" s="324">
        <f t="shared" si="12"/>
        <v>5.1860661702006707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'[45]Sch C'!D60</f>
        <v>0</v>
      </c>
      <c r="D72" s="480">
        <f>'[45]Sch C'!F60</f>
        <v>0</v>
      </c>
      <c r="E72" s="480">
        <f>+'[45]Sch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448"/>
      <c r="M72" s="446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'[45]Sch C'!D61</f>
        <v>7016.31</v>
      </c>
      <c r="D73" s="480">
        <f>'[45]Sch C'!F61</f>
        <v>0</v>
      </c>
      <c r="E73" s="480">
        <f>+'[45]Sch C'!H61</f>
        <v>0</v>
      </c>
      <c r="F73" s="166">
        <f t="shared" si="13"/>
        <v>7016.31</v>
      </c>
      <c r="G73" s="626"/>
      <c r="H73" s="166"/>
      <c r="I73" s="166">
        <f t="shared" si="14"/>
        <v>7016.31</v>
      </c>
      <c r="J73" s="167">
        <f t="shared" si="11"/>
        <v>1.7032887839417614E-3</v>
      </c>
      <c r="K73" s="458"/>
      <c r="L73" s="448"/>
      <c r="M73" s="446"/>
      <c r="O73" s="324">
        <f t="shared" si="12"/>
        <v>0.39885793871866299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'[45]Sch C'!D62</f>
        <v>0</v>
      </c>
      <c r="D74" s="480">
        <f>'[45]Sch C'!F62</f>
        <v>0</v>
      </c>
      <c r="E74" s="480">
        <f>+'[45]Sch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449"/>
      <c r="M74" s="446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'[45]Sch C'!D63</f>
        <v>0</v>
      </c>
      <c r="D75" s="480">
        <f>'[45]Sch C'!F63</f>
        <v>0</v>
      </c>
      <c r="E75" s="480">
        <f>+'[45]Sch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449"/>
      <c r="M75" s="446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'[45]Sch C'!D64</f>
        <v>0</v>
      </c>
      <c r="D76" s="480">
        <f>'[45]Sch C'!F64</f>
        <v>0</v>
      </c>
      <c r="E76" s="480">
        <f>+'[45]Sch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449"/>
      <c r="M76" s="446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'[45]Sch C'!D65</f>
        <v>5490.86</v>
      </c>
      <c r="D77" s="480">
        <f>'[45]Sch C'!F65</f>
        <v>0</v>
      </c>
      <c r="E77" s="480">
        <f>+'[45]Sch C'!H65</f>
        <v>0</v>
      </c>
      <c r="F77" s="166">
        <f t="shared" si="13"/>
        <v>5490.86</v>
      </c>
      <c r="G77" s="626"/>
      <c r="H77" s="166"/>
      <c r="I77" s="166">
        <f t="shared" si="14"/>
        <v>5490.86</v>
      </c>
      <c r="J77" s="167">
        <f t="shared" si="11"/>
        <v>1.3329685051251239E-3</v>
      </c>
      <c r="K77" s="458"/>
      <c r="L77" s="449"/>
      <c r="M77" s="446"/>
      <c r="O77" s="324">
        <f t="shared" si="12"/>
        <v>0.31214029901654256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'[45]Sch C'!D66</f>
        <v>0</v>
      </c>
      <c r="D78" s="480">
        <f>'[45]Sch C'!F66</f>
        <v>0</v>
      </c>
      <c r="E78" s="480">
        <f>+'[45]Sch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520"/>
      <c r="L78" s="449"/>
      <c r="M78" s="446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'[45]Sch C'!D67</f>
        <v>0</v>
      </c>
      <c r="D79" s="480">
        <f>'[45]Sch C'!F67</f>
        <v>0</v>
      </c>
      <c r="E79" s="480">
        <f>+'[45]Sch C'!H67</f>
        <v>0</v>
      </c>
      <c r="F79" s="166">
        <f t="shared" si="13"/>
        <v>0</v>
      </c>
      <c r="G79" s="626">
        <v>50622</v>
      </c>
      <c r="H79" s="166"/>
      <c r="I79" s="166">
        <f t="shared" si="14"/>
        <v>50622</v>
      </c>
      <c r="J79" s="167">
        <f t="shared" si="11"/>
        <v>1.2289064311682328E-2</v>
      </c>
      <c r="K79" s="458"/>
      <c r="L79" s="449"/>
      <c r="M79" s="446"/>
      <c r="O79" s="324">
        <f t="shared" si="12"/>
        <v>2.8777215621624697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'[45]Sch C'!D68</f>
        <v>0</v>
      </c>
      <c r="D80" s="480">
        <f>'[45]Sch C'!F68</f>
        <v>0</v>
      </c>
      <c r="E80" s="480">
        <f>+'[45]Sch C'!H68</f>
        <v>50622</v>
      </c>
      <c r="F80" s="166">
        <f t="shared" si="13"/>
        <v>50622</v>
      </c>
      <c r="G80" s="626">
        <v>-50622</v>
      </c>
      <c r="H80" s="166"/>
      <c r="I80" s="166">
        <f t="shared" si="14"/>
        <v>0</v>
      </c>
      <c r="J80" s="167">
        <f t="shared" si="11"/>
        <v>0</v>
      </c>
      <c r="K80" s="458"/>
      <c r="L80" s="449"/>
      <c r="M80" s="446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'[45]Sch C'!D69</f>
        <v>0</v>
      </c>
      <c r="D81" s="480">
        <f>'[45]Sch C'!F69</f>
        <v>0</v>
      </c>
      <c r="E81" s="480">
        <f>+'[45]Sch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449"/>
      <c r="M81" s="446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'[45]Sch C'!D70</f>
        <v>0</v>
      </c>
      <c r="D82" s="480">
        <f>'[45]Sch C'!F70</f>
        <v>0</v>
      </c>
      <c r="E82" s="480">
        <f>+'[45]Sch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449"/>
      <c r="M82" s="446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'[45]Sch C'!D71</f>
        <v>0</v>
      </c>
      <c r="D83" s="480">
        <f>'[45]Sch C'!F71</f>
        <v>0</v>
      </c>
      <c r="E83" s="480">
        <f>+'[45]Sch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449"/>
      <c r="M83" s="446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308517.17</v>
      </c>
      <c r="D84" s="480">
        <f t="shared" si="15"/>
        <v>0</v>
      </c>
      <c r="E84" s="480">
        <f t="shared" si="15"/>
        <v>34083.989999999991</v>
      </c>
      <c r="F84" s="166">
        <f t="shared" ref="F84:I84" si="16">SUM(F69:F83)</f>
        <v>342601.16</v>
      </c>
      <c r="G84" s="166">
        <f t="shared" si="16"/>
        <v>0</v>
      </c>
      <c r="H84" s="166">
        <f t="shared" si="16"/>
        <v>0</v>
      </c>
      <c r="I84" s="166">
        <f t="shared" si="16"/>
        <v>342601.16</v>
      </c>
      <c r="J84" s="167">
        <f t="shared" si="11"/>
        <v>8.3170315050708529E-2</v>
      </c>
      <c r="K84" s="458"/>
      <c r="L84" s="449"/>
      <c r="M84" s="446"/>
      <c r="O84" s="324">
        <f t="shared" si="12"/>
        <v>19.475934284577338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446"/>
      <c r="M85" s="446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446"/>
      <c r="M86" s="446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'[45]Sch C'!D75</f>
        <v>33419.47</v>
      </c>
      <c r="D87" s="480">
        <f>'[45]Sch C'!F75</f>
        <v>-1575</v>
      </c>
      <c r="E87" s="480">
        <f>+'[45]Sch C'!H75</f>
        <v>0</v>
      </c>
      <c r="F87" s="166">
        <f t="shared" ref="F87:F97" si="17">C87+D87+E87</f>
        <v>31844.47</v>
      </c>
      <c r="G87" s="626"/>
      <c r="H87" s="166"/>
      <c r="I87" s="166">
        <f t="shared" ref="I87:I97" si="18">F87+G87+H87</f>
        <v>31844.47</v>
      </c>
      <c r="J87" s="167">
        <f t="shared" ref="J87:J98" si="19">IF($I$213=0,0,I87/$I$213)</f>
        <v>7.7306060566836267E-3</v>
      </c>
      <c r="K87" s="458"/>
      <c r="L87" s="564">
        <v>1318.55</v>
      </c>
      <c r="M87" s="564">
        <v>1478.08</v>
      </c>
      <c r="O87" s="324">
        <f t="shared" ref="O87:O97" si="20">I87/I$233</f>
        <v>1.8102705929168326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'[45]Sch C'!D76</f>
        <v>0</v>
      </c>
      <c r="D88" s="480">
        <f>'[45]Sch C'!F76</f>
        <v>6894.16</v>
      </c>
      <c r="E88" s="480">
        <f>+'[45]Sch C'!H76</f>
        <v>0</v>
      </c>
      <c r="F88" s="166">
        <f t="shared" si="17"/>
        <v>6894.16</v>
      </c>
      <c r="G88" s="626"/>
      <c r="H88" s="166"/>
      <c r="I88" s="166">
        <f t="shared" si="18"/>
        <v>6894.16</v>
      </c>
      <c r="J88" s="167">
        <f t="shared" si="19"/>
        <v>1.6736354868442146E-3</v>
      </c>
      <c r="K88" s="458"/>
      <c r="L88" s="446"/>
      <c r="M88" s="446"/>
      <c r="O88" s="324">
        <f t="shared" si="20"/>
        <v>0.39191404695582965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'[45]Sch C'!D77</f>
        <v>7460.26</v>
      </c>
      <c r="D89" s="480">
        <f>'[45]Sch C'!F77</f>
        <v>0</v>
      </c>
      <c r="E89" s="480">
        <f>+'[45]Sch C'!H77</f>
        <v>0</v>
      </c>
      <c r="F89" s="166">
        <f t="shared" si="17"/>
        <v>7460.26</v>
      </c>
      <c r="G89" s="626"/>
      <c r="H89" s="166"/>
      <c r="I89" s="166">
        <f t="shared" si="18"/>
        <v>7460.26</v>
      </c>
      <c r="J89" s="167">
        <f t="shared" si="19"/>
        <v>1.8110626787142192E-3</v>
      </c>
      <c r="K89" s="458"/>
      <c r="L89" s="446"/>
      <c r="M89" s="446"/>
      <c r="O89" s="324">
        <f t="shared" si="20"/>
        <v>0.42409527599340574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'[45]Sch C'!D78</f>
        <v>5107.58</v>
      </c>
      <c r="D90" s="480">
        <f>'[45]Sch C'!F78</f>
        <v>0</v>
      </c>
      <c r="E90" s="480">
        <f>+'[45]Sch C'!H78</f>
        <v>0</v>
      </c>
      <c r="F90" s="166">
        <f t="shared" si="17"/>
        <v>5107.58</v>
      </c>
      <c r="G90" s="626"/>
      <c r="H90" s="166"/>
      <c r="I90" s="166">
        <f t="shared" si="18"/>
        <v>5107.58</v>
      </c>
      <c r="J90" s="167">
        <f t="shared" si="19"/>
        <v>1.2399229405606737E-3</v>
      </c>
      <c r="K90" s="457"/>
      <c r="L90" s="446"/>
      <c r="M90" s="446"/>
      <c r="O90" s="324">
        <f t="shared" si="20"/>
        <v>0.2903518844863851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'[45]Sch C'!D79</f>
        <v>31913.49</v>
      </c>
      <c r="D91" s="480">
        <f>'[45]Sch C'!F79</f>
        <v>0</v>
      </c>
      <c r="E91" s="480">
        <f>+'[45]Sch C'!H79</f>
        <v>0</v>
      </c>
      <c r="F91" s="166">
        <f t="shared" si="17"/>
        <v>31913.49</v>
      </c>
      <c r="G91" s="626"/>
      <c r="H91" s="166"/>
      <c r="I91" s="166">
        <f t="shared" si="18"/>
        <v>31913.49</v>
      </c>
      <c r="J91" s="167">
        <f t="shared" si="19"/>
        <v>7.7473614440407507E-3</v>
      </c>
      <c r="K91" s="457"/>
      <c r="L91" s="446"/>
      <c r="M91" s="446"/>
      <c r="O91" s="324">
        <f t="shared" si="20"/>
        <v>1.8141941902109033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'[45]Sch C'!D80</f>
        <v>35578.79</v>
      </c>
      <c r="D92" s="480">
        <f>'[45]Sch C'!F80</f>
        <v>0</v>
      </c>
      <c r="E92" s="480">
        <f>+'[45]Sch C'!H80</f>
        <v>0</v>
      </c>
      <c r="F92" s="166">
        <f t="shared" si="17"/>
        <v>35578.79</v>
      </c>
      <c r="G92" s="626"/>
      <c r="H92" s="166"/>
      <c r="I92" s="166">
        <f t="shared" si="18"/>
        <v>35578.79</v>
      </c>
      <c r="J92" s="167">
        <f t="shared" si="19"/>
        <v>8.6371545660353221E-3</v>
      </c>
      <c r="K92" s="458"/>
      <c r="L92" s="446"/>
      <c r="M92" s="446"/>
      <c r="O92" s="324">
        <f t="shared" si="20"/>
        <v>2.0225564208970495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'[45]Sch C'!D81</f>
        <v>0</v>
      </c>
      <c r="D93" s="480">
        <f>'[45]Sch C'!F81</f>
        <v>0</v>
      </c>
      <c r="E93" s="480">
        <f>+'[45]Sch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446"/>
      <c r="M93" s="446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'[45]Sch C'!D82</f>
        <v>0</v>
      </c>
      <c r="D94" s="480">
        <f>'[45]Sch C'!F82</f>
        <v>0</v>
      </c>
      <c r="E94" s="480">
        <f>+'[45]Sch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446"/>
      <c r="M94" s="446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'[45]Sch C'!D83</f>
        <v>10079.629999999999</v>
      </c>
      <c r="D95" s="480">
        <f>'[45]Sch C'!F83</f>
        <v>0</v>
      </c>
      <c r="E95" s="480">
        <f>+'[45]Sch C'!H83</f>
        <v>0</v>
      </c>
      <c r="F95" s="166">
        <f t="shared" si="17"/>
        <v>10079.629999999999</v>
      </c>
      <c r="G95" s="626"/>
      <c r="H95" s="166"/>
      <c r="I95" s="166">
        <f t="shared" si="18"/>
        <v>10079.629999999999</v>
      </c>
      <c r="J95" s="167">
        <f t="shared" si="19"/>
        <v>2.4469444373585109E-3</v>
      </c>
      <c r="K95" s="458"/>
      <c r="L95" s="446"/>
      <c r="M95" s="446"/>
      <c r="O95" s="324">
        <f t="shared" si="20"/>
        <v>0.57299926098573128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'[45]Sch C'!D84</f>
        <v>61336.76</v>
      </c>
      <c r="D96" s="480">
        <f>'[45]Sch C'!F84</f>
        <v>0</v>
      </c>
      <c r="E96" s="480">
        <f>+'[45]Sch C'!H84</f>
        <v>0</v>
      </c>
      <c r="F96" s="166">
        <f t="shared" si="17"/>
        <v>61336.76</v>
      </c>
      <c r="G96" s="626"/>
      <c r="H96" s="166"/>
      <c r="I96" s="166">
        <f t="shared" si="18"/>
        <v>61336.76</v>
      </c>
      <c r="J96" s="167">
        <f t="shared" si="19"/>
        <v>1.4890193755881321E-2</v>
      </c>
      <c r="K96" s="458"/>
      <c r="L96" s="446"/>
      <c r="M96" s="446"/>
      <c r="O96" s="324">
        <f t="shared" si="20"/>
        <v>3.4868262179523621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'[45]Sch C'!D85</f>
        <v>0</v>
      </c>
      <c r="D97" s="480">
        <f>'[45]Sch C'!F85</f>
        <v>0</v>
      </c>
      <c r="E97" s="480">
        <f>+'[45]Sch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446"/>
      <c r="M97" s="446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184895.98</v>
      </c>
      <c r="D98" s="480">
        <f t="shared" si="21"/>
        <v>5319.16</v>
      </c>
      <c r="E98" s="480">
        <f t="shared" si="21"/>
        <v>0</v>
      </c>
      <c r="F98" s="166">
        <f t="shared" ref="F98:I98" si="22">SUM(F87:F97)</f>
        <v>190215.14</v>
      </c>
      <c r="G98" s="166">
        <f t="shared" si="22"/>
        <v>0</v>
      </c>
      <c r="H98" s="166">
        <f t="shared" si="22"/>
        <v>0</v>
      </c>
      <c r="I98" s="166">
        <f t="shared" si="22"/>
        <v>190215.14</v>
      </c>
      <c r="J98" s="167">
        <f t="shared" si="19"/>
        <v>4.6176881366118638E-2</v>
      </c>
      <c r="K98" s="458"/>
      <c r="L98" s="446"/>
      <c r="M98" s="446"/>
      <c r="O98" s="329">
        <f>I98/I$233</f>
        <v>10.8132078903985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446"/>
      <c r="M99" s="446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446"/>
      <c r="M100" s="446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'[45]Sch C'!D89</f>
        <v>160663.75</v>
      </c>
      <c r="D101" s="480">
        <f>'[45]Sch C'!F89</f>
        <v>0</v>
      </c>
      <c r="E101" s="480">
        <f>+'[45]Sch C'!H89</f>
        <v>0</v>
      </c>
      <c r="F101" s="166">
        <f t="shared" ref="F101:F106" si="23">C101+D101+E101</f>
        <v>160663.75</v>
      </c>
      <c r="G101" s="626"/>
      <c r="H101" s="166"/>
      <c r="I101" s="166">
        <f t="shared" ref="I101:I106" si="24">F101+G101+H101</f>
        <v>160663.75</v>
      </c>
      <c r="J101" s="167">
        <f t="shared" ref="J101:J107" si="25">IF($I$213=0,0,I101/$I$213)</f>
        <v>3.9002946472009241E-2</v>
      </c>
      <c r="K101" s="458"/>
      <c r="L101" s="564">
        <v>12939.949999999999</v>
      </c>
      <c r="M101" s="564">
        <v>14259.800000000001</v>
      </c>
      <c r="O101" s="329">
        <f t="shared" ref="O101:O106" si="26">I101/I$233</f>
        <v>9.1332925928031372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'[45]Sch C'!D90</f>
        <v>0</v>
      </c>
      <c r="D102" s="480">
        <f>'[45]Sch C'!F90</f>
        <v>33144.11</v>
      </c>
      <c r="E102" s="480">
        <f>+'[45]Sch C'!H90</f>
        <v>0</v>
      </c>
      <c r="F102" s="166">
        <f t="shared" si="23"/>
        <v>33144.11</v>
      </c>
      <c r="G102" s="626"/>
      <c r="H102" s="166"/>
      <c r="I102" s="166">
        <f t="shared" si="24"/>
        <v>33144.11</v>
      </c>
      <c r="J102" s="167">
        <f t="shared" si="25"/>
        <v>8.0461083983934534E-3</v>
      </c>
      <c r="K102" s="458"/>
      <c r="L102" s="446"/>
      <c r="M102" s="446"/>
      <c r="O102" s="329">
        <f t="shared" si="26"/>
        <v>1.8841515547723269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'[45]Sch C'!D91</f>
        <v>3628.8</v>
      </c>
      <c r="D103" s="480">
        <f>'[45]Sch C'!F91</f>
        <v>0</v>
      </c>
      <c r="E103" s="480">
        <f>+'[45]Sch C'!H91</f>
        <v>0</v>
      </c>
      <c r="F103" s="166">
        <f t="shared" si="23"/>
        <v>3628.8</v>
      </c>
      <c r="G103" s="626"/>
      <c r="H103" s="166"/>
      <c r="I103" s="166">
        <f t="shared" si="24"/>
        <v>3628.8</v>
      </c>
      <c r="J103" s="167">
        <f t="shared" si="25"/>
        <v>8.8093233325891576E-4</v>
      </c>
      <c r="K103" s="458"/>
      <c r="L103" s="446"/>
      <c r="M103" s="446"/>
      <c r="O103" s="329">
        <f t="shared" si="26"/>
        <v>0.2062873060087545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'[45]Sch C'!D92</f>
        <v>131254.62</v>
      </c>
      <c r="D104" s="480">
        <f>'[45]Sch C'!F92</f>
        <v>-3343.45</v>
      </c>
      <c r="E104" s="480">
        <f>+'[45]Sch C'!H92</f>
        <v>0</v>
      </c>
      <c r="F104" s="166">
        <f t="shared" si="23"/>
        <v>127911.17</v>
      </c>
      <c r="G104" s="626"/>
      <c r="H104" s="166"/>
      <c r="I104" s="166">
        <f t="shared" si="24"/>
        <v>127911.17</v>
      </c>
      <c r="J104" s="167">
        <f t="shared" si="25"/>
        <v>3.1051886419195828E-2</v>
      </c>
      <c r="K104" s="458"/>
      <c r="L104" s="446"/>
      <c r="M104" s="446"/>
      <c r="O104" s="329">
        <f t="shared" si="26"/>
        <v>7.2713984423853102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'[45]Sch C'!D93</f>
        <v>15985.32</v>
      </c>
      <c r="D105" s="480">
        <f>'[45]Sch C'!F93</f>
        <v>0</v>
      </c>
      <c r="E105" s="480">
        <f>+'[45]Sch C'!H93</f>
        <v>0</v>
      </c>
      <c r="F105" s="166">
        <f t="shared" si="23"/>
        <v>15985.32</v>
      </c>
      <c r="G105" s="626"/>
      <c r="H105" s="166"/>
      <c r="I105" s="166">
        <f t="shared" si="24"/>
        <v>15985.32</v>
      </c>
      <c r="J105" s="167">
        <f t="shared" si="25"/>
        <v>3.8806176271743856E-3</v>
      </c>
      <c r="K105" s="458"/>
      <c r="L105" s="446"/>
      <c r="M105" s="446"/>
      <c r="O105" s="329">
        <f t="shared" si="26"/>
        <v>0.908721505315218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'[45]Sch C'!D94</f>
        <v>0</v>
      </c>
      <c r="D106" s="480">
        <f>'[45]Sch C'!F94</f>
        <v>0</v>
      </c>
      <c r="E106" s="480">
        <f>+'[45]Sch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446"/>
      <c r="M106" s="446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311532.49</v>
      </c>
      <c r="D107" s="480">
        <f t="shared" si="27"/>
        <v>29800.66</v>
      </c>
      <c r="E107" s="480">
        <f t="shared" si="27"/>
        <v>0</v>
      </c>
      <c r="F107" s="166">
        <f t="shared" ref="F107:I107" si="28">SUM(F101:F106)</f>
        <v>341333.14999999997</v>
      </c>
      <c r="G107" s="166">
        <f t="shared" si="28"/>
        <v>0</v>
      </c>
      <c r="H107" s="166">
        <f t="shared" si="28"/>
        <v>0</v>
      </c>
      <c r="I107" s="166">
        <f t="shared" si="28"/>
        <v>341333.14999999997</v>
      </c>
      <c r="J107" s="167">
        <f t="shared" si="25"/>
        <v>8.2862491250031811E-2</v>
      </c>
      <c r="K107" s="458"/>
      <c r="L107" s="446"/>
      <c r="M107" s="446"/>
      <c r="O107" s="329">
        <f>I107/I$233</f>
        <v>19.403851401284747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446"/>
      <c r="M108" s="446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446"/>
      <c r="M109" s="446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'[45]Sch C'!D98</f>
        <v>0</v>
      </c>
      <c r="D110" s="480">
        <f>'[45]Sch C'!F98</f>
        <v>0</v>
      </c>
      <c r="E110" s="480">
        <f>+'[45]Sch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564">
        <v>0</v>
      </c>
      <c r="M110" s="564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'[45]Sch C'!D99</f>
        <v>0</v>
      </c>
      <c r="D111" s="480">
        <f>'[45]Sch C'!F99</f>
        <v>0</v>
      </c>
      <c r="E111" s="480">
        <f>+'[45]Sch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446"/>
      <c r="M111" s="446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'[45]Sch C'!D100</f>
        <v>0</v>
      </c>
      <c r="D112" s="480">
        <f>'[45]Sch C'!F100</f>
        <v>0</v>
      </c>
      <c r="E112" s="480">
        <f>+'[45]Sch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446"/>
      <c r="M112" s="446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'[45]Sch C'!D101</f>
        <v>30026.95</v>
      </c>
      <c r="D113" s="480">
        <f>'[45]Sch C'!F101</f>
        <v>0</v>
      </c>
      <c r="E113" s="480">
        <f>+'[45]Sch C'!H101</f>
        <v>0</v>
      </c>
      <c r="F113" s="166">
        <f t="shared" si="29"/>
        <v>30026.95</v>
      </c>
      <c r="G113" s="626"/>
      <c r="H113" s="166"/>
      <c r="I113" s="166">
        <f t="shared" si="30"/>
        <v>30026.95</v>
      </c>
      <c r="J113" s="167">
        <f t="shared" si="31"/>
        <v>7.2893824746882718E-3</v>
      </c>
      <c r="K113" s="458"/>
      <c r="L113" s="446"/>
      <c r="M113" s="446"/>
      <c r="O113" s="329">
        <f t="shared" si="32"/>
        <v>1.7069495764879767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'[45]Sch C'!D102</f>
        <v>670.64</v>
      </c>
      <c r="D114" s="480">
        <f>'[45]Sch C'!F102</f>
        <v>0</v>
      </c>
      <c r="E114" s="480">
        <f>+'[45]Sch C'!H102</f>
        <v>0</v>
      </c>
      <c r="F114" s="166">
        <f t="shared" si="29"/>
        <v>670.64</v>
      </c>
      <c r="G114" s="626"/>
      <c r="H114" s="166"/>
      <c r="I114" s="166">
        <f t="shared" si="30"/>
        <v>670.64</v>
      </c>
      <c r="J114" s="167">
        <f t="shared" si="31"/>
        <v>1.6280546185426566E-4</v>
      </c>
      <c r="K114" s="458"/>
      <c r="L114" s="446"/>
      <c r="M114" s="446"/>
      <c r="O114" s="329">
        <f t="shared" si="32"/>
        <v>3.8124040702632027E-2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'[45]Sch C'!D103</f>
        <v>0</v>
      </c>
      <c r="D115" s="480">
        <f>'[45]Sch C'!F103</f>
        <v>0</v>
      </c>
      <c r="E115" s="480">
        <f>+'[45]Sch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446"/>
      <c r="M115" s="446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30697.59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30697.59</v>
      </c>
      <c r="G116" s="166">
        <f t="shared" si="34"/>
        <v>0</v>
      </c>
      <c r="H116" s="166">
        <f t="shared" si="34"/>
        <v>0</v>
      </c>
      <c r="I116" s="166">
        <f t="shared" si="34"/>
        <v>30697.59</v>
      </c>
      <c r="J116" s="167">
        <f t="shared" si="31"/>
        <v>7.452187936542537E-3</v>
      </c>
      <c r="K116" s="458"/>
      <c r="L116" s="446"/>
      <c r="M116" s="446"/>
      <c r="O116" s="329">
        <f>I116/I$233</f>
        <v>1.7450736171906089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446"/>
      <c r="M117" s="446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446"/>
      <c r="M118" s="446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'[45]Sch C'!D115</f>
        <v>0</v>
      </c>
      <c r="D119" s="480">
        <f>'[45]Sch C'!F115</f>
        <v>0</v>
      </c>
      <c r="E119" s="480">
        <f>+'[45]Sch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564">
        <v>0</v>
      </c>
      <c r="M119" s="564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'[45]Sch C'!D116</f>
        <v>0</v>
      </c>
      <c r="D120" s="480">
        <f>'[45]Sch C'!F116</f>
        <v>0</v>
      </c>
      <c r="E120" s="480">
        <f>+'[45]Sch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446"/>
      <c r="M120" s="446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'[45]Sch C'!D117</f>
        <v>10040.89</v>
      </c>
      <c r="D121" s="480">
        <f>'[45]Sch C'!F117</f>
        <v>0</v>
      </c>
      <c r="E121" s="480">
        <f>+'[45]Sch C'!H117</f>
        <v>0</v>
      </c>
      <c r="F121" s="166">
        <f t="shared" si="35"/>
        <v>10040.89</v>
      </c>
      <c r="G121" s="626"/>
      <c r="H121" s="166"/>
      <c r="I121" s="166">
        <f t="shared" si="36"/>
        <v>10040.89</v>
      </c>
      <c r="J121" s="167">
        <f t="shared" si="37"/>
        <v>2.4375398632319537E-3</v>
      </c>
      <c r="K121" s="458"/>
      <c r="L121" s="446"/>
      <c r="M121" s="446"/>
      <c r="O121" s="329">
        <f t="shared" si="38"/>
        <v>0.57079699846512422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'[45]Sch C'!D118</f>
        <v>72186.899999999994</v>
      </c>
      <c r="D122" s="480">
        <f>'[45]Sch C'!F118</f>
        <v>0</v>
      </c>
      <c r="E122" s="480">
        <f>+'[45]Sch C'!H118</f>
        <v>0</v>
      </c>
      <c r="F122" s="166">
        <f t="shared" si="35"/>
        <v>72186.899999999994</v>
      </c>
      <c r="G122" s="626"/>
      <c r="H122" s="166"/>
      <c r="I122" s="166">
        <f t="shared" si="36"/>
        <v>72186.899999999994</v>
      </c>
      <c r="J122" s="167">
        <f t="shared" si="37"/>
        <v>1.7524188229642863E-2</v>
      </c>
      <c r="K122" s="458"/>
      <c r="L122" s="446"/>
      <c r="M122" s="446"/>
      <c r="O122" s="329">
        <f t="shared" si="38"/>
        <v>4.1036268546415782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'[45]Sch C'!D119</f>
        <v>0</v>
      </c>
      <c r="D123" s="480">
        <f>'[45]Sch C'!F119</f>
        <v>0</v>
      </c>
      <c r="E123" s="480">
        <f>+'[45]Sch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446"/>
      <c r="M123" s="446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82227.789999999994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82227.789999999994</v>
      </c>
      <c r="G124" s="166">
        <f t="shared" si="40"/>
        <v>0</v>
      </c>
      <c r="H124" s="166">
        <f t="shared" si="40"/>
        <v>0</v>
      </c>
      <c r="I124" s="166">
        <f t="shared" si="40"/>
        <v>82227.789999999994</v>
      </c>
      <c r="J124" s="167">
        <f t="shared" si="37"/>
        <v>1.9961728092874817E-2</v>
      </c>
      <c r="K124" s="458"/>
      <c r="L124" s="446"/>
      <c r="M124" s="446"/>
      <c r="O124" s="329">
        <f t="shared" si="38"/>
        <v>4.6744238531067017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427"/>
      <c r="M126" s="427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427"/>
      <c r="M127" s="427"/>
      <c r="O127" s="324"/>
      <c r="P127" s="324"/>
    </row>
    <row r="128" spans="1:16" s="162" customFormat="1">
      <c r="B128" s="323" t="s">
        <v>672</v>
      </c>
      <c r="C128" s="480">
        <f>'[45]Sch C'!D124</f>
        <v>0</v>
      </c>
      <c r="D128" s="480">
        <f>'[45]Sch C'!F124</f>
        <v>0</v>
      </c>
      <c r="E128" s="480">
        <f>+'[45]Sch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564">
        <v>0</v>
      </c>
      <c r="M128" s="564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'[45]Sch C'!D125</f>
        <v>198855.67999999999</v>
      </c>
      <c r="D129" s="480">
        <f>'[45]Sch C'!F125</f>
        <v>0</v>
      </c>
      <c r="E129" s="480">
        <f>+'[45]Sch C'!H125</f>
        <v>0</v>
      </c>
      <c r="F129" s="166">
        <f t="shared" si="41"/>
        <v>198855.67999999999</v>
      </c>
      <c r="G129" s="626"/>
      <c r="H129" s="166"/>
      <c r="I129" s="166">
        <f t="shared" si="42"/>
        <v>198855.67999999999</v>
      </c>
      <c r="J129" s="167">
        <f>IF($I$213=0,0,I129/$I$213)</f>
        <v>4.8274470393570405E-2</v>
      </c>
      <c r="K129" s="458"/>
      <c r="L129" s="564">
        <v>5076.96</v>
      </c>
      <c r="M129" s="564">
        <v>5683.54</v>
      </c>
      <c r="O129" s="329">
        <f t="shared" si="43"/>
        <v>11.30439884031607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'[45]Sch C'!D126</f>
        <v>0</v>
      </c>
      <c r="D130" s="480">
        <f>'[45]Sch C'!F126</f>
        <v>0</v>
      </c>
      <c r="E130" s="480">
        <f>+'[45]Sch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564">
        <v>0</v>
      </c>
      <c r="M130" s="564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'[45]Sch C'!D127</f>
        <v>0</v>
      </c>
      <c r="D131" s="480">
        <f>'[45]Sch C'!F127</f>
        <v>0</v>
      </c>
      <c r="E131" s="480">
        <f>+'[45]Sch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564">
        <v>0</v>
      </c>
      <c r="M131" s="564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'[45]Sch C'!D128</f>
        <v>35212.26</v>
      </c>
      <c r="D132" s="480">
        <f>'[45]Sch C'!F128</f>
        <v>0</v>
      </c>
      <c r="E132" s="480">
        <f>+'[45]Sch C'!H128</f>
        <v>0</v>
      </c>
      <c r="F132" s="166">
        <f t="shared" si="41"/>
        <v>35212.26</v>
      </c>
      <c r="G132" s="626"/>
      <c r="H132" s="166"/>
      <c r="I132" s="166">
        <f t="shared" si="42"/>
        <v>35212.26</v>
      </c>
      <c r="J132" s="167">
        <f>IF($I$213=0,0,I132/$I$213)</f>
        <v>8.5481752538358654E-3</v>
      </c>
      <c r="K132" s="458"/>
      <c r="L132" s="564">
        <v>2175.1999999999998</v>
      </c>
      <c r="M132" s="564">
        <v>2518.5299999999997</v>
      </c>
      <c r="O132" s="329">
        <f t="shared" si="43"/>
        <v>2.0017201978284351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450"/>
      <c r="M133" s="450"/>
      <c r="O133" s="329"/>
      <c r="P133" s="324"/>
    </row>
    <row r="134" spans="1:16" s="162" customFormat="1">
      <c r="A134" s="164"/>
      <c r="B134" s="257" t="s">
        <v>680</v>
      </c>
      <c r="C134" s="480">
        <f>'[45]Sch C'!D130</f>
        <v>0</v>
      </c>
      <c r="D134" s="480">
        <f>'[45]Sch C'!F130</f>
        <v>0</v>
      </c>
      <c r="E134" s="480">
        <f>+'[45]Sch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427"/>
      <c r="M134" s="427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'[45]Sch C'!D131</f>
        <v>0</v>
      </c>
      <c r="D135" s="480">
        <f>'[45]Sch C'!F131</f>
        <v>41022.910000000003</v>
      </c>
      <c r="E135" s="480">
        <f>+'[45]Sch C'!H131</f>
        <v>0</v>
      </c>
      <c r="F135" s="166">
        <f t="shared" si="44"/>
        <v>41022.910000000003</v>
      </c>
      <c r="G135" s="626"/>
      <c r="H135" s="166"/>
      <c r="I135" s="166">
        <f t="shared" si="45"/>
        <v>41022.910000000003</v>
      </c>
      <c r="J135" s="167">
        <f>IF($I$213=0,0,I135/$I$213)</f>
        <v>9.9587764063521021E-3</v>
      </c>
      <c r="K135" s="458"/>
      <c r="L135" s="427"/>
      <c r="M135" s="427"/>
      <c r="O135" s="329">
        <f t="shared" si="43"/>
        <v>2.3320396793815021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'[45]Sch C'!D132</f>
        <v>0</v>
      </c>
      <c r="D136" s="480">
        <f>'[45]Sch C'!F132</f>
        <v>0</v>
      </c>
      <c r="E136" s="480">
        <f>+'[45]Sch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446"/>
      <c r="M136" s="446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'[45]Sch C'!D133</f>
        <v>0</v>
      </c>
      <c r="D137" s="480">
        <f>'[45]Sch C'!F133</f>
        <v>0</v>
      </c>
      <c r="E137" s="480">
        <f>+'[45]Sch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446"/>
      <c r="M137" s="446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'[45]Sch C'!D134</f>
        <v>0</v>
      </c>
      <c r="D138" s="480">
        <f>'[45]Sch C'!F134</f>
        <v>7264.04</v>
      </c>
      <c r="E138" s="480">
        <f>+'[45]Sch C'!H134</f>
        <v>0</v>
      </c>
      <c r="F138" s="166">
        <f t="shared" si="44"/>
        <v>7264.04</v>
      </c>
      <c r="G138" s="626"/>
      <c r="H138" s="166"/>
      <c r="I138" s="166">
        <f t="shared" si="45"/>
        <v>7264.04</v>
      </c>
      <c r="J138" s="167">
        <f>IF($I$213=0,0,I138/$I$213)</f>
        <v>1.7634280495166705E-3</v>
      </c>
      <c r="K138" s="458"/>
      <c r="L138" s="446"/>
      <c r="M138" s="446"/>
      <c r="O138" s="329">
        <f t="shared" si="43"/>
        <v>0.41294070831675289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427"/>
      <c r="M139" s="427"/>
      <c r="O139" s="329"/>
      <c r="P139" s="324"/>
    </row>
    <row r="140" spans="1:16" s="162" customFormat="1">
      <c r="A140" s="164"/>
      <c r="B140" s="323" t="s">
        <v>686</v>
      </c>
      <c r="C140" s="480">
        <f>'[45]Sch C'!D136</f>
        <v>230921</v>
      </c>
      <c r="D140" s="480">
        <f>'[45]Sch C'!F136</f>
        <v>0</v>
      </c>
      <c r="E140" s="480">
        <f>+'[45]Sch C'!H136</f>
        <v>0</v>
      </c>
      <c r="F140" s="166">
        <f t="shared" ref="F140:F143" si="46">C140+D140+E140</f>
        <v>230921</v>
      </c>
      <c r="G140" s="626"/>
      <c r="H140" s="166"/>
      <c r="I140" s="166">
        <f t="shared" ref="I140:I143" si="47">F140+G140+H140</f>
        <v>230921</v>
      </c>
      <c r="J140" s="167">
        <f>IF($I$213=0,0,I140/$I$213)</f>
        <v>5.6058690291138136E-2</v>
      </c>
      <c r="K140" s="458"/>
      <c r="L140" s="564">
        <v>7775.05</v>
      </c>
      <c r="M140" s="564">
        <v>8486.17</v>
      </c>
      <c r="O140" s="329">
        <f t="shared" si="43"/>
        <v>13.12722414871241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'[45]Sch C'!D137</f>
        <v>278712</v>
      </c>
      <c r="D141" s="480">
        <f>'[45]Sch C'!F137</f>
        <v>0</v>
      </c>
      <c r="E141" s="480">
        <f>+'[45]Sch C'!H137</f>
        <v>0</v>
      </c>
      <c r="F141" s="166">
        <f t="shared" si="46"/>
        <v>278712</v>
      </c>
      <c r="G141" s="626"/>
      <c r="H141" s="166"/>
      <c r="I141" s="166">
        <f t="shared" si="47"/>
        <v>278712</v>
      </c>
      <c r="J141" s="167">
        <f>IF($I$213=0,0,I141/$I$213)</f>
        <v>6.7660497262802835E-2</v>
      </c>
      <c r="K141" s="458"/>
      <c r="L141" s="564">
        <v>9832.130000000001</v>
      </c>
      <c r="M141" s="564">
        <v>10398.57</v>
      </c>
      <c r="O141" s="329">
        <f t="shared" si="43"/>
        <v>15.844011142061282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'[45]Sch C'!D138</f>
        <v>605526.06000000006</v>
      </c>
      <c r="D142" s="480">
        <f>'[45]Sch C'!F138</f>
        <v>0</v>
      </c>
      <c r="E142" s="480">
        <f>+'[45]Sch C'!H138</f>
        <v>0</v>
      </c>
      <c r="F142" s="166">
        <f t="shared" si="46"/>
        <v>605526.06000000006</v>
      </c>
      <c r="G142" s="626"/>
      <c r="H142" s="166"/>
      <c r="I142" s="166">
        <f t="shared" si="47"/>
        <v>605526.06000000006</v>
      </c>
      <c r="J142" s="167">
        <f>IF($I$213=0,0,I142/$I$213)</f>
        <v>0.146998314838205</v>
      </c>
      <c r="K142" s="458"/>
      <c r="L142" s="564">
        <v>40458.409999999996</v>
      </c>
      <c r="M142" s="564">
        <v>44020.170000000006</v>
      </c>
      <c r="O142" s="329">
        <f t="shared" si="43"/>
        <v>34.422492183502932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'[45]Sch C'!D139</f>
        <v>0</v>
      </c>
      <c r="D143" s="480">
        <f>'[45]Sch C'!F139</f>
        <v>0</v>
      </c>
      <c r="E143" s="480">
        <f>+'[45]Sch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564">
        <v>0</v>
      </c>
      <c r="M143" s="564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451"/>
      <c r="M144" s="451"/>
      <c r="O144" s="329"/>
      <c r="P144" s="324"/>
    </row>
    <row r="145" spans="1:16" s="162" customFormat="1">
      <c r="A145" s="164"/>
      <c r="B145" s="323" t="s">
        <v>681</v>
      </c>
      <c r="C145" s="480">
        <f>'[45]Sch C'!D141</f>
        <v>0</v>
      </c>
      <c r="D145" s="480">
        <f>'[45]Sch C'!F141</f>
        <v>47637.74</v>
      </c>
      <c r="E145" s="480">
        <f>+'[45]Sch C'!H141</f>
        <v>0</v>
      </c>
      <c r="F145" s="166">
        <f t="shared" ref="F145:F148" si="48">C145+D145+E145</f>
        <v>47637.74</v>
      </c>
      <c r="G145" s="626"/>
      <c r="H145" s="166"/>
      <c r="I145" s="166">
        <f t="shared" ref="I145:I148" si="49">F145+G145+H145</f>
        <v>47637.74</v>
      </c>
      <c r="J145" s="167">
        <f>IF($I$213=0,0,I145/$I$213)</f>
        <v>1.1564601369428345E-2</v>
      </c>
      <c r="K145" s="458"/>
      <c r="L145" s="446"/>
      <c r="M145" s="446"/>
      <c r="O145" s="329">
        <f t="shared" si="43"/>
        <v>2.7080745835938833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'[45]Sch C'!D142</f>
        <v>0</v>
      </c>
      <c r="D146" s="480">
        <f>'[45]Sch C'!F142</f>
        <v>57496.76</v>
      </c>
      <c r="E146" s="480">
        <f>+'[45]Sch C'!H142</f>
        <v>0</v>
      </c>
      <c r="F146" s="166">
        <f t="shared" si="48"/>
        <v>57496.76</v>
      </c>
      <c r="G146" s="626"/>
      <c r="H146" s="166"/>
      <c r="I146" s="166">
        <f t="shared" si="49"/>
        <v>57496.76</v>
      </c>
      <c r="J146" s="167">
        <f>IF($I$213=0,0,I146/$I$213)</f>
        <v>1.3957990228623209E-2</v>
      </c>
      <c r="K146" s="458"/>
      <c r="L146" s="446"/>
      <c r="M146" s="446"/>
      <c r="O146" s="329">
        <f t="shared" si="43"/>
        <v>3.2685327724404525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'[45]Sch C'!D143</f>
        <v>0</v>
      </c>
      <c r="D147" s="480">
        <f>'[45]Sch C'!F143</f>
        <v>124916.7</v>
      </c>
      <c r="E147" s="480">
        <f>+'[45]Sch C'!H143</f>
        <v>0</v>
      </c>
      <c r="F147" s="166">
        <f t="shared" si="48"/>
        <v>124916.7</v>
      </c>
      <c r="G147" s="626"/>
      <c r="H147" s="166"/>
      <c r="I147" s="166">
        <f t="shared" si="49"/>
        <v>124916.7</v>
      </c>
      <c r="J147" s="167">
        <f>IF($I$213=0,0,I147/$I$213)</f>
        <v>3.0324944883709213E-2</v>
      </c>
      <c r="K147" s="458"/>
      <c r="L147" s="446"/>
      <c r="M147" s="446"/>
      <c r="O147" s="329">
        <f t="shared" si="43"/>
        <v>7.1011710533795691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'[45]Sch C'!D144</f>
        <v>0</v>
      </c>
      <c r="D148" s="480">
        <f>'[45]Sch C'!F144</f>
        <v>0</v>
      </c>
      <c r="E148" s="480">
        <f>+'[45]Sch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446"/>
      <c r="M148" s="446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427"/>
      <c r="M149" s="427"/>
      <c r="O149" s="329"/>
      <c r="P149" s="324"/>
    </row>
    <row r="150" spans="1:16" s="162" customFormat="1">
      <c r="A150" s="164"/>
      <c r="B150" s="323" t="s">
        <v>694</v>
      </c>
      <c r="C150" s="480">
        <f>'[45]Sch C'!D146</f>
        <v>39600</v>
      </c>
      <c r="D150" s="480">
        <f>'[45]Sch C'!F146</f>
        <v>0</v>
      </c>
      <c r="E150" s="480">
        <f>+'[45]Sch C'!H146</f>
        <v>0</v>
      </c>
      <c r="F150" s="166">
        <f t="shared" ref="F150:F158" si="50">C150+D150+E150</f>
        <v>39600</v>
      </c>
      <c r="G150" s="626"/>
      <c r="H150" s="166"/>
      <c r="I150" s="166">
        <f t="shared" ref="I150:I158" si="51">F150+G150+H150</f>
        <v>39600</v>
      </c>
      <c r="J150" s="167">
        <f t="shared" ref="J150:J158" si="52">IF($I$213=0,0,I150/$I$213)</f>
        <v>9.6133488748492788E-3</v>
      </c>
      <c r="K150" s="458"/>
      <c r="L150" s="564">
        <v>0</v>
      </c>
      <c r="M150" s="564">
        <v>0</v>
      </c>
      <c r="O150" s="329">
        <f t="shared" si="43"/>
        <v>2.2511511568415665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'[45]Sch C'!D147</f>
        <v>0</v>
      </c>
      <c r="D151" s="480">
        <f>'[45]Sch C'!F147</f>
        <v>0</v>
      </c>
      <c r="E151" s="480">
        <f>+'[45]Sch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564">
        <v>0</v>
      </c>
      <c r="M151" s="564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'[45]Sch C'!D148</f>
        <v>0</v>
      </c>
      <c r="D152" s="480">
        <f>'[45]Sch C'!F148</f>
        <v>0</v>
      </c>
      <c r="E152" s="480">
        <f>+'[45]Sch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564">
        <v>0</v>
      </c>
      <c r="M152" s="564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'[45]Sch C'!D149</f>
        <v>0</v>
      </c>
      <c r="D153" s="480">
        <f>'[45]Sch C'!F149</f>
        <v>0</v>
      </c>
      <c r="E153" s="480">
        <f>+'[45]Sch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564">
        <v>0</v>
      </c>
      <c r="M153" s="564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'[45]Sch C'!D150</f>
        <v>8840.98</v>
      </c>
      <c r="D154" s="480">
        <f>'[45]Sch C'!F150</f>
        <v>0</v>
      </c>
      <c r="E154" s="480">
        <f>+'[45]Sch C'!H150</f>
        <v>0</v>
      </c>
      <c r="F154" s="166">
        <f t="shared" si="50"/>
        <v>8840.98</v>
      </c>
      <c r="G154" s="626"/>
      <c r="H154" s="166"/>
      <c r="I154" s="166">
        <f t="shared" si="51"/>
        <v>8840.98</v>
      </c>
      <c r="J154" s="167">
        <f t="shared" si="52"/>
        <v>2.1462481094839639E-3</v>
      </c>
      <c r="K154" s="458"/>
      <c r="L154" s="564">
        <v>0</v>
      </c>
      <c r="M154" s="564">
        <v>0</v>
      </c>
      <c r="O154" s="329">
        <f t="shared" si="43"/>
        <v>0.5025854129952817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'[45]Sch C'!D151</f>
        <v>96356.66</v>
      </c>
      <c r="D155" s="480">
        <f>'[45]Sch C'!F151</f>
        <v>0</v>
      </c>
      <c r="E155" s="480">
        <f>+'[45]Sch C'!H151</f>
        <v>0</v>
      </c>
      <c r="F155" s="166">
        <f t="shared" si="50"/>
        <v>96356.66</v>
      </c>
      <c r="G155" s="626"/>
      <c r="H155" s="166"/>
      <c r="I155" s="166">
        <f t="shared" si="51"/>
        <v>96356.66</v>
      </c>
      <c r="J155" s="167">
        <f t="shared" si="52"/>
        <v>2.3391671439273599E-2</v>
      </c>
      <c r="K155" s="457"/>
      <c r="L155" s="446"/>
      <c r="M155" s="446"/>
      <c r="O155" s="329">
        <f t="shared" si="43"/>
        <v>5.4776112784946847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'[45]Sch C'!D152</f>
        <v>0</v>
      </c>
      <c r="D156" s="480">
        <f>'[45]Sch C'!F152</f>
        <v>0</v>
      </c>
      <c r="E156" s="480">
        <f>+'[45]Sch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446"/>
      <c r="M156" s="446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'[45]Sch C'!D153</f>
        <v>0</v>
      </c>
      <c r="D157" s="480">
        <f>'[45]Sch C'!F153</f>
        <v>0</v>
      </c>
      <c r="E157" s="480">
        <f>+'[45]Sch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446"/>
      <c r="M157" s="446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'[45]Sch C'!D154</f>
        <v>0</v>
      </c>
      <c r="D158" s="480">
        <f>'[45]Sch C'!F154</f>
        <v>0</v>
      </c>
      <c r="E158" s="480">
        <f>+'[45]Sch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446"/>
      <c r="M158" s="446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446"/>
      <c r="M159" s="446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'[45]Sch C'!D156</f>
        <v>0</v>
      </c>
      <c r="D160" s="480">
        <f>'[45]Sch C'!F156</f>
        <v>0</v>
      </c>
      <c r="E160" s="480">
        <f>+'[45]Sch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446"/>
      <c r="M160" s="446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'[45]Sch C'!D157</f>
        <v>0</v>
      </c>
      <c r="D161" s="480">
        <f>'[45]Sch C'!F157</f>
        <v>0</v>
      </c>
      <c r="E161" s="480">
        <f>+'[45]Sch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446"/>
      <c r="M161" s="446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'[45]Sch C'!D158</f>
        <v>0</v>
      </c>
      <c r="D162" s="480">
        <f>'[45]Sch C'!F158</f>
        <v>0</v>
      </c>
      <c r="E162" s="480">
        <f>+'[45]Sch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446"/>
      <c r="M162" s="446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'[45]Sch C'!D159</f>
        <v>0</v>
      </c>
      <c r="D163" s="480">
        <f>'[45]Sch C'!F159</f>
        <v>0</v>
      </c>
      <c r="E163" s="480">
        <f>+'[45]Sch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446"/>
      <c r="M163" s="446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'[45]Sch C'!D160</f>
        <v>0</v>
      </c>
      <c r="D164" s="480">
        <f>'[45]Sch C'!F160</f>
        <v>0</v>
      </c>
      <c r="E164" s="480">
        <f>+'[45]Sch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446"/>
      <c r="M164" s="446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'[45]Sch C'!D161</f>
        <v>2487.56</v>
      </c>
      <c r="D165" s="480">
        <f>'[45]Sch C'!F161</f>
        <v>0</v>
      </c>
      <c r="E165" s="480">
        <f>+'[45]Sch C'!H161</f>
        <v>0</v>
      </c>
      <c r="F165" s="166">
        <f t="shared" si="53"/>
        <v>2487.56</v>
      </c>
      <c r="G165" s="626"/>
      <c r="H165" s="166"/>
      <c r="I165" s="166">
        <f t="shared" si="54"/>
        <v>2487.56</v>
      </c>
      <c r="J165" s="167">
        <f t="shared" si="55"/>
        <v>6.0388338704848662E-4</v>
      </c>
      <c r="K165" s="458"/>
      <c r="L165" s="446"/>
      <c r="M165" s="446"/>
      <c r="O165" s="329">
        <f t="shared" si="43"/>
        <v>0.14141094878062646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1496512.2</v>
      </c>
      <c r="D166" s="480">
        <f t="shared" si="56"/>
        <v>278338.15000000002</v>
      </c>
      <c r="E166" s="480">
        <f t="shared" si="56"/>
        <v>0</v>
      </c>
      <c r="F166" s="166">
        <f t="shared" ref="F166:I166" si="57">SUM(F128:F165)</f>
        <v>1774850.3499999999</v>
      </c>
      <c r="G166" s="166">
        <f t="shared" si="57"/>
        <v>0</v>
      </c>
      <c r="H166" s="166">
        <f t="shared" si="57"/>
        <v>0</v>
      </c>
      <c r="I166" s="166">
        <f t="shared" si="57"/>
        <v>1774850.3499999999</v>
      </c>
      <c r="J166" s="167">
        <f t="shared" si="55"/>
        <v>0.43086504078783705</v>
      </c>
      <c r="K166" s="458"/>
      <c r="L166" s="446"/>
      <c r="M166" s="446"/>
      <c r="O166" s="329">
        <f>I166/I$233</f>
        <v>100.89536410664543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446"/>
      <c r="M167" s="446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446"/>
      <c r="M168" s="446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'[45]Sch C'!D175</f>
        <v>0</v>
      </c>
      <c r="D169" s="480">
        <f>'[45]Sch C'!F175</f>
        <v>0</v>
      </c>
      <c r="E169" s="480">
        <f>+'[45]Sch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564">
        <v>0</v>
      </c>
      <c r="M169" s="564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'[45]Sch C'!D176</f>
        <v>0</v>
      </c>
      <c r="D170" s="480">
        <f>'[45]Sch C'!F176</f>
        <v>0</v>
      </c>
      <c r="E170" s="480">
        <f>+'[45]Sch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452"/>
      <c r="M170" s="45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'[45]Sch C'!D177</f>
        <v>0</v>
      </c>
      <c r="D171" s="480">
        <f>'[45]Sch C'!F177</f>
        <v>0</v>
      </c>
      <c r="E171" s="480">
        <f>+'[45]Sch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564">
        <v>0</v>
      </c>
      <c r="M171" s="564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'[45]Sch C'!D178</f>
        <v>0</v>
      </c>
      <c r="D172" s="480">
        <f>'[45]Sch C'!F178</f>
        <v>0</v>
      </c>
      <c r="E172" s="480">
        <f>+'[45]Sch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452"/>
      <c r="M172" s="45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'[45]Sch C'!D179</f>
        <v>0</v>
      </c>
      <c r="D173" s="480">
        <f>'[45]Sch C'!F179</f>
        <v>0</v>
      </c>
      <c r="E173" s="480">
        <f>+'[45]Sch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564">
        <v>0</v>
      </c>
      <c r="M173" s="564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'[45]Sch C'!D180</f>
        <v>0</v>
      </c>
      <c r="D174" s="480">
        <f>'[45]Sch C'!F180</f>
        <v>0</v>
      </c>
      <c r="E174" s="480">
        <f>+'[45]Sch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452"/>
      <c r="M174" s="45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'[45]Sch C'!D181</f>
        <v>0</v>
      </c>
      <c r="D175" s="480">
        <f>'[45]Sch C'!F181</f>
        <v>0</v>
      </c>
      <c r="E175" s="480">
        <f>+'[45]Sch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564">
        <v>0</v>
      </c>
      <c r="M175" s="564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'[45]Sch C'!D182</f>
        <v>0</v>
      </c>
      <c r="D176" s="480">
        <f>'[45]Sch C'!F182</f>
        <v>0</v>
      </c>
      <c r="E176" s="480">
        <f>+'[45]Sch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452"/>
      <c r="M176" s="45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'[45]Sch C'!D183</f>
        <v>0</v>
      </c>
      <c r="D177" s="480">
        <f>'[45]Sch C'!F183</f>
        <v>0</v>
      </c>
      <c r="E177" s="480">
        <f>+'[45]Sch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564">
        <v>0</v>
      </c>
      <c r="M177" s="564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'[45]Sch C'!D184</f>
        <v>0</v>
      </c>
      <c r="D178" s="480">
        <f>'[45]Sch C'!F184</f>
        <v>0</v>
      </c>
      <c r="E178" s="480">
        <f>+'[45]Sch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452"/>
      <c r="M178" s="45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'[45]Sch C'!D185</f>
        <v>0</v>
      </c>
      <c r="D179" s="480">
        <f>'[45]Sch C'!F185</f>
        <v>0</v>
      </c>
      <c r="E179" s="480">
        <f>+'[45]Sch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564">
        <v>0</v>
      </c>
      <c r="M179" s="564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'[45]Sch C'!D186</f>
        <v>0</v>
      </c>
      <c r="D180" s="480">
        <f>'[45]Sch C'!F186</f>
        <v>0</v>
      </c>
      <c r="E180" s="480">
        <f>+'[45]Sch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453"/>
      <c r="M180" s="454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'[45]Sch C'!D187</f>
        <v>0</v>
      </c>
      <c r="D181" s="480">
        <f>'[45]Sch C'!F187</f>
        <v>0</v>
      </c>
      <c r="E181" s="480">
        <f>+'[45]Sch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453"/>
      <c r="M181" s="454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'[45]Sch C'!D188</f>
        <v>141.56</v>
      </c>
      <c r="D182" s="480">
        <f>'[45]Sch C'!F188</f>
        <v>0</v>
      </c>
      <c r="E182" s="480">
        <f>+'[45]Sch C'!H188</f>
        <v>0</v>
      </c>
      <c r="F182" s="166">
        <f t="shared" si="58"/>
        <v>141.56</v>
      </c>
      <c r="G182" s="626"/>
      <c r="H182" s="166"/>
      <c r="I182" s="166">
        <f t="shared" si="59"/>
        <v>141.56</v>
      </c>
      <c r="J182" s="167">
        <f t="shared" si="60"/>
        <v>3.4365294614233936E-5</v>
      </c>
      <c r="K182" s="458"/>
      <c r="L182" s="453"/>
      <c r="M182" s="454"/>
      <c r="N182" s="210"/>
      <c r="O182" s="329">
        <f t="shared" si="61"/>
        <v>8.0472969131942466E-3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'[45]Sch C'!D189</f>
        <v>0</v>
      </c>
      <c r="D183" s="480">
        <f>'[45]Sch C'!F189</f>
        <v>0</v>
      </c>
      <c r="E183" s="480">
        <f>+'[45]Sch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453"/>
      <c r="M183" s="454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'[45]Sch C'!D190</f>
        <v>0</v>
      </c>
      <c r="D184" s="480">
        <f>'[45]Sch C'!F190</f>
        <v>0</v>
      </c>
      <c r="E184" s="480">
        <f>+'[45]Sch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453"/>
      <c r="M184" s="454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'[45]Sch C'!D191</f>
        <v>0</v>
      </c>
      <c r="D185" s="480">
        <f>'[45]Sch C'!F191</f>
        <v>0</v>
      </c>
      <c r="E185" s="480">
        <f>+'[45]Sch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453"/>
      <c r="M185" s="454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'[45]Sch C'!D192</f>
        <v>0</v>
      </c>
      <c r="D186" s="480">
        <f>'[45]Sch C'!F192</f>
        <v>0</v>
      </c>
      <c r="E186" s="480">
        <f>+'[45]Sch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453"/>
      <c r="M186" s="454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'[45]Sch C'!D193</f>
        <v>0</v>
      </c>
      <c r="D187" s="480">
        <f>'[45]Sch C'!F193</f>
        <v>0</v>
      </c>
      <c r="E187" s="480">
        <f>+'[45]Sch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453"/>
      <c r="M187" s="454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'[45]Sch C'!D194</f>
        <v>89304</v>
      </c>
      <c r="D188" s="480">
        <f>'[45]Sch C'!F194</f>
        <v>0</v>
      </c>
      <c r="E188" s="480">
        <f>+'[45]Sch C'!H194</f>
        <v>0</v>
      </c>
      <c r="F188" s="166">
        <f t="shared" si="58"/>
        <v>89304</v>
      </c>
      <c r="G188" s="626"/>
      <c r="H188" s="166"/>
      <c r="I188" s="166">
        <f t="shared" si="59"/>
        <v>89304</v>
      </c>
      <c r="J188" s="167">
        <f t="shared" si="60"/>
        <v>2.1679558280796464E-2</v>
      </c>
      <c r="K188" s="458"/>
      <c r="L188" s="453"/>
      <c r="M188" s="454"/>
      <c r="O188" s="329">
        <f t="shared" si="61"/>
        <v>5.0766869421863454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'[45]Sch C'!D195</f>
        <v>15749.13</v>
      </c>
      <c r="D189" s="480">
        <f>'[45]Sch C'!F195</f>
        <v>0</v>
      </c>
      <c r="E189" s="480">
        <f>+'[45]Sch C'!H195</f>
        <v>0</v>
      </c>
      <c r="F189" s="166">
        <f t="shared" si="58"/>
        <v>15749.13</v>
      </c>
      <c r="G189" s="626"/>
      <c r="H189" s="166"/>
      <c r="I189" s="166">
        <f t="shared" si="59"/>
        <v>15749.13</v>
      </c>
      <c r="J189" s="167">
        <f t="shared" si="60"/>
        <v>3.8232798274079548E-3</v>
      </c>
      <c r="K189" s="458"/>
      <c r="L189" s="453"/>
      <c r="M189" s="454"/>
      <c r="O189" s="329">
        <f t="shared" si="61"/>
        <v>0.89529475299869243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'[45]Sch C'!D196</f>
        <v>0</v>
      </c>
      <c r="D190" s="480">
        <f>'[45]Sch C'!F196</f>
        <v>0</v>
      </c>
      <c r="E190" s="480">
        <f>+'[45]Sch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453"/>
      <c r="M190" s="454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'[45]Sch C'!D197</f>
        <v>58861.64</v>
      </c>
      <c r="D191" s="480">
        <f>'[45]Sch C'!F197</f>
        <v>0</v>
      </c>
      <c r="E191" s="480">
        <f>+'[45]Sch C'!H197</f>
        <v>0</v>
      </c>
      <c r="F191" s="166">
        <f t="shared" si="58"/>
        <v>58861.64</v>
      </c>
      <c r="G191" s="626"/>
      <c r="H191" s="166"/>
      <c r="I191" s="166">
        <f t="shared" si="59"/>
        <v>58861.64</v>
      </c>
      <c r="J191" s="167">
        <f t="shared" si="60"/>
        <v>1.4289330319843013E-2</v>
      </c>
      <c r="K191" s="458"/>
      <c r="L191" s="453"/>
      <c r="M191" s="454"/>
      <c r="O191" s="329">
        <f t="shared" si="61"/>
        <v>3.346122448979592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'[45]Sch C'!D198</f>
        <v>10251.900000000001</v>
      </c>
      <c r="D192" s="480">
        <f>'[45]Sch C'!F198</f>
        <v>0</v>
      </c>
      <c r="E192" s="480">
        <f>+'[45]Sch C'!H198</f>
        <v>0</v>
      </c>
      <c r="F192" s="166">
        <f t="shared" si="58"/>
        <v>10251.900000000001</v>
      </c>
      <c r="G192" s="626"/>
      <c r="H192" s="166"/>
      <c r="I192" s="166">
        <f t="shared" si="59"/>
        <v>10251.900000000001</v>
      </c>
      <c r="J192" s="167">
        <f t="shared" si="60"/>
        <v>2.488764932577458E-3</v>
      </c>
      <c r="K192" s="458"/>
      <c r="L192" s="453"/>
      <c r="M192" s="454"/>
      <c r="O192" s="329">
        <f t="shared" si="61"/>
        <v>0.58279233699050659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'[45]Sch C'!D199</f>
        <v>0</v>
      </c>
      <c r="D193" s="480">
        <f>'[45]Sch C'!F199</f>
        <v>0</v>
      </c>
      <c r="E193" s="480">
        <f>+'[45]Sch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453"/>
      <c r="M193" s="454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'[45]Sch C'!D200</f>
        <v>0</v>
      </c>
      <c r="D194" s="480">
        <f>'[45]Sch C'!F200</f>
        <v>0</v>
      </c>
      <c r="E194" s="480">
        <f>+'[45]Sch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453"/>
      <c r="M194" s="454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'[45]Sch C'!D201</f>
        <v>0</v>
      </c>
      <c r="D195" s="480">
        <f>'[45]Sch C'!F201</f>
        <v>0</v>
      </c>
      <c r="E195" s="480">
        <f>+'[45]Sch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453"/>
      <c r="M195" s="454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'[45]Sch C'!D202</f>
        <v>0</v>
      </c>
      <c r="D196" s="480">
        <f>'[45]Sch C'!F202</f>
        <v>0</v>
      </c>
      <c r="E196" s="480">
        <f>+'[45]Sch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453"/>
      <c r="M196" s="454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'[45]Sch C'!D203</f>
        <v>0</v>
      </c>
      <c r="D197" s="480">
        <f>'[45]Sch C'!F203</f>
        <v>0</v>
      </c>
      <c r="E197" s="480">
        <f>+'[45]Sch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453"/>
      <c r="M197" s="454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'[45]Sch C'!D204</f>
        <v>0</v>
      </c>
      <c r="D198" s="480">
        <f>'[45]Sch C'!F204</f>
        <v>0</v>
      </c>
      <c r="E198" s="480">
        <f>+'[45]Sch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453"/>
      <c r="M198" s="454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'[45]Sch C'!D205</f>
        <v>60861.34</v>
      </c>
      <c r="D199" s="480">
        <f>'[45]Sch C'!F205</f>
        <v>0</v>
      </c>
      <c r="E199" s="480">
        <f>+'[45]Sch C'!H205</f>
        <v>-8288</v>
      </c>
      <c r="F199" s="166">
        <f t="shared" si="58"/>
        <v>52573.34</v>
      </c>
      <c r="G199" s="626"/>
      <c r="H199" s="166"/>
      <c r="I199" s="166">
        <f t="shared" si="59"/>
        <v>52573.34</v>
      </c>
      <c r="J199" s="167">
        <f t="shared" si="60"/>
        <v>1.2762774215557287E-2</v>
      </c>
      <c r="K199" s="458"/>
      <c r="L199" s="453"/>
      <c r="M199" s="454"/>
      <c r="O199" s="329">
        <f t="shared" si="61"/>
        <v>2.9886498777784092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'[45]Sch C'!D206</f>
        <v>4451.75</v>
      </c>
      <c r="D200" s="480">
        <f>'[45]Sch C'!F206</f>
        <v>0</v>
      </c>
      <c r="E200" s="480">
        <f>+'[45]Sch C'!H206</f>
        <v>0</v>
      </c>
      <c r="F200" s="166">
        <f t="shared" si="58"/>
        <v>4451.75</v>
      </c>
      <c r="G200" s="626"/>
      <c r="H200" s="166"/>
      <c r="I200" s="166">
        <f t="shared" si="59"/>
        <v>4451.75</v>
      </c>
      <c r="J200" s="167">
        <f t="shared" si="60"/>
        <v>1.0807127740810676E-3</v>
      </c>
      <c r="K200" s="458"/>
      <c r="L200" s="453"/>
      <c r="M200" s="454"/>
      <c r="O200" s="329">
        <f t="shared" si="61"/>
        <v>0.25306975157751121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'[45]Sch C'!D207</f>
        <v>0</v>
      </c>
      <c r="D201" s="480">
        <f>'[45]Sch C'!F207</f>
        <v>0</v>
      </c>
      <c r="E201" s="480">
        <f>+'[45]Sch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453"/>
      <c r="M201" s="454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239621.32</v>
      </c>
      <c r="D202" s="480">
        <f t="shared" si="62"/>
        <v>0</v>
      </c>
      <c r="E202" s="480">
        <f t="shared" si="62"/>
        <v>-8288</v>
      </c>
      <c r="F202" s="166">
        <f t="shared" ref="F202:I202" si="63">SUM(F169:F201)</f>
        <v>231333.32</v>
      </c>
      <c r="G202" s="166">
        <f t="shared" si="63"/>
        <v>0</v>
      </c>
      <c r="H202" s="166">
        <f t="shared" si="63"/>
        <v>0</v>
      </c>
      <c r="I202" s="166">
        <f t="shared" si="63"/>
        <v>231333.32</v>
      </c>
      <c r="J202" s="167">
        <f>IF($I$213=0,0,I202/$I$213)</f>
        <v>5.6158785644877481E-2</v>
      </c>
      <c r="K202" s="458"/>
      <c r="L202" s="446"/>
      <c r="M202" s="446"/>
      <c r="O202" s="329">
        <f>I202/I$233</f>
        <v>13.150663407424251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446"/>
      <c r="M203" s="446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446"/>
      <c r="M204" s="446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'[45]Sch C'!D211</f>
        <v>81069.14</v>
      </c>
      <c r="D205" s="480">
        <f>'[45]Sch C'!F211</f>
        <v>0</v>
      </c>
      <c r="E205" s="480">
        <f>+'[45]Sch C'!H211</f>
        <v>0</v>
      </c>
      <c r="F205" s="166">
        <f t="shared" ref="F205:F210" si="64">C205+D205+E205</f>
        <v>81069.14</v>
      </c>
      <c r="G205" s="626"/>
      <c r="H205" s="166"/>
      <c r="I205" s="166">
        <f t="shared" ref="I205:I210" si="65">F205+G205+H205</f>
        <v>81069.14</v>
      </c>
      <c r="J205" s="167">
        <f t="shared" ref="J205:J211" si="66">IF($I$213=0,0,I205/$I$213)</f>
        <v>1.9680452671818147E-2</v>
      </c>
      <c r="K205" s="458"/>
      <c r="L205" s="564">
        <v>4847.75</v>
      </c>
      <c r="M205" s="564">
        <v>5325.1399999999994</v>
      </c>
      <c r="O205" s="329">
        <f t="shared" ref="O205:O210" si="67">I205/I$233</f>
        <v>4.6085577852310839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'[45]Sch C'!D212</f>
        <v>0</v>
      </c>
      <c r="D206" s="480">
        <f>'[45]Sch C'!F212</f>
        <v>16724.09</v>
      </c>
      <c r="E206" s="480">
        <f>+'[45]Sch C'!H212</f>
        <v>0</v>
      </c>
      <c r="F206" s="166">
        <f t="shared" si="64"/>
        <v>16724.09</v>
      </c>
      <c r="G206" s="626"/>
      <c r="H206" s="166"/>
      <c r="I206" s="166">
        <f t="shared" si="65"/>
        <v>16724.09</v>
      </c>
      <c r="J206" s="167">
        <f t="shared" si="66"/>
        <v>4.0599624187974259E-3</v>
      </c>
      <c r="K206" s="458"/>
      <c r="L206" s="446"/>
      <c r="M206" s="446"/>
      <c r="O206" s="329">
        <f t="shared" si="67"/>
        <v>0.95071854925814336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'[45]Sch C'!D213</f>
        <v>5139.92</v>
      </c>
      <c r="D207" s="480">
        <f>'[45]Sch C'!F213</f>
        <v>0</v>
      </c>
      <c r="E207" s="480">
        <f>+'[45]Sch C'!H213</f>
        <v>0</v>
      </c>
      <c r="F207" s="166">
        <f t="shared" si="64"/>
        <v>5139.92</v>
      </c>
      <c r="G207" s="626"/>
      <c r="H207" s="166"/>
      <c r="I207" s="166">
        <f t="shared" si="65"/>
        <v>5139.92</v>
      </c>
      <c r="J207" s="167">
        <f t="shared" si="66"/>
        <v>1.2477738421418007E-3</v>
      </c>
      <c r="K207" s="458"/>
      <c r="L207" s="446"/>
      <c r="M207" s="446"/>
      <c r="O207" s="329">
        <f t="shared" si="67"/>
        <v>0.2921903245978057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'[45]Sch C'!D214</f>
        <v>0</v>
      </c>
      <c r="D208" s="480">
        <f>'[45]Sch C'!F214</f>
        <v>0</v>
      </c>
      <c r="E208" s="480">
        <f>+'[45]Sch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446"/>
      <c r="M208" s="446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'[45]Sch C'!D215</f>
        <v>0</v>
      </c>
      <c r="D209" s="480">
        <f>'[45]Sch C'!F215</f>
        <v>0</v>
      </c>
      <c r="E209" s="480">
        <f>+'[45]Sch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446"/>
      <c r="M209" s="446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'[45]Sch C'!D216</f>
        <v>13292.369999999999</v>
      </c>
      <c r="D210" s="480">
        <f>'[45]Sch C'!F216</f>
        <v>0</v>
      </c>
      <c r="E210" s="480">
        <f>+'[45]Sch C'!H216</f>
        <v>0</v>
      </c>
      <c r="F210" s="166">
        <f t="shared" si="64"/>
        <v>13292.369999999999</v>
      </c>
      <c r="G210" s="626"/>
      <c r="H210" s="166"/>
      <c r="I210" s="166">
        <f t="shared" si="65"/>
        <v>13292.369999999999</v>
      </c>
      <c r="J210" s="167">
        <f t="shared" si="66"/>
        <v>3.2268734894843509E-3</v>
      </c>
      <c r="K210" s="458"/>
      <c r="L210" s="446"/>
      <c r="M210" s="446"/>
      <c r="O210" s="329">
        <f t="shared" si="67"/>
        <v>0.75563469956227614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99501.43</v>
      </c>
      <c r="D211" s="480">
        <f t="shared" si="68"/>
        <v>16724.09</v>
      </c>
      <c r="E211" s="480">
        <f t="shared" si="68"/>
        <v>0</v>
      </c>
      <c r="F211" s="166">
        <f t="shared" ref="F211:I211" si="69">SUM(F205:F210)</f>
        <v>116225.51999999999</v>
      </c>
      <c r="G211" s="166">
        <f t="shared" si="69"/>
        <v>0</v>
      </c>
      <c r="H211" s="166">
        <f t="shared" si="69"/>
        <v>0</v>
      </c>
      <c r="I211" s="166">
        <f t="shared" si="69"/>
        <v>116225.51999999999</v>
      </c>
      <c r="J211" s="167">
        <f t="shared" si="66"/>
        <v>2.8215062422241723E-2</v>
      </c>
      <c r="K211" s="458"/>
      <c r="L211" s="446"/>
      <c r="M211" s="446"/>
      <c r="O211" s="329">
        <f>I211/I$233</f>
        <v>6.6071013586493086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4671927.2300000014</v>
      </c>
      <c r="D213" s="480">
        <f t="shared" si="70"/>
        <v>-472229.44</v>
      </c>
      <c r="E213" s="480">
        <f t="shared" si="70"/>
        <v>-65766.670000000027</v>
      </c>
      <c r="F213" s="166">
        <f t="shared" ref="F213:I213" si="71">SUM(F30:F211)/2</f>
        <v>4133931.1199999996</v>
      </c>
      <c r="G213" s="166">
        <f t="shared" si="71"/>
        <v>-14659</v>
      </c>
      <c r="H213" s="166">
        <f t="shared" si="71"/>
        <v>0</v>
      </c>
      <c r="I213" s="166">
        <f t="shared" si="71"/>
        <v>4119272.1199999996</v>
      </c>
      <c r="J213" s="167">
        <f>IF($I$213=0,0,I213/$I$213)</f>
        <v>1</v>
      </c>
      <c r="K213" s="458"/>
      <c r="L213" s="176">
        <f>SUM(L30:L205)</f>
        <v>91115.13</v>
      </c>
      <c r="M213" s="176">
        <f>SUM(M30:M205)</f>
        <v>99294.14</v>
      </c>
      <c r="O213" s="329">
        <f>I213/I$233</f>
        <v>234.16929793644476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'[45]Sch C'!D221</f>
        <v>4671927.2699999996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-3.9999998174607754E-2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434755.57999999914</v>
      </c>
      <c r="D220" s="480">
        <f t="shared" si="72"/>
        <v>466634.25</v>
      </c>
      <c r="E220" s="480">
        <f t="shared" si="72"/>
        <v>65766.670000000027</v>
      </c>
      <c r="F220" s="166">
        <f t="shared" ref="F220:I220" si="73">F26-F213</f>
        <v>967156.50000000047</v>
      </c>
      <c r="G220" s="166">
        <f t="shared" si="73"/>
        <v>-792948</v>
      </c>
      <c r="H220" s="166">
        <f t="shared" si="73"/>
        <v>0</v>
      </c>
      <c r="I220" s="166">
        <f t="shared" si="73"/>
        <v>174208.50000000047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'[45]Sch D'!C9</f>
        <v>10804</v>
      </c>
      <c r="D224" s="480"/>
      <c r="E224" s="480"/>
      <c r="F224" s="224">
        <f>C224+D224+E224</f>
        <v>10804</v>
      </c>
      <c r="G224" s="627"/>
      <c r="H224" s="223"/>
      <c r="I224" s="224">
        <f>F224+G224+H224</f>
        <v>10804</v>
      </c>
      <c r="J224" s="167">
        <f t="shared" ref="J224:J233" si="74">IF($I$233=0,0,I224/$I$233)</f>
        <v>0.61417770450798703</v>
      </c>
      <c r="K224" s="458"/>
      <c r="L224" s="163"/>
      <c r="M224" s="163"/>
    </row>
    <row r="225" spans="1:13">
      <c r="A225" s="158"/>
      <c r="B225" s="165" t="s">
        <v>201</v>
      </c>
      <c r="C225" s="504">
        <f>'[45]Sch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'[45]Sch D'!E9</f>
        <v>1012</v>
      </c>
      <c r="D226" s="480"/>
      <c r="E226" s="480"/>
      <c r="F226" s="224">
        <f t="shared" si="75"/>
        <v>1012</v>
      </c>
      <c r="G226" s="627"/>
      <c r="H226" s="223"/>
      <c r="I226" s="224">
        <f t="shared" si="76"/>
        <v>1012</v>
      </c>
      <c r="J226" s="167">
        <f t="shared" si="74"/>
        <v>5.7529418452617817E-2</v>
      </c>
      <c r="K226" s="458"/>
      <c r="L226" s="163"/>
      <c r="M226" s="163"/>
    </row>
    <row r="227" spans="1:13">
      <c r="A227" s="158"/>
      <c r="B227" s="194" t="s">
        <v>315</v>
      </c>
      <c r="C227" s="504">
        <f>'[45]Sch D'!F9</f>
        <v>107</v>
      </c>
      <c r="D227" s="480"/>
      <c r="E227" s="480"/>
      <c r="F227" s="224">
        <f t="shared" si="75"/>
        <v>107</v>
      </c>
      <c r="G227" s="627"/>
      <c r="H227" s="223"/>
      <c r="I227" s="224">
        <f t="shared" si="76"/>
        <v>107</v>
      </c>
      <c r="J227" s="167">
        <f t="shared" si="74"/>
        <v>6.0826559035870613E-3</v>
      </c>
      <c r="K227" s="458"/>
      <c r="L227" s="163"/>
      <c r="M227" s="163"/>
    </row>
    <row r="228" spans="1:13">
      <c r="A228" s="158"/>
      <c r="B228" s="165" t="s">
        <v>65</v>
      </c>
      <c r="C228" s="504">
        <f>'[45]Sch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'[45]Sch D'!H9</f>
        <v>3975</v>
      </c>
      <c r="D229" s="480"/>
      <c r="E229" s="480"/>
      <c r="F229" s="224">
        <f t="shared" si="75"/>
        <v>3975</v>
      </c>
      <c r="G229" s="627"/>
      <c r="H229" s="223"/>
      <c r="I229" s="224">
        <f t="shared" si="76"/>
        <v>3975</v>
      </c>
      <c r="J229" s="167">
        <f t="shared" si="74"/>
        <v>0.22596782445568755</v>
      </c>
      <c r="K229" s="458"/>
      <c r="L229" s="163"/>
      <c r="M229" s="163"/>
    </row>
    <row r="230" spans="1:13">
      <c r="A230" s="158"/>
      <c r="B230" s="165" t="s">
        <v>219</v>
      </c>
      <c r="C230" s="504">
        <f>'[45]Sch D'!I9</f>
        <v>1645</v>
      </c>
      <c r="D230" s="480"/>
      <c r="E230" s="480"/>
      <c r="F230" s="224">
        <f t="shared" si="75"/>
        <v>1645</v>
      </c>
      <c r="G230" s="627"/>
      <c r="H230" s="223"/>
      <c r="I230" s="224">
        <f t="shared" si="76"/>
        <v>1645</v>
      </c>
      <c r="J230" s="167">
        <f t="shared" si="74"/>
        <v>9.3513728611221647E-2</v>
      </c>
      <c r="K230" s="458"/>
      <c r="L230" s="163"/>
      <c r="M230" s="163"/>
    </row>
    <row r="231" spans="1:13">
      <c r="A231" s="158"/>
      <c r="B231" s="165" t="s">
        <v>218</v>
      </c>
      <c r="C231" s="504">
        <f>'[45]Sch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'[45]Sch D'!K9</f>
        <v>48</v>
      </c>
      <c r="D232" s="480"/>
      <c r="E232" s="480"/>
      <c r="F232" s="224">
        <f t="shared" si="75"/>
        <v>48</v>
      </c>
      <c r="G232" s="627"/>
      <c r="H232" s="223"/>
      <c r="I232" s="224">
        <f t="shared" si="76"/>
        <v>48</v>
      </c>
      <c r="J232" s="167">
        <f t="shared" si="74"/>
        <v>2.7286680688988689E-3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17591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17591</v>
      </c>
      <c r="G233" s="226">
        <f t="shared" si="78"/>
        <v>0</v>
      </c>
      <c r="H233" s="226">
        <f t="shared" si="78"/>
        <v>0</v>
      </c>
      <c r="I233" s="226">
        <f t="shared" si="78"/>
        <v>17591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'[45]Sch D'!N22</f>
        <v>111.27</v>
      </c>
      <c r="D236" s="480"/>
      <c r="E236" s="480"/>
      <c r="F236" s="224">
        <f>C236+E236</f>
        <v>111.27</v>
      </c>
      <c r="G236" s="627"/>
      <c r="H236" s="224"/>
      <c r="I236" s="224">
        <f>F236+G236+H236</f>
        <v>111.27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'[45]Sch D'!N24</f>
        <v>111</v>
      </c>
      <c r="D237" s="480"/>
      <c r="E237" s="480"/>
      <c r="F237" s="224">
        <f>C237+E237</f>
        <v>111</v>
      </c>
      <c r="G237" s="627"/>
      <c r="H237" s="224"/>
      <c r="I237" s="224">
        <f>F237+G237+H237</f>
        <v>111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337</v>
      </c>
      <c r="D238" s="427"/>
      <c r="E238" s="427"/>
      <c r="F238" s="224">
        <f>C238+E238</f>
        <v>337</v>
      </c>
      <c r="G238" s="627"/>
      <c r="H238" s="228"/>
      <c r="I238" s="224">
        <f>F238+G238+H238</f>
        <v>337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'[45]Sch D'!N28</f>
        <v>37497.99</v>
      </c>
      <c r="D240" s="427"/>
      <c r="E240" s="427"/>
      <c r="F240" s="223">
        <f>F236*F238</f>
        <v>37497.99</v>
      </c>
      <c r="G240"/>
      <c r="H240" s="228"/>
      <c r="I240" s="223">
        <f>I236*I238</f>
        <v>37497.99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'[45]Sch D'!N30</f>
        <v>0.46911847808375867</v>
      </c>
      <c r="D241" s="228"/>
      <c r="E241" s="228"/>
      <c r="F241" s="232">
        <f>F233/F240</f>
        <v>0.46911847808375867</v>
      </c>
      <c r="G241"/>
      <c r="H241" s="233"/>
      <c r="I241" s="232">
        <f>I233/I240</f>
        <v>0.46911847808375867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'[45]Sch D'!N32</f>
        <v>0.2881221100117633</v>
      </c>
      <c r="D242" s="228"/>
      <c r="E242" s="228"/>
      <c r="F242" s="232">
        <f>(F224+F225)/F240</f>
        <v>0.2881221100117633</v>
      </c>
      <c r="G242"/>
      <c r="H242" s="233"/>
      <c r="I242" s="232">
        <f>(I224+I225)/I240</f>
        <v>0.2881221100117633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'[45]Sch D'!N34</f>
        <v>0.61417770450798703</v>
      </c>
      <c r="D243" s="228"/>
      <c r="E243" s="228"/>
      <c r="F243" s="232">
        <f>(F242/F241)</f>
        <v>0.61417770450798703</v>
      </c>
      <c r="G243"/>
      <c r="H243" s="233"/>
      <c r="I243" s="232">
        <f>(I242/I241)</f>
        <v>0.61417770450798703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'[45]Sch B'!C90</f>
        <v>219.22401614530776</v>
      </c>
      <c r="K246" s="460"/>
    </row>
    <row r="247" spans="1:13">
      <c r="H247" s="140" t="s">
        <v>322</v>
      </c>
      <c r="I247" s="480">
        <f>'[45]Sch B'!E90</f>
        <v>213.00673724735321</v>
      </c>
      <c r="K247" s="460"/>
    </row>
    <row r="248" spans="1:13">
      <c r="H248" s="140" t="s">
        <v>323</v>
      </c>
      <c r="I248" s="480">
        <f>'[45]Sch B'!G90</f>
        <v>210.61692969870876</v>
      </c>
      <c r="K248" s="460"/>
    </row>
    <row r="249" spans="1:13">
      <c r="H249" s="140" t="s">
        <v>324</v>
      </c>
      <c r="I249" s="480">
        <f>'[45]Sch B'!I90</f>
        <v>229.87658802177859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7"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563" t="s">
        <v>535</v>
      </c>
      <c r="D1" s="563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350</v>
      </c>
      <c r="D2" s="234"/>
      <c r="E2" s="234"/>
      <c r="F2" s="142"/>
      <c r="G2" s="142"/>
      <c r="H2" s="470" t="s">
        <v>558</v>
      </c>
    </row>
    <row r="3" spans="1:16">
      <c r="A3" s="143"/>
      <c r="B3" s="138" t="s">
        <v>71</v>
      </c>
      <c r="C3" s="647">
        <v>42917</v>
      </c>
      <c r="D3" s="646" t="s">
        <v>536</v>
      </c>
      <c r="E3" s="142"/>
      <c r="F3" s="144"/>
      <c r="G3" s="144"/>
    </row>
    <row r="4" spans="1:16">
      <c r="A4" s="143"/>
      <c r="B4" s="145" t="s">
        <v>72</v>
      </c>
      <c r="C4" s="557">
        <f>'[46]Sch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'[46]Sch B'!E10</f>
        <v>3095967</v>
      </c>
      <c r="D12" s="480">
        <f>'[46]Sch B'!G10</f>
        <v>0</v>
      </c>
      <c r="E12" s="480"/>
      <c r="F12" s="166">
        <f>C12+D12+E12</f>
        <v>3095967</v>
      </c>
      <c r="G12" s="626"/>
      <c r="H12" s="166"/>
      <c r="I12" s="166">
        <f>F12+G12+H12</f>
        <v>3095967</v>
      </c>
      <c r="J12" s="167">
        <f>IF($I$26=0,0,I12/$I$26)</f>
        <v>0.81185802612553415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'[46]Sch B'!E12</f>
        <v>0</v>
      </c>
      <c r="D13" s="480">
        <f>'[46]Sch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'[46]Sch B'!E13</f>
        <v>0</v>
      </c>
      <c r="D14" s="480">
        <f>'[46]Sch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'[46]Sch B'!E14</f>
        <v>98103</v>
      </c>
      <c r="D15" s="480">
        <f>'[46]Sch B'!G14</f>
        <v>0</v>
      </c>
      <c r="E15" s="480"/>
      <c r="F15" s="166">
        <f t="shared" si="0"/>
        <v>98103</v>
      </c>
      <c r="G15" s="626"/>
      <c r="H15" s="166"/>
      <c r="I15" s="166">
        <f t="shared" si="1"/>
        <v>98103</v>
      </c>
      <c r="J15" s="167">
        <f>IF($I$26=0,0,I15/$I$26)</f>
        <v>2.5725632068104496E-2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'[46]Sch B'!E15</f>
        <v>3194070</v>
      </c>
      <c r="D16" s="480">
        <f>'[46]Sch B'!G15</f>
        <v>0</v>
      </c>
      <c r="E16" s="480"/>
      <c r="F16" s="166">
        <f t="shared" si="0"/>
        <v>3194070</v>
      </c>
      <c r="G16" s="626"/>
      <c r="H16" s="166"/>
      <c r="I16" s="166">
        <f>SUM(I12:I15)</f>
        <v>3194070</v>
      </c>
      <c r="J16" s="167">
        <f t="shared" ref="J16:J26" si="2">IF($I$26=0,0,I16/$I$26)</f>
        <v>0.83758365819363856</v>
      </c>
      <c r="K16" s="458"/>
      <c r="L16" s="333" t="s">
        <v>325</v>
      </c>
      <c r="M16" s="334">
        <f>I26</f>
        <v>3813434</v>
      </c>
      <c r="O16" s="324">
        <f>IFERROR(I16/I224,0)</f>
        <v>175.74942225156818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'[46]Sch B'!E20</f>
        <v>0</v>
      </c>
      <c r="D17" s="480">
        <f>'[46]Sch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2697181.55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'[46]Sch B'!E26</f>
        <v>187000</v>
      </c>
      <c r="D18" s="480">
        <f>'[46]Sch B'!G26</f>
        <v>0</v>
      </c>
      <c r="E18" s="480"/>
      <c r="F18" s="166">
        <f t="shared" si="0"/>
        <v>187000</v>
      </c>
      <c r="G18" s="626"/>
      <c r="H18" s="166"/>
      <c r="I18" s="166">
        <f t="shared" si="1"/>
        <v>187000</v>
      </c>
      <c r="J18" s="167">
        <f t="shared" si="2"/>
        <v>4.9037167025835507E-2</v>
      </c>
      <c r="K18" s="458"/>
      <c r="L18" s="335" t="s">
        <v>327</v>
      </c>
      <c r="M18" s="336">
        <f>I233</f>
        <v>20612</v>
      </c>
      <c r="O18" s="324">
        <f t="shared" si="3"/>
        <v>1484.1269841269841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'[46]Sch B'!E32</f>
        <v>23030</v>
      </c>
      <c r="D19" s="480">
        <f>'[46]Sch B'!G32</f>
        <v>0</v>
      </c>
      <c r="E19" s="480"/>
      <c r="F19" s="166">
        <f t="shared" si="0"/>
        <v>23030</v>
      </c>
      <c r="G19" s="626"/>
      <c r="H19" s="166"/>
      <c r="I19" s="166">
        <f t="shared" si="1"/>
        <v>23030</v>
      </c>
      <c r="J19" s="170">
        <f t="shared" si="2"/>
        <v>6.0391762385293675E-3</v>
      </c>
      <c r="K19" s="464"/>
      <c r="L19" s="335" t="s">
        <v>328</v>
      </c>
      <c r="M19" s="336">
        <f>I236</f>
        <v>155</v>
      </c>
      <c r="O19" s="324">
        <f t="shared" si="3"/>
        <v>333.768115942029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'[46]Sch B'!E37</f>
        <v>0</v>
      </c>
      <c r="D20" s="480">
        <f>'[46]Sch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56575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'[46]Sch B'!E42</f>
        <v>317701</v>
      </c>
      <c r="D21" s="480">
        <f>'[46]Sch B'!G42</f>
        <v>0</v>
      </c>
      <c r="E21" s="480"/>
      <c r="F21" s="166">
        <f t="shared" si="0"/>
        <v>317701</v>
      </c>
      <c r="G21" s="626"/>
      <c r="H21" s="166"/>
      <c r="I21" s="166">
        <f t="shared" si="1"/>
        <v>317701</v>
      </c>
      <c r="J21" s="167">
        <f t="shared" si="2"/>
        <v>8.3311000006818001E-2</v>
      </c>
      <c r="K21" s="458"/>
      <c r="L21" s="337"/>
      <c r="M21" s="336"/>
      <c r="O21" s="324">
        <f t="shared" si="3"/>
        <v>187.32370283018867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'[46]Sch B'!E47</f>
        <v>93478</v>
      </c>
      <c r="D22" s="480">
        <f>'[46]Sch B'!G47</f>
        <v>0</v>
      </c>
      <c r="E22" s="480"/>
      <c r="F22" s="166">
        <f t="shared" si="0"/>
        <v>93478</v>
      </c>
      <c r="G22" s="626"/>
      <c r="H22" s="166"/>
      <c r="I22" s="166">
        <f t="shared" si="1"/>
        <v>93478</v>
      </c>
      <c r="J22" s="167">
        <f t="shared" si="2"/>
        <v>2.4512814434444127E-2</v>
      </c>
      <c r="K22" s="458"/>
      <c r="L22" s="335" t="s">
        <v>148</v>
      </c>
      <c r="M22" s="336">
        <f>L213</f>
        <v>85035</v>
      </c>
      <c r="O22" s="324">
        <f t="shared" si="3"/>
        <v>170.89213893967093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'[46]Sch B'!E52</f>
        <v>0</v>
      </c>
      <c r="D23" s="480">
        <f>'[46]Sch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87208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'[46]Sch B'!E57</f>
        <v>0</v>
      </c>
      <c r="D24" s="480">
        <f>'[46]Sch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'[46]Sch B'!E72</f>
        <v>2527</v>
      </c>
      <c r="D25" s="480">
        <f>'[46]Sch B'!G72</f>
        <v>0</v>
      </c>
      <c r="E25" s="480"/>
      <c r="F25" s="166">
        <f t="shared" si="0"/>
        <v>2527</v>
      </c>
      <c r="G25" s="626">
        <v>-4372</v>
      </c>
      <c r="H25" s="166"/>
      <c r="I25" s="166">
        <f t="shared" si="1"/>
        <v>-1845</v>
      </c>
      <c r="J25" s="167">
        <f t="shared" si="2"/>
        <v>-4.838158992655963E-4</v>
      </c>
      <c r="K25" s="162" t="s">
        <v>721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3817806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3817806</v>
      </c>
      <c r="G26" s="166">
        <f>SUM(G12:G25)</f>
        <v>-4372</v>
      </c>
      <c r="H26" s="166">
        <f>SUM(H12:H25)</f>
        <v>0</v>
      </c>
      <c r="I26" s="166">
        <f>SUM(I16:I25)</f>
        <v>3813434</v>
      </c>
      <c r="J26" s="167">
        <f t="shared" si="2"/>
        <v>1</v>
      </c>
      <c r="K26" s="458"/>
      <c r="L26" s="163"/>
      <c r="M26" s="163"/>
      <c r="O26" s="324">
        <f>IFERROR(I26/I233,0)</f>
        <v>185.01038230157189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'[46]Sch C'!D10</f>
        <v>63000</v>
      </c>
      <c r="D30" s="480">
        <f>'[46]Sch C'!F10</f>
        <v>0</v>
      </c>
      <c r="E30" s="480">
        <f>+'[46]Sch C'!H10</f>
        <v>0</v>
      </c>
      <c r="F30" s="166">
        <f t="shared" ref="F30:F65" si="5">C30+D30+E30</f>
        <v>63000</v>
      </c>
      <c r="G30" s="626"/>
      <c r="H30" s="166"/>
      <c r="I30" s="166">
        <f t="shared" ref="I30:I65" si="6">F30+G30+H30</f>
        <v>63000</v>
      </c>
      <c r="J30" s="167">
        <v>0.01</v>
      </c>
      <c r="K30" s="458"/>
      <c r="L30" s="176">
        <v>2100</v>
      </c>
      <c r="M30" s="176">
        <v>2100</v>
      </c>
      <c r="O30" s="324">
        <f>I30/I$233</f>
        <v>3.0564719580826702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'[46]Sch C'!D11</f>
        <v>0</v>
      </c>
      <c r="D31" s="480">
        <f>'[46]Sch C'!F11</f>
        <v>0</v>
      </c>
      <c r="E31" s="480">
        <f>+'[46]Sch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'[46]Sch C'!D12</f>
        <v>91720</v>
      </c>
      <c r="D32" s="480">
        <f>'[46]Sch C'!F12</f>
        <v>0</v>
      </c>
      <c r="E32" s="480">
        <f>+'[46]Sch C'!H12</f>
        <v>0</v>
      </c>
      <c r="F32" s="166">
        <f t="shared" si="5"/>
        <v>91720</v>
      </c>
      <c r="G32" s="626"/>
      <c r="H32" s="166"/>
      <c r="I32" s="166">
        <f t="shared" si="6"/>
        <v>91720</v>
      </c>
      <c r="J32" s="167">
        <f t="shared" si="7"/>
        <v>3.4005868088486664E-2</v>
      </c>
      <c r="K32" s="458"/>
      <c r="L32" s="176">
        <v>4539</v>
      </c>
      <c r="M32" s="176">
        <v>4625</v>
      </c>
      <c r="O32" s="324">
        <f t="shared" si="8"/>
        <v>4.4498350475451192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'[46]Sch C'!D13</f>
        <v>34907</v>
      </c>
      <c r="D33" s="480">
        <f>'[46]Sch C'!F13</f>
        <v>0</v>
      </c>
      <c r="E33" s="480">
        <f>+'[46]Sch C'!H13</f>
        <v>0</v>
      </c>
      <c r="F33" s="166">
        <f t="shared" si="5"/>
        <v>34907</v>
      </c>
      <c r="G33" s="626"/>
      <c r="H33" s="166"/>
      <c r="I33" s="166">
        <f t="shared" si="6"/>
        <v>34907</v>
      </c>
      <c r="J33" s="167">
        <f t="shared" si="7"/>
        <v>1.2942028318412605E-2</v>
      </c>
      <c r="K33" s="458"/>
      <c r="L33" s="163"/>
      <c r="M33" s="163"/>
      <c r="O33" s="324">
        <f t="shared" si="8"/>
        <v>1.6935280419173298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'[46]Sch C'!D14</f>
        <v>0</v>
      </c>
      <c r="D34" s="480">
        <f>'[46]Sch C'!F14</f>
        <v>0</v>
      </c>
      <c r="E34" s="480">
        <f>+'[46]Sch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'[46]Sch C'!D15</f>
        <v>0</v>
      </c>
      <c r="D35" s="480">
        <f>'[46]Sch C'!F15</f>
        <v>0</v>
      </c>
      <c r="E35" s="480">
        <f>+'[46]Sch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'[46]Sch C'!D16</f>
        <v>0</v>
      </c>
      <c r="D36" s="480">
        <f>'[46]Sch C'!F16</f>
        <v>0</v>
      </c>
      <c r="E36" s="480">
        <f>+'[46]Sch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'[46]Sch C'!D17</f>
        <v>21935</v>
      </c>
      <c r="D37" s="480">
        <f>'[46]Sch C'!F17</f>
        <v>0</v>
      </c>
      <c r="E37" s="480">
        <f>+'[46]Sch C'!H17</f>
        <v>0</v>
      </c>
      <c r="F37" s="166">
        <f t="shared" si="5"/>
        <v>21935</v>
      </c>
      <c r="G37" s="626"/>
      <c r="H37" s="166"/>
      <c r="I37" s="166">
        <f t="shared" si="6"/>
        <v>21935</v>
      </c>
      <c r="J37" s="167">
        <f t="shared" si="7"/>
        <v>8.1325634160592571E-3</v>
      </c>
      <c r="K37" s="458"/>
      <c r="L37" s="163"/>
      <c r="M37" s="163"/>
      <c r="O37" s="324">
        <f t="shared" si="8"/>
        <v>1.064185911119736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'[46]Sch C'!D18</f>
        <v>11373</v>
      </c>
      <c r="D38" s="480">
        <f>'[46]Sch C'!F18</f>
        <v>0</v>
      </c>
      <c r="E38" s="480">
        <f>+'[46]Sch C'!H18</f>
        <v>0</v>
      </c>
      <c r="F38" s="166">
        <f t="shared" si="5"/>
        <v>11373</v>
      </c>
      <c r="G38" s="626"/>
      <c r="H38" s="166"/>
      <c r="I38" s="166">
        <f t="shared" si="6"/>
        <v>11373</v>
      </c>
      <c r="J38" s="167">
        <f t="shared" si="7"/>
        <v>4.2166238309022993E-3</v>
      </c>
      <c r="K38" s="458"/>
      <c r="L38" s="163"/>
      <c r="M38" s="163"/>
      <c r="O38" s="324">
        <f t="shared" si="8"/>
        <v>0.55176596157578106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'[46]Sch C'!D19</f>
        <v>10727</v>
      </c>
      <c r="D39" s="480">
        <f>'[46]Sch C'!F19</f>
        <v>0</v>
      </c>
      <c r="E39" s="480">
        <f>+'[46]Sch C'!H19</f>
        <v>0</v>
      </c>
      <c r="F39" s="166">
        <f t="shared" si="5"/>
        <v>10727</v>
      </c>
      <c r="G39" s="626"/>
      <c r="H39" s="166"/>
      <c r="I39" s="166">
        <f t="shared" si="6"/>
        <v>10727</v>
      </c>
      <c r="J39" s="167">
        <f t="shared" si="7"/>
        <v>3.9771145550065029E-3</v>
      </c>
      <c r="K39" s="458"/>
      <c r="L39" s="163"/>
      <c r="M39" s="163"/>
      <c r="O39" s="324">
        <f t="shared" si="8"/>
        <v>0.52042499514845719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'[46]Sch C'!D20</f>
        <v>18633</v>
      </c>
      <c r="D40" s="480">
        <f>'[46]Sch C'!F20</f>
        <v>0</v>
      </c>
      <c r="E40" s="480">
        <f>+'[46]Sch C'!H20</f>
        <v>0</v>
      </c>
      <c r="F40" s="166">
        <f t="shared" si="5"/>
        <v>18633</v>
      </c>
      <c r="G40" s="626"/>
      <c r="H40" s="166"/>
      <c r="I40" s="166">
        <f t="shared" si="6"/>
        <v>18633</v>
      </c>
      <c r="J40" s="167">
        <f t="shared" si="7"/>
        <v>6.9083225042822945E-3</v>
      </c>
      <c r="K40" s="458"/>
      <c r="L40" s="163"/>
      <c r="M40" s="163"/>
      <c r="O40" s="324">
        <f t="shared" si="8"/>
        <v>0.90398796817387927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'[46]Sch C'!D21</f>
        <v>4291</v>
      </c>
      <c r="D41" s="480">
        <f>'[46]Sch C'!F21</f>
        <v>0</v>
      </c>
      <c r="E41" s="480">
        <f>+'[46]Sch C'!H21</f>
        <v>0</v>
      </c>
      <c r="F41" s="166">
        <f t="shared" si="5"/>
        <v>4291</v>
      </c>
      <c r="G41" s="626"/>
      <c r="H41" s="166"/>
      <c r="I41" s="166">
        <f t="shared" si="6"/>
        <v>4291</v>
      </c>
      <c r="J41" s="167">
        <f t="shared" si="7"/>
        <v>1.5909199734812068E-3</v>
      </c>
      <c r="K41" s="458"/>
      <c r="L41" s="163"/>
      <c r="M41" s="163"/>
      <c r="O41" s="324">
        <f t="shared" si="8"/>
        <v>0.20817970114496409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'[46]Sch C'!D22</f>
        <v>0</v>
      </c>
      <c r="D42" s="480">
        <f>'[46]Sch C'!F22</f>
        <v>0</v>
      </c>
      <c r="E42" s="480">
        <f>+'[46]Sch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'[46]Sch C'!D23</f>
        <v>11704</v>
      </c>
      <c r="D43" s="480">
        <f>'[46]Sch C'!F23</f>
        <v>0</v>
      </c>
      <c r="E43" s="480">
        <f>+'[46]Sch C'!H23</f>
        <v>0</v>
      </c>
      <c r="F43" s="166">
        <f t="shared" si="5"/>
        <v>11704</v>
      </c>
      <c r="G43" s="626"/>
      <c r="H43" s="166"/>
      <c r="I43" s="166">
        <f t="shared" si="6"/>
        <v>11704</v>
      </c>
      <c r="J43" s="167">
        <f t="shared" si="7"/>
        <v>4.3393445279944175E-3</v>
      </c>
      <c r="K43" s="458"/>
      <c r="L43" s="163"/>
      <c r="M43" s="163"/>
      <c r="O43" s="324">
        <f t="shared" si="8"/>
        <v>0.56782456821269167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'[46]Sch C'!D24</f>
        <v>13989</v>
      </c>
      <c r="D44" s="480">
        <f>'[46]Sch C'!F24</f>
        <v>0</v>
      </c>
      <c r="E44" s="480">
        <f>+'[46]Sch C'!H24</f>
        <v>0</v>
      </c>
      <c r="F44" s="166">
        <f t="shared" si="5"/>
        <v>13989</v>
      </c>
      <c r="G44" s="626"/>
      <c r="H44" s="166"/>
      <c r="I44" s="166">
        <f t="shared" si="6"/>
        <v>13989</v>
      </c>
      <c r="J44" s="167">
        <f t="shared" si="7"/>
        <v>5.1865251710623639E-3</v>
      </c>
      <c r="K44" s="458"/>
      <c r="L44" s="163"/>
      <c r="M44" s="163"/>
      <c r="O44" s="324">
        <f t="shared" si="8"/>
        <v>0.67868232097807102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'[46]Sch C'!D25</f>
        <v>0</v>
      </c>
      <c r="D45" s="480">
        <f>'[46]Sch C'!F25</f>
        <v>0</v>
      </c>
      <c r="E45" s="480">
        <f>+'[46]Sch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'[46]Sch C'!D26</f>
        <v>431410</v>
      </c>
      <c r="D46" s="480">
        <f>'[46]Sch C'!F26</f>
        <v>0</v>
      </c>
      <c r="E46" s="480">
        <f>+'[46]Sch C'!H26</f>
        <v>0</v>
      </c>
      <c r="F46" s="166">
        <f t="shared" si="5"/>
        <v>431410</v>
      </c>
      <c r="G46" s="626"/>
      <c r="H46" s="166"/>
      <c r="I46" s="166">
        <f t="shared" si="6"/>
        <v>431410</v>
      </c>
      <c r="J46" s="167">
        <f t="shared" si="7"/>
        <v>0.15994844692601431</v>
      </c>
      <c r="K46" s="458"/>
      <c r="L46" s="163"/>
      <c r="M46" s="163"/>
      <c r="O46" s="324">
        <f t="shared" si="8"/>
        <v>20.930040752959442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'[46]Sch C'!D27</f>
        <v>0</v>
      </c>
      <c r="D47" s="480">
        <f>'[46]Sch C'!F27</f>
        <v>0</v>
      </c>
      <c r="E47" s="480">
        <f>+'[46]Sch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'[46]Sch C'!D28</f>
        <v>40497</v>
      </c>
      <c r="D48" s="480">
        <f>'[46]Sch C'!F28</f>
        <v>-40497</v>
      </c>
      <c r="E48" s="480">
        <f>+'[46]Sch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'[46]Sch C'!D29</f>
        <v>1000</v>
      </c>
      <c r="D49" s="480">
        <f>'[46]Sch C'!F29</f>
        <v>-1000</v>
      </c>
      <c r="E49" s="480">
        <f>+'[46]Sch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'[46]Sch C'!D30</f>
        <v>390</v>
      </c>
      <c r="D50" s="480">
        <f>'[46]Sch C'!F30</f>
        <v>-390</v>
      </c>
      <c r="E50" s="480">
        <f>+'[46]Sch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'[46]Sch C'!D31</f>
        <v>20719</v>
      </c>
      <c r="D51" s="480">
        <f>'[46]Sch C'!F31</f>
        <v>0</v>
      </c>
      <c r="E51" s="480">
        <f>+'[46]Sch C'!H31</f>
        <v>0</v>
      </c>
      <c r="F51" s="166">
        <f t="shared" si="5"/>
        <v>20719</v>
      </c>
      <c r="G51" s="626"/>
      <c r="H51" s="166"/>
      <c r="I51" s="166">
        <f t="shared" si="6"/>
        <v>20719</v>
      </c>
      <c r="J51" s="167">
        <f t="shared" si="7"/>
        <v>7.681722426137759E-3</v>
      </c>
      <c r="K51" s="458"/>
      <c r="L51" s="163"/>
      <c r="M51" s="163"/>
      <c r="O51" s="324">
        <f t="shared" si="8"/>
        <v>1.0051911507859499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'[46]Sch C'!D32</f>
        <v>35355</v>
      </c>
      <c r="D52" s="480">
        <f>'[46]Sch C'!F32</f>
        <v>0</v>
      </c>
      <c r="E52" s="480">
        <f>+'[46]Sch C'!H32</f>
        <v>0</v>
      </c>
      <c r="F52" s="166">
        <f t="shared" si="5"/>
        <v>35355</v>
      </c>
      <c r="G52" s="626"/>
      <c r="H52" s="166"/>
      <c r="I52" s="166">
        <f t="shared" si="6"/>
        <v>35355</v>
      </c>
      <c r="J52" s="167">
        <f t="shared" si="7"/>
        <v>1.3108127630488946E-2</v>
      </c>
      <c r="K52" s="458"/>
      <c r="L52" s="163"/>
      <c r="M52" s="163"/>
      <c r="O52" s="324">
        <f t="shared" si="8"/>
        <v>1.715262953619251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'[46]Sch C'!D33</f>
        <v>0</v>
      </c>
      <c r="D53" s="480">
        <f>'[46]Sch C'!F33</f>
        <v>0</v>
      </c>
      <c r="E53" s="480">
        <f>+'[46]Sch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'[46]Sch C'!D34</f>
        <v>0</v>
      </c>
      <c r="D54" s="480">
        <f>'[46]Sch C'!F34</f>
        <v>0</v>
      </c>
      <c r="E54" s="480">
        <f>+'[46]Sch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'[46]Sch C'!D35</f>
        <v>0</v>
      </c>
      <c r="D55" s="480">
        <f>'[46]Sch C'!F35</f>
        <v>0</v>
      </c>
      <c r="E55" s="480">
        <f>+'[46]Sch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'[46]Sch C'!D36</f>
        <v>0</v>
      </c>
      <c r="D56" s="480">
        <f>'[46]Sch C'!F36</f>
        <v>0</v>
      </c>
      <c r="E56" s="480">
        <f>+'[46]Sch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'[46]Sch C'!D37</f>
        <v>0</v>
      </c>
      <c r="D57" s="480">
        <f>'[46]Sch C'!F37</f>
        <v>0</v>
      </c>
      <c r="E57" s="480">
        <f>+'[46]Sch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'[46]Sch C'!D38</f>
        <v>0</v>
      </c>
      <c r="D58" s="480">
        <f>'[46]Sch C'!F38</f>
        <v>0</v>
      </c>
      <c r="E58" s="480">
        <f>+'[46]Sch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'[46]Sch C'!D39</f>
        <v>0</v>
      </c>
      <c r="D59" s="480">
        <f>'[46]Sch C'!F39</f>
        <v>0</v>
      </c>
      <c r="E59" s="480">
        <f>+'[46]Sch C'!H39</f>
        <v>0</v>
      </c>
      <c r="F59" s="166">
        <f t="shared" si="5"/>
        <v>0</v>
      </c>
      <c r="G59" s="626"/>
      <c r="H59" s="166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'[46]Sch C'!D40</f>
        <v>392</v>
      </c>
      <c r="D60" s="480">
        <f>'[46]Sch C'!F40</f>
        <v>0</v>
      </c>
      <c r="E60" s="480">
        <f>+'[46]Sch C'!H40</f>
        <v>0</v>
      </c>
      <c r="F60" s="166">
        <f t="shared" si="5"/>
        <v>392</v>
      </c>
      <c r="G60" s="626"/>
      <c r="H60" s="166"/>
      <c r="I60" s="166">
        <f t="shared" si="6"/>
        <v>392</v>
      </c>
      <c r="J60" s="167">
        <f t="shared" si="7"/>
        <v>1.4533689806679867E-4</v>
      </c>
      <c r="K60" s="458"/>
      <c r="L60" s="163"/>
      <c r="M60" s="163"/>
      <c r="O60" s="324">
        <f t="shared" si="8"/>
        <v>1.901804773918106E-2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'[46]Sch C'!D41</f>
        <v>3426</v>
      </c>
      <c r="D61" s="480">
        <f>'[46]Sch C'!F41</f>
        <v>0</v>
      </c>
      <c r="E61" s="480">
        <f>+'[46]Sch C'!H41</f>
        <v>0</v>
      </c>
      <c r="F61" s="166">
        <f t="shared" si="5"/>
        <v>3426</v>
      </c>
      <c r="G61" s="626"/>
      <c r="H61" s="166"/>
      <c r="I61" s="166">
        <f t="shared" si="6"/>
        <v>3426</v>
      </c>
      <c r="J61" s="167">
        <f t="shared" si="7"/>
        <v>1.270214828512378E-3</v>
      </c>
      <c r="K61" s="458"/>
      <c r="L61" s="163"/>
      <c r="M61" s="163"/>
      <c r="O61" s="324">
        <f t="shared" si="8"/>
        <v>0.16621385600620997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'[46]Sch C'!D42</f>
        <v>0</v>
      </c>
      <c r="D62" s="480">
        <f>'[46]Sch C'!F42</f>
        <v>0</v>
      </c>
      <c r="E62" s="480">
        <f>+'[46]Sch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'[46]Sch C'!D43</f>
        <v>0</v>
      </c>
      <c r="D63" s="480">
        <f>'[46]Sch C'!F43</f>
        <v>0</v>
      </c>
      <c r="E63" s="480">
        <f>+'[46]Sch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'[46]Sch C'!D44</f>
        <v>0</v>
      </c>
      <c r="D64" s="480">
        <f>'[46]Sch C'!F44</f>
        <v>0</v>
      </c>
      <c r="E64" s="480">
        <f>+'[46]Sch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'[46]Sch C'!D45</f>
        <v>0</v>
      </c>
      <c r="D65" s="480">
        <f>'[46]Sch C'!F45</f>
        <v>0</v>
      </c>
      <c r="E65" s="480">
        <f>+'[46]Sch C'!H45</f>
        <v>0</v>
      </c>
      <c r="F65" s="166">
        <f t="shared" si="5"/>
        <v>0</v>
      </c>
      <c r="G65" s="626"/>
      <c r="H65" s="166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815468</v>
      </c>
      <c r="D66" s="480">
        <f t="shared" si="9"/>
        <v>-41887</v>
      </c>
      <c r="E66" s="480">
        <f t="shared" si="9"/>
        <v>0</v>
      </c>
      <c r="F66" s="166">
        <f t="shared" ref="F66:I66" si="10">SUM(F30:F65)</f>
        <v>773581</v>
      </c>
      <c r="G66" s="166">
        <f t="shared" si="10"/>
        <v>0</v>
      </c>
      <c r="H66" s="166">
        <f t="shared" si="10"/>
        <v>0</v>
      </c>
      <c r="I66" s="166">
        <f t="shared" si="10"/>
        <v>773581</v>
      </c>
      <c r="J66" s="178">
        <f t="shared" si="7"/>
        <v>0.28681087485564333</v>
      </c>
      <c r="K66" s="465"/>
      <c r="L66" s="163"/>
      <c r="M66" s="163"/>
      <c r="O66" s="329">
        <f>I66/I$233</f>
        <v>37.53061323500873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'[46]Sch C'!D57</f>
        <v>300000</v>
      </c>
      <c r="D69" s="480">
        <f>'[46]Sch C'!F57</f>
        <v>0</v>
      </c>
      <c r="E69" s="480">
        <f>+'[46]Sch C'!H57</f>
        <v>-300000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'[46]Sch C'!D58</f>
        <v>0</v>
      </c>
      <c r="D70" s="480">
        <f>'[46]Sch C'!F58</f>
        <v>0</v>
      </c>
      <c r="E70" s="480">
        <f>+'[46]Sch C'!H58</f>
        <v>0</v>
      </c>
      <c r="F70" s="166">
        <f t="shared" ref="F70:F83" si="13">C70+D70+E70</f>
        <v>0</v>
      </c>
      <c r="G70" s="626"/>
      <c r="H70" s="166"/>
      <c r="I70" s="166">
        <f t="shared" ref="I70:I83" si="14">F70+G70+H70</f>
        <v>0</v>
      </c>
      <c r="J70" s="167">
        <f t="shared" si="11"/>
        <v>0</v>
      </c>
      <c r="K70" s="458"/>
      <c r="L70" s="182"/>
      <c r="M70" s="163"/>
      <c r="O70" s="324">
        <f t="shared" si="12"/>
        <v>0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'[46]Sch C'!D59</f>
        <v>0</v>
      </c>
      <c r="D71" s="480">
        <f>'[46]Sch C'!F59</f>
        <v>0</v>
      </c>
      <c r="E71" s="480">
        <f>+'[46]Sch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'[46]Sch C'!D60</f>
        <v>28321</v>
      </c>
      <c r="D72" s="480">
        <f>'[46]Sch C'!F60</f>
        <v>0</v>
      </c>
      <c r="E72" s="480">
        <f>+'[46]Sch C'!H60</f>
        <v>0</v>
      </c>
      <c r="F72" s="166">
        <f t="shared" si="13"/>
        <v>28321</v>
      </c>
      <c r="G72" s="626"/>
      <c r="H72" s="166"/>
      <c r="I72" s="166">
        <f t="shared" si="14"/>
        <v>28321</v>
      </c>
      <c r="J72" s="167">
        <f t="shared" si="11"/>
        <v>1.0500220127933176E-2</v>
      </c>
      <c r="K72" s="458"/>
      <c r="L72" s="185"/>
      <c r="M72" s="163"/>
      <c r="O72" s="324">
        <f t="shared" si="12"/>
        <v>1.3740054337279255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'[46]Sch C'!D61</f>
        <v>7405</v>
      </c>
      <c r="D73" s="480">
        <f>'[46]Sch C'!F61</f>
        <v>0</v>
      </c>
      <c r="E73" s="480">
        <f>+'[46]Sch C'!H61</f>
        <v>0</v>
      </c>
      <c r="F73" s="166">
        <f t="shared" si="13"/>
        <v>7405</v>
      </c>
      <c r="G73" s="626"/>
      <c r="H73" s="166"/>
      <c r="I73" s="166">
        <f t="shared" si="14"/>
        <v>7405</v>
      </c>
      <c r="J73" s="167">
        <f t="shared" si="11"/>
        <v>2.7454584953689903E-3</v>
      </c>
      <c r="K73" s="458"/>
      <c r="L73" s="185"/>
      <c r="M73" s="163"/>
      <c r="O73" s="324">
        <f t="shared" si="12"/>
        <v>0.35925674364447896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'[46]Sch C'!D62</f>
        <v>13095</v>
      </c>
      <c r="D74" s="480">
        <f>'[46]Sch C'!F62</f>
        <v>0</v>
      </c>
      <c r="E74" s="480">
        <f>+'[46]Sch C'!H62</f>
        <v>0</v>
      </c>
      <c r="F74" s="166">
        <f t="shared" si="13"/>
        <v>13095</v>
      </c>
      <c r="G74" s="626"/>
      <c r="H74" s="166"/>
      <c r="I74" s="166">
        <f t="shared" si="14"/>
        <v>13095</v>
      </c>
      <c r="J74" s="167">
        <f t="shared" si="11"/>
        <v>4.8550680616957359E-3</v>
      </c>
      <c r="K74" s="458"/>
      <c r="L74" s="187"/>
      <c r="M74" s="163"/>
      <c r="O74" s="324">
        <f t="shared" si="12"/>
        <v>0.63530952843004074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'[46]Sch C'!D63</f>
        <v>0</v>
      </c>
      <c r="D75" s="480">
        <f>'[46]Sch C'!F63</f>
        <v>0</v>
      </c>
      <c r="E75" s="480">
        <f>+'[46]Sch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'[46]Sch C'!D64</f>
        <v>0</v>
      </c>
      <c r="D76" s="480">
        <f>'[46]Sch C'!F64</f>
        <v>0</v>
      </c>
      <c r="E76" s="480">
        <f>+'[46]Sch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'[46]Sch C'!D65</f>
        <v>1887</v>
      </c>
      <c r="D77" s="480">
        <f>'[46]Sch C'!F65</f>
        <v>0</v>
      </c>
      <c r="E77" s="480">
        <f>+'[46]Sch C'!H65</f>
        <v>0</v>
      </c>
      <c r="F77" s="166">
        <f t="shared" si="13"/>
        <v>1887</v>
      </c>
      <c r="G77" s="626"/>
      <c r="H77" s="166"/>
      <c r="I77" s="166">
        <f t="shared" si="14"/>
        <v>1887</v>
      </c>
      <c r="J77" s="167">
        <f t="shared" si="11"/>
        <v>6.9961920064298233E-4</v>
      </c>
      <c r="K77" s="458"/>
      <c r="L77" s="187"/>
      <c r="M77" s="163"/>
      <c r="O77" s="324">
        <f t="shared" si="12"/>
        <v>9.1548612458761891E-2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'[46]Sch C'!D66</f>
        <v>0</v>
      </c>
      <c r="D78" s="480">
        <f>'[46]Sch C'!F66</f>
        <v>0</v>
      </c>
      <c r="E78" s="480">
        <f>+'[46]Sch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'[46]Sch C'!D67</f>
        <v>49780</v>
      </c>
      <c r="D79" s="480">
        <f>'[46]Sch C'!F67</f>
        <v>0</v>
      </c>
      <c r="E79" s="480">
        <f>+'[46]Sch C'!H67</f>
        <v>0</v>
      </c>
      <c r="F79" s="166">
        <f t="shared" si="13"/>
        <v>49780</v>
      </c>
      <c r="G79" s="626"/>
      <c r="H79" s="166"/>
      <c r="I79" s="166">
        <f t="shared" si="14"/>
        <v>49780</v>
      </c>
      <c r="J79" s="167">
        <f t="shared" si="11"/>
        <v>1.845630302491132E-2</v>
      </c>
      <c r="K79" s="458"/>
      <c r="L79" s="187"/>
      <c r="M79" s="163"/>
      <c r="O79" s="324">
        <f t="shared" si="12"/>
        <v>2.4150980011643703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'[46]Sch C'!D68</f>
        <v>0</v>
      </c>
      <c r="D80" s="480">
        <f>'[46]Sch C'!F68</f>
        <v>0</v>
      </c>
      <c r="E80" s="480">
        <f>+'[46]Sch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'[46]Sch C'!D69</f>
        <v>0</v>
      </c>
      <c r="D81" s="480">
        <f>'[46]Sch C'!F69</f>
        <v>0</v>
      </c>
      <c r="E81" s="480">
        <f>+'[46]Sch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'[46]Sch C'!D70</f>
        <v>0</v>
      </c>
      <c r="D82" s="480">
        <f>'[46]Sch C'!F70</f>
        <v>0</v>
      </c>
      <c r="E82" s="480">
        <f>+'[46]Sch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'[46]Sch C'!D71</f>
        <v>0</v>
      </c>
      <c r="D83" s="480">
        <f>'[46]Sch C'!F71</f>
        <v>0</v>
      </c>
      <c r="E83" s="480">
        <f>+'[46]Sch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400488</v>
      </c>
      <c r="D84" s="480">
        <f t="shared" si="15"/>
        <v>0</v>
      </c>
      <c r="E84" s="480">
        <f t="shared" si="15"/>
        <v>-300000</v>
      </c>
      <c r="F84" s="166">
        <f t="shared" ref="F84:I84" si="16">SUM(F69:F83)</f>
        <v>100488</v>
      </c>
      <c r="G84" s="166">
        <f t="shared" si="16"/>
        <v>0</v>
      </c>
      <c r="H84" s="166">
        <f t="shared" si="16"/>
        <v>0</v>
      </c>
      <c r="I84" s="166">
        <f t="shared" si="16"/>
        <v>100488</v>
      </c>
      <c r="J84" s="167">
        <f t="shared" si="11"/>
        <v>3.7256668910552203E-2</v>
      </c>
      <c r="K84" s="458"/>
      <c r="L84" s="187"/>
      <c r="M84" s="163"/>
      <c r="O84" s="324">
        <f t="shared" si="12"/>
        <v>4.8752183194255769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'[46]Sch C'!D75</f>
        <v>33631</v>
      </c>
      <c r="D87" s="480">
        <f>'[46]Sch C'!F75</f>
        <v>0</v>
      </c>
      <c r="E87" s="480">
        <f>+'[46]Sch C'!H75</f>
        <v>0</v>
      </c>
      <c r="F87" s="166">
        <f t="shared" ref="F87:F97" si="17">C87+D87+E87</f>
        <v>33631</v>
      </c>
      <c r="G87" s="626"/>
      <c r="H87" s="166"/>
      <c r="I87" s="166">
        <f t="shared" ref="I87:I97" si="18">F87+G87+H87</f>
        <v>33631</v>
      </c>
      <c r="J87" s="167">
        <f t="shared" ref="J87:J98" si="19">IF($I$213=0,0,I87/$I$213)</f>
        <v>1.2468941884909454E-2</v>
      </c>
      <c r="K87" s="458"/>
      <c r="L87" s="176">
        <v>2827</v>
      </c>
      <c r="M87" s="176">
        <v>2973</v>
      </c>
      <c r="O87" s="324">
        <f t="shared" ref="O87:O97" si="20">I87/I$233</f>
        <v>1.6316223559091791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'[46]Sch C'!D76</f>
        <v>4631</v>
      </c>
      <c r="D88" s="480">
        <f>'[46]Sch C'!F76</f>
        <v>0</v>
      </c>
      <c r="E88" s="480">
        <f>+'[46]Sch C'!H76</f>
        <v>0</v>
      </c>
      <c r="F88" s="166">
        <f t="shared" si="17"/>
        <v>4631</v>
      </c>
      <c r="G88" s="626"/>
      <c r="H88" s="166"/>
      <c r="I88" s="166">
        <f t="shared" si="18"/>
        <v>4631</v>
      </c>
      <c r="J88" s="167">
        <f t="shared" si="19"/>
        <v>1.716977487110573E-3</v>
      </c>
      <c r="K88" s="458"/>
      <c r="L88" s="163"/>
      <c r="M88" s="163"/>
      <c r="O88" s="324">
        <f t="shared" si="20"/>
        <v>0.22467494663302931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'[46]Sch C'!D77</f>
        <v>5033</v>
      </c>
      <c r="D89" s="480">
        <f>'[46]Sch C'!F77</f>
        <v>0</v>
      </c>
      <c r="E89" s="480">
        <f>+'[46]Sch C'!H77</f>
        <v>0</v>
      </c>
      <c r="F89" s="166">
        <f t="shared" si="17"/>
        <v>5033</v>
      </c>
      <c r="G89" s="626"/>
      <c r="H89" s="166"/>
      <c r="I89" s="166">
        <f t="shared" si="18"/>
        <v>5033</v>
      </c>
      <c r="J89" s="167">
        <f t="shared" si="19"/>
        <v>1.8660219591076471E-3</v>
      </c>
      <c r="K89" s="458"/>
      <c r="L89" s="163"/>
      <c r="M89" s="163"/>
      <c r="O89" s="324">
        <f t="shared" si="20"/>
        <v>0.2441781486512711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'[46]Sch C'!D78</f>
        <v>1216</v>
      </c>
      <c r="D90" s="480">
        <f>'[46]Sch C'!F78</f>
        <v>0</v>
      </c>
      <c r="E90" s="480">
        <f>+'[46]Sch C'!H78</f>
        <v>0</v>
      </c>
      <c r="F90" s="166">
        <f t="shared" si="17"/>
        <v>1216</v>
      </c>
      <c r="G90" s="626"/>
      <c r="H90" s="166"/>
      <c r="I90" s="166">
        <f t="shared" si="18"/>
        <v>1216</v>
      </c>
      <c r="J90" s="167">
        <f t="shared" si="19"/>
        <v>4.508409899214979E-4</v>
      </c>
      <c r="K90" s="458"/>
      <c r="L90" s="163"/>
      <c r="M90" s="163"/>
      <c r="O90" s="324">
        <f t="shared" si="20"/>
        <v>5.8994760333786145E-2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'[46]Sch C'!D79</f>
        <v>0</v>
      </c>
      <c r="D91" s="480">
        <f>'[46]Sch C'!F79</f>
        <v>0</v>
      </c>
      <c r="E91" s="480">
        <f>+'[46]Sch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'[46]Sch C'!D80</f>
        <v>41317</v>
      </c>
      <c r="D92" s="480">
        <f>'[46]Sch C'!F80</f>
        <v>0</v>
      </c>
      <c r="E92" s="480">
        <f>+'[46]Sch C'!H80</f>
        <v>0</v>
      </c>
      <c r="F92" s="166">
        <f t="shared" si="17"/>
        <v>41317</v>
      </c>
      <c r="G92" s="626"/>
      <c r="H92" s="166"/>
      <c r="I92" s="166">
        <f t="shared" si="18"/>
        <v>41317</v>
      </c>
      <c r="J92" s="167">
        <f t="shared" si="19"/>
        <v>1.5318583207719184E-2</v>
      </c>
      <c r="K92" s="458"/>
      <c r="L92" s="163"/>
      <c r="M92" s="163"/>
      <c r="O92" s="324">
        <f t="shared" si="20"/>
        <v>2.0045119347952647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'[46]Sch C'!D81</f>
        <v>40902</v>
      </c>
      <c r="D93" s="480">
        <f>'[46]Sch C'!F81</f>
        <v>0</v>
      </c>
      <c r="E93" s="480">
        <f>+'[46]Sch C'!H81</f>
        <v>0</v>
      </c>
      <c r="F93" s="166">
        <f t="shared" si="17"/>
        <v>40902</v>
      </c>
      <c r="G93" s="626"/>
      <c r="H93" s="166"/>
      <c r="I93" s="166">
        <f t="shared" si="18"/>
        <v>40902</v>
      </c>
      <c r="J93" s="167">
        <f t="shared" si="19"/>
        <v>1.5164718889612752E-2</v>
      </c>
      <c r="K93" s="458"/>
      <c r="L93" s="163"/>
      <c r="M93" s="163"/>
      <c r="O93" s="324">
        <f t="shared" si="20"/>
        <v>1.9843780322142441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'[46]Sch C'!D82</f>
        <v>1522</v>
      </c>
      <c r="D94" s="480">
        <f>'[46]Sch C'!F82</f>
        <v>0</v>
      </c>
      <c r="E94" s="480">
        <f>+'[46]Sch C'!H82</f>
        <v>0</v>
      </c>
      <c r="F94" s="166">
        <f t="shared" si="17"/>
        <v>1522</v>
      </c>
      <c r="G94" s="626"/>
      <c r="H94" s="166"/>
      <c r="I94" s="166">
        <f t="shared" si="18"/>
        <v>1522</v>
      </c>
      <c r="J94" s="167">
        <f t="shared" si="19"/>
        <v>5.6429275218792749E-4</v>
      </c>
      <c r="K94" s="458"/>
      <c r="L94" s="163"/>
      <c r="M94" s="163"/>
      <c r="O94" s="324">
        <f t="shared" si="20"/>
        <v>7.3840481273044822E-2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'[46]Sch C'!D83</f>
        <v>10278</v>
      </c>
      <c r="D95" s="480">
        <f>'[46]Sch C'!F83</f>
        <v>0</v>
      </c>
      <c r="E95" s="480">
        <f>+'[46]Sch C'!H83</f>
        <v>0</v>
      </c>
      <c r="F95" s="166">
        <f t="shared" si="17"/>
        <v>10278</v>
      </c>
      <c r="G95" s="626"/>
      <c r="H95" s="166"/>
      <c r="I95" s="166">
        <f t="shared" si="18"/>
        <v>10278</v>
      </c>
      <c r="J95" s="167">
        <f t="shared" si="19"/>
        <v>3.8106444855371346E-3</v>
      </c>
      <c r="K95" s="458"/>
      <c r="L95" s="163"/>
      <c r="M95" s="163"/>
      <c r="O95" s="324">
        <f t="shared" si="20"/>
        <v>0.49864156801862991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'[46]Sch C'!D84</f>
        <v>91754</v>
      </c>
      <c r="D96" s="480">
        <f>'[46]Sch C'!F84</f>
        <v>0</v>
      </c>
      <c r="E96" s="480">
        <f>+'[46]Sch C'!H84</f>
        <v>0</v>
      </c>
      <c r="F96" s="166">
        <f t="shared" si="17"/>
        <v>91754</v>
      </c>
      <c r="G96" s="626"/>
      <c r="H96" s="166"/>
      <c r="I96" s="166">
        <f t="shared" si="18"/>
        <v>91754</v>
      </c>
      <c r="J96" s="167">
        <f t="shared" si="19"/>
        <v>3.4018473839849607E-2</v>
      </c>
      <c r="K96" s="458"/>
      <c r="L96" s="163"/>
      <c r="M96" s="163"/>
      <c r="O96" s="324">
        <f t="shared" si="20"/>
        <v>4.4514845720939258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'[46]Sch C'!D85</f>
        <v>0</v>
      </c>
      <c r="D97" s="480">
        <f>'[46]Sch C'!F85</f>
        <v>0</v>
      </c>
      <c r="E97" s="480">
        <f>+'[46]Sch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230284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230284</v>
      </c>
      <c r="G98" s="166">
        <f t="shared" si="22"/>
        <v>0</v>
      </c>
      <c r="H98" s="166">
        <f t="shared" si="22"/>
        <v>0</v>
      </c>
      <c r="I98" s="166">
        <f t="shared" si="22"/>
        <v>230284</v>
      </c>
      <c r="J98" s="167">
        <f t="shared" si="19"/>
        <v>8.5379495495955776E-2</v>
      </c>
      <c r="K98" s="458"/>
      <c r="L98" s="163"/>
      <c r="M98" s="163"/>
      <c r="O98" s="329">
        <f>I98/I$233</f>
        <v>11.172326799922375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'[46]Sch C'!D89</f>
        <v>141219</v>
      </c>
      <c r="D101" s="480">
        <f>'[46]Sch C'!F89</f>
        <v>0</v>
      </c>
      <c r="E101" s="480">
        <f>+'[46]Sch C'!H89</f>
        <v>0</v>
      </c>
      <c r="F101" s="166">
        <f t="shared" ref="F101:F106" si="23">C101+D101+E101</f>
        <v>141219</v>
      </c>
      <c r="G101" s="626"/>
      <c r="H101" s="166"/>
      <c r="I101" s="166">
        <f t="shared" ref="I101:I106" si="24">F101+G101+H101</f>
        <v>141219</v>
      </c>
      <c r="J101" s="167">
        <f t="shared" ref="J101:J107" si="25">IF($I$213=0,0,I101/$I$213)</f>
        <v>5.2357988285957245E-2</v>
      </c>
      <c r="K101" s="458"/>
      <c r="L101" s="176">
        <v>13777</v>
      </c>
      <c r="M101" s="176">
        <v>14013</v>
      </c>
      <c r="O101" s="329">
        <f t="shared" ref="O101:O106" si="26">I101/I$233</f>
        <v>6.8513002134678826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'[46]Sch C'!D90</f>
        <v>15228</v>
      </c>
      <c r="D102" s="480">
        <f>'[46]Sch C'!F90</f>
        <v>0</v>
      </c>
      <c r="E102" s="480">
        <f>+'[46]Sch C'!H90</f>
        <v>0</v>
      </c>
      <c r="F102" s="166">
        <f t="shared" si="23"/>
        <v>15228</v>
      </c>
      <c r="G102" s="626"/>
      <c r="H102" s="166"/>
      <c r="I102" s="166">
        <f t="shared" si="24"/>
        <v>15228</v>
      </c>
      <c r="J102" s="167">
        <f t="shared" si="25"/>
        <v>5.6458935810234949E-3</v>
      </c>
      <c r="K102" s="458"/>
      <c r="L102" s="163"/>
      <c r="M102" s="163"/>
      <c r="O102" s="329">
        <f t="shared" si="26"/>
        <v>0.7387929361536969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'[46]Sch C'!D91</f>
        <v>4438</v>
      </c>
      <c r="D103" s="480">
        <f>'[46]Sch C'!F91</f>
        <v>0</v>
      </c>
      <c r="E103" s="480">
        <f>+'[46]Sch C'!H91</f>
        <v>0</v>
      </c>
      <c r="F103" s="166">
        <f t="shared" si="23"/>
        <v>4438</v>
      </c>
      <c r="G103" s="626"/>
      <c r="H103" s="166"/>
      <c r="I103" s="166">
        <f t="shared" si="24"/>
        <v>4438</v>
      </c>
      <c r="J103" s="167">
        <f t="shared" si="25"/>
        <v>1.6454213102562562E-3</v>
      </c>
      <c r="K103" s="458"/>
      <c r="L103" s="163"/>
      <c r="M103" s="163"/>
      <c r="O103" s="329">
        <f t="shared" si="26"/>
        <v>0.21531146904715701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'[46]Sch C'!D92</f>
        <v>176261</v>
      </c>
      <c r="D104" s="480">
        <f>'[46]Sch C'!F92</f>
        <v>0</v>
      </c>
      <c r="E104" s="480">
        <f>+'[46]Sch C'!H92</f>
        <v>0</v>
      </c>
      <c r="F104" s="166">
        <f t="shared" si="23"/>
        <v>176261</v>
      </c>
      <c r="G104" s="626"/>
      <c r="H104" s="166"/>
      <c r="I104" s="166">
        <f t="shared" si="24"/>
        <v>176261</v>
      </c>
      <c r="J104" s="167">
        <f t="shared" si="25"/>
        <v>6.5350068852428569E-2</v>
      </c>
      <c r="K104" s="458"/>
      <c r="L104" s="163"/>
      <c r="M104" s="163"/>
      <c r="O104" s="329">
        <f t="shared" si="26"/>
        <v>8.5513778381525327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'[46]Sch C'!D93</f>
        <v>20971</v>
      </c>
      <c r="D105" s="480">
        <f>'[46]Sch C'!F93</f>
        <v>0</v>
      </c>
      <c r="E105" s="480">
        <f>+'[46]Sch C'!H93</f>
        <v>0</v>
      </c>
      <c r="F105" s="166">
        <f t="shared" si="23"/>
        <v>20971</v>
      </c>
      <c r="G105" s="626"/>
      <c r="H105" s="166"/>
      <c r="I105" s="166">
        <f t="shared" si="24"/>
        <v>20971</v>
      </c>
      <c r="J105" s="167">
        <f t="shared" si="25"/>
        <v>7.775153289180701E-3</v>
      </c>
      <c r="K105" s="458"/>
      <c r="L105" s="163"/>
      <c r="M105" s="163"/>
      <c r="O105" s="329">
        <f t="shared" si="26"/>
        <v>1.0174170386182806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'[46]Sch C'!D94</f>
        <v>0</v>
      </c>
      <c r="D106" s="480">
        <f>'[46]Sch C'!F94</f>
        <v>0</v>
      </c>
      <c r="E106" s="480">
        <f>+'[46]Sch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358117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358117</v>
      </c>
      <c r="G107" s="166">
        <f t="shared" si="28"/>
        <v>0</v>
      </c>
      <c r="H107" s="166">
        <f t="shared" si="28"/>
        <v>0</v>
      </c>
      <c r="I107" s="166">
        <f t="shared" si="28"/>
        <v>358117</v>
      </c>
      <c r="J107" s="167">
        <f t="shared" si="25"/>
        <v>0.13277452531884626</v>
      </c>
      <c r="K107" s="458"/>
      <c r="L107" s="163"/>
      <c r="M107" s="163"/>
      <c r="O107" s="329">
        <f>I107/I$233</f>
        <v>17.374199495439548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'[46]Sch C'!D98</f>
        <v>20803</v>
      </c>
      <c r="D110" s="480">
        <f>'[46]Sch C'!F98</f>
        <v>0</v>
      </c>
      <c r="E110" s="480">
        <f>+'[46]Sch C'!H98</f>
        <v>0</v>
      </c>
      <c r="F110" s="166">
        <f t="shared" ref="F110:F115" si="29">C110+D110+E110</f>
        <v>20803</v>
      </c>
      <c r="G110" s="626"/>
      <c r="H110" s="166"/>
      <c r="I110" s="166">
        <f t="shared" ref="I110:I115" si="30">F110+G110+H110</f>
        <v>20803</v>
      </c>
      <c r="J110" s="167">
        <f t="shared" ref="J110:J116" si="31">IF($I$213=0,0,I110/$I$213)</f>
        <v>7.7128660471520727E-3</v>
      </c>
      <c r="K110" s="458"/>
      <c r="L110" s="176">
        <v>2224</v>
      </c>
      <c r="M110" s="176">
        <v>2304</v>
      </c>
      <c r="O110" s="329">
        <f t="shared" ref="O110:O115" si="32">I110/I$233</f>
        <v>1.0092664467300601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'[46]Sch C'!D99</f>
        <v>1660</v>
      </c>
      <c r="D111" s="480">
        <f>'[46]Sch C'!F99</f>
        <v>0</v>
      </c>
      <c r="E111" s="480">
        <f>+'[46]Sch C'!H99</f>
        <v>0</v>
      </c>
      <c r="F111" s="166">
        <f t="shared" si="29"/>
        <v>1660</v>
      </c>
      <c r="G111" s="626"/>
      <c r="H111" s="166"/>
      <c r="I111" s="166">
        <f t="shared" si="30"/>
        <v>1660</v>
      </c>
      <c r="J111" s="167">
        <f t="shared" si="31"/>
        <v>6.1545727242572903E-4</v>
      </c>
      <c r="K111" s="458"/>
      <c r="L111" s="163"/>
      <c r="M111" s="163"/>
      <c r="O111" s="329">
        <f t="shared" si="32"/>
        <v>8.053561032408306E-2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'[46]Sch C'!D100</f>
        <v>5787</v>
      </c>
      <c r="D112" s="480">
        <f>'[46]Sch C'!F100</f>
        <v>0</v>
      </c>
      <c r="E112" s="480">
        <f>+'[46]Sch C'!H100</f>
        <v>0</v>
      </c>
      <c r="F112" s="166">
        <f t="shared" si="29"/>
        <v>5787</v>
      </c>
      <c r="G112" s="626"/>
      <c r="H112" s="166"/>
      <c r="I112" s="166">
        <f t="shared" si="30"/>
        <v>5787</v>
      </c>
      <c r="J112" s="167">
        <f t="shared" si="31"/>
        <v>2.1455730334504182E-3</v>
      </c>
      <c r="K112" s="458"/>
      <c r="L112" s="163"/>
      <c r="M112" s="163"/>
      <c r="O112" s="329">
        <f t="shared" si="32"/>
        <v>0.28075878129245102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'[46]Sch C'!D101</f>
        <v>0</v>
      </c>
      <c r="D113" s="480">
        <f>'[46]Sch C'!F101</f>
        <v>0</v>
      </c>
      <c r="E113" s="480">
        <f>+'[46]Sch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'[46]Sch C'!D102</f>
        <v>1610</v>
      </c>
      <c r="D114" s="480">
        <f>'[46]Sch C'!F102</f>
        <v>0</v>
      </c>
      <c r="E114" s="480">
        <f>+'[46]Sch C'!H102</f>
        <v>0</v>
      </c>
      <c r="F114" s="166">
        <f t="shared" si="29"/>
        <v>1610</v>
      </c>
      <c r="G114" s="626"/>
      <c r="H114" s="166"/>
      <c r="I114" s="166">
        <f t="shared" si="30"/>
        <v>1610</v>
      </c>
      <c r="J114" s="167">
        <f t="shared" si="31"/>
        <v>5.9691940277435164E-4</v>
      </c>
      <c r="K114" s="458"/>
      <c r="L114" s="163"/>
      <c r="M114" s="163"/>
      <c r="O114" s="329">
        <f t="shared" si="32"/>
        <v>7.8109838928779346E-2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'[46]Sch C'!D103</f>
        <v>0</v>
      </c>
      <c r="D115" s="480">
        <f>'[46]Sch C'!F103</f>
        <v>0</v>
      </c>
      <c r="E115" s="480">
        <f>+'[46]Sch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29860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29860</v>
      </c>
      <c r="G116" s="166">
        <f t="shared" si="34"/>
        <v>0</v>
      </c>
      <c r="H116" s="166">
        <f t="shared" si="34"/>
        <v>0</v>
      </c>
      <c r="I116" s="166">
        <f t="shared" si="34"/>
        <v>29860</v>
      </c>
      <c r="J116" s="167">
        <f t="shared" si="31"/>
        <v>1.1070815755802571E-2</v>
      </c>
      <c r="K116" s="458"/>
      <c r="L116" s="163"/>
      <c r="M116" s="163"/>
      <c r="O116" s="329">
        <f>I116/I$233</f>
        <v>1.4486706772753735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'[46]Sch C'!D115</f>
        <v>52004</v>
      </c>
      <c r="D119" s="480">
        <f>'[46]Sch C'!F115</f>
        <v>0</v>
      </c>
      <c r="E119" s="480">
        <f>+'[46]Sch C'!H115</f>
        <v>0</v>
      </c>
      <c r="F119" s="166">
        <f t="shared" ref="F119:F123" si="35">C119+D119+E119</f>
        <v>52004</v>
      </c>
      <c r="G119" s="626"/>
      <c r="H119" s="166"/>
      <c r="I119" s="166">
        <f t="shared" ref="I119:I123" si="36">F119+G119+H119</f>
        <v>52004</v>
      </c>
      <c r="J119" s="167">
        <f t="shared" ref="J119:J124" si="37">IF($I$213=0,0,I119/$I$213)</f>
        <v>1.9280867467004584E-2</v>
      </c>
      <c r="K119" s="458"/>
      <c r="L119" s="176">
        <v>6223</v>
      </c>
      <c r="M119" s="176">
        <v>6332</v>
      </c>
      <c r="O119" s="329">
        <f t="shared" ref="O119:O124" si="38">I119/I$233</f>
        <v>2.522996312827479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'[46]Sch C'!D116</f>
        <v>4197</v>
      </c>
      <c r="D120" s="480">
        <f>'[46]Sch C'!F116</f>
        <v>0</v>
      </c>
      <c r="E120" s="480">
        <f>+'[46]Sch C'!H116</f>
        <v>0</v>
      </c>
      <c r="F120" s="166">
        <f t="shared" si="35"/>
        <v>4197</v>
      </c>
      <c r="G120" s="626"/>
      <c r="H120" s="166"/>
      <c r="I120" s="166">
        <f t="shared" si="36"/>
        <v>4197</v>
      </c>
      <c r="J120" s="167">
        <f t="shared" si="37"/>
        <v>1.5560687785366174E-3</v>
      </c>
      <c r="K120" s="458"/>
      <c r="L120" s="163"/>
      <c r="M120" s="163"/>
      <c r="O120" s="329">
        <f t="shared" si="38"/>
        <v>0.20361925092179314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'[46]Sch C'!D117</f>
        <v>19786</v>
      </c>
      <c r="D121" s="480">
        <f>'[46]Sch C'!F117</f>
        <v>0</v>
      </c>
      <c r="E121" s="480">
        <f>+'[46]Sch C'!H117</f>
        <v>0</v>
      </c>
      <c r="F121" s="166">
        <f t="shared" si="35"/>
        <v>19786</v>
      </c>
      <c r="G121" s="626"/>
      <c r="H121" s="166"/>
      <c r="I121" s="166">
        <f t="shared" si="36"/>
        <v>19786</v>
      </c>
      <c r="J121" s="167">
        <f t="shared" si="37"/>
        <v>7.3358057784430573E-3</v>
      </c>
      <c r="K121" s="458"/>
      <c r="L121" s="163"/>
      <c r="M121" s="163"/>
      <c r="O121" s="329">
        <f t="shared" si="38"/>
        <v>0.95992625654958275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'[46]Sch C'!D118</f>
        <v>0</v>
      </c>
      <c r="D122" s="480">
        <f>'[46]Sch C'!F118</f>
        <v>0</v>
      </c>
      <c r="E122" s="480">
        <f>+'[46]Sch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'[46]Sch C'!D119</f>
        <v>0</v>
      </c>
      <c r="D123" s="480">
        <f>'[46]Sch C'!F119</f>
        <v>0</v>
      </c>
      <c r="E123" s="480">
        <f>+'[46]Sch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75987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75987</v>
      </c>
      <c r="G124" s="166">
        <f t="shared" si="40"/>
        <v>0</v>
      </c>
      <c r="H124" s="166">
        <f t="shared" si="40"/>
        <v>0</v>
      </c>
      <c r="I124" s="166">
        <f t="shared" si="40"/>
        <v>75987</v>
      </c>
      <c r="J124" s="167">
        <f t="shared" si="37"/>
        <v>2.817274202398426E-2</v>
      </c>
      <c r="K124" s="458"/>
      <c r="L124" s="163"/>
      <c r="M124" s="163"/>
      <c r="O124" s="329">
        <f t="shared" si="38"/>
        <v>3.6865418202988551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'[46]Sch C'!D124</f>
        <v>0</v>
      </c>
      <c r="D128" s="480">
        <f>'[46]Sch C'!F124</f>
        <v>0</v>
      </c>
      <c r="E128" s="480">
        <f>+'[46]Sch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'[46]Sch C'!D125</f>
        <v>48184.55</v>
      </c>
      <c r="D129" s="480">
        <f>'[46]Sch C'!F125</f>
        <v>0</v>
      </c>
      <c r="E129" s="480">
        <f>+'[46]Sch C'!H125</f>
        <v>0</v>
      </c>
      <c r="F129" s="166">
        <f t="shared" si="41"/>
        <v>48184.55</v>
      </c>
      <c r="G129" s="626"/>
      <c r="H129" s="166"/>
      <c r="I129" s="166">
        <f t="shared" si="42"/>
        <v>48184.55</v>
      </c>
      <c r="J129" s="167">
        <f>IF($I$213=0,0,I129/$I$213)</f>
        <v>1.7864778142205519E-2</v>
      </c>
      <c r="K129" s="458"/>
      <c r="L129" s="176">
        <v>1575</v>
      </c>
      <c r="M129" s="176">
        <v>1625</v>
      </c>
      <c r="O129" s="329">
        <f t="shared" si="43"/>
        <v>2.3376940617116246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'[46]Sch C'!D126</f>
        <v>0</v>
      </c>
      <c r="D130" s="480">
        <f>'[46]Sch C'!F126</f>
        <v>0</v>
      </c>
      <c r="E130" s="480">
        <f>+'[46]Sch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'[46]Sch C'!D127</f>
        <v>0</v>
      </c>
      <c r="D131" s="480">
        <f>'[46]Sch C'!F127</f>
        <v>0</v>
      </c>
      <c r="E131" s="480">
        <f>+'[46]Sch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'[46]Sch C'!D128</f>
        <v>7571</v>
      </c>
      <c r="D132" s="480">
        <f>'[46]Sch C'!F128</f>
        <v>0</v>
      </c>
      <c r="E132" s="480">
        <f>+'[46]Sch C'!H128</f>
        <v>0</v>
      </c>
      <c r="F132" s="166">
        <f t="shared" si="41"/>
        <v>7571</v>
      </c>
      <c r="G132" s="626"/>
      <c r="H132" s="166"/>
      <c r="I132" s="166">
        <f t="shared" si="42"/>
        <v>7571</v>
      </c>
      <c r="J132" s="167">
        <f>IF($I$213=0,0,I132/$I$213)</f>
        <v>2.807004222611563E-3</v>
      </c>
      <c r="K132" s="458"/>
      <c r="L132" s="176">
        <v>841</v>
      </c>
      <c r="M132" s="176">
        <v>867</v>
      </c>
      <c r="O132" s="329">
        <f t="shared" si="43"/>
        <v>0.36731030467688724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'[46]Sch C'!D130</f>
        <v>0</v>
      </c>
      <c r="D134" s="480">
        <f>'[46]Sch C'!F130</f>
        <v>0</v>
      </c>
      <c r="E134" s="480">
        <f>+'[46]Sch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'[46]Sch C'!D131</f>
        <v>6251</v>
      </c>
      <c r="D135" s="480">
        <f>'[46]Sch C'!F131</f>
        <v>0</v>
      </c>
      <c r="E135" s="480">
        <f>+'[46]Sch C'!H131</f>
        <v>0</v>
      </c>
      <c r="F135" s="166">
        <f t="shared" si="44"/>
        <v>6251</v>
      </c>
      <c r="G135" s="626"/>
      <c r="H135" s="166"/>
      <c r="I135" s="166">
        <f t="shared" si="45"/>
        <v>6251</v>
      </c>
      <c r="J135" s="167">
        <f>IF($I$213=0,0,I135/$I$213)</f>
        <v>2.3176044638152002E-3</v>
      </c>
      <c r="K135" s="458"/>
      <c r="L135" s="196"/>
      <c r="M135" s="196"/>
      <c r="O135" s="329">
        <f t="shared" si="43"/>
        <v>0.30326993984086942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'[46]Sch C'!D132</f>
        <v>0</v>
      </c>
      <c r="D136" s="480">
        <f>'[46]Sch C'!F132</f>
        <v>0</v>
      </c>
      <c r="E136" s="480">
        <f>+'[46]Sch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'[46]Sch C'!D133</f>
        <v>0</v>
      </c>
      <c r="D137" s="480">
        <f>'[46]Sch C'!F133</f>
        <v>0</v>
      </c>
      <c r="E137" s="480">
        <f>+'[46]Sch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'[46]Sch C'!D134</f>
        <v>440</v>
      </c>
      <c r="D138" s="480">
        <f>'[46]Sch C'!F134</f>
        <v>0</v>
      </c>
      <c r="E138" s="480">
        <f>+'[46]Sch C'!H134</f>
        <v>0</v>
      </c>
      <c r="F138" s="166">
        <f t="shared" si="44"/>
        <v>440</v>
      </c>
      <c r="G138" s="626"/>
      <c r="H138" s="166"/>
      <c r="I138" s="166">
        <f t="shared" si="45"/>
        <v>440</v>
      </c>
      <c r="J138" s="167">
        <f>IF($I$213=0,0,I138/$I$213)</f>
        <v>1.6313325293212095E-4</v>
      </c>
      <c r="K138" s="458"/>
      <c r="L138" s="163"/>
      <c r="M138" s="163"/>
      <c r="O138" s="329">
        <f t="shared" si="43"/>
        <v>2.1346788278672618E-2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'[46]Sch C'!D136</f>
        <v>284042</v>
      </c>
      <c r="D140" s="480">
        <f>'[46]Sch C'!F136</f>
        <v>0</v>
      </c>
      <c r="E140" s="480">
        <f>+'[46]Sch C'!H136</f>
        <v>0</v>
      </c>
      <c r="F140" s="166">
        <f t="shared" ref="F140:F143" si="46">C140+D140+E140</f>
        <v>284042</v>
      </c>
      <c r="G140" s="626"/>
      <c r="H140" s="166"/>
      <c r="I140" s="166">
        <f t="shared" ref="I140:I143" si="47">F140+G140+H140</f>
        <v>284042</v>
      </c>
      <c r="J140" s="167">
        <f>IF($I$213=0,0,I140/$I$213)</f>
        <v>0.10531067143033068</v>
      </c>
      <c r="K140" s="458"/>
      <c r="L140" s="176">
        <v>10841</v>
      </c>
      <c r="M140" s="176">
        <v>11036</v>
      </c>
      <c r="O140" s="329">
        <f t="shared" si="43"/>
        <v>13.780419173297108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'[46]Sch C'!D137</f>
        <v>80161</v>
      </c>
      <c r="D141" s="480">
        <f>'[46]Sch C'!F137</f>
        <v>0</v>
      </c>
      <c r="E141" s="480">
        <f>+'[46]Sch C'!H137</f>
        <v>0</v>
      </c>
      <c r="F141" s="166">
        <f t="shared" si="46"/>
        <v>80161</v>
      </c>
      <c r="G141" s="626"/>
      <c r="H141" s="166"/>
      <c r="I141" s="166">
        <f t="shared" si="47"/>
        <v>80161</v>
      </c>
      <c r="J141" s="167">
        <f>IF($I$213=0,0,I141/$I$213)</f>
        <v>2.9720283382481245E-2</v>
      </c>
      <c r="K141" s="458"/>
      <c r="L141" s="176">
        <v>3379</v>
      </c>
      <c r="M141" s="176">
        <v>3545</v>
      </c>
      <c r="O141" s="329">
        <f t="shared" si="43"/>
        <v>3.8890452163788085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'[46]Sch C'!D138</f>
        <v>366140</v>
      </c>
      <c r="D142" s="480">
        <f>'[46]Sch C'!F138</f>
        <v>0</v>
      </c>
      <c r="E142" s="480">
        <f>+'[46]Sch C'!H138</f>
        <v>0</v>
      </c>
      <c r="F142" s="166">
        <f t="shared" si="46"/>
        <v>366140</v>
      </c>
      <c r="G142" s="626"/>
      <c r="H142" s="166"/>
      <c r="I142" s="166">
        <f t="shared" si="47"/>
        <v>366140</v>
      </c>
      <c r="J142" s="167">
        <f>IF($I$213=0,0,I142/$I$213)</f>
        <v>0.13574911188310629</v>
      </c>
      <c r="K142" s="458"/>
      <c r="L142" s="176">
        <v>34087</v>
      </c>
      <c r="M142" s="176">
        <v>35054</v>
      </c>
      <c r="O142" s="329">
        <f t="shared" si="43"/>
        <v>17.763438773529984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'[46]Sch C'!D139</f>
        <v>0</v>
      </c>
      <c r="D143" s="480">
        <f>'[46]Sch C'!F139</f>
        <v>0</v>
      </c>
      <c r="E143" s="480">
        <f>+'[46]Sch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'[46]Sch C'!D141</f>
        <v>22513</v>
      </c>
      <c r="D145" s="480">
        <f>'[46]Sch C'!F141</f>
        <v>0</v>
      </c>
      <c r="E145" s="480">
        <f>+'[46]Sch C'!H141</f>
        <v>0</v>
      </c>
      <c r="F145" s="166">
        <f t="shared" ref="F145:F148" si="48">C145+D145+E145</f>
        <v>22513</v>
      </c>
      <c r="G145" s="626"/>
      <c r="H145" s="166"/>
      <c r="I145" s="166">
        <f t="shared" ref="I145:I148" si="49">F145+G145+H145</f>
        <v>22513</v>
      </c>
      <c r="J145" s="167">
        <f>IF($I$213=0,0,I145/$I$213)</f>
        <v>8.3468611892291798E-3</v>
      </c>
      <c r="K145" s="458"/>
      <c r="L145" s="163"/>
      <c r="M145" s="163"/>
      <c r="O145" s="329">
        <f t="shared" si="43"/>
        <v>1.0922278284494469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'[46]Sch C'!D142</f>
        <v>6445</v>
      </c>
      <c r="D146" s="480">
        <f>'[46]Sch C'!F142</f>
        <v>0</v>
      </c>
      <c r="E146" s="480">
        <f>+'[46]Sch C'!H142</f>
        <v>0</v>
      </c>
      <c r="F146" s="166">
        <f t="shared" si="48"/>
        <v>6445</v>
      </c>
      <c r="G146" s="626"/>
      <c r="H146" s="166"/>
      <c r="I146" s="166">
        <f t="shared" si="49"/>
        <v>6445</v>
      </c>
      <c r="J146" s="167">
        <f>IF($I$213=0,0,I146/$I$213)</f>
        <v>2.3895313980625446E-3</v>
      </c>
      <c r="K146" s="458"/>
      <c r="L146" s="163"/>
      <c r="M146" s="163"/>
      <c r="O146" s="329">
        <f t="shared" si="43"/>
        <v>0.31268193285464779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'[46]Sch C'!D143</f>
        <v>29789</v>
      </c>
      <c r="D147" s="480">
        <f>'[46]Sch C'!F143</f>
        <v>0</v>
      </c>
      <c r="E147" s="480">
        <f>+'[46]Sch C'!H143</f>
        <v>0</v>
      </c>
      <c r="F147" s="166">
        <f t="shared" si="48"/>
        <v>29789</v>
      </c>
      <c r="G147" s="626"/>
      <c r="H147" s="166"/>
      <c r="I147" s="166">
        <f t="shared" si="49"/>
        <v>29789</v>
      </c>
      <c r="J147" s="167">
        <f>IF($I$213=0,0,I147/$I$213)</f>
        <v>1.1044491980897617E-2</v>
      </c>
      <c r="K147" s="458"/>
      <c r="L147" s="163"/>
      <c r="M147" s="163"/>
      <c r="O147" s="329">
        <f t="shared" si="43"/>
        <v>1.4452260818940423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'[46]Sch C'!D144</f>
        <v>0</v>
      </c>
      <c r="D148" s="480">
        <f>'[46]Sch C'!F144</f>
        <v>0</v>
      </c>
      <c r="E148" s="480">
        <f>+'[46]Sch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'[46]Sch C'!D146</f>
        <v>18000</v>
      </c>
      <c r="D150" s="480">
        <f>'[46]Sch C'!F146</f>
        <v>0</v>
      </c>
      <c r="E150" s="480">
        <f>+'[46]Sch C'!H146</f>
        <v>0</v>
      </c>
      <c r="F150" s="166">
        <f t="shared" ref="F150:F158" si="50">C150+D150+E150</f>
        <v>18000</v>
      </c>
      <c r="G150" s="626"/>
      <c r="H150" s="166"/>
      <c r="I150" s="166">
        <f t="shared" ref="I150:I158" si="51">F150+G150+H150</f>
        <v>18000</v>
      </c>
      <c r="J150" s="167">
        <f t="shared" ref="J150:J158" si="52">IF($I$213=0,0,I150/$I$213)</f>
        <v>6.6736330744958574E-3</v>
      </c>
      <c r="K150" s="458"/>
      <c r="L150" s="176">
        <v>0</v>
      </c>
      <c r="M150" s="176">
        <v>0</v>
      </c>
      <c r="O150" s="329">
        <f t="shared" si="43"/>
        <v>0.87327770230933432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'[46]Sch C'!D147</f>
        <v>0</v>
      </c>
      <c r="D151" s="480">
        <f>'[46]Sch C'!F147</f>
        <v>0</v>
      </c>
      <c r="E151" s="480">
        <f>+'[46]Sch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'[46]Sch C'!D148</f>
        <v>0</v>
      </c>
      <c r="D152" s="480">
        <f>'[46]Sch C'!F148</f>
        <v>0</v>
      </c>
      <c r="E152" s="480">
        <f>+'[46]Sch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'[46]Sch C'!D149</f>
        <v>0</v>
      </c>
      <c r="D153" s="480">
        <f>'[46]Sch C'!F149</f>
        <v>0</v>
      </c>
      <c r="E153" s="480">
        <f>+'[46]Sch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'[46]Sch C'!D150</f>
        <v>4086</v>
      </c>
      <c r="D154" s="480">
        <f>'[46]Sch C'!F150</f>
        <v>0</v>
      </c>
      <c r="E154" s="480">
        <f>+'[46]Sch C'!H150</f>
        <v>0</v>
      </c>
      <c r="F154" s="166">
        <f t="shared" si="50"/>
        <v>4086</v>
      </c>
      <c r="G154" s="626"/>
      <c r="H154" s="166"/>
      <c r="I154" s="166">
        <f t="shared" si="51"/>
        <v>4086</v>
      </c>
      <c r="J154" s="167">
        <f t="shared" si="52"/>
        <v>1.5149147079105596E-3</v>
      </c>
      <c r="K154" s="458"/>
      <c r="L154" s="176">
        <v>0</v>
      </c>
      <c r="M154" s="176">
        <v>0</v>
      </c>
      <c r="O154" s="329">
        <f t="shared" si="43"/>
        <v>0.19823403842421891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'[46]Sch C'!D151</f>
        <v>61809</v>
      </c>
      <c r="D155" s="480">
        <f>'[46]Sch C'!F151</f>
        <v>0</v>
      </c>
      <c r="E155" s="480">
        <f>+'[46]Sch C'!H151</f>
        <v>0</v>
      </c>
      <c r="F155" s="166">
        <f t="shared" si="50"/>
        <v>61809</v>
      </c>
      <c r="G155" s="626"/>
      <c r="H155" s="166"/>
      <c r="I155" s="166">
        <f t="shared" si="51"/>
        <v>61809</v>
      </c>
      <c r="J155" s="167">
        <f t="shared" si="52"/>
        <v>2.2916143705639689E-2</v>
      </c>
      <c r="K155" s="458"/>
      <c r="L155" s="163"/>
      <c r="M155" s="163"/>
      <c r="O155" s="329">
        <f t="shared" si="43"/>
        <v>2.9986900834465362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'[46]Sch C'!D152</f>
        <v>14692</v>
      </c>
      <c r="D156" s="480">
        <f>'[46]Sch C'!F152</f>
        <v>0</v>
      </c>
      <c r="E156" s="480">
        <f>+'[46]Sch C'!H152</f>
        <v>0</v>
      </c>
      <c r="F156" s="166">
        <f t="shared" si="50"/>
        <v>14692</v>
      </c>
      <c r="G156" s="626"/>
      <c r="H156" s="166"/>
      <c r="I156" s="166">
        <f t="shared" si="51"/>
        <v>14692</v>
      </c>
      <c r="J156" s="167">
        <f t="shared" si="52"/>
        <v>5.44716761836073E-3</v>
      </c>
      <c r="K156" s="458"/>
      <c r="L156" s="163"/>
      <c r="M156" s="163"/>
      <c r="O156" s="329">
        <f t="shared" si="43"/>
        <v>0.71278866679604114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'[46]Sch C'!D153</f>
        <v>0</v>
      </c>
      <c r="D157" s="480">
        <f>'[46]Sch C'!F153</f>
        <v>0</v>
      </c>
      <c r="E157" s="480">
        <f>+'[46]Sch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'[46]Sch C'!D154</f>
        <v>0</v>
      </c>
      <c r="D158" s="480">
        <f>'[46]Sch C'!F154</f>
        <v>0</v>
      </c>
      <c r="E158" s="480">
        <f>+'[46]Sch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'[46]Sch C'!D156</f>
        <v>0</v>
      </c>
      <c r="D160" s="480">
        <f>'[46]Sch C'!F156</f>
        <v>0</v>
      </c>
      <c r="E160" s="480">
        <f>+'[46]Sch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'[46]Sch C'!D157</f>
        <v>0</v>
      </c>
      <c r="D161" s="480">
        <f>'[46]Sch C'!F157</f>
        <v>0</v>
      </c>
      <c r="E161" s="480">
        <f>+'[46]Sch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'[46]Sch C'!D158</f>
        <v>0</v>
      </c>
      <c r="D162" s="480">
        <f>'[46]Sch C'!F158</f>
        <v>0</v>
      </c>
      <c r="E162" s="480">
        <f>+'[46]Sch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'[46]Sch C'!D159</f>
        <v>0</v>
      </c>
      <c r="D163" s="480">
        <f>'[46]Sch C'!F159</f>
        <v>0</v>
      </c>
      <c r="E163" s="480">
        <f>+'[46]Sch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'[46]Sch C'!D160</f>
        <v>0</v>
      </c>
      <c r="D164" s="480">
        <f>'[46]Sch C'!F160</f>
        <v>0</v>
      </c>
      <c r="E164" s="480">
        <f>+'[46]Sch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'[46]Sch C'!D161</f>
        <v>0</v>
      </c>
      <c r="D165" s="480">
        <f>'[46]Sch C'!F161</f>
        <v>0</v>
      </c>
      <c r="E165" s="480">
        <f>+'[46]Sch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950123.55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950123.55</v>
      </c>
      <c r="G166" s="166">
        <f t="shared" si="57"/>
        <v>0</v>
      </c>
      <c r="H166" s="166">
        <f t="shared" si="57"/>
        <v>0</v>
      </c>
      <c r="I166" s="166">
        <f t="shared" si="57"/>
        <v>950123.55</v>
      </c>
      <c r="J166" s="167">
        <f t="shared" si="55"/>
        <v>0.35226533045207881</v>
      </c>
      <c r="K166" s="458"/>
      <c r="L166" s="163"/>
      <c r="M166" s="163"/>
      <c r="O166" s="329">
        <f>I166/I$233</f>
        <v>46.095650591888223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'[46]Sch C'!D175</f>
        <v>0</v>
      </c>
      <c r="D169" s="480">
        <f>'[46]Sch C'!F175</f>
        <v>0</v>
      </c>
      <c r="E169" s="480">
        <f>+'[46]Sch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'[46]Sch C'!D176</f>
        <v>0</v>
      </c>
      <c r="D170" s="480">
        <f>'[46]Sch C'!F176</f>
        <v>0</v>
      </c>
      <c r="E170" s="480">
        <f>+'[46]Sch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'[46]Sch C'!D177</f>
        <v>0</v>
      </c>
      <c r="D171" s="480">
        <f>'[46]Sch C'!F177</f>
        <v>0</v>
      </c>
      <c r="E171" s="480">
        <f>+'[46]Sch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'[46]Sch C'!D178</f>
        <v>0</v>
      </c>
      <c r="D172" s="480">
        <f>'[46]Sch C'!F178</f>
        <v>0</v>
      </c>
      <c r="E172" s="480">
        <f>+'[46]Sch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'[46]Sch C'!D179</f>
        <v>0</v>
      </c>
      <c r="D173" s="480">
        <f>'[46]Sch C'!F179</f>
        <v>0</v>
      </c>
      <c r="E173" s="480">
        <f>+'[46]Sch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'[46]Sch C'!D180</f>
        <v>0</v>
      </c>
      <c r="D174" s="480">
        <f>'[46]Sch C'!F180</f>
        <v>0</v>
      </c>
      <c r="E174" s="480">
        <f>+'[46]Sch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'[46]Sch C'!D181</f>
        <v>0</v>
      </c>
      <c r="D175" s="480">
        <f>'[46]Sch C'!F181</f>
        <v>0</v>
      </c>
      <c r="E175" s="480">
        <f>+'[46]Sch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'[46]Sch C'!D182</f>
        <v>0</v>
      </c>
      <c r="D176" s="480">
        <f>'[46]Sch C'!F182</f>
        <v>0</v>
      </c>
      <c r="E176" s="480">
        <f>+'[46]Sch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'[46]Sch C'!D183</f>
        <v>0</v>
      </c>
      <c r="D177" s="480">
        <f>'[46]Sch C'!F183</f>
        <v>0</v>
      </c>
      <c r="E177" s="480">
        <f>+'[46]Sch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'[46]Sch C'!D184</f>
        <v>0</v>
      </c>
      <c r="D178" s="480">
        <f>'[46]Sch C'!F184</f>
        <v>0</v>
      </c>
      <c r="E178" s="480">
        <f>+'[46]Sch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'[46]Sch C'!D185</f>
        <v>0</v>
      </c>
      <c r="D179" s="480">
        <f>'[46]Sch C'!F185</f>
        <v>0</v>
      </c>
      <c r="E179" s="480">
        <f>+'[46]Sch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'[46]Sch C'!D186</f>
        <v>0</v>
      </c>
      <c r="D180" s="480">
        <f>'[46]Sch C'!F186</f>
        <v>0</v>
      </c>
      <c r="E180" s="480">
        <f>+'[46]Sch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'[46]Sch C'!D187</f>
        <v>0</v>
      </c>
      <c r="D181" s="480">
        <f>'[46]Sch C'!F187</f>
        <v>0</v>
      </c>
      <c r="E181" s="480">
        <f>+'[46]Sch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'[46]Sch C'!D188</f>
        <v>0</v>
      </c>
      <c r="D182" s="480">
        <f>'[46]Sch C'!F188</f>
        <v>0</v>
      </c>
      <c r="E182" s="480">
        <f>+'[46]Sch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'[46]Sch C'!D189</f>
        <v>0</v>
      </c>
      <c r="D183" s="480">
        <f>'[46]Sch C'!F189</f>
        <v>0</v>
      </c>
      <c r="E183" s="480">
        <f>+'[46]Sch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'[46]Sch C'!D190</f>
        <v>0</v>
      </c>
      <c r="D184" s="480">
        <f>'[46]Sch C'!F190</f>
        <v>0</v>
      </c>
      <c r="E184" s="480">
        <f>+'[46]Sch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'[46]Sch C'!D191</f>
        <v>0</v>
      </c>
      <c r="D185" s="480">
        <f>'[46]Sch C'!F191</f>
        <v>0</v>
      </c>
      <c r="E185" s="480">
        <f>+'[46]Sch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'[46]Sch C'!D192</f>
        <v>0</v>
      </c>
      <c r="D186" s="480">
        <f>'[46]Sch C'!F192</f>
        <v>0</v>
      </c>
      <c r="E186" s="480">
        <f>+'[46]Sch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'[46]Sch C'!D193</f>
        <v>0</v>
      </c>
      <c r="D187" s="480">
        <f>'[46]Sch C'!F193</f>
        <v>0</v>
      </c>
      <c r="E187" s="480">
        <f>+'[46]Sch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'[46]Sch C'!D194</f>
        <v>50754</v>
      </c>
      <c r="D188" s="480">
        <f>'[46]Sch C'!F194</f>
        <v>0</v>
      </c>
      <c r="E188" s="480">
        <f>+'[46]Sch C'!H194</f>
        <v>0</v>
      </c>
      <c r="F188" s="166">
        <f t="shared" si="58"/>
        <v>50754</v>
      </c>
      <c r="G188" s="626"/>
      <c r="H188" s="166"/>
      <c r="I188" s="166">
        <f t="shared" si="59"/>
        <v>50754</v>
      </c>
      <c r="J188" s="167">
        <f t="shared" si="60"/>
        <v>1.8817420725720152E-2</v>
      </c>
      <c r="K188" s="458"/>
      <c r="L188" s="213"/>
      <c r="M188" s="208"/>
      <c r="O188" s="329">
        <f t="shared" si="61"/>
        <v>2.4623520279448865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'[46]Sch C'!D195</f>
        <v>23758</v>
      </c>
      <c r="D189" s="480">
        <f>'[46]Sch C'!F195</f>
        <v>0</v>
      </c>
      <c r="E189" s="480">
        <f>+'[46]Sch C'!H195</f>
        <v>0</v>
      </c>
      <c r="F189" s="166">
        <f t="shared" si="58"/>
        <v>23758</v>
      </c>
      <c r="G189" s="626"/>
      <c r="H189" s="166"/>
      <c r="I189" s="166">
        <f t="shared" si="59"/>
        <v>23758</v>
      </c>
      <c r="J189" s="167">
        <f t="shared" si="60"/>
        <v>8.8084541435484755E-3</v>
      </c>
      <c r="K189" s="458"/>
      <c r="L189" s="213"/>
      <c r="M189" s="208"/>
      <c r="O189" s="329">
        <f t="shared" si="61"/>
        <v>1.1526295361925092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'[46]Sch C'!D196</f>
        <v>0</v>
      </c>
      <c r="D190" s="480">
        <f>'[46]Sch C'!F196</f>
        <v>0</v>
      </c>
      <c r="E190" s="480">
        <f>+'[46]Sch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'[46]Sch C'!D197</f>
        <v>55192</v>
      </c>
      <c r="D191" s="480">
        <f>'[46]Sch C'!F197</f>
        <v>0</v>
      </c>
      <c r="E191" s="480">
        <f>+'[46]Sch C'!H197</f>
        <v>0</v>
      </c>
      <c r="F191" s="166">
        <f t="shared" si="58"/>
        <v>55192</v>
      </c>
      <c r="G191" s="626"/>
      <c r="H191" s="166"/>
      <c r="I191" s="166">
        <f t="shared" si="59"/>
        <v>55192</v>
      </c>
      <c r="J191" s="167">
        <f t="shared" si="60"/>
        <v>2.0462842035976408E-2</v>
      </c>
      <c r="K191" s="458"/>
      <c r="L191" s="213"/>
      <c r="M191" s="208"/>
      <c r="O191" s="329">
        <f t="shared" si="61"/>
        <v>2.6776634969920434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'[46]Sch C'!D198</f>
        <v>0</v>
      </c>
      <c r="D192" s="480">
        <f>'[46]Sch C'!F198</f>
        <v>0</v>
      </c>
      <c r="E192" s="480">
        <f>+'[46]Sch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'[46]Sch C'!D199</f>
        <v>0</v>
      </c>
      <c r="D193" s="480">
        <f>'[46]Sch C'!F199</f>
        <v>0</v>
      </c>
      <c r="E193" s="480">
        <f>+'[46]Sch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'[46]Sch C'!D200</f>
        <v>0</v>
      </c>
      <c r="D194" s="480">
        <f>'[46]Sch C'!F200</f>
        <v>0</v>
      </c>
      <c r="E194" s="480">
        <f>+'[46]Sch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'[46]Sch C'!D201</f>
        <v>0</v>
      </c>
      <c r="D195" s="480">
        <f>'[46]Sch C'!F201</f>
        <v>0</v>
      </c>
      <c r="E195" s="480">
        <f>+'[46]Sch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'[46]Sch C'!D202</f>
        <v>0</v>
      </c>
      <c r="D196" s="480">
        <f>'[46]Sch C'!F202</f>
        <v>0</v>
      </c>
      <c r="E196" s="480">
        <f>+'[46]Sch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'[46]Sch C'!D203</f>
        <v>0</v>
      </c>
      <c r="D197" s="480">
        <f>'[46]Sch C'!F203</f>
        <v>0</v>
      </c>
      <c r="E197" s="480">
        <f>+'[46]Sch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'[46]Sch C'!D204</f>
        <v>0</v>
      </c>
      <c r="D198" s="480">
        <f>'[46]Sch C'!F204</f>
        <v>0</v>
      </c>
      <c r="E198" s="480">
        <f>+'[46]Sch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'[46]Sch C'!D205</f>
        <v>3105</v>
      </c>
      <c r="D199" s="480">
        <f>'[46]Sch C'!F205</f>
        <v>0</v>
      </c>
      <c r="E199" s="480">
        <f>+'[46]Sch C'!H205</f>
        <v>0</v>
      </c>
      <c r="F199" s="166">
        <f t="shared" si="58"/>
        <v>3105</v>
      </c>
      <c r="G199" s="626"/>
      <c r="H199" s="166"/>
      <c r="I199" s="166">
        <f t="shared" si="59"/>
        <v>3105</v>
      </c>
      <c r="J199" s="167">
        <f t="shared" si="60"/>
        <v>1.1512017053505353E-3</v>
      </c>
      <c r="K199" s="458"/>
      <c r="L199" s="213"/>
      <c r="M199" s="208"/>
      <c r="O199" s="329">
        <f t="shared" si="61"/>
        <v>0.15064040364836018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'[46]Sch C'!D206</f>
        <v>0</v>
      </c>
      <c r="D200" s="480">
        <f>'[46]Sch C'!F206</f>
        <v>0</v>
      </c>
      <c r="E200" s="480">
        <f>+'[46]Sch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'[46]Sch C'!D207</f>
        <v>0</v>
      </c>
      <c r="D201" s="480">
        <f>'[46]Sch C'!F207</f>
        <v>0</v>
      </c>
      <c r="E201" s="480">
        <f>+'[46]Sch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132809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132809</v>
      </c>
      <c r="G202" s="166">
        <f t="shared" si="63"/>
        <v>0</v>
      </c>
      <c r="H202" s="166">
        <f t="shared" si="63"/>
        <v>0</v>
      </c>
      <c r="I202" s="166">
        <f t="shared" si="63"/>
        <v>132809</v>
      </c>
      <c r="J202" s="167">
        <f>IF($I$213=0,0,I202/$I$213)</f>
        <v>4.9239918610595568E-2</v>
      </c>
      <c r="K202" s="458"/>
      <c r="L202" s="163"/>
      <c r="M202" s="163"/>
      <c r="O202" s="329">
        <f>I202/I$233</f>
        <v>6.4432854647777997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'[46]Sch C'!D211</f>
        <v>31767</v>
      </c>
      <c r="D205" s="480">
        <f>'[46]Sch C'!F211</f>
        <v>0</v>
      </c>
      <c r="E205" s="480">
        <f>+'[46]Sch C'!H211</f>
        <v>0</v>
      </c>
      <c r="F205" s="166">
        <f t="shared" ref="F205:F210" si="64">C205+D205+E205</f>
        <v>31767</v>
      </c>
      <c r="G205" s="626"/>
      <c r="H205" s="166"/>
      <c r="I205" s="166">
        <f t="shared" ref="I205:I210" si="65">F205+G205+H205</f>
        <v>31767</v>
      </c>
      <c r="J205" s="167">
        <f t="shared" ref="J205:J211" si="66">IF($I$213=0,0,I205/$I$213)</f>
        <v>1.1777850104306105E-2</v>
      </c>
      <c r="K205" s="458"/>
      <c r="L205" s="176">
        <v>2622</v>
      </c>
      <c r="M205" s="176">
        <v>2734</v>
      </c>
      <c r="O205" s="329">
        <f t="shared" ref="O205:O210" si="67">I205/I$233</f>
        <v>1.541189598292257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'[46]Sch C'!D212</f>
        <v>2562</v>
      </c>
      <c r="D206" s="480">
        <f>'[46]Sch C'!F212</f>
        <v>0</v>
      </c>
      <c r="E206" s="480">
        <f>+'[46]Sch C'!H212</f>
        <v>0</v>
      </c>
      <c r="F206" s="166">
        <f t="shared" si="64"/>
        <v>2562</v>
      </c>
      <c r="G206" s="626"/>
      <c r="H206" s="166"/>
      <c r="I206" s="166">
        <f t="shared" si="65"/>
        <v>2562</v>
      </c>
      <c r="J206" s="167">
        <f t="shared" si="66"/>
        <v>9.4988044093657702E-4</v>
      </c>
      <c r="K206" s="458"/>
      <c r="L206" s="163"/>
      <c r="M206" s="163"/>
      <c r="O206" s="329">
        <f t="shared" si="67"/>
        <v>0.12429652629536192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'[46]Sch C'!D213</f>
        <v>5583</v>
      </c>
      <c r="D207" s="480">
        <f>'[46]Sch C'!F213</f>
        <v>0</v>
      </c>
      <c r="E207" s="480">
        <f>+'[46]Sch C'!H213</f>
        <v>0</v>
      </c>
      <c r="F207" s="166">
        <f t="shared" si="64"/>
        <v>5583</v>
      </c>
      <c r="G207" s="626"/>
      <c r="H207" s="166"/>
      <c r="I207" s="166">
        <f t="shared" si="65"/>
        <v>5583</v>
      </c>
      <c r="J207" s="167">
        <f t="shared" si="66"/>
        <v>2.0699385252727982E-3</v>
      </c>
      <c r="K207" s="458"/>
      <c r="L207" s="163"/>
      <c r="M207" s="163"/>
      <c r="O207" s="329">
        <f t="shared" si="67"/>
        <v>0.27086163399961188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'[46]Sch C'!D214</f>
        <v>5721</v>
      </c>
      <c r="D208" s="480">
        <f>'[46]Sch C'!F214</f>
        <v>0</v>
      </c>
      <c r="E208" s="480">
        <f>+'[46]Sch C'!H214</f>
        <v>0</v>
      </c>
      <c r="F208" s="166">
        <f t="shared" si="64"/>
        <v>5721</v>
      </c>
      <c r="G208" s="626"/>
      <c r="H208" s="166"/>
      <c r="I208" s="166">
        <f t="shared" si="65"/>
        <v>5721</v>
      </c>
      <c r="J208" s="167">
        <f t="shared" si="66"/>
        <v>2.1211030455106001E-3</v>
      </c>
      <c r="K208" s="458"/>
      <c r="L208" s="163"/>
      <c r="M208" s="163"/>
      <c r="O208" s="329">
        <f t="shared" si="67"/>
        <v>0.27755676305065008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'[46]Sch C'!D215</f>
        <v>0</v>
      </c>
      <c r="D209" s="480">
        <f>'[46]Sch C'!F215</f>
        <v>0</v>
      </c>
      <c r="E209" s="480">
        <f>+'[46]Sch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'[46]Sch C'!D216</f>
        <v>299</v>
      </c>
      <c r="D210" s="480">
        <f>'[46]Sch C'!F216</f>
        <v>0</v>
      </c>
      <c r="E210" s="480">
        <f>+'[46]Sch C'!H216</f>
        <v>0</v>
      </c>
      <c r="F210" s="166">
        <f t="shared" si="64"/>
        <v>299</v>
      </c>
      <c r="G210" s="626"/>
      <c r="H210" s="166"/>
      <c r="I210" s="166">
        <f t="shared" si="65"/>
        <v>299</v>
      </c>
      <c r="J210" s="167">
        <f t="shared" si="66"/>
        <v>1.1085646051523674E-4</v>
      </c>
      <c r="K210" s="458"/>
      <c r="L210" s="163"/>
      <c r="M210" s="163"/>
      <c r="O210" s="329">
        <f t="shared" si="67"/>
        <v>1.4506112943916166E-2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45932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45932</v>
      </c>
      <c r="G211" s="166">
        <f t="shared" si="69"/>
        <v>0</v>
      </c>
      <c r="H211" s="166">
        <f t="shared" si="69"/>
        <v>0</v>
      </c>
      <c r="I211" s="166">
        <f t="shared" si="69"/>
        <v>45932</v>
      </c>
      <c r="J211" s="167">
        <f t="shared" si="66"/>
        <v>1.7029628576541316E-2</v>
      </c>
      <c r="K211" s="458"/>
      <c r="L211" s="163"/>
      <c r="M211" s="163"/>
      <c r="O211" s="329">
        <f>I211/I$233</f>
        <v>2.2284106345817971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3039068.55</v>
      </c>
      <c r="D213" s="480">
        <f t="shared" si="70"/>
        <v>-41887</v>
      </c>
      <c r="E213" s="480">
        <f t="shared" si="70"/>
        <v>-300000</v>
      </c>
      <c r="F213" s="166">
        <f t="shared" ref="F213:I213" si="71">SUM(F30:F211)/2</f>
        <v>2697181.55</v>
      </c>
      <c r="G213" s="166">
        <f t="shared" si="71"/>
        <v>0</v>
      </c>
      <c r="H213" s="166">
        <f t="shared" si="71"/>
        <v>0</v>
      </c>
      <c r="I213" s="166">
        <f t="shared" si="71"/>
        <v>2697181.55</v>
      </c>
      <c r="J213" s="167">
        <f>IF($I$213=0,0,I213/$I$213)</f>
        <v>1</v>
      </c>
      <c r="K213" s="458"/>
      <c r="L213" s="176">
        <f>SUM(L30:L205)</f>
        <v>85035</v>
      </c>
      <c r="M213" s="176">
        <f>SUM(M30:M205)</f>
        <v>87208</v>
      </c>
      <c r="O213" s="329">
        <f>I213/I$233</f>
        <v>130.85491703861828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'[46]Sch C'!D221</f>
        <v>3039072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-3.4500000001862645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778737.45000000019</v>
      </c>
      <c r="D220" s="480">
        <f t="shared" si="72"/>
        <v>41887</v>
      </c>
      <c r="E220" s="480">
        <f t="shared" si="72"/>
        <v>300000</v>
      </c>
      <c r="F220" s="166">
        <f t="shared" ref="F220:I220" si="73">F26-F213</f>
        <v>1120624.4500000002</v>
      </c>
      <c r="G220" s="166">
        <f t="shared" si="73"/>
        <v>-4372</v>
      </c>
      <c r="H220" s="166">
        <f t="shared" si="73"/>
        <v>0</v>
      </c>
      <c r="I220" s="166">
        <f t="shared" si="73"/>
        <v>1116252.4500000002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'[46]Sch D'!C9</f>
        <v>18174</v>
      </c>
      <c r="D224" s="480"/>
      <c r="E224" s="480"/>
      <c r="F224" s="224">
        <f>C224+D224+E224</f>
        <v>18174</v>
      </c>
      <c r="G224" s="627"/>
      <c r="H224" s="223"/>
      <c r="I224" s="224">
        <f>F224+G224+H224</f>
        <v>18174</v>
      </c>
      <c r="J224" s="167">
        <f t="shared" ref="J224:J233" si="74">IF($I$233=0,0,I224/$I$233)</f>
        <v>0.88171938676499129</v>
      </c>
      <c r="K224" s="458"/>
      <c r="L224" s="163"/>
      <c r="M224" s="163"/>
    </row>
    <row r="225" spans="1:13">
      <c r="A225" s="158"/>
      <c r="B225" s="165" t="s">
        <v>201</v>
      </c>
      <c r="C225" s="504">
        <f>'[46]Sch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'[46]Sch D'!E9</f>
        <v>126</v>
      </c>
      <c r="D226" s="480"/>
      <c r="E226" s="480"/>
      <c r="F226" s="224">
        <f t="shared" si="75"/>
        <v>126</v>
      </c>
      <c r="G226" s="627"/>
      <c r="H226" s="223"/>
      <c r="I226" s="224">
        <f t="shared" si="76"/>
        <v>126</v>
      </c>
      <c r="J226" s="167">
        <f t="shared" si="74"/>
        <v>6.1129439161653407E-3</v>
      </c>
      <c r="K226" s="458"/>
      <c r="L226" s="163"/>
      <c r="M226" s="163"/>
    </row>
    <row r="227" spans="1:13">
      <c r="A227" s="158"/>
      <c r="B227" s="194" t="s">
        <v>315</v>
      </c>
      <c r="C227" s="504">
        <f>'[46]Sch D'!F9</f>
        <v>69</v>
      </c>
      <c r="D227" s="480"/>
      <c r="E227" s="480"/>
      <c r="F227" s="224">
        <f t="shared" si="75"/>
        <v>69</v>
      </c>
      <c r="G227" s="627"/>
      <c r="H227" s="223"/>
      <c r="I227" s="224">
        <f t="shared" si="76"/>
        <v>69</v>
      </c>
      <c r="J227" s="167">
        <f t="shared" si="74"/>
        <v>3.3475645255191151E-3</v>
      </c>
      <c r="K227" s="458"/>
      <c r="L227" s="163"/>
      <c r="M227" s="163"/>
    </row>
    <row r="228" spans="1:13">
      <c r="A228" s="158"/>
      <c r="B228" s="165" t="s">
        <v>65</v>
      </c>
      <c r="C228" s="504">
        <f>'[46]Sch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'[46]Sch D'!H9</f>
        <v>1696</v>
      </c>
      <c r="D229" s="480"/>
      <c r="E229" s="480"/>
      <c r="F229" s="224">
        <f t="shared" si="75"/>
        <v>1696</v>
      </c>
      <c r="G229" s="627"/>
      <c r="H229" s="223"/>
      <c r="I229" s="224">
        <f t="shared" si="76"/>
        <v>1696</v>
      </c>
      <c r="J229" s="167">
        <f t="shared" si="74"/>
        <v>8.2282165728701728E-2</v>
      </c>
      <c r="K229" s="458"/>
      <c r="L229" s="163"/>
      <c r="M229" s="163"/>
    </row>
    <row r="230" spans="1:13">
      <c r="A230" s="158"/>
      <c r="B230" s="165" t="s">
        <v>219</v>
      </c>
      <c r="C230" s="504">
        <f>'[46]Sch D'!I9</f>
        <v>547</v>
      </c>
      <c r="D230" s="480"/>
      <c r="E230" s="480"/>
      <c r="F230" s="224">
        <f t="shared" si="75"/>
        <v>547</v>
      </c>
      <c r="G230" s="627"/>
      <c r="H230" s="223"/>
      <c r="I230" s="224">
        <f t="shared" si="76"/>
        <v>547</v>
      </c>
      <c r="J230" s="167">
        <f t="shared" si="74"/>
        <v>2.653793906462255E-2</v>
      </c>
      <c r="K230" s="458"/>
      <c r="L230" s="163"/>
      <c r="M230" s="163"/>
    </row>
    <row r="231" spans="1:13">
      <c r="A231" s="158"/>
      <c r="B231" s="165" t="s">
        <v>218</v>
      </c>
      <c r="C231" s="504">
        <f>'[46]Sch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20612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20612</v>
      </c>
      <c r="G233" s="226">
        <f t="shared" si="78"/>
        <v>0</v>
      </c>
      <c r="H233" s="226">
        <f t="shared" si="78"/>
        <v>0</v>
      </c>
      <c r="I233" s="226">
        <f t="shared" si="78"/>
        <v>20612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'[46]Sch D'!N22</f>
        <v>155</v>
      </c>
      <c r="D236" s="480"/>
      <c r="E236" s="480"/>
      <c r="F236" s="224">
        <f>C236+E236</f>
        <v>155</v>
      </c>
      <c r="G236" s="627"/>
      <c r="H236" s="224"/>
      <c r="I236" s="224">
        <f>F236+G236+H236</f>
        <v>155</v>
      </c>
      <c r="J236" s="162"/>
      <c r="K236" s="460"/>
      <c r="L236" s="163"/>
      <c r="M236" s="163"/>
    </row>
    <row r="237" spans="1:13">
      <c r="A237" s="158"/>
      <c r="B237" s="194" t="s">
        <v>486</v>
      </c>
      <c r="C237" s="504">
        <f>'[46]Sch D'!N24</f>
        <v>155</v>
      </c>
      <c r="D237" s="480"/>
      <c r="E237" s="480"/>
      <c r="F237" s="224">
        <f>C237+E237</f>
        <v>155</v>
      </c>
      <c r="G237" s="627"/>
      <c r="H237" s="224"/>
      <c r="I237" s="224">
        <f>F237+G237+H237</f>
        <v>155</v>
      </c>
      <c r="J237" s="599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'[46]Sch D'!N28</f>
        <v>56575</v>
      </c>
      <c r="D240" s="427"/>
      <c r="E240" s="427"/>
      <c r="F240" s="223">
        <f>F236*F238</f>
        <v>56575</v>
      </c>
      <c r="G240"/>
      <c r="H240" s="228"/>
      <c r="I240" s="223">
        <f>I236*I238</f>
        <v>56575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'[46]Sch D'!N30</f>
        <v>0.36433053468846666</v>
      </c>
      <c r="D241" s="228"/>
      <c r="E241" s="228"/>
      <c r="F241" s="232">
        <f>F233/F240</f>
        <v>0.36433053468846666</v>
      </c>
      <c r="G241"/>
      <c r="H241" s="233"/>
      <c r="I241" s="232">
        <f>I233/I240</f>
        <v>0.36433053468846666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'[46]Sch D'!N32</f>
        <v>0.3212372956252762</v>
      </c>
      <c r="D242" s="228"/>
      <c r="E242" s="228"/>
      <c r="F242" s="232">
        <f>(F224+F225)/F240</f>
        <v>0.3212372956252762</v>
      </c>
      <c r="G242"/>
      <c r="H242" s="233"/>
      <c r="I242" s="232">
        <f>(I224+I225)/I240</f>
        <v>0.3212372956252762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'[46]Sch D'!N34</f>
        <v>0.88171938676499129</v>
      </c>
      <c r="D243" s="228"/>
      <c r="E243" s="228"/>
      <c r="F243" s="232">
        <f>(F242/F241)</f>
        <v>0.88171938676499129</v>
      </c>
      <c r="G243"/>
      <c r="H243" s="233"/>
      <c r="I243" s="232">
        <f>(I242/I241)</f>
        <v>0.88171938676499129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H247" s="140" t="s">
        <v>322</v>
      </c>
      <c r="I247" s="480"/>
      <c r="K247" s="460"/>
    </row>
    <row r="248" spans="1:13">
      <c r="H248" s="140" t="s">
        <v>323</v>
      </c>
      <c r="I248" s="480"/>
      <c r="K248" s="460"/>
    </row>
    <row r="249" spans="1:13">
      <c r="H249" s="140" t="s">
        <v>324</v>
      </c>
      <c r="I249" s="480"/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8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8203125" style="432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24" t="s">
        <v>556</v>
      </c>
      <c r="D1" s="419"/>
      <c r="E1" s="419"/>
      <c r="F1" s="419"/>
      <c r="G1" s="419"/>
      <c r="H1" s="419"/>
      <c r="I1" s="419"/>
      <c r="J1" s="419"/>
      <c r="K1" s="514"/>
    </row>
    <row r="2" spans="1:16" ht="23">
      <c r="B2" s="141" t="s">
        <v>178</v>
      </c>
      <c r="C2" s="234" t="s">
        <v>438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'[47]Sch A Pg 1'!B39</f>
        <v>42917</v>
      </c>
      <c r="D3" s="672"/>
      <c r="E3" s="142"/>
      <c r="F3" s="144"/>
      <c r="G3" s="144"/>
      <c r="H3" s="399"/>
    </row>
    <row r="4" spans="1:16">
      <c r="A4" s="143"/>
      <c r="B4" s="145" t="s">
        <v>72</v>
      </c>
      <c r="C4" s="557">
        <f>'[47]Sch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515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'[47]Sch B'!E10</f>
        <v>2045451</v>
      </c>
      <c r="D12" s="480">
        <f>'[47]Sch B'!G10</f>
        <v>0</v>
      </c>
      <c r="E12" s="480"/>
      <c r="F12" s="166">
        <f>C12+D12+E12</f>
        <v>2045451</v>
      </c>
      <c r="G12" s="626"/>
      <c r="H12" s="166"/>
      <c r="I12" s="166">
        <f>F12+G12+H12</f>
        <v>2045451</v>
      </c>
      <c r="J12" s="167">
        <f>IF($I$26=0,0,I12/$I$26)</f>
        <v>0.26920743327759972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'[47]Sch B'!E12</f>
        <v>592043</v>
      </c>
      <c r="D13" s="480">
        <f>'[47]Sch B'!G12</f>
        <v>453304</v>
      </c>
      <c r="E13" s="480"/>
      <c r="F13" s="166">
        <f t="shared" ref="F13:F25" si="0">C13+D13+E13</f>
        <v>1045347</v>
      </c>
      <c r="G13" s="626">
        <v>107824</v>
      </c>
      <c r="H13" s="166"/>
      <c r="I13" s="166">
        <f t="shared" ref="I13:I25" si="1">F13+G13+H13</f>
        <v>1153171</v>
      </c>
      <c r="J13" s="167">
        <f>IF($I$26=0,0,I13/$I$26)</f>
        <v>0.15177200775778199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'[47]Sch B'!E13</f>
        <v>32269</v>
      </c>
      <c r="D14" s="480">
        <f>'[47]Sch B'!G13</f>
        <v>0</v>
      </c>
      <c r="E14" s="480"/>
      <c r="F14" s="166">
        <f t="shared" si="0"/>
        <v>32269</v>
      </c>
      <c r="G14" s="626"/>
      <c r="H14" s="166"/>
      <c r="I14" s="166">
        <f t="shared" si="1"/>
        <v>32269</v>
      </c>
      <c r="J14" s="167">
        <f>IF($I$26=0,0,I14/$I$26)</f>
        <v>4.2470118640998318E-3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'[47]Sch B'!E14</f>
        <v>87735</v>
      </c>
      <c r="D15" s="480">
        <f>'[47]Sch B'!G14</f>
        <v>0</v>
      </c>
      <c r="E15" s="480"/>
      <c r="F15" s="166">
        <f t="shared" si="0"/>
        <v>87735</v>
      </c>
      <c r="G15" s="626"/>
      <c r="H15" s="166"/>
      <c r="I15" s="166">
        <f t="shared" si="1"/>
        <v>87735</v>
      </c>
      <c r="J15" s="167">
        <f>IF($I$26=0,0,I15/$I$26)</f>
        <v>1.1547044714642497E-2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'[47]Sch B'!E15</f>
        <v>2757498</v>
      </c>
      <c r="D16" s="480">
        <f>'[47]Sch B'!G15</f>
        <v>453304</v>
      </c>
      <c r="E16" s="480"/>
      <c r="F16" s="166">
        <f t="shared" si="0"/>
        <v>3210802</v>
      </c>
      <c r="G16" s="626"/>
      <c r="H16" s="166"/>
      <c r="I16" s="166">
        <f>SUM(I12:I15)</f>
        <v>3318626</v>
      </c>
      <c r="J16" s="167">
        <f t="shared" ref="J16:J26" si="2">IF($I$26=0,0,I16/$I$26)</f>
        <v>0.43677349761412404</v>
      </c>
      <c r="K16" s="458"/>
      <c r="L16" s="333" t="s">
        <v>325</v>
      </c>
      <c r="M16" s="334">
        <f>I26</f>
        <v>7598048</v>
      </c>
      <c r="O16" s="324">
        <f t="shared" ref="O16:O24" si="3">IFERROR(I16/I224,0)</f>
        <v>315.36881117552031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'[47]Sch B'!E20</f>
        <v>0</v>
      </c>
      <c r="D17" s="480">
        <f>'[47]Sch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6101038.0199999996</v>
      </c>
      <c r="O17" s="324">
        <f t="shared" si="3"/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'[47]Sch B'!E26</f>
        <v>1548122</v>
      </c>
      <c r="D18" s="480">
        <f>'[47]Sch B'!G26</f>
        <v>0</v>
      </c>
      <c r="E18" s="480"/>
      <c r="F18" s="166">
        <f t="shared" si="0"/>
        <v>1548122</v>
      </c>
      <c r="G18" s="626"/>
      <c r="H18" s="166"/>
      <c r="I18" s="166">
        <f t="shared" si="1"/>
        <v>1548122</v>
      </c>
      <c r="J18" s="167">
        <f t="shared" si="2"/>
        <v>0.203752595403451</v>
      </c>
      <c r="K18" s="458"/>
      <c r="L18" s="335" t="s">
        <v>327</v>
      </c>
      <c r="M18" s="336">
        <f>I233</f>
        <v>22896</v>
      </c>
      <c r="O18" s="324">
        <f t="shared" si="3"/>
        <v>566.24798829553765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'[47]Sch B'!E32</f>
        <v>1112227.4089312593</v>
      </c>
      <c r="D19" s="480">
        <f>'[47]Sch B'!G32</f>
        <v>0</v>
      </c>
      <c r="E19" s="480"/>
      <c r="F19" s="166">
        <f t="shared" si="0"/>
        <v>1112227.4089312593</v>
      </c>
      <c r="G19" s="626"/>
      <c r="H19" s="166"/>
      <c r="I19" s="166">
        <f t="shared" si="1"/>
        <v>1112227.4089312593</v>
      </c>
      <c r="J19" s="170">
        <f t="shared" si="2"/>
        <v>0.14638330909876579</v>
      </c>
      <c r="K19" s="464"/>
      <c r="L19" s="335" t="s">
        <v>328</v>
      </c>
      <c r="M19" s="336">
        <f>I236</f>
        <v>108</v>
      </c>
      <c r="O19" s="324">
        <f t="shared" si="3"/>
        <v>392.73566699550116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'[47]Sch B'!E37</f>
        <v>0</v>
      </c>
      <c r="D20" s="480">
        <f>'[47]Sch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39420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'[47]Sch B'!E42</f>
        <v>693831</v>
      </c>
      <c r="D21" s="480">
        <f>'[47]Sch B'!G42</f>
        <v>0</v>
      </c>
      <c r="E21" s="480"/>
      <c r="F21" s="166">
        <f t="shared" si="0"/>
        <v>693831</v>
      </c>
      <c r="G21" s="626"/>
      <c r="H21" s="166"/>
      <c r="I21" s="166">
        <f t="shared" si="1"/>
        <v>693831</v>
      </c>
      <c r="J21" s="167">
        <f t="shared" si="2"/>
        <v>9.131700668382195E-2</v>
      </c>
      <c r="K21" s="458"/>
      <c r="L21" s="337"/>
      <c r="M21" s="336"/>
      <c r="O21" s="324">
        <f t="shared" si="3"/>
        <v>212.37557392102846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'[47]Sch B'!E47</f>
        <v>428567</v>
      </c>
      <c r="D22" s="480">
        <f>'[47]Sch B'!G47</f>
        <v>0</v>
      </c>
      <c r="E22" s="480"/>
      <c r="F22" s="166">
        <f t="shared" si="0"/>
        <v>428567</v>
      </c>
      <c r="G22" s="626"/>
      <c r="H22" s="166"/>
      <c r="I22" s="166">
        <f t="shared" si="1"/>
        <v>428567</v>
      </c>
      <c r="J22" s="167">
        <f t="shared" si="2"/>
        <v>5.6404881885452687E-2</v>
      </c>
      <c r="K22" s="458"/>
      <c r="L22" s="335" t="s">
        <v>148</v>
      </c>
      <c r="M22" s="336">
        <f>L213</f>
        <v>139726</v>
      </c>
      <c r="O22" s="324">
        <f t="shared" si="3"/>
        <v>199.98460102659823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'[47]Sch B'!E52</f>
        <v>48597</v>
      </c>
      <c r="D23" s="480">
        <f>'[47]Sch B'!G52</f>
        <v>0</v>
      </c>
      <c r="E23" s="480"/>
      <c r="F23" s="166">
        <f t="shared" si="0"/>
        <v>48597</v>
      </c>
      <c r="G23" s="626"/>
      <c r="H23" s="166"/>
      <c r="I23" s="166">
        <f t="shared" si="1"/>
        <v>48597</v>
      </c>
      <c r="J23" s="167">
        <f t="shared" si="2"/>
        <v>6.3959848634807257E-3</v>
      </c>
      <c r="K23" s="458"/>
      <c r="L23" s="338" t="s">
        <v>233</v>
      </c>
      <c r="M23" s="339">
        <f>M213</f>
        <v>149529</v>
      </c>
      <c r="O23" s="324">
        <f t="shared" si="3"/>
        <v>199.98765432098764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'[47]Sch B'!E57</f>
        <v>444955.59106874058</v>
      </c>
      <c r="D24" s="480">
        <f>'[47]Sch B'!G57</f>
        <v>0</v>
      </c>
      <c r="E24" s="480"/>
      <c r="F24" s="166">
        <f t="shared" si="0"/>
        <v>444955.59106874058</v>
      </c>
      <c r="G24" s="626"/>
      <c r="H24" s="166"/>
      <c r="I24" s="166">
        <f t="shared" si="1"/>
        <v>444955.59106874058</v>
      </c>
      <c r="J24" s="167">
        <f t="shared" si="2"/>
        <v>5.8561829442080465E-2</v>
      </c>
      <c r="K24" s="458"/>
      <c r="L24" s="163"/>
      <c r="M24" s="163"/>
      <c r="O24" s="324">
        <f t="shared" si="3"/>
        <v>385.57676869041643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'[47]Sch B'!E72</f>
        <v>40622</v>
      </c>
      <c r="D25" s="480">
        <f>'[47]Sch B'!G72</f>
        <v>0</v>
      </c>
      <c r="E25" s="480"/>
      <c r="F25" s="166">
        <f t="shared" si="0"/>
        <v>40622</v>
      </c>
      <c r="G25" s="626">
        <v>-37500</v>
      </c>
      <c r="H25" s="166"/>
      <c r="I25" s="166">
        <f t="shared" si="1"/>
        <v>3122</v>
      </c>
      <c r="J25" s="167">
        <f t="shared" si="2"/>
        <v>4.1089500882331885E-4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7074420</v>
      </c>
      <c r="D26" s="480">
        <f t="shared" ref="D26:F26" si="4">SUM(D16:D25)</f>
        <v>453304</v>
      </c>
      <c r="E26" s="480">
        <f t="shared" si="4"/>
        <v>0</v>
      </c>
      <c r="F26" s="166">
        <f t="shared" si="4"/>
        <v>7527724</v>
      </c>
      <c r="G26" s="166">
        <f>SUM(G12:G25)</f>
        <v>70324</v>
      </c>
      <c r="H26" s="166">
        <f>SUM(H12:H25)</f>
        <v>0</v>
      </c>
      <c r="I26" s="166">
        <f>SUM(I16:I25)</f>
        <v>7598048</v>
      </c>
      <c r="J26" s="167">
        <f t="shared" si="2"/>
        <v>1</v>
      </c>
      <c r="K26" s="458"/>
      <c r="L26" s="163"/>
      <c r="M26" s="163"/>
      <c r="O26" s="324">
        <f>IFERROR(I26/I233,0)</f>
        <v>331.85045422781269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'[47]Sch C'!D10</f>
        <v>196774</v>
      </c>
      <c r="D30" s="480">
        <f>'[47]Sch C'!F10</f>
        <v>-92315</v>
      </c>
      <c r="E30" s="480">
        <f>+'[47]Sch C'!H10</f>
        <v>0</v>
      </c>
      <c r="F30" s="166">
        <f t="shared" ref="F30:F65" si="5">C30+D30+E30</f>
        <v>104459</v>
      </c>
      <c r="G30" s="626">
        <v>92315</v>
      </c>
      <c r="H30" s="166"/>
      <c r="I30" s="166">
        <f t="shared" ref="I30:I65" si="6">F30+G30+H30</f>
        <v>196774</v>
      </c>
      <c r="J30" s="167">
        <f>IF($I$213=0,0,I30/$I$213)</f>
        <v>3.2252544461278412E-2</v>
      </c>
      <c r="K30" s="458"/>
      <c r="L30" s="176">
        <v>2080</v>
      </c>
      <c r="M30" s="176">
        <v>2080</v>
      </c>
      <c r="N30" s="227"/>
      <c r="O30" s="324">
        <f t="shared" ref="O30:O66" si="7">I30/I$233</f>
        <v>8.5942522711390641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'[47]Sch C'!D11</f>
        <v>0</v>
      </c>
      <c r="D31" s="480">
        <f>'[47]Sch C'!F11</f>
        <v>0</v>
      </c>
      <c r="E31" s="480">
        <f>+'[47]Sch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8">IF($I$213=0,0,I31/$I$213)</f>
        <v>0</v>
      </c>
      <c r="K31" s="458"/>
      <c r="L31" s="176">
        <v>0</v>
      </c>
      <c r="M31" s="176">
        <v>0</v>
      </c>
      <c r="N31" s="227"/>
      <c r="O31" s="324">
        <f t="shared" si="7"/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'[47]Sch C'!D12</f>
        <v>86803</v>
      </c>
      <c r="D32" s="480">
        <f>'[47]Sch C'!F12</f>
        <v>0</v>
      </c>
      <c r="E32" s="480">
        <f>+'[47]Sch C'!H12</f>
        <v>0</v>
      </c>
      <c r="F32" s="166">
        <f t="shared" si="5"/>
        <v>86803</v>
      </c>
      <c r="G32" s="626"/>
      <c r="H32" s="166"/>
      <c r="I32" s="166">
        <f t="shared" si="6"/>
        <v>86803</v>
      </c>
      <c r="J32" s="167">
        <f t="shared" si="8"/>
        <v>1.4227578932543681E-2</v>
      </c>
      <c r="K32" s="458"/>
      <c r="L32" s="176">
        <v>3591</v>
      </c>
      <c r="M32" s="176">
        <v>4357</v>
      </c>
      <c r="N32" s="227"/>
      <c r="O32" s="324">
        <f t="shared" si="7"/>
        <v>3.7911862334032147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'[47]Sch C'!D13</f>
        <v>210041</v>
      </c>
      <c r="D33" s="480">
        <f>'[47]Sch C'!F13</f>
        <v>-153660</v>
      </c>
      <c r="E33" s="480">
        <f>+'[47]Sch C'!H13</f>
        <v>9836</v>
      </c>
      <c r="F33" s="166">
        <f t="shared" si="5"/>
        <v>66217</v>
      </c>
      <c r="G33" s="626"/>
      <c r="H33" s="166"/>
      <c r="I33" s="166">
        <f t="shared" si="6"/>
        <v>66217</v>
      </c>
      <c r="J33" s="167">
        <f t="shared" si="8"/>
        <v>1.0853399008977164E-2</v>
      </c>
      <c r="K33" s="458"/>
      <c r="L33" s="163"/>
      <c r="M33" s="163"/>
      <c r="N33" s="227"/>
      <c r="O33" s="324">
        <f t="shared" si="7"/>
        <v>2.8920772187281623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'[47]Sch C'!D14</f>
        <v>0</v>
      </c>
      <c r="D34" s="480">
        <f>'[47]Sch C'!F14</f>
        <v>0</v>
      </c>
      <c r="E34" s="480">
        <f>+'[47]Sch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8"/>
        <v>0</v>
      </c>
      <c r="K34" s="458"/>
      <c r="L34" s="163"/>
      <c r="M34" s="163"/>
      <c r="N34" s="227"/>
      <c r="O34" s="324">
        <f t="shared" si="7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'[47]Sch C'!D15</f>
        <v>0</v>
      </c>
      <c r="D35" s="480">
        <f>'[47]Sch C'!F15</f>
        <v>0</v>
      </c>
      <c r="E35" s="480">
        <f>+'[47]Sch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8"/>
        <v>0</v>
      </c>
      <c r="K35" s="458"/>
      <c r="L35" s="163"/>
      <c r="M35" s="163"/>
      <c r="N35" s="227"/>
      <c r="O35" s="324">
        <f t="shared" si="7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'[47]Sch C'!D16</f>
        <v>353676</v>
      </c>
      <c r="D36" s="480">
        <f>'[47]Sch C'!F16</f>
        <v>0</v>
      </c>
      <c r="E36" s="480">
        <f>+'[47]Sch C'!H16</f>
        <v>-51691</v>
      </c>
      <c r="F36" s="166">
        <f t="shared" si="5"/>
        <v>301985</v>
      </c>
      <c r="G36" s="626"/>
      <c r="H36" s="166">
        <v>161251</v>
      </c>
      <c r="I36" s="166">
        <f t="shared" si="6"/>
        <v>463236</v>
      </c>
      <c r="J36" s="167">
        <f t="shared" si="8"/>
        <v>7.5927407513516856E-2</v>
      </c>
      <c r="K36" s="458"/>
      <c r="L36" s="163"/>
      <c r="M36" s="163"/>
      <c r="N36" s="227"/>
      <c r="O36" s="324">
        <f t="shared" si="7"/>
        <v>20.232180293501049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'[47]Sch C'!D17</f>
        <v>0</v>
      </c>
      <c r="D37" s="480">
        <f>'[47]Sch C'!F17</f>
        <v>0</v>
      </c>
      <c r="E37" s="480">
        <f>+'[47]Sch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8"/>
        <v>0</v>
      </c>
      <c r="K37" s="458"/>
      <c r="L37" s="163"/>
      <c r="M37" s="163"/>
      <c r="N37" s="227"/>
      <c r="O37" s="324">
        <f t="shared" si="7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'[47]Sch C'!D18</f>
        <v>12453</v>
      </c>
      <c r="D38" s="480">
        <f>'[47]Sch C'!F18</f>
        <v>0</v>
      </c>
      <c r="E38" s="480">
        <f>+'[47]Sch C'!H18</f>
        <v>0</v>
      </c>
      <c r="F38" s="166">
        <f t="shared" si="5"/>
        <v>12453</v>
      </c>
      <c r="G38" s="626"/>
      <c r="H38" s="166"/>
      <c r="I38" s="166">
        <f t="shared" si="6"/>
        <v>12453</v>
      </c>
      <c r="J38" s="167">
        <f t="shared" si="8"/>
        <v>2.0411280767596331E-3</v>
      </c>
      <c r="K38" s="458"/>
      <c r="L38" s="163"/>
      <c r="M38" s="163"/>
      <c r="N38" s="227"/>
      <c r="O38" s="324">
        <f t="shared" si="7"/>
        <v>0.54389412997903563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'[47]Sch C'!D19</f>
        <v>22910</v>
      </c>
      <c r="D39" s="480">
        <f>'[47]Sch C'!F19</f>
        <v>-1618</v>
      </c>
      <c r="E39" s="480">
        <f>+'[47]Sch C'!H19</f>
        <v>0</v>
      </c>
      <c r="F39" s="166">
        <f t="shared" si="5"/>
        <v>21292</v>
      </c>
      <c r="G39" s="626"/>
      <c r="H39" s="166"/>
      <c r="I39" s="166">
        <f t="shared" si="6"/>
        <v>21292</v>
      </c>
      <c r="J39" s="167">
        <f t="shared" si="8"/>
        <v>3.4898979370726821E-3</v>
      </c>
      <c r="K39" s="458"/>
      <c r="L39" s="163"/>
      <c r="M39" s="163"/>
      <c r="N39" s="227"/>
      <c r="O39" s="324">
        <f t="shared" si="7"/>
        <v>0.92994409503843467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'[47]Sch C'!D20</f>
        <v>13452</v>
      </c>
      <c r="D40" s="480">
        <f>'[47]Sch C'!F20</f>
        <v>3825</v>
      </c>
      <c r="E40" s="480">
        <f>+'[47]Sch C'!H20</f>
        <v>0</v>
      </c>
      <c r="F40" s="166">
        <f t="shared" si="5"/>
        <v>17277</v>
      </c>
      <c r="G40" s="626"/>
      <c r="H40" s="166"/>
      <c r="I40" s="166">
        <f t="shared" si="6"/>
        <v>17277</v>
      </c>
      <c r="J40" s="167">
        <f t="shared" si="8"/>
        <v>2.8318132002068726E-3</v>
      </c>
      <c r="K40" s="458"/>
      <c r="L40" s="163"/>
      <c r="M40" s="163"/>
      <c r="N40" s="227"/>
      <c r="O40" s="324">
        <f t="shared" si="7"/>
        <v>0.75458595387840666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'[47]Sch C'!D21</f>
        <v>2237</v>
      </c>
      <c r="D41" s="480">
        <f>'[47]Sch C'!F21</f>
        <v>0</v>
      </c>
      <c r="E41" s="480">
        <f>+'[47]Sch C'!H21</f>
        <v>0</v>
      </c>
      <c r="F41" s="166">
        <f t="shared" si="5"/>
        <v>2237</v>
      </c>
      <c r="G41" s="626"/>
      <c r="H41" s="166"/>
      <c r="I41" s="166">
        <f t="shared" si="6"/>
        <v>2237</v>
      </c>
      <c r="J41" s="167">
        <f t="shared" si="8"/>
        <v>3.6665891814914478E-4</v>
      </c>
      <c r="K41" s="458"/>
      <c r="L41" s="163"/>
      <c r="M41" s="163"/>
      <c r="N41" s="227"/>
      <c r="O41" s="324">
        <f t="shared" si="7"/>
        <v>9.7702655485674347E-2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'[47]Sch C'!D22</f>
        <v>0</v>
      </c>
      <c r="D42" s="480">
        <f>'[47]Sch C'!F22</f>
        <v>0</v>
      </c>
      <c r="E42" s="480">
        <f>+'[47]Sch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8"/>
        <v>0</v>
      </c>
      <c r="K42" s="458"/>
      <c r="L42" s="163"/>
      <c r="M42" s="163"/>
      <c r="N42" s="227"/>
      <c r="O42" s="324">
        <f t="shared" si="7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'[47]Sch C'!D23</f>
        <v>4947</v>
      </c>
      <c r="D43" s="480">
        <f>'[47]Sch C'!F23</f>
        <v>0</v>
      </c>
      <c r="E43" s="480">
        <f>+'[47]Sch C'!H23</f>
        <v>0</v>
      </c>
      <c r="F43" s="166">
        <f t="shared" si="5"/>
        <v>4947</v>
      </c>
      <c r="G43" s="626"/>
      <c r="H43" s="166"/>
      <c r="I43" s="166">
        <f t="shared" si="6"/>
        <v>4947</v>
      </c>
      <c r="J43" s="167">
        <f t="shared" si="8"/>
        <v>8.1084562721672737E-4</v>
      </c>
      <c r="K43" s="458"/>
      <c r="L43" s="163"/>
      <c r="M43" s="163"/>
      <c r="N43" s="227"/>
      <c r="O43" s="324">
        <f t="shared" si="7"/>
        <v>0.21606394129979037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'[47]Sch C'!D24</f>
        <v>57521</v>
      </c>
      <c r="D44" s="480">
        <f>'[47]Sch C'!F24</f>
        <v>0</v>
      </c>
      <c r="E44" s="480">
        <f>+'[47]Sch C'!H24</f>
        <v>-17099</v>
      </c>
      <c r="F44" s="166">
        <f t="shared" si="5"/>
        <v>40422</v>
      </c>
      <c r="G44" s="626"/>
      <c r="H44" s="166"/>
      <c r="I44" s="166">
        <f t="shared" si="6"/>
        <v>40422</v>
      </c>
      <c r="J44" s="167">
        <f t="shared" si="8"/>
        <v>6.6254299460995663E-3</v>
      </c>
      <c r="K44" s="458"/>
      <c r="L44" s="163"/>
      <c r="M44" s="163"/>
      <c r="N44" s="227"/>
      <c r="O44" s="324">
        <f t="shared" si="7"/>
        <v>1.7654612159329139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'[47]Sch C'!D25</f>
        <v>0</v>
      </c>
      <c r="D45" s="480">
        <f>'[47]Sch C'!F25</f>
        <v>0</v>
      </c>
      <c r="E45" s="480">
        <f>+'[47]Sch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8"/>
        <v>0</v>
      </c>
      <c r="K45" s="458"/>
      <c r="L45" s="163"/>
      <c r="M45" s="163"/>
      <c r="N45" s="227"/>
      <c r="O45" s="324">
        <f t="shared" si="7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'[47]Sch C'!D26</f>
        <v>339372</v>
      </c>
      <c r="D46" s="480">
        <f>'[47]Sch C'!F26</f>
        <v>0</v>
      </c>
      <c r="E46" s="480">
        <f>+'[47]Sch C'!H26</f>
        <v>0</v>
      </c>
      <c r="F46" s="166">
        <f t="shared" si="5"/>
        <v>339372</v>
      </c>
      <c r="G46" s="626"/>
      <c r="H46" s="166"/>
      <c r="I46" s="166">
        <f t="shared" si="6"/>
        <v>339372</v>
      </c>
      <c r="J46" s="167">
        <f t="shared" si="8"/>
        <v>5.5625288498038244E-2</v>
      </c>
      <c r="K46" s="458"/>
      <c r="L46" s="163"/>
      <c r="M46" s="163"/>
      <c r="N46" s="227"/>
      <c r="O46" s="324">
        <f t="shared" si="7"/>
        <v>14.822327044025156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'[47]Sch C'!D27</f>
        <v>0</v>
      </c>
      <c r="D47" s="480">
        <f>'[47]Sch C'!F27</f>
        <v>0</v>
      </c>
      <c r="E47" s="480">
        <f>+'[47]Sch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8"/>
        <v>0</v>
      </c>
      <c r="K47" s="458"/>
      <c r="L47" s="163"/>
      <c r="M47" s="163"/>
      <c r="N47" s="227"/>
      <c r="O47" s="324">
        <f t="shared" si="7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'[47]Sch C'!D28</f>
        <v>0</v>
      </c>
      <c r="D48" s="480">
        <f>'[47]Sch C'!F28</f>
        <v>0</v>
      </c>
      <c r="E48" s="480">
        <f>+'[47]Sch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8"/>
        <v>0</v>
      </c>
      <c r="K48" s="458"/>
      <c r="L48" s="163"/>
      <c r="M48" s="163"/>
      <c r="N48" s="227"/>
      <c r="O48" s="324">
        <f t="shared" si="7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'[47]Sch C'!D29</f>
        <v>103162</v>
      </c>
      <c r="D49" s="480">
        <f>'[47]Sch C'!F29</f>
        <v>-103162</v>
      </c>
      <c r="E49" s="480">
        <f>+'[47]Sch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8"/>
        <v>0</v>
      </c>
      <c r="K49" s="458"/>
      <c r="L49" s="163"/>
      <c r="M49" s="163"/>
      <c r="N49" s="227"/>
      <c r="O49" s="324">
        <f t="shared" si="7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'[47]Sch C'!D30</f>
        <v>0</v>
      </c>
      <c r="D50" s="480">
        <f>'[47]Sch C'!F30</f>
        <v>0</v>
      </c>
      <c r="E50" s="480">
        <f>+'[47]Sch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8"/>
        <v>0</v>
      </c>
      <c r="K50" s="458"/>
      <c r="L50" s="163"/>
      <c r="M50" s="163"/>
      <c r="N50" s="227"/>
      <c r="O50" s="324">
        <f t="shared" si="7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'[47]Sch C'!D31</f>
        <v>36022</v>
      </c>
      <c r="D51" s="480">
        <f>'[47]Sch C'!F31</f>
        <v>0</v>
      </c>
      <c r="E51" s="480">
        <f>+'[47]Sch C'!H31</f>
        <v>-21252.98</v>
      </c>
      <c r="F51" s="166">
        <f t="shared" si="5"/>
        <v>14769.02</v>
      </c>
      <c r="G51" s="626"/>
      <c r="H51" s="166"/>
      <c r="I51" s="166">
        <f t="shared" si="6"/>
        <v>14769.02</v>
      </c>
      <c r="J51" s="167">
        <f t="shared" si="8"/>
        <v>2.4207388892816639E-3</v>
      </c>
      <c r="K51" s="458"/>
      <c r="L51" s="163"/>
      <c r="M51" s="163"/>
      <c r="N51" s="227"/>
      <c r="O51" s="324">
        <f t="shared" si="7"/>
        <v>0.64504804332634524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'[47]Sch C'!D32</f>
        <v>94446</v>
      </c>
      <c r="D52" s="480">
        <f>'[47]Sch C'!F32</f>
        <v>0</v>
      </c>
      <c r="E52" s="480">
        <f>+'[47]Sch C'!H32</f>
        <v>-42501</v>
      </c>
      <c r="F52" s="166">
        <f t="shared" si="5"/>
        <v>51945</v>
      </c>
      <c r="G52" s="626"/>
      <c r="H52" s="166"/>
      <c r="I52" s="166">
        <f t="shared" si="6"/>
        <v>51945</v>
      </c>
      <c r="J52" s="167">
        <f t="shared" si="8"/>
        <v>8.5141249455777043E-3</v>
      </c>
      <c r="K52" s="458"/>
      <c r="L52" s="163"/>
      <c r="M52" s="163"/>
      <c r="N52" s="227"/>
      <c r="O52" s="324">
        <f t="shared" si="7"/>
        <v>2.2687368972746329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'[47]Sch C'!D33</f>
        <v>0</v>
      </c>
      <c r="D53" s="480">
        <f>'[47]Sch C'!F33</f>
        <v>0</v>
      </c>
      <c r="E53" s="480">
        <f>+'[47]Sch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8"/>
        <v>0</v>
      </c>
      <c r="K53" s="458"/>
      <c r="L53" s="163"/>
      <c r="M53" s="163"/>
      <c r="N53" s="227"/>
      <c r="O53" s="324">
        <f t="shared" si="7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'[47]Sch C'!D34</f>
        <v>0</v>
      </c>
      <c r="D54" s="480">
        <f>'[47]Sch C'!F34</f>
        <v>0</v>
      </c>
      <c r="E54" s="480">
        <f>+'[47]Sch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8"/>
        <v>0</v>
      </c>
      <c r="K54" s="458"/>
      <c r="L54" s="163"/>
      <c r="M54" s="163"/>
      <c r="N54" s="227"/>
      <c r="O54" s="324">
        <f t="shared" si="7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'[47]Sch C'!D35</f>
        <v>0</v>
      </c>
      <c r="D55" s="480">
        <f>'[47]Sch C'!F35</f>
        <v>0</v>
      </c>
      <c r="E55" s="480">
        <f>+'[47]Sch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8"/>
        <v>0</v>
      </c>
      <c r="K55" s="458"/>
      <c r="L55" s="163"/>
      <c r="M55" s="163"/>
      <c r="N55" s="227"/>
      <c r="O55" s="324">
        <f t="shared" si="7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'[47]Sch C'!D36</f>
        <v>0</v>
      </c>
      <c r="D56" s="480">
        <f>'[47]Sch C'!F36</f>
        <v>0</v>
      </c>
      <c r="E56" s="480">
        <f>+'[47]Sch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8"/>
        <v>0</v>
      </c>
      <c r="K56" s="458"/>
      <c r="L56" s="176">
        <v>0</v>
      </c>
      <c r="M56" s="176">
        <v>0</v>
      </c>
      <c r="N56" s="227"/>
      <c r="O56" s="324">
        <f t="shared" si="7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'[47]Sch C'!D37</f>
        <v>0</v>
      </c>
      <c r="D57" s="480">
        <f>'[47]Sch C'!F37</f>
        <v>0</v>
      </c>
      <c r="E57" s="480">
        <f>+'[47]Sch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8"/>
        <v>0</v>
      </c>
      <c r="K57" s="458"/>
      <c r="L57" s="163"/>
      <c r="M57" s="163"/>
      <c r="N57" s="227"/>
      <c r="O57" s="324">
        <f t="shared" si="7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'[47]Sch C'!D38</f>
        <v>500</v>
      </c>
      <c r="D58" s="480">
        <f>'[47]Sch C'!F38</f>
        <v>-500</v>
      </c>
      <c r="E58" s="480">
        <f>+'[47]Sch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8"/>
        <v>0</v>
      </c>
      <c r="K58" s="458"/>
      <c r="L58" s="163"/>
      <c r="M58" s="163"/>
      <c r="N58" s="227"/>
      <c r="O58" s="324">
        <f t="shared" si="7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'[47]Sch C'!D39</f>
        <v>9814</v>
      </c>
      <c r="D59" s="480">
        <f>'[47]Sch C'!F39</f>
        <v>0</v>
      </c>
      <c r="E59" s="480">
        <f>+'[47]Sch C'!H39</f>
        <v>0</v>
      </c>
      <c r="F59" s="166">
        <f t="shared" si="5"/>
        <v>9814</v>
      </c>
      <c r="G59" s="626"/>
      <c r="H59" s="166"/>
      <c r="I59" s="166">
        <f t="shared" si="6"/>
        <v>9814</v>
      </c>
      <c r="J59" s="167">
        <f t="shared" si="8"/>
        <v>1.6085787316565518E-3</v>
      </c>
      <c r="K59" s="458"/>
      <c r="L59" s="163"/>
      <c r="M59" s="163"/>
      <c r="N59" s="227"/>
      <c r="O59" s="324">
        <f t="shared" si="7"/>
        <v>0.42863382250174703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'[47]Sch C'!D40</f>
        <v>2144</v>
      </c>
      <c r="D60" s="480">
        <f>'[47]Sch C'!F40</f>
        <v>0</v>
      </c>
      <c r="E60" s="480">
        <f>+'[47]Sch C'!H40</f>
        <v>0</v>
      </c>
      <c r="F60" s="166">
        <f t="shared" si="5"/>
        <v>2144</v>
      </c>
      <c r="G60" s="626"/>
      <c r="H60" s="166"/>
      <c r="I60" s="166">
        <f t="shared" si="6"/>
        <v>2144</v>
      </c>
      <c r="J60" s="167">
        <f t="shared" si="8"/>
        <v>3.5141561042099521E-4</v>
      </c>
      <c r="K60" s="458"/>
      <c r="L60" s="163"/>
      <c r="M60" s="163"/>
      <c r="N60" s="227"/>
      <c r="O60" s="324">
        <f t="shared" si="7"/>
        <v>9.3640810621942697E-2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'[47]Sch C'!D41</f>
        <v>12078</v>
      </c>
      <c r="D61" s="480">
        <f>'[47]Sch C'!F41</f>
        <v>0</v>
      </c>
      <c r="E61" s="480">
        <f>+'[47]Sch C'!H41</f>
        <v>0</v>
      </c>
      <c r="F61" s="166">
        <f t="shared" si="5"/>
        <v>12078</v>
      </c>
      <c r="G61" s="626">
        <v>113</v>
      </c>
      <c r="H61" s="166"/>
      <c r="I61" s="166">
        <f t="shared" si="6"/>
        <v>12191</v>
      </c>
      <c r="J61" s="167">
        <f t="shared" si="8"/>
        <v>1.9981845646652764E-3</v>
      </c>
      <c r="K61" s="458"/>
      <c r="L61" s="163"/>
      <c r="M61" s="163"/>
      <c r="N61" s="227"/>
      <c r="O61" s="324">
        <f t="shared" si="7"/>
        <v>0.53245108315863032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'[47]Sch C'!D42</f>
        <v>3989</v>
      </c>
      <c r="D62" s="480">
        <f>'[47]Sch C'!F42</f>
        <v>0</v>
      </c>
      <c r="E62" s="480">
        <f>+'[47]Sch C'!H42</f>
        <v>0</v>
      </c>
      <c r="F62" s="166">
        <f t="shared" si="5"/>
        <v>3989</v>
      </c>
      <c r="G62" s="626"/>
      <c r="H62" s="166"/>
      <c r="I62" s="166">
        <f t="shared" si="6"/>
        <v>3989</v>
      </c>
      <c r="J62" s="167">
        <f t="shared" si="8"/>
        <v>6.5382316696331621E-4</v>
      </c>
      <c r="K62" s="458"/>
      <c r="L62" s="163"/>
      <c r="M62" s="163"/>
      <c r="N62" s="227"/>
      <c r="O62" s="324">
        <f t="shared" si="7"/>
        <v>0.17422257162823201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'[47]Sch C'!D43</f>
        <v>5065</v>
      </c>
      <c r="D63" s="480">
        <f>'[47]Sch C'!F43</f>
        <v>0</v>
      </c>
      <c r="E63" s="480">
        <f>+'[47]Sch C'!H43</f>
        <v>0</v>
      </c>
      <c r="F63" s="166">
        <f t="shared" si="5"/>
        <v>5065</v>
      </c>
      <c r="G63" s="626">
        <v>-5065</v>
      </c>
      <c r="H63" s="166"/>
      <c r="I63" s="166">
        <f t="shared" si="6"/>
        <v>0</v>
      </c>
      <c r="J63" s="167">
        <f t="shared" si="8"/>
        <v>0</v>
      </c>
      <c r="K63" s="162" t="s">
        <v>661</v>
      </c>
      <c r="L63" s="163"/>
      <c r="M63" s="163"/>
      <c r="N63" s="227"/>
      <c r="O63" s="324">
        <f t="shared" si="7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'[47]Sch C'!D44</f>
        <v>2215</v>
      </c>
      <c r="D64" s="480">
        <f>'[47]Sch C'!F44</f>
        <v>0</v>
      </c>
      <c r="E64" s="480">
        <f>+'[47]Sch C'!H44</f>
        <v>0</v>
      </c>
      <c r="F64" s="166">
        <f t="shared" si="5"/>
        <v>2215</v>
      </c>
      <c r="G64" s="626"/>
      <c r="H64" s="166"/>
      <c r="I64" s="166">
        <f t="shared" si="6"/>
        <v>2215</v>
      </c>
      <c r="J64" s="167">
        <f t="shared" si="8"/>
        <v>3.6305297438549649E-4</v>
      </c>
      <c r="K64" s="458"/>
      <c r="L64" s="163"/>
      <c r="M64" s="163"/>
      <c r="N64" s="227"/>
      <c r="O64" s="324">
        <f t="shared" si="7"/>
        <v>9.6741788958770086E-2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'[47]Sch C'!D45</f>
        <v>260</v>
      </c>
      <c r="D65" s="480">
        <f>'[47]Sch C'!F45</f>
        <v>-1877</v>
      </c>
      <c r="E65" s="480">
        <f>+'[47]Sch C'!H45</f>
        <v>0</v>
      </c>
      <c r="F65" s="166">
        <f t="shared" si="5"/>
        <v>-1617</v>
      </c>
      <c r="G65" s="626">
        <v>10362</v>
      </c>
      <c r="H65" s="166"/>
      <c r="I65" s="166">
        <f t="shared" si="6"/>
        <v>8745</v>
      </c>
      <c r="J65" s="167">
        <f t="shared" si="8"/>
        <v>1.433362646050188E-3</v>
      </c>
      <c r="K65" s="458"/>
      <c r="L65" s="163"/>
      <c r="M65" s="163"/>
      <c r="N65" s="227"/>
      <c r="O65" s="324">
        <f t="shared" si="7"/>
        <v>0.38194444444444442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1569881</v>
      </c>
      <c r="D66" s="480">
        <f t="shared" si="9"/>
        <v>-349307</v>
      </c>
      <c r="E66" s="480">
        <f t="shared" si="9"/>
        <v>-122707.98</v>
      </c>
      <c r="F66" s="166">
        <f t="shared" ref="F66:I66" si="10">SUM(F30:F65)</f>
        <v>1097866.02</v>
      </c>
      <c r="G66" s="166">
        <f t="shared" si="10"/>
        <v>97725</v>
      </c>
      <c r="H66" s="166">
        <f t="shared" si="10"/>
        <v>161251</v>
      </c>
      <c r="I66" s="166">
        <f t="shared" si="10"/>
        <v>1356842.02</v>
      </c>
      <c r="J66" s="178">
        <f t="shared" si="8"/>
        <v>0.22239527364886019</v>
      </c>
      <c r="K66" s="465"/>
      <c r="L66" s="163"/>
      <c r="M66" s="163"/>
      <c r="N66" s="227"/>
      <c r="O66" s="329">
        <f t="shared" si="7"/>
        <v>59.261094514325649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N67" s="227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N68" s="227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'[47]Sch C'!D57</f>
        <v>556603</v>
      </c>
      <c r="D69" s="480">
        <f>'[47]Sch C'!F57+556603</f>
        <v>0</v>
      </c>
      <c r="E69" s="480">
        <f>+'[47]Sch C'!H57</f>
        <v>0</v>
      </c>
      <c r="F69" s="166">
        <f>C69+D69+E69</f>
        <v>556603</v>
      </c>
      <c r="G69" s="626"/>
      <c r="H69" s="480">
        <v>-556603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N69" s="227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'[47]Sch C'!D58</f>
        <v>45970</v>
      </c>
      <c r="D70" s="480">
        <f>'[47]Sch C'!F58-124386</f>
        <v>0</v>
      </c>
      <c r="E70" s="480">
        <f>+'[47]Sch C'!H58</f>
        <v>0</v>
      </c>
      <c r="F70" s="166">
        <f t="shared" ref="F70:F83" si="13">C70+D70+E70</f>
        <v>45970</v>
      </c>
      <c r="G70" s="626"/>
      <c r="H70" s="480">
        <f>49248+124386</f>
        <v>173634</v>
      </c>
      <c r="I70" s="166">
        <f t="shared" ref="I70:I83" si="14">F70+G70+H70</f>
        <v>219604</v>
      </c>
      <c r="J70" s="167">
        <f t="shared" si="11"/>
        <v>3.5994530648737054E-2</v>
      </c>
      <c r="K70" s="458"/>
      <c r="L70" s="182"/>
      <c r="M70" s="163"/>
      <c r="N70" s="227"/>
      <c r="O70" s="324">
        <f t="shared" si="12"/>
        <v>9.5913696715583505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'[47]Sch C'!D59</f>
        <v>0</v>
      </c>
      <c r="D71" s="480">
        <f>'[47]Sch C'!F59</f>
        <v>0</v>
      </c>
      <c r="E71" s="480">
        <f>+'[47]Sch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N71" s="227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'[47]Sch C'!D60</f>
        <v>32504</v>
      </c>
      <c r="D72" s="480">
        <f>'[47]Sch C'!F60</f>
        <v>0</v>
      </c>
      <c r="E72" s="480">
        <f>+'[47]Sch C'!H60</f>
        <v>0</v>
      </c>
      <c r="F72" s="166">
        <f t="shared" si="13"/>
        <v>32504</v>
      </c>
      <c r="G72" s="626"/>
      <c r="H72" s="166"/>
      <c r="I72" s="166">
        <f t="shared" si="14"/>
        <v>32504</v>
      </c>
      <c r="J72" s="167">
        <f t="shared" si="11"/>
        <v>5.3276180042556107E-3</v>
      </c>
      <c r="K72" s="458"/>
      <c r="L72" s="185"/>
      <c r="M72" s="163"/>
      <c r="N72" s="227"/>
      <c r="O72" s="324">
        <f t="shared" si="12"/>
        <v>1.4196366177498252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'[47]Sch C'!D61</f>
        <v>8004</v>
      </c>
      <c r="D73" s="480">
        <f>'[47]Sch C'!F61</f>
        <v>0</v>
      </c>
      <c r="E73" s="480">
        <f>+'[47]Sch C'!H61</f>
        <v>0</v>
      </c>
      <c r="F73" s="166">
        <f t="shared" si="13"/>
        <v>8004</v>
      </c>
      <c r="G73" s="626"/>
      <c r="H73" s="166"/>
      <c r="I73" s="166">
        <f t="shared" si="14"/>
        <v>8004</v>
      </c>
      <c r="J73" s="167">
        <f t="shared" si="11"/>
        <v>1.3119079038291259E-3</v>
      </c>
      <c r="K73" s="458"/>
      <c r="L73" s="185"/>
      <c r="M73" s="163"/>
      <c r="N73" s="227"/>
      <c r="O73" s="324">
        <f t="shared" si="12"/>
        <v>0.34958071278825997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'[47]Sch C'!D62</f>
        <v>0</v>
      </c>
      <c r="D74" s="480">
        <f>'[47]Sch C'!F62</f>
        <v>0</v>
      </c>
      <c r="E74" s="480">
        <f>+'[47]Sch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N74" s="227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'[47]Sch C'!D63</f>
        <v>0</v>
      </c>
      <c r="D75" s="480">
        <f>'[47]Sch C'!F63</f>
        <v>0</v>
      </c>
      <c r="E75" s="480">
        <f>+'[47]Sch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N75" s="227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'[47]Sch C'!D64</f>
        <v>0</v>
      </c>
      <c r="D76" s="480">
        <f>'[47]Sch C'!F64</f>
        <v>0</v>
      </c>
      <c r="E76" s="480">
        <f>+'[47]Sch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N76" s="227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'[47]Sch C'!D65</f>
        <v>3823</v>
      </c>
      <c r="D77" s="480">
        <f>'[47]Sch C'!F65</f>
        <v>0</v>
      </c>
      <c r="E77" s="480">
        <f>+'[47]Sch C'!H65</f>
        <v>0</v>
      </c>
      <c r="F77" s="166">
        <f t="shared" si="13"/>
        <v>3823</v>
      </c>
      <c r="G77" s="626"/>
      <c r="H77" s="166"/>
      <c r="I77" s="166">
        <f t="shared" si="14"/>
        <v>3823</v>
      </c>
      <c r="J77" s="167">
        <f t="shared" si="11"/>
        <v>6.2661468220124293E-4</v>
      </c>
      <c r="K77" s="458"/>
      <c r="L77" s="187"/>
      <c r="M77" s="163"/>
      <c r="N77" s="227"/>
      <c r="O77" s="324">
        <f t="shared" si="12"/>
        <v>0.16697239692522711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'[47]Sch C'!D66</f>
        <v>13522</v>
      </c>
      <c r="D78" s="480">
        <f>'[47]Sch C'!F66</f>
        <v>0</v>
      </c>
      <c r="E78" s="480">
        <f>+'[47]Sch C'!H66</f>
        <v>0</v>
      </c>
      <c r="F78" s="166">
        <f t="shared" si="13"/>
        <v>13522</v>
      </c>
      <c r="G78" s="626"/>
      <c r="H78" s="166"/>
      <c r="I78" s="166">
        <f t="shared" si="14"/>
        <v>13522</v>
      </c>
      <c r="J78" s="167">
        <f t="shared" si="11"/>
        <v>2.2163441623659968E-3</v>
      </c>
      <c r="K78" s="458"/>
      <c r="L78" s="187"/>
      <c r="M78" s="163"/>
      <c r="N78" s="227"/>
      <c r="O78" s="324">
        <f t="shared" si="12"/>
        <v>0.59058350803633819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'[47]Sch C'!D67</f>
        <v>43176</v>
      </c>
      <c r="D79" s="480">
        <f>'[47]Sch C'!F67</f>
        <v>-6898</v>
      </c>
      <c r="E79" s="480">
        <f>+'[47]Sch C'!H67</f>
        <v>0</v>
      </c>
      <c r="F79" s="166">
        <f t="shared" si="13"/>
        <v>36278</v>
      </c>
      <c r="G79" s="626"/>
      <c r="H79" s="166"/>
      <c r="I79" s="166">
        <f t="shared" si="14"/>
        <v>36278</v>
      </c>
      <c r="J79" s="167">
        <f t="shared" si="11"/>
        <v>5.9462012662560007E-3</v>
      </c>
      <c r="K79" s="458"/>
      <c r="L79" s="187"/>
      <c r="M79" s="163"/>
      <c r="N79" s="227"/>
      <c r="O79" s="324">
        <f t="shared" si="12"/>
        <v>1.5844689028651293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'[47]Sch C'!D68</f>
        <v>0</v>
      </c>
      <c r="D80" s="480">
        <f>'[47]Sch C'!F68</f>
        <v>0</v>
      </c>
      <c r="E80" s="480">
        <f>+'[47]Sch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N80" s="227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'[47]Sch C'!D69</f>
        <v>5173</v>
      </c>
      <c r="D81" s="480">
        <f>'[47]Sch C'!F69</f>
        <v>0</v>
      </c>
      <c r="E81" s="480">
        <f>+'[47]Sch C'!H69</f>
        <v>0</v>
      </c>
      <c r="F81" s="166">
        <f t="shared" si="13"/>
        <v>5173</v>
      </c>
      <c r="G81" s="626"/>
      <c r="H81" s="166"/>
      <c r="I81" s="166">
        <f t="shared" si="14"/>
        <v>5173</v>
      </c>
      <c r="J81" s="167">
        <f t="shared" si="11"/>
        <v>8.4788850406147776E-4</v>
      </c>
      <c r="K81" s="458"/>
      <c r="L81" s="187"/>
      <c r="M81" s="163"/>
      <c r="N81" s="227"/>
      <c r="O81" s="324">
        <f t="shared" si="12"/>
        <v>0.22593466107617052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'[47]Sch C'!D70</f>
        <v>0</v>
      </c>
      <c r="D82" s="480">
        <f>'[47]Sch C'!F70</f>
        <v>0</v>
      </c>
      <c r="E82" s="480">
        <f>+'[47]Sch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N82" s="227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'[47]Sch C'!D71</f>
        <v>0</v>
      </c>
      <c r="D83" s="480">
        <f>'[47]Sch C'!F71</f>
        <v>0</v>
      </c>
      <c r="E83" s="480">
        <f>+'[47]Sch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N83" s="227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708775</v>
      </c>
      <c r="D84" s="480">
        <f t="shared" si="15"/>
        <v>-6898</v>
      </c>
      <c r="E84" s="480">
        <f t="shared" si="15"/>
        <v>0</v>
      </c>
      <c r="F84" s="166">
        <f t="shared" ref="F84:I84" si="16">SUM(F69:F83)</f>
        <v>701877</v>
      </c>
      <c r="G84" s="166">
        <f t="shared" si="16"/>
        <v>0</v>
      </c>
      <c r="H84" s="166">
        <f t="shared" si="16"/>
        <v>-382969</v>
      </c>
      <c r="I84" s="166">
        <f t="shared" si="16"/>
        <v>318908</v>
      </c>
      <c r="J84" s="167">
        <f t="shared" si="11"/>
        <v>5.2271105171706508E-2</v>
      </c>
      <c r="K84" s="458"/>
      <c r="L84" s="187"/>
      <c r="M84" s="163"/>
      <c r="N84" s="227"/>
      <c r="O84" s="324">
        <f t="shared" si="12"/>
        <v>13.928546470999301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N85" s="227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N86" s="227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'[47]Sch C'!D75</f>
        <v>33801</v>
      </c>
      <c r="D87" s="480">
        <f>'[47]Sch C'!F75</f>
        <v>0</v>
      </c>
      <c r="E87" s="480">
        <f>+'[47]Sch C'!H75</f>
        <v>0</v>
      </c>
      <c r="F87" s="166">
        <f t="shared" ref="F87:F97" si="17">C87+D87+E87</f>
        <v>33801</v>
      </c>
      <c r="G87" s="626"/>
      <c r="H87" s="166"/>
      <c r="I87" s="166">
        <f t="shared" ref="I87:I97" si="18">F87+G87+H87</f>
        <v>33801</v>
      </c>
      <c r="J87" s="167">
        <f t="shared" ref="J87:J98" si="19">IF($I$213=0,0,I87/$I$213)</f>
        <v>5.5402047797761473E-3</v>
      </c>
      <c r="K87" s="458"/>
      <c r="L87" s="176">
        <v>1843</v>
      </c>
      <c r="M87" s="176">
        <v>2011</v>
      </c>
      <c r="N87" s="227"/>
      <c r="O87" s="324">
        <f t="shared" ref="O87:O98" si="20">I87/I$233</f>
        <v>1.4762840670859538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'[47]Sch C'!D76</f>
        <v>6124</v>
      </c>
      <c r="D88" s="480">
        <f>'[47]Sch C'!F76</f>
        <v>1870</v>
      </c>
      <c r="E88" s="480">
        <f>+'[47]Sch C'!H76</f>
        <v>0</v>
      </c>
      <c r="F88" s="166">
        <f t="shared" si="17"/>
        <v>7994</v>
      </c>
      <c r="G88" s="626"/>
      <c r="H88" s="166"/>
      <c r="I88" s="166">
        <f t="shared" si="18"/>
        <v>7994</v>
      </c>
      <c r="J88" s="167">
        <f t="shared" si="19"/>
        <v>1.3102688384820131E-3</v>
      </c>
      <c r="K88" s="458"/>
      <c r="L88" s="163"/>
      <c r="M88" s="163"/>
      <c r="N88" s="227"/>
      <c r="O88" s="324">
        <f t="shared" si="20"/>
        <v>0.34914395527603076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'[47]Sch C'!D77</f>
        <v>10567</v>
      </c>
      <c r="D89" s="480">
        <f>'[47]Sch C'!F77</f>
        <v>0</v>
      </c>
      <c r="E89" s="480">
        <f>+'[47]Sch C'!H77</f>
        <v>0</v>
      </c>
      <c r="F89" s="166">
        <f t="shared" si="17"/>
        <v>10567</v>
      </c>
      <c r="G89" s="626"/>
      <c r="H89" s="166"/>
      <c r="I89" s="166">
        <f t="shared" si="18"/>
        <v>10567</v>
      </c>
      <c r="J89" s="167">
        <f t="shared" si="19"/>
        <v>1.7320003522941496E-3</v>
      </c>
      <c r="K89" s="458"/>
      <c r="L89" s="163"/>
      <c r="M89" s="163"/>
      <c r="N89" s="227"/>
      <c r="O89" s="324">
        <f t="shared" si="20"/>
        <v>0.46152166317260657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'[47]Sch C'!D78</f>
        <v>0</v>
      </c>
      <c r="D90" s="480">
        <f>'[47]Sch C'!F78</f>
        <v>0</v>
      </c>
      <c r="E90" s="480">
        <f>+'[47]Sch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N90" s="227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'[47]Sch C'!D79</f>
        <v>7252</v>
      </c>
      <c r="D91" s="480">
        <f>'[47]Sch C'!F79</f>
        <v>0</v>
      </c>
      <c r="E91" s="480">
        <f>+'[47]Sch C'!H79</f>
        <v>0</v>
      </c>
      <c r="F91" s="166">
        <f t="shared" si="17"/>
        <v>7252</v>
      </c>
      <c r="G91" s="626"/>
      <c r="H91" s="166"/>
      <c r="I91" s="166">
        <f t="shared" si="18"/>
        <v>7252</v>
      </c>
      <c r="J91" s="167">
        <f t="shared" si="19"/>
        <v>1.1886501897262396E-3</v>
      </c>
      <c r="K91" s="458"/>
      <c r="L91" s="163"/>
      <c r="M91" s="163"/>
      <c r="N91" s="227"/>
      <c r="O91" s="324">
        <f t="shared" si="20"/>
        <v>0.31673654786862332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'[47]Sch C'!D80</f>
        <v>17415</v>
      </c>
      <c r="D92" s="480">
        <f>'[47]Sch C'!F80</f>
        <v>0</v>
      </c>
      <c r="E92" s="480">
        <f>+'[47]Sch C'!H80</f>
        <v>0</v>
      </c>
      <c r="F92" s="166">
        <f t="shared" si="17"/>
        <v>17415</v>
      </c>
      <c r="G92" s="626"/>
      <c r="H92" s="166"/>
      <c r="I92" s="166">
        <f t="shared" si="18"/>
        <v>17415</v>
      </c>
      <c r="J92" s="167">
        <f t="shared" si="19"/>
        <v>2.8544323019970299E-3</v>
      </c>
      <c r="K92" s="458"/>
      <c r="L92" s="163"/>
      <c r="M92" s="163"/>
      <c r="N92" s="227"/>
      <c r="O92" s="324">
        <f t="shared" si="20"/>
        <v>0.76061320754716977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'[47]Sch C'!D81</f>
        <v>9798</v>
      </c>
      <c r="D93" s="480">
        <f>'[47]Sch C'!F81</f>
        <v>0</v>
      </c>
      <c r="E93" s="480">
        <f>+'[47]Sch C'!H81</f>
        <v>0</v>
      </c>
      <c r="F93" s="166">
        <f t="shared" si="17"/>
        <v>9798</v>
      </c>
      <c r="G93" s="626"/>
      <c r="H93" s="166"/>
      <c r="I93" s="166">
        <f t="shared" si="18"/>
        <v>9798</v>
      </c>
      <c r="J93" s="167">
        <f t="shared" si="19"/>
        <v>1.6059562271011714E-3</v>
      </c>
      <c r="K93" s="458"/>
      <c r="L93" s="163"/>
      <c r="M93" s="163"/>
      <c r="N93" s="227"/>
      <c r="O93" s="324">
        <f t="shared" si="20"/>
        <v>0.4279350104821803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'[47]Sch C'!D82</f>
        <v>940</v>
      </c>
      <c r="D94" s="480">
        <f>'[47]Sch C'!F82</f>
        <v>0</v>
      </c>
      <c r="E94" s="480">
        <f>+'[47]Sch C'!H82</f>
        <v>0</v>
      </c>
      <c r="F94" s="166">
        <f t="shared" si="17"/>
        <v>940</v>
      </c>
      <c r="G94" s="626"/>
      <c r="H94" s="166"/>
      <c r="I94" s="166">
        <f t="shared" si="18"/>
        <v>940</v>
      </c>
      <c r="J94" s="167">
        <f t="shared" si="19"/>
        <v>1.5407214262860798E-4</v>
      </c>
      <c r="K94" s="458"/>
      <c r="L94" s="163"/>
      <c r="M94" s="163"/>
      <c r="N94" s="227"/>
      <c r="O94" s="324">
        <f t="shared" si="20"/>
        <v>4.1055206149545775E-2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'[47]Sch C'!D83</f>
        <v>546</v>
      </c>
      <c r="D95" s="480">
        <f>'[47]Sch C'!F83</f>
        <v>0</v>
      </c>
      <c r="E95" s="480">
        <f>+'[47]Sch C'!H83</f>
        <v>0</v>
      </c>
      <c r="F95" s="166">
        <f t="shared" si="17"/>
        <v>546</v>
      </c>
      <c r="G95" s="626"/>
      <c r="H95" s="166"/>
      <c r="I95" s="166">
        <f t="shared" si="18"/>
        <v>546</v>
      </c>
      <c r="J95" s="167">
        <f t="shared" si="19"/>
        <v>8.9492967952361658E-5</v>
      </c>
      <c r="K95" s="458"/>
      <c r="L95" s="163"/>
      <c r="M95" s="163"/>
      <c r="N95" s="227"/>
      <c r="O95" s="324">
        <f t="shared" si="20"/>
        <v>2.3846960167714884E-2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'[47]Sch C'!D84</f>
        <v>124262</v>
      </c>
      <c r="D96" s="480">
        <f>'[47]Sch C'!F84</f>
        <v>0</v>
      </c>
      <c r="E96" s="480">
        <f>+'[47]Sch C'!H84</f>
        <v>0</v>
      </c>
      <c r="F96" s="166">
        <f t="shared" si="17"/>
        <v>124262</v>
      </c>
      <c r="G96" s="626"/>
      <c r="H96" s="166"/>
      <c r="I96" s="166">
        <f t="shared" si="18"/>
        <v>124262</v>
      </c>
      <c r="J96" s="167">
        <f t="shared" si="19"/>
        <v>2.0367353816293707E-2</v>
      </c>
      <c r="K96" s="458"/>
      <c r="L96" s="163"/>
      <c r="M96" s="163"/>
      <c r="N96" s="227"/>
      <c r="O96" s="324">
        <f t="shared" si="20"/>
        <v>5.4272361984626132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'[47]Sch C'!D85</f>
        <v>268</v>
      </c>
      <c r="D97" s="480">
        <f>'[47]Sch C'!F85</f>
        <v>0</v>
      </c>
      <c r="E97" s="480">
        <f>+'[47]Sch C'!H85</f>
        <v>0</v>
      </c>
      <c r="F97" s="166">
        <f t="shared" si="17"/>
        <v>268</v>
      </c>
      <c r="G97" s="626"/>
      <c r="H97" s="166"/>
      <c r="I97" s="166">
        <f t="shared" si="18"/>
        <v>268</v>
      </c>
      <c r="J97" s="167">
        <f t="shared" si="19"/>
        <v>4.3926951302624402E-5</v>
      </c>
      <c r="K97" s="458"/>
      <c r="L97" s="163"/>
      <c r="M97" s="163"/>
      <c r="N97" s="227"/>
      <c r="O97" s="324">
        <f t="shared" si="20"/>
        <v>1.1705101327742837E-2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210973</v>
      </c>
      <c r="D98" s="480">
        <f t="shared" si="21"/>
        <v>1870</v>
      </c>
      <c r="E98" s="480">
        <f t="shared" si="21"/>
        <v>0</v>
      </c>
      <c r="F98" s="166">
        <f t="shared" ref="F98:I98" si="22">SUM(F87:F97)</f>
        <v>212843</v>
      </c>
      <c r="G98" s="166">
        <f t="shared" si="22"/>
        <v>0</v>
      </c>
      <c r="H98" s="166">
        <f t="shared" si="22"/>
        <v>0</v>
      </c>
      <c r="I98" s="166">
        <f t="shared" si="22"/>
        <v>212843</v>
      </c>
      <c r="J98" s="167">
        <f t="shared" si="19"/>
        <v>3.4886358567554052E-2</v>
      </c>
      <c r="K98" s="458"/>
      <c r="L98" s="163"/>
      <c r="M98" s="163"/>
      <c r="N98" s="227"/>
      <c r="O98" s="329">
        <f t="shared" si="20"/>
        <v>9.2960779175401811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N99" s="227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N100" s="227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'[47]Sch C'!D89</f>
        <v>151340</v>
      </c>
      <c r="D101" s="480">
        <f>'[47]Sch C'!F89</f>
        <v>0</v>
      </c>
      <c r="E101" s="480">
        <f>+'[47]Sch C'!H89</f>
        <v>0</v>
      </c>
      <c r="F101" s="166">
        <f t="shared" ref="F101:F106" si="23">C101+D101+E101</f>
        <v>151340</v>
      </c>
      <c r="G101" s="626"/>
      <c r="H101" s="166"/>
      <c r="I101" s="166">
        <f t="shared" ref="I101:I106" si="24">F101+G101+H101</f>
        <v>151340</v>
      </c>
      <c r="J101" s="167">
        <f t="shared" ref="J101:J107" si="25">IF($I$213=0,0,I101/$I$213)</f>
        <v>2.4805614963205887E-2</v>
      </c>
      <c r="K101" s="458"/>
      <c r="L101" s="176">
        <v>11711</v>
      </c>
      <c r="M101" s="176">
        <v>12691</v>
      </c>
      <c r="N101" s="227"/>
      <c r="O101" s="329">
        <f t="shared" ref="O101:O107" si="26">I101/I$233</f>
        <v>6.6098881900768696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'[47]Sch C'!D90</f>
        <v>27608</v>
      </c>
      <c r="D102" s="480">
        <f>'[47]Sch C'!F90</f>
        <v>8375</v>
      </c>
      <c r="E102" s="480">
        <f>+'[47]Sch C'!H90</f>
        <v>0</v>
      </c>
      <c r="F102" s="166">
        <f t="shared" si="23"/>
        <v>35983</v>
      </c>
      <c r="G102" s="626"/>
      <c r="H102" s="166"/>
      <c r="I102" s="166">
        <f t="shared" si="24"/>
        <v>35983</v>
      </c>
      <c r="J102" s="167">
        <f t="shared" si="25"/>
        <v>5.8978488385161712E-3</v>
      </c>
      <c r="K102" s="458"/>
      <c r="L102" s="163"/>
      <c r="M102" s="163"/>
      <c r="N102" s="227"/>
      <c r="O102" s="329">
        <f t="shared" si="26"/>
        <v>1.5715845562543675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'[47]Sch C'!D91</f>
        <v>26765</v>
      </c>
      <c r="D103" s="480">
        <f>'[47]Sch C'!F91</f>
        <v>0</v>
      </c>
      <c r="E103" s="480">
        <f>+'[47]Sch C'!H91</f>
        <v>0</v>
      </c>
      <c r="F103" s="166">
        <f t="shared" si="23"/>
        <v>26765</v>
      </c>
      <c r="G103" s="626"/>
      <c r="H103" s="166"/>
      <c r="I103" s="166">
        <f t="shared" si="24"/>
        <v>26765</v>
      </c>
      <c r="J103" s="167">
        <f t="shared" si="25"/>
        <v>4.3869584015475459E-3</v>
      </c>
      <c r="K103" s="458"/>
      <c r="L103" s="163"/>
      <c r="M103" s="163"/>
      <c r="N103" s="227"/>
      <c r="O103" s="329">
        <f t="shared" si="26"/>
        <v>1.1689814814814814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'[47]Sch C'!D92</f>
        <v>132732</v>
      </c>
      <c r="D104" s="480">
        <f>'[47]Sch C'!F92</f>
        <v>0</v>
      </c>
      <c r="E104" s="480">
        <f>+'[47]Sch C'!H92</f>
        <v>0</v>
      </c>
      <c r="F104" s="166">
        <f t="shared" si="23"/>
        <v>132732</v>
      </c>
      <c r="G104" s="626"/>
      <c r="H104" s="166"/>
      <c r="I104" s="166">
        <f t="shared" si="24"/>
        <v>132732</v>
      </c>
      <c r="J104" s="167">
        <f t="shared" si="25"/>
        <v>2.1755642165298295E-2</v>
      </c>
      <c r="K104" s="458"/>
      <c r="L104" s="163"/>
      <c r="M104" s="163"/>
      <c r="N104" s="227"/>
      <c r="O104" s="329">
        <f t="shared" si="26"/>
        <v>5.7971698113207548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'[47]Sch C'!D93</f>
        <v>13072</v>
      </c>
      <c r="D105" s="480">
        <f>'[47]Sch C'!F93</f>
        <v>1462</v>
      </c>
      <c r="E105" s="480">
        <f>+'[47]Sch C'!H93</f>
        <v>0</v>
      </c>
      <c r="F105" s="166">
        <f t="shared" si="23"/>
        <v>14534</v>
      </c>
      <c r="G105" s="626"/>
      <c r="H105" s="166"/>
      <c r="I105" s="166">
        <f t="shared" si="24"/>
        <v>14534</v>
      </c>
      <c r="J105" s="167">
        <f t="shared" si="25"/>
        <v>2.3822175754938174E-3</v>
      </c>
      <c r="K105" s="458"/>
      <c r="L105" s="163"/>
      <c r="M105" s="163"/>
      <c r="N105" s="227"/>
      <c r="O105" s="329">
        <f t="shared" si="26"/>
        <v>0.63478336827393433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'[47]Sch C'!D94</f>
        <v>0</v>
      </c>
      <c r="D106" s="480">
        <f>'[47]Sch C'!F94</f>
        <v>0</v>
      </c>
      <c r="E106" s="480">
        <f>+'[47]Sch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N106" s="227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351517</v>
      </c>
      <c r="D107" s="480">
        <f t="shared" si="27"/>
        <v>9837</v>
      </c>
      <c r="E107" s="480">
        <f t="shared" si="27"/>
        <v>0</v>
      </c>
      <c r="F107" s="166">
        <f t="shared" ref="F107:I107" si="28">SUM(F101:F106)</f>
        <v>361354</v>
      </c>
      <c r="G107" s="166">
        <f t="shared" si="28"/>
        <v>0</v>
      </c>
      <c r="H107" s="166">
        <f t="shared" si="28"/>
        <v>0</v>
      </c>
      <c r="I107" s="166">
        <f t="shared" si="28"/>
        <v>361354</v>
      </c>
      <c r="J107" s="167">
        <f t="shared" si="25"/>
        <v>5.9228281944061711E-2</v>
      </c>
      <c r="K107" s="458"/>
      <c r="L107" s="163"/>
      <c r="M107" s="163"/>
      <c r="N107" s="227"/>
      <c r="O107" s="329">
        <f t="shared" si="26"/>
        <v>15.782407407407407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N108" s="227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N109" s="227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'[47]Sch C'!D98</f>
        <v>0</v>
      </c>
      <c r="D110" s="480">
        <f>'[47]Sch C'!F98</f>
        <v>0</v>
      </c>
      <c r="E110" s="480">
        <f>+'[47]Sch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N110" s="227"/>
      <c r="O110" s="329">
        <f t="shared" ref="O110:O116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'[47]Sch C'!D99</f>
        <v>0</v>
      </c>
      <c r="D111" s="480">
        <f>'[47]Sch C'!F99</f>
        <v>0</v>
      </c>
      <c r="E111" s="480">
        <f>+'[47]Sch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N111" s="227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'[47]Sch C'!D100</f>
        <v>561</v>
      </c>
      <c r="D112" s="480">
        <f>'[47]Sch C'!F100</f>
        <v>0</v>
      </c>
      <c r="E112" s="480">
        <f>+'[47]Sch C'!H100</f>
        <v>0</v>
      </c>
      <c r="F112" s="166">
        <f t="shared" si="29"/>
        <v>561</v>
      </c>
      <c r="G112" s="626"/>
      <c r="H112" s="166"/>
      <c r="I112" s="166">
        <f t="shared" si="30"/>
        <v>561</v>
      </c>
      <c r="J112" s="167">
        <f t="shared" si="31"/>
        <v>9.1951565973030934E-5</v>
      </c>
      <c r="K112" s="458"/>
      <c r="L112" s="163"/>
      <c r="M112" s="163"/>
      <c r="N112" s="227"/>
      <c r="O112" s="329">
        <f t="shared" si="32"/>
        <v>2.4502096436058701E-2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'[47]Sch C'!D101</f>
        <v>60759</v>
      </c>
      <c r="D113" s="480">
        <f>'[47]Sch C'!F101</f>
        <v>0</v>
      </c>
      <c r="E113" s="480">
        <f>+'[47]Sch C'!H101</f>
        <v>0</v>
      </c>
      <c r="F113" s="166">
        <f t="shared" si="29"/>
        <v>60759</v>
      </c>
      <c r="G113" s="626"/>
      <c r="H113" s="166"/>
      <c r="I113" s="166">
        <f t="shared" si="30"/>
        <v>60759</v>
      </c>
      <c r="J113" s="167">
        <f t="shared" si="31"/>
        <v>9.958797142522971E-3</v>
      </c>
      <c r="K113" s="458"/>
      <c r="L113" s="163"/>
      <c r="M113" s="163"/>
      <c r="N113" s="227"/>
      <c r="O113" s="329">
        <f t="shared" si="32"/>
        <v>2.653694968553459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'[47]Sch C'!D102</f>
        <v>820</v>
      </c>
      <c r="D114" s="480">
        <f>'[47]Sch C'!F102</f>
        <v>0</v>
      </c>
      <c r="E114" s="480">
        <f>+'[47]Sch C'!H102</f>
        <v>0</v>
      </c>
      <c r="F114" s="166">
        <f t="shared" si="29"/>
        <v>820</v>
      </c>
      <c r="G114" s="626"/>
      <c r="H114" s="166"/>
      <c r="I114" s="166">
        <f t="shared" si="30"/>
        <v>820</v>
      </c>
      <c r="J114" s="167">
        <f t="shared" si="31"/>
        <v>1.3440335846325377E-4</v>
      </c>
      <c r="K114" s="458"/>
      <c r="L114" s="163"/>
      <c r="M114" s="163"/>
      <c r="N114" s="227"/>
      <c r="O114" s="329">
        <f t="shared" si="32"/>
        <v>3.581411600279525E-2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'[47]Sch C'!D103</f>
        <v>0</v>
      </c>
      <c r="D115" s="480">
        <f>'[47]Sch C'!F103</f>
        <v>0</v>
      </c>
      <c r="E115" s="480">
        <f>+'[47]Sch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N115" s="227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62140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62140</v>
      </c>
      <c r="G116" s="166">
        <f t="shared" si="34"/>
        <v>0</v>
      </c>
      <c r="H116" s="166">
        <f t="shared" si="34"/>
        <v>0</v>
      </c>
      <c r="I116" s="166">
        <f t="shared" si="34"/>
        <v>62140</v>
      </c>
      <c r="J116" s="167">
        <f t="shared" si="31"/>
        <v>1.0185152066959255E-2</v>
      </c>
      <c r="K116" s="458"/>
      <c r="L116" s="163"/>
      <c r="M116" s="163"/>
      <c r="N116" s="227"/>
      <c r="O116" s="329">
        <f t="shared" si="32"/>
        <v>2.7140111809923129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N117" s="227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N118" s="227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'[47]Sch C'!D115</f>
        <v>0</v>
      </c>
      <c r="D119" s="480">
        <f>'[47]Sch C'!F115</f>
        <v>0</v>
      </c>
      <c r="E119" s="480">
        <f>+'[47]Sch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N119" s="227"/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'[47]Sch C'!D116</f>
        <v>0</v>
      </c>
      <c r="D120" s="480">
        <f>'[47]Sch C'!F116</f>
        <v>0</v>
      </c>
      <c r="E120" s="480">
        <f>+'[47]Sch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N120" s="227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'[47]Sch C'!D117</f>
        <v>931</v>
      </c>
      <c r="D121" s="480">
        <f>'[47]Sch C'!F117</f>
        <v>0</v>
      </c>
      <c r="E121" s="480">
        <f>+'[47]Sch C'!H117</f>
        <v>0</v>
      </c>
      <c r="F121" s="166">
        <f t="shared" si="35"/>
        <v>931</v>
      </c>
      <c r="G121" s="626"/>
      <c r="H121" s="166"/>
      <c r="I121" s="166">
        <f t="shared" si="36"/>
        <v>931</v>
      </c>
      <c r="J121" s="167">
        <f t="shared" si="37"/>
        <v>1.5259698381620641E-4</v>
      </c>
      <c r="K121" s="458"/>
      <c r="L121" s="163"/>
      <c r="M121" s="163"/>
      <c r="N121" s="227"/>
      <c r="O121" s="329">
        <f t="shared" si="38"/>
        <v>4.0662124388539486E-2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'[47]Sch C'!D118</f>
        <v>93707</v>
      </c>
      <c r="D122" s="480">
        <f>'[47]Sch C'!F118</f>
        <v>0</v>
      </c>
      <c r="E122" s="480">
        <f>+'[47]Sch C'!H118</f>
        <v>0</v>
      </c>
      <c r="F122" s="166">
        <f t="shared" si="35"/>
        <v>93707</v>
      </c>
      <c r="G122" s="626"/>
      <c r="H122" s="166"/>
      <c r="I122" s="166">
        <f t="shared" si="36"/>
        <v>93707</v>
      </c>
      <c r="J122" s="167">
        <f t="shared" si="37"/>
        <v>1.5359189648190393E-2</v>
      </c>
      <c r="K122" s="458"/>
      <c r="L122" s="163"/>
      <c r="M122" s="163"/>
      <c r="N122" s="227"/>
      <c r="O122" s="329">
        <f t="shared" si="38"/>
        <v>4.0927236198462618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'[47]Sch C'!D119</f>
        <v>0</v>
      </c>
      <c r="D123" s="480">
        <f>'[47]Sch C'!F119</f>
        <v>0</v>
      </c>
      <c r="E123" s="480">
        <f>+'[47]Sch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N123" s="227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94638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94638</v>
      </c>
      <c r="G124" s="166">
        <f t="shared" si="40"/>
        <v>0</v>
      </c>
      <c r="H124" s="166">
        <f t="shared" si="40"/>
        <v>0</v>
      </c>
      <c r="I124" s="166">
        <f t="shared" si="40"/>
        <v>94638</v>
      </c>
      <c r="J124" s="167">
        <f t="shared" si="37"/>
        <v>1.5511786632006599E-2</v>
      </c>
      <c r="K124" s="458"/>
      <c r="L124" s="163"/>
      <c r="M124" s="163"/>
      <c r="N124" s="227"/>
      <c r="O124" s="329">
        <f t="shared" si="38"/>
        <v>4.1333857442348005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N125" s="227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N126" s="227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N127" s="227"/>
      <c r="O127" s="324"/>
      <c r="P127" s="324"/>
    </row>
    <row r="128" spans="1:16" s="162" customFormat="1">
      <c r="B128" s="323" t="s">
        <v>672</v>
      </c>
      <c r="C128" s="480">
        <f>'[47]Sch C'!D124</f>
        <v>0</v>
      </c>
      <c r="D128" s="480">
        <f>'[47]Sch C'!F124</f>
        <v>0</v>
      </c>
      <c r="E128" s="480">
        <f>+'[47]Sch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N128" s="227"/>
      <c r="O128" s="329">
        <f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'[47]Sch C'!D125</f>
        <v>191359</v>
      </c>
      <c r="D129" s="480">
        <f>'[47]Sch C'!F125</f>
        <v>0</v>
      </c>
      <c r="E129" s="480">
        <f>+'[47]Sch C'!H125</f>
        <v>46508</v>
      </c>
      <c r="F129" s="166">
        <f t="shared" si="41"/>
        <v>237867</v>
      </c>
      <c r="G129" s="626"/>
      <c r="H129" s="166"/>
      <c r="I129" s="166">
        <f t="shared" si="42"/>
        <v>237867</v>
      </c>
      <c r="J129" s="167">
        <f>IF($I$213=0,0,I129/$I$213)</f>
        <v>3.898795569216925E-2</v>
      </c>
      <c r="K129" s="458"/>
      <c r="L129" s="176">
        <v>4621</v>
      </c>
      <c r="M129" s="176">
        <v>4914</v>
      </c>
      <c r="N129" s="227"/>
      <c r="O129" s="329">
        <f>I129/I$233</f>
        <v>10.389019916142558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'[47]Sch C'!D126</f>
        <v>55554</v>
      </c>
      <c r="D130" s="480">
        <f>'[47]Sch C'!F126</f>
        <v>0</v>
      </c>
      <c r="E130" s="480">
        <f>+'[47]Sch C'!H126</f>
        <v>0</v>
      </c>
      <c r="F130" s="166">
        <f t="shared" si="41"/>
        <v>55554</v>
      </c>
      <c r="G130" s="626"/>
      <c r="H130" s="166"/>
      <c r="I130" s="166">
        <f t="shared" si="42"/>
        <v>55554</v>
      </c>
      <c r="J130" s="167">
        <f>IF($I$213=0,0,I130/$I$213)</f>
        <v>9.1056636293507312E-3</v>
      </c>
      <c r="K130" s="458"/>
      <c r="L130" s="176">
        <v>1798</v>
      </c>
      <c r="M130" s="176">
        <v>1972</v>
      </c>
      <c r="N130" s="227"/>
      <c r="O130" s="329">
        <f>I130/I$233</f>
        <v>2.4263626834381551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'[47]Sch C'!D127</f>
        <v>0</v>
      </c>
      <c r="D131" s="480">
        <f>'[47]Sch C'!F127</f>
        <v>0</v>
      </c>
      <c r="E131" s="480">
        <f>+'[47]Sch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N131" s="227"/>
      <c r="O131" s="329">
        <f>I131/I$233</f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'[47]Sch C'!D128</f>
        <v>72669</v>
      </c>
      <c r="D132" s="480">
        <f>'[47]Sch C'!F128</f>
        <v>0</v>
      </c>
      <c r="E132" s="480">
        <f>+'[47]Sch C'!H128</f>
        <v>0</v>
      </c>
      <c r="F132" s="166">
        <f t="shared" si="41"/>
        <v>72669</v>
      </c>
      <c r="G132" s="626"/>
      <c r="H132" s="166"/>
      <c r="I132" s="166">
        <f t="shared" si="42"/>
        <v>72669</v>
      </c>
      <c r="J132" s="167">
        <f>IF($I$213=0,0,I132/$I$213)</f>
        <v>1.1910923970934377E-2</v>
      </c>
      <c r="K132" s="458"/>
      <c r="L132" s="176">
        <v>4871</v>
      </c>
      <c r="M132" s="176">
        <v>5053</v>
      </c>
      <c r="N132" s="227"/>
      <c r="O132" s="329">
        <f>I132/I$233</f>
        <v>3.1738731656184487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N133" s="227"/>
      <c r="O133" s="329"/>
      <c r="P133" s="324"/>
    </row>
    <row r="134" spans="1:16" s="162" customFormat="1">
      <c r="A134" s="164"/>
      <c r="B134" s="257" t="s">
        <v>680</v>
      </c>
      <c r="C134" s="480">
        <f>'[47]Sch C'!D130</f>
        <v>0</v>
      </c>
      <c r="D134" s="480">
        <f>'[47]Sch C'!F130</f>
        <v>0</v>
      </c>
      <c r="E134" s="480">
        <f>+'[47]Sch C'!H130</f>
        <v>0</v>
      </c>
      <c r="F134" s="166">
        <f t="shared" ref="F134:F138" si="43">C134+D134+E134</f>
        <v>0</v>
      </c>
      <c r="G134" s="626"/>
      <c r="H134" s="166"/>
      <c r="I134" s="166">
        <f t="shared" ref="I134:I138" si="44">F134+G134+H134</f>
        <v>0</v>
      </c>
      <c r="J134" s="167">
        <f>IF($I$213=0,0,I134/$I$213)</f>
        <v>0</v>
      </c>
      <c r="K134" s="458"/>
      <c r="L134" s="196"/>
      <c r="M134" s="196"/>
      <c r="N134" s="227"/>
      <c r="O134" s="329">
        <f>I134/I$233</f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'[47]Sch C'!D131</f>
        <v>0</v>
      </c>
      <c r="D135" s="480">
        <f>'[47]Sch C'!F131</f>
        <v>10589</v>
      </c>
      <c r="E135" s="480">
        <f>+'[47]Sch C'!H131</f>
        <v>5183</v>
      </c>
      <c r="F135" s="166">
        <f t="shared" si="43"/>
        <v>15772</v>
      </c>
      <c r="G135" s="626">
        <v>37475</v>
      </c>
      <c r="H135" s="166"/>
      <c r="I135" s="166">
        <f t="shared" si="44"/>
        <v>53247</v>
      </c>
      <c r="J135" s="167">
        <f>IF($I$213=0,0,I135/$I$213)</f>
        <v>8.7275312537717972E-3</v>
      </c>
      <c r="K135" s="458"/>
      <c r="L135" s="196"/>
      <c r="M135" s="196"/>
      <c r="N135" s="227"/>
      <c r="O135" s="329">
        <f>I135/I$233</f>
        <v>2.3256027253668763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'[47]Sch C'!D132</f>
        <v>0</v>
      </c>
      <c r="D136" s="480">
        <f>'[47]Sch C'!F132</f>
        <v>3074</v>
      </c>
      <c r="E136" s="480">
        <f>+'[47]Sch C'!H132</f>
        <v>0</v>
      </c>
      <c r="F136" s="166">
        <f t="shared" si="43"/>
        <v>3074</v>
      </c>
      <c r="G136" s="626">
        <v>8752</v>
      </c>
      <c r="H136" s="166"/>
      <c r="I136" s="166">
        <f t="shared" si="44"/>
        <v>11826</v>
      </c>
      <c r="J136" s="167">
        <f>IF($I$213=0,0,I136/$I$213)</f>
        <v>1.9383586794956575E-3</v>
      </c>
      <c r="K136" s="458"/>
      <c r="L136" s="163"/>
      <c r="M136" s="163"/>
      <c r="N136" s="227"/>
      <c r="O136" s="329">
        <f>I136/I$233</f>
        <v>0.51650943396226412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'[47]Sch C'!D133</f>
        <v>0</v>
      </c>
      <c r="D137" s="480">
        <f>'[47]Sch C'!F133</f>
        <v>0</v>
      </c>
      <c r="E137" s="480">
        <f>+'[47]Sch C'!H133</f>
        <v>0</v>
      </c>
      <c r="F137" s="166">
        <f t="shared" si="43"/>
        <v>0</v>
      </c>
      <c r="G137" s="626"/>
      <c r="H137" s="166"/>
      <c r="I137" s="166">
        <f t="shared" si="44"/>
        <v>0</v>
      </c>
      <c r="J137" s="167">
        <f>IF($I$213=0,0,I137/$I$213)</f>
        <v>0</v>
      </c>
      <c r="K137" s="458"/>
      <c r="L137" s="163"/>
      <c r="M137" s="163"/>
      <c r="N137" s="227"/>
      <c r="O137" s="329">
        <f>I137/I$233</f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'[47]Sch C'!D134</f>
        <v>0</v>
      </c>
      <c r="D138" s="480">
        <f>'[47]Sch C'!F134</f>
        <v>4021</v>
      </c>
      <c r="E138" s="480">
        <f>+'[47]Sch C'!H134</f>
        <v>0</v>
      </c>
      <c r="F138" s="166">
        <f t="shared" si="43"/>
        <v>4021</v>
      </c>
      <c r="G138" s="626">
        <v>11449</v>
      </c>
      <c r="H138" s="166"/>
      <c r="I138" s="166">
        <f t="shared" si="44"/>
        <v>15470</v>
      </c>
      <c r="J138" s="167">
        <f>IF($I$213=0,0,I138/$I$213)</f>
        <v>2.5356340919835802E-3</v>
      </c>
      <c r="K138" s="458"/>
      <c r="L138" s="163"/>
      <c r="M138" s="163"/>
      <c r="N138" s="227"/>
      <c r="O138" s="329">
        <f>I138/I$233</f>
        <v>0.67566387141858841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N139" s="227"/>
      <c r="O139" s="329"/>
      <c r="P139" s="324"/>
    </row>
    <row r="140" spans="1:16" s="162" customFormat="1">
      <c r="A140" s="164"/>
      <c r="B140" s="323" t="s">
        <v>686</v>
      </c>
      <c r="C140" s="480">
        <f>'[47]Sch C'!D136</f>
        <v>447160</v>
      </c>
      <c r="D140" s="480">
        <f>'[47]Sch C'!F136</f>
        <v>0</v>
      </c>
      <c r="E140" s="480">
        <f>+'[47]Sch C'!H136</f>
        <v>0</v>
      </c>
      <c r="F140" s="166">
        <f t="shared" ref="F140:F143" si="45">C140+D140+E140</f>
        <v>447160</v>
      </c>
      <c r="G140" s="626"/>
      <c r="H140" s="166"/>
      <c r="I140" s="166">
        <f t="shared" ref="I140:I143" si="46">F140+G140+H140</f>
        <v>447160</v>
      </c>
      <c r="J140" s="167">
        <f>IF($I$213=0,0,I140/$I$213)</f>
        <v>7.3292446061498248E-2</v>
      </c>
      <c r="K140" s="458"/>
      <c r="L140" s="176">
        <v>15761</v>
      </c>
      <c r="M140" s="176">
        <v>17002</v>
      </c>
      <c r="N140" s="227"/>
      <c r="O140" s="329">
        <f>I140/I$233</f>
        <v>19.53004891684137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'[47]Sch C'!D137</f>
        <v>240671</v>
      </c>
      <c r="D141" s="480">
        <f>'[47]Sch C'!F137</f>
        <v>0</v>
      </c>
      <c r="E141" s="480">
        <f>+'[47]Sch C'!H137</f>
        <v>0</v>
      </c>
      <c r="F141" s="166">
        <f t="shared" si="45"/>
        <v>240671</v>
      </c>
      <c r="G141" s="626"/>
      <c r="H141" s="166"/>
      <c r="I141" s="166">
        <f t="shared" si="46"/>
        <v>240671</v>
      </c>
      <c r="J141" s="167">
        <f>IF($I$213=0,0,I141/$I$213)</f>
        <v>3.9447549615499691E-2</v>
      </c>
      <c r="K141" s="458"/>
      <c r="L141" s="176">
        <v>9475</v>
      </c>
      <c r="M141" s="176">
        <v>10158</v>
      </c>
      <c r="N141" s="227"/>
      <c r="O141" s="329">
        <f>I141/I$233</f>
        <v>10.511486722571629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'[47]Sch C'!D138</f>
        <v>752107</v>
      </c>
      <c r="D142" s="480">
        <f>'[47]Sch C'!F138</f>
        <v>0</v>
      </c>
      <c r="E142" s="480">
        <f>+'[47]Sch C'!H138</f>
        <v>0</v>
      </c>
      <c r="F142" s="166">
        <f t="shared" si="45"/>
        <v>752107</v>
      </c>
      <c r="G142" s="626"/>
      <c r="H142" s="166"/>
      <c r="I142" s="166">
        <f t="shared" si="46"/>
        <v>752107</v>
      </c>
      <c r="J142" s="167">
        <f>IF($I$213=0,0,I142/$I$213)</f>
        <v>0.1232752521021005</v>
      </c>
      <c r="K142" s="458"/>
      <c r="L142" s="176">
        <v>52627</v>
      </c>
      <c r="M142" s="176">
        <v>55930</v>
      </c>
      <c r="N142" s="227"/>
      <c r="O142" s="329">
        <f>I142/I$233</f>
        <v>32.848838225017474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'[47]Sch C'!D139</f>
        <v>80596</v>
      </c>
      <c r="D143" s="480">
        <f>'[47]Sch C'!F139</f>
        <v>0</v>
      </c>
      <c r="E143" s="480">
        <f>+'[47]Sch C'!H139</f>
        <v>0</v>
      </c>
      <c r="F143" s="166">
        <f t="shared" si="45"/>
        <v>80596</v>
      </c>
      <c r="G143" s="626"/>
      <c r="H143" s="166"/>
      <c r="I143" s="166">
        <f t="shared" si="46"/>
        <v>80596</v>
      </c>
      <c r="J143" s="167">
        <f>IF($I$213=0,0,I143/$I$213)</f>
        <v>1.3210211071590733E-2</v>
      </c>
      <c r="K143" s="458"/>
      <c r="L143" s="176">
        <v>5484</v>
      </c>
      <c r="M143" s="176">
        <v>5780</v>
      </c>
      <c r="N143" s="227"/>
      <c r="O143" s="329">
        <f>I143/I$233</f>
        <v>3.5200908455625437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N144" s="227"/>
      <c r="O144" s="329"/>
      <c r="P144" s="324"/>
    </row>
    <row r="145" spans="1:16" s="162" customFormat="1">
      <c r="A145" s="164"/>
      <c r="B145" s="323" t="s">
        <v>681</v>
      </c>
      <c r="C145" s="480">
        <f>'[47]Sch C'!D141</f>
        <v>0</v>
      </c>
      <c r="D145" s="480">
        <f>'[47]Sch C'!F141</f>
        <v>24744</v>
      </c>
      <c r="E145" s="480">
        <f>+'[47]Sch C'!H141</f>
        <v>0</v>
      </c>
      <c r="F145" s="166">
        <f t="shared" ref="F145:F148" si="47">C145+D145+E145</f>
        <v>24744</v>
      </c>
      <c r="G145" s="626">
        <v>70448</v>
      </c>
      <c r="H145" s="166"/>
      <c r="I145" s="166">
        <f t="shared" ref="I145:I148" si="48">F145+G145+H145</f>
        <v>95192</v>
      </c>
      <c r="J145" s="167">
        <f>IF($I$213=0,0,I145/$I$213)</f>
        <v>1.5602590852236651E-2</v>
      </c>
      <c r="K145" s="458"/>
      <c r="L145" s="163"/>
      <c r="M145" s="163"/>
      <c r="N145" s="227"/>
      <c r="O145" s="329">
        <f>I145/I$233</f>
        <v>4.1575821104122994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'[47]Sch C'!D142</f>
        <v>0</v>
      </c>
      <c r="D146" s="480">
        <f>'[47]Sch C'!F142</f>
        <v>13318</v>
      </c>
      <c r="E146" s="480">
        <f>+'[47]Sch C'!H142</f>
        <v>0</v>
      </c>
      <c r="F146" s="166">
        <f t="shared" si="47"/>
        <v>13318</v>
      </c>
      <c r="G146" s="626">
        <v>37916</v>
      </c>
      <c r="H146" s="166"/>
      <c r="I146" s="166">
        <f t="shared" si="48"/>
        <v>51234</v>
      </c>
      <c r="J146" s="167">
        <f>IF($I$213=0,0,I146/$I$213)</f>
        <v>8.3975873993979797E-3</v>
      </c>
      <c r="K146" s="458"/>
      <c r="L146" s="163"/>
      <c r="M146" s="163"/>
      <c r="N146" s="227"/>
      <c r="O146" s="329">
        <f>I146/I$233</f>
        <v>2.2376834381551363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'[47]Sch C'!D143</f>
        <v>0</v>
      </c>
      <c r="D147" s="480">
        <f>'[47]Sch C'!F143</f>
        <v>41618</v>
      </c>
      <c r="E147" s="480">
        <f>+'[47]Sch C'!H143</f>
        <v>0</v>
      </c>
      <c r="F147" s="166">
        <f t="shared" si="47"/>
        <v>41618</v>
      </c>
      <c r="G147" s="626">
        <v>118491</v>
      </c>
      <c r="H147" s="166"/>
      <c r="I147" s="166">
        <f t="shared" si="48"/>
        <v>160109</v>
      </c>
      <c r="J147" s="167">
        <f>IF($I$213=0,0,I147/$I$213)</f>
        <v>2.6242911366089146E-2</v>
      </c>
      <c r="K147" s="458"/>
      <c r="L147" s="163"/>
      <c r="M147" s="163"/>
      <c r="N147" s="227"/>
      <c r="O147" s="329">
        <f>I147/I$233</f>
        <v>6.9928808525506643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'[47]Sch C'!D144</f>
        <v>297228</v>
      </c>
      <c r="D148" s="480">
        <f>'[47]Sch C'!F144</f>
        <v>4460</v>
      </c>
      <c r="E148" s="480">
        <f>+'[47]Sch C'!H144</f>
        <v>0</v>
      </c>
      <c r="F148" s="166">
        <f t="shared" si="47"/>
        <v>301688</v>
      </c>
      <c r="G148" s="626">
        <v>-284531</v>
      </c>
      <c r="H148" s="166"/>
      <c r="I148" s="166">
        <f t="shared" si="48"/>
        <v>17157</v>
      </c>
      <c r="J148" s="167">
        <f>IF($I$213=0,0,I148/$I$213)</f>
        <v>2.8121444160415184E-3</v>
      </c>
      <c r="K148" s="458"/>
      <c r="L148" s="163"/>
      <c r="M148" s="163"/>
      <c r="N148" s="227"/>
      <c r="O148" s="329">
        <f>I148/I$233</f>
        <v>0.74934486373165621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N149" s="227"/>
      <c r="O149" s="329"/>
      <c r="P149" s="324"/>
    </row>
    <row r="150" spans="1:16" s="162" customFormat="1">
      <c r="A150" s="164"/>
      <c r="B150" s="323" t="s">
        <v>694</v>
      </c>
      <c r="C150" s="480">
        <f>'[47]Sch C'!D146</f>
        <v>36800</v>
      </c>
      <c r="D150" s="480">
        <f>'[47]Sch C'!F146</f>
        <v>0</v>
      </c>
      <c r="E150" s="480">
        <f>+'[47]Sch C'!H146</f>
        <v>0</v>
      </c>
      <c r="F150" s="166">
        <f t="shared" ref="F150:F158" si="49">C150+D150+E150</f>
        <v>36800</v>
      </c>
      <c r="G150" s="626"/>
      <c r="H150" s="166"/>
      <c r="I150" s="166">
        <f t="shared" ref="I150:I158" si="50">F150+G150+H150</f>
        <v>36800</v>
      </c>
      <c r="J150" s="167">
        <f t="shared" ref="J150:J158" si="51">IF($I$213=0,0,I150/$I$213)</f>
        <v>6.0317604773752918E-3</v>
      </c>
      <c r="K150" s="458"/>
      <c r="L150" s="176">
        <v>240</v>
      </c>
      <c r="M150" s="176">
        <v>240</v>
      </c>
      <c r="N150" s="227"/>
      <c r="O150" s="329">
        <f t="shared" ref="O150:O158" si="52">I150/I$233</f>
        <v>1.6072676450034939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'[47]Sch C'!D147</f>
        <v>3819</v>
      </c>
      <c r="D151" s="480">
        <f>'[47]Sch C'!F147</f>
        <v>0</v>
      </c>
      <c r="E151" s="480">
        <f>+'[47]Sch C'!H147</f>
        <v>0</v>
      </c>
      <c r="F151" s="166">
        <f t="shared" si="49"/>
        <v>3819</v>
      </c>
      <c r="G151" s="626"/>
      <c r="H151" s="166"/>
      <c r="I151" s="166">
        <f t="shared" si="50"/>
        <v>3819</v>
      </c>
      <c r="J151" s="167">
        <f t="shared" si="51"/>
        <v>6.2595905606239782E-4</v>
      </c>
      <c r="K151" s="458"/>
      <c r="L151" s="176">
        <v>10</v>
      </c>
      <c r="M151" s="176">
        <v>10</v>
      </c>
      <c r="N151" s="227"/>
      <c r="O151" s="329">
        <f t="shared" si="52"/>
        <v>0.16679769392033544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'[47]Sch C'!D148</f>
        <v>0</v>
      </c>
      <c r="D152" s="480">
        <f>'[47]Sch C'!F148</f>
        <v>0</v>
      </c>
      <c r="E152" s="480">
        <f>+'[47]Sch C'!H148</f>
        <v>0</v>
      </c>
      <c r="F152" s="166">
        <f t="shared" si="49"/>
        <v>0</v>
      </c>
      <c r="G152" s="626"/>
      <c r="H152" s="166"/>
      <c r="I152" s="166">
        <f t="shared" si="50"/>
        <v>0</v>
      </c>
      <c r="J152" s="167">
        <f t="shared" si="51"/>
        <v>0</v>
      </c>
      <c r="K152" s="458"/>
      <c r="L152" s="176">
        <v>0</v>
      </c>
      <c r="M152" s="176">
        <v>0</v>
      </c>
      <c r="N152" s="227"/>
      <c r="O152" s="329">
        <f t="shared" si="52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'[47]Sch C'!D149</f>
        <v>0</v>
      </c>
      <c r="D153" s="480">
        <f>'[47]Sch C'!F149</f>
        <v>0</v>
      </c>
      <c r="E153" s="480">
        <f>+'[47]Sch C'!H149</f>
        <v>0</v>
      </c>
      <c r="F153" s="166">
        <f t="shared" si="49"/>
        <v>0</v>
      </c>
      <c r="G153" s="626"/>
      <c r="H153" s="166"/>
      <c r="I153" s="166">
        <f t="shared" si="50"/>
        <v>0</v>
      </c>
      <c r="J153" s="167">
        <f t="shared" si="51"/>
        <v>0</v>
      </c>
      <c r="K153" s="458"/>
      <c r="L153" s="176">
        <v>0</v>
      </c>
      <c r="M153" s="176">
        <v>0</v>
      </c>
      <c r="N153" s="227"/>
      <c r="O153" s="329">
        <f t="shared" si="52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'[47]Sch C'!D150</f>
        <v>18262</v>
      </c>
      <c r="D154" s="480">
        <f>'[47]Sch C'!F150</f>
        <v>0</v>
      </c>
      <c r="E154" s="480">
        <f>+'[47]Sch C'!H150</f>
        <v>0</v>
      </c>
      <c r="F154" s="166">
        <f t="shared" si="49"/>
        <v>18262</v>
      </c>
      <c r="G154" s="626">
        <v>-113</v>
      </c>
      <c r="H154" s="166"/>
      <c r="I154" s="166">
        <f t="shared" si="50"/>
        <v>18149</v>
      </c>
      <c r="J154" s="167">
        <f t="shared" si="51"/>
        <v>2.9747396984751129E-3</v>
      </c>
      <c r="K154" s="458"/>
      <c r="L154" s="176">
        <v>49</v>
      </c>
      <c r="M154" s="176">
        <v>49</v>
      </c>
      <c r="N154" s="227"/>
      <c r="O154" s="329">
        <f t="shared" si="52"/>
        <v>0.79267120894479381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'[47]Sch C'!D151</f>
        <v>92186</v>
      </c>
      <c r="D155" s="480">
        <f>'[47]Sch C'!F151</f>
        <v>3790</v>
      </c>
      <c r="E155" s="480">
        <f>+'[47]Sch C'!H151</f>
        <v>0</v>
      </c>
      <c r="F155" s="166">
        <f t="shared" si="49"/>
        <v>95976</v>
      </c>
      <c r="G155" s="626"/>
      <c r="H155" s="166"/>
      <c r="I155" s="166">
        <f t="shared" si="50"/>
        <v>95976</v>
      </c>
      <c r="J155" s="167">
        <f t="shared" si="51"/>
        <v>1.5731093575450297E-2</v>
      </c>
      <c r="K155" s="458"/>
      <c r="L155" s="163"/>
      <c r="M155" s="163"/>
      <c r="N155" s="227"/>
      <c r="O155" s="329">
        <f t="shared" si="52"/>
        <v>4.1918238993710695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'[47]Sch C'!D152</f>
        <v>8904</v>
      </c>
      <c r="D156" s="480">
        <f>'[47]Sch C'!F152</f>
        <v>0</v>
      </c>
      <c r="E156" s="480">
        <f>+'[47]Sch C'!H152</f>
        <v>0</v>
      </c>
      <c r="F156" s="166">
        <f t="shared" si="49"/>
        <v>8904</v>
      </c>
      <c r="G156" s="626"/>
      <c r="H156" s="166"/>
      <c r="I156" s="166">
        <f t="shared" si="50"/>
        <v>8904</v>
      </c>
      <c r="J156" s="167">
        <f t="shared" si="51"/>
        <v>1.4594237850692824E-3</v>
      </c>
      <c r="K156" s="458"/>
      <c r="L156" s="163"/>
      <c r="M156" s="163"/>
      <c r="N156" s="227"/>
      <c r="O156" s="329">
        <f t="shared" si="52"/>
        <v>0.3888888888888889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'[47]Sch C'!D153</f>
        <v>68</v>
      </c>
      <c r="D157" s="480">
        <f>'[47]Sch C'!F153</f>
        <v>0</v>
      </c>
      <c r="E157" s="480">
        <f>+'[47]Sch C'!H153</f>
        <v>0</v>
      </c>
      <c r="F157" s="166">
        <f t="shared" si="49"/>
        <v>68</v>
      </c>
      <c r="G157" s="626"/>
      <c r="H157" s="166"/>
      <c r="I157" s="166">
        <f t="shared" si="50"/>
        <v>68</v>
      </c>
      <c r="J157" s="167">
        <f t="shared" si="51"/>
        <v>1.1145644360367387E-5</v>
      </c>
      <c r="K157" s="458"/>
      <c r="L157" s="163"/>
      <c r="M157" s="163"/>
      <c r="N157" s="227"/>
      <c r="O157" s="329">
        <f t="shared" si="52"/>
        <v>2.9699510831586303E-3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'[47]Sch C'!D154</f>
        <v>0</v>
      </c>
      <c r="D158" s="480">
        <f>'[47]Sch C'!F154</f>
        <v>0</v>
      </c>
      <c r="E158" s="480">
        <f>+'[47]Sch C'!H154</f>
        <v>0</v>
      </c>
      <c r="F158" s="166">
        <f t="shared" si="49"/>
        <v>0</v>
      </c>
      <c r="G158" s="626"/>
      <c r="H158" s="166"/>
      <c r="I158" s="166">
        <f t="shared" si="50"/>
        <v>0</v>
      </c>
      <c r="J158" s="167">
        <f t="shared" si="51"/>
        <v>0</v>
      </c>
      <c r="K158" s="458"/>
      <c r="L158" s="163"/>
      <c r="M158" s="163"/>
      <c r="N158" s="227"/>
      <c r="O158" s="329">
        <f t="shared" si="52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N159" s="227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'[47]Sch C'!D156</f>
        <v>0</v>
      </c>
      <c r="D160" s="480">
        <f>'[47]Sch C'!F156</f>
        <v>0</v>
      </c>
      <c r="E160" s="480">
        <f>+'[47]Sch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N160" s="227"/>
      <c r="O160" s="329">
        <f t="shared" ref="O160:O166" si="56">I160/I$233</f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'[47]Sch C'!D157</f>
        <v>0</v>
      </c>
      <c r="D161" s="480">
        <f>'[47]Sch C'!F157</f>
        <v>0</v>
      </c>
      <c r="E161" s="480">
        <f>+'[47]Sch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N161" s="227"/>
      <c r="O161" s="329">
        <f t="shared" si="56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'[47]Sch C'!D158</f>
        <v>0</v>
      </c>
      <c r="D162" s="480">
        <f>'[47]Sch C'!F158</f>
        <v>0</v>
      </c>
      <c r="E162" s="480">
        <f>+'[47]Sch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N162" s="227"/>
      <c r="O162" s="329">
        <f t="shared" si="56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'[47]Sch C'!D159</f>
        <v>0</v>
      </c>
      <c r="D163" s="480">
        <f>'[47]Sch C'!F159</f>
        <v>0</v>
      </c>
      <c r="E163" s="480">
        <f>+'[47]Sch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N163" s="227"/>
      <c r="O163" s="329">
        <f t="shared" si="56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'[47]Sch C'!D160</f>
        <v>0</v>
      </c>
      <c r="D164" s="480">
        <f>'[47]Sch C'!F160</f>
        <v>0</v>
      </c>
      <c r="E164" s="480">
        <f>+'[47]Sch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N164" s="227"/>
      <c r="O164" s="329">
        <f t="shared" si="56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'[47]Sch C'!D161</f>
        <v>2233</v>
      </c>
      <c r="D165" s="480">
        <f>'[47]Sch C'!F161</f>
        <v>0</v>
      </c>
      <c r="E165" s="480">
        <f>+'[47]Sch C'!H161</f>
        <v>0</v>
      </c>
      <c r="F165" s="166">
        <f t="shared" si="53"/>
        <v>2233</v>
      </c>
      <c r="G165" s="626"/>
      <c r="H165" s="166"/>
      <c r="I165" s="166">
        <f t="shared" si="54"/>
        <v>2233</v>
      </c>
      <c r="J165" s="167">
        <f t="shared" si="55"/>
        <v>3.6600329201029962E-4</v>
      </c>
      <c r="K165" s="458"/>
      <c r="L165" s="163"/>
      <c r="M165" s="163"/>
      <c r="N165" s="227"/>
      <c r="O165" s="329">
        <f t="shared" si="56"/>
        <v>9.7527952480782665E-2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7">SUM(C128:C165)</f>
        <v>2299616</v>
      </c>
      <c r="D166" s="480">
        <f t="shared" si="57"/>
        <v>105614</v>
      </c>
      <c r="E166" s="480">
        <f t="shared" si="57"/>
        <v>51691</v>
      </c>
      <c r="F166" s="166">
        <f t="shared" ref="F166:I166" si="58">SUM(F128:F165)</f>
        <v>2456921</v>
      </c>
      <c r="G166" s="166">
        <f t="shared" si="58"/>
        <v>-113</v>
      </c>
      <c r="H166" s="166">
        <f t="shared" si="58"/>
        <v>0</v>
      </c>
      <c r="I166" s="166">
        <f t="shared" si="58"/>
        <v>2456808</v>
      </c>
      <c r="J166" s="167">
        <f t="shared" si="55"/>
        <v>0.4026868857309629</v>
      </c>
      <c r="K166" s="458"/>
      <c r="L166" s="163"/>
      <c r="M166" s="163"/>
      <c r="N166" s="227"/>
      <c r="O166" s="329">
        <f t="shared" si="56"/>
        <v>107.30293501048219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N167" s="227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N168" s="227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'[47]Sch C'!D175</f>
        <v>0</v>
      </c>
      <c r="D169" s="480">
        <f>'[47]Sch C'!F175</f>
        <v>0</v>
      </c>
      <c r="E169" s="480">
        <f>+'[47]Sch C'!H175</f>
        <v>0</v>
      </c>
      <c r="F169" s="166">
        <f t="shared" ref="F169:F201" si="59">C169+D169+E169</f>
        <v>0</v>
      </c>
      <c r="G169" s="626"/>
      <c r="H169" s="166"/>
      <c r="I169" s="166">
        <f t="shared" ref="I169:I201" si="60">F169+G169+H169</f>
        <v>0</v>
      </c>
      <c r="J169" s="167">
        <f t="shared" ref="J169:J201" si="61">IF($I$213=0,0,I169/$I$213)</f>
        <v>0</v>
      </c>
      <c r="K169" s="468"/>
      <c r="L169" s="176">
        <v>0</v>
      </c>
      <c r="M169" s="176">
        <v>0</v>
      </c>
      <c r="N169" s="516"/>
      <c r="O169" s="329">
        <f t="shared" ref="O169:O202" si="62"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'[47]Sch C'!D176</f>
        <v>0</v>
      </c>
      <c r="D170" s="480">
        <f>'[47]Sch C'!F176</f>
        <v>0</v>
      </c>
      <c r="E170" s="480">
        <f>+'[47]Sch C'!H176</f>
        <v>0</v>
      </c>
      <c r="F170" s="166">
        <f t="shared" si="59"/>
        <v>0</v>
      </c>
      <c r="G170" s="626"/>
      <c r="H170" s="166"/>
      <c r="I170" s="166">
        <f t="shared" si="60"/>
        <v>0</v>
      </c>
      <c r="J170" s="167">
        <f t="shared" si="61"/>
        <v>0</v>
      </c>
      <c r="K170" s="469"/>
      <c r="L170" s="212"/>
      <c r="M170" s="212"/>
      <c r="N170" s="516"/>
      <c r="O170" s="329">
        <f t="shared" si="62"/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'[47]Sch C'!D177</f>
        <v>353097</v>
      </c>
      <c r="D171" s="480">
        <f>'[47]Sch C'!F177</f>
        <v>0</v>
      </c>
      <c r="E171" s="480">
        <f>+'[47]Sch C'!H177</f>
        <v>0</v>
      </c>
      <c r="F171" s="166">
        <f t="shared" si="59"/>
        <v>353097</v>
      </c>
      <c r="G171" s="626"/>
      <c r="H171" s="166"/>
      <c r="I171" s="166">
        <f t="shared" si="60"/>
        <v>353097</v>
      </c>
      <c r="J171" s="167">
        <f t="shared" si="61"/>
        <v>5.7874905686950633E-2</v>
      </c>
      <c r="K171" s="468"/>
      <c r="L171" s="176">
        <v>9753</v>
      </c>
      <c r="M171" s="176">
        <v>10441</v>
      </c>
      <c r="N171" s="516"/>
      <c r="O171" s="329">
        <f t="shared" si="62"/>
        <v>15.421776729559749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'[47]Sch C'!D178</f>
        <v>55567</v>
      </c>
      <c r="D172" s="480">
        <f>'[47]Sch C'!F178</f>
        <v>19539</v>
      </c>
      <c r="E172" s="480">
        <f>+'[47]Sch C'!H178</f>
        <v>0</v>
      </c>
      <c r="F172" s="166">
        <f t="shared" si="59"/>
        <v>75106</v>
      </c>
      <c r="G172" s="626"/>
      <c r="H172" s="166"/>
      <c r="I172" s="166">
        <f t="shared" si="60"/>
        <v>75106</v>
      </c>
      <c r="J172" s="167">
        <f t="shared" si="61"/>
        <v>1.2310364196025778E-2</v>
      </c>
      <c r="K172" s="469"/>
      <c r="L172" s="212"/>
      <c r="M172" s="212"/>
      <c r="N172" s="516"/>
      <c r="O172" s="329">
        <f t="shared" si="62"/>
        <v>3.2803109713487073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'[47]Sch C'!D179</f>
        <v>54035</v>
      </c>
      <c r="D173" s="480">
        <f>'[47]Sch C'!F179</f>
        <v>0</v>
      </c>
      <c r="E173" s="480">
        <f>+'[47]Sch C'!H179</f>
        <v>0</v>
      </c>
      <c r="F173" s="166">
        <f t="shared" si="59"/>
        <v>54035</v>
      </c>
      <c r="G173" s="626"/>
      <c r="H173" s="166"/>
      <c r="I173" s="166">
        <f t="shared" si="60"/>
        <v>54035</v>
      </c>
      <c r="J173" s="167">
        <f t="shared" si="61"/>
        <v>8.8566896031242893E-3</v>
      </c>
      <c r="K173" s="468"/>
      <c r="L173" s="176">
        <v>1093</v>
      </c>
      <c r="M173" s="176">
        <v>1141</v>
      </c>
      <c r="N173" s="516"/>
      <c r="O173" s="329">
        <f t="shared" si="62"/>
        <v>2.3600192173305379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'[47]Sch C'!D180</f>
        <v>7868</v>
      </c>
      <c r="D174" s="480">
        <f>'[47]Sch C'!F180</f>
        <v>2990</v>
      </c>
      <c r="E174" s="480">
        <f>+'[47]Sch C'!H180</f>
        <v>0</v>
      </c>
      <c r="F174" s="166">
        <f t="shared" si="59"/>
        <v>10858</v>
      </c>
      <c r="G174" s="626"/>
      <c r="H174" s="166"/>
      <c r="I174" s="166">
        <f t="shared" si="60"/>
        <v>10858</v>
      </c>
      <c r="J174" s="167">
        <f t="shared" si="61"/>
        <v>1.7796971538951336E-3</v>
      </c>
      <c r="K174" s="469"/>
      <c r="L174" s="212"/>
      <c r="M174" s="212"/>
      <c r="N174" s="516"/>
      <c r="O174" s="329">
        <f t="shared" si="62"/>
        <v>0.47423130677847658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'[47]Sch C'!D181</f>
        <v>0</v>
      </c>
      <c r="D175" s="480">
        <f>'[47]Sch C'!F181</f>
        <v>0</v>
      </c>
      <c r="E175" s="480">
        <f>+'[47]Sch C'!H181</f>
        <v>0</v>
      </c>
      <c r="F175" s="166">
        <f t="shared" si="59"/>
        <v>0</v>
      </c>
      <c r="G175" s="626"/>
      <c r="H175" s="166"/>
      <c r="I175" s="166">
        <f t="shared" si="60"/>
        <v>0</v>
      </c>
      <c r="J175" s="167">
        <f t="shared" si="61"/>
        <v>0</v>
      </c>
      <c r="K175" s="468"/>
      <c r="L175" s="176">
        <v>0</v>
      </c>
      <c r="M175" s="176">
        <v>0</v>
      </c>
      <c r="N175" s="516"/>
      <c r="O175" s="329">
        <f t="shared" si="62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'[47]Sch C'!D182</f>
        <v>0</v>
      </c>
      <c r="D176" s="480">
        <f>'[47]Sch C'!F182</f>
        <v>0</v>
      </c>
      <c r="E176" s="480">
        <f>+'[47]Sch C'!H182</f>
        <v>0</v>
      </c>
      <c r="F176" s="166">
        <f t="shared" si="59"/>
        <v>0</v>
      </c>
      <c r="G176" s="626"/>
      <c r="H176" s="166"/>
      <c r="I176" s="166">
        <f t="shared" si="60"/>
        <v>0</v>
      </c>
      <c r="J176" s="167">
        <f t="shared" si="61"/>
        <v>0</v>
      </c>
      <c r="K176" s="469"/>
      <c r="L176" s="212"/>
      <c r="M176" s="212"/>
      <c r="N176" s="516"/>
      <c r="O176" s="329">
        <f t="shared" si="62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'[47]Sch C'!D183</f>
        <v>143489</v>
      </c>
      <c r="D177" s="480">
        <f>'[47]Sch C'!F183</f>
        <v>0</v>
      </c>
      <c r="E177" s="480">
        <f>+'[47]Sch C'!H183</f>
        <v>0</v>
      </c>
      <c r="F177" s="166">
        <f t="shared" si="59"/>
        <v>143489</v>
      </c>
      <c r="G177" s="626"/>
      <c r="H177" s="166"/>
      <c r="I177" s="166">
        <f t="shared" si="60"/>
        <v>143489</v>
      </c>
      <c r="J177" s="167">
        <f t="shared" si="61"/>
        <v>2.3518784759187585E-2</v>
      </c>
      <c r="K177" s="468"/>
      <c r="L177" s="176">
        <v>4469</v>
      </c>
      <c r="M177" s="176">
        <v>4876</v>
      </c>
      <c r="N177" s="516"/>
      <c r="O177" s="329">
        <f t="shared" si="62"/>
        <v>6.2669898672257167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'[47]Sch C'!D184</f>
        <v>25551</v>
      </c>
      <c r="D178" s="480">
        <f>'[47]Sch C'!F184</f>
        <v>7940</v>
      </c>
      <c r="E178" s="480">
        <f>+'[47]Sch C'!H184</f>
        <v>0</v>
      </c>
      <c r="F178" s="166">
        <f t="shared" si="59"/>
        <v>33491</v>
      </c>
      <c r="G178" s="626"/>
      <c r="H178" s="166"/>
      <c r="I178" s="166">
        <f t="shared" si="60"/>
        <v>33491</v>
      </c>
      <c r="J178" s="167">
        <f t="shared" si="61"/>
        <v>5.4893937540156489E-3</v>
      </c>
      <c r="K178" s="469"/>
      <c r="L178" s="212"/>
      <c r="M178" s="212"/>
      <c r="N178" s="516"/>
      <c r="O178" s="329">
        <f t="shared" si="62"/>
        <v>1.4627445842068483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'[47]Sch C'!D185</f>
        <v>0</v>
      </c>
      <c r="D179" s="480">
        <f>'[47]Sch C'!F185</f>
        <v>0</v>
      </c>
      <c r="E179" s="480">
        <f>+'[47]Sch C'!H185</f>
        <v>0</v>
      </c>
      <c r="F179" s="166">
        <f t="shared" si="59"/>
        <v>0</v>
      </c>
      <c r="G179" s="626"/>
      <c r="H179" s="166"/>
      <c r="I179" s="166">
        <f t="shared" si="60"/>
        <v>0</v>
      </c>
      <c r="J179" s="167">
        <f t="shared" si="61"/>
        <v>0</v>
      </c>
      <c r="K179" s="468"/>
      <c r="L179" s="176">
        <v>0</v>
      </c>
      <c r="M179" s="176">
        <v>0</v>
      </c>
      <c r="N179" s="516"/>
      <c r="O179" s="329">
        <f t="shared" si="62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'[47]Sch C'!D186</f>
        <v>0</v>
      </c>
      <c r="D180" s="480">
        <f>'[47]Sch C'!F186</f>
        <v>0</v>
      </c>
      <c r="E180" s="480">
        <f>+'[47]Sch C'!H186</f>
        <v>0</v>
      </c>
      <c r="F180" s="166">
        <f t="shared" si="59"/>
        <v>0</v>
      </c>
      <c r="G180" s="626"/>
      <c r="H180" s="166"/>
      <c r="I180" s="166">
        <f t="shared" si="60"/>
        <v>0</v>
      </c>
      <c r="J180" s="167">
        <f t="shared" si="61"/>
        <v>0</v>
      </c>
      <c r="K180" s="458"/>
      <c r="L180" s="213"/>
      <c r="M180" s="208"/>
      <c r="N180" s="517"/>
      <c r="O180" s="329">
        <f t="shared" si="62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'[47]Sch C'!D187</f>
        <v>0</v>
      </c>
      <c r="D181" s="480">
        <f>'[47]Sch C'!F187</f>
        <v>0</v>
      </c>
      <c r="E181" s="480">
        <f>+'[47]Sch C'!H187</f>
        <v>0</v>
      </c>
      <c r="F181" s="166">
        <f t="shared" si="59"/>
        <v>0</v>
      </c>
      <c r="G181" s="626"/>
      <c r="H181" s="166"/>
      <c r="I181" s="166">
        <f t="shared" si="60"/>
        <v>0</v>
      </c>
      <c r="J181" s="167">
        <f t="shared" si="61"/>
        <v>0</v>
      </c>
      <c r="K181" s="458"/>
      <c r="L181" s="213"/>
      <c r="M181" s="208"/>
      <c r="N181" s="517"/>
      <c r="O181" s="329">
        <f t="shared" si="62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'[47]Sch C'!D188</f>
        <v>2399</v>
      </c>
      <c r="D182" s="480">
        <f>'[47]Sch C'!F188</f>
        <v>0</v>
      </c>
      <c r="E182" s="480">
        <f>+'[47]Sch C'!H188</f>
        <v>0</v>
      </c>
      <c r="F182" s="166">
        <f t="shared" si="59"/>
        <v>2399</v>
      </c>
      <c r="G182" s="626"/>
      <c r="H182" s="166"/>
      <c r="I182" s="166">
        <f t="shared" si="60"/>
        <v>2399</v>
      </c>
      <c r="J182" s="167">
        <f t="shared" si="61"/>
        <v>3.9321177677237296E-4</v>
      </c>
      <c r="K182" s="458"/>
      <c r="L182" s="213"/>
      <c r="M182" s="208"/>
      <c r="N182" s="517"/>
      <c r="O182" s="329">
        <f t="shared" si="62"/>
        <v>0.10477812718378757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'[47]Sch C'!D189</f>
        <v>0</v>
      </c>
      <c r="D183" s="480">
        <f>'[47]Sch C'!F189</f>
        <v>0</v>
      </c>
      <c r="E183" s="480">
        <f>+'[47]Sch C'!H189</f>
        <v>0</v>
      </c>
      <c r="F183" s="166">
        <f t="shared" si="59"/>
        <v>0</v>
      </c>
      <c r="G183" s="626"/>
      <c r="H183" s="166"/>
      <c r="I183" s="166">
        <f t="shared" si="60"/>
        <v>0</v>
      </c>
      <c r="J183" s="167">
        <f t="shared" si="61"/>
        <v>0</v>
      </c>
      <c r="K183" s="458"/>
      <c r="L183" s="213"/>
      <c r="M183" s="208"/>
      <c r="N183" s="517"/>
      <c r="O183" s="329">
        <f t="shared" si="62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'[47]Sch C'!D190</f>
        <v>0</v>
      </c>
      <c r="D184" s="480">
        <f>'[47]Sch C'!F190</f>
        <v>0</v>
      </c>
      <c r="E184" s="480">
        <f>+'[47]Sch C'!H190</f>
        <v>0</v>
      </c>
      <c r="F184" s="166">
        <f t="shared" si="59"/>
        <v>0</v>
      </c>
      <c r="G184" s="626"/>
      <c r="H184" s="166"/>
      <c r="I184" s="166">
        <f t="shared" si="60"/>
        <v>0</v>
      </c>
      <c r="J184" s="167">
        <f t="shared" si="61"/>
        <v>0</v>
      </c>
      <c r="K184" s="458"/>
      <c r="L184" s="213"/>
      <c r="M184" s="208"/>
      <c r="N184" s="517"/>
      <c r="O184" s="329">
        <f t="shared" si="62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'[47]Sch C'!D191</f>
        <v>334</v>
      </c>
      <c r="D185" s="480">
        <f>'[47]Sch C'!F191</f>
        <v>0</v>
      </c>
      <c r="E185" s="480">
        <f>+'[47]Sch C'!H191</f>
        <v>0</v>
      </c>
      <c r="F185" s="166">
        <f t="shared" si="59"/>
        <v>334</v>
      </c>
      <c r="G185" s="626"/>
      <c r="H185" s="166"/>
      <c r="I185" s="166">
        <f t="shared" si="60"/>
        <v>334</v>
      </c>
      <c r="J185" s="167">
        <f t="shared" si="61"/>
        <v>5.4744782593569223E-5</v>
      </c>
      <c r="K185" s="458"/>
      <c r="L185" s="213"/>
      <c r="M185" s="208"/>
      <c r="N185" s="517"/>
      <c r="O185" s="329">
        <f t="shared" si="62"/>
        <v>1.4587700908455625E-2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'[47]Sch C'!D192</f>
        <v>0</v>
      </c>
      <c r="D186" s="480">
        <f>'[47]Sch C'!F192</f>
        <v>0</v>
      </c>
      <c r="E186" s="480">
        <f>+'[47]Sch C'!H192</f>
        <v>0</v>
      </c>
      <c r="F186" s="166">
        <f t="shared" si="59"/>
        <v>0</v>
      </c>
      <c r="G186" s="626"/>
      <c r="H186" s="166"/>
      <c r="I186" s="166">
        <f t="shared" si="60"/>
        <v>0</v>
      </c>
      <c r="J186" s="167">
        <f t="shared" si="61"/>
        <v>0</v>
      </c>
      <c r="K186" s="458"/>
      <c r="L186" s="213"/>
      <c r="M186" s="208"/>
      <c r="N186" s="517"/>
      <c r="O186" s="329">
        <f t="shared" si="62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'[47]Sch C'!D193</f>
        <v>0</v>
      </c>
      <c r="D187" s="480">
        <f>'[47]Sch C'!F193</f>
        <v>0</v>
      </c>
      <c r="E187" s="480">
        <f>+'[47]Sch C'!H193</f>
        <v>0</v>
      </c>
      <c r="F187" s="166">
        <f t="shared" si="59"/>
        <v>0</v>
      </c>
      <c r="G187" s="626"/>
      <c r="H187" s="166"/>
      <c r="I187" s="166">
        <f t="shared" si="60"/>
        <v>0</v>
      </c>
      <c r="J187" s="167">
        <f t="shared" si="61"/>
        <v>0</v>
      </c>
      <c r="K187" s="458"/>
      <c r="L187" s="213"/>
      <c r="M187" s="208"/>
      <c r="N187" s="517"/>
      <c r="O187" s="329">
        <f t="shared" si="62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'[47]Sch C'!D194</f>
        <v>0</v>
      </c>
      <c r="D188" s="480">
        <f>'[47]Sch C'!F194</f>
        <v>0</v>
      </c>
      <c r="E188" s="480">
        <f>+'[47]Sch C'!H194</f>
        <v>0</v>
      </c>
      <c r="F188" s="166">
        <f t="shared" si="59"/>
        <v>0</v>
      </c>
      <c r="G188" s="626"/>
      <c r="H188" s="166"/>
      <c r="I188" s="166">
        <f t="shared" si="60"/>
        <v>0</v>
      </c>
      <c r="J188" s="167">
        <f t="shared" si="61"/>
        <v>0</v>
      </c>
      <c r="K188" s="458"/>
      <c r="L188" s="213"/>
      <c r="M188" s="208"/>
      <c r="N188" s="518"/>
      <c r="O188" s="329">
        <f t="shared" si="62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'[47]Sch C'!D195</f>
        <v>2947</v>
      </c>
      <c r="D189" s="480">
        <f>'[47]Sch C'!F195</f>
        <v>0</v>
      </c>
      <c r="E189" s="480">
        <f>+'[47]Sch C'!H195</f>
        <v>0</v>
      </c>
      <c r="F189" s="166">
        <f t="shared" si="59"/>
        <v>2947</v>
      </c>
      <c r="G189" s="626"/>
      <c r="H189" s="166"/>
      <c r="I189" s="166">
        <f t="shared" si="60"/>
        <v>2947</v>
      </c>
      <c r="J189" s="167">
        <f t="shared" si="61"/>
        <v>4.8303255779415716E-4</v>
      </c>
      <c r="K189" s="458"/>
      <c r="L189" s="213"/>
      <c r="M189" s="208"/>
      <c r="N189" s="518"/>
      <c r="O189" s="329">
        <f t="shared" si="62"/>
        <v>0.12871243885394829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'[47]Sch C'!D196</f>
        <v>0</v>
      </c>
      <c r="D190" s="480">
        <f>'[47]Sch C'!F196</f>
        <v>0</v>
      </c>
      <c r="E190" s="480">
        <f>+'[47]Sch C'!H196</f>
        <v>0</v>
      </c>
      <c r="F190" s="166">
        <f t="shared" si="59"/>
        <v>0</v>
      </c>
      <c r="G190" s="626"/>
      <c r="H190" s="166"/>
      <c r="I190" s="166">
        <f t="shared" si="60"/>
        <v>0</v>
      </c>
      <c r="J190" s="167">
        <f t="shared" si="61"/>
        <v>0</v>
      </c>
      <c r="K190" s="458"/>
      <c r="L190" s="213"/>
      <c r="M190" s="208"/>
      <c r="N190" s="518"/>
      <c r="O190" s="329">
        <f t="shared" si="62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'[47]Sch C'!D197</f>
        <v>0</v>
      </c>
      <c r="D191" s="480">
        <f>'[47]Sch C'!F197</f>
        <v>0</v>
      </c>
      <c r="E191" s="480">
        <f>+'[47]Sch C'!H197</f>
        <v>0</v>
      </c>
      <c r="F191" s="166">
        <f t="shared" si="59"/>
        <v>0</v>
      </c>
      <c r="G191" s="626"/>
      <c r="H191" s="166"/>
      <c r="I191" s="166">
        <f t="shared" si="60"/>
        <v>0</v>
      </c>
      <c r="J191" s="167">
        <f t="shared" si="61"/>
        <v>0</v>
      </c>
      <c r="K191" s="458"/>
      <c r="L191" s="213"/>
      <c r="M191" s="208"/>
      <c r="N191" s="518"/>
      <c r="O191" s="329">
        <f t="shared" si="62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'[47]Sch C'!D198</f>
        <v>59764</v>
      </c>
      <c r="D192" s="480">
        <f>'[47]Sch C'!F198</f>
        <v>0</v>
      </c>
      <c r="E192" s="480">
        <f>+'[47]Sch C'!H198</f>
        <v>0</v>
      </c>
      <c r="F192" s="166">
        <f t="shared" si="59"/>
        <v>59764</v>
      </c>
      <c r="G192" s="626"/>
      <c r="H192" s="166"/>
      <c r="I192" s="166">
        <f t="shared" si="60"/>
        <v>59764</v>
      </c>
      <c r="J192" s="167">
        <f t="shared" si="61"/>
        <v>9.7957101404852424E-3</v>
      </c>
      <c r="K192" s="458"/>
      <c r="L192" s="213"/>
      <c r="M192" s="208"/>
      <c r="N192" s="518"/>
      <c r="O192" s="329">
        <f t="shared" si="62"/>
        <v>2.6102375960866526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'[47]Sch C'!D199</f>
        <v>0</v>
      </c>
      <c r="D193" s="480">
        <f>'[47]Sch C'!F199</f>
        <v>0</v>
      </c>
      <c r="E193" s="480">
        <f>+'[47]Sch C'!H199</f>
        <v>0</v>
      </c>
      <c r="F193" s="166">
        <f t="shared" si="59"/>
        <v>0</v>
      </c>
      <c r="G193" s="626"/>
      <c r="H193" s="166"/>
      <c r="I193" s="166">
        <f t="shared" si="60"/>
        <v>0</v>
      </c>
      <c r="J193" s="167">
        <f t="shared" si="61"/>
        <v>0</v>
      </c>
      <c r="K193" s="458"/>
      <c r="L193" s="213"/>
      <c r="M193" s="208"/>
      <c r="N193" s="518"/>
      <c r="O193" s="329">
        <f t="shared" si="62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'[47]Sch C'!D200</f>
        <v>0</v>
      </c>
      <c r="D194" s="480">
        <f>'[47]Sch C'!F200</f>
        <v>0</v>
      </c>
      <c r="E194" s="480">
        <f>+'[47]Sch C'!H200</f>
        <v>0</v>
      </c>
      <c r="F194" s="166">
        <f t="shared" si="59"/>
        <v>0</v>
      </c>
      <c r="G194" s="626">
        <v>2000</v>
      </c>
      <c r="H194" s="166"/>
      <c r="I194" s="166">
        <f t="shared" si="60"/>
        <v>2000</v>
      </c>
      <c r="J194" s="167">
        <f t="shared" si="61"/>
        <v>3.2781306942257016E-4</v>
      </c>
      <c r="K194" s="458"/>
      <c r="L194" s="213"/>
      <c r="M194" s="208"/>
      <c r="N194" s="518"/>
      <c r="O194" s="329">
        <f t="shared" si="62"/>
        <v>8.7351502445842069E-2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'[47]Sch C'!D201</f>
        <v>0</v>
      </c>
      <c r="D195" s="480">
        <f>'[47]Sch C'!F201</f>
        <v>0</v>
      </c>
      <c r="E195" s="480">
        <f>+'[47]Sch C'!H201</f>
        <v>0</v>
      </c>
      <c r="F195" s="166">
        <f t="shared" si="59"/>
        <v>0</v>
      </c>
      <c r="G195" s="626"/>
      <c r="H195" s="166"/>
      <c r="I195" s="166">
        <f t="shared" si="60"/>
        <v>0</v>
      </c>
      <c r="J195" s="167">
        <f t="shared" si="61"/>
        <v>0</v>
      </c>
      <c r="K195" s="458"/>
      <c r="L195" s="213"/>
      <c r="M195" s="208"/>
      <c r="N195" s="518"/>
      <c r="O195" s="329">
        <f t="shared" si="62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'[47]Sch C'!D202</f>
        <v>0</v>
      </c>
      <c r="D196" s="480">
        <f>'[47]Sch C'!F202</f>
        <v>0</v>
      </c>
      <c r="E196" s="480">
        <f>+'[47]Sch C'!H202</f>
        <v>0</v>
      </c>
      <c r="F196" s="166">
        <f t="shared" si="59"/>
        <v>0</v>
      </c>
      <c r="G196" s="626">
        <v>900</v>
      </c>
      <c r="H196" s="166"/>
      <c r="I196" s="166">
        <f t="shared" si="60"/>
        <v>900</v>
      </c>
      <c r="J196" s="167">
        <f t="shared" si="61"/>
        <v>1.4751588124015658E-4</v>
      </c>
      <c r="K196" s="458"/>
      <c r="L196" s="213"/>
      <c r="M196" s="208"/>
      <c r="N196" s="518"/>
      <c r="O196" s="329">
        <f t="shared" si="62"/>
        <v>3.9308176100628929E-2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'[47]Sch C'!D203</f>
        <v>0</v>
      </c>
      <c r="D197" s="480">
        <f>'[47]Sch C'!F203</f>
        <v>0</v>
      </c>
      <c r="E197" s="480">
        <f>+'[47]Sch C'!H203</f>
        <v>0</v>
      </c>
      <c r="F197" s="166">
        <f t="shared" si="59"/>
        <v>0</v>
      </c>
      <c r="G197" s="626"/>
      <c r="H197" s="166"/>
      <c r="I197" s="166">
        <f t="shared" si="60"/>
        <v>0</v>
      </c>
      <c r="J197" s="167">
        <f t="shared" si="61"/>
        <v>0</v>
      </c>
      <c r="K197" s="458"/>
      <c r="L197" s="213"/>
      <c r="M197" s="208"/>
      <c r="N197" s="518"/>
      <c r="O197" s="329">
        <f t="shared" si="62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'[47]Sch C'!D204</f>
        <v>0</v>
      </c>
      <c r="D198" s="480">
        <f>'[47]Sch C'!F204</f>
        <v>0</v>
      </c>
      <c r="E198" s="480">
        <f>+'[47]Sch C'!H204</f>
        <v>0</v>
      </c>
      <c r="F198" s="166">
        <f t="shared" si="59"/>
        <v>0</v>
      </c>
      <c r="G198" s="626"/>
      <c r="H198" s="166"/>
      <c r="I198" s="166">
        <f t="shared" si="60"/>
        <v>0</v>
      </c>
      <c r="J198" s="167">
        <f t="shared" si="61"/>
        <v>0</v>
      </c>
      <c r="K198" s="458"/>
      <c r="L198" s="213"/>
      <c r="M198" s="208"/>
      <c r="N198" s="518"/>
      <c r="O198" s="329">
        <f t="shared" si="62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'[47]Sch C'!D205</f>
        <v>216566</v>
      </c>
      <c r="D199" s="480">
        <f>'[47]Sch C'!F205</f>
        <v>-3</v>
      </c>
      <c r="E199" s="480">
        <f>+'[47]Sch C'!H205</f>
        <v>0</v>
      </c>
      <c r="F199" s="166">
        <f t="shared" si="59"/>
        <v>216563</v>
      </c>
      <c r="G199" s="626"/>
      <c r="H199" s="166"/>
      <c r="I199" s="166">
        <f t="shared" si="60"/>
        <v>216563</v>
      </c>
      <c r="J199" s="167">
        <f t="shared" si="61"/>
        <v>3.5496090876680035E-2</v>
      </c>
      <c r="K199" s="458"/>
      <c r="L199" s="213"/>
      <c r="M199" s="208"/>
      <c r="N199" s="518"/>
      <c r="O199" s="329">
        <f t="shared" si="62"/>
        <v>9.4585517120894487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'[47]Sch C'!D206</f>
        <v>6906</v>
      </c>
      <c r="D200" s="480">
        <f>'[47]Sch C'!F206</f>
        <v>0</v>
      </c>
      <c r="E200" s="480">
        <f>+'[47]Sch C'!H206</f>
        <v>0</v>
      </c>
      <c r="F200" s="166">
        <f t="shared" si="59"/>
        <v>6906</v>
      </c>
      <c r="G200" s="626"/>
      <c r="H200" s="166"/>
      <c r="I200" s="166">
        <f t="shared" si="60"/>
        <v>6906</v>
      </c>
      <c r="J200" s="167">
        <f t="shared" si="61"/>
        <v>1.1319385287161348E-3</v>
      </c>
      <c r="K200" s="458"/>
      <c r="L200" s="213"/>
      <c r="M200" s="208"/>
      <c r="N200" s="518"/>
      <c r="O200" s="329">
        <f t="shared" si="62"/>
        <v>0.30162473794549266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'[47]Sch C'!D207</f>
        <v>13038</v>
      </c>
      <c r="D201" s="480">
        <f>'[47]Sch C'!F207</f>
        <v>0</v>
      </c>
      <c r="E201" s="480">
        <f>+'[47]Sch C'!H207</f>
        <v>-1082</v>
      </c>
      <c r="F201" s="166">
        <f t="shared" si="59"/>
        <v>11956</v>
      </c>
      <c r="G201" s="626"/>
      <c r="H201" s="166"/>
      <c r="I201" s="166">
        <f t="shared" si="60"/>
        <v>11956</v>
      </c>
      <c r="J201" s="167">
        <f t="shared" si="61"/>
        <v>1.9596665290081247E-3</v>
      </c>
      <c r="K201" s="458"/>
      <c r="L201" s="213"/>
      <c r="M201" s="208"/>
      <c r="N201" s="518"/>
      <c r="O201" s="329">
        <f t="shared" si="62"/>
        <v>0.52218728162124384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3">SUM(C169:C201)</f>
        <v>941561</v>
      </c>
      <c r="D202" s="480">
        <f t="shared" si="63"/>
        <v>30466</v>
      </c>
      <c r="E202" s="480">
        <f t="shared" si="63"/>
        <v>-1082</v>
      </c>
      <c r="F202" s="166">
        <f t="shared" ref="F202:I202" si="64">SUM(F169:F201)</f>
        <v>970945</v>
      </c>
      <c r="G202" s="166">
        <f t="shared" si="64"/>
        <v>2900</v>
      </c>
      <c r="H202" s="166">
        <f t="shared" si="64"/>
        <v>0</v>
      </c>
      <c r="I202" s="166">
        <f t="shared" si="64"/>
        <v>973845</v>
      </c>
      <c r="J202" s="167">
        <f>IF($I$213=0,0,I202/$I$213)</f>
        <v>0.15961955929591143</v>
      </c>
      <c r="K202" s="458"/>
      <c r="L202" s="163"/>
      <c r="M202" s="163"/>
      <c r="N202" s="227"/>
      <c r="O202" s="329">
        <f t="shared" si="62"/>
        <v>42.533411949685537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N203" s="227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N204" s="227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'[47]Sch C'!D211</f>
        <v>200997</v>
      </c>
      <c r="D205" s="480">
        <f>'[47]Sch C'!F211</f>
        <v>0</v>
      </c>
      <c r="E205" s="480">
        <f>+'[47]Sch C'!H211</f>
        <v>0</v>
      </c>
      <c r="F205" s="166">
        <f t="shared" ref="F205:F210" si="65">C205+D205+E205</f>
        <v>200997</v>
      </c>
      <c r="G205" s="626"/>
      <c r="H205" s="166"/>
      <c r="I205" s="166">
        <f t="shared" ref="I205:I210" si="66">F205+G205+H205</f>
        <v>200997</v>
      </c>
      <c r="J205" s="167">
        <f t="shared" ref="J205:J211" si="67">IF($I$213=0,0,I205/$I$213)</f>
        <v>3.2944721757364168E-2</v>
      </c>
      <c r="K205" s="458"/>
      <c r="L205" s="176">
        <v>10250</v>
      </c>
      <c r="M205" s="176">
        <v>10824</v>
      </c>
      <c r="N205" s="227"/>
      <c r="O205" s="329">
        <f t="shared" ref="O205:O211" si="68">I205/I$233</f>
        <v>8.7786949685534594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'[47]Sch C'!D212</f>
        <v>29611</v>
      </c>
      <c r="D206" s="480">
        <f>'[47]Sch C'!F212</f>
        <v>11122</v>
      </c>
      <c r="E206" s="480">
        <f>+'[47]Sch C'!H212</f>
        <v>0</v>
      </c>
      <c r="F206" s="166">
        <f t="shared" si="65"/>
        <v>40733</v>
      </c>
      <c r="G206" s="626"/>
      <c r="H206" s="166"/>
      <c r="I206" s="166">
        <f t="shared" si="66"/>
        <v>40733</v>
      </c>
      <c r="J206" s="167">
        <f t="shared" si="67"/>
        <v>6.6764048783947757E-3</v>
      </c>
      <c r="K206" s="458"/>
      <c r="L206" s="163"/>
      <c r="M206" s="163"/>
      <c r="N206" s="227"/>
      <c r="O206" s="329">
        <f t="shared" si="68"/>
        <v>1.7790443745632425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'[47]Sch C'!D213</f>
        <v>10225</v>
      </c>
      <c r="D207" s="480">
        <f>'[47]Sch C'!F213</f>
        <v>0</v>
      </c>
      <c r="E207" s="480">
        <f>+'[47]Sch C'!H213</f>
        <v>0</v>
      </c>
      <c r="F207" s="166">
        <f t="shared" si="65"/>
        <v>10225</v>
      </c>
      <c r="G207" s="626"/>
      <c r="H207" s="166"/>
      <c r="I207" s="166">
        <f t="shared" si="66"/>
        <v>10225</v>
      </c>
      <c r="J207" s="167">
        <f t="shared" si="67"/>
        <v>1.67594431742289E-3</v>
      </c>
      <c r="K207" s="458"/>
      <c r="L207" s="163"/>
      <c r="M207" s="163"/>
      <c r="N207" s="227"/>
      <c r="O207" s="329">
        <f t="shared" si="68"/>
        <v>0.44658455625436755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'[47]Sch C'!D214</f>
        <v>0</v>
      </c>
      <c r="D208" s="480">
        <f>'[47]Sch C'!F214</f>
        <v>0</v>
      </c>
      <c r="E208" s="480">
        <f>+'[47]Sch C'!H214</f>
        <v>0</v>
      </c>
      <c r="F208" s="166">
        <f t="shared" si="65"/>
        <v>0</v>
      </c>
      <c r="G208" s="626"/>
      <c r="H208" s="166"/>
      <c r="I208" s="166">
        <f t="shared" si="66"/>
        <v>0</v>
      </c>
      <c r="J208" s="167">
        <f t="shared" si="67"/>
        <v>0</v>
      </c>
      <c r="K208" s="458"/>
      <c r="L208" s="163"/>
      <c r="M208" s="163"/>
      <c r="N208" s="227"/>
      <c r="O208" s="329">
        <f t="shared" si="68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'[47]Sch C'!D215</f>
        <v>0</v>
      </c>
      <c r="D209" s="480">
        <f>'[47]Sch C'!F215</f>
        <v>0</v>
      </c>
      <c r="E209" s="480">
        <f>+'[47]Sch C'!H215</f>
        <v>0</v>
      </c>
      <c r="F209" s="166">
        <f t="shared" si="65"/>
        <v>0</v>
      </c>
      <c r="G209" s="626"/>
      <c r="H209" s="166"/>
      <c r="I209" s="166">
        <f t="shared" si="66"/>
        <v>0</v>
      </c>
      <c r="J209" s="167">
        <f t="shared" si="67"/>
        <v>0</v>
      </c>
      <c r="K209" s="458"/>
      <c r="L209" s="163"/>
      <c r="M209" s="163"/>
      <c r="N209" s="227"/>
      <c r="O209" s="329">
        <f t="shared" si="68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'[47]Sch C'!D216</f>
        <v>24975</v>
      </c>
      <c r="D210" s="480">
        <f>'[47]Sch C'!F216</f>
        <v>0</v>
      </c>
      <c r="E210" s="480">
        <f>+'[47]Sch C'!H216</f>
        <v>-8</v>
      </c>
      <c r="F210" s="166">
        <f t="shared" si="65"/>
        <v>24967</v>
      </c>
      <c r="G210" s="626">
        <f>-900-2000-10362</f>
        <v>-13262</v>
      </c>
      <c r="H210" s="166"/>
      <c r="I210" s="166">
        <f t="shared" si="66"/>
        <v>11705</v>
      </c>
      <c r="J210" s="167">
        <f t="shared" si="67"/>
        <v>1.918525988795592E-3</v>
      </c>
      <c r="K210" s="458"/>
      <c r="L210" s="163"/>
      <c r="M210" s="163"/>
      <c r="N210" s="227"/>
      <c r="O210" s="329">
        <f t="shared" si="68"/>
        <v>0.51122466806429068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9">SUM(C205:C210)</f>
        <v>265808</v>
      </c>
      <c r="D211" s="480">
        <f t="shared" si="69"/>
        <v>11122</v>
      </c>
      <c r="E211" s="480">
        <f t="shared" si="69"/>
        <v>-8</v>
      </c>
      <c r="F211" s="166">
        <f t="shared" ref="F211:I211" si="70">SUM(F205:F210)</f>
        <v>276922</v>
      </c>
      <c r="G211" s="166">
        <f t="shared" si="70"/>
        <v>-13262</v>
      </c>
      <c r="H211" s="166">
        <f t="shared" si="70"/>
        <v>0</v>
      </c>
      <c r="I211" s="166">
        <f t="shared" si="70"/>
        <v>263660</v>
      </c>
      <c r="J211" s="167">
        <f t="shared" si="67"/>
        <v>4.3215596941977429E-2</v>
      </c>
      <c r="K211" s="458"/>
      <c r="L211" s="163"/>
      <c r="M211" s="163"/>
      <c r="N211" s="227"/>
      <c r="O211" s="329">
        <f t="shared" si="68"/>
        <v>11.51554856743536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N212" s="227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1">SUM(C30:C211)/2</f>
        <v>6504909</v>
      </c>
      <c r="D213" s="480">
        <f t="shared" si="71"/>
        <v>-197296</v>
      </c>
      <c r="E213" s="480">
        <f t="shared" si="71"/>
        <v>-72106.98</v>
      </c>
      <c r="F213" s="166">
        <f t="shared" ref="F213:I213" si="72">SUM(F30:F211)/2</f>
        <v>6235506.0199999996</v>
      </c>
      <c r="G213" s="166">
        <f t="shared" si="72"/>
        <v>87250</v>
      </c>
      <c r="H213" s="166">
        <f t="shared" si="72"/>
        <v>-221718</v>
      </c>
      <c r="I213" s="166">
        <f t="shared" si="72"/>
        <v>6101038.0199999996</v>
      </c>
      <c r="J213" s="167">
        <f>IF($I$213=0,0,I213/$I$213)</f>
        <v>1</v>
      </c>
      <c r="K213" s="458"/>
      <c r="L213" s="176">
        <f>SUM(L30:L205)</f>
        <v>139726</v>
      </c>
      <c r="M213" s="176">
        <f>SUM(M30:M205)</f>
        <v>149529</v>
      </c>
      <c r="O213" s="329">
        <f>I213/I$233</f>
        <v>266.46741876310273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'[47]Sch C'!D221</f>
        <v>6504910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-1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 t="s">
        <v>182</v>
      </c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3">C26-C213</f>
        <v>569511</v>
      </c>
      <c r="D220" s="480">
        <f t="shared" si="73"/>
        <v>650600</v>
      </c>
      <c r="E220" s="480">
        <f t="shared" si="73"/>
        <v>72106.98</v>
      </c>
      <c r="F220" s="166">
        <f t="shared" ref="F220:I220" si="74">F26-F213</f>
        <v>1292217.9800000004</v>
      </c>
      <c r="G220" s="166">
        <f t="shared" si="74"/>
        <v>-16926</v>
      </c>
      <c r="H220" s="166">
        <f t="shared" si="74"/>
        <v>221718</v>
      </c>
      <c r="I220" s="166">
        <f t="shared" si="74"/>
        <v>1497009.9800000004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'[47]Sch D'!C9</f>
        <v>10523</v>
      </c>
      <c r="D224" s="480"/>
      <c r="E224" s="480"/>
      <c r="F224" s="224">
        <f>C224+D224+E224</f>
        <v>10523</v>
      </c>
      <c r="G224" s="627"/>
      <c r="H224" s="223"/>
      <c r="I224" s="224">
        <f>F224+G224+H224</f>
        <v>10523</v>
      </c>
      <c r="J224" s="167">
        <f t="shared" ref="J224:J233" si="75">IF($I$233=0,0,I224/$I$233)</f>
        <v>0.45959993011879802</v>
      </c>
      <c r="K224" s="458"/>
      <c r="L224" s="163"/>
      <c r="M224" s="163"/>
    </row>
    <row r="225" spans="1:13">
      <c r="A225" s="158"/>
      <c r="B225" s="165" t="s">
        <v>201</v>
      </c>
      <c r="C225" s="504">
        <f>'[47]Sch D'!D9</f>
        <v>0</v>
      </c>
      <c r="D225" s="480"/>
      <c r="E225" s="480"/>
      <c r="F225" s="224">
        <f t="shared" ref="F225:F232" si="76">C225+D225+E225</f>
        <v>0</v>
      </c>
      <c r="G225" s="627"/>
      <c r="H225" s="223"/>
      <c r="I225" s="224">
        <f t="shared" ref="I225:I232" si="77">F225+G225+H225</f>
        <v>0</v>
      </c>
      <c r="J225" s="167">
        <f t="shared" si="75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'[47]Sch D'!E9</f>
        <v>2734</v>
      </c>
      <c r="D226" s="480"/>
      <c r="E226" s="480"/>
      <c r="F226" s="224">
        <f t="shared" si="76"/>
        <v>2734</v>
      </c>
      <c r="G226" s="627"/>
      <c r="H226" s="223"/>
      <c r="I226" s="224">
        <f t="shared" si="77"/>
        <v>2734</v>
      </c>
      <c r="J226" s="167">
        <f t="shared" si="75"/>
        <v>0.1194095038434661</v>
      </c>
      <c r="K226" s="458"/>
      <c r="L226" s="163"/>
      <c r="M226" s="163"/>
    </row>
    <row r="227" spans="1:13">
      <c r="A227" s="158"/>
      <c r="B227" s="194" t="s">
        <v>315</v>
      </c>
      <c r="C227" s="504">
        <f>'[47]Sch D'!F9</f>
        <v>2832</v>
      </c>
      <c r="D227" s="480"/>
      <c r="E227" s="480"/>
      <c r="F227" s="224">
        <f t="shared" si="76"/>
        <v>2832</v>
      </c>
      <c r="G227" s="627"/>
      <c r="H227" s="223"/>
      <c r="I227" s="224">
        <f t="shared" si="77"/>
        <v>2832</v>
      </c>
      <c r="J227" s="167">
        <f t="shared" si="75"/>
        <v>0.12368972746331237</v>
      </c>
      <c r="K227" s="458"/>
      <c r="L227" s="163"/>
      <c r="M227" s="163"/>
    </row>
    <row r="228" spans="1:13">
      <c r="A228" s="158"/>
      <c r="B228" s="165" t="s">
        <v>65</v>
      </c>
      <c r="C228" s="504">
        <f>'[47]Sch D'!G9</f>
        <v>0</v>
      </c>
      <c r="D228" s="480"/>
      <c r="E228" s="480"/>
      <c r="F228" s="224">
        <f t="shared" si="76"/>
        <v>0</v>
      </c>
      <c r="G228" s="627"/>
      <c r="H228" s="223"/>
      <c r="I228" s="224">
        <f t="shared" si="77"/>
        <v>0</v>
      </c>
      <c r="J228" s="167">
        <f t="shared" si="75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'[47]Sch D'!H9</f>
        <v>3267</v>
      </c>
      <c r="D229" s="480"/>
      <c r="E229" s="480"/>
      <c r="F229" s="224">
        <f t="shared" si="76"/>
        <v>3267</v>
      </c>
      <c r="G229" s="627"/>
      <c r="H229" s="223"/>
      <c r="I229" s="224">
        <f t="shared" si="77"/>
        <v>3267</v>
      </c>
      <c r="J229" s="167">
        <f t="shared" si="75"/>
        <v>0.14268867924528303</v>
      </c>
      <c r="K229" s="458"/>
      <c r="L229" s="163"/>
      <c r="M229" s="163"/>
    </row>
    <row r="230" spans="1:13">
      <c r="A230" s="158"/>
      <c r="B230" s="165" t="s">
        <v>219</v>
      </c>
      <c r="C230" s="504">
        <f>'[47]Sch D'!I9</f>
        <v>2143</v>
      </c>
      <c r="D230" s="480"/>
      <c r="E230" s="480"/>
      <c r="F230" s="224">
        <f t="shared" si="76"/>
        <v>2143</v>
      </c>
      <c r="G230" s="627"/>
      <c r="H230" s="223"/>
      <c r="I230" s="224">
        <f t="shared" si="77"/>
        <v>2143</v>
      </c>
      <c r="J230" s="167">
        <f t="shared" si="75"/>
        <v>9.3597134870719773E-2</v>
      </c>
      <c r="K230" s="458"/>
      <c r="L230" s="163"/>
      <c r="M230" s="163"/>
    </row>
    <row r="231" spans="1:13">
      <c r="A231" s="158"/>
      <c r="B231" s="165" t="s">
        <v>218</v>
      </c>
      <c r="C231" s="504">
        <f>'[47]Sch D'!J9</f>
        <v>243</v>
      </c>
      <c r="D231" s="480"/>
      <c r="E231" s="480"/>
      <c r="F231" s="224">
        <f t="shared" si="76"/>
        <v>243</v>
      </c>
      <c r="G231" s="627"/>
      <c r="H231" s="223"/>
      <c r="I231" s="224">
        <f t="shared" si="77"/>
        <v>243</v>
      </c>
      <c r="J231" s="167">
        <f>IF($I$233=0,0,I231/$I$233)</f>
        <v>1.0613207547169811E-2</v>
      </c>
      <c r="K231" s="458"/>
      <c r="L231" s="163"/>
      <c r="M231" s="163"/>
    </row>
    <row r="232" spans="1:13">
      <c r="A232" s="158"/>
      <c r="B232" s="165" t="s">
        <v>170</v>
      </c>
      <c r="C232" s="504">
        <f>'[47]Sch D'!K9</f>
        <v>1154</v>
      </c>
      <c r="D232" s="480"/>
      <c r="E232" s="480"/>
      <c r="F232" s="224">
        <f t="shared" si="76"/>
        <v>1154</v>
      </c>
      <c r="G232" s="627"/>
      <c r="H232" s="223"/>
      <c r="I232" s="224">
        <f t="shared" si="77"/>
        <v>1154</v>
      </c>
      <c r="J232" s="167">
        <f t="shared" si="75"/>
        <v>5.0401816911250875E-2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8">SUM(C224:C232)</f>
        <v>22896</v>
      </c>
      <c r="D233" s="504">
        <f t="shared" si="78"/>
        <v>0</v>
      </c>
      <c r="E233" s="504">
        <f t="shared" si="78"/>
        <v>0</v>
      </c>
      <c r="F233" s="226">
        <f t="shared" ref="F233:I233" si="79">SUM(F224:F232)</f>
        <v>22896</v>
      </c>
      <c r="G233" s="226">
        <f t="shared" si="79"/>
        <v>0</v>
      </c>
      <c r="H233" s="226">
        <f t="shared" si="79"/>
        <v>0</v>
      </c>
      <c r="I233" s="226">
        <f t="shared" si="79"/>
        <v>22896</v>
      </c>
      <c r="J233" s="167">
        <f t="shared" si="75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'[47]Sch D'!N22</f>
        <v>108</v>
      </c>
      <c r="D236" s="480"/>
      <c r="E236" s="480"/>
      <c r="F236" s="224">
        <f>C236+E236</f>
        <v>108</v>
      </c>
      <c r="G236" s="627"/>
      <c r="H236" s="224"/>
      <c r="I236" s="224">
        <f>F236+G236+H236</f>
        <v>108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'[47]Sch D'!N24</f>
        <v>108</v>
      </c>
      <c r="D237" s="480"/>
      <c r="E237" s="480"/>
      <c r="F237" s="224">
        <f>C237+E237</f>
        <v>108</v>
      </c>
      <c r="G237" s="627"/>
      <c r="H237" s="224"/>
      <c r="I237" s="224">
        <f>F237+G237+H237</f>
        <v>108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'[47]Sch D'!N28</f>
        <v>39420</v>
      </c>
      <c r="D240" s="427"/>
      <c r="E240" s="427"/>
      <c r="F240" s="223">
        <f>F236*F238</f>
        <v>39420</v>
      </c>
      <c r="G240"/>
      <c r="H240" s="228"/>
      <c r="I240" s="223">
        <f>I236*I238</f>
        <v>39420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'[47]Sch D'!N30</f>
        <v>0.58082191780821912</v>
      </c>
      <c r="D241" s="228"/>
      <c r="E241" s="228"/>
      <c r="F241" s="232">
        <f>F233/F240</f>
        <v>0.58082191780821912</v>
      </c>
      <c r="G241"/>
      <c r="H241" s="233"/>
      <c r="I241" s="232">
        <f>I233/I240</f>
        <v>0.58082191780821912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'[47]Sch D'!N32</f>
        <v>0.26694571283612378</v>
      </c>
      <c r="D242" s="228"/>
      <c r="E242" s="228"/>
      <c r="F242" s="232">
        <f>(F224+F225)/F240</f>
        <v>0.26694571283612378</v>
      </c>
      <c r="G242"/>
      <c r="H242" s="233"/>
      <c r="I242" s="232">
        <f>(I224+I225)/I240</f>
        <v>0.26694571283612378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'[47]Sch D'!N34</f>
        <v>0.45959993011879807</v>
      </c>
      <c r="D243" s="228"/>
      <c r="E243" s="228"/>
      <c r="F243" s="232">
        <f>(F242/F241)</f>
        <v>0.45959993011879807</v>
      </c>
      <c r="G243"/>
      <c r="H243" s="233"/>
      <c r="I243" s="232">
        <f>(I242/I241)</f>
        <v>0.45959993011879807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 ht="15.5">
      <c r="B246" s="145" t="s">
        <v>320</v>
      </c>
      <c r="F246"/>
      <c r="G246"/>
      <c r="H246" s="140" t="s">
        <v>321</v>
      </c>
      <c r="I246" s="480">
        <f>'[47]Sch B'!C90</f>
        <v>203.2051282051282</v>
      </c>
      <c r="K246" s="460"/>
    </row>
    <row r="247" spans="1:13" ht="15.5">
      <c r="F247"/>
      <c r="G247"/>
      <c r="H247" s="140" t="s">
        <v>322</v>
      </c>
      <c r="I247" s="480">
        <f>'[47]Sch B'!E90</f>
        <v>210.98368522072937</v>
      </c>
      <c r="K247" s="460"/>
    </row>
    <row r="248" spans="1:13" ht="15.5">
      <c r="E248"/>
      <c r="F248"/>
      <c r="G248"/>
      <c r="H248" s="140" t="s">
        <v>323</v>
      </c>
      <c r="I248" s="480">
        <f>'[47]Sch B'!G90</f>
        <v>172.53635116598079</v>
      </c>
      <c r="K248" s="460"/>
    </row>
    <row r="249" spans="1:13" ht="15.5">
      <c r="E249"/>
      <c r="F249"/>
      <c r="G249"/>
      <c r="H249" s="140" t="s">
        <v>324</v>
      </c>
      <c r="I249" s="480">
        <f>'[47]Sch B'!I90</f>
        <v>282.15535714285716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71">
    <tabColor rgb="FFE28CAB"/>
  </sheetPr>
  <dimension ref="A1:P277"/>
  <sheetViews>
    <sheetView showGridLines="0" topLeftCell="A4" zoomScaleNormal="100" workbookViewId="0">
      <selection activeCell="R1" sqref="R1:AF1048576"/>
    </sheetView>
  </sheetViews>
  <sheetFormatPr defaultColWidth="8.75" defaultRowHeight="13"/>
  <cols>
    <col min="1" max="1" width="8.58203125" style="239" customWidth="1"/>
    <col min="2" max="2" width="43.25" style="237" customWidth="1"/>
    <col min="3" max="4" width="24.25" style="237" customWidth="1"/>
    <col min="5" max="5" width="13.08203125" style="237" customWidth="1"/>
    <col min="6" max="6" width="12.83203125" style="237" customWidth="1"/>
    <col min="7" max="7" width="20.58203125" style="237" customWidth="1"/>
    <col min="8" max="8" width="13.75" style="237" customWidth="1"/>
    <col min="9" max="9" width="13.5" style="237" bestFit="1" customWidth="1"/>
    <col min="10" max="10" width="12.58203125" style="237" customWidth="1"/>
    <col min="11" max="11" width="2.5" style="319" customWidth="1"/>
    <col min="12" max="12" width="14.75" style="238" customWidth="1"/>
    <col min="13" max="13" width="13" style="238" customWidth="1"/>
    <col min="14" max="14" width="2.5" style="237" customWidth="1"/>
    <col min="15" max="15" width="8.75" style="237"/>
    <col min="16" max="16" width="10.25" style="237" customWidth="1"/>
    <col min="17" max="16384" width="8.75" style="237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24"/>
      <c r="D1" s="424"/>
      <c r="E1" s="424"/>
      <c r="F1" s="424"/>
      <c r="G1" s="424"/>
      <c r="H1" s="424"/>
      <c r="I1" s="424"/>
      <c r="J1" s="424"/>
      <c r="K1" s="425"/>
    </row>
    <row r="2" spans="1:16" ht="23">
      <c r="B2" s="141" t="s">
        <v>178</v>
      </c>
      <c r="C2" s="234" t="s">
        <v>405</v>
      </c>
      <c r="D2" s="234"/>
      <c r="E2" s="241"/>
      <c r="F2" s="241"/>
      <c r="G2" s="241"/>
    </row>
    <row r="3" spans="1:16" ht="24" customHeight="1">
      <c r="A3" s="242"/>
      <c r="B3" s="237" t="s">
        <v>71</v>
      </c>
      <c r="C3" s="557">
        <f>'[48]Sch A Pg 1'!B39</f>
        <v>42917</v>
      </c>
      <c r="D3" s="620"/>
      <c r="E3" s="241"/>
      <c r="F3" s="495"/>
      <c r="G3" s="495"/>
      <c r="H3" s="538"/>
      <c r="I3" s="495"/>
      <c r="J3" s="495"/>
    </row>
    <row r="4" spans="1:16" ht="25.5" customHeight="1">
      <c r="A4" s="242"/>
      <c r="B4" s="244" t="s">
        <v>72</v>
      </c>
      <c r="C4" s="557">
        <f>'[48]Sch A Pg 1'!G39</f>
        <v>43281</v>
      </c>
      <c r="D4" s="620"/>
      <c r="E4" s="241"/>
      <c r="F4" s="495"/>
      <c r="G4" s="495"/>
      <c r="H4" s="537"/>
      <c r="I4" s="495"/>
      <c r="J4" s="495"/>
    </row>
    <row r="5" spans="1:16">
      <c r="A5" s="242"/>
      <c r="B5" s="244"/>
      <c r="C5" s="247"/>
      <c r="D5" s="247"/>
      <c r="E5" s="241"/>
      <c r="H5" s="399"/>
    </row>
    <row r="6" spans="1:16">
      <c r="A6" s="242"/>
      <c r="B6" s="244"/>
      <c r="C6" s="248" t="s">
        <v>33</v>
      </c>
      <c r="D6" s="634">
        <v>2</v>
      </c>
      <c r="E6" s="637">
        <v>3</v>
      </c>
      <c r="F6" s="245">
        <v>4</v>
      </c>
      <c r="G6" s="245">
        <v>5</v>
      </c>
      <c r="H6" s="634">
        <v>6</v>
      </c>
      <c r="I6" s="637">
        <v>7</v>
      </c>
      <c r="J6" s="245">
        <v>8</v>
      </c>
      <c r="K6" s="320"/>
      <c r="L6" s="249">
        <v>9</v>
      </c>
      <c r="M6" s="249">
        <v>10</v>
      </c>
      <c r="O6" s="243">
        <v>11</v>
      </c>
      <c r="P6" s="243">
        <v>12</v>
      </c>
    </row>
    <row r="7" spans="1:16">
      <c r="B7" s="244"/>
      <c r="C7" s="250" t="s">
        <v>1</v>
      </c>
      <c r="D7" s="625" t="s">
        <v>517</v>
      </c>
      <c r="E7" s="625" t="s">
        <v>518</v>
      </c>
      <c r="F7" s="250" t="s">
        <v>3</v>
      </c>
      <c r="G7" s="625" t="s">
        <v>519</v>
      </c>
      <c r="H7" s="250" t="s">
        <v>518</v>
      </c>
      <c r="I7" s="250" t="s">
        <v>4</v>
      </c>
      <c r="J7" s="251" t="s">
        <v>5</v>
      </c>
      <c r="K7" s="580"/>
      <c r="L7" s="252" t="s">
        <v>272</v>
      </c>
      <c r="M7" s="253" t="s">
        <v>273</v>
      </c>
      <c r="O7" s="253" t="s">
        <v>332</v>
      </c>
      <c r="P7" s="253" t="s">
        <v>334</v>
      </c>
    </row>
    <row r="8" spans="1:16">
      <c r="B8" s="244"/>
      <c r="C8" s="254"/>
      <c r="D8" s="254" t="s">
        <v>518</v>
      </c>
      <c r="E8" s="254" t="s">
        <v>2</v>
      </c>
      <c r="F8" s="254" t="s">
        <v>707</v>
      </c>
      <c r="G8" s="254" t="s">
        <v>518</v>
      </c>
      <c r="H8" s="254" t="s">
        <v>520</v>
      </c>
      <c r="I8" s="254" t="s">
        <v>706</v>
      </c>
      <c r="J8" s="255" t="s">
        <v>7</v>
      </c>
      <c r="K8" s="580"/>
      <c r="L8" s="256"/>
      <c r="M8" s="256"/>
      <c r="O8" s="256" t="s">
        <v>333</v>
      </c>
      <c r="P8" s="256" t="s">
        <v>332</v>
      </c>
    </row>
    <row r="9" spans="1:16" ht="15.5">
      <c r="A9" s="242"/>
      <c r="C9" s="247"/>
      <c r="D9" s="247"/>
      <c r="E9" s="241"/>
      <c r="H9"/>
      <c r="I9" s="241"/>
      <c r="K9" s="581"/>
    </row>
    <row r="10" spans="1:16" s="261" customFormat="1" ht="15.5">
      <c r="A10" s="257" t="s">
        <v>228</v>
      </c>
      <c r="B10" s="159" t="s">
        <v>229</v>
      </c>
      <c r="C10" s="259"/>
      <c r="D10" s="259"/>
      <c r="E10" s="259"/>
      <c r="F10" s="259"/>
      <c r="G10" s="259"/>
      <c r="H10"/>
      <c r="I10" s="259"/>
      <c r="J10" s="260"/>
      <c r="K10" s="582"/>
      <c r="L10" s="262"/>
      <c r="M10" s="262"/>
    </row>
    <row r="11" spans="1:16" s="261" customFormat="1" ht="15.5">
      <c r="A11" s="257"/>
      <c r="B11" s="615" t="s">
        <v>511</v>
      </c>
      <c r="C11" s="259"/>
      <c r="D11" s="259"/>
      <c r="E11" s="259"/>
      <c r="F11" s="259"/>
      <c r="G11" s="259"/>
      <c r="H11"/>
      <c r="I11" s="259"/>
      <c r="J11" s="260"/>
      <c r="K11" s="582"/>
      <c r="L11" s="262"/>
      <c r="M11" s="262"/>
    </row>
    <row r="12" spans="1:16" s="261" customFormat="1">
      <c r="A12" s="257"/>
      <c r="B12" s="160" t="s">
        <v>512</v>
      </c>
      <c r="C12" s="480">
        <f>'[48]Sch B'!E10</f>
        <v>2291515.77</v>
      </c>
      <c r="D12" s="480">
        <f>'[48]Sch B'!G10</f>
        <v>0</v>
      </c>
      <c r="E12" s="480"/>
      <c r="F12" s="236">
        <f t="shared" ref="F12:F25" si="0">C12+D12+E12</f>
        <v>2291515.77</v>
      </c>
      <c r="G12" s="628"/>
      <c r="H12" s="236"/>
      <c r="I12" s="236">
        <f>F12+G12+H12</f>
        <v>2291515.77</v>
      </c>
      <c r="J12" s="265">
        <f>IF($I$26=0,0,I12/$I$26)</f>
        <v>0.28334261299249752</v>
      </c>
      <c r="K12" s="582"/>
      <c r="L12" s="262"/>
      <c r="M12" s="262"/>
    </row>
    <row r="13" spans="1:16" s="261" customFormat="1">
      <c r="A13" s="257"/>
      <c r="B13" s="160" t="s">
        <v>513</v>
      </c>
      <c r="C13" s="480">
        <f>'[48]Sch B'!E12</f>
        <v>955096.94</v>
      </c>
      <c r="D13" s="480">
        <f>'[48]Sch B'!G12</f>
        <v>768616.80999999994</v>
      </c>
      <c r="E13" s="480"/>
      <c r="F13" s="236">
        <f t="shared" si="0"/>
        <v>1723713.75</v>
      </c>
      <c r="G13" s="628"/>
      <c r="H13" s="236"/>
      <c r="I13" s="236">
        <f t="shared" ref="I13:I25" si="1">F13+G13+H13</f>
        <v>1723713.75</v>
      </c>
      <c r="J13" s="265">
        <f>IF($I$26=0,0,I13/$I$26)</f>
        <v>0.21313471387373284</v>
      </c>
      <c r="K13" s="582"/>
      <c r="L13" s="262"/>
      <c r="M13" s="262"/>
    </row>
    <row r="14" spans="1:16" s="261" customFormat="1">
      <c r="A14" s="257"/>
      <c r="B14" s="160" t="s">
        <v>514</v>
      </c>
      <c r="C14" s="480">
        <f>'[48]Sch B'!E13</f>
        <v>-14209.91</v>
      </c>
      <c r="D14" s="480">
        <f>'[48]Sch B'!G13</f>
        <v>0</v>
      </c>
      <c r="E14" s="480"/>
      <c r="F14" s="236">
        <f t="shared" si="0"/>
        <v>-14209.91</v>
      </c>
      <c r="G14" s="628"/>
      <c r="H14" s="236"/>
      <c r="I14" s="236">
        <f t="shared" si="1"/>
        <v>-14209.91</v>
      </c>
      <c r="J14" s="265">
        <f>IF($I$26=0,0,I14/$I$26)</f>
        <v>-1.7570348336674202E-3</v>
      </c>
      <c r="K14" s="582"/>
      <c r="L14" s="262"/>
      <c r="M14" s="262"/>
    </row>
    <row r="15" spans="1:16" s="261" customFormat="1" ht="13.5" thickBot="1">
      <c r="A15" s="257"/>
      <c r="B15" s="160" t="s">
        <v>515</v>
      </c>
      <c r="C15" s="480">
        <f>'[48]Sch B'!E14</f>
        <v>42956.94</v>
      </c>
      <c r="D15" s="480">
        <f>'[48]Sch B'!G14</f>
        <v>0</v>
      </c>
      <c r="E15" s="480"/>
      <c r="F15" s="236">
        <f t="shared" si="0"/>
        <v>42956.94</v>
      </c>
      <c r="G15" s="628"/>
      <c r="H15" s="236"/>
      <c r="I15" s="236">
        <f t="shared" si="1"/>
        <v>42956.94</v>
      </c>
      <c r="J15" s="265">
        <f>IF($I$26=0,0,I15/$I$26)</f>
        <v>5.3115635445798995E-3</v>
      </c>
      <c r="K15" s="582"/>
      <c r="L15" s="262"/>
      <c r="M15" s="262"/>
    </row>
    <row r="16" spans="1:16" s="261" customFormat="1">
      <c r="A16" s="263" t="s">
        <v>9</v>
      </c>
      <c r="B16" s="264" t="s">
        <v>197</v>
      </c>
      <c r="C16" s="480">
        <f>'[48]Sch B'!E15</f>
        <v>3275359.74</v>
      </c>
      <c r="D16" s="480">
        <f>'[48]Sch B'!G15</f>
        <v>768616.80999999994</v>
      </c>
      <c r="E16" s="480"/>
      <c r="F16" s="236">
        <f t="shared" si="0"/>
        <v>4043976.5500000003</v>
      </c>
      <c r="G16" s="628"/>
      <c r="H16" s="236"/>
      <c r="I16" s="236">
        <f>SUM(I12:I15)</f>
        <v>4043976.55</v>
      </c>
      <c r="J16" s="265">
        <f t="shared" ref="J16:J26" si="2">IF($I$26=0,0,I16/$I$26)</f>
        <v>0.5000318555771428</v>
      </c>
      <c r="K16" s="579"/>
      <c r="L16" s="333" t="s">
        <v>325</v>
      </c>
      <c r="M16" s="334">
        <f>I26</f>
        <v>8087437.8399999999</v>
      </c>
      <c r="O16" s="325">
        <f>IFERROR(I16/I224,0)</f>
        <v>384.66437268144199</v>
      </c>
      <c r="P16" s="325">
        <f>SUMMARY!L18</f>
        <v>284.96439647002933</v>
      </c>
    </row>
    <row r="17" spans="1:16" s="261" customFormat="1">
      <c r="A17" s="263" t="s">
        <v>11</v>
      </c>
      <c r="B17" s="264" t="s">
        <v>196</v>
      </c>
      <c r="C17" s="480">
        <f>'[48]Sch B'!E20</f>
        <v>213083</v>
      </c>
      <c r="D17" s="480">
        <f>'[48]Sch B'!G20</f>
        <v>0</v>
      </c>
      <c r="E17" s="480"/>
      <c r="F17" s="236">
        <f t="shared" si="0"/>
        <v>213083</v>
      </c>
      <c r="G17" s="628"/>
      <c r="H17" s="236"/>
      <c r="I17" s="236">
        <f t="shared" si="1"/>
        <v>213083</v>
      </c>
      <c r="J17" s="265">
        <f t="shared" si="2"/>
        <v>2.6347404977396401E-2</v>
      </c>
      <c r="K17" s="579"/>
      <c r="L17" s="335" t="s">
        <v>326</v>
      </c>
      <c r="M17" s="336">
        <f>I213</f>
        <v>8041154.6300000018</v>
      </c>
      <c r="O17" s="325">
        <f t="shared" ref="O17:O24" si="3">IFERROR(I17/I225,0)</f>
        <v>218.0992835209826</v>
      </c>
      <c r="P17" s="325">
        <f>SUMMARY!L19</f>
        <v>273.55163068176057</v>
      </c>
    </row>
    <row r="18" spans="1:16" s="261" customFormat="1">
      <c r="A18" s="263" t="s">
        <v>12</v>
      </c>
      <c r="B18" s="264" t="s">
        <v>162</v>
      </c>
      <c r="C18" s="480">
        <f>'[48]Sch B'!E26</f>
        <v>964357.29</v>
      </c>
      <c r="D18" s="480">
        <f>'[48]Sch B'!G26</f>
        <v>0</v>
      </c>
      <c r="E18" s="480"/>
      <c r="F18" s="236">
        <f t="shared" si="0"/>
        <v>964357.29</v>
      </c>
      <c r="G18" s="628"/>
      <c r="H18" s="236"/>
      <c r="I18" s="236">
        <f t="shared" si="1"/>
        <v>964357.29</v>
      </c>
      <c r="J18" s="265">
        <f t="shared" si="2"/>
        <v>0.11924138510596578</v>
      </c>
      <c r="K18" s="579"/>
      <c r="L18" s="335" t="s">
        <v>327</v>
      </c>
      <c r="M18" s="336">
        <f>I233</f>
        <v>24866</v>
      </c>
      <c r="O18" s="325">
        <f t="shared" si="3"/>
        <v>580.58837447320889</v>
      </c>
      <c r="P18" s="325">
        <f>SUMMARY!L20</f>
        <v>561.11364502829144</v>
      </c>
    </row>
    <row r="19" spans="1:16" s="261" customFormat="1">
      <c r="A19" s="266" t="s">
        <v>14</v>
      </c>
      <c r="B19" s="267" t="s">
        <v>287</v>
      </c>
      <c r="C19" s="480">
        <f>'[48]Sch B'!E32</f>
        <v>69379.28</v>
      </c>
      <c r="D19" s="480">
        <f>'[48]Sch B'!G32</f>
        <v>0</v>
      </c>
      <c r="E19" s="480"/>
      <c r="F19" s="236">
        <f t="shared" si="0"/>
        <v>69379.28</v>
      </c>
      <c r="G19" s="628"/>
      <c r="H19" s="236"/>
      <c r="I19" s="236">
        <f t="shared" si="1"/>
        <v>69379.28</v>
      </c>
      <c r="J19" s="268">
        <f t="shared" si="2"/>
        <v>8.5786476969076774E-3</v>
      </c>
      <c r="K19" s="583"/>
      <c r="L19" s="335" t="s">
        <v>328</v>
      </c>
      <c r="M19" s="336">
        <f>I236</f>
        <v>107</v>
      </c>
      <c r="O19" s="325">
        <f t="shared" si="3"/>
        <v>700.80080808080811</v>
      </c>
      <c r="P19" s="325">
        <f>SUMMARY!L21</f>
        <v>411.84844994976652</v>
      </c>
    </row>
    <row r="20" spans="1:16" s="261" customFormat="1">
      <c r="A20" s="263" t="s">
        <v>15</v>
      </c>
      <c r="B20" s="264" t="s">
        <v>163</v>
      </c>
      <c r="C20" s="480">
        <f>'[48]Sch B'!E37</f>
        <v>1949930.4999999998</v>
      </c>
      <c r="D20" s="480">
        <f>'[48]Sch B'!G37</f>
        <v>0</v>
      </c>
      <c r="E20" s="480"/>
      <c r="F20" s="236">
        <f t="shared" si="0"/>
        <v>1949930.4999999998</v>
      </c>
      <c r="G20" s="628"/>
      <c r="H20" s="236"/>
      <c r="I20" s="236">
        <f t="shared" si="1"/>
        <v>1949930.4999999998</v>
      </c>
      <c r="J20" s="265">
        <f t="shared" si="2"/>
        <v>0.2411060880561896</v>
      </c>
      <c r="K20" s="579"/>
      <c r="L20" s="335" t="s">
        <v>329</v>
      </c>
      <c r="M20" s="336">
        <f>I240</f>
        <v>39055</v>
      </c>
      <c r="O20" s="325">
        <f t="shared" si="3"/>
        <v>234.62044278666824</v>
      </c>
      <c r="P20" s="325">
        <f>SUMMARY!L22</f>
        <v>340.77076510151483</v>
      </c>
    </row>
    <row r="21" spans="1:16" s="261" customFormat="1">
      <c r="A21" s="263" t="s">
        <v>17</v>
      </c>
      <c r="B21" s="264" t="s">
        <v>164</v>
      </c>
      <c r="C21" s="480">
        <f>'[48]Sch B'!E42</f>
        <v>599394.99</v>
      </c>
      <c r="D21" s="480">
        <f>'[48]Sch B'!G42</f>
        <v>0</v>
      </c>
      <c r="E21" s="480"/>
      <c r="F21" s="236">
        <f t="shared" si="0"/>
        <v>599394.99</v>
      </c>
      <c r="G21" s="628"/>
      <c r="H21" s="236"/>
      <c r="I21" s="236">
        <f t="shared" si="1"/>
        <v>599394.99</v>
      </c>
      <c r="J21" s="265">
        <f t="shared" si="2"/>
        <v>7.4114324197390058E-2</v>
      </c>
      <c r="K21" s="579"/>
      <c r="L21" s="337"/>
      <c r="M21" s="336"/>
      <c r="O21" s="325">
        <f t="shared" si="3"/>
        <v>276.09165822201749</v>
      </c>
      <c r="P21" s="325">
        <f>SUMMARY!L23</f>
        <v>225.41338272883894</v>
      </c>
    </row>
    <row r="22" spans="1:16" s="261" customFormat="1">
      <c r="A22" s="263" t="s">
        <v>199</v>
      </c>
      <c r="B22" s="264" t="s">
        <v>212</v>
      </c>
      <c r="C22" s="480">
        <f>'[48]Sch B'!E47</f>
        <v>230527.55</v>
      </c>
      <c r="D22" s="480">
        <f>'[48]Sch B'!G47</f>
        <v>0</v>
      </c>
      <c r="E22" s="480"/>
      <c r="F22" s="236">
        <f t="shared" si="0"/>
        <v>230527.55</v>
      </c>
      <c r="G22" s="628"/>
      <c r="H22" s="236"/>
      <c r="I22" s="236">
        <f t="shared" si="1"/>
        <v>230527.55</v>
      </c>
      <c r="J22" s="265">
        <f t="shared" si="2"/>
        <v>2.85043983719818E-2</v>
      </c>
      <c r="K22" s="579"/>
      <c r="L22" s="335" t="s">
        <v>148</v>
      </c>
      <c r="M22" s="336">
        <f>L213</f>
        <v>179438.90571428573</v>
      </c>
      <c r="O22" s="325">
        <f t="shared" si="3"/>
        <v>218.71684060721063</v>
      </c>
      <c r="P22" s="325">
        <f>SUMMARY!L24</f>
        <v>188.3985734235572</v>
      </c>
    </row>
    <row r="23" spans="1:16" s="261" customFormat="1" ht="13.5" thickBot="1">
      <c r="A23" s="263" t="s">
        <v>200</v>
      </c>
      <c r="B23" s="264" t="s">
        <v>213</v>
      </c>
      <c r="C23" s="480">
        <f>'[48]Sch B'!E52</f>
        <v>16788.680000000004</v>
      </c>
      <c r="D23" s="480">
        <f>'[48]Sch B'!G52</f>
        <v>0</v>
      </c>
      <c r="E23" s="480"/>
      <c r="F23" s="236">
        <f t="shared" si="0"/>
        <v>16788.680000000004</v>
      </c>
      <c r="G23" s="628"/>
      <c r="H23" s="236"/>
      <c r="I23" s="236">
        <f t="shared" si="1"/>
        <v>16788.680000000004</v>
      </c>
      <c r="J23" s="265">
        <f t="shared" si="2"/>
        <v>2.0758960170258328E-3</v>
      </c>
      <c r="K23" s="579"/>
      <c r="L23" s="338" t="s">
        <v>233</v>
      </c>
      <c r="M23" s="339">
        <f>M213</f>
        <v>187652.6157142857</v>
      </c>
      <c r="O23" s="325">
        <f t="shared" si="3"/>
        <v>209.85850000000005</v>
      </c>
      <c r="P23" s="325">
        <f>SUMMARY!L25</f>
        <v>202.2975348857334</v>
      </c>
    </row>
    <row r="24" spans="1:16" s="261" customFormat="1">
      <c r="A24" s="263" t="s">
        <v>211</v>
      </c>
      <c r="B24" s="171" t="s">
        <v>165</v>
      </c>
      <c r="C24" s="480">
        <f>'[48]Sch B'!E57</f>
        <v>0</v>
      </c>
      <c r="D24" s="480">
        <f>'[48]Sch B'!G57</f>
        <v>0</v>
      </c>
      <c r="E24" s="480"/>
      <c r="F24" s="236">
        <f t="shared" si="0"/>
        <v>0</v>
      </c>
      <c r="G24" s="628"/>
      <c r="H24" s="236"/>
      <c r="I24" s="236">
        <f t="shared" si="1"/>
        <v>0</v>
      </c>
      <c r="J24" s="265">
        <f t="shared" si="2"/>
        <v>0</v>
      </c>
      <c r="K24" s="579"/>
      <c r="L24" s="262"/>
      <c r="M24" s="262"/>
      <c r="O24" s="325">
        <f t="shared" si="3"/>
        <v>0</v>
      </c>
      <c r="P24" s="325">
        <f>SUMMARY!L26</f>
        <v>387.88037830590139</v>
      </c>
    </row>
    <row r="25" spans="1:16" s="261" customFormat="1">
      <c r="A25" s="263" t="s">
        <v>173</v>
      </c>
      <c r="B25" s="23" t="s">
        <v>171</v>
      </c>
      <c r="C25" s="480">
        <f>'[48]Sch B'!E72</f>
        <v>455.54</v>
      </c>
      <c r="D25" s="480">
        <f>'[48]Sch B'!G72</f>
        <v>-455.54</v>
      </c>
      <c r="E25" s="480"/>
      <c r="F25" s="236">
        <f t="shared" si="0"/>
        <v>0</v>
      </c>
      <c r="G25" s="628"/>
      <c r="H25" s="236"/>
      <c r="I25" s="236">
        <f t="shared" si="1"/>
        <v>0</v>
      </c>
      <c r="J25" s="265">
        <f t="shared" si="2"/>
        <v>0</v>
      </c>
      <c r="K25" s="579"/>
      <c r="L25" s="262"/>
      <c r="M25" s="262"/>
      <c r="O25" s="330" t="s">
        <v>184</v>
      </c>
      <c r="P25" s="330" t="s">
        <v>184</v>
      </c>
    </row>
    <row r="26" spans="1:16" s="261" customFormat="1">
      <c r="A26" s="263"/>
      <c r="B26" s="172" t="s">
        <v>69</v>
      </c>
      <c r="C26" s="480">
        <f>SUM(C16:C25)</f>
        <v>7319276.5700000003</v>
      </c>
      <c r="D26" s="480">
        <f t="shared" ref="D26:F26" si="4">SUM(D16:D25)</f>
        <v>768161.2699999999</v>
      </c>
      <c r="E26" s="480">
        <f t="shared" si="4"/>
        <v>0</v>
      </c>
      <c r="F26" s="236">
        <f t="shared" si="4"/>
        <v>8087437.8400000008</v>
      </c>
      <c r="G26" s="236">
        <f>SUM(G12:G25)</f>
        <v>0</v>
      </c>
      <c r="H26" s="236">
        <f>SUM(H12:H25)</f>
        <v>0</v>
      </c>
      <c r="I26" s="236">
        <f>SUM(I16:I25)</f>
        <v>8087437.8399999999</v>
      </c>
      <c r="J26" s="265">
        <f t="shared" si="2"/>
        <v>1</v>
      </c>
      <c r="K26" s="579"/>
      <c r="L26" s="262"/>
      <c r="M26" s="262"/>
      <c r="O26" s="325">
        <f>IFERROR(I26/I233,0)</f>
        <v>325.24080431110752</v>
      </c>
      <c r="P26" s="325">
        <f>SUMMARY!L28</f>
        <v>316.15377811906774</v>
      </c>
    </row>
    <row r="27" spans="1:16" ht="12" customHeight="1">
      <c r="A27" s="242"/>
      <c r="B27" s="173"/>
      <c r="C27" s="148"/>
      <c r="D27" s="142"/>
      <c r="E27" s="142"/>
      <c r="H27" s="241"/>
      <c r="I27" s="241"/>
      <c r="K27" s="581"/>
      <c r="O27" s="331"/>
      <c r="P27" s="331"/>
    </row>
    <row r="28" spans="1:16" ht="26.5">
      <c r="A28" s="271" t="s">
        <v>215</v>
      </c>
      <c r="B28" s="173" t="s">
        <v>206</v>
      </c>
      <c r="C28" s="148"/>
      <c r="D28" s="142"/>
      <c r="E28" s="142"/>
      <c r="H28"/>
      <c r="I28" s="241"/>
      <c r="K28" s="581"/>
      <c r="O28" s="331"/>
      <c r="P28" s="331"/>
    </row>
    <row r="29" spans="1:16" ht="15.5">
      <c r="A29" s="272" t="s">
        <v>153</v>
      </c>
      <c r="B29" s="244" t="s">
        <v>8</v>
      </c>
      <c r="C29" s="138"/>
      <c r="D29" s="138"/>
      <c r="E29" s="138"/>
      <c r="H29"/>
      <c r="K29" s="581"/>
      <c r="O29" s="331"/>
      <c r="P29" s="331"/>
    </row>
    <row r="30" spans="1:16" s="261" customFormat="1">
      <c r="A30" s="263" t="s">
        <v>75</v>
      </c>
      <c r="B30" s="264" t="s">
        <v>10</v>
      </c>
      <c r="C30" s="480">
        <f>'[48]Sch C'!D10</f>
        <v>123746.79</v>
      </c>
      <c r="D30" s="480">
        <f>'[48]Sch C'!F10</f>
        <v>0</v>
      </c>
      <c r="E30" s="480">
        <f>+'[48]Sch C'!H10</f>
        <v>0</v>
      </c>
      <c r="F30" s="236">
        <f t="shared" ref="F30:F65" si="5">C30+D30+E30</f>
        <v>123746.79</v>
      </c>
      <c r="G30" s="628"/>
      <c r="H30" s="236"/>
      <c r="I30" s="236">
        <f t="shared" ref="I30:I65" si="6">F30+G30+H30</f>
        <v>123746.79</v>
      </c>
      <c r="J30" s="265">
        <f>IF($I$213=0,0,I30/$I$213)</f>
        <v>1.5389181739936267E-2</v>
      </c>
      <c r="K30" s="579"/>
      <c r="L30" s="428">
        <v>1885.7142857142858</v>
      </c>
      <c r="M30" s="428">
        <v>1885.7142857142858</v>
      </c>
      <c r="O30" s="325">
        <f>I30/I$233</f>
        <v>4.9765458859486849</v>
      </c>
      <c r="P30" s="325">
        <f>SUMMARY!L32</f>
        <v>5.7025515464403815</v>
      </c>
    </row>
    <row r="31" spans="1:16" s="261" customFormat="1">
      <c r="A31" s="263" t="s">
        <v>76</v>
      </c>
      <c r="B31" s="264" t="s">
        <v>167</v>
      </c>
      <c r="C31" s="480">
        <f>'[48]Sch C'!D11</f>
        <v>0</v>
      </c>
      <c r="D31" s="480">
        <f>'[48]Sch C'!F11</f>
        <v>0</v>
      </c>
      <c r="E31" s="480">
        <f>+'[48]Sch C'!H11</f>
        <v>0</v>
      </c>
      <c r="F31" s="236">
        <f t="shared" si="5"/>
        <v>0</v>
      </c>
      <c r="G31" s="628"/>
      <c r="H31" s="236"/>
      <c r="I31" s="236">
        <f t="shared" si="6"/>
        <v>0</v>
      </c>
      <c r="J31" s="273">
        <f t="shared" ref="J31:J66" si="7">IF($I$213=0,0,I31/$I$213)</f>
        <v>0</v>
      </c>
      <c r="K31" s="579"/>
      <c r="L31" s="428">
        <v>0</v>
      </c>
      <c r="M31" s="428">
        <v>0</v>
      </c>
      <c r="O31" s="325">
        <f t="shared" ref="O31:O65" si="8">I31/I$233</f>
        <v>0</v>
      </c>
      <c r="P31" s="325">
        <f>SUMMARY!L33</f>
        <v>7.4306926374758907E-3</v>
      </c>
    </row>
    <row r="32" spans="1:16" s="261" customFormat="1">
      <c r="A32" s="263" t="s">
        <v>77</v>
      </c>
      <c r="B32" s="264" t="s">
        <v>13</v>
      </c>
      <c r="C32" s="480">
        <f>'[48]Sch C'!D12</f>
        <v>270388.7</v>
      </c>
      <c r="D32" s="480">
        <f>'[48]Sch C'!F12</f>
        <v>-62112</v>
      </c>
      <c r="E32" s="480">
        <f>+'[48]Sch C'!H12</f>
        <v>0</v>
      </c>
      <c r="F32" s="236">
        <f t="shared" si="5"/>
        <v>208276.7</v>
      </c>
      <c r="G32" s="628"/>
      <c r="H32" s="236"/>
      <c r="I32" s="236">
        <f t="shared" si="6"/>
        <v>208276.7</v>
      </c>
      <c r="J32" s="265">
        <f t="shared" si="7"/>
        <v>2.5901342479220546E-2</v>
      </c>
      <c r="K32" s="579"/>
      <c r="L32" s="428">
        <v>12029.356428571429</v>
      </c>
      <c r="M32" s="428">
        <v>12762.916428571429</v>
      </c>
      <c r="O32" s="325">
        <f t="shared" si="8"/>
        <v>8.375963162551276</v>
      </c>
      <c r="P32" s="325">
        <f>SUMMARY!L34</f>
        <v>6.6325016080849428</v>
      </c>
    </row>
    <row r="33" spans="1:16" s="261" customFormat="1">
      <c r="A33" s="263" t="s">
        <v>78</v>
      </c>
      <c r="B33" s="264" t="s">
        <v>37</v>
      </c>
      <c r="C33" s="480">
        <f>'[48]Sch C'!D13</f>
        <v>87889.86</v>
      </c>
      <c r="D33" s="480">
        <f>'[48]Sch C'!F13</f>
        <v>-10062.19</v>
      </c>
      <c r="E33" s="480">
        <f>+'[48]Sch C'!H13</f>
        <v>0</v>
      </c>
      <c r="F33" s="236">
        <f t="shared" si="5"/>
        <v>77827.67</v>
      </c>
      <c r="G33" s="628"/>
      <c r="H33" s="236"/>
      <c r="I33" s="236">
        <f t="shared" si="6"/>
        <v>77827.67</v>
      </c>
      <c r="J33" s="265">
        <f t="shared" si="7"/>
        <v>9.6786684973871693E-3</v>
      </c>
      <c r="K33" s="579"/>
      <c r="L33" s="446"/>
      <c r="M33" s="446"/>
      <c r="O33" s="325">
        <f t="shared" si="8"/>
        <v>3.1298829727338533</v>
      </c>
      <c r="P33" s="325">
        <f>SUMMARY!L35</f>
        <v>2.633715227073087</v>
      </c>
    </row>
    <row r="34" spans="1:16" s="261" customFormat="1">
      <c r="A34" s="263" t="s">
        <v>166</v>
      </c>
      <c r="B34" s="264" t="s">
        <v>16</v>
      </c>
      <c r="C34" s="480">
        <f>'[48]Sch C'!D14</f>
        <v>0</v>
      </c>
      <c r="D34" s="480">
        <f>'[48]Sch C'!F14</f>
        <v>0</v>
      </c>
      <c r="E34" s="480">
        <f>+'[48]Sch C'!H14</f>
        <v>0</v>
      </c>
      <c r="F34" s="236">
        <f t="shared" si="5"/>
        <v>0</v>
      </c>
      <c r="G34" s="628"/>
      <c r="H34" s="236"/>
      <c r="I34" s="236">
        <f t="shared" si="6"/>
        <v>0</v>
      </c>
      <c r="J34" s="265">
        <f t="shared" si="7"/>
        <v>0</v>
      </c>
      <c r="K34" s="579"/>
      <c r="L34" s="446"/>
      <c r="M34" s="446"/>
      <c r="O34" s="325">
        <f t="shared" si="8"/>
        <v>0</v>
      </c>
      <c r="P34" s="325">
        <f>SUMMARY!L36</f>
        <v>6.5625298170003482E-2</v>
      </c>
    </row>
    <row r="35" spans="1:16" s="261" customFormat="1">
      <c r="A35" s="263" t="s">
        <v>80</v>
      </c>
      <c r="B35" s="264" t="s">
        <v>18</v>
      </c>
      <c r="C35" s="480">
        <f>'[48]Sch C'!D15</f>
        <v>513312.9</v>
      </c>
      <c r="D35" s="480">
        <f>'[48]Sch C'!F15+513313</f>
        <v>9.9999999976716936E-2</v>
      </c>
      <c r="E35" s="480">
        <f>+'[48]Sch C'!H15</f>
        <v>0</v>
      </c>
      <c r="F35" s="236">
        <f t="shared" si="5"/>
        <v>513313</v>
      </c>
      <c r="G35" s="628"/>
      <c r="H35" s="480">
        <v>-513312.9</v>
      </c>
      <c r="I35" s="236">
        <f t="shared" si="6"/>
        <v>9.9999999976716936E-2</v>
      </c>
      <c r="J35" s="265">
        <f t="shared" si="7"/>
        <v>1.2436024996166118E-8</v>
      </c>
      <c r="K35" s="579"/>
      <c r="L35" s="446"/>
      <c r="M35" s="446"/>
      <c r="O35" s="325">
        <f t="shared" si="8"/>
        <v>4.021555536745634E-6</v>
      </c>
      <c r="P35" s="325">
        <f>SUMMARY!L37</f>
        <v>2.0746895801227896</v>
      </c>
    </row>
    <row r="36" spans="1:16" s="261" customFormat="1">
      <c r="A36" s="263" t="s">
        <v>81</v>
      </c>
      <c r="B36" s="264" t="s">
        <v>140</v>
      </c>
      <c r="C36" s="480">
        <f>'[48]Sch C'!D16</f>
        <v>0</v>
      </c>
      <c r="D36" s="480">
        <f>'[48]Sch C'!F16-305089</f>
        <v>0</v>
      </c>
      <c r="E36" s="480">
        <f>+'[48]Sch C'!H16</f>
        <v>0</v>
      </c>
      <c r="F36" s="236">
        <f t="shared" si="5"/>
        <v>0</v>
      </c>
      <c r="G36" s="628"/>
      <c r="H36" s="480">
        <v>305089</v>
      </c>
      <c r="I36" s="236">
        <f t="shared" si="6"/>
        <v>305089</v>
      </c>
      <c r="J36" s="265">
        <f t="shared" si="7"/>
        <v>3.7940944309387062E-2</v>
      </c>
      <c r="K36" s="579"/>
      <c r="L36" s="446"/>
      <c r="M36" s="446"/>
      <c r="O36" s="325">
        <f t="shared" si="8"/>
        <v>12.269323574358562</v>
      </c>
      <c r="P36" s="325">
        <f>SUMMARY!L38</f>
        <v>11.005418746452923</v>
      </c>
    </row>
    <row r="37" spans="1:16" s="261" customFormat="1">
      <c r="A37" s="263" t="s">
        <v>82</v>
      </c>
      <c r="B37" s="264" t="s">
        <v>19</v>
      </c>
      <c r="C37" s="480">
        <f>'[48]Sch C'!D17</f>
        <v>0</v>
      </c>
      <c r="D37" s="480">
        <f>'[48]Sch C'!F17</f>
        <v>0</v>
      </c>
      <c r="E37" s="480">
        <f>+'[48]Sch C'!H17</f>
        <v>0</v>
      </c>
      <c r="F37" s="236">
        <f t="shared" si="5"/>
        <v>0</v>
      </c>
      <c r="G37" s="628"/>
      <c r="H37" s="236"/>
      <c r="I37" s="236">
        <f t="shared" si="6"/>
        <v>0</v>
      </c>
      <c r="J37" s="265">
        <f t="shared" si="7"/>
        <v>0</v>
      </c>
      <c r="K37" s="579"/>
      <c r="L37" s="446"/>
      <c r="M37" s="446"/>
      <c r="O37" s="325">
        <f t="shared" si="8"/>
        <v>0</v>
      </c>
      <c r="P37" s="325">
        <f>SUMMARY!L39</f>
        <v>2.8419922440799456E-2</v>
      </c>
    </row>
    <row r="38" spans="1:16" s="261" customFormat="1">
      <c r="A38" s="263" t="s">
        <v>83</v>
      </c>
      <c r="B38" s="264" t="s">
        <v>20</v>
      </c>
      <c r="C38" s="480">
        <f>'[48]Sch C'!D18</f>
        <v>21845.66</v>
      </c>
      <c r="D38" s="480">
        <f>'[48]Sch C'!F18</f>
        <v>0</v>
      </c>
      <c r="E38" s="480">
        <f>+'[48]Sch C'!H18</f>
        <v>0</v>
      </c>
      <c r="F38" s="236">
        <f t="shared" si="5"/>
        <v>21845.66</v>
      </c>
      <c r="G38" s="628"/>
      <c r="H38" s="236"/>
      <c r="I38" s="236">
        <f t="shared" si="6"/>
        <v>21845.66</v>
      </c>
      <c r="J38" s="265">
        <f t="shared" si="7"/>
        <v>2.7167317388100015E-3</v>
      </c>
      <c r="K38" s="579"/>
      <c r="L38" s="446"/>
      <c r="M38" s="446"/>
      <c r="O38" s="325">
        <f t="shared" si="8"/>
        <v>0.87853534947317624</v>
      </c>
      <c r="P38" s="325">
        <f>SUMMARY!L40</f>
        <v>0.80988262736368721</v>
      </c>
    </row>
    <row r="39" spans="1:16" s="261" customFormat="1">
      <c r="A39" s="263" t="s">
        <v>84</v>
      </c>
      <c r="B39" s="264" t="s">
        <v>21</v>
      </c>
      <c r="C39" s="480">
        <f>'[48]Sch C'!D19</f>
        <v>25045.17</v>
      </c>
      <c r="D39" s="480">
        <f>'[48]Sch C'!F19</f>
        <v>0</v>
      </c>
      <c r="E39" s="480">
        <f>+'[48]Sch C'!H19</f>
        <v>0</v>
      </c>
      <c r="F39" s="236">
        <f t="shared" si="5"/>
        <v>25045.17</v>
      </c>
      <c r="G39" s="628"/>
      <c r="H39" s="236"/>
      <c r="I39" s="236">
        <f t="shared" si="6"/>
        <v>25045.17</v>
      </c>
      <c r="J39" s="265">
        <f t="shared" si="7"/>
        <v>3.1146236022574774E-3</v>
      </c>
      <c r="K39" s="579"/>
      <c r="L39" s="446"/>
      <c r="M39" s="446"/>
      <c r="O39" s="325">
        <f t="shared" si="8"/>
        <v>1.0072054210568648</v>
      </c>
      <c r="P39" s="325">
        <f>SUMMARY!L41</f>
        <v>0.82657763931017914</v>
      </c>
    </row>
    <row r="40" spans="1:16" s="261" customFormat="1">
      <c r="A40" s="263" t="s">
        <v>85</v>
      </c>
      <c r="B40" s="264" t="s">
        <v>22</v>
      </c>
      <c r="C40" s="480">
        <f>'[48]Sch C'!D20</f>
        <v>23861.919999999998</v>
      </c>
      <c r="D40" s="480">
        <f>'[48]Sch C'!F20+2580</f>
        <v>0</v>
      </c>
      <c r="E40" s="480">
        <f>+'[48]Sch C'!H20</f>
        <v>0</v>
      </c>
      <c r="F40" s="236">
        <f t="shared" si="5"/>
        <v>23861.919999999998</v>
      </c>
      <c r="G40" s="628"/>
      <c r="H40" s="480">
        <v>-2580</v>
      </c>
      <c r="I40" s="236">
        <f t="shared" si="6"/>
        <v>21281.919999999998</v>
      </c>
      <c r="J40" s="265">
        <f t="shared" si="7"/>
        <v>2.6466248914802917E-3</v>
      </c>
      <c r="K40" s="579"/>
      <c r="L40" s="446"/>
      <c r="M40" s="446"/>
      <c r="O40" s="325">
        <f t="shared" si="8"/>
        <v>0.85586423228504782</v>
      </c>
      <c r="P40" s="325">
        <f>SUMMARY!L42</f>
        <v>0.90392603551804096</v>
      </c>
    </row>
    <row r="41" spans="1:16" s="261" customFormat="1">
      <c r="A41" s="263" t="s">
        <v>86</v>
      </c>
      <c r="B41" s="264" t="s">
        <v>23</v>
      </c>
      <c r="C41" s="480">
        <f>'[48]Sch C'!D21</f>
        <v>3025.3799999999992</v>
      </c>
      <c r="D41" s="480">
        <f>'[48]Sch C'!F21-76251</f>
        <v>0</v>
      </c>
      <c r="E41" s="480">
        <f>+'[48]Sch C'!H21</f>
        <v>0</v>
      </c>
      <c r="F41" s="236">
        <f t="shared" si="5"/>
        <v>3025.3799999999992</v>
      </c>
      <c r="G41" s="628">
        <v>-1380</v>
      </c>
      <c r="H41" s="480">
        <v>76251</v>
      </c>
      <c r="I41" s="236">
        <f t="shared" si="6"/>
        <v>77896.38</v>
      </c>
      <c r="J41" s="265">
        <f t="shared" si="7"/>
        <v>9.6872132901640248E-3</v>
      </c>
      <c r="K41" s="579"/>
      <c r="L41" s="446"/>
      <c r="M41" s="446"/>
      <c r="O41" s="325">
        <f t="shared" si="8"/>
        <v>3.1326461835437951</v>
      </c>
      <c r="P41" s="325">
        <f>SUMMARY!L43</f>
        <v>1.1753464048909035</v>
      </c>
    </row>
    <row r="42" spans="1:16" s="261" customFormat="1">
      <c r="A42" s="257">
        <v>130</v>
      </c>
      <c r="B42" s="264" t="s">
        <v>24</v>
      </c>
      <c r="C42" s="480">
        <f>'[48]Sch C'!D22</f>
        <v>0</v>
      </c>
      <c r="D42" s="480">
        <f>'[48]Sch C'!F22</f>
        <v>0</v>
      </c>
      <c r="E42" s="480">
        <f>+'[48]Sch C'!H22</f>
        <v>0</v>
      </c>
      <c r="F42" s="236">
        <f t="shared" si="5"/>
        <v>0</v>
      </c>
      <c r="G42" s="628"/>
      <c r="H42" s="236"/>
      <c r="I42" s="236">
        <f t="shared" si="6"/>
        <v>0</v>
      </c>
      <c r="J42" s="265">
        <f t="shared" si="7"/>
        <v>0</v>
      </c>
      <c r="K42" s="579"/>
      <c r="L42" s="446"/>
      <c r="M42" s="446"/>
      <c r="O42" s="325">
        <f t="shared" si="8"/>
        <v>0</v>
      </c>
      <c r="P42" s="325">
        <f>SUMMARY!L44</f>
        <v>5.0122283354925422E-3</v>
      </c>
    </row>
    <row r="43" spans="1:16" s="261" customFormat="1">
      <c r="A43" s="257">
        <v>140</v>
      </c>
      <c r="B43" s="264" t="s">
        <v>141</v>
      </c>
      <c r="C43" s="480">
        <f>'[48]Sch C'!D23</f>
        <v>47991.670000000006</v>
      </c>
      <c r="D43" s="480">
        <f>'[48]Sch C'!F23-21759</f>
        <v>0</v>
      </c>
      <c r="E43" s="480">
        <f>+'[48]Sch C'!H23</f>
        <v>0</v>
      </c>
      <c r="F43" s="236">
        <f t="shared" si="5"/>
        <v>47991.670000000006</v>
      </c>
      <c r="G43" s="628">
        <f>-10873-2720</f>
        <v>-13593</v>
      </c>
      <c r="H43" s="480">
        <v>21759</v>
      </c>
      <c r="I43" s="236">
        <f t="shared" si="6"/>
        <v>56157.670000000006</v>
      </c>
      <c r="J43" s="265">
        <f t="shared" si="7"/>
        <v>6.9837818800905201E-3</v>
      </c>
      <c r="K43" s="579"/>
      <c r="L43" s="446"/>
      <c r="M43" s="446"/>
      <c r="O43" s="325">
        <f t="shared" si="8"/>
        <v>2.2584118877181698</v>
      </c>
      <c r="P43" s="325">
        <f>SUMMARY!L45</f>
        <v>0.72348899540311395</v>
      </c>
    </row>
    <row r="44" spans="1:16" s="261" customFormat="1">
      <c r="A44" s="257">
        <v>150</v>
      </c>
      <c r="B44" s="264" t="s">
        <v>25</v>
      </c>
      <c r="C44" s="480">
        <f>'[48]Sch C'!D24</f>
        <v>44624.340000000004</v>
      </c>
      <c r="D44" s="480">
        <f>'[48]Sch C'!F24</f>
        <v>0</v>
      </c>
      <c r="E44" s="480">
        <f>+'[48]Sch C'!H24</f>
        <v>0</v>
      </c>
      <c r="F44" s="236">
        <f t="shared" si="5"/>
        <v>44624.340000000004</v>
      </c>
      <c r="G44" s="628"/>
      <c r="H44" s="236"/>
      <c r="I44" s="236">
        <f t="shared" si="6"/>
        <v>44624.340000000004</v>
      </c>
      <c r="J44" s="265">
        <f t="shared" si="7"/>
        <v>5.5494940780662482E-3</v>
      </c>
      <c r="K44" s="579"/>
      <c r="L44" s="446"/>
      <c r="M44" s="446"/>
      <c r="O44" s="325">
        <f t="shared" si="8"/>
        <v>1.7945926164240329</v>
      </c>
      <c r="P44" s="325">
        <f>SUMMARY!L46</f>
        <v>1.4239131804333707</v>
      </c>
    </row>
    <row r="45" spans="1:16" s="261" customFormat="1">
      <c r="A45" s="257">
        <v>160</v>
      </c>
      <c r="B45" s="264" t="s">
        <v>26</v>
      </c>
      <c r="C45" s="480">
        <f>'[48]Sch C'!D25</f>
        <v>0</v>
      </c>
      <c r="D45" s="480">
        <f>'[48]Sch C'!F25</f>
        <v>0</v>
      </c>
      <c r="E45" s="480">
        <f>+'[48]Sch C'!H25</f>
        <v>0</v>
      </c>
      <c r="F45" s="236">
        <f t="shared" si="5"/>
        <v>0</v>
      </c>
      <c r="G45" s="628"/>
      <c r="H45" s="236"/>
      <c r="I45" s="236">
        <f t="shared" si="6"/>
        <v>0</v>
      </c>
      <c r="J45" s="265">
        <f t="shared" si="7"/>
        <v>0</v>
      </c>
      <c r="K45" s="579"/>
      <c r="L45" s="446"/>
      <c r="M45" s="446"/>
      <c r="O45" s="325">
        <f t="shared" si="8"/>
        <v>0</v>
      </c>
      <c r="P45" s="325">
        <f>SUMMARY!L47</f>
        <v>0.42470123769493451</v>
      </c>
    </row>
    <row r="46" spans="1:16" s="261" customFormat="1">
      <c r="A46" s="257">
        <v>170</v>
      </c>
      <c r="B46" s="264" t="s">
        <v>27</v>
      </c>
      <c r="C46" s="480">
        <f>'[48]Sch C'!D26</f>
        <v>484763.88</v>
      </c>
      <c r="D46" s="480">
        <f>'[48]Sch C'!F26</f>
        <v>0</v>
      </c>
      <c r="E46" s="480">
        <f>+'[48]Sch C'!H26</f>
        <v>0</v>
      </c>
      <c r="F46" s="236">
        <f t="shared" si="5"/>
        <v>484763.88</v>
      </c>
      <c r="G46" s="628"/>
      <c r="H46" s="236"/>
      <c r="I46" s="236">
        <f t="shared" si="6"/>
        <v>484763.88</v>
      </c>
      <c r="J46" s="265">
        <f t="shared" si="7"/>
        <v>6.0285357303221009E-2</v>
      </c>
      <c r="K46" s="579"/>
      <c r="L46" s="446"/>
      <c r="M46" s="446"/>
      <c r="O46" s="325">
        <f t="shared" si="8"/>
        <v>19.495048660822007</v>
      </c>
      <c r="P46" s="325">
        <f>SUMMARY!L48</f>
        <v>15.367126265775411</v>
      </c>
    </row>
    <row r="47" spans="1:16" s="261" customFormat="1">
      <c r="A47" s="257">
        <v>180</v>
      </c>
      <c r="B47" s="264" t="s">
        <v>28</v>
      </c>
      <c r="C47" s="480">
        <f>'[48]Sch C'!D27</f>
        <v>0</v>
      </c>
      <c r="D47" s="480">
        <f>'[48]Sch C'!F27-18555</f>
        <v>0.45999999999912689</v>
      </c>
      <c r="E47" s="480">
        <f>+'[48]Sch C'!H27</f>
        <v>0</v>
      </c>
      <c r="F47" s="236">
        <f t="shared" si="5"/>
        <v>0.45999999999912689</v>
      </c>
      <c r="G47" s="628"/>
      <c r="H47" s="480">
        <v>18555.46</v>
      </c>
      <c r="I47" s="236">
        <f t="shared" si="6"/>
        <v>18555.919999999998</v>
      </c>
      <c r="J47" s="265">
        <f t="shared" si="7"/>
        <v>2.3076188500058721E-3</v>
      </c>
      <c r="K47" s="579"/>
      <c r="L47" s="446"/>
      <c r="M47" s="446"/>
      <c r="O47" s="325">
        <f t="shared" si="8"/>
        <v>0.7462366283278371</v>
      </c>
      <c r="P47" s="325">
        <f>SUMMARY!L49</f>
        <v>0.48664573766381269</v>
      </c>
    </row>
    <row r="48" spans="1:16" s="261" customFormat="1">
      <c r="A48" s="257">
        <v>190</v>
      </c>
      <c r="B48" s="264" t="s">
        <v>29</v>
      </c>
      <c r="C48" s="480">
        <f>'[48]Sch C'!D28</f>
        <v>0</v>
      </c>
      <c r="D48" s="480">
        <f>'[48]Sch C'!F28</f>
        <v>0</v>
      </c>
      <c r="E48" s="480">
        <f>+'[48]Sch C'!H28</f>
        <v>0</v>
      </c>
      <c r="F48" s="236">
        <f t="shared" si="5"/>
        <v>0</v>
      </c>
      <c r="G48" s="628"/>
      <c r="H48" s="236"/>
      <c r="I48" s="236">
        <f t="shared" si="6"/>
        <v>0</v>
      </c>
      <c r="J48" s="265">
        <f t="shared" si="7"/>
        <v>0</v>
      </c>
      <c r="K48" s="579"/>
      <c r="L48" s="446"/>
      <c r="M48" s="446"/>
      <c r="O48" s="325">
        <f t="shared" si="8"/>
        <v>0</v>
      </c>
      <c r="P48" s="325">
        <f>SUMMARY!L50</f>
        <v>0</v>
      </c>
    </row>
    <row r="49" spans="1:16" s="261" customFormat="1">
      <c r="A49" s="257">
        <v>200</v>
      </c>
      <c r="B49" s="264" t="s">
        <v>30</v>
      </c>
      <c r="C49" s="480">
        <f>'[48]Sch C'!D29</f>
        <v>197211.66999999998</v>
      </c>
      <c r="D49" s="480">
        <f>'[48]Sch C'!F29</f>
        <v>-197211.66999999998</v>
      </c>
      <c r="E49" s="480">
        <f>+'[48]Sch C'!H29</f>
        <v>0</v>
      </c>
      <c r="F49" s="236">
        <f t="shared" si="5"/>
        <v>0</v>
      </c>
      <c r="G49" s="628"/>
      <c r="H49" s="236"/>
      <c r="I49" s="236">
        <f t="shared" si="6"/>
        <v>0</v>
      </c>
      <c r="J49" s="265">
        <f t="shared" si="7"/>
        <v>0</v>
      </c>
      <c r="K49" s="579"/>
      <c r="L49" s="446"/>
      <c r="M49" s="446"/>
      <c r="O49" s="325">
        <f t="shared" si="8"/>
        <v>0</v>
      </c>
      <c r="P49" s="325">
        <f>SUMMARY!L51</f>
        <v>0</v>
      </c>
    </row>
    <row r="50" spans="1:16" s="261" customFormat="1">
      <c r="A50" s="257">
        <v>210</v>
      </c>
      <c r="B50" s="264" t="s">
        <v>31</v>
      </c>
      <c r="C50" s="480">
        <f>'[48]Sch C'!D30</f>
        <v>0</v>
      </c>
      <c r="D50" s="480">
        <f>'[48]Sch C'!F30</f>
        <v>0</v>
      </c>
      <c r="E50" s="480">
        <f>+'[48]Sch C'!H30</f>
        <v>0</v>
      </c>
      <c r="F50" s="236">
        <f t="shared" si="5"/>
        <v>0</v>
      </c>
      <c r="G50" s="628"/>
      <c r="H50" s="236"/>
      <c r="I50" s="236">
        <f t="shared" si="6"/>
        <v>0</v>
      </c>
      <c r="J50" s="265">
        <f t="shared" si="7"/>
        <v>0</v>
      </c>
      <c r="K50" s="579"/>
      <c r="L50" s="446"/>
      <c r="M50" s="446"/>
      <c r="O50" s="325">
        <f t="shared" si="8"/>
        <v>0</v>
      </c>
      <c r="P50" s="325">
        <f>SUMMARY!L52</f>
        <v>0</v>
      </c>
    </row>
    <row r="51" spans="1:16" s="261" customFormat="1">
      <c r="A51" s="257">
        <v>220</v>
      </c>
      <c r="B51" s="264" t="s">
        <v>179</v>
      </c>
      <c r="C51" s="480">
        <f>'[48]Sch C'!D31</f>
        <v>7335.04</v>
      </c>
      <c r="D51" s="480">
        <f>'[48]Sch C'!F31</f>
        <v>0</v>
      </c>
      <c r="E51" s="480">
        <f>+'[48]Sch C'!H31</f>
        <v>0</v>
      </c>
      <c r="F51" s="236">
        <f t="shared" si="5"/>
        <v>7335.04</v>
      </c>
      <c r="G51" s="628">
        <v>65935</v>
      </c>
      <c r="H51" s="236"/>
      <c r="I51" s="236">
        <f t="shared" si="6"/>
        <v>73270.039999999994</v>
      </c>
      <c r="J51" s="265">
        <f t="shared" si="7"/>
        <v>9.111880491222437E-3</v>
      </c>
      <c r="K51" s="579"/>
      <c r="L51" s="446"/>
      <c r="M51" s="446"/>
      <c r="O51" s="325">
        <f t="shared" si="8"/>
        <v>2.9465953510817982</v>
      </c>
      <c r="P51" s="325">
        <f>SUMMARY!L53</f>
        <v>1.4965630085043737</v>
      </c>
    </row>
    <row r="52" spans="1:16" s="261" customFormat="1">
      <c r="A52" s="257">
        <v>230</v>
      </c>
      <c r="B52" s="264" t="s">
        <v>180</v>
      </c>
      <c r="C52" s="480">
        <f>'[48]Sch C'!D32</f>
        <v>143256.56</v>
      </c>
      <c r="D52" s="480">
        <f>'[48]Sch C'!F32</f>
        <v>0</v>
      </c>
      <c r="E52" s="480">
        <f>+'[48]Sch C'!H32</f>
        <v>0</v>
      </c>
      <c r="F52" s="236">
        <f t="shared" si="5"/>
        <v>143256.56</v>
      </c>
      <c r="G52" s="628"/>
      <c r="H52" s="236"/>
      <c r="I52" s="236">
        <f t="shared" si="6"/>
        <v>143256.56</v>
      </c>
      <c r="J52" s="265">
        <f t="shared" si="7"/>
        <v>1.7815421614395689E-2</v>
      </c>
      <c r="K52" s="579"/>
      <c r="L52" s="446"/>
      <c r="M52" s="446"/>
      <c r="O52" s="325">
        <f t="shared" si="8"/>
        <v>5.7611421217727017</v>
      </c>
      <c r="P52" s="325">
        <f>SUMMARY!L54</f>
        <v>2.4668444148593718</v>
      </c>
    </row>
    <row r="53" spans="1:16" s="261" customFormat="1">
      <c r="A53" s="257">
        <v>240</v>
      </c>
      <c r="B53" s="264" t="s">
        <v>185</v>
      </c>
      <c r="C53" s="480">
        <f>'[48]Sch C'!D33</f>
        <v>0</v>
      </c>
      <c r="D53" s="480">
        <f>'[48]Sch C'!F33</f>
        <v>0</v>
      </c>
      <c r="E53" s="480">
        <f>+'[48]Sch C'!H33</f>
        <v>0</v>
      </c>
      <c r="F53" s="236">
        <f t="shared" si="5"/>
        <v>0</v>
      </c>
      <c r="G53" s="628"/>
      <c r="H53" s="236"/>
      <c r="I53" s="236">
        <f t="shared" si="6"/>
        <v>0</v>
      </c>
      <c r="J53" s="265">
        <f t="shared" si="7"/>
        <v>0</v>
      </c>
      <c r="K53" s="579"/>
      <c r="L53" s="446"/>
      <c r="M53" s="446"/>
      <c r="O53" s="325">
        <f t="shared" si="8"/>
        <v>0</v>
      </c>
      <c r="P53" s="325">
        <f>SUMMARY!L55</f>
        <v>0</v>
      </c>
    </row>
    <row r="54" spans="1:16" s="261" customFormat="1">
      <c r="A54" s="257">
        <v>250</v>
      </c>
      <c r="B54" s="264" t="s">
        <v>186</v>
      </c>
      <c r="C54" s="480">
        <f>'[48]Sch C'!D34</f>
        <v>0</v>
      </c>
      <c r="D54" s="480">
        <f>'[48]Sch C'!F34-3095</f>
        <v>0</v>
      </c>
      <c r="E54" s="480">
        <f>+'[48]Sch C'!H34</f>
        <v>0</v>
      </c>
      <c r="F54" s="236">
        <f t="shared" si="5"/>
        <v>0</v>
      </c>
      <c r="G54" s="628"/>
      <c r="H54" s="480">
        <v>3095</v>
      </c>
      <c r="I54" s="236">
        <f t="shared" si="6"/>
        <v>3095</v>
      </c>
      <c r="J54" s="265">
        <f t="shared" si="7"/>
        <v>3.8489497372095672E-4</v>
      </c>
      <c r="K54" s="579"/>
      <c r="L54" s="446"/>
      <c r="M54" s="446"/>
      <c r="O54" s="325">
        <f t="shared" si="8"/>
        <v>0.12446714389125714</v>
      </c>
      <c r="P54" s="325">
        <f>SUMMARY!L56</f>
        <v>1.6479117061408751E-2</v>
      </c>
    </row>
    <row r="55" spans="1:16" s="261" customFormat="1">
      <c r="A55" s="257">
        <v>270</v>
      </c>
      <c r="B55" s="264" t="s">
        <v>187</v>
      </c>
      <c r="C55" s="480">
        <f>'[48]Sch C'!D35</f>
        <v>844.10999999999967</v>
      </c>
      <c r="D55" s="480">
        <f>'[48]Sch C'!F35</f>
        <v>-844.10999999999967</v>
      </c>
      <c r="E55" s="480">
        <f>+'[48]Sch C'!H35</f>
        <v>0</v>
      </c>
      <c r="F55" s="236">
        <f t="shared" si="5"/>
        <v>0</v>
      </c>
      <c r="G55" s="628"/>
      <c r="H55" s="236"/>
      <c r="I55" s="236">
        <f t="shared" si="6"/>
        <v>0</v>
      </c>
      <c r="J55" s="265">
        <f t="shared" si="7"/>
        <v>0</v>
      </c>
      <c r="K55" s="579"/>
      <c r="L55" s="446"/>
      <c r="M55" s="446"/>
      <c r="O55" s="325">
        <f t="shared" si="8"/>
        <v>0</v>
      </c>
      <c r="P55" s="325">
        <f>SUMMARY!L57</f>
        <v>0</v>
      </c>
    </row>
    <row r="56" spans="1:16" s="261" customFormat="1">
      <c r="A56" s="257">
        <v>280</v>
      </c>
      <c r="B56" s="264" t="s">
        <v>188</v>
      </c>
      <c r="C56" s="480">
        <f>'[48]Sch C'!D36</f>
        <v>0</v>
      </c>
      <c r="D56" s="480">
        <f>'[48]Sch C'!F36</f>
        <v>0</v>
      </c>
      <c r="E56" s="480">
        <f>+'[48]Sch C'!H36</f>
        <v>0</v>
      </c>
      <c r="F56" s="236">
        <f t="shared" si="5"/>
        <v>0</v>
      </c>
      <c r="G56" s="628">
        <v>54226</v>
      </c>
      <c r="H56" s="236"/>
      <c r="I56" s="236">
        <f t="shared" si="6"/>
        <v>54226</v>
      </c>
      <c r="J56" s="265">
        <f t="shared" si="7"/>
        <v>6.7435589159911468E-3</v>
      </c>
      <c r="K56" s="579"/>
      <c r="L56" s="428">
        <v>0</v>
      </c>
      <c r="M56" s="428">
        <v>0</v>
      </c>
      <c r="O56" s="325">
        <f t="shared" si="8"/>
        <v>2.1807287058634279</v>
      </c>
      <c r="P56" s="325">
        <f>SUMMARY!L58</f>
        <v>1.001605250150277</v>
      </c>
    </row>
    <row r="57" spans="1:16" s="261" customFormat="1">
      <c r="A57" s="257">
        <v>290</v>
      </c>
      <c r="B57" s="264" t="s">
        <v>189</v>
      </c>
      <c r="C57" s="480">
        <f>'[48]Sch C'!D37</f>
        <v>0</v>
      </c>
      <c r="D57" s="480">
        <f>'[48]Sch C'!F37</f>
        <v>0</v>
      </c>
      <c r="E57" s="480">
        <f>+'[48]Sch C'!H37</f>
        <v>0</v>
      </c>
      <c r="F57" s="236">
        <f t="shared" si="5"/>
        <v>0</v>
      </c>
      <c r="G57" s="628">
        <v>10206</v>
      </c>
      <c r="H57" s="236"/>
      <c r="I57" s="236">
        <f t="shared" si="6"/>
        <v>10206</v>
      </c>
      <c r="J57" s="265">
        <f t="shared" si="7"/>
        <v>1.2692207114042276E-3</v>
      </c>
      <c r="K57" s="579"/>
      <c r="L57" s="446"/>
      <c r="M57" s="446"/>
      <c r="O57" s="325">
        <f t="shared" si="8"/>
        <v>0.41043995817582241</v>
      </c>
      <c r="P57" s="325">
        <f>SUMMARY!L59</f>
        <v>0.15575226114614515</v>
      </c>
    </row>
    <row r="58" spans="1:16" s="261" customFormat="1">
      <c r="A58" s="257">
        <v>300</v>
      </c>
      <c r="B58" s="264" t="s">
        <v>190</v>
      </c>
      <c r="C58" s="480">
        <f>'[48]Sch C'!D38</f>
        <v>0</v>
      </c>
      <c r="D58" s="480">
        <f>'[48]Sch C'!F38</f>
        <v>0</v>
      </c>
      <c r="E58" s="480">
        <f>+'[48]Sch C'!H38</f>
        <v>0</v>
      </c>
      <c r="F58" s="236">
        <f t="shared" si="5"/>
        <v>0</v>
      </c>
      <c r="G58" s="628"/>
      <c r="H58" s="236"/>
      <c r="I58" s="236">
        <f t="shared" si="6"/>
        <v>0</v>
      </c>
      <c r="J58" s="265">
        <f t="shared" si="7"/>
        <v>0</v>
      </c>
      <c r="K58" s="579"/>
      <c r="L58" s="446"/>
      <c r="M58" s="446"/>
      <c r="O58" s="325">
        <f t="shared" si="8"/>
        <v>0</v>
      </c>
      <c r="P58" s="325">
        <f>SUMMARY!L60</f>
        <v>2.203221905251131E-3</v>
      </c>
    </row>
    <row r="59" spans="1:16" s="261" customFormat="1">
      <c r="A59" s="257">
        <v>310</v>
      </c>
      <c r="B59" s="264" t="s">
        <v>191</v>
      </c>
      <c r="C59" s="480">
        <f>'[48]Sch C'!D39</f>
        <v>10649.670000000002</v>
      </c>
      <c r="D59" s="480">
        <f>'[48]Sch C'!F39-4750</f>
        <v>0</v>
      </c>
      <c r="E59" s="480">
        <f>+'[48]Sch C'!H39</f>
        <v>0</v>
      </c>
      <c r="F59" s="236">
        <f t="shared" si="5"/>
        <v>10649.670000000002</v>
      </c>
      <c r="G59" s="628"/>
      <c r="H59" s="480">
        <v>4750</v>
      </c>
      <c r="I59" s="236">
        <f t="shared" si="6"/>
        <v>15399.670000000002</v>
      </c>
      <c r="J59" s="265">
        <f t="shared" si="7"/>
        <v>1.9151068109729906E-3</v>
      </c>
      <c r="K59" s="579"/>
      <c r="L59" s="446"/>
      <c r="M59" s="446"/>
      <c r="O59" s="325">
        <f t="shared" si="8"/>
        <v>0.61930628166974988</v>
      </c>
      <c r="P59" s="325">
        <f>SUMMARY!L61</f>
        <v>0.34455056155574998</v>
      </c>
    </row>
    <row r="60" spans="1:16" s="261" customFormat="1">
      <c r="A60" s="257">
        <v>320</v>
      </c>
      <c r="B60" s="264" t="s">
        <v>192</v>
      </c>
      <c r="C60" s="480">
        <f>'[48]Sch C'!D40</f>
        <v>5213.8500000000004</v>
      </c>
      <c r="D60" s="480">
        <f>'[48]Sch C'!F40</f>
        <v>-5213.8500000000004</v>
      </c>
      <c r="E60" s="480">
        <f>+'[48]Sch C'!H40</f>
        <v>0</v>
      </c>
      <c r="F60" s="236">
        <f t="shared" si="5"/>
        <v>0</v>
      </c>
      <c r="G60" s="628"/>
      <c r="H60" s="236"/>
      <c r="I60" s="236">
        <f t="shared" si="6"/>
        <v>0</v>
      </c>
      <c r="J60" s="265">
        <f t="shared" si="7"/>
        <v>0</v>
      </c>
      <c r="K60" s="579"/>
      <c r="L60" s="446"/>
      <c r="M60" s="446"/>
      <c r="O60" s="325">
        <f t="shared" si="8"/>
        <v>0</v>
      </c>
      <c r="P60" s="325">
        <f>SUMMARY!L62</f>
        <v>0.15992401847550186</v>
      </c>
    </row>
    <row r="61" spans="1:16" s="261" customFormat="1">
      <c r="A61" s="257">
        <v>330</v>
      </c>
      <c r="B61" s="264" t="s">
        <v>40</v>
      </c>
      <c r="C61" s="480">
        <f>'[48]Sch C'!D41</f>
        <v>57332.59</v>
      </c>
      <c r="D61" s="480">
        <f>'[48]Sch C'!F41</f>
        <v>0</v>
      </c>
      <c r="E61" s="480">
        <f>+'[48]Sch C'!H41</f>
        <v>0</v>
      </c>
      <c r="F61" s="236">
        <f t="shared" si="5"/>
        <v>57332.59</v>
      </c>
      <c r="G61" s="628">
        <v>1380</v>
      </c>
      <c r="H61" s="236"/>
      <c r="I61" s="236">
        <f t="shared" si="6"/>
        <v>58712.59</v>
      </c>
      <c r="J61" s="265">
        <f t="shared" si="7"/>
        <v>7.3015123699965443E-3</v>
      </c>
      <c r="K61" s="579"/>
      <c r="L61" s="446"/>
      <c r="M61" s="446"/>
      <c r="O61" s="325">
        <f t="shared" si="8"/>
        <v>2.3611594144615138</v>
      </c>
      <c r="P61" s="325">
        <f>SUMMARY!L63</f>
        <v>2.4880217241389828</v>
      </c>
    </row>
    <row r="62" spans="1:16" s="261" customFormat="1">
      <c r="A62" s="257">
        <v>340</v>
      </c>
      <c r="B62" s="264" t="s">
        <v>193</v>
      </c>
      <c r="C62" s="480">
        <f>'[48]Sch C'!D42</f>
        <v>0</v>
      </c>
      <c r="D62" s="480">
        <f>'[48]Sch C'!F42-4702</f>
        <v>0</v>
      </c>
      <c r="E62" s="480">
        <f>+'[48]Sch C'!H42</f>
        <v>0</v>
      </c>
      <c r="F62" s="236">
        <f t="shared" si="5"/>
        <v>0</v>
      </c>
      <c r="G62" s="628"/>
      <c r="H62" s="480">
        <v>4702</v>
      </c>
      <c r="I62" s="236">
        <f t="shared" si="6"/>
        <v>4702</v>
      </c>
      <c r="J62" s="265">
        <f t="shared" si="7"/>
        <v>5.8474189545587672E-4</v>
      </c>
      <c r="K62" s="579"/>
      <c r="L62" s="446"/>
      <c r="M62" s="446"/>
      <c r="O62" s="325">
        <f t="shared" si="8"/>
        <v>0.18909354138180648</v>
      </c>
      <c r="P62" s="325">
        <f>SUMMARY!L64</f>
        <v>0.18301067435151055</v>
      </c>
    </row>
    <row r="63" spans="1:16" s="261" customFormat="1">
      <c r="A63" s="257">
        <v>350</v>
      </c>
      <c r="B63" s="264" t="s">
        <v>194</v>
      </c>
      <c r="C63" s="480">
        <f>'[48]Sch C'!D43</f>
        <v>0</v>
      </c>
      <c r="D63" s="480">
        <f>'[48]Sch C'!F43</f>
        <v>0</v>
      </c>
      <c r="E63" s="480">
        <f>+'[48]Sch C'!H43</f>
        <v>0</v>
      </c>
      <c r="F63" s="236">
        <f t="shared" si="5"/>
        <v>0</v>
      </c>
      <c r="G63" s="628"/>
      <c r="H63" s="236"/>
      <c r="I63" s="236">
        <f t="shared" si="6"/>
        <v>0</v>
      </c>
      <c r="J63" s="265">
        <f t="shared" si="7"/>
        <v>0</v>
      </c>
      <c r="K63" s="579"/>
      <c r="L63" s="446"/>
      <c r="M63" s="446"/>
      <c r="O63" s="325">
        <f t="shared" si="8"/>
        <v>0</v>
      </c>
      <c r="P63" s="325">
        <f>SUMMARY!L65</f>
        <v>5.2846978346530885E-3</v>
      </c>
    </row>
    <row r="64" spans="1:16" s="261" customFormat="1">
      <c r="A64" s="257">
        <v>360</v>
      </c>
      <c r="B64" s="264" t="s">
        <v>195</v>
      </c>
      <c r="C64" s="480">
        <f>'[48]Sch C'!D44</f>
        <v>765</v>
      </c>
      <c r="D64" s="480">
        <f>'[48]Sch C'!F44</f>
        <v>0</v>
      </c>
      <c r="E64" s="480">
        <f>+'[48]Sch C'!H44</f>
        <v>0</v>
      </c>
      <c r="F64" s="236">
        <f t="shared" si="5"/>
        <v>765</v>
      </c>
      <c r="G64" s="628"/>
      <c r="H64" s="236"/>
      <c r="I64" s="236">
        <f t="shared" si="6"/>
        <v>765</v>
      </c>
      <c r="J64" s="265">
        <f t="shared" si="7"/>
        <v>9.5135591242821279E-5</v>
      </c>
      <c r="K64" s="579"/>
      <c r="L64" s="446"/>
      <c r="M64" s="446"/>
      <c r="O64" s="325">
        <f t="shared" si="8"/>
        <v>3.0764899863267112E-2</v>
      </c>
      <c r="P64" s="325">
        <f>SUMMARY!L66</f>
        <v>6.2782191322027911E-3</v>
      </c>
    </row>
    <row r="65" spans="1:16" s="261" customFormat="1">
      <c r="A65" s="257">
        <v>490</v>
      </c>
      <c r="B65" s="264" t="s">
        <v>32</v>
      </c>
      <c r="C65" s="480">
        <f>'[48]Sch C'!D45</f>
        <v>4611.07</v>
      </c>
      <c r="D65" s="480">
        <f>'[48]Sch C'!F45-7103</f>
        <v>0</v>
      </c>
      <c r="E65" s="480">
        <f>+'[48]Sch C'!H45</f>
        <v>0</v>
      </c>
      <c r="F65" s="236">
        <f t="shared" si="5"/>
        <v>4611.07</v>
      </c>
      <c r="G65" s="628">
        <f>-3121+655+61985</f>
        <v>59519</v>
      </c>
      <c r="H65" s="480">
        <v>7103</v>
      </c>
      <c r="I65" s="236">
        <f t="shared" si="6"/>
        <v>71233.070000000007</v>
      </c>
      <c r="J65" s="265">
        <f t="shared" si="7"/>
        <v>8.8585623927990541E-3</v>
      </c>
      <c r="K65" s="579"/>
      <c r="L65" s="446"/>
      <c r="M65" s="446"/>
      <c r="O65" s="325">
        <f t="shared" si="8"/>
        <v>2.8646774712458782</v>
      </c>
      <c r="P65" s="325">
        <f>SUMMARY!L67</f>
        <v>0.59230987926739842</v>
      </c>
    </row>
    <row r="66" spans="1:16" s="261" customFormat="1">
      <c r="A66" s="257"/>
      <c r="B66" s="264" t="s">
        <v>168</v>
      </c>
      <c r="C66" s="480">
        <f t="shared" ref="C66:E66" si="9">SUM(C30:C65)</f>
        <v>2073715.8300000003</v>
      </c>
      <c r="D66" s="480">
        <f t="shared" si="9"/>
        <v>-275443.26</v>
      </c>
      <c r="E66" s="480">
        <f t="shared" si="9"/>
        <v>0</v>
      </c>
      <c r="F66" s="236">
        <f t="shared" ref="F66:I66" si="10">SUM(F30:F65)</f>
        <v>1798272.5700000003</v>
      </c>
      <c r="G66" s="236">
        <f t="shared" si="10"/>
        <v>176293</v>
      </c>
      <c r="H66" s="236">
        <f t="shared" si="10"/>
        <v>-74588.440000000031</v>
      </c>
      <c r="I66" s="236">
        <f t="shared" si="10"/>
        <v>1899977.1300000004</v>
      </c>
      <c r="J66" s="178">
        <f t="shared" si="7"/>
        <v>0.23628163086325327</v>
      </c>
      <c r="K66" s="465"/>
      <c r="L66" s="446"/>
      <c r="M66" s="446"/>
      <c r="O66" s="332">
        <f>I66/I$233</f>
        <v>76.40863548620608</v>
      </c>
      <c r="P66" s="325">
        <f>SUMMARY!L68</f>
        <v>59.215800022194173</v>
      </c>
    </row>
    <row r="67" spans="1:16" s="261" customFormat="1" ht="15.5">
      <c r="A67" s="257"/>
      <c r="C67" s="160"/>
      <c r="D67" s="160"/>
      <c r="E67" s="160"/>
      <c r="F67" s="259"/>
      <c r="G67" s="259"/>
      <c r="H67"/>
      <c r="I67" s="259"/>
      <c r="J67" s="179"/>
      <c r="K67" s="466"/>
      <c r="L67" s="446"/>
      <c r="M67" s="446"/>
      <c r="O67" s="325"/>
      <c r="P67" s="325"/>
    </row>
    <row r="68" spans="1:16" s="261" customFormat="1" ht="15.5">
      <c r="A68" s="263" t="s">
        <v>154</v>
      </c>
      <c r="B68" s="264" t="s">
        <v>169</v>
      </c>
      <c r="C68" s="160"/>
      <c r="D68" s="160"/>
      <c r="E68" s="160"/>
      <c r="F68" s="259"/>
      <c r="G68" s="259"/>
      <c r="H68"/>
      <c r="I68" s="259"/>
      <c r="J68" s="179"/>
      <c r="K68" s="466"/>
      <c r="L68" s="446"/>
      <c r="M68" s="446"/>
      <c r="O68" s="325"/>
      <c r="P68" s="325"/>
    </row>
    <row r="69" spans="1:16" s="261" customFormat="1">
      <c r="A69" s="275">
        <v>230</v>
      </c>
      <c r="B69" s="276" t="s">
        <v>234</v>
      </c>
      <c r="C69" s="480">
        <f>'[48]Sch C'!D57</f>
        <v>859209.96</v>
      </c>
      <c r="D69" s="480">
        <f>'[48]Sch C'!F57</f>
        <v>0</v>
      </c>
      <c r="E69" s="480">
        <f>+'[48]Sch C'!H57</f>
        <v>-859209.96</v>
      </c>
      <c r="F69" s="236">
        <f t="shared" ref="F69:F83" si="11">C69+D69+E69</f>
        <v>0</v>
      </c>
      <c r="G69" s="628"/>
      <c r="H69" s="236"/>
      <c r="I69" s="236">
        <f>F69+G69+H69</f>
        <v>0</v>
      </c>
      <c r="J69" s="265">
        <f t="shared" ref="J69:J84" si="12">IF($I$213=0,0,I69/$I$213)</f>
        <v>0</v>
      </c>
      <c r="K69" s="579"/>
      <c r="L69" s="447"/>
      <c r="M69" s="446"/>
      <c r="O69" s="325">
        <f t="shared" ref="O69:O84" si="13">I69/I$233</f>
        <v>0</v>
      </c>
      <c r="P69" s="325">
        <f>SUMMARY!L71</f>
        <v>5.5678350677000719</v>
      </c>
    </row>
    <row r="70" spans="1:16" s="261" customFormat="1">
      <c r="A70" s="277">
        <v>240</v>
      </c>
      <c r="B70" s="276" t="s">
        <v>235</v>
      </c>
      <c r="C70" s="480">
        <f>'[48]Sch C'!D58</f>
        <v>13656.96</v>
      </c>
      <c r="D70" s="480">
        <f>'[48]Sch C'!F58-7753.5</f>
        <v>0</v>
      </c>
      <c r="E70" s="480">
        <f>+'[48]Sch C'!H58</f>
        <v>127457.04</v>
      </c>
      <c r="F70" s="236">
        <f t="shared" si="11"/>
        <v>141114</v>
      </c>
      <c r="G70" s="628"/>
      <c r="H70" s="480">
        <v>7753.5</v>
      </c>
      <c r="I70" s="236">
        <f t="shared" ref="I70:I83" si="14">F70+G70+H70</f>
        <v>148867.5</v>
      </c>
      <c r="J70" s="265">
        <f t="shared" si="12"/>
        <v>1.8513199515478036E-2</v>
      </c>
      <c r="K70" s="579"/>
      <c r="L70" s="447"/>
      <c r="M70" s="446"/>
      <c r="O70" s="325">
        <f t="shared" si="13"/>
        <v>5.9867891900587145</v>
      </c>
      <c r="P70" s="325">
        <f>SUMMARY!L72</f>
        <v>7.239229297174937</v>
      </c>
    </row>
    <row r="71" spans="1:16" s="261" customFormat="1">
      <c r="A71" s="278">
        <v>250</v>
      </c>
      <c r="B71" s="276" t="s">
        <v>288</v>
      </c>
      <c r="C71" s="480">
        <f>'[48]Sch C'!D59</f>
        <v>0</v>
      </c>
      <c r="D71" s="480">
        <f>'[48]Sch C'!F59</f>
        <v>0</v>
      </c>
      <c r="E71" s="480">
        <f>+'[48]Sch C'!H59</f>
        <v>224205.21</v>
      </c>
      <c r="F71" s="236">
        <f t="shared" si="11"/>
        <v>224205.21</v>
      </c>
      <c r="G71" s="628"/>
      <c r="H71" s="236"/>
      <c r="I71" s="236">
        <f t="shared" si="14"/>
        <v>224205.21</v>
      </c>
      <c r="J71" s="265">
        <f t="shared" si="12"/>
        <v>2.7882215964798569E-2</v>
      </c>
      <c r="K71" s="579"/>
      <c r="L71" s="447"/>
      <c r="M71" s="446"/>
      <c r="O71" s="325">
        <f t="shared" si="13"/>
        <v>9.0165370385265025</v>
      </c>
      <c r="P71" s="325">
        <f>SUMMARY!L73</f>
        <v>5.8636471293295891</v>
      </c>
    </row>
    <row r="72" spans="1:16" s="261" customFormat="1">
      <c r="A72" s="278">
        <v>260</v>
      </c>
      <c r="B72" s="279" t="s">
        <v>289</v>
      </c>
      <c r="C72" s="480">
        <f>'[48]Sch C'!D60</f>
        <v>41390.07</v>
      </c>
      <c r="D72" s="480">
        <f>'[48]Sch C'!F60</f>
        <v>-3212.0099999999998</v>
      </c>
      <c r="E72" s="480">
        <f>+'[48]Sch C'!H60</f>
        <v>0</v>
      </c>
      <c r="F72" s="236">
        <f t="shared" si="11"/>
        <v>38178.06</v>
      </c>
      <c r="G72" s="628"/>
      <c r="H72" s="236"/>
      <c r="I72" s="236">
        <f t="shared" si="14"/>
        <v>38178.06</v>
      </c>
      <c r="J72" s="265">
        <f t="shared" si="12"/>
        <v>4.7478330857567393E-3</v>
      </c>
      <c r="K72" s="579"/>
      <c r="L72" s="448"/>
      <c r="M72" s="446"/>
      <c r="O72" s="325">
        <f t="shared" si="13"/>
        <v>1.535351886109547</v>
      </c>
      <c r="P72" s="325">
        <f>SUMMARY!L74</f>
        <v>1.2959622397945991</v>
      </c>
    </row>
    <row r="73" spans="1:16" s="261" customFormat="1">
      <c r="A73" s="278">
        <v>270</v>
      </c>
      <c r="B73" s="279" t="s">
        <v>290</v>
      </c>
      <c r="C73" s="480">
        <f>'[48]Sch C'!D61</f>
        <v>15456.029999999999</v>
      </c>
      <c r="D73" s="480">
        <f>'[48]Sch C'!F61</f>
        <v>2026</v>
      </c>
      <c r="E73" s="480">
        <f>+'[48]Sch C'!H61</f>
        <v>0</v>
      </c>
      <c r="F73" s="236">
        <f t="shared" si="11"/>
        <v>17482.03</v>
      </c>
      <c r="G73" s="628"/>
      <c r="H73" s="236"/>
      <c r="I73" s="236">
        <f t="shared" si="14"/>
        <v>17482.03</v>
      </c>
      <c r="J73" s="265">
        <f t="shared" si="12"/>
        <v>2.1740696211434494E-3</v>
      </c>
      <c r="K73" s="579"/>
      <c r="L73" s="448"/>
      <c r="M73" s="446"/>
      <c r="O73" s="325">
        <f t="shared" si="13"/>
        <v>0.70304954556422417</v>
      </c>
      <c r="P73" s="325">
        <f>SUMMARY!L75</f>
        <v>0.50050008022994208</v>
      </c>
    </row>
    <row r="74" spans="1:16" s="261" customFormat="1">
      <c r="A74" s="278">
        <v>280</v>
      </c>
      <c r="B74" s="280" t="s">
        <v>239</v>
      </c>
      <c r="C74" s="480">
        <f>'[48]Sch C'!D62</f>
        <v>10331.49</v>
      </c>
      <c r="D74" s="480">
        <f>'[48]Sch C'!F62</f>
        <v>0</v>
      </c>
      <c r="E74" s="480">
        <f>+'[48]Sch C'!H62</f>
        <v>0</v>
      </c>
      <c r="F74" s="236">
        <f t="shared" si="11"/>
        <v>10331.49</v>
      </c>
      <c r="G74" s="628"/>
      <c r="H74" s="236"/>
      <c r="I74" s="236">
        <f t="shared" si="14"/>
        <v>10331.49</v>
      </c>
      <c r="J74" s="265">
        <f t="shared" si="12"/>
        <v>1.28482667917555E-3</v>
      </c>
      <c r="K74" s="579"/>
      <c r="L74" s="449"/>
      <c r="M74" s="446"/>
      <c r="O74" s="325">
        <f t="shared" si="13"/>
        <v>0.41548660822005951</v>
      </c>
      <c r="P74" s="325">
        <f>SUMMARY!L76</f>
        <v>0.18067081385468792</v>
      </c>
    </row>
    <row r="75" spans="1:16" s="261" customFormat="1">
      <c r="A75" s="278">
        <v>290</v>
      </c>
      <c r="B75" s="280" t="s">
        <v>240</v>
      </c>
      <c r="C75" s="480">
        <f>'[48]Sch C'!D63</f>
        <v>0</v>
      </c>
      <c r="D75" s="480">
        <f>'[48]Sch C'!F63</f>
        <v>0</v>
      </c>
      <c r="E75" s="480">
        <f>+'[48]Sch C'!H63</f>
        <v>0</v>
      </c>
      <c r="F75" s="236">
        <f t="shared" si="11"/>
        <v>0</v>
      </c>
      <c r="G75" s="628"/>
      <c r="H75" s="236"/>
      <c r="I75" s="236">
        <f t="shared" si="14"/>
        <v>0</v>
      </c>
      <c r="J75" s="265">
        <f t="shared" si="12"/>
        <v>0</v>
      </c>
      <c r="K75" s="579"/>
      <c r="L75" s="449"/>
      <c r="M75" s="446"/>
      <c r="O75" s="325">
        <f t="shared" si="13"/>
        <v>0</v>
      </c>
      <c r="P75" s="325">
        <f>SUMMARY!L77</f>
        <v>1.4662156559309312E-3</v>
      </c>
    </row>
    <row r="76" spans="1:16" s="261" customFormat="1">
      <c r="A76" s="278">
        <v>300</v>
      </c>
      <c r="B76" s="280" t="s">
        <v>241</v>
      </c>
      <c r="C76" s="480">
        <f>'[48]Sch C'!D64</f>
        <v>0</v>
      </c>
      <c r="D76" s="480">
        <f>'[48]Sch C'!F64</f>
        <v>0</v>
      </c>
      <c r="E76" s="480">
        <f>+'[48]Sch C'!H64</f>
        <v>0</v>
      </c>
      <c r="F76" s="236">
        <f t="shared" si="11"/>
        <v>0</v>
      </c>
      <c r="G76" s="628"/>
      <c r="H76" s="236"/>
      <c r="I76" s="236">
        <f t="shared" si="14"/>
        <v>0</v>
      </c>
      <c r="J76" s="265">
        <f t="shared" si="12"/>
        <v>0</v>
      </c>
      <c r="K76" s="579"/>
      <c r="L76" s="449"/>
      <c r="M76" s="446"/>
      <c r="O76" s="325">
        <f t="shared" si="13"/>
        <v>0</v>
      </c>
      <c r="P76" s="325">
        <f>SUMMARY!L78</f>
        <v>0</v>
      </c>
    </row>
    <row r="77" spans="1:16" s="261" customFormat="1">
      <c r="A77" s="278">
        <v>310</v>
      </c>
      <c r="B77" s="280" t="s">
        <v>291</v>
      </c>
      <c r="C77" s="480">
        <f>'[48]Sch C'!D65</f>
        <v>0</v>
      </c>
      <c r="D77" s="480">
        <f>'[48]Sch C'!F65</f>
        <v>0</v>
      </c>
      <c r="E77" s="480">
        <f>+'[48]Sch C'!H65</f>
        <v>0</v>
      </c>
      <c r="F77" s="236">
        <f t="shared" si="11"/>
        <v>0</v>
      </c>
      <c r="G77" s="628"/>
      <c r="H77" s="236"/>
      <c r="I77" s="236">
        <f t="shared" si="14"/>
        <v>0</v>
      </c>
      <c r="J77" s="265">
        <f t="shared" si="12"/>
        <v>0</v>
      </c>
      <c r="K77" s="579"/>
      <c r="L77" s="449"/>
      <c r="M77" s="446"/>
      <c r="O77" s="325">
        <f t="shared" si="13"/>
        <v>0</v>
      </c>
      <c r="P77" s="325">
        <f>SUMMARY!L79</f>
        <v>0.14437446490936168</v>
      </c>
    </row>
    <row r="78" spans="1:16" s="261" customFormat="1">
      <c r="A78" s="278">
        <v>320</v>
      </c>
      <c r="B78" s="280" t="s">
        <v>243</v>
      </c>
      <c r="C78" s="480">
        <f>'[48]Sch C'!D66</f>
        <v>0</v>
      </c>
      <c r="D78" s="480">
        <f>'[48]Sch C'!F66</f>
        <v>0</v>
      </c>
      <c r="E78" s="480">
        <f>+'[48]Sch C'!H66</f>
        <v>0</v>
      </c>
      <c r="F78" s="236">
        <f t="shared" si="11"/>
        <v>0</v>
      </c>
      <c r="G78" s="628">
        <f>4013+1084</f>
        <v>5097</v>
      </c>
      <c r="H78" s="236"/>
      <c r="I78" s="236">
        <f t="shared" si="14"/>
        <v>5097</v>
      </c>
      <c r="J78" s="265">
        <f t="shared" si="12"/>
        <v>6.3386419420217001E-4</v>
      </c>
      <c r="K78" s="579"/>
      <c r="L78" s="449"/>
      <c r="M78" s="446"/>
      <c r="O78" s="325">
        <f t="shared" si="13"/>
        <v>0.20497868575565029</v>
      </c>
      <c r="P78" s="325">
        <f>SUMMARY!L80</f>
        <v>1.1839694573213462</v>
      </c>
    </row>
    <row r="79" spans="1:16" s="261" customFormat="1">
      <c r="A79" s="278">
        <v>330</v>
      </c>
      <c r="B79" s="280" t="s">
        <v>244</v>
      </c>
      <c r="C79" s="480">
        <f>'[48]Sch C'!D67</f>
        <v>50098.39</v>
      </c>
      <c r="D79" s="480">
        <f>'[48]Sch C'!F67-4343</f>
        <v>0.4500000000007276</v>
      </c>
      <c r="E79" s="480">
        <f>+'[48]Sch C'!H67</f>
        <v>0</v>
      </c>
      <c r="F79" s="236">
        <f t="shared" si="11"/>
        <v>50098.84</v>
      </c>
      <c r="G79" s="628"/>
      <c r="H79" s="480">
        <v>4343.4500000000007</v>
      </c>
      <c r="I79" s="236">
        <f t="shared" si="14"/>
        <v>54442.289999999994</v>
      </c>
      <c r="J79" s="265">
        <f t="shared" si="12"/>
        <v>6.7704567944616156E-3</v>
      </c>
      <c r="K79" s="579"/>
      <c r="L79" s="449"/>
      <c r="M79" s="446"/>
      <c r="O79" s="325">
        <f t="shared" si="13"/>
        <v>2.1894269283358803</v>
      </c>
      <c r="P79" s="325">
        <f>SUMMARY!L81</f>
        <v>2.3883190965570051</v>
      </c>
    </row>
    <row r="80" spans="1:16" s="261" customFormat="1">
      <c r="A80" s="278">
        <v>340</v>
      </c>
      <c r="B80" s="280" t="s">
        <v>245</v>
      </c>
      <c r="C80" s="480">
        <f>'[48]Sch C'!D68</f>
        <v>0</v>
      </c>
      <c r="D80" s="480">
        <f>'[48]Sch C'!F68</f>
        <v>0</v>
      </c>
      <c r="E80" s="480">
        <f>+'[48]Sch C'!H68</f>
        <v>0</v>
      </c>
      <c r="F80" s="236">
        <f t="shared" si="11"/>
        <v>0</v>
      </c>
      <c r="G80" s="628"/>
      <c r="H80" s="236"/>
      <c r="I80" s="236">
        <f t="shared" si="14"/>
        <v>0</v>
      </c>
      <c r="J80" s="265">
        <f t="shared" si="12"/>
        <v>0</v>
      </c>
      <c r="K80" s="579"/>
      <c r="L80" s="449"/>
      <c r="M80" s="446"/>
      <c r="O80" s="325">
        <f t="shared" si="13"/>
        <v>0</v>
      </c>
      <c r="P80" s="325">
        <f>SUMMARY!L82</f>
        <v>0.12636843743302953</v>
      </c>
    </row>
    <row r="81" spans="1:16" s="261" customFormat="1">
      <c r="A81" s="261">
        <v>350</v>
      </c>
      <c r="B81" s="187" t="s">
        <v>292</v>
      </c>
      <c r="C81" s="480">
        <f>'[48]Sch C'!D69</f>
        <v>0</v>
      </c>
      <c r="D81" s="480">
        <f>'[48]Sch C'!F69</f>
        <v>4354.4299999999994</v>
      </c>
      <c r="E81" s="480">
        <f>+'[48]Sch C'!H69</f>
        <v>0</v>
      </c>
      <c r="F81" s="236">
        <f t="shared" si="11"/>
        <v>4354.4299999999994</v>
      </c>
      <c r="G81" s="628"/>
      <c r="H81" s="236"/>
      <c r="I81" s="236">
        <f t="shared" si="14"/>
        <v>4354.4299999999994</v>
      </c>
      <c r="J81" s="265">
        <f t="shared" si="12"/>
        <v>5.4151800336663819E-4</v>
      </c>
      <c r="K81" s="579"/>
      <c r="L81" s="449"/>
      <c r="M81" s="446"/>
      <c r="O81" s="325">
        <f t="shared" si="13"/>
        <v>0.17511582079948521</v>
      </c>
      <c r="P81" s="325">
        <f>SUMMARY!L83</f>
        <v>0.19472433207226941</v>
      </c>
    </row>
    <row r="82" spans="1:16" s="261" customFormat="1">
      <c r="A82" s="278">
        <v>360</v>
      </c>
      <c r="B82" s="280" t="s">
        <v>181</v>
      </c>
      <c r="C82" s="480">
        <f>'[48]Sch C'!D70</f>
        <v>0</v>
      </c>
      <c r="D82" s="480">
        <f>'[48]Sch C'!F70</f>
        <v>0</v>
      </c>
      <c r="E82" s="480">
        <f>+'[48]Sch C'!H70</f>
        <v>0</v>
      </c>
      <c r="F82" s="236">
        <f t="shared" si="11"/>
        <v>0</v>
      </c>
      <c r="G82" s="628"/>
      <c r="H82" s="236"/>
      <c r="I82" s="236">
        <f t="shared" si="14"/>
        <v>0</v>
      </c>
      <c r="J82" s="265">
        <f t="shared" si="12"/>
        <v>0</v>
      </c>
      <c r="K82" s="579"/>
      <c r="L82" s="449"/>
      <c r="M82" s="446"/>
      <c r="O82" s="325">
        <f t="shared" si="13"/>
        <v>0</v>
      </c>
      <c r="P82" s="325">
        <f>SUMMARY!L84</f>
        <v>1.2406564424643622E-2</v>
      </c>
    </row>
    <row r="83" spans="1:16" s="261" customFormat="1">
      <c r="A83" s="278">
        <v>490</v>
      </c>
      <c r="B83" s="280" t="s">
        <v>293</v>
      </c>
      <c r="C83" s="480">
        <f>'[48]Sch C'!D71</f>
        <v>0</v>
      </c>
      <c r="D83" s="480">
        <f>'[48]Sch C'!F71</f>
        <v>0</v>
      </c>
      <c r="E83" s="480">
        <f>+'[48]Sch C'!H71</f>
        <v>0</v>
      </c>
      <c r="F83" s="236">
        <f t="shared" si="11"/>
        <v>0</v>
      </c>
      <c r="G83" s="628"/>
      <c r="H83" s="236"/>
      <c r="I83" s="236">
        <f t="shared" si="14"/>
        <v>0</v>
      </c>
      <c r="J83" s="265">
        <f t="shared" si="12"/>
        <v>0</v>
      </c>
      <c r="K83" s="579"/>
      <c r="L83" s="449"/>
      <c r="M83" s="446"/>
      <c r="O83" s="325">
        <f t="shared" si="13"/>
        <v>0</v>
      </c>
      <c r="P83" s="325">
        <f>SUMMARY!L85</f>
        <v>4.4804703255419236E-3</v>
      </c>
    </row>
    <row r="84" spans="1:16" s="261" customFormat="1">
      <c r="A84" s="257"/>
      <c r="B84" s="264" t="s">
        <v>142</v>
      </c>
      <c r="C84" s="480">
        <f t="shared" ref="C84:E84" si="15">SUM(C69:C83)</f>
        <v>990142.89999999991</v>
      </c>
      <c r="D84" s="480">
        <f t="shared" si="15"/>
        <v>3168.8700000000003</v>
      </c>
      <c r="E84" s="480">
        <f t="shared" si="15"/>
        <v>-507547.70999999996</v>
      </c>
      <c r="F84" s="236">
        <f t="shared" ref="F84:I84" si="16">SUM(F69:F83)</f>
        <v>485764.05999999988</v>
      </c>
      <c r="G84" s="236">
        <f t="shared" si="16"/>
        <v>5097</v>
      </c>
      <c r="H84" s="236">
        <f t="shared" si="16"/>
        <v>12096.95</v>
      </c>
      <c r="I84" s="236">
        <f t="shared" si="16"/>
        <v>502958.00999999989</v>
      </c>
      <c r="J84" s="265">
        <f t="shared" si="12"/>
        <v>6.2547983858382755E-2</v>
      </c>
      <c r="K84" s="579"/>
      <c r="L84" s="449"/>
      <c r="M84" s="446"/>
      <c r="O84" s="325">
        <f t="shared" si="13"/>
        <v>20.226735703370061</v>
      </c>
      <c r="P84" s="325">
        <f>SUMMARY!L86</f>
        <v>24.703953666782958</v>
      </c>
    </row>
    <row r="85" spans="1:16" s="261" customFormat="1">
      <c r="A85" s="257"/>
      <c r="B85" s="264"/>
      <c r="C85" s="188"/>
      <c r="D85" s="188"/>
      <c r="E85" s="188"/>
      <c r="F85" s="281"/>
      <c r="G85" s="281"/>
      <c r="H85" s="281"/>
      <c r="I85" s="281"/>
      <c r="J85" s="282"/>
      <c r="K85" s="579"/>
      <c r="L85" s="446"/>
      <c r="M85" s="446"/>
      <c r="O85" s="325"/>
      <c r="P85" s="325"/>
    </row>
    <row r="86" spans="1:16" s="261" customFormat="1">
      <c r="A86" s="263" t="s">
        <v>155</v>
      </c>
      <c r="B86" s="264" t="s">
        <v>35</v>
      </c>
      <c r="C86" s="160"/>
      <c r="D86" s="160"/>
      <c r="E86" s="160"/>
      <c r="F86" s="259"/>
      <c r="G86" s="259"/>
      <c r="H86" s="259"/>
      <c r="I86" s="259"/>
      <c r="J86" s="283"/>
      <c r="K86" s="581"/>
      <c r="L86" s="446"/>
      <c r="M86" s="446"/>
      <c r="O86" s="325"/>
      <c r="P86" s="325"/>
    </row>
    <row r="87" spans="1:16" s="261" customFormat="1">
      <c r="A87" s="263" t="s">
        <v>77</v>
      </c>
      <c r="B87" s="284" t="s">
        <v>36</v>
      </c>
      <c r="C87" s="480">
        <f>'[48]Sch C'!D75</f>
        <v>45882.03</v>
      </c>
      <c r="D87" s="480">
        <f>'[48]Sch C'!F75</f>
        <v>0</v>
      </c>
      <c r="E87" s="480">
        <f>+'[48]Sch C'!H75</f>
        <v>0</v>
      </c>
      <c r="F87" s="236">
        <f t="shared" ref="F87:F97" si="17">C87+D87+E87</f>
        <v>45882.03</v>
      </c>
      <c r="G87" s="628"/>
      <c r="H87" s="236"/>
      <c r="I87" s="236">
        <f t="shared" ref="I87:I97" si="18">F87+G87+H87</f>
        <v>45882.03</v>
      </c>
      <c r="J87" s="265">
        <f t="shared" ref="J87:J98" si="19">IF($I$213=0,0,I87/$I$213)</f>
        <v>5.7059007208769457E-3</v>
      </c>
      <c r="K87" s="579"/>
      <c r="L87" s="428">
        <v>1972.5714285714284</v>
      </c>
      <c r="M87" s="428">
        <v>2084.5714285714284</v>
      </c>
      <c r="O87" s="325">
        <f t="shared" ref="O87:O97" si="20">I87/I$233</f>
        <v>1.8451713182659053</v>
      </c>
      <c r="P87" s="325">
        <f>SUMMARY!L89</f>
        <v>2.4551177909052431</v>
      </c>
    </row>
    <row r="88" spans="1:16" s="261" customFormat="1">
      <c r="A88" s="263" t="s">
        <v>78</v>
      </c>
      <c r="B88" s="285" t="s">
        <v>37</v>
      </c>
      <c r="C88" s="480">
        <f>'[48]Sch C'!D76</f>
        <v>11674.699999999999</v>
      </c>
      <c r="D88" s="480">
        <f>'[48]Sch C'!F76</f>
        <v>0</v>
      </c>
      <c r="E88" s="480">
        <f>+'[48]Sch C'!H76</f>
        <v>0</v>
      </c>
      <c r="F88" s="236">
        <f t="shared" si="17"/>
        <v>11674.699999999999</v>
      </c>
      <c r="G88" s="628">
        <v>-877</v>
      </c>
      <c r="H88" s="236"/>
      <c r="I88" s="236">
        <f t="shared" si="18"/>
        <v>10797.699999999999</v>
      </c>
      <c r="J88" s="265">
        <f t="shared" si="19"/>
        <v>1.342804671323675E-3</v>
      </c>
      <c r="K88" s="579"/>
      <c r="L88" s="446"/>
      <c r="M88" s="446"/>
      <c r="O88" s="325">
        <f t="shared" si="20"/>
        <v>0.43423550229228663</v>
      </c>
      <c r="P88" s="325">
        <f>SUMMARY!L90</f>
        <v>0.50076580891723654</v>
      </c>
    </row>
    <row r="89" spans="1:16" s="261" customFormat="1">
      <c r="A89" s="263" t="s">
        <v>85</v>
      </c>
      <c r="B89" s="285" t="s">
        <v>39</v>
      </c>
      <c r="C89" s="480">
        <f>'[48]Sch C'!D77</f>
        <v>11859.970000000001</v>
      </c>
      <c r="D89" s="480">
        <f>'[48]Sch C'!F77</f>
        <v>0</v>
      </c>
      <c r="E89" s="480">
        <f>+'[48]Sch C'!H77</f>
        <v>0</v>
      </c>
      <c r="F89" s="236">
        <f t="shared" si="17"/>
        <v>11859.970000000001</v>
      </c>
      <c r="G89" s="628"/>
      <c r="H89" s="236"/>
      <c r="I89" s="236">
        <f t="shared" si="18"/>
        <v>11859.970000000001</v>
      </c>
      <c r="J89" s="265">
        <f t="shared" si="19"/>
        <v>1.4749088340812069E-3</v>
      </c>
      <c r="K89" s="579"/>
      <c r="L89" s="446"/>
      <c r="M89" s="446"/>
      <c r="O89" s="325">
        <f t="shared" si="20"/>
        <v>0.47695528030242101</v>
      </c>
      <c r="P89" s="325">
        <f>SUMMARY!L91</f>
        <v>0.61766396792525358</v>
      </c>
    </row>
    <row r="90" spans="1:16" s="261" customFormat="1">
      <c r="A90" s="263">
        <v>230</v>
      </c>
      <c r="B90" s="285" t="s">
        <v>38</v>
      </c>
      <c r="C90" s="480">
        <f>'[48]Sch C'!D78</f>
        <v>34866.490000000005</v>
      </c>
      <c r="D90" s="480">
        <f>'[48]Sch C'!F78-2013</f>
        <v>0</v>
      </c>
      <c r="E90" s="480">
        <f>+'[48]Sch C'!H78</f>
        <v>0</v>
      </c>
      <c r="F90" s="236">
        <f t="shared" si="17"/>
        <v>34866.490000000005</v>
      </c>
      <c r="G90" s="628">
        <f>2720-4013</f>
        <v>-1293</v>
      </c>
      <c r="H90" s="480">
        <v>2013</v>
      </c>
      <c r="I90" s="236">
        <f t="shared" si="18"/>
        <v>35586.490000000005</v>
      </c>
      <c r="J90" s="265">
        <f t="shared" si="19"/>
        <v>4.4255447926885589E-3</v>
      </c>
      <c r="K90" s="579"/>
      <c r="L90" s="446"/>
      <c r="M90" s="446"/>
      <c r="O90" s="325">
        <f t="shared" si="20"/>
        <v>1.4311304592616425</v>
      </c>
      <c r="P90" s="325">
        <f>SUMMARY!L92</f>
        <v>0.24523901522861224</v>
      </c>
    </row>
    <row r="91" spans="1:16" s="261" customFormat="1">
      <c r="A91" s="263">
        <v>240</v>
      </c>
      <c r="B91" s="286" t="s">
        <v>248</v>
      </c>
      <c r="C91" s="480">
        <f>'[48]Sch C'!D79</f>
        <v>25821.919999999998</v>
      </c>
      <c r="D91" s="480">
        <f>'[48]Sch C'!F79</f>
        <v>0</v>
      </c>
      <c r="E91" s="480">
        <f>+'[48]Sch C'!H79</f>
        <v>0</v>
      </c>
      <c r="F91" s="236">
        <f t="shared" si="17"/>
        <v>25821.919999999998</v>
      </c>
      <c r="G91" s="628">
        <f>-1084-444-518</f>
        <v>-2046</v>
      </c>
      <c r="H91" s="236"/>
      <c r="I91" s="236">
        <f t="shared" si="18"/>
        <v>23775.919999999998</v>
      </c>
      <c r="J91" s="265">
        <f t="shared" si="19"/>
        <v>2.9567793549568878E-3</v>
      </c>
      <c r="K91" s="579"/>
      <c r="L91" s="446"/>
      <c r="M91" s="446"/>
      <c r="O91" s="325">
        <f t="shared" si="20"/>
        <v>0.95616182739483624</v>
      </c>
      <c r="P91" s="325">
        <f>SUMMARY!L93</f>
        <v>0.6231522775072933</v>
      </c>
    </row>
    <row r="92" spans="1:16" s="261" customFormat="1">
      <c r="A92" s="263">
        <v>310</v>
      </c>
      <c r="B92" s="285" t="s">
        <v>46</v>
      </c>
      <c r="C92" s="480">
        <f>'[48]Sch C'!D80</f>
        <v>47545.119999999995</v>
      </c>
      <c r="D92" s="480">
        <f>'[48]Sch C'!F80</f>
        <v>0</v>
      </c>
      <c r="E92" s="480">
        <f>+'[48]Sch C'!H80</f>
        <v>0</v>
      </c>
      <c r="F92" s="236">
        <f t="shared" si="17"/>
        <v>47545.119999999995</v>
      </c>
      <c r="G92" s="628"/>
      <c r="H92" s="236"/>
      <c r="I92" s="236">
        <f t="shared" si="18"/>
        <v>47545.119999999995</v>
      </c>
      <c r="J92" s="265">
        <f t="shared" si="19"/>
        <v>5.9127230090338387E-3</v>
      </c>
      <c r="K92" s="579"/>
      <c r="L92" s="446"/>
      <c r="M92" s="446"/>
      <c r="O92" s="325">
        <f t="shared" si="20"/>
        <v>1.9120534062575403</v>
      </c>
      <c r="P92" s="325">
        <f>SUMMARY!L94</f>
        <v>1.1835704208895077</v>
      </c>
    </row>
    <row r="93" spans="1:16" s="261" customFormat="1">
      <c r="A93" s="263">
        <v>320</v>
      </c>
      <c r="B93" s="287" t="s">
        <v>294</v>
      </c>
      <c r="C93" s="480">
        <f>'[48]Sch C'!D81</f>
        <v>10350.200000000001</v>
      </c>
      <c r="D93" s="480">
        <f>'[48]Sch C'!F81</f>
        <v>0</v>
      </c>
      <c r="E93" s="480">
        <f>+'[48]Sch C'!H81</f>
        <v>0</v>
      </c>
      <c r="F93" s="236">
        <f t="shared" si="17"/>
        <v>10350.200000000001</v>
      </c>
      <c r="G93" s="628">
        <v>3121</v>
      </c>
      <c r="H93" s="236"/>
      <c r="I93" s="236">
        <f t="shared" si="18"/>
        <v>13471.2</v>
      </c>
      <c r="J93" s="265">
        <f t="shared" si="19"/>
        <v>1.6752817996735871E-3</v>
      </c>
      <c r="K93" s="579"/>
      <c r="L93" s="446"/>
      <c r="M93" s="446"/>
      <c r="O93" s="325">
        <f t="shared" si="20"/>
        <v>0.54175178959221426</v>
      </c>
      <c r="P93" s="325">
        <f>SUMMARY!L95</f>
        <v>0.70603607941087931</v>
      </c>
    </row>
    <row r="94" spans="1:16" s="261" customFormat="1">
      <c r="A94" s="263">
        <v>330</v>
      </c>
      <c r="B94" s="287" t="s">
        <v>295</v>
      </c>
      <c r="C94" s="480">
        <f>'[48]Sch C'!D82</f>
        <v>0</v>
      </c>
      <c r="D94" s="480">
        <f>'[48]Sch C'!F82</f>
        <v>0</v>
      </c>
      <c r="E94" s="480">
        <f>+'[48]Sch C'!H82</f>
        <v>0</v>
      </c>
      <c r="F94" s="236">
        <f t="shared" si="17"/>
        <v>0</v>
      </c>
      <c r="G94" s="628"/>
      <c r="H94" s="236"/>
      <c r="I94" s="236">
        <f t="shared" si="18"/>
        <v>0</v>
      </c>
      <c r="J94" s="265">
        <f t="shared" si="19"/>
        <v>0</v>
      </c>
      <c r="K94" s="579"/>
      <c r="L94" s="446"/>
      <c r="M94" s="446"/>
      <c r="O94" s="325">
        <f t="shared" si="20"/>
        <v>0</v>
      </c>
      <c r="P94" s="325">
        <f>SUMMARY!L96</f>
        <v>0.41394888006539005</v>
      </c>
    </row>
    <row r="95" spans="1:16" s="261" customFormat="1">
      <c r="A95" s="257">
        <v>340</v>
      </c>
      <c r="B95" s="287" t="s">
        <v>330</v>
      </c>
      <c r="C95" s="480">
        <f>'[48]Sch C'!D83</f>
        <v>0</v>
      </c>
      <c r="D95" s="480">
        <f>'[48]Sch C'!F83</f>
        <v>0</v>
      </c>
      <c r="E95" s="480">
        <f>+'[48]Sch C'!H83</f>
        <v>0</v>
      </c>
      <c r="F95" s="236">
        <f t="shared" si="17"/>
        <v>0</v>
      </c>
      <c r="G95" s="628">
        <v>10873</v>
      </c>
      <c r="H95" s="236"/>
      <c r="I95" s="236">
        <f t="shared" si="18"/>
        <v>10873</v>
      </c>
      <c r="J95" s="265">
        <f t="shared" si="19"/>
        <v>1.3521689981479685E-3</v>
      </c>
      <c r="K95" s="579"/>
      <c r="L95" s="446"/>
      <c r="M95" s="446"/>
      <c r="O95" s="325">
        <f t="shared" si="20"/>
        <v>0.4372637336121612</v>
      </c>
      <c r="P95" s="325">
        <f>SUMMARY!L97</f>
        <v>0.21173503442349134</v>
      </c>
    </row>
    <row r="96" spans="1:16" s="261" customFormat="1">
      <c r="A96" s="257">
        <v>350</v>
      </c>
      <c r="B96" s="285" t="s">
        <v>41</v>
      </c>
      <c r="C96" s="480">
        <f>'[48]Sch C'!D84</f>
        <v>110543.15000000001</v>
      </c>
      <c r="D96" s="480">
        <f>'[48]Sch C'!F84-970</f>
        <v>0</v>
      </c>
      <c r="E96" s="480">
        <f>+'[48]Sch C'!H84</f>
        <v>0</v>
      </c>
      <c r="F96" s="236">
        <f t="shared" si="17"/>
        <v>110543.15000000001</v>
      </c>
      <c r="G96" s="628"/>
      <c r="H96" s="480">
        <v>970</v>
      </c>
      <c r="I96" s="236">
        <f t="shared" si="18"/>
        <v>111513.15000000001</v>
      </c>
      <c r="J96" s="265">
        <f t="shared" si="19"/>
        <v>1.3867803211241068E-2</v>
      </c>
      <c r="K96" s="579"/>
      <c r="L96" s="446"/>
      <c r="M96" s="446"/>
      <c r="O96" s="325">
        <f t="shared" si="20"/>
        <v>4.484563259068608</v>
      </c>
      <c r="P96" s="325">
        <f>SUMMARY!L98</f>
        <v>4.6189606641285916</v>
      </c>
    </row>
    <row r="97" spans="1:16" s="261" customFormat="1">
      <c r="A97" s="257">
        <v>490</v>
      </c>
      <c r="B97" s="284" t="s">
        <v>293</v>
      </c>
      <c r="C97" s="480">
        <f>'[48]Sch C'!D85</f>
        <v>0</v>
      </c>
      <c r="D97" s="480">
        <f>'[48]Sch C'!F85</f>
        <v>0</v>
      </c>
      <c r="E97" s="480">
        <f>+'[48]Sch C'!H85</f>
        <v>0</v>
      </c>
      <c r="F97" s="236">
        <f t="shared" si="17"/>
        <v>0</v>
      </c>
      <c r="G97" s="628"/>
      <c r="H97" s="236"/>
      <c r="I97" s="236">
        <f t="shared" si="18"/>
        <v>0</v>
      </c>
      <c r="J97" s="265">
        <f t="shared" si="19"/>
        <v>0</v>
      </c>
      <c r="K97" s="579"/>
      <c r="L97" s="446"/>
      <c r="M97" s="446"/>
      <c r="O97" s="325">
        <f t="shared" si="20"/>
        <v>0</v>
      </c>
      <c r="P97" s="325">
        <f>SUMMARY!L99</f>
        <v>9.3095120404143514E-2</v>
      </c>
    </row>
    <row r="98" spans="1:16" s="261" customFormat="1">
      <c r="A98" s="257"/>
      <c r="B98" s="264" t="s">
        <v>42</v>
      </c>
      <c r="C98" s="480">
        <f t="shared" ref="C98:E98" si="21">SUM(C87:C97)</f>
        <v>298543.58</v>
      </c>
      <c r="D98" s="480">
        <f t="shared" si="21"/>
        <v>0</v>
      </c>
      <c r="E98" s="480">
        <f t="shared" si="21"/>
        <v>0</v>
      </c>
      <c r="F98" s="236">
        <f t="shared" ref="F98:I98" si="22">SUM(F87:F97)</f>
        <v>298543.58</v>
      </c>
      <c r="G98" s="236">
        <f t="shared" si="22"/>
        <v>9778</v>
      </c>
      <c r="H98" s="236">
        <f t="shared" si="22"/>
        <v>2983</v>
      </c>
      <c r="I98" s="236">
        <f t="shared" si="22"/>
        <v>311304.58</v>
      </c>
      <c r="J98" s="265">
        <f t="shared" si="19"/>
        <v>3.8713915392023741E-2</v>
      </c>
      <c r="K98" s="579"/>
      <c r="L98" s="446"/>
      <c r="M98" s="446"/>
      <c r="O98" s="332">
        <f>I98/I$233</f>
        <v>12.519286576047616</v>
      </c>
      <c r="P98" s="325">
        <f>SUMMARY!L100</f>
        <v>11.669285059805642</v>
      </c>
    </row>
    <row r="99" spans="1:16" s="261" customFormat="1">
      <c r="A99" s="257"/>
      <c r="C99" s="160"/>
      <c r="D99" s="160"/>
      <c r="E99" s="160"/>
      <c r="F99" s="259"/>
      <c r="G99" s="259"/>
      <c r="H99" s="259"/>
      <c r="I99" s="259"/>
      <c r="J99" s="283"/>
      <c r="K99" s="581"/>
      <c r="L99" s="446"/>
      <c r="M99" s="446"/>
      <c r="O99" s="325"/>
      <c r="P99" s="325"/>
    </row>
    <row r="100" spans="1:16" s="261" customFormat="1">
      <c r="A100" s="263" t="s">
        <v>156</v>
      </c>
      <c r="B100" s="264" t="s">
        <v>43</v>
      </c>
      <c r="C100" s="160"/>
      <c r="D100" s="160"/>
      <c r="E100" s="160"/>
      <c r="F100" s="259"/>
      <c r="G100" s="259"/>
      <c r="H100" s="259"/>
      <c r="I100" s="259"/>
      <c r="J100" s="283"/>
      <c r="K100" s="581"/>
      <c r="L100" s="446"/>
      <c r="M100" s="446"/>
      <c r="O100" s="325"/>
      <c r="P100" s="325"/>
    </row>
    <row r="101" spans="1:16" s="261" customFormat="1">
      <c r="A101" s="263" t="s">
        <v>77</v>
      </c>
      <c r="B101" s="264" t="s">
        <v>36</v>
      </c>
      <c r="C101" s="480">
        <f>'[48]Sch C'!D89</f>
        <v>273819.81</v>
      </c>
      <c r="D101" s="480">
        <f>'[48]Sch C'!F89</f>
        <v>0</v>
      </c>
      <c r="E101" s="480">
        <f>+'[48]Sch C'!H89</f>
        <v>0</v>
      </c>
      <c r="F101" s="236">
        <f t="shared" ref="F101:F106" si="23">C101+D101+E101</f>
        <v>273819.81</v>
      </c>
      <c r="G101" s="628"/>
      <c r="H101" s="236"/>
      <c r="I101" s="236">
        <f t="shared" ref="I101:I106" si="24">F101+G101+H101</f>
        <v>273819.81</v>
      </c>
      <c r="J101" s="265">
        <f t="shared" ref="J101:J107" si="25">IF($I$213=0,0,I101/$I$213)</f>
        <v>3.405230002398299E-2</v>
      </c>
      <c r="K101" s="579"/>
      <c r="L101" s="428">
        <v>19346.890714285713</v>
      </c>
      <c r="M101" s="428">
        <v>20246.390714285713</v>
      </c>
      <c r="O101" s="332">
        <f t="shared" ref="O101:O106" si="26">I101/I$233</f>
        <v>11.011815732325264</v>
      </c>
      <c r="P101" s="325">
        <f>SUMMARY!L103</f>
        <v>8.3473223649132038</v>
      </c>
    </row>
    <row r="102" spans="1:16" s="261" customFormat="1">
      <c r="A102" s="263" t="s">
        <v>78</v>
      </c>
      <c r="B102" s="264" t="s">
        <v>37</v>
      </c>
      <c r="C102" s="480">
        <f>'[48]Sch C'!D90</f>
        <v>64391.060000000012</v>
      </c>
      <c r="D102" s="480">
        <f>'[48]Sch C'!F90</f>
        <v>0</v>
      </c>
      <c r="E102" s="480">
        <f>+'[48]Sch C'!H90</f>
        <v>0</v>
      </c>
      <c r="F102" s="236">
        <f t="shared" si="23"/>
        <v>64391.060000000012</v>
      </c>
      <c r="G102" s="628">
        <v>-5178</v>
      </c>
      <c r="H102" s="236"/>
      <c r="I102" s="236">
        <f t="shared" si="24"/>
        <v>59213.060000000012</v>
      </c>
      <c r="J102" s="265">
        <f t="shared" si="25"/>
        <v>7.36375094430935E-3</v>
      </c>
      <c r="K102" s="579"/>
      <c r="L102" s="446"/>
      <c r="M102" s="446"/>
      <c r="O102" s="332">
        <f t="shared" si="26"/>
        <v>2.3812860934609512</v>
      </c>
      <c r="P102" s="325">
        <f>SUMMARY!L104</f>
        <v>1.5609428437092472</v>
      </c>
    </row>
    <row r="103" spans="1:16" s="261" customFormat="1">
      <c r="A103" s="263">
        <v>310</v>
      </c>
      <c r="B103" s="264" t="s">
        <v>46</v>
      </c>
      <c r="C103" s="480">
        <f>'[48]Sch C'!D91</f>
        <v>7549.15</v>
      </c>
      <c r="D103" s="480">
        <f>'[48]Sch C'!F91</f>
        <v>0</v>
      </c>
      <c r="E103" s="480">
        <f>+'[48]Sch C'!H91</f>
        <v>0</v>
      </c>
      <c r="F103" s="236">
        <f t="shared" si="23"/>
        <v>7549.15</v>
      </c>
      <c r="G103" s="628"/>
      <c r="H103" s="236"/>
      <c r="I103" s="236">
        <f t="shared" si="24"/>
        <v>7549.15</v>
      </c>
      <c r="J103" s="265">
        <f t="shared" si="25"/>
        <v>9.3881418121665914E-4</v>
      </c>
      <c r="K103" s="579"/>
      <c r="L103" s="446"/>
      <c r="M103" s="446"/>
      <c r="O103" s="332">
        <f t="shared" si="26"/>
        <v>0.30359325987291885</v>
      </c>
      <c r="P103" s="325">
        <f>SUMMARY!L105</f>
        <v>3.2648403854914108</v>
      </c>
    </row>
    <row r="104" spans="1:16" s="261" customFormat="1">
      <c r="A104" s="263">
        <v>380</v>
      </c>
      <c r="B104" s="264" t="s">
        <v>44</v>
      </c>
      <c r="C104" s="480">
        <f>'[48]Sch C'!D92</f>
        <v>207375.32</v>
      </c>
      <c r="D104" s="480">
        <f>'[48]Sch C'!F92</f>
        <v>0</v>
      </c>
      <c r="E104" s="480">
        <f>+'[48]Sch C'!H92</f>
        <v>0</v>
      </c>
      <c r="F104" s="236">
        <f t="shared" si="23"/>
        <v>207375.32</v>
      </c>
      <c r="G104" s="628">
        <v>518</v>
      </c>
      <c r="H104" s="236"/>
      <c r="I104" s="236">
        <f t="shared" si="24"/>
        <v>207893.32</v>
      </c>
      <c r="J104" s="265">
        <f t="shared" si="25"/>
        <v>2.5853665246579144E-2</v>
      </c>
      <c r="K104" s="579"/>
      <c r="L104" s="446"/>
      <c r="M104" s="446"/>
      <c r="O104" s="332">
        <f t="shared" si="26"/>
        <v>8.3605453229309106</v>
      </c>
      <c r="P104" s="325">
        <f>SUMMARY!L106</f>
        <v>6.7215221396948683</v>
      </c>
    </row>
    <row r="105" spans="1:16" s="261" customFormat="1">
      <c r="A105" s="263">
        <v>390</v>
      </c>
      <c r="B105" s="264" t="s">
        <v>526</v>
      </c>
      <c r="C105" s="480">
        <f>'[48]Sch C'!D93</f>
        <v>11748.87</v>
      </c>
      <c r="D105" s="480">
        <f>'[48]Sch C'!F93</f>
        <v>0</v>
      </c>
      <c r="E105" s="480">
        <f>+'[48]Sch C'!H93</f>
        <v>0</v>
      </c>
      <c r="F105" s="236">
        <f t="shared" si="23"/>
        <v>11748.87</v>
      </c>
      <c r="G105" s="628">
        <v>444</v>
      </c>
      <c r="H105" s="236"/>
      <c r="I105" s="236">
        <f t="shared" si="24"/>
        <v>12192.87</v>
      </c>
      <c r="J105" s="265">
        <f t="shared" si="25"/>
        <v>1.516308361303083E-3</v>
      </c>
      <c r="K105" s="579"/>
      <c r="L105" s="446"/>
      <c r="M105" s="446"/>
      <c r="O105" s="332">
        <f t="shared" si="26"/>
        <v>0.49034303868736429</v>
      </c>
      <c r="P105" s="325">
        <f>SUMMARY!L107</f>
        <v>0.67646258646257007</v>
      </c>
    </row>
    <row r="106" spans="1:16" s="261" customFormat="1">
      <c r="A106" s="263">
        <v>490</v>
      </c>
      <c r="B106" s="23" t="s">
        <v>293</v>
      </c>
      <c r="C106" s="480">
        <f>'[48]Sch C'!D94</f>
        <v>8721.0500000000011</v>
      </c>
      <c r="D106" s="480">
        <f>'[48]Sch C'!F94</f>
        <v>0</v>
      </c>
      <c r="E106" s="480">
        <f>+'[48]Sch C'!H94</f>
        <v>0</v>
      </c>
      <c r="F106" s="236">
        <f t="shared" si="23"/>
        <v>8721.0500000000011</v>
      </c>
      <c r="G106" s="628"/>
      <c r="H106" s="236"/>
      <c r="I106" s="236">
        <f t="shared" si="24"/>
        <v>8721.0500000000011</v>
      </c>
      <c r="J106" s="265">
        <f t="shared" si="25"/>
        <v>1.0845519581806624E-3</v>
      </c>
      <c r="K106" s="579"/>
      <c r="L106" s="446"/>
      <c r="M106" s="446"/>
      <c r="O106" s="332">
        <f t="shared" si="26"/>
        <v>0.35072186921901394</v>
      </c>
      <c r="P106" s="325">
        <f>SUMMARY!L108</f>
        <v>5.9815901897626589E-2</v>
      </c>
    </row>
    <row r="107" spans="1:16" s="261" customFormat="1">
      <c r="A107" s="263"/>
      <c r="B107" s="264" t="s">
        <v>47</v>
      </c>
      <c r="C107" s="480">
        <f t="shared" ref="C107:E107" si="27">SUM(C101:C106)</f>
        <v>573605.26000000013</v>
      </c>
      <c r="D107" s="480">
        <f t="shared" si="27"/>
        <v>0</v>
      </c>
      <c r="E107" s="480">
        <f t="shared" si="27"/>
        <v>0</v>
      </c>
      <c r="F107" s="236">
        <f t="shared" ref="F107:I107" si="28">SUM(F101:F106)</f>
        <v>573605.26000000013</v>
      </c>
      <c r="G107" s="236">
        <f t="shared" si="28"/>
        <v>-4216</v>
      </c>
      <c r="H107" s="236">
        <f t="shared" si="28"/>
        <v>0</v>
      </c>
      <c r="I107" s="236">
        <f t="shared" si="28"/>
        <v>569389.26000000013</v>
      </c>
      <c r="J107" s="265">
        <f t="shared" si="25"/>
        <v>7.0809390715571907E-2</v>
      </c>
      <c r="K107" s="579"/>
      <c r="L107" s="446"/>
      <c r="M107" s="446"/>
      <c r="O107" s="332">
        <f>I107/I$233</f>
        <v>22.898305316496426</v>
      </c>
      <c r="P107" s="325">
        <f>SUMMARY!L109</f>
        <v>20.630906222168928</v>
      </c>
    </row>
    <row r="108" spans="1:16" s="261" customFormat="1">
      <c r="A108" s="257"/>
      <c r="C108" s="160"/>
      <c r="D108" s="160"/>
      <c r="E108" s="160"/>
      <c r="F108" s="259"/>
      <c r="G108" s="259"/>
      <c r="H108" s="259"/>
      <c r="I108" s="259"/>
      <c r="J108" s="283"/>
      <c r="K108" s="581"/>
      <c r="L108" s="446"/>
      <c r="M108" s="446"/>
      <c r="O108" s="325"/>
      <c r="P108" s="325"/>
    </row>
    <row r="109" spans="1:16" s="261" customFormat="1">
      <c r="A109" s="263" t="s">
        <v>157</v>
      </c>
      <c r="B109" s="264" t="s">
        <v>48</v>
      </c>
      <c r="C109" s="160"/>
      <c r="D109" s="160"/>
      <c r="E109" s="160"/>
      <c r="F109" s="259"/>
      <c r="G109" s="259"/>
      <c r="H109" s="259"/>
      <c r="I109" s="259"/>
      <c r="J109" s="283"/>
      <c r="K109" s="581"/>
      <c r="L109" s="446"/>
      <c r="M109" s="446"/>
      <c r="O109" s="325"/>
      <c r="P109" s="325"/>
    </row>
    <row r="110" spans="1:16" s="261" customFormat="1">
      <c r="A110" s="263" t="s">
        <v>77</v>
      </c>
      <c r="B110" s="264" t="s">
        <v>36</v>
      </c>
      <c r="C110" s="480">
        <f>'[48]Sch C'!D98</f>
        <v>20449.940000000002</v>
      </c>
      <c r="D110" s="480">
        <f>'[48]Sch C'!F98</f>
        <v>0</v>
      </c>
      <c r="E110" s="480">
        <f>+'[48]Sch C'!H98</f>
        <v>0</v>
      </c>
      <c r="F110" s="236">
        <f t="shared" ref="F110:F115" si="29">C110+D110+E110</f>
        <v>20449.940000000002</v>
      </c>
      <c r="G110" s="628"/>
      <c r="H110" s="236"/>
      <c r="I110" s="236">
        <f t="shared" ref="I110:I115" si="30">F110+G110+H110</f>
        <v>20449.940000000002</v>
      </c>
      <c r="J110" s="265">
        <f t="shared" ref="J110:J116" si="31">IF($I$213=0,0,I110/$I$213)</f>
        <v>2.5431596506930994E-3</v>
      </c>
      <c r="K110" s="579"/>
      <c r="L110" s="428">
        <v>1803.2442857142858</v>
      </c>
      <c r="M110" s="428">
        <v>2011.2442857142858</v>
      </c>
      <c r="O110" s="332">
        <f t="shared" ref="O110:O115" si="32">I110/I$233</f>
        <v>0.82240569452264145</v>
      </c>
      <c r="P110" s="325">
        <f>SUMMARY!L112</f>
        <v>1.0420421927982051</v>
      </c>
    </row>
    <row r="111" spans="1:16" s="261" customFormat="1">
      <c r="A111" s="263" t="s">
        <v>78</v>
      </c>
      <c r="B111" s="264" t="s">
        <v>37</v>
      </c>
      <c r="C111" s="480">
        <f>'[48]Sch C'!D99</f>
        <v>4661.54</v>
      </c>
      <c r="D111" s="480">
        <f>'[48]Sch C'!F99</f>
        <v>0</v>
      </c>
      <c r="E111" s="480">
        <f>+'[48]Sch C'!H99</f>
        <v>0</v>
      </c>
      <c r="F111" s="236">
        <f t="shared" si="29"/>
        <v>4661.54</v>
      </c>
      <c r="G111" s="628">
        <v>-390</v>
      </c>
      <c r="H111" s="236"/>
      <c r="I111" s="236">
        <f t="shared" si="30"/>
        <v>4271.54</v>
      </c>
      <c r="J111" s="265">
        <f t="shared" si="31"/>
        <v>5.3120978224491613E-4</v>
      </c>
      <c r="K111" s="579"/>
      <c r="L111" s="446"/>
      <c r="M111" s="446"/>
      <c r="O111" s="332">
        <f t="shared" si="32"/>
        <v>0.17178235341430065</v>
      </c>
      <c r="P111" s="325">
        <f>SUMMARY!L113</f>
        <v>0.20078964936815169</v>
      </c>
    </row>
    <row r="112" spans="1:16" s="261" customFormat="1">
      <c r="A112" s="263">
        <v>110</v>
      </c>
      <c r="B112" s="264" t="s">
        <v>39</v>
      </c>
      <c r="C112" s="480">
        <f>'[48]Sch C'!D100</f>
        <v>9008.43</v>
      </c>
      <c r="D112" s="480">
        <f>'[48]Sch C'!F100</f>
        <v>0</v>
      </c>
      <c r="E112" s="480">
        <f>+'[48]Sch C'!H100</f>
        <v>0</v>
      </c>
      <c r="F112" s="236">
        <f t="shared" si="29"/>
        <v>9008.43</v>
      </c>
      <c r="G112" s="628"/>
      <c r="H112" s="236"/>
      <c r="I112" s="236">
        <f t="shared" si="30"/>
        <v>9008.43</v>
      </c>
      <c r="J112" s="265">
        <f t="shared" si="31"/>
        <v>1.1202906068229655E-3</v>
      </c>
      <c r="K112" s="579"/>
      <c r="L112" s="446"/>
      <c r="M112" s="446"/>
      <c r="O112" s="332">
        <f t="shared" si="32"/>
        <v>0.36227901552320441</v>
      </c>
      <c r="P112" s="325">
        <f>SUMMARY!L114</f>
        <v>0.2184369107272279</v>
      </c>
    </row>
    <row r="113" spans="1:16" s="261" customFormat="1">
      <c r="A113" s="263">
        <v>310</v>
      </c>
      <c r="B113" s="264" t="s">
        <v>46</v>
      </c>
      <c r="C113" s="480">
        <f>'[48]Sch C'!D101</f>
        <v>1446.5300000000002</v>
      </c>
      <c r="D113" s="480">
        <f>'[48]Sch C'!F101</f>
        <v>0</v>
      </c>
      <c r="E113" s="480">
        <f>+'[48]Sch C'!H101</f>
        <v>0</v>
      </c>
      <c r="F113" s="236">
        <f t="shared" si="29"/>
        <v>1446.5300000000002</v>
      </c>
      <c r="G113" s="628"/>
      <c r="H113" s="236"/>
      <c r="I113" s="236">
        <f t="shared" si="30"/>
        <v>1446.5300000000002</v>
      </c>
      <c r="J113" s="265">
        <f t="shared" si="31"/>
        <v>1.7989083241892588E-4</v>
      </c>
      <c r="K113" s="579"/>
      <c r="L113" s="446"/>
      <c r="M113" s="446"/>
      <c r="O113" s="332">
        <f t="shared" si="32"/>
        <v>5.8173007319231085E-2</v>
      </c>
      <c r="P113" s="325">
        <f>SUMMARY!L115</f>
        <v>0.64566906925728618</v>
      </c>
    </row>
    <row r="114" spans="1:16" s="261" customFormat="1">
      <c r="A114" s="263">
        <v>410</v>
      </c>
      <c r="B114" s="264" t="s">
        <v>49</v>
      </c>
      <c r="C114" s="480">
        <f>'[48]Sch C'!D102</f>
        <v>2979.9599999999996</v>
      </c>
      <c r="D114" s="480">
        <f>'[48]Sch C'!F102</f>
        <v>0</v>
      </c>
      <c r="E114" s="480">
        <f>+'[48]Sch C'!H102</f>
        <v>0</v>
      </c>
      <c r="F114" s="236">
        <f t="shared" si="29"/>
        <v>2979.9599999999996</v>
      </c>
      <c r="G114" s="628"/>
      <c r="H114" s="236"/>
      <c r="I114" s="236">
        <f t="shared" si="30"/>
        <v>2979.9599999999996</v>
      </c>
      <c r="J114" s="265">
        <f t="shared" si="31"/>
        <v>3.7058857056203619E-4</v>
      </c>
      <c r="K114" s="579"/>
      <c r="L114" s="446"/>
      <c r="M114" s="446"/>
      <c r="O114" s="332">
        <f t="shared" si="32"/>
        <v>0.11984074640070777</v>
      </c>
      <c r="P114" s="325">
        <f>SUMMARY!L116</f>
        <v>0.18302825246264015</v>
      </c>
    </row>
    <row r="115" spans="1:16" s="261" customFormat="1">
      <c r="A115" s="263">
        <v>490</v>
      </c>
      <c r="B115" s="23" t="s">
        <v>293</v>
      </c>
      <c r="C115" s="480">
        <f>'[48]Sch C'!D103</f>
        <v>0</v>
      </c>
      <c r="D115" s="480">
        <f>'[48]Sch C'!F103</f>
        <v>0</v>
      </c>
      <c r="E115" s="480">
        <f>+'[48]Sch C'!H103</f>
        <v>0</v>
      </c>
      <c r="F115" s="236">
        <f t="shared" si="29"/>
        <v>0</v>
      </c>
      <c r="G115" s="628"/>
      <c r="H115" s="236"/>
      <c r="I115" s="236">
        <f t="shared" si="30"/>
        <v>0</v>
      </c>
      <c r="J115" s="265">
        <f t="shared" si="31"/>
        <v>0</v>
      </c>
      <c r="K115" s="579"/>
      <c r="L115" s="446"/>
      <c r="M115" s="446"/>
      <c r="O115" s="332">
        <f t="shared" si="32"/>
        <v>0</v>
      </c>
      <c r="P115" s="325">
        <f>SUMMARY!L117</f>
        <v>6.0532522203232677E-3</v>
      </c>
    </row>
    <row r="116" spans="1:16" s="261" customFormat="1">
      <c r="A116" s="257"/>
      <c r="B116" s="264" t="s">
        <v>50</v>
      </c>
      <c r="C116" s="480">
        <f t="shared" ref="C116:E116" si="33">SUM(C110:C115)</f>
        <v>38546.400000000001</v>
      </c>
      <c r="D116" s="480">
        <f t="shared" si="33"/>
        <v>0</v>
      </c>
      <c r="E116" s="480">
        <f t="shared" si="33"/>
        <v>0</v>
      </c>
      <c r="F116" s="236">
        <f t="shared" ref="F116:I116" si="34">SUM(F110:F115)</f>
        <v>38546.400000000001</v>
      </c>
      <c r="G116" s="236">
        <f t="shared" si="34"/>
        <v>-390</v>
      </c>
      <c r="H116" s="236">
        <f t="shared" si="34"/>
        <v>0</v>
      </c>
      <c r="I116" s="236">
        <f t="shared" si="34"/>
        <v>38156.400000000001</v>
      </c>
      <c r="J116" s="265">
        <f t="shared" si="31"/>
        <v>4.7451394427419427E-3</v>
      </c>
      <c r="K116" s="579"/>
      <c r="L116" s="446"/>
      <c r="M116" s="446"/>
      <c r="O116" s="332">
        <f>I116/I$233</f>
        <v>1.5344808171800852</v>
      </c>
      <c r="P116" s="325">
        <f>SUMMARY!L118</f>
        <v>2.2960193268338349</v>
      </c>
    </row>
    <row r="117" spans="1:16" s="261" customFormat="1">
      <c r="A117" s="257"/>
      <c r="C117" s="160"/>
      <c r="D117" s="160"/>
      <c r="E117" s="160"/>
      <c r="F117" s="259"/>
      <c r="G117" s="259"/>
      <c r="H117" s="259"/>
      <c r="I117" s="259"/>
      <c r="J117" s="283"/>
      <c r="K117" s="581"/>
      <c r="L117" s="446"/>
      <c r="M117" s="446"/>
      <c r="O117" s="325"/>
      <c r="P117" s="325"/>
    </row>
    <row r="118" spans="1:16" s="261" customFormat="1">
      <c r="A118" s="263" t="s">
        <v>158</v>
      </c>
      <c r="B118" s="264" t="s">
        <v>51</v>
      </c>
      <c r="C118" s="160"/>
      <c r="D118" s="160"/>
      <c r="E118" s="160"/>
      <c r="F118" s="259"/>
      <c r="G118" s="259"/>
      <c r="H118" s="259"/>
      <c r="I118" s="259"/>
      <c r="J118" s="283"/>
      <c r="K118" s="581"/>
      <c r="L118" s="446"/>
      <c r="M118" s="446"/>
      <c r="O118" s="325"/>
      <c r="P118" s="325"/>
    </row>
    <row r="119" spans="1:16" s="261" customFormat="1">
      <c r="A119" s="263" t="s">
        <v>77</v>
      </c>
      <c r="B119" s="264" t="s">
        <v>36</v>
      </c>
      <c r="C119" s="480">
        <f>'[48]Sch C'!D115</f>
        <v>114333.05</v>
      </c>
      <c r="D119" s="480">
        <f>'[48]Sch C'!F115</f>
        <v>0</v>
      </c>
      <c r="E119" s="480">
        <f>+'[48]Sch C'!H115</f>
        <v>0</v>
      </c>
      <c r="F119" s="236">
        <f>C119+D119+E119</f>
        <v>114333.05</v>
      </c>
      <c r="G119" s="628"/>
      <c r="H119" s="236"/>
      <c r="I119" s="236">
        <f t="shared" ref="I119:I123" si="35">F119+G119+H119</f>
        <v>114333.05</v>
      </c>
      <c r="J119" s="265">
        <f t="shared" ref="J119:J124" si="36">IF($I$213=0,0,I119/$I$213)</f>
        <v>1.4218486680189605E-2</v>
      </c>
      <c r="K119" s="579"/>
      <c r="L119" s="428">
        <v>11233.523571428572</v>
      </c>
      <c r="M119" s="428">
        <v>11730.523571428572</v>
      </c>
      <c r="O119" s="332">
        <f t="shared" ref="O119:O124" si="37">I119/I$233</f>
        <v>4.5979671036757015</v>
      </c>
      <c r="P119" s="325">
        <f>SUMMARY!L121</f>
        <v>3.6316697482212446</v>
      </c>
    </row>
    <row r="120" spans="1:16" s="261" customFormat="1">
      <c r="A120" s="263" t="s">
        <v>78</v>
      </c>
      <c r="B120" s="264" t="s">
        <v>143</v>
      </c>
      <c r="C120" s="480">
        <f>'[48]Sch C'!D116</f>
        <v>30428.76</v>
      </c>
      <c r="D120" s="480">
        <f>'[48]Sch C'!F116</f>
        <v>0</v>
      </c>
      <c r="E120" s="480">
        <f>+'[48]Sch C'!H116</f>
        <v>0</v>
      </c>
      <c r="F120" s="236">
        <f>C120+D120+E120</f>
        <v>30428.76</v>
      </c>
      <c r="G120" s="628">
        <v>-2198</v>
      </c>
      <c r="H120" s="236"/>
      <c r="I120" s="236">
        <f t="shared" si="35"/>
        <v>28230.76</v>
      </c>
      <c r="J120" s="265">
        <f t="shared" si="36"/>
        <v>3.5107843710250842E-3</v>
      </c>
      <c r="K120" s="579"/>
      <c r="L120" s="446"/>
      <c r="M120" s="446"/>
      <c r="O120" s="332">
        <f t="shared" si="37"/>
        <v>1.1353156921097081</v>
      </c>
      <c r="P120" s="325">
        <f>SUMMARY!L122</f>
        <v>0.73639428778580995</v>
      </c>
    </row>
    <row r="121" spans="1:16" s="261" customFormat="1">
      <c r="A121" s="263" t="s">
        <v>85</v>
      </c>
      <c r="B121" s="264" t="s">
        <v>39</v>
      </c>
      <c r="C121" s="480">
        <f>'[48]Sch C'!D117</f>
        <v>21265.93</v>
      </c>
      <c r="D121" s="480">
        <f>'[48]Sch C'!F117</f>
        <v>0</v>
      </c>
      <c r="E121" s="480">
        <f>+'[48]Sch C'!H117</f>
        <v>0</v>
      </c>
      <c r="F121" s="236">
        <f>C121+D121+E121</f>
        <v>21265.93</v>
      </c>
      <c r="G121" s="628"/>
      <c r="H121" s="236"/>
      <c r="I121" s="236">
        <f t="shared" si="35"/>
        <v>21265.93</v>
      </c>
      <c r="J121" s="265">
        <f t="shared" si="36"/>
        <v>2.6446363710829418E-3</v>
      </c>
      <c r="K121" s="579"/>
      <c r="L121" s="446"/>
      <c r="M121" s="446"/>
      <c r="O121" s="332">
        <f t="shared" si="37"/>
        <v>0.85522118555457249</v>
      </c>
      <c r="P121" s="325">
        <f>SUMMARY!L123</f>
        <v>0.93523261358838172</v>
      </c>
    </row>
    <row r="122" spans="1:16" s="261" customFormat="1">
      <c r="A122" s="263">
        <v>310</v>
      </c>
      <c r="B122" s="264" t="s">
        <v>52</v>
      </c>
      <c r="C122" s="480">
        <f>'[48]Sch C'!D118</f>
        <v>2083.7399999999998</v>
      </c>
      <c r="D122" s="480">
        <f>'[48]Sch C'!F118</f>
        <v>0</v>
      </c>
      <c r="E122" s="480">
        <f>+'[48]Sch C'!H118</f>
        <v>0</v>
      </c>
      <c r="F122" s="236">
        <f>C122+D122+E122</f>
        <v>2083.7399999999998</v>
      </c>
      <c r="G122" s="628"/>
      <c r="H122" s="236"/>
      <c r="I122" s="236">
        <f t="shared" si="35"/>
        <v>2083.7399999999998</v>
      </c>
      <c r="J122" s="265">
        <f t="shared" si="36"/>
        <v>2.5913442731544627E-4</v>
      </c>
      <c r="K122" s="579"/>
      <c r="L122" s="446"/>
      <c r="M122" s="446"/>
      <c r="O122" s="332">
        <f t="shared" si="37"/>
        <v>8.3798761360894383E-2</v>
      </c>
      <c r="P122" s="325">
        <f>SUMMARY!L124</f>
        <v>1.1004196025979425</v>
      </c>
    </row>
    <row r="123" spans="1:16" s="261" customFormat="1">
      <c r="A123" s="263">
        <v>490</v>
      </c>
      <c r="B123" s="23" t="s">
        <v>293</v>
      </c>
      <c r="C123" s="480">
        <f>'[48]Sch C'!D119</f>
        <v>21.58</v>
      </c>
      <c r="D123" s="480">
        <f>'[48]Sch C'!F119</f>
        <v>0</v>
      </c>
      <c r="E123" s="480">
        <f>+'[48]Sch C'!H119</f>
        <v>0</v>
      </c>
      <c r="F123" s="236">
        <f>C123+D123+E123</f>
        <v>21.58</v>
      </c>
      <c r="G123" s="628"/>
      <c r="H123" s="236"/>
      <c r="I123" s="236">
        <f t="shared" si="35"/>
        <v>21.58</v>
      </c>
      <c r="J123" s="265">
        <f t="shared" si="36"/>
        <v>2.6836941947974944E-6</v>
      </c>
      <c r="K123" s="579"/>
      <c r="L123" s="446"/>
      <c r="M123" s="446"/>
      <c r="O123" s="332">
        <f t="shared" si="37"/>
        <v>8.6785168503177024E-4</v>
      </c>
      <c r="P123" s="325">
        <f>SUMMARY!L125</f>
        <v>1.509992127773452E-2</v>
      </c>
    </row>
    <row r="124" spans="1:16" s="261" customFormat="1">
      <c r="A124" s="257"/>
      <c r="B124" s="264" t="s">
        <v>53</v>
      </c>
      <c r="C124" s="480">
        <f t="shared" ref="C124:E124" si="38">SUM(C119:C123)</f>
        <v>168133.05999999997</v>
      </c>
      <c r="D124" s="480">
        <f t="shared" si="38"/>
        <v>0</v>
      </c>
      <c r="E124" s="480">
        <f t="shared" si="38"/>
        <v>0</v>
      </c>
      <c r="F124" s="236">
        <f t="shared" ref="F124:I124" si="39">SUM(F119:F123)</f>
        <v>168133.05999999997</v>
      </c>
      <c r="G124" s="236">
        <f t="shared" si="39"/>
        <v>-2198</v>
      </c>
      <c r="H124" s="236">
        <f t="shared" si="39"/>
        <v>0</v>
      </c>
      <c r="I124" s="236">
        <f t="shared" si="39"/>
        <v>165935.05999999997</v>
      </c>
      <c r="J124" s="265">
        <f t="shared" si="36"/>
        <v>2.0635725543807871E-2</v>
      </c>
      <c r="K124" s="579"/>
      <c r="L124" s="446"/>
      <c r="M124" s="446"/>
      <c r="O124" s="332">
        <f t="shared" si="37"/>
        <v>6.6731705943859074</v>
      </c>
      <c r="P124" s="325">
        <f>SUMMARY!L126</f>
        <v>6.4188161734711136</v>
      </c>
    </row>
    <row r="125" spans="1:16" s="261" customFormat="1">
      <c r="A125" s="257"/>
      <c r="B125" s="264"/>
      <c r="C125" s="188"/>
      <c r="D125" s="188"/>
      <c r="E125" s="188"/>
      <c r="F125" s="281"/>
      <c r="G125" s="281"/>
      <c r="H125" s="281"/>
      <c r="I125" s="281"/>
      <c r="J125" s="282"/>
      <c r="K125" s="579"/>
      <c r="L125" s="195"/>
      <c r="M125" s="195"/>
      <c r="O125" s="325"/>
      <c r="P125" s="325"/>
    </row>
    <row r="126" spans="1:16" s="261" customFormat="1" ht="15.5">
      <c r="A126" s="263" t="s">
        <v>159</v>
      </c>
      <c r="B126" s="264" t="s">
        <v>54</v>
      </c>
      <c r="C126" s="160"/>
      <c r="D126" s="160"/>
      <c r="E126" s="160"/>
      <c r="F126" s="259"/>
      <c r="G126" s="259"/>
      <c r="H126"/>
      <c r="I126" s="259"/>
      <c r="J126" s="283"/>
      <c r="K126" s="581"/>
      <c r="L126" s="427"/>
      <c r="M126" s="427"/>
      <c r="O126" s="325"/>
      <c r="P126" s="325"/>
    </row>
    <row r="127" spans="1:16" s="261" customFormat="1" ht="15.5">
      <c r="A127" s="263" t="s">
        <v>77</v>
      </c>
      <c r="B127" s="264" t="s">
        <v>55</v>
      </c>
      <c r="C127" s="160"/>
      <c r="D127" s="160"/>
      <c r="E127" s="160"/>
      <c r="F127" s="259"/>
      <c r="G127" s="259"/>
      <c r="H127"/>
      <c r="I127" s="259"/>
      <c r="J127" s="283"/>
      <c r="K127" s="581"/>
      <c r="L127" s="427"/>
      <c r="M127" s="427"/>
      <c r="O127" s="325"/>
      <c r="P127" s="325"/>
    </row>
    <row r="128" spans="1:16" s="261" customFormat="1">
      <c r="B128" s="323" t="s">
        <v>672</v>
      </c>
      <c r="C128" s="480">
        <f>'[48]Sch C'!D124</f>
        <v>138544.84999999998</v>
      </c>
      <c r="D128" s="480">
        <f>'[48]Sch C'!F124</f>
        <v>0</v>
      </c>
      <c r="E128" s="480">
        <f>+'[48]Sch C'!H124</f>
        <v>0</v>
      </c>
      <c r="F128" s="236">
        <f>C128+D128+E128</f>
        <v>138544.84999999998</v>
      </c>
      <c r="G128" s="628"/>
      <c r="H128" s="236"/>
      <c r="I128" s="236">
        <f t="shared" ref="I128:I132" si="40">F128+G128+H128</f>
        <v>138544.84999999998</v>
      </c>
      <c r="J128" s="265">
        <f>IF($I$213=0,0,I128/$I$213)</f>
        <v>1.7229472180912399E-2</v>
      </c>
      <c r="K128" s="579"/>
      <c r="L128" s="428">
        <v>3027.5642857142857</v>
      </c>
      <c r="M128" s="428">
        <v>3115.5642857142857</v>
      </c>
      <c r="O128" s="332">
        <f t="shared" ref="O128:O165" si="41">I128/I$233</f>
        <v>5.5716580873481849</v>
      </c>
      <c r="P128" s="325">
        <f>SUMMARY!L130</f>
        <v>0.80275923694324991</v>
      </c>
    </row>
    <row r="129" spans="1:16" s="261" customFormat="1">
      <c r="B129" s="323" t="s">
        <v>673</v>
      </c>
      <c r="C129" s="480">
        <f>'[48]Sch C'!D125</f>
        <v>114370.23</v>
      </c>
      <c r="D129" s="480">
        <f>'[48]Sch C'!F125</f>
        <v>0</v>
      </c>
      <c r="E129" s="480">
        <f>+'[48]Sch C'!H125</f>
        <v>0</v>
      </c>
      <c r="F129" s="236">
        <f>C129+D129+E129</f>
        <v>114370.23</v>
      </c>
      <c r="G129" s="628"/>
      <c r="H129" s="236"/>
      <c r="I129" s="236">
        <f t="shared" si="40"/>
        <v>114370.23</v>
      </c>
      <c r="J129" s="265">
        <f>IF($I$213=0,0,I129/$I$213)</f>
        <v>1.4223110394284257E-2</v>
      </c>
      <c r="K129" s="579"/>
      <c r="L129" s="428">
        <v>2822.0221428571426</v>
      </c>
      <c r="M129" s="428">
        <v>2952.0221428571426</v>
      </c>
      <c r="O129" s="332">
        <f t="shared" si="41"/>
        <v>4.5994623180246119</v>
      </c>
      <c r="P129" s="325">
        <f>SUMMARY!L131</f>
        <v>9.5410604060393975</v>
      </c>
    </row>
    <row r="130" spans="1:16" s="261" customFormat="1">
      <c r="A130" s="257" t="s">
        <v>182</v>
      </c>
      <c r="B130" s="323" t="s">
        <v>674</v>
      </c>
      <c r="C130" s="480">
        <f>'[48]Sch C'!D126</f>
        <v>0</v>
      </c>
      <c r="D130" s="480">
        <f>'[48]Sch C'!F126</f>
        <v>0</v>
      </c>
      <c r="E130" s="480">
        <f>+'[48]Sch C'!H126</f>
        <v>0</v>
      </c>
      <c r="F130" s="236">
        <f>C130+D130+E130</f>
        <v>0</v>
      </c>
      <c r="G130" s="628"/>
      <c r="H130" s="236"/>
      <c r="I130" s="236">
        <f t="shared" si="40"/>
        <v>0</v>
      </c>
      <c r="J130" s="265">
        <f>IF($I$213=0,0,I130/$I$213)</f>
        <v>0</v>
      </c>
      <c r="K130" s="579"/>
      <c r="L130" s="428">
        <v>0</v>
      </c>
      <c r="M130" s="428">
        <v>0</v>
      </c>
      <c r="O130" s="332">
        <f t="shared" si="41"/>
        <v>0</v>
      </c>
      <c r="P130" s="325">
        <f>SUMMARY!L132</f>
        <v>0.73740366987881678</v>
      </c>
    </row>
    <row r="131" spans="1:16" s="261" customFormat="1">
      <c r="A131" s="263"/>
      <c r="B131" s="257" t="s">
        <v>676</v>
      </c>
      <c r="C131" s="480">
        <f>'[48]Sch C'!D127</f>
        <v>0</v>
      </c>
      <c r="D131" s="480">
        <f>'[48]Sch C'!F127</f>
        <v>0</v>
      </c>
      <c r="E131" s="480">
        <f>+'[48]Sch C'!H127</f>
        <v>0</v>
      </c>
      <c r="F131" s="236">
        <f>C131+D131+E131</f>
        <v>0</v>
      </c>
      <c r="G131" s="628"/>
      <c r="H131" s="236"/>
      <c r="I131" s="236">
        <f t="shared" si="40"/>
        <v>0</v>
      </c>
      <c r="J131" s="265">
        <f>IF($I$213=0,0,I131/$I$213)</f>
        <v>0</v>
      </c>
      <c r="K131" s="579"/>
      <c r="L131" s="428">
        <v>0</v>
      </c>
      <c r="M131" s="428">
        <v>0</v>
      </c>
      <c r="O131" s="332">
        <f t="shared" si="41"/>
        <v>0</v>
      </c>
      <c r="P131" s="325">
        <f>SUMMARY!L133</f>
        <v>7.3626382620363751E-2</v>
      </c>
    </row>
    <row r="132" spans="1:16" s="261" customFormat="1">
      <c r="A132" s="263"/>
      <c r="B132" s="257" t="s">
        <v>678</v>
      </c>
      <c r="C132" s="480">
        <f>'[48]Sch C'!D128</f>
        <v>90808</v>
      </c>
      <c r="D132" s="480">
        <f>'[48]Sch C'!F128</f>
        <v>0</v>
      </c>
      <c r="E132" s="480">
        <f>+'[48]Sch C'!H128</f>
        <v>0</v>
      </c>
      <c r="F132" s="236">
        <f>C132+D132+E132</f>
        <v>90808</v>
      </c>
      <c r="G132" s="628"/>
      <c r="H132" s="236"/>
      <c r="I132" s="236">
        <f t="shared" si="40"/>
        <v>90808</v>
      </c>
      <c r="J132" s="265">
        <f>IF($I$213=0,0,I132/$I$213)</f>
        <v>1.1292905581147863E-2</v>
      </c>
      <c r="K132" s="579"/>
      <c r="L132" s="428">
        <v>4565.3971428571431</v>
      </c>
      <c r="M132" s="428">
        <v>4875.3971428571431</v>
      </c>
      <c r="O132" s="332">
        <f t="shared" si="41"/>
        <v>3.6518941526582482</v>
      </c>
      <c r="P132" s="325">
        <f>SUMMARY!L134</f>
        <v>2.9246178488865282</v>
      </c>
    </row>
    <row r="133" spans="1:16" s="261" customFormat="1">
      <c r="A133" s="263" t="s">
        <v>87</v>
      </c>
      <c r="B133" s="264" t="s">
        <v>144</v>
      </c>
      <c r="C133" s="483"/>
      <c r="D133" s="483"/>
      <c r="E133" s="483"/>
      <c r="F133" s="288"/>
      <c r="G133" s="288"/>
      <c r="H133" s="288"/>
      <c r="I133" s="288"/>
      <c r="J133" s="289"/>
      <c r="K133" s="585"/>
      <c r="L133" s="450"/>
      <c r="M133" s="450"/>
      <c r="O133" s="332"/>
      <c r="P133" s="325"/>
    </row>
    <row r="134" spans="1:16" s="261" customFormat="1">
      <c r="A134" s="263"/>
      <c r="B134" s="257" t="s">
        <v>680</v>
      </c>
      <c r="C134" s="480">
        <f>'[48]Sch C'!D130</f>
        <v>27249.013263696987</v>
      </c>
      <c r="D134" s="480">
        <f>'[48]Sch C'!F130</f>
        <v>0</v>
      </c>
      <c r="E134" s="480">
        <f>+'[48]Sch C'!H130</f>
        <v>0</v>
      </c>
      <c r="F134" s="236">
        <f>C134+D134+E134</f>
        <v>27249.013263696987</v>
      </c>
      <c r="G134" s="628">
        <v>-2645</v>
      </c>
      <c r="H134" s="236"/>
      <c r="I134" s="236">
        <f t="shared" ref="I134:I138" si="42">F134+G134+H134</f>
        <v>24604.013263696987</v>
      </c>
      <c r="J134" s="265">
        <f>IF($I$213=0,0,I134/$I$213)</f>
        <v>3.0597612402457905E-3</v>
      </c>
      <c r="K134" s="579"/>
      <c r="L134" s="427"/>
      <c r="M134" s="427"/>
      <c r="O134" s="332">
        <f t="shared" si="41"/>
        <v>0.9894640578982139</v>
      </c>
      <c r="P134" s="325">
        <f>SUMMARY!L136</f>
        <v>0.14277129220841339</v>
      </c>
    </row>
    <row r="135" spans="1:16" s="261" customFormat="1">
      <c r="A135" s="263"/>
      <c r="B135" s="323" t="s">
        <v>673</v>
      </c>
      <c r="C135" s="480">
        <f>'[48]Sch C'!D131</f>
        <v>22494.346879310746</v>
      </c>
      <c r="D135" s="480">
        <f>'[48]Sch C'!F131</f>
        <v>0</v>
      </c>
      <c r="E135" s="480">
        <f>+'[48]Sch C'!H131</f>
        <v>0</v>
      </c>
      <c r="F135" s="236">
        <f>C135+D135+E135</f>
        <v>22494.346879310746</v>
      </c>
      <c r="G135" s="628">
        <v>-2184</v>
      </c>
      <c r="H135" s="236"/>
      <c r="I135" s="236">
        <f t="shared" si="42"/>
        <v>20310.346879310746</v>
      </c>
      <c r="J135" s="265">
        <f>IF($I$213=0,0,I135/$I$213)</f>
        <v>2.5257998153072132E-3</v>
      </c>
      <c r="K135" s="579"/>
      <c r="L135" s="427"/>
      <c r="M135" s="427"/>
      <c r="O135" s="332">
        <f t="shared" si="41"/>
        <v>0.81679187964733957</v>
      </c>
      <c r="P135" s="325">
        <f>SUMMARY!L137</f>
        <v>1.7172183827658836</v>
      </c>
    </row>
    <row r="136" spans="1:16" s="261" customFormat="1">
      <c r="B136" s="323" t="s">
        <v>674</v>
      </c>
      <c r="C136" s="480">
        <f>'[48]Sch C'!D132</f>
        <v>0</v>
      </c>
      <c r="D136" s="480">
        <f>'[48]Sch C'!F132</f>
        <v>0</v>
      </c>
      <c r="E136" s="480">
        <f>+'[48]Sch C'!H132</f>
        <v>0</v>
      </c>
      <c r="F136" s="236">
        <f>C136+D136+E136</f>
        <v>0</v>
      </c>
      <c r="G136" s="628"/>
      <c r="H136" s="236"/>
      <c r="I136" s="236">
        <f t="shared" si="42"/>
        <v>0</v>
      </c>
      <c r="J136" s="265">
        <f>IF($I$213=0,0,I136/$I$213)</f>
        <v>0</v>
      </c>
      <c r="K136" s="579"/>
      <c r="L136" s="446"/>
      <c r="M136" s="446"/>
      <c r="O136" s="332">
        <f t="shared" si="41"/>
        <v>0</v>
      </c>
      <c r="P136" s="325">
        <f>SUMMARY!L138</f>
        <v>0.13474113570830348</v>
      </c>
    </row>
    <row r="137" spans="1:16" s="261" customFormat="1">
      <c r="B137" s="323" t="s">
        <v>683</v>
      </c>
      <c r="C137" s="480">
        <f>'[48]Sch C'!D133</f>
        <v>0</v>
      </c>
      <c r="D137" s="480">
        <f>'[48]Sch C'!F133</f>
        <v>0</v>
      </c>
      <c r="E137" s="480">
        <f>+'[48]Sch C'!H133</f>
        <v>0</v>
      </c>
      <c r="F137" s="236">
        <f>C137+D137+E137</f>
        <v>0</v>
      </c>
      <c r="G137" s="628"/>
      <c r="H137" s="236"/>
      <c r="I137" s="236">
        <f t="shared" si="42"/>
        <v>0</v>
      </c>
      <c r="J137" s="265">
        <f>IF($I$213=0,0,I137/$I$213)</f>
        <v>0</v>
      </c>
      <c r="K137" s="579"/>
      <c r="L137" s="446"/>
      <c r="M137" s="446"/>
      <c r="O137" s="332">
        <f t="shared" si="41"/>
        <v>0</v>
      </c>
      <c r="P137" s="325">
        <f>SUMMARY!L139</f>
        <v>2.1178039395593925E-2</v>
      </c>
    </row>
    <row r="138" spans="1:16" s="261" customFormat="1">
      <c r="B138" s="323" t="s">
        <v>684</v>
      </c>
      <c r="C138" s="480">
        <f>'[48]Sch C'!D134</f>
        <v>25131.27</v>
      </c>
      <c r="D138" s="480">
        <f>'[48]Sch C'!F134</f>
        <v>0</v>
      </c>
      <c r="E138" s="480">
        <f>+'[48]Sch C'!H134</f>
        <v>0</v>
      </c>
      <c r="F138" s="236">
        <f>C138+D138+E138</f>
        <v>25131.27</v>
      </c>
      <c r="G138" s="628">
        <v>-1745</v>
      </c>
      <c r="H138" s="236"/>
      <c r="I138" s="236">
        <f t="shared" si="42"/>
        <v>23386.27</v>
      </c>
      <c r="J138" s="265">
        <f>IF($I$213=0,0,I138/$I$213)</f>
        <v>2.9083223835480445E-3</v>
      </c>
      <c r="K138" s="579"/>
      <c r="L138" s="446"/>
      <c r="M138" s="446"/>
      <c r="O138" s="332">
        <f t="shared" si="41"/>
        <v>0.94049183624225852</v>
      </c>
      <c r="P138" s="325">
        <f>SUMMARY!L140</f>
        <v>0.57311755736724024</v>
      </c>
    </row>
    <row r="139" spans="1:16" s="261" customFormat="1">
      <c r="A139" s="263" t="s">
        <v>78</v>
      </c>
      <c r="B139" s="264" t="s">
        <v>56</v>
      </c>
      <c r="C139" s="188"/>
      <c r="D139" s="188"/>
      <c r="E139" s="188"/>
      <c r="F139" s="281"/>
      <c r="G139" s="281"/>
      <c r="H139" s="281"/>
      <c r="I139" s="281"/>
      <c r="J139" s="282"/>
      <c r="K139" s="579"/>
      <c r="L139" s="427"/>
      <c r="M139" s="427"/>
      <c r="O139" s="332"/>
      <c r="P139" s="325"/>
    </row>
    <row r="140" spans="1:16" s="261" customFormat="1">
      <c r="A140" s="263"/>
      <c r="B140" s="323" t="s">
        <v>686</v>
      </c>
      <c r="C140" s="480">
        <f>'[48]Sch C'!D136</f>
        <v>652766.99</v>
      </c>
      <c r="D140" s="480">
        <f>'[48]Sch C'!F136</f>
        <v>0</v>
      </c>
      <c r="E140" s="480">
        <f>+'[48]Sch C'!H136</f>
        <v>0</v>
      </c>
      <c r="F140" s="236">
        <f>C140+D140+E140</f>
        <v>652766.99</v>
      </c>
      <c r="G140" s="628"/>
      <c r="H140" s="236"/>
      <c r="I140" s="236">
        <f t="shared" ref="I140:I143" si="43">F140+G140+H140</f>
        <v>652766.99</v>
      </c>
      <c r="J140" s="265">
        <f>IF($I$213=0,0,I140/$I$213)</f>
        <v>8.117826606202197E-2</v>
      </c>
      <c r="K140" s="579"/>
      <c r="L140" s="428">
        <v>16582.257857142857</v>
      </c>
      <c r="M140" s="428">
        <v>17346.757857142857</v>
      </c>
      <c r="O140" s="332">
        <f t="shared" si="41"/>
        <v>26.251387034504948</v>
      </c>
      <c r="P140" s="325">
        <f>SUMMARY!L142</f>
        <v>23.522763912591504</v>
      </c>
    </row>
    <row r="141" spans="1:16" s="261" customFormat="1">
      <c r="A141" s="263"/>
      <c r="B141" s="323" t="s">
        <v>688</v>
      </c>
      <c r="C141" s="480">
        <f>'[48]Sch C'!D137</f>
        <v>546958.73</v>
      </c>
      <c r="D141" s="480">
        <f>'[48]Sch C'!F137</f>
        <v>0</v>
      </c>
      <c r="E141" s="480">
        <f>+'[48]Sch C'!H137</f>
        <v>0</v>
      </c>
      <c r="F141" s="236">
        <f>C141+D141+E141</f>
        <v>546958.73</v>
      </c>
      <c r="G141" s="628"/>
      <c r="H141" s="236"/>
      <c r="I141" s="236">
        <f t="shared" si="43"/>
        <v>546958.73</v>
      </c>
      <c r="J141" s="265">
        <f>IF($I$213=0,0,I141/$I$213)</f>
        <v>6.8019924397349871E-2</v>
      </c>
      <c r="K141" s="579"/>
      <c r="L141" s="428">
        <v>17470.453571428574</v>
      </c>
      <c r="M141" s="428">
        <v>18060.953571428574</v>
      </c>
      <c r="O141" s="332">
        <f t="shared" si="41"/>
        <v>21.996249095150002</v>
      </c>
      <c r="P141" s="325">
        <f>SUMMARY!L143</f>
        <v>13.698966340347111</v>
      </c>
    </row>
    <row r="142" spans="1:16" s="261" customFormat="1">
      <c r="A142" s="263"/>
      <c r="B142" s="323" t="s">
        <v>690</v>
      </c>
      <c r="C142" s="480">
        <f>'[48]Sch C'!D138</f>
        <v>694497.04</v>
      </c>
      <c r="D142" s="480">
        <f>'[48]Sch C'!F138</f>
        <v>0</v>
      </c>
      <c r="E142" s="480">
        <f>+'[48]Sch C'!H138</f>
        <v>0</v>
      </c>
      <c r="F142" s="236">
        <f>C142+D142+E142</f>
        <v>694497.04</v>
      </c>
      <c r="G142" s="628"/>
      <c r="H142" s="236"/>
      <c r="I142" s="236">
        <f t="shared" si="43"/>
        <v>694497.04</v>
      </c>
      <c r="J142" s="265">
        <f>IF($I$213=0,0,I142/$I$213)</f>
        <v>8.6367825512142879E-2</v>
      </c>
      <c r="K142" s="579"/>
      <c r="L142" s="428">
        <v>45060.504999999983</v>
      </c>
      <c r="M142" s="428">
        <v>47261.074999999983</v>
      </c>
      <c r="O142" s="332">
        <f t="shared" si="41"/>
        <v>27.929584171157405</v>
      </c>
      <c r="P142" s="325">
        <f>SUMMARY!L144</f>
        <v>32.258417105951196</v>
      </c>
    </row>
    <row r="143" spans="1:16" s="261" customFormat="1">
      <c r="A143" s="263"/>
      <c r="B143" s="323" t="s">
        <v>692</v>
      </c>
      <c r="C143" s="480">
        <f>'[48]Sch C'!D139</f>
        <v>114085.22000000002</v>
      </c>
      <c r="D143" s="480">
        <f>'[48]Sch C'!F139</f>
        <v>0</v>
      </c>
      <c r="E143" s="480">
        <f>+'[48]Sch C'!H139</f>
        <v>0</v>
      </c>
      <c r="F143" s="236">
        <f>C143+D143+E143</f>
        <v>114085.22000000002</v>
      </c>
      <c r="G143" s="628"/>
      <c r="H143" s="236"/>
      <c r="I143" s="236">
        <f t="shared" si="43"/>
        <v>114085.22000000002</v>
      </c>
      <c r="J143" s="265">
        <f>IF($I$213=0,0,I143/$I$213)</f>
        <v>1.4187666479434433E-2</v>
      </c>
      <c r="K143" s="579"/>
      <c r="L143" s="428">
        <v>7177.6657142857139</v>
      </c>
      <c r="M143" s="428">
        <v>7634.6657142857139</v>
      </c>
      <c r="O143" s="332">
        <f t="shared" si="41"/>
        <v>4.5880004825866649</v>
      </c>
      <c r="P143" s="325">
        <f>SUMMARY!L145</f>
        <v>1.9999236429814966</v>
      </c>
    </row>
    <row r="144" spans="1:16" s="261" customFormat="1">
      <c r="A144" s="263" t="s">
        <v>88</v>
      </c>
      <c r="B144" s="264" t="s">
        <v>145</v>
      </c>
      <c r="C144" s="188"/>
      <c r="D144" s="188"/>
      <c r="E144" s="188"/>
      <c r="F144" s="281"/>
      <c r="G144" s="281"/>
      <c r="H144" s="281"/>
      <c r="I144" s="281"/>
      <c r="J144" s="282"/>
      <c r="K144" s="579"/>
      <c r="L144" s="451"/>
      <c r="M144" s="451"/>
      <c r="O144" s="332"/>
      <c r="P144" s="325"/>
    </row>
    <row r="145" spans="1:16" s="261" customFormat="1">
      <c r="A145" s="263"/>
      <c r="B145" s="323" t="s">
        <v>681</v>
      </c>
      <c r="C145" s="480">
        <f>'[48]Sch C'!D141</f>
        <v>128386.26891301668</v>
      </c>
      <c r="D145" s="480">
        <f>'[48]Sch C'!F141</f>
        <v>0</v>
      </c>
      <c r="E145" s="480">
        <f>+'[48]Sch C'!H141</f>
        <v>0</v>
      </c>
      <c r="F145" s="236">
        <f>C145+D145+E145</f>
        <v>128386.26891301668</v>
      </c>
      <c r="G145" s="628">
        <v>-12464</v>
      </c>
      <c r="H145" s="236"/>
      <c r="I145" s="236">
        <f t="shared" ref="I145:I148" si="44">F145+G145+H145</f>
        <v>115922.26891301668</v>
      </c>
      <c r="J145" s="265">
        <f>IF($I$213=0,0,I145/$I$213)</f>
        <v>1.4416122341502175E-2</v>
      </c>
      <c r="K145" s="579"/>
      <c r="L145" s="446"/>
      <c r="M145" s="446"/>
      <c r="O145" s="332">
        <f t="shared" si="41"/>
        <v>4.6618784248780134</v>
      </c>
      <c r="P145" s="325">
        <f>SUMMARY!L147</f>
        <v>4.4613578559170044</v>
      </c>
    </row>
    <row r="146" spans="1:16" s="261" customFormat="1">
      <c r="A146" s="263"/>
      <c r="B146" s="323" t="s">
        <v>688</v>
      </c>
      <c r="C146" s="480">
        <f>'[48]Sch C'!D142</f>
        <v>107575.89104513708</v>
      </c>
      <c r="D146" s="480">
        <f>'[48]Sch C'!F142</f>
        <v>0</v>
      </c>
      <c r="E146" s="480">
        <f>+'[48]Sch C'!H142</f>
        <v>0</v>
      </c>
      <c r="F146" s="236">
        <f>C146+D146+E146</f>
        <v>107575.89104513708</v>
      </c>
      <c r="G146" s="628">
        <v>-10443</v>
      </c>
      <c r="H146" s="236"/>
      <c r="I146" s="236">
        <f t="shared" si="44"/>
        <v>97132.891045137076</v>
      </c>
      <c r="J146" s="265">
        <f>IF($I$213=0,0,I146/$I$213)</f>
        <v>1.207947061268452E-2</v>
      </c>
      <c r="K146" s="579"/>
      <c r="L146" s="446"/>
      <c r="M146" s="446"/>
      <c r="O146" s="332">
        <f t="shared" si="41"/>
        <v>3.9062531587363098</v>
      </c>
      <c r="P146" s="325">
        <f>SUMMARY!L148</f>
        <v>2.5881018642050413</v>
      </c>
    </row>
    <row r="147" spans="1:16" s="261" customFormat="1">
      <c r="A147" s="263"/>
      <c r="B147" s="323" t="s">
        <v>690</v>
      </c>
      <c r="C147" s="480">
        <f>'[48]Sch C'!D143</f>
        <v>136593.73881135459</v>
      </c>
      <c r="D147" s="480">
        <f>'[48]Sch C'!F143</f>
        <v>0</v>
      </c>
      <c r="E147" s="480">
        <f>+'[48]Sch C'!H143</f>
        <v>0</v>
      </c>
      <c r="F147" s="236">
        <f>C147+D147+E147</f>
        <v>136593.73881135459</v>
      </c>
      <c r="G147" s="628">
        <v>-13260</v>
      </c>
      <c r="H147" s="236"/>
      <c r="I147" s="236">
        <f t="shared" si="44"/>
        <v>123333.73881135459</v>
      </c>
      <c r="J147" s="265">
        <f>IF($I$213=0,0,I147/$I$213)</f>
        <v>1.5337814590857403E-2</v>
      </c>
      <c r="K147" s="579"/>
      <c r="L147" s="446"/>
      <c r="M147" s="446"/>
      <c r="O147" s="332">
        <f t="shared" si="41"/>
        <v>4.9599348029982542</v>
      </c>
      <c r="P147" s="325">
        <f>SUMMARY!L149</f>
        <v>5.926405773153995</v>
      </c>
    </row>
    <row r="148" spans="1:16" s="261" customFormat="1">
      <c r="A148" s="263"/>
      <c r="B148" s="323" t="s">
        <v>692</v>
      </c>
      <c r="C148" s="480">
        <f>'[48]Sch C'!D144</f>
        <v>22438.291087483867</v>
      </c>
      <c r="D148" s="480">
        <f>'[48]Sch C'!F144</f>
        <v>0</v>
      </c>
      <c r="E148" s="480">
        <f>+'[48]Sch C'!H144</f>
        <v>0</v>
      </c>
      <c r="F148" s="236">
        <f>C148+D148+E148</f>
        <v>22438.291087483867</v>
      </c>
      <c r="G148" s="628">
        <v>-2178</v>
      </c>
      <c r="H148" s="236"/>
      <c r="I148" s="236">
        <f t="shared" si="44"/>
        <v>20260.291087483867</v>
      </c>
      <c r="J148" s="265">
        <f>IF($I$213=0,0,I148/$I$213)</f>
        <v>2.5195748645221441E-3</v>
      </c>
      <c r="K148" s="579"/>
      <c r="L148" s="446"/>
      <c r="M148" s="446"/>
      <c r="O148" s="332">
        <f t="shared" si="41"/>
        <v>0.81477885817919515</v>
      </c>
      <c r="P148" s="325">
        <f>SUMMARY!L150</f>
        <v>0.58146571018408233</v>
      </c>
    </row>
    <row r="149" spans="1:16" s="261" customFormat="1">
      <c r="A149" s="263" t="s">
        <v>79</v>
      </c>
      <c r="B149" s="264" t="s">
        <v>90</v>
      </c>
      <c r="C149" s="188"/>
      <c r="D149" s="188"/>
      <c r="E149" s="188"/>
      <c r="F149" s="281"/>
      <c r="G149" s="281"/>
      <c r="H149" s="281"/>
      <c r="I149" s="281"/>
      <c r="J149" s="282"/>
      <c r="K149" s="579"/>
      <c r="L149" s="503"/>
      <c r="M149" s="427"/>
      <c r="O149" s="332"/>
      <c r="P149" s="325"/>
    </row>
    <row r="150" spans="1:16" s="261" customFormat="1">
      <c r="A150" s="263"/>
      <c r="B150" s="323" t="s">
        <v>694</v>
      </c>
      <c r="C150" s="480">
        <f>'[48]Sch C'!D146</f>
        <v>51572.83</v>
      </c>
      <c r="D150" s="480">
        <f>'[48]Sch C'!F146</f>
        <v>0</v>
      </c>
      <c r="E150" s="480">
        <f>+'[48]Sch C'!H146</f>
        <v>0</v>
      </c>
      <c r="F150" s="236">
        <f t="shared" ref="F150:F158" si="45">C150+D150+E150</f>
        <v>51572.83</v>
      </c>
      <c r="G150" s="628"/>
      <c r="H150" s="236"/>
      <c r="I150" s="236">
        <f t="shared" ref="I150:I158" si="46">F150+G150+H150</f>
        <v>51572.83</v>
      </c>
      <c r="J150" s="265">
        <f t="shared" ref="J150:J158" si="47">IF($I$213=0,0,I150/$I$213)</f>
        <v>6.4136100315235435E-3</v>
      </c>
      <c r="K150" s="579"/>
      <c r="L150" s="428">
        <v>0</v>
      </c>
      <c r="M150" s="428" t="s">
        <v>460</v>
      </c>
      <c r="O150" s="332">
        <f t="shared" si="41"/>
        <v>2.0740300008043113</v>
      </c>
      <c r="P150" s="325">
        <f>SUMMARY!L152</f>
        <v>1.8353464912966555</v>
      </c>
    </row>
    <row r="151" spans="1:16" s="261" customFormat="1">
      <c r="A151" s="263"/>
      <c r="B151" s="323" t="s">
        <v>696</v>
      </c>
      <c r="C151" s="480">
        <f>'[48]Sch C'!D147</f>
        <v>76821.469999999972</v>
      </c>
      <c r="D151" s="480">
        <f>'[48]Sch C'!F147</f>
        <v>0</v>
      </c>
      <c r="E151" s="480">
        <f>+'[48]Sch C'!H147</f>
        <v>0</v>
      </c>
      <c r="F151" s="236">
        <f t="shared" si="45"/>
        <v>76821.469999999972</v>
      </c>
      <c r="G151" s="628"/>
      <c r="H151" s="236"/>
      <c r="I151" s="236">
        <f t="shared" si="46"/>
        <v>76821.469999999972</v>
      </c>
      <c r="J151" s="265">
        <f t="shared" si="47"/>
        <v>9.5535372138466079E-3</v>
      </c>
      <c r="K151" s="579"/>
      <c r="L151" s="428">
        <v>1274</v>
      </c>
      <c r="M151" s="428">
        <v>1274</v>
      </c>
      <c r="O151" s="332">
        <f t="shared" si="41"/>
        <v>3.0894180809136964</v>
      </c>
      <c r="P151" s="325">
        <f>SUMMARY!L153</f>
        <v>1.6124946612088766</v>
      </c>
    </row>
    <row r="152" spans="1:16" s="261" customFormat="1">
      <c r="A152" s="263"/>
      <c r="B152" s="323" t="s">
        <v>698</v>
      </c>
      <c r="C152" s="480">
        <f>'[48]Sch C'!D148</f>
        <v>56612.75</v>
      </c>
      <c r="D152" s="480">
        <f>'[48]Sch C'!F148</f>
        <v>0</v>
      </c>
      <c r="E152" s="480">
        <f>+'[48]Sch C'!H148</f>
        <v>0</v>
      </c>
      <c r="F152" s="236">
        <f t="shared" si="45"/>
        <v>56612.75</v>
      </c>
      <c r="G152" s="628"/>
      <c r="H152" s="236"/>
      <c r="I152" s="236">
        <f t="shared" si="46"/>
        <v>56612.75</v>
      </c>
      <c r="J152" s="265">
        <f t="shared" si="47"/>
        <v>7.0403757426562496E-3</v>
      </c>
      <c r="K152" s="579"/>
      <c r="L152" s="428">
        <v>1145.71</v>
      </c>
      <c r="M152" s="428">
        <v>1145.71</v>
      </c>
      <c r="O152" s="332">
        <f t="shared" si="41"/>
        <v>2.2767131826590523</v>
      </c>
      <c r="P152" s="325">
        <f>SUMMARY!L154</f>
        <v>0.75115383579892336</v>
      </c>
    </row>
    <row r="153" spans="1:16" s="261" customFormat="1">
      <c r="A153" s="263"/>
      <c r="B153" s="323" t="s">
        <v>683</v>
      </c>
      <c r="C153" s="480">
        <f>'[48]Sch C'!D149</f>
        <v>235819.92999999993</v>
      </c>
      <c r="D153" s="480">
        <f>'[48]Sch C'!F149</f>
        <v>0</v>
      </c>
      <c r="E153" s="480">
        <f>+'[48]Sch C'!H149</f>
        <v>0</v>
      </c>
      <c r="F153" s="236">
        <f t="shared" si="45"/>
        <v>235819.92999999993</v>
      </c>
      <c r="G153" s="628"/>
      <c r="H153" s="236"/>
      <c r="I153" s="236">
        <f t="shared" si="46"/>
        <v>235819.92999999993</v>
      </c>
      <c r="J153" s="265">
        <f t="shared" si="47"/>
        <v>2.932662544756957E-2</v>
      </c>
      <c r="K153" s="579"/>
      <c r="L153" s="428">
        <v>10108</v>
      </c>
      <c r="M153" s="428">
        <v>10108</v>
      </c>
      <c r="O153" s="332">
        <f t="shared" si="41"/>
        <v>9.483629453872755</v>
      </c>
      <c r="P153" s="325">
        <f>SUMMARY!L155</f>
        <v>2.153048452423644</v>
      </c>
    </row>
    <row r="154" spans="1:16" s="261" customFormat="1">
      <c r="A154" s="263"/>
      <c r="B154" s="323" t="s">
        <v>700</v>
      </c>
      <c r="C154" s="480">
        <f>'[48]Sch C'!D150</f>
        <v>46014.039999999994</v>
      </c>
      <c r="D154" s="480">
        <f>'[48]Sch C'!F150-53964</f>
        <v>0</v>
      </c>
      <c r="E154" s="480">
        <f>+'[48]Sch C'!H150</f>
        <v>0</v>
      </c>
      <c r="F154" s="236">
        <f t="shared" si="45"/>
        <v>46014.039999999994</v>
      </c>
      <c r="G154" s="628"/>
      <c r="H154" s="480">
        <v>53964</v>
      </c>
      <c r="I154" s="236">
        <f t="shared" si="46"/>
        <v>99978.04</v>
      </c>
      <c r="J154" s="265">
        <f t="shared" si="47"/>
        <v>1.2433294047971812E-2</v>
      </c>
      <c r="K154" s="579"/>
      <c r="L154" s="428">
        <v>0</v>
      </c>
      <c r="M154" s="428" t="s">
        <v>397</v>
      </c>
      <c r="O154" s="332">
        <f t="shared" si="41"/>
        <v>4.0206724040859001</v>
      </c>
      <c r="P154" s="325">
        <f>SUMMARY!L156</f>
        <v>0.8651921749421968</v>
      </c>
    </row>
    <row r="155" spans="1:16" s="261" customFormat="1">
      <c r="A155" s="263">
        <v>110</v>
      </c>
      <c r="B155" s="261" t="s">
        <v>57</v>
      </c>
      <c r="C155" s="480">
        <f>'[48]Sch C'!D151</f>
        <v>101241.14</v>
      </c>
      <c r="D155" s="480">
        <f>'[48]Sch C'!F151</f>
        <v>0</v>
      </c>
      <c r="E155" s="480">
        <f>+'[48]Sch C'!H151</f>
        <v>0</v>
      </c>
      <c r="F155" s="236">
        <f t="shared" si="45"/>
        <v>101241.14</v>
      </c>
      <c r="G155" s="628"/>
      <c r="H155" s="236"/>
      <c r="I155" s="236">
        <f t="shared" si="46"/>
        <v>101241.14</v>
      </c>
      <c r="J155" s="265">
        <f t="shared" si="47"/>
        <v>1.2590373479734959E-2</v>
      </c>
      <c r="K155" s="579"/>
      <c r="L155" s="446"/>
      <c r="M155" s="446"/>
      <c r="O155" s="332">
        <f t="shared" si="41"/>
        <v>4.0714686720823616</v>
      </c>
      <c r="P155" s="325">
        <f>SUMMARY!L157</f>
        <v>5.7407714042076297</v>
      </c>
    </row>
    <row r="156" spans="1:16" s="261" customFormat="1">
      <c r="A156" s="263">
        <v>111</v>
      </c>
      <c r="B156" s="264" t="s">
        <v>89</v>
      </c>
      <c r="C156" s="480">
        <f>'[48]Sch C'!D152</f>
        <v>17616.04</v>
      </c>
      <c r="D156" s="480">
        <f>'[48]Sch C'!F152</f>
        <v>0</v>
      </c>
      <c r="E156" s="480">
        <f>+'[48]Sch C'!H152</f>
        <v>0</v>
      </c>
      <c r="F156" s="236">
        <f t="shared" si="45"/>
        <v>17616.04</v>
      </c>
      <c r="G156" s="628">
        <v>-231</v>
      </c>
      <c r="H156" s="236"/>
      <c r="I156" s="236">
        <f t="shared" si="46"/>
        <v>17385.04</v>
      </c>
      <c r="J156" s="265">
        <f t="shared" si="47"/>
        <v>2.1620079204968598E-3</v>
      </c>
      <c r="K156" s="579"/>
      <c r="L156" s="446"/>
      <c r="M156" s="446"/>
      <c r="O156" s="332">
        <f t="shared" si="41"/>
        <v>0.69914903884822655</v>
      </c>
      <c r="P156" s="325">
        <f>SUMMARY!L158</f>
        <v>0.39306127844528371</v>
      </c>
    </row>
    <row r="157" spans="1:16" s="261" customFormat="1">
      <c r="A157" s="263">
        <v>230</v>
      </c>
      <c r="B157" s="264" t="s">
        <v>58</v>
      </c>
      <c r="C157" s="480">
        <f>'[48]Sch C'!D153</f>
        <v>0</v>
      </c>
      <c r="D157" s="480">
        <f>'[48]Sch C'!F153</f>
        <v>0</v>
      </c>
      <c r="E157" s="480">
        <f>+'[48]Sch C'!H153</f>
        <v>0</v>
      </c>
      <c r="F157" s="236">
        <f t="shared" si="45"/>
        <v>0</v>
      </c>
      <c r="G157" s="628"/>
      <c r="H157" s="236"/>
      <c r="I157" s="236">
        <f t="shared" si="46"/>
        <v>0</v>
      </c>
      <c r="J157" s="265">
        <f t="shared" si="47"/>
        <v>0</v>
      </c>
      <c r="K157" s="579"/>
      <c r="L157" s="446"/>
      <c r="M157" s="446"/>
      <c r="O157" s="332">
        <f t="shared" si="41"/>
        <v>0</v>
      </c>
      <c r="P157" s="325">
        <f>SUMMARY!L159</f>
        <v>0.10204288586563798</v>
      </c>
    </row>
    <row r="158" spans="1:16" s="261" customFormat="1">
      <c r="A158" s="263">
        <v>430</v>
      </c>
      <c r="B158" s="264" t="s">
        <v>91</v>
      </c>
      <c r="C158" s="480">
        <f>'[48]Sch C'!D154</f>
        <v>0</v>
      </c>
      <c r="D158" s="480">
        <f>'[48]Sch C'!F154</f>
        <v>0</v>
      </c>
      <c r="E158" s="480">
        <f>+'[48]Sch C'!H154</f>
        <v>0</v>
      </c>
      <c r="F158" s="236">
        <f t="shared" si="45"/>
        <v>0</v>
      </c>
      <c r="G158" s="628"/>
      <c r="H158" s="236"/>
      <c r="I158" s="236">
        <f t="shared" si="46"/>
        <v>0</v>
      </c>
      <c r="J158" s="265">
        <f t="shared" si="47"/>
        <v>0</v>
      </c>
      <c r="K158" s="579"/>
      <c r="L158" s="446"/>
      <c r="M158" s="446"/>
      <c r="O158" s="332">
        <f t="shared" si="41"/>
        <v>0</v>
      </c>
      <c r="P158" s="325">
        <f>SUMMARY!L160</f>
        <v>1.5994484918386225</v>
      </c>
    </row>
    <row r="159" spans="1:16" s="261" customFormat="1">
      <c r="A159" s="263"/>
      <c r="B159" s="201" t="s">
        <v>283</v>
      </c>
      <c r="C159" s="479"/>
      <c r="D159" s="479"/>
      <c r="E159" s="479"/>
      <c r="F159" s="290"/>
      <c r="G159" s="629"/>
      <c r="H159" s="290"/>
      <c r="I159" s="290"/>
      <c r="J159" s="291"/>
      <c r="K159" s="579"/>
      <c r="L159" s="446"/>
      <c r="M159" s="446"/>
      <c r="O159" s="332"/>
      <c r="P159" s="325"/>
    </row>
    <row r="160" spans="1:16" s="261" customFormat="1">
      <c r="A160" s="263">
        <v>440.1</v>
      </c>
      <c r="B160" s="257" t="s">
        <v>207</v>
      </c>
      <c r="C160" s="480">
        <f>'[48]Sch C'!D156</f>
        <v>0</v>
      </c>
      <c r="D160" s="480">
        <f>'[48]Sch C'!F156</f>
        <v>0</v>
      </c>
      <c r="E160" s="480">
        <f>+'[48]Sch C'!H156</f>
        <v>0</v>
      </c>
      <c r="F160" s="236">
        <f t="shared" ref="F160:F165" si="48">C160+D160+E160</f>
        <v>0</v>
      </c>
      <c r="G160" s="628"/>
      <c r="H160" s="236"/>
      <c r="I160" s="236">
        <f t="shared" ref="I160:I165" si="49">F160+G160+H160</f>
        <v>0</v>
      </c>
      <c r="J160" s="265">
        <f t="shared" ref="J160:J166" si="50">IF($I$213=0,0,I160/$I$213)</f>
        <v>0</v>
      </c>
      <c r="K160" s="579"/>
      <c r="L160" s="446"/>
      <c r="M160" s="446"/>
      <c r="O160" s="332">
        <f t="shared" si="41"/>
        <v>0</v>
      </c>
      <c r="P160" s="325">
        <f>SUMMARY!L162</f>
        <v>0</v>
      </c>
    </row>
    <row r="161" spans="1:16" s="261" customFormat="1">
      <c r="A161" s="263">
        <v>440.2</v>
      </c>
      <c r="B161" s="257" t="s">
        <v>208</v>
      </c>
      <c r="C161" s="480">
        <f>'[48]Sch C'!D157</f>
        <v>0</v>
      </c>
      <c r="D161" s="480">
        <f>'[48]Sch C'!F157</f>
        <v>0</v>
      </c>
      <c r="E161" s="480">
        <f>+'[48]Sch C'!H157</f>
        <v>0</v>
      </c>
      <c r="F161" s="236">
        <f t="shared" si="48"/>
        <v>0</v>
      </c>
      <c r="G161" s="628"/>
      <c r="H161" s="236"/>
      <c r="I161" s="236">
        <f t="shared" si="49"/>
        <v>0</v>
      </c>
      <c r="J161" s="265">
        <f t="shared" si="50"/>
        <v>0</v>
      </c>
      <c r="K161" s="579"/>
      <c r="L161" s="446"/>
      <c r="M161" s="446"/>
      <c r="O161" s="332">
        <f t="shared" si="41"/>
        <v>0</v>
      </c>
      <c r="P161" s="325">
        <f>SUMMARY!L163</f>
        <v>1.902167931499783E-2</v>
      </c>
    </row>
    <row r="162" spans="1:16" s="261" customFormat="1">
      <c r="A162" s="263">
        <v>440.3</v>
      </c>
      <c r="B162" s="257" t="s">
        <v>209</v>
      </c>
      <c r="C162" s="480">
        <f>'[48]Sch C'!D158</f>
        <v>0</v>
      </c>
      <c r="D162" s="480">
        <f>'[48]Sch C'!F158</f>
        <v>0</v>
      </c>
      <c r="E162" s="480">
        <f>+'[48]Sch C'!H158</f>
        <v>0</v>
      </c>
      <c r="F162" s="236">
        <f t="shared" si="48"/>
        <v>0</v>
      </c>
      <c r="G162" s="628"/>
      <c r="H162" s="236"/>
      <c r="I162" s="236">
        <f t="shared" si="49"/>
        <v>0</v>
      </c>
      <c r="J162" s="265">
        <f t="shared" si="50"/>
        <v>0</v>
      </c>
      <c r="K162" s="579"/>
      <c r="L162" s="446"/>
      <c r="M162" s="446"/>
      <c r="O162" s="332">
        <f t="shared" si="41"/>
        <v>0</v>
      </c>
      <c r="P162" s="325">
        <f>SUMMARY!L164</f>
        <v>3.2668124805482774E-3</v>
      </c>
    </row>
    <row r="163" spans="1:16" s="261" customFormat="1">
      <c r="A163" s="263">
        <v>440.4</v>
      </c>
      <c r="B163" s="257" t="s">
        <v>210</v>
      </c>
      <c r="C163" s="480">
        <f>'[48]Sch C'!D159</f>
        <v>0</v>
      </c>
      <c r="D163" s="480">
        <f>'[48]Sch C'!F159</f>
        <v>0</v>
      </c>
      <c r="E163" s="480">
        <f>+'[48]Sch C'!H159</f>
        <v>0</v>
      </c>
      <c r="F163" s="236">
        <f t="shared" si="48"/>
        <v>0</v>
      </c>
      <c r="G163" s="628"/>
      <c r="H163" s="236"/>
      <c r="I163" s="236">
        <f t="shared" si="49"/>
        <v>0</v>
      </c>
      <c r="J163" s="265">
        <f t="shared" si="50"/>
        <v>0</v>
      </c>
      <c r="K163" s="579"/>
      <c r="L163" s="446"/>
      <c r="M163" s="446"/>
      <c r="O163" s="332">
        <f t="shared" si="41"/>
        <v>0</v>
      </c>
      <c r="P163" s="325">
        <f>SUMMARY!L165</f>
        <v>8.1576082215767929E-4</v>
      </c>
    </row>
    <row r="164" spans="1:16" s="261" customFormat="1">
      <c r="A164" s="263">
        <v>440.5</v>
      </c>
      <c r="B164" s="257" t="s">
        <v>282</v>
      </c>
      <c r="C164" s="480">
        <f>'[48]Sch C'!D160</f>
        <v>148.6</v>
      </c>
      <c r="D164" s="480">
        <f>'[48]Sch C'!F160</f>
        <v>0</v>
      </c>
      <c r="E164" s="480">
        <f>+'[48]Sch C'!H160</f>
        <v>0</v>
      </c>
      <c r="F164" s="236">
        <f t="shared" si="48"/>
        <v>148.6</v>
      </c>
      <c r="G164" s="628"/>
      <c r="H164" s="236"/>
      <c r="I164" s="236">
        <f t="shared" si="49"/>
        <v>148.6</v>
      </c>
      <c r="J164" s="265">
        <f t="shared" si="50"/>
        <v>1.8479933148605547E-5</v>
      </c>
      <c r="K164" s="579"/>
      <c r="L164" s="446"/>
      <c r="M164" s="446"/>
      <c r="O164" s="332">
        <f t="shared" si="41"/>
        <v>5.9760315289954149E-3</v>
      </c>
      <c r="P164" s="325">
        <f>SUMMARY!L166</f>
        <v>9.900111029624771E-3</v>
      </c>
    </row>
    <row r="165" spans="1:16" s="261" customFormat="1">
      <c r="A165" s="263">
        <v>490</v>
      </c>
      <c r="B165" s="23" t="s">
        <v>331</v>
      </c>
      <c r="C165" s="480">
        <f>'[48]Sch C'!D161</f>
        <v>11398.2</v>
      </c>
      <c r="D165" s="480">
        <f>'[48]Sch C'!F161</f>
        <v>0</v>
      </c>
      <c r="E165" s="480">
        <f>+'[48]Sch C'!H161</f>
        <v>0</v>
      </c>
      <c r="F165" s="236">
        <f t="shared" si="48"/>
        <v>11398.2</v>
      </c>
      <c r="G165" s="628"/>
      <c r="H165" s="236"/>
      <c r="I165" s="236">
        <f t="shared" si="49"/>
        <v>11398.2</v>
      </c>
      <c r="J165" s="265">
        <f t="shared" si="50"/>
        <v>1.4174830014430401E-3</v>
      </c>
      <c r="K165" s="579"/>
      <c r="L165" s="446"/>
      <c r="M165" s="446"/>
      <c r="O165" s="332">
        <f t="shared" si="41"/>
        <v>0.45838494329606694</v>
      </c>
      <c r="P165" s="325">
        <f>SUMMARY!L167</f>
        <v>0.46627165535370629</v>
      </c>
    </row>
    <row r="166" spans="1:16" s="261" customFormat="1">
      <c r="A166" s="263"/>
      <c r="B166" s="264" t="s">
        <v>216</v>
      </c>
      <c r="C166" s="480">
        <f t="shared" ref="C166:E166" si="51">SUM(C128:C165)</f>
        <v>3419144.8800000008</v>
      </c>
      <c r="D166" s="480">
        <f t="shared" si="51"/>
        <v>0</v>
      </c>
      <c r="E166" s="480">
        <f t="shared" si="51"/>
        <v>0</v>
      </c>
      <c r="F166" s="236">
        <f t="shared" ref="F166:I166" si="52">SUM(F128:F165)</f>
        <v>3419144.8800000008</v>
      </c>
      <c r="G166" s="236">
        <f t="shared" si="52"/>
        <v>-45150</v>
      </c>
      <c r="H166" s="236">
        <f t="shared" si="52"/>
        <v>53964</v>
      </c>
      <c r="I166" s="236">
        <f t="shared" si="52"/>
        <v>3427958.8800000008</v>
      </c>
      <c r="J166" s="265">
        <f t="shared" si="50"/>
        <v>0.42630182327435234</v>
      </c>
      <c r="K166" s="579"/>
      <c r="L166" s="446"/>
      <c r="M166" s="446"/>
      <c r="O166" s="332">
        <f>I166/I$233</f>
        <v>137.85727016810105</v>
      </c>
      <c r="P166" s="325">
        <f>SUMMARY!L168</f>
        <v>117.25773185217372</v>
      </c>
    </row>
    <row r="167" spans="1:16" s="261" customFormat="1">
      <c r="A167" s="263"/>
      <c r="B167" s="165"/>
      <c r="C167" s="188"/>
      <c r="D167" s="188"/>
      <c r="E167" s="188"/>
      <c r="F167" s="281"/>
      <c r="G167" s="281"/>
      <c r="H167" s="281"/>
      <c r="I167" s="281"/>
      <c r="J167" s="282"/>
      <c r="K167" s="579"/>
      <c r="L167" s="446"/>
      <c r="M167" s="446"/>
      <c r="O167" s="325"/>
      <c r="P167" s="325"/>
    </row>
    <row r="168" spans="1:16" s="261" customFormat="1">
      <c r="A168" s="263" t="s">
        <v>160</v>
      </c>
      <c r="B168" s="204" t="s">
        <v>92</v>
      </c>
      <c r="C168" s="205"/>
      <c r="D168" s="205"/>
      <c r="E168" s="205"/>
      <c r="F168" s="292"/>
      <c r="G168" s="292"/>
      <c r="H168" s="292"/>
      <c r="I168" s="292"/>
      <c r="J168" s="293"/>
      <c r="K168" s="579"/>
      <c r="L168" s="446"/>
      <c r="M168" s="446"/>
      <c r="O168" s="325"/>
      <c r="P168" s="325"/>
    </row>
    <row r="169" spans="1:16" s="211" customFormat="1">
      <c r="A169" s="294" t="s">
        <v>87</v>
      </c>
      <c r="B169" s="284" t="s">
        <v>94</v>
      </c>
      <c r="C169" s="480">
        <f>'[48]Sch C'!D175</f>
        <v>0</v>
      </c>
      <c r="D169" s="480">
        <f>'[48]Sch C'!F175</f>
        <v>0</v>
      </c>
      <c r="E169" s="480">
        <f>+'[48]Sch C'!H175</f>
        <v>0</v>
      </c>
      <c r="F169" s="236">
        <f t="shared" ref="F169:F201" si="53">C169+D169+E169</f>
        <v>0</v>
      </c>
      <c r="G169" s="628"/>
      <c r="H169" s="236"/>
      <c r="I169" s="236">
        <f t="shared" ref="I169:I201" si="54">F169+G169+H169</f>
        <v>0</v>
      </c>
      <c r="J169" s="265">
        <f t="shared" ref="J169:J201" si="55">IF($I$213=0,0,I169/$I$213)</f>
        <v>0</v>
      </c>
      <c r="K169" s="586"/>
      <c r="L169" s="428">
        <v>0</v>
      </c>
      <c r="M169" s="428">
        <v>0</v>
      </c>
      <c r="N169" s="210"/>
      <c r="O169" s="332">
        <f>I169/I$233</f>
        <v>0</v>
      </c>
      <c r="P169" s="325">
        <f>SUMMARY!L171</f>
        <v>0</v>
      </c>
    </row>
    <row r="170" spans="1:16" s="211" customFormat="1">
      <c r="A170" s="294" t="s">
        <v>115</v>
      </c>
      <c r="B170" s="284" t="s">
        <v>95</v>
      </c>
      <c r="C170" s="480">
        <f>'[48]Sch C'!D176</f>
        <v>0</v>
      </c>
      <c r="D170" s="480">
        <f>'[48]Sch C'!F176</f>
        <v>0</v>
      </c>
      <c r="E170" s="480">
        <f>+'[48]Sch C'!H176</f>
        <v>0</v>
      </c>
      <c r="F170" s="236">
        <f t="shared" si="53"/>
        <v>0</v>
      </c>
      <c r="G170" s="628"/>
      <c r="H170" s="236"/>
      <c r="I170" s="236">
        <f t="shared" si="54"/>
        <v>0</v>
      </c>
      <c r="J170" s="265">
        <f t="shared" si="55"/>
        <v>0</v>
      </c>
      <c r="K170" s="587"/>
      <c r="L170" s="452"/>
      <c r="M170" s="452"/>
      <c r="N170" s="210"/>
      <c r="O170" s="332">
        <f t="shared" ref="O170:O201" si="56">I170/I$233</f>
        <v>0</v>
      </c>
      <c r="P170" s="325">
        <f>SUMMARY!L172</f>
        <v>0</v>
      </c>
    </row>
    <row r="171" spans="1:16" s="211" customFormat="1">
      <c r="A171" s="294" t="s">
        <v>116</v>
      </c>
      <c r="B171" s="284" t="s">
        <v>96</v>
      </c>
      <c r="C171" s="480">
        <f>'[48]Sch C'!D177</f>
        <v>275482.19</v>
      </c>
      <c r="D171" s="480">
        <f>'[48]Sch C'!F177</f>
        <v>0</v>
      </c>
      <c r="E171" s="480">
        <f>+'[48]Sch C'!H177</f>
        <v>0</v>
      </c>
      <c r="F171" s="236">
        <f t="shared" si="53"/>
        <v>275482.19</v>
      </c>
      <c r="G171" s="628"/>
      <c r="H171" s="236"/>
      <c r="I171" s="236">
        <f t="shared" si="54"/>
        <v>275482.19</v>
      </c>
      <c r="J171" s="265">
        <f t="shared" si="55"/>
        <v>3.4259034016362391E-2</v>
      </c>
      <c r="K171" s="586"/>
      <c r="L171" s="428">
        <v>7141.0178571428569</v>
      </c>
      <c r="M171" s="428">
        <v>7479.3378571428566</v>
      </c>
      <c r="N171" s="210"/>
      <c r="O171" s="332">
        <f t="shared" si="56"/>
        <v>11.078669267272581</v>
      </c>
      <c r="P171" s="325">
        <f>SUMMARY!L173</f>
        <v>5.1847498620055372</v>
      </c>
    </row>
    <row r="172" spans="1:16" s="211" customFormat="1">
      <c r="A172" s="294" t="s">
        <v>149</v>
      </c>
      <c r="B172" s="284" t="s">
        <v>97</v>
      </c>
      <c r="C172" s="480">
        <f>'[48]Sch C'!D178</f>
        <v>70857.95</v>
      </c>
      <c r="D172" s="480">
        <f>'[48]Sch C'!F178</f>
        <v>0</v>
      </c>
      <c r="E172" s="480">
        <f>+'[48]Sch C'!H178</f>
        <v>0</v>
      </c>
      <c r="F172" s="236">
        <f t="shared" si="53"/>
        <v>70857.95</v>
      </c>
      <c r="G172" s="628">
        <v>-5289</v>
      </c>
      <c r="H172" s="236"/>
      <c r="I172" s="236">
        <f t="shared" si="54"/>
        <v>65568.95</v>
      </c>
      <c r="J172" s="265">
        <f t="shared" si="55"/>
        <v>8.154171013622204E-3</v>
      </c>
      <c r="K172" s="587"/>
      <c r="L172" s="452"/>
      <c r="M172" s="452"/>
      <c r="N172" s="210"/>
      <c r="O172" s="332">
        <f t="shared" si="56"/>
        <v>2.6368917397249256</v>
      </c>
      <c r="P172" s="325">
        <f>SUMMARY!L174</f>
        <v>0.98583410796026272</v>
      </c>
    </row>
    <row r="173" spans="1:16" s="211" customFormat="1">
      <c r="A173" s="294" t="s">
        <v>150</v>
      </c>
      <c r="B173" s="284" t="s">
        <v>297</v>
      </c>
      <c r="C173" s="480">
        <f>'[48]Sch C'!D179</f>
        <v>98777.08</v>
      </c>
      <c r="D173" s="480">
        <f>'[48]Sch C'!F179</f>
        <v>0</v>
      </c>
      <c r="E173" s="480">
        <f>+'[48]Sch C'!H179</f>
        <v>0</v>
      </c>
      <c r="F173" s="236">
        <f t="shared" si="53"/>
        <v>98777.08</v>
      </c>
      <c r="G173" s="628"/>
      <c r="H173" s="236"/>
      <c r="I173" s="236">
        <f t="shared" si="54"/>
        <v>98777.08</v>
      </c>
      <c r="J173" s="265">
        <f t="shared" si="55"/>
        <v>1.2283942362143082E-2</v>
      </c>
      <c r="K173" s="586"/>
      <c r="L173" s="428">
        <v>2691.7135714285723</v>
      </c>
      <c r="M173" s="428">
        <v>2980.4735714285725</v>
      </c>
      <c r="N173" s="210"/>
      <c r="O173" s="332">
        <f t="shared" si="56"/>
        <v>3.9723751307005553</v>
      </c>
      <c r="P173" s="325">
        <f>SUMMARY!L175</f>
        <v>0.88344885118675753</v>
      </c>
    </row>
    <row r="174" spans="1:16" s="211" customFormat="1">
      <c r="A174" s="294" t="s">
        <v>78</v>
      </c>
      <c r="B174" s="284" t="s">
        <v>298</v>
      </c>
      <c r="C174" s="480">
        <f>'[48]Sch C'!D180</f>
        <v>36906.239999999998</v>
      </c>
      <c r="D174" s="480">
        <f>'[48]Sch C'!F180</f>
        <v>0</v>
      </c>
      <c r="E174" s="480">
        <f>+'[48]Sch C'!H180</f>
        <v>0</v>
      </c>
      <c r="F174" s="236">
        <f t="shared" si="53"/>
        <v>36906.239999999998</v>
      </c>
      <c r="G174" s="628">
        <v>-1896</v>
      </c>
      <c r="H174" s="236"/>
      <c r="I174" s="236">
        <f t="shared" si="54"/>
        <v>35010.239999999998</v>
      </c>
      <c r="J174" s="265">
        <f t="shared" si="55"/>
        <v>4.3538821986314653E-3</v>
      </c>
      <c r="K174" s="587"/>
      <c r="L174" s="452"/>
      <c r="M174" s="452"/>
      <c r="N174" s="210"/>
      <c r="O174" s="332">
        <f t="shared" si="56"/>
        <v>1.4079562454757499</v>
      </c>
      <c r="P174" s="325">
        <f>SUMMARY!L176</f>
        <v>0.17287917374835396</v>
      </c>
    </row>
    <row r="175" spans="1:16" s="211" customFormat="1">
      <c r="A175" s="294" t="s">
        <v>88</v>
      </c>
      <c r="B175" s="284" t="s">
        <v>299</v>
      </c>
      <c r="C175" s="480">
        <f>'[48]Sch C'!D181</f>
        <v>0</v>
      </c>
      <c r="D175" s="480">
        <f>'[48]Sch C'!F181</f>
        <v>0</v>
      </c>
      <c r="E175" s="480">
        <f>+'[48]Sch C'!H181</f>
        <v>0</v>
      </c>
      <c r="F175" s="236">
        <f t="shared" si="53"/>
        <v>0</v>
      </c>
      <c r="G175" s="628"/>
      <c r="H175" s="236"/>
      <c r="I175" s="236">
        <f t="shared" si="54"/>
        <v>0</v>
      </c>
      <c r="J175" s="265">
        <f t="shared" si="55"/>
        <v>0</v>
      </c>
      <c r="K175" s="586"/>
      <c r="L175" s="428">
        <v>0</v>
      </c>
      <c r="M175" s="428">
        <v>0</v>
      </c>
      <c r="N175" s="210"/>
      <c r="O175" s="332">
        <f t="shared" si="56"/>
        <v>0</v>
      </c>
      <c r="P175" s="325">
        <f>SUMMARY!L177</f>
        <v>0</v>
      </c>
    </row>
    <row r="176" spans="1:16" s="211" customFormat="1">
      <c r="A176" s="294" t="s">
        <v>117</v>
      </c>
      <c r="B176" s="284" t="s">
        <v>101</v>
      </c>
      <c r="C176" s="480">
        <f>'[48]Sch C'!D182</f>
        <v>0</v>
      </c>
      <c r="D176" s="480">
        <f>'[48]Sch C'!F182</f>
        <v>0</v>
      </c>
      <c r="E176" s="480">
        <f>+'[48]Sch C'!H182</f>
        <v>0</v>
      </c>
      <c r="F176" s="236">
        <f t="shared" si="53"/>
        <v>0</v>
      </c>
      <c r="G176" s="628"/>
      <c r="H176" s="236"/>
      <c r="I176" s="236">
        <f t="shared" si="54"/>
        <v>0</v>
      </c>
      <c r="J176" s="265">
        <f t="shared" si="55"/>
        <v>0</v>
      </c>
      <c r="K176" s="587"/>
      <c r="L176" s="452"/>
      <c r="M176" s="452"/>
      <c r="N176" s="210"/>
      <c r="O176" s="332">
        <f t="shared" si="56"/>
        <v>0</v>
      </c>
      <c r="P176" s="325">
        <f>SUMMARY!L178</f>
        <v>0</v>
      </c>
    </row>
    <row r="177" spans="1:16" s="211" customFormat="1">
      <c r="A177" s="294" t="s">
        <v>118</v>
      </c>
      <c r="B177" s="284" t="s">
        <v>300</v>
      </c>
      <c r="C177" s="480">
        <f>'[48]Sch C'!D183</f>
        <v>110967.5</v>
      </c>
      <c r="D177" s="480">
        <f>'[48]Sch C'!F183</f>
        <v>0</v>
      </c>
      <c r="E177" s="480">
        <f>+'[48]Sch C'!H183</f>
        <v>0</v>
      </c>
      <c r="F177" s="236">
        <f t="shared" si="53"/>
        <v>110967.5</v>
      </c>
      <c r="G177" s="628"/>
      <c r="H177" s="236"/>
      <c r="I177" s="236">
        <f t="shared" si="54"/>
        <v>110967.5</v>
      </c>
      <c r="J177" s="265">
        <f t="shared" si="55"/>
        <v>1.3799946040833688E-2</v>
      </c>
      <c r="K177" s="586"/>
      <c r="L177" s="428">
        <v>3160.4399999999996</v>
      </c>
      <c r="M177" s="428">
        <v>3484.4399999999996</v>
      </c>
      <c r="N177" s="210"/>
      <c r="O177" s="332">
        <f t="shared" si="56"/>
        <v>4.4626196412772456</v>
      </c>
      <c r="P177" s="325">
        <f>SUMMARY!L179</f>
        <v>3.4216730728324949</v>
      </c>
    </row>
    <row r="178" spans="1:16" s="211" customFormat="1" ht="13.5">
      <c r="A178" s="294" t="s">
        <v>119</v>
      </c>
      <c r="B178" s="296" t="s">
        <v>103</v>
      </c>
      <c r="C178" s="480">
        <f>'[48]Sch C'!D184</f>
        <v>40166.219999999994</v>
      </c>
      <c r="D178" s="480">
        <f>'[48]Sch C'!F184</f>
        <v>0</v>
      </c>
      <c r="E178" s="480">
        <f>+'[48]Sch C'!H184</f>
        <v>0</v>
      </c>
      <c r="F178" s="236">
        <f t="shared" si="53"/>
        <v>40166.219999999994</v>
      </c>
      <c r="G178" s="628">
        <v>-2125</v>
      </c>
      <c r="H178" s="236"/>
      <c r="I178" s="236">
        <f t="shared" si="54"/>
        <v>38041.219999999994</v>
      </c>
      <c r="J178" s="265">
        <f t="shared" si="55"/>
        <v>4.7308156291480229E-3</v>
      </c>
      <c r="K178" s="587"/>
      <c r="L178" s="452"/>
      <c r="M178" s="452"/>
      <c r="N178" s="210"/>
      <c r="O178" s="332">
        <f t="shared" si="56"/>
        <v>1.5298487895117829</v>
      </c>
      <c r="P178" s="325">
        <f>SUMMARY!L180</f>
        <v>0.66424056228476069</v>
      </c>
    </row>
    <row r="179" spans="1:16" s="211" customFormat="1">
      <c r="A179" s="294" t="s">
        <v>120</v>
      </c>
      <c r="B179" s="284" t="s">
        <v>301</v>
      </c>
      <c r="C179" s="480">
        <f>'[48]Sch C'!D185</f>
        <v>0</v>
      </c>
      <c r="D179" s="480">
        <f>'[48]Sch C'!F185</f>
        <v>0</v>
      </c>
      <c r="E179" s="480">
        <f>+'[48]Sch C'!H185</f>
        <v>0</v>
      </c>
      <c r="F179" s="236">
        <f t="shared" si="53"/>
        <v>0</v>
      </c>
      <c r="G179" s="628"/>
      <c r="H179" s="236"/>
      <c r="I179" s="236">
        <f t="shared" si="54"/>
        <v>0</v>
      </c>
      <c r="J179" s="265">
        <f t="shared" si="55"/>
        <v>0</v>
      </c>
      <c r="K179" s="586"/>
      <c r="L179" s="428">
        <v>0</v>
      </c>
      <c r="M179" s="428">
        <v>0</v>
      </c>
      <c r="N179" s="210"/>
      <c r="O179" s="332">
        <f t="shared" si="56"/>
        <v>0</v>
      </c>
      <c r="P179" s="325">
        <f>SUMMARY!L181</f>
        <v>0</v>
      </c>
    </row>
    <row r="180" spans="1:16" s="211" customFormat="1" ht="13.5">
      <c r="A180" s="294" t="s">
        <v>121</v>
      </c>
      <c r="B180" s="296" t="s">
        <v>302</v>
      </c>
      <c r="C180" s="480">
        <f>'[48]Sch C'!D186</f>
        <v>0</v>
      </c>
      <c r="D180" s="480">
        <f>'[48]Sch C'!F186</f>
        <v>0</v>
      </c>
      <c r="E180" s="480">
        <f>+'[48]Sch C'!H186</f>
        <v>0</v>
      </c>
      <c r="F180" s="236">
        <f t="shared" si="53"/>
        <v>0</v>
      </c>
      <c r="G180" s="628"/>
      <c r="H180" s="236"/>
      <c r="I180" s="236">
        <f t="shared" si="54"/>
        <v>0</v>
      </c>
      <c r="J180" s="265">
        <f t="shared" si="55"/>
        <v>0</v>
      </c>
      <c r="K180" s="579"/>
      <c r="L180" s="453"/>
      <c r="M180" s="454"/>
      <c r="N180" s="210"/>
      <c r="O180" s="332">
        <f t="shared" si="56"/>
        <v>0</v>
      </c>
      <c r="P180" s="325">
        <f>SUMMARY!L182</f>
        <v>0</v>
      </c>
    </row>
    <row r="181" spans="1:16" s="211" customFormat="1">
      <c r="A181" s="297" t="s">
        <v>274</v>
      </c>
      <c r="B181" s="284" t="s">
        <v>146</v>
      </c>
      <c r="C181" s="480">
        <f>'[48]Sch C'!D187</f>
        <v>0</v>
      </c>
      <c r="D181" s="480">
        <f>'[48]Sch C'!F187</f>
        <v>0</v>
      </c>
      <c r="E181" s="480">
        <f>+'[48]Sch C'!H187</f>
        <v>0</v>
      </c>
      <c r="F181" s="236">
        <f t="shared" si="53"/>
        <v>0</v>
      </c>
      <c r="G181" s="628"/>
      <c r="H181" s="236"/>
      <c r="I181" s="236">
        <f t="shared" si="54"/>
        <v>0</v>
      </c>
      <c r="J181" s="265">
        <f t="shared" si="55"/>
        <v>0</v>
      </c>
      <c r="K181" s="579"/>
      <c r="L181" s="453"/>
      <c r="M181" s="454"/>
      <c r="N181" s="210"/>
      <c r="O181" s="332">
        <f t="shared" si="56"/>
        <v>0</v>
      </c>
      <c r="P181" s="325">
        <f>SUMMARY!L183</f>
        <v>0</v>
      </c>
    </row>
    <row r="182" spans="1:16" s="211" customFormat="1">
      <c r="A182" s="297" t="s">
        <v>275</v>
      </c>
      <c r="B182" s="284" t="s">
        <v>303</v>
      </c>
      <c r="C182" s="480">
        <f>'[48]Sch C'!D188</f>
        <v>5901.2200000000012</v>
      </c>
      <c r="D182" s="480">
        <f>'[48]Sch C'!F188</f>
        <v>0</v>
      </c>
      <c r="E182" s="480">
        <f>+'[48]Sch C'!H188</f>
        <v>0</v>
      </c>
      <c r="F182" s="236">
        <f t="shared" si="53"/>
        <v>5901.2200000000012</v>
      </c>
      <c r="G182" s="628"/>
      <c r="H182" s="236"/>
      <c r="I182" s="236">
        <f t="shared" si="54"/>
        <v>5901.2200000000012</v>
      </c>
      <c r="J182" s="265">
        <f t="shared" si="55"/>
        <v>7.3387719444962347E-4</v>
      </c>
      <c r="K182" s="579"/>
      <c r="L182" s="453"/>
      <c r="M182" s="454"/>
      <c r="N182" s="210"/>
      <c r="O182" s="332">
        <f t="shared" si="56"/>
        <v>0.23732083970079632</v>
      </c>
      <c r="P182" s="325">
        <f>SUMMARY!L184</f>
        <v>0.18052498920395743</v>
      </c>
    </row>
    <row r="183" spans="1:16" s="211" customFormat="1">
      <c r="A183" s="297" t="s">
        <v>276</v>
      </c>
      <c r="B183" s="284" t="s">
        <v>304</v>
      </c>
      <c r="C183" s="480">
        <f>'[48]Sch C'!D189</f>
        <v>-1355.3999999999999</v>
      </c>
      <c r="D183" s="480">
        <f>'[48]Sch C'!F189</f>
        <v>0</v>
      </c>
      <c r="E183" s="480">
        <f>+'[48]Sch C'!H189</f>
        <v>0</v>
      </c>
      <c r="F183" s="236">
        <f t="shared" si="53"/>
        <v>-1355.3999999999999</v>
      </c>
      <c r="G183" s="628"/>
      <c r="H183" s="236"/>
      <c r="I183" s="236">
        <f t="shared" si="54"/>
        <v>-1355.3999999999999</v>
      </c>
      <c r="J183" s="265">
        <f t="shared" si="55"/>
        <v>-1.6855788283728099E-4</v>
      </c>
      <c r="K183" s="579"/>
      <c r="L183" s="453"/>
      <c r="M183" s="454"/>
      <c r="N183" s="210"/>
      <c r="O183" s="332">
        <f t="shared" si="56"/>
        <v>-5.4508163757741486E-2</v>
      </c>
      <c r="P183" s="325">
        <f>SUMMARY!L185</f>
        <v>4.1546736364409788E-2</v>
      </c>
    </row>
    <row r="184" spans="1:16" s="211" customFormat="1">
      <c r="A184" s="297" t="s">
        <v>277</v>
      </c>
      <c r="B184" s="284" t="s">
        <v>305</v>
      </c>
      <c r="C184" s="480">
        <f>'[48]Sch C'!D190</f>
        <v>0</v>
      </c>
      <c r="D184" s="480">
        <f>'[48]Sch C'!F190</f>
        <v>0</v>
      </c>
      <c r="E184" s="480">
        <f>+'[48]Sch C'!H190</f>
        <v>0</v>
      </c>
      <c r="F184" s="236">
        <f t="shared" si="53"/>
        <v>0</v>
      </c>
      <c r="G184" s="628"/>
      <c r="H184" s="236"/>
      <c r="I184" s="236">
        <f t="shared" si="54"/>
        <v>0</v>
      </c>
      <c r="J184" s="265">
        <f t="shared" si="55"/>
        <v>0</v>
      </c>
      <c r="K184" s="579"/>
      <c r="L184" s="453"/>
      <c r="M184" s="454"/>
      <c r="N184" s="210"/>
      <c r="O184" s="332">
        <f t="shared" si="56"/>
        <v>0</v>
      </c>
      <c r="P184" s="325">
        <f>SUMMARY!L186</f>
        <v>0</v>
      </c>
    </row>
    <row r="185" spans="1:16" s="211" customFormat="1">
      <c r="A185" s="297" t="s">
        <v>278</v>
      </c>
      <c r="B185" s="284" t="s">
        <v>306</v>
      </c>
      <c r="C185" s="480">
        <f>'[48]Sch C'!D191</f>
        <v>0</v>
      </c>
      <c r="D185" s="480">
        <f>'[48]Sch C'!F191</f>
        <v>0</v>
      </c>
      <c r="E185" s="480">
        <f>+'[48]Sch C'!H191</f>
        <v>0</v>
      </c>
      <c r="F185" s="236">
        <f t="shared" si="53"/>
        <v>0</v>
      </c>
      <c r="G185" s="628"/>
      <c r="H185" s="236"/>
      <c r="I185" s="236">
        <f t="shared" si="54"/>
        <v>0</v>
      </c>
      <c r="J185" s="265">
        <f t="shared" si="55"/>
        <v>0</v>
      </c>
      <c r="K185" s="579"/>
      <c r="L185" s="453"/>
      <c r="M185" s="454"/>
      <c r="N185" s="210"/>
      <c r="O185" s="332">
        <f t="shared" si="56"/>
        <v>0</v>
      </c>
      <c r="P185" s="325">
        <f>SUMMARY!L187</f>
        <v>8.8642067843300684E-2</v>
      </c>
    </row>
    <row r="186" spans="1:16" s="211" customFormat="1">
      <c r="A186" s="297" t="s">
        <v>279</v>
      </c>
      <c r="B186" s="284" t="s">
        <v>109</v>
      </c>
      <c r="C186" s="480">
        <f>'[48]Sch C'!D192</f>
        <v>46457.22</v>
      </c>
      <c r="D186" s="480">
        <f>'[48]Sch C'!F192+262</f>
        <v>0</v>
      </c>
      <c r="E186" s="480">
        <f>+'[48]Sch C'!H192</f>
        <v>0</v>
      </c>
      <c r="F186" s="236">
        <f t="shared" si="53"/>
        <v>46457.22</v>
      </c>
      <c r="G186" s="628"/>
      <c r="H186" s="480">
        <v>-262</v>
      </c>
      <c r="I186" s="236">
        <f t="shared" si="54"/>
        <v>46195.22</v>
      </c>
      <c r="J186" s="265">
        <f t="shared" si="55"/>
        <v>5.744849107571507E-3</v>
      </c>
      <c r="K186" s="579"/>
      <c r="L186" s="453"/>
      <c r="M186" s="454"/>
      <c r="N186" s="210"/>
      <c r="O186" s="332">
        <f t="shared" si="56"/>
        <v>1.8577664280543715</v>
      </c>
      <c r="P186" s="325">
        <f>SUMMARY!L188</f>
        <v>0.23792429524187983</v>
      </c>
    </row>
    <row r="187" spans="1:16" s="211" customFormat="1">
      <c r="A187" s="297" t="s">
        <v>124</v>
      </c>
      <c r="B187" s="284" t="s">
        <v>110</v>
      </c>
      <c r="C187" s="480">
        <f>'[48]Sch C'!D193</f>
        <v>0</v>
      </c>
      <c r="D187" s="480">
        <f>'[48]Sch C'!F193</f>
        <v>0</v>
      </c>
      <c r="E187" s="480">
        <f>+'[48]Sch C'!H193</f>
        <v>0</v>
      </c>
      <c r="F187" s="236">
        <f t="shared" si="53"/>
        <v>0</v>
      </c>
      <c r="G187" s="628"/>
      <c r="H187" s="236"/>
      <c r="I187" s="236">
        <f t="shared" si="54"/>
        <v>0</v>
      </c>
      <c r="J187" s="265">
        <f t="shared" si="55"/>
        <v>0</v>
      </c>
      <c r="K187" s="579"/>
      <c r="L187" s="453"/>
      <c r="M187" s="454"/>
      <c r="N187" s="210"/>
      <c r="O187" s="332">
        <f t="shared" si="56"/>
        <v>0</v>
      </c>
      <c r="P187" s="325">
        <f>SUMMARY!L189</f>
        <v>9.5641564925407693E-2</v>
      </c>
    </row>
    <row r="188" spans="1:16" s="211" customFormat="1">
      <c r="A188" s="297" t="s">
        <v>125</v>
      </c>
      <c r="B188" s="284" t="s">
        <v>111</v>
      </c>
      <c r="C188" s="480">
        <f>'[48]Sch C'!D194</f>
        <v>0</v>
      </c>
      <c r="D188" s="480">
        <f>'[48]Sch C'!F194-16706</f>
        <v>0</v>
      </c>
      <c r="E188" s="480">
        <f>+'[48]Sch C'!H194</f>
        <v>0</v>
      </c>
      <c r="F188" s="236">
        <f t="shared" si="53"/>
        <v>0</v>
      </c>
      <c r="G188" s="628"/>
      <c r="H188" s="480">
        <v>16706</v>
      </c>
      <c r="I188" s="236">
        <f t="shared" si="54"/>
        <v>16706</v>
      </c>
      <c r="J188" s="265">
        <f t="shared" si="55"/>
        <v>2.0775623363432317E-3</v>
      </c>
      <c r="K188" s="579"/>
      <c r="L188" s="453"/>
      <c r="M188" s="454"/>
      <c r="N188" s="210"/>
      <c r="O188" s="332">
        <f t="shared" si="56"/>
        <v>0.67184106812515076</v>
      </c>
      <c r="P188" s="325">
        <f>SUMMARY!L190</f>
        <v>6.5644691954713696</v>
      </c>
    </row>
    <row r="189" spans="1:16" s="211" customFormat="1">
      <c r="A189" s="297" t="s">
        <v>126</v>
      </c>
      <c r="B189" s="284" t="s">
        <v>307</v>
      </c>
      <c r="C189" s="480">
        <f>'[48]Sch C'!D195</f>
        <v>0</v>
      </c>
      <c r="D189" s="480">
        <f>'[48]Sch C'!F195</f>
        <v>0</v>
      </c>
      <c r="E189" s="480">
        <f>+'[48]Sch C'!H195</f>
        <v>0</v>
      </c>
      <c r="F189" s="236">
        <f t="shared" si="53"/>
        <v>0</v>
      </c>
      <c r="G189" s="628"/>
      <c r="H189" s="236"/>
      <c r="I189" s="236">
        <f t="shared" si="54"/>
        <v>0</v>
      </c>
      <c r="J189" s="265">
        <f t="shared" si="55"/>
        <v>0</v>
      </c>
      <c r="K189" s="579"/>
      <c r="L189" s="453"/>
      <c r="M189" s="454"/>
      <c r="N189" s="210"/>
      <c r="O189" s="332">
        <f t="shared" si="56"/>
        <v>0</v>
      </c>
      <c r="P189" s="325">
        <f>SUMMARY!L191</f>
        <v>1.502971695522523</v>
      </c>
    </row>
    <row r="190" spans="1:16" s="211" customFormat="1">
      <c r="A190" s="297" t="s">
        <v>127</v>
      </c>
      <c r="B190" s="284" t="s">
        <v>308</v>
      </c>
      <c r="C190" s="480">
        <f>'[48]Sch C'!D196</f>
        <v>0</v>
      </c>
      <c r="D190" s="480">
        <f>'[48]Sch C'!F196</f>
        <v>0</v>
      </c>
      <c r="E190" s="480">
        <f>+'[48]Sch C'!H196</f>
        <v>0</v>
      </c>
      <c r="F190" s="236">
        <f t="shared" si="53"/>
        <v>0</v>
      </c>
      <c r="G190" s="628"/>
      <c r="H190" s="236"/>
      <c r="I190" s="236">
        <f t="shared" si="54"/>
        <v>0</v>
      </c>
      <c r="J190" s="265">
        <f t="shared" si="55"/>
        <v>0</v>
      </c>
      <c r="K190" s="579"/>
      <c r="L190" s="453"/>
      <c r="M190" s="454"/>
      <c r="N190" s="210"/>
      <c r="O190" s="332">
        <f t="shared" si="56"/>
        <v>0</v>
      </c>
      <c r="P190" s="325">
        <f>SUMMARY!L192</f>
        <v>0</v>
      </c>
    </row>
    <row r="191" spans="1:16" s="211" customFormat="1">
      <c r="A191" s="297" t="s">
        <v>128</v>
      </c>
      <c r="B191" s="284" t="s">
        <v>309</v>
      </c>
      <c r="C191" s="480">
        <f>'[48]Sch C'!D197</f>
        <v>0</v>
      </c>
      <c r="D191" s="480">
        <f>'[48]Sch C'!F197</f>
        <v>0</v>
      </c>
      <c r="E191" s="480">
        <f>+'[48]Sch C'!H197</f>
        <v>0</v>
      </c>
      <c r="F191" s="236">
        <f t="shared" si="53"/>
        <v>0</v>
      </c>
      <c r="G191" s="628"/>
      <c r="H191" s="236"/>
      <c r="I191" s="236">
        <f t="shared" si="54"/>
        <v>0</v>
      </c>
      <c r="J191" s="265">
        <f t="shared" si="55"/>
        <v>0</v>
      </c>
      <c r="K191" s="579"/>
      <c r="L191" s="453"/>
      <c r="M191" s="454"/>
      <c r="N191" s="210"/>
      <c r="O191" s="332">
        <f t="shared" si="56"/>
        <v>0</v>
      </c>
      <c r="P191" s="325">
        <f>SUMMARY!L193</f>
        <v>4.8968748660590737</v>
      </c>
    </row>
    <row r="192" spans="1:16" s="211" customFormat="1">
      <c r="A192" s="297" t="s">
        <v>129</v>
      </c>
      <c r="B192" s="284" t="s">
        <v>114</v>
      </c>
      <c r="C192" s="480">
        <f>'[48]Sch C'!D198</f>
        <v>0</v>
      </c>
      <c r="D192" s="480">
        <f>'[48]Sch C'!F198</f>
        <v>0</v>
      </c>
      <c r="E192" s="480">
        <f>+'[48]Sch C'!H198</f>
        <v>0</v>
      </c>
      <c r="F192" s="236">
        <f t="shared" si="53"/>
        <v>0</v>
      </c>
      <c r="G192" s="628"/>
      <c r="H192" s="236"/>
      <c r="I192" s="236">
        <f t="shared" si="54"/>
        <v>0</v>
      </c>
      <c r="J192" s="265">
        <f t="shared" si="55"/>
        <v>0</v>
      </c>
      <c r="K192" s="579"/>
      <c r="L192" s="453"/>
      <c r="M192" s="454"/>
      <c r="N192" s="210"/>
      <c r="O192" s="332">
        <f t="shared" si="56"/>
        <v>0</v>
      </c>
      <c r="P192" s="325">
        <f>SUMMARY!L194</f>
        <v>1.2996922131725721</v>
      </c>
    </row>
    <row r="193" spans="1:16" s="211" customFormat="1">
      <c r="A193" s="297" t="s">
        <v>256</v>
      </c>
      <c r="B193" s="284" t="s">
        <v>310</v>
      </c>
      <c r="C193" s="480">
        <f>'[48]Sch C'!D199</f>
        <v>0</v>
      </c>
      <c r="D193" s="480">
        <f>'[48]Sch C'!F199</f>
        <v>0</v>
      </c>
      <c r="E193" s="480">
        <f>+'[48]Sch C'!H199</f>
        <v>0</v>
      </c>
      <c r="F193" s="236">
        <f t="shared" si="53"/>
        <v>0</v>
      </c>
      <c r="G193" s="628"/>
      <c r="H193" s="236"/>
      <c r="I193" s="236">
        <f t="shared" si="54"/>
        <v>0</v>
      </c>
      <c r="J193" s="265">
        <f t="shared" si="55"/>
        <v>0</v>
      </c>
      <c r="K193" s="579"/>
      <c r="L193" s="453"/>
      <c r="M193" s="454"/>
      <c r="N193" s="210"/>
      <c r="O193" s="332">
        <f t="shared" si="56"/>
        <v>0</v>
      </c>
      <c r="P193" s="325">
        <f>SUMMARY!L195</f>
        <v>2.1027298641690924E-3</v>
      </c>
    </row>
    <row r="194" spans="1:16" s="211" customFormat="1">
      <c r="A194" s="297" t="s">
        <v>258</v>
      </c>
      <c r="B194" s="284" t="s">
        <v>259</v>
      </c>
      <c r="C194" s="480">
        <f>'[48]Sch C'!D200</f>
        <v>0</v>
      </c>
      <c r="D194" s="480">
        <f>'[48]Sch C'!F200</f>
        <v>0</v>
      </c>
      <c r="E194" s="480">
        <f>+'[48]Sch C'!H200</f>
        <v>0</v>
      </c>
      <c r="F194" s="236">
        <f t="shared" si="53"/>
        <v>0</v>
      </c>
      <c r="G194" s="628"/>
      <c r="H194" s="236"/>
      <c r="I194" s="236">
        <f t="shared" si="54"/>
        <v>0</v>
      </c>
      <c r="J194" s="265">
        <f t="shared" si="55"/>
        <v>0</v>
      </c>
      <c r="K194" s="579"/>
      <c r="L194" s="453"/>
      <c r="M194" s="454"/>
      <c r="N194" s="210"/>
      <c r="O194" s="332">
        <f t="shared" si="56"/>
        <v>0</v>
      </c>
      <c r="P194" s="325">
        <f>SUMMARY!L196</f>
        <v>3.182328735996106E-3</v>
      </c>
    </row>
    <row r="195" spans="1:16" s="211" customFormat="1">
      <c r="A195" s="298" t="s">
        <v>260</v>
      </c>
      <c r="B195" s="299" t="s">
        <v>261</v>
      </c>
      <c r="C195" s="480">
        <f>'[48]Sch C'!D201</f>
        <v>0</v>
      </c>
      <c r="D195" s="480">
        <f>'[48]Sch C'!F201</f>
        <v>0</v>
      </c>
      <c r="E195" s="480">
        <f>+'[48]Sch C'!H201</f>
        <v>0</v>
      </c>
      <c r="F195" s="236">
        <f t="shared" si="53"/>
        <v>0</v>
      </c>
      <c r="G195" s="628"/>
      <c r="H195" s="236"/>
      <c r="I195" s="236">
        <f t="shared" si="54"/>
        <v>0</v>
      </c>
      <c r="J195" s="265">
        <f t="shared" si="55"/>
        <v>0</v>
      </c>
      <c r="K195" s="579"/>
      <c r="L195" s="453"/>
      <c r="M195" s="454"/>
      <c r="N195" s="210"/>
      <c r="O195" s="332">
        <f t="shared" si="56"/>
        <v>0</v>
      </c>
      <c r="P195" s="325">
        <f>SUMMARY!L197</f>
        <v>2.7229719324431581E-3</v>
      </c>
    </row>
    <row r="196" spans="1:16" s="211" customFormat="1">
      <c r="A196" s="298" t="s">
        <v>262</v>
      </c>
      <c r="B196" s="299" t="s">
        <v>263</v>
      </c>
      <c r="C196" s="480">
        <f>'[48]Sch C'!D202</f>
        <v>0</v>
      </c>
      <c r="D196" s="480">
        <f>'[48]Sch C'!F202</f>
        <v>0</v>
      </c>
      <c r="E196" s="480">
        <f>+'[48]Sch C'!H202</f>
        <v>0</v>
      </c>
      <c r="F196" s="236">
        <f t="shared" si="53"/>
        <v>0</v>
      </c>
      <c r="G196" s="628"/>
      <c r="H196" s="236"/>
      <c r="I196" s="236">
        <f t="shared" si="54"/>
        <v>0</v>
      </c>
      <c r="J196" s="265">
        <f t="shared" si="55"/>
        <v>0</v>
      </c>
      <c r="K196" s="579"/>
      <c r="L196" s="453"/>
      <c r="M196" s="454"/>
      <c r="N196" s="210"/>
      <c r="O196" s="332">
        <f t="shared" si="56"/>
        <v>0</v>
      </c>
      <c r="P196" s="325">
        <f>SUMMARY!L198</f>
        <v>1.5622492814304837E-3</v>
      </c>
    </row>
    <row r="197" spans="1:16" s="211" customFormat="1">
      <c r="A197" s="298" t="s">
        <v>264</v>
      </c>
      <c r="B197" s="299" t="s">
        <v>311</v>
      </c>
      <c r="C197" s="480">
        <f>'[48]Sch C'!D203</f>
        <v>50666.3</v>
      </c>
      <c r="D197" s="480">
        <f>'[48]Sch C'!F203</f>
        <v>0</v>
      </c>
      <c r="E197" s="480">
        <f>+'[48]Sch C'!H203</f>
        <v>0</v>
      </c>
      <c r="F197" s="236">
        <f t="shared" si="53"/>
        <v>50666.3</v>
      </c>
      <c r="G197" s="628"/>
      <c r="H197" s="236"/>
      <c r="I197" s="236">
        <f t="shared" si="54"/>
        <v>50666.3</v>
      </c>
      <c r="J197" s="265">
        <f t="shared" si="55"/>
        <v>6.3008737340995505E-3</v>
      </c>
      <c r="K197" s="579"/>
      <c r="L197" s="453"/>
      <c r="M197" s="454"/>
      <c r="N197" s="210"/>
      <c r="O197" s="332">
        <f t="shared" si="56"/>
        <v>2.0375733933885627</v>
      </c>
      <c r="P197" s="325">
        <f>SUMMARY!L199</f>
        <v>8.6370876638656183E-2</v>
      </c>
    </row>
    <row r="198" spans="1:16" s="211" customFormat="1">
      <c r="A198" s="298" t="s">
        <v>266</v>
      </c>
      <c r="B198" s="299" t="s">
        <v>312</v>
      </c>
      <c r="C198" s="480">
        <f>'[48]Sch C'!D204</f>
        <v>0</v>
      </c>
      <c r="D198" s="480">
        <f>'[48]Sch C'!F204</f>
        <v>0</v>
      </c>
      <c r="E198" s="480">
        <f>+'[48]Sch C'!H204</f>
        <v>0</v>
      </c>
      <c r="F198" s="236">
        <f t="shared" si="53"/>
        <v>0</v>
      </c>
      <c r="G198" s="628"/>
      <c r="H198" s="236"/>
      <c r="I198" s="236">
        <f t="shared" si="54"/>
        <v>0</v>
      </c>
      <c r="J198" s="265">
        <f t="shared" si="55"/>
        <v>0</v>
      </c>
      <c r="K198" s="579"/>
      <c r="L198" s="453"/>
      <c r="M198" s="454"/>
      <c r="N198" s="210"/>
      <c r="O198" s="332">
        <f t="shared" si="56"/>
        <v>0</v>
      </c>
      <c r="P198" s="325">
        <f>SUMMARY!L200</f>
        <v>2.6895338155745165E-2</v>
      </c>
    </row>
    <row r="199" spans="1:16" s="211" customFormat="1">
      <c r="A199" s="297" t="s">
        <v>130</v>
      </c>
      <c r="B199" s="284" t="s">
        <v>313</v>
      </c>
      <c r="C199" s="480">
        <f>'[48]Sch C'!D205</f>
        <v>186610.16000000003</v>
      </c>
      <c r="D199" s="480">
        <f>'[48]Sch C'!F205</f>
        <v>0</v>
      </c>
      <c r="E199" s="480">
        <f>+'[48]Sch C'!H205</f>
        <v>0</v>
      </c>
      <c r="F199" s="236">
        <f t="shared" si="53"/>
        <v>186610.16000000003</v>
      </c>
      <c r="G199" s="628"/>
      <c r="H199" s="236"/>
      <c r="I199" s="236">
        <f t="shared" si="54"/>
        <v>186610.16000000003</v>
      </c>
      <c r="J199" s="265">
        <f t="shared" si="55"/>
        <v>2.3206886148388867E-2</v>
      </c>
      <c r="K199" s="579"/>
      <c r="L199" s="453"/>
      <c r="M199" s="454"/>
      <c r="N199" s="210"/>
      <c r="O199" s="332">
        <f t="shared" si="56"/>
        <v>7.5046312233571957</v>
      </c>
      <c r="P199" s="325">
        <f>SUMMARY!L201</f>
        <v>8.282884891032662</v>
      </c>
    </row>
    <row r="200" spans="1:16" s="211" customFormat="1">
      <c r="A200" s="297" t="s">
        <v>131</v>
      </c>
      <c r="B200" s="284" t="s">
        <v>59</v>
      </c>
      <c r="C200" s="480">
        <f>'[48]Sch C'!D206</f>
        <v>0</v>
      </c>
      <c r="D200" s="480">
        <f>'[48]Sch C'!F206</f>
        <v>0</v>
      </c>
      <c r="E200" s="480">
        <f>+'[48]Sch C'!H206</f>
        <v>0</v>
      </c>
      <c r="F200" s="236">
        <f t="shared" si="53"/>
        <v>0</v>
      </c>
      <c r="G200" s="628"/>
      <c r="H200" s="236"/>
      <c r="I200" s="236">
        <f t="shared" si="54"/>
        <v>0</v>
      </c>
      <c r="J200" s="265">
        <f t="shared" si="55"/>
        <v>0</v>
      </c>
      <c r="K200" s="579"/>
      <c r="L200" s="453"/>
      <c r="M200" s="454"/>
      <c r="N200" s="210"/>
      <c r="O200" s="332">
        <f t="shared" si="56"/>
        <v>0</v>
      </c>
      <c r="P200" s="325">
        <f>SUMMARY!L202</f>
        <v>0.50085155199169495</v>
      </c>
    </row>
    <row r="201" spans="1:16" s="211" customFormat="1">
      <c r="A201" s="298" t="s">
        <v>135</v>
      </c>
      <c r="B201" s="280" t="s">
        <v>314</v>
      </c>
      <c r="C201" s="480">
        <f>'[48]Sch C'!D207</f>
        <v>31903.579999999994</v>
      </c>
      <c r="D201" s="480">
        <f>'[48]Sch C'!F207</f>
        <v>0</v>
      </c>
      <c r="E201" s="480">
        <f>+'[48]Sch C'!H207</f>
        <v>0</v>
      </c>
      <c r="F201" s="236">
        <f t="shared" si="53"/>
        <v>31903.579999999994</v>
      </c>
      <c r="G201" s="628"/>
      <c r="H201" s="236"/>
      <c r="I201" s="236">
        <f t="shared" si="54"/>
        <v>31903.579999999994</v>
      </c>
      <c r="J201" s="265">
        <f t="shared" si="55"/>
        <v>3.9675371843956178E-3</v>
      </c>
      <c r="K201" s="579"/>
      <c r="L201" s="453"/>
      <c r="M201" s="454"/>
      <c r="N201" s="210"/>
      <c r="O201" s="332">
        <f t="shared" si="56"/>
        <v>1.283020188208799</v>
      </c>
      <c r="P201" s="325">
        <f>SUMMARY!L203</f>
        <v>0.38409432252006021</v>
      </c>
    </row>
    <row r="202" spans="1:16" s="261" customFormat="1">
      <c r="A202" s="257"/>
      <c r="B202" s="300" t="s">
        <v>122</v>
      </c>
      <c r="C202" s="480">
        <f t="shared" ref="C202:E202" si="57">SUM(C169:C201)</f>
        <v>953340.25999999989</v>
      </c>
      <c r="D202" s="480">
        <f t="shared" si="57"/>
        <v>0</v>
      </c>
      <c r="E202" s="480">
        <f t="shared" si="57"/>
        <v>0</v>
      </c>
      <c r="F202" s="236">
        <f t="shared" ref="F202:I202" si="58">SUM(F169:F201)</f>
        <v>953340.25999999989</v>
      </c>
      <c r="G202" s="236">
        <f t="shared" si="58"/>
        <v>-9310</v>
      </c>
      <c r="H202" s="236">
        <f t="shared" si="58"/>
        <v>16444</v>
      </c>
      <c r="I202" s="236">
        <f t="shared" si="58"/>
        <v>960474.25999999989</v>
      </c>
      <c r="J202" s="265">
        <f>IF($I$213=0,0,I202/$I$213)</f>
        <v>0.11944481908315195</v>
      </c>
      <c r="K202" s="579"/>
      <c r="L202" s="446"/>
      <c r="M202" s="446"/>
      <c r="O202" s="332">
        <f>I202/I$233</f>
        <v>38.626005791039972</v>
      </c>
      <c r="P202" s="325">
        <f>SUMMARY!L204</f>
        <v>35.511780513975516</v>
      </c>
    </row>
    <row r="203" spans="1:16" s="261" customFormat="1" ht="15.5">
      <c r="A203" s="257"/>
      <c r="C203" s="160"/>
      <c r="D203" s="160"/>
      <c r="E203" s="160"/>
      <c r="F203" s="259"/>
      <c r="G203" s="259"/>
      <c r="H203"/>
      <c r="I203" s="259"/>
      <c r="J203" s="283"/>
      <c r="K203" s="581"/>
      <c r="L203" s="446"/>
      <c r="M203" s="446"/>
      <c r="O203" s="325"/>
      <c r="P203" s="325"/>
    </row>
    <row r="204" spans="1:16" s="261" customFormat="1" ht="15.5">
      <c r="A204" s="263" t="s">
        <v>161</v>
      </c>
      <c r="B204" s="264" t="s">
        <v>60</v>
      </c>
      <c r="C204" s="160"/>
      <c r="D204" s="160"/>
      <c r="E204" s="160"/>
      <c r="F204" s="259"/>
      <c r="G204" s="259"/>
      <c r="H204"/>
      <c r="I204" s="259"/>
      <c r="J204" s="283"/>
      <c r="K204" s="581"/>
      <c r="L204" s="446"/>
      <c r="M204" s="446"/>
      <c r="O204" s="325"/>
      <c r="P204" s="325"/>
    </row>
    <row r="205" spans="1:16" s="261" customFormat="1">
      <c r="A205" s="263" t="s">
        <v>77</v>
      </c>
      <c r="B205" s="264" t="s">
        <v>61</v>
      </c>
      <c r="C205" s="480">
        <f>'[48]Sch C'!D211</f>
        <v>160957.07</v>
      </c>
      <c r="D205" s="480">
        <f>'[48]Sch C'!F211</f>
        <v>0</v>
      </c>
      <c r="E205" s="480">
        <f>+'[48]Sch C'!H211</f>
        <v>0</v>
      </c>
      <c r="F205" s="236">
        <f t="shared" ref="F205:F210" si="59">C205+D205+E205</f>
        <v>160957.07</v>
      </c>
      <c r="G205" s="628">
        <v>-54226</v>
      </c>
      <c r="H205" s="236"/>
      <c r="I205" s="236">
        <f t="shared" ref="I205:I210" si="60">F205+G205+H205</f>
        <v>106731.07</v>
      </c>
      <c r="J205" s="265">
        <f t="shared" ref="J205:J211" si="61">IF($I$213=0,0,I205/$I$213)</f>
        <v>1.3273102546965943E-2</v>
      </c>
      <c r="K205" s="579"/>
      <c r="L205" s="428">
        <v>8940.857857142857</v>
      </c>
      <c r="M205" s="428">
        <v>9212.857857142857</v>
      </c>
      <c r="O205" s="332">
        <f t="shared" ref="O205:O210" si="62">I205/I$233</f>
        <v>4.2922492560122256</v>
      </c>
      <c r="P205" s="325">
        <f>SUMMARY!L207</f>
        <v>5.7476972960172068</v>
      </c>
    </row>
    <row r="206" spans="1:16" s="261" customFormat="1">
      <c r="A206" s="263" t="s">
        <v>78</v>
      </c>
      <c r="B206" s="264" t="s">
        <v>37</v>
      </c>
      <c r="C206" s="480">
        <f>'[48]Sch C'!D212</f>
        <v>44349.409999999989</v>
      </c>
      <c r="D206" s="480">
        <f>'[48]Sch C'!F212</f>
        <v>0</v>
      </c>
      <c r="E206" s="480">
        <f>+'[48]Sch C'!H212</f>
        <v>0</v>
      </c>
      <c r="F206" s="236">
        <f t="shared" si="59"/>
        <v>44349.409999999989</v>
      </c>
      <c r="G206" s="628">
        <f>-3063-10206</f>
        <v>-13269</v>
      </c>
      <c r="H206" s="236"/>
      <c r="I206" s="236">
        <f t="shared" si="60"/>
        <v>31080.409999999989</v>
      </c>
      <c r="J206" s="265">
        <f t="shared" si="61"/>
        <v>3.865167557410842E-3</v>
      </c>
      <c r="K206" s="579"/>
      <c r="L206" s="446"/>
      <c r="M206" s="446"/>
      <c r="O206" s="332">
        <f t="shared" si="62"/>
        <v>1.249915949489262</v>
      </c>
      <c r="P206" s="325">
        <f>SUMMARY!L208</f>
        <v>1.2734909412462843</v>
      </c>
    </row>
    <row r="207" spans="1:16" s="261" customFormat="1">
      <c r="A207" s="263" t="s">
        <v>132</v>
      </c>
      <c r="B207" s="264" t="s">
        <v>46</v>
      </c>
      <c r="C207" s="480">
        <f>'[48]Sch C'!D213</f>
        <v>17270.580000000002</v>
      </c>
      <c r="D207" s="480">
        <f>'[48]Sch C'!F213</f>
        <v>0</v>
      </c>
      <c r="E207" s="480">
        <f>+'[48]Sch C'!H213</f>
        <v>0</v>
      </c>
      <c r="F207" s="236">
        <f t="shared" si="59"/>
        <v>17270.580000000002</v>
      </c>
      <c r="G207" s="628"/>
      <c r="H207" s="236"/>
      <c r="I207" s="236">
        <f t="shared" si="60"/>
        <v>17270.580000000002</v>
      </c>
      <c r="J207" s="265">
        <f t="shared" si="61"/>
        <v>2.1477736462829342E-3</v>
      </c>
      <c r="K207" s="579"/>
      <c r="L207" s="446"/>
      <c r="M207" s="446"/>
      <c r="O207" s="332">
        <f t="shared" si="62"/>
        <v>0.69454596637979582</v>
      </c>
      <c r="P207" s="325">
        <f>SUMMARY!L209</f>
        <v>0.51656684080340909</v>
      </c>
    </row>
    <row r="208" spans="1:16" s="261" customFormat="1">
      <c r="A208" s="263" t="s">
        <v>133</v>
      </c>
      <c r="B208" s="264" t="s">
        <v>62</v>
      </c>
      <c r="C208" s="480">
        <f>'[48]Sch C'!D214</f>
        <v>0</v>
      </c>
      <c r="D208" s="480">
        <f>'[48]Sch C'!F214</f>
        <v>0</v>
      </c>
      <c r="E208" s="480">
        <f>+'[48]Sch C'!H214</f>
        <v>0</v>
      </c>
      <c r="F208" s="236">
        <f t="shared" si="59"/>
        <v>0</v>
      </c>
      <c r="G208" s="628"/>
      <c r="H208" s="236"/>
      <c r="I208" s="236">
        <f t="shared" si="60"/>
        <v>0</v>
      </c>
      <c r="J208" s="265">
        <f t="shared" si="61"/>
        <v>0</v>
      </c>
      <c r="K208" s="579"/>
      <c r="L208" s="446"/>
      <c r="M208" s="446"/>
      <c r="O208" s="332">
        <f t="shared" si="62"/>
        <v>0</v>
      </c>
      <c r="P208" s="325">
        <f>SUMMARY!L210</f>
        <v>1.8304832857876697E-2</v>
      </c>
    </row>
    <row r="209" spans="1:16" s="261" customFormat="1">
      <c r="A209" s="263" t="s">
        <v>134</v>
      </c>
      <c r="B209" s="23" t="s">
        <v>63</v>
      </c>
      <c r="C209" s="480">
        <f>'[48]Sch C'!D215</f>
        <v>0</v>
      </c>
      <c r="D209" s="480">
        <f>'[48]Sch C'!F215</f>
        <v>0</v>
      </c>
      <c r="E209" s="480">
        <f>+'[48]Sch C'!H215</f>
        <v>0</v>
      </c>
      <c r="F209" s="236">
        <f t="shared" si="59"/>
        <v>0</v>
      </c>
      <c r="G209" s="628"/>
      <c r="H209" s="236"/>
      <c r="I209" s="236">
        <f t="shared" si="60"/>
        <v>0</v>
      </c>
      <c r="J209" s="265">
        <f t="shared" si="61"/>
        <v>0</v>
      </c>
      <c r="K209" s="579"/>
      <c r="L209" s="446"/>
      <c r="M209" s="446"/>
      <c r="O209" s="332">
        <f t="shared" si="62"/>
        <v>0</v>
      </c>
      <c r="P209" s="325">
        <f>SUMMARY!L211</f>
        <v>0</v>
      </c>
    </row>
    <row r="210" spans="1:16" s="261" customFormat="1">
      <c r="A210" s="263" t="s">
        <v>135</v>
      </c>
      <c r="B210" s="264" t="s">
        <v>293</v>
      </c>
      <c r="C210" s="480">
        <f>'[48]Sch C'!D216</f>
        <v>72808.990000000005</v>
      </c>
      <c r="D210" s="480">
        <f>'[48]Sch C'!F216</f>
        <v>0</v>
      </c>
      <c r="E210" s="480">
        <f>+'[48]Sch C'!H216</f>
        <v>0</v>
      </c>
      <c r="F210" s="236">
        <f t="shared" si="59"/>
        <v>72808.990000000005</v>
      </c>
      <c r="G210" s="628">
        <f>-655-250-61985</f>
        <v>-62890</v>
      </c>
      <c r="H210" s="236"/>
      <c r="I210" s="236">
        <f t="shared" si="60"/>
        <v>9918.9900000000052</v>
      </c>
      <c r="J210" s="265">
        <f t="shared" si="61"/>
        <v>1.2335280760544215E-3</v>
      </c>
      <c r="K210" s="579"/>
      <c r="L210" s="446"/>
      <c r="M210" s="446"/>
      <c r="O210" s="332">
        <f t="shared" si="62"/>
        <v>0.39889769162712158</v>
      </c>
      <c r="P210" s="325">
        <f>SUMMARY!L212</f>
        <v>0.31711176711674705</v>
      </c>
    </row>
    <row r="211" spans="1:16" s="261" customFormat="1">
      <c r="A211" s="257"/>
      <c r="B211" s="264" t="s">
        <v>136</v>
      </c>
      <c r="C211" s="480">
        <f t="shared" ref="C211:E211" si="63">SUM(C205:C210)</f>
        <v>295386.05</v>
      </c>
      <c r="D211" s="480">
        <f t="shared" si="63"/>
        <v>0</v>
      </c>
      <c r="E211" s="480">
        <f t="shared" si="63"/>
        <v>0</v>
      </c>
      <c r="F211" s="236">
        <f t="shared" ref="F211:I211" si="64">SUM(F205:F210)</f>
        <v>295386.05</v>
      </c>
      <c r="G211" s="236">
        <f t="shared" si="64"/>
        <v>-130385</v>
      </c>
      <c r="H211" s="236">
        <f t="shared" si="64"/>
        <v>0</v>
      </c>
      <c r="I211" s="236">
        <f t="shared" si="64"/>
        <v>165001.04999999999</v>
      </c>
      <c r="J211" s="265">
        <f t="shared" si="61"/>
        <v>2.0519571826714138E-2</v>
      </c>
      <c r="K211" s="579"/>
      <c r="L211" s="446"/>
      <c r="M211" s="446"/>
      <c r="O211" s="332">
        <f>I211/I$233</f>
        <v>6.6356088635084047</v>
      </c>
      <c r="P211" s="325">
        <f>SUMMARY!L213</f>
        <v>7.8731716780415235</v>
      </c>
    </row>
    <row r="212" spans="1:16" s="261" customFormat="1">
      <c r="A212" s="257"/>
      <c r="C212" s="160"/>
      <c r="D212" s="160"/>
      <c r="E212" s="160"/>
      <c r="F212" s="259"/>
      <c r="G212" s="259"/>
      <c r="H212" s="259"/>
      <c r="I212" s="259"/>
      <c r="J212" s="283"/>
      <c r="K212" s="581"/>
      <c r="L212" s="163"/>
      <c r="M212" s="163"/>
      <c r="O212" s="325"/>
      <c r="P212" s="325"/>
    </row>
    <row r="213" spans="1:16" s="261" customFormat="1">
      <c r="A213" s="217"/>
      <c r="B213" s="172" t="s">
        <v>137</v>
      </c>
      <c r="C213" s="480">
        <f t="shared" ref="C213:E213" si="65">SUM(C30:C211)/2</f>
        <v>8810558.2200000025</v>
      </c>
      <c r="D213" s="480">
        <f t="shared" si="65"/>
        <v>-272274.39</v>
      </c>
      <c r="E213" s="480">
        <f t="shared" si="65"/>
        <v>-507547.70999999996</v>
      </c>
      <c r="F213" s="236">
        <f t="shared" ref="F213:I213" si="66">SUM(F30:F211)/2</f>
        <v>8030736.120000002</v>
      </c>
      <c r="G213" s="236">
        <f t="shared" si="66"/>
        <v>-481</v>
      </c>
      <c r="H213" s="236">
        <f t="shared" si="66"/>
        <v>10899.509999999973</v>
      </c>
      <c r="I213" s="236">
        <f t="shared" si="66"/>
        <v>8041154.6300000018</v>
      </c>
      <c r="J213" s="265">
        <f>IF($I$213=0,0,I213/$I$213)</f>
        <v>1</v>
      </c>
      <c r="K213" s="579"/>
      <c r="L213" s="176">
        <f>SUM(L30:L205)</f>
        <v>179438.90571428573</v>
      </c>
      <c r="M213" s="176">
        <f>SUM(M30:M205)</f>
        <v>187652.6157142857</v>
      </c>
      <c r="O213" s="332">
        <f>I213/I$233</f>
        <v>323.37949931633563</v>
      </c>
      <c r="P213" s="325">
        <f>SUMMARY!L215</f>
        <v>285.57746451544745</v>
      </c>
    </row>
    <row r="214" spans="1:16" s="261" customFormat="1" ht="15.5">
      <c r="A214" s="257"/>
      <c r="B214" s="264"/>
      <c r="C214" s="160"/>
      <c r="D214" s="160"/>
      <c r="E214" s="160"/>
      <c r="F214" s="259"/>
      <c r="G214" s="259"/>
      <c r="H214"/>
      <c r="I214"/>
      <c r="K214" s="581"/>
      <c r="L214" s="163"/>
      <c r="M214" s="163"/>
    </row>
    <row r="215" spans="1:16" s="261" customFormat="1" ht="15.5">
      <c r="A215" s="257"/>
      <c r="B215" s="264"/>
      <c r="C215" s="160"/>
      <c r="D215" s="160"/>
      <c r="E215" s="160"/>
      <c r="F215" s="259"/>
      <c r="G215" s="259"/>
      <c r="H215"/>
      <c r="I215"/>
      <c r="K215" s="581"/>
      <c r="L215" s="163"/>
      <c r="M215" s="163"/>
    </row>
    <row r="216" spans="1:16" s="261" customFormat="1" ht="15.5">
      <c r="A216" s="257"/>
      <c r="B216" s="218" t="s">
        <v>172</v>
      </c>
      <c r="C216" s="480">
        <f>'[48]Sch C'!D221</f>
        <v>8810558.2200000118</v>
      </c>
      <c r="D216" s="188"/>
      <c r="E216" s="188"/>
      <c r="F216" s="259"/>
      <c r="G216" s="259"/>
      <c r="H216"/>
      <c r="I216"/>
      <c r="K216" s="581"/>
      <c r="L216" s="163"/>
      <c r="M216" s="163"/>
    </row>
    <row r="217" spans="1:16" s="261" customFormat="1" ht="15.5">
      <c r="A217" s="257"/>
      <c r="B217" s="264" t="s">
        <v>139</v>
      </c>
      <c r="C217" s="480">
        <f>C213-C216</f>
        <v>0</v>
      </c>
      <c r="D217" s="219"/>
      <c r="E217" s="219"/>
      <c r="F217" s="259"/>
      <c r="G217" s="259"/>
      <c r="H217"/>
      <c r="I217"/>
      <c r="K217" s="581"/>
      <c r="L217" s="163"/>
      <c r="M217" s="163"/>
    </row>
    <row r="218" spans="1:16" s="261" customFormat="1">
      <c r="A218" s="257"/>
      <c r="B218" s="301"/>
      <c r="C218" s="548"/>
      <c r="D218" s="221"/>
      <c r="E218" s="221"/>
      <c r="F218" s="302"/>
      <c r="G218" s="302"/>
      <c r="H218" s="302"/>
      <c r="I218" s="302"/>
      <c r="J218" s="260"/>
      <c r="K218" s="582"/>
      <c r="L218" s="163"/>
      <c r="M218" s="163"/>
    </row>
    <row r="219" spans="1:16" s="261" customFormat="1">
      <c r="A219" s="263"/>
      <c r="B219" s="172"/>
      <c r="C219" s="160"/>
      <c r="D219" s="160"/>
      <c r="E219" s="160"/>
      <c r="F219" s="259"/>
      <c r="G219" s="259"/>
      <c r="H219" s="259"/>
      <c r="I219" s="259"/>
      <c r="K219" s="581"/>
      <c r="L219" s="163"/>
      <c r="M219" s="163"/>
    </row>
    <row r="220" spans="1:16" s="261" customFormat="1">
      <c r="A220" s="257"/>
      <c r="B220" s="172" t="s">
        <v>70</v>
      </c>
      <c r="C220" s="480">
        <f t="shared" ref="C220:E220" si="67">C26-C213</f>
        <v>-1491281.6500000022</v>
      </c>
      <c r="D220" s="480">
        <f t="shared" si="67"/>
        <v>1040435.6599999999</v>
      </c>
      <c r="E220" s="480">
        <f t="shared" si="67"/>
        <v>507547.70999999996</v>
      </c>
      <c r="F220" s="236">
        <f t="shared" ref="F220:I220" si="68">F26-F213</f>
        <v>56701.719999998808</v>
      </c>
      <c r="G220" s="236">
        <f t="shared" si="68"/>
        <v>481</v>
      </c>
      <c r="H220" s="236">
        <f t="shared" si="68"/>
        <v>-10899.509999999973</v>
      </c>
      <c r="I220" s="236">
        <f t="shared" si="68"/>
        <v>46283.2099999981</v>
      </c>
      <c r="K220" s="581"/>
      <c r="L220" s="262"/>
      <c r="M220" s="262"/>
      <c r="O220" s="322"/>
      <c r="P220" s="325"/>
    </row>
    <row r="221" spans="1:16" s="261" customFormat="1">
      <c r="A221" s="257"/>
      <c r="B221" s="172"/>
      <c r="C221" s="188"/>
      <c r="D221" s="188"/>
      <c r="E221" s="188"/>
      <c r="F221" s="281"/>
      <c r="G221" s="281"/>
      <c r="H221" s="281"/>
      <c r="I221" s="281"/>
      <c r="K221" s="581"/>
      <c r="L221" s="262"/>
      <c r="M221" s="262"/>
    </row>
    <row r="222" spans="1:16" s="261" customFormat="1" ht="15.5">
      <c r="A222" s="257"/>
      <c r="B222" s="172"/>
      <c r="C222" s="188"/>
      <c r="D222" s="188"/>
      <c r="E222" s="188"/>
      <c r="F222" s="281"/>
      <c r="G222" s="281"/>
      <c r="H222"/>
      <c r="I222" s="281"/>
      <c r="K222" s="581"/>
      <c r="L222" s="262"/>
      <c r="M222" s="262"/>
    </row>
    <row r="223" spans="1:16" ht="15.5">
      <c r="A223" s="257"/>
      <c r="B223" s="159" t="s">
        <v>151</v>
      </c>
      <c r="C223" s="160"/>
      <c r="D223" s="160"/>
      <c r="E223" s="160"/>
      <c r="F223" s="259"/>
      <c r="G223" s="259"/>
      <c r="H223"/>
      <c r="I223" s="259"/>
      <c r="J223" s="260"/>
      <c r="K223" s="582"/>
      <c r="L223" s="262"/>
      <c r="M223" s="262"/>
    </row>
    <row r="224" spans="1:16">
      <c r="A224" s="257"/>
      <c r="B224" s="264" t="s">
        <v>202</v>
      </c>
      <c r="C224" s="504">
        <f>'[48]Sch D'!C9</f>
        <v>10513</v>
      </c>
      <c r="D224" s="480"/>
      <c r="E224" s="480"/>
      <c r="F224" s="304">
        <f t="shared" ref="F224:F232" si="69">C224+D224+E224</f>
        <v>10513</v>
      </c>
      <c r="G224" s="630"/>
      <c r="H224" s="303"/>
      <c r="I224" s="304">
        <f>F224+G224+H224</f>
        <v>10513</v>
      </c>
      <c r="J224" s="265">
        <f t="shared" ref="J224:J233" si="70">IF($I$233=0,0,I224/$I$233)</f>
        <v>0.42278613367650608</v>
      </c>
      <c r="K224" s="579"/>
      <c r="L224" s="262"/>
      <c r="M224" s="262"/>
    </row>
    <row r="225" spans="1:13">
      <c r="A225" s="257"/>
      <c r="B225" s="264" t="s">
        <v>201</v>
      </c>
      <c r="C225" s="504">
        <f>'[48]Sch D'!D9</f>
        <v>977</v>
      </c>
      <c r="D225" s="480"/>
      <c r="E225" s="480"/>
      <c r="F225" s="304">
        <f t="shared" si="69"/>
        <v>977</v>
      </c>
      <c r="G225" s="630"/>
      <c r="H225" s="303"/>
      <c r="I225" s="304">
        <f t="shared" ref="I225:I232" si="71">F225+G225+H225</f>
        <v>977</v>
      </c>
      <c r="J225" s="265">
        <f t="shared" si="70"/>
        <v>3.9290597603152899E-2</v>
      </c>
      <c r="K225" s="579"/>
      <c r="L225" s="262"/>
      <c r="M225" s="262"/>
    </row>
    <row r="226" spans="1:13">
      <c r="A226" s="257"/>
      <c r="B226" s="264" t="s">
        <v>64</v>
      </c>
      <c r="C226" s="504">
        <f>'[48]Sch D'!E9</f>
        <v>1661</v>
      </c>
      <c r="D226" s="480"/>
      <c r="E226" s="480"/>
      <c r="F226" s="304">
        <f t="shared" si="69"/>
        <v>1661</v>
      </c>
      <c r="G226" s="630"/>
      <c r="H226" s="303"/>
      <c r="I226" s="304">
        <f t="shared" si="71"/>
        <v>1661</v>
      </c>
      <c r="J226" s="265">
        <f t="shared" si="70"/>
        <v>6.6798037480897618E-2</v>
      </c>
      <c r="K226" s="579"/>
      <c r="L226" s="262"/>
      <c r="M226" s="262"/>
    </row>
    <row r="227" spans="1:13">
      <c r="A227" s="257"/>
      <c r="B227" s="305" t="s">
        <v>315</v>
      </c>
      <c r="C227" s="504">
        <f>'[48]Sch D'!F9</f>
        <v>99</v>
      </c>
      <c r="D227" s="480"/>
      <c r="E227" s="480"/>
      <c r="F227" s="304">
        <f t="shared" si="69"/>
        <v>99</v>
      </c>
      <c r="G227" s="630"/>
      <c r="H227" s="303"/>
      <c r="I227" s="304">
        <f t="shared" si="71"/>
        <v>99</v>
      </c>
      <c r="J227" s="265">
        <f t="shared" si="70"/>
        <v>3.981339982305156E-3</v>
      </c>
      <c r="K227" s="579"/>
      <c r="L227" s="262"/>
      <c r="M227" s="262"/>
    </row>
    <row r="228" spans="1:13">
      <c r="A228" s="257"/>
      <c r="B228" s="264" t="s">
        <v>65</v>
      </c>
      <c r="C228" s="504">
        <f>'[48]Sch D'!G9</f>
        <v>8311</v>
      </c>
      <c r="D228" s="480"/>
      <c r="E228" s="480"/>
      <c r="F228" s="304">
        <f t="shared" si="69"/>
        <v>8311</v>
      </c>
      <c r="G228" s="630"/>
      <c r="H228" s="303"/>
      <c r="I228" s="304">
        <f t="shared" si="71"/>
        <v>8311</v>
      </c>
      <c r="J228" s="265">
        <f t="shared" si="70"/>
        <v>0.33423148073674896</v>
      </c>
      <c r="K228" s="579"/>
      <c r="L228" s="262"/>
      <c r="M228" s="262"/>
    </row>
    <row r="229" spans="1:13">
      <c r="A229" s="257"/>
      <c r="B229" s="264" t="s">
        <v>66</v>
      </c>
      <c r="C229" s="504">
        <f>'[48]Sch D'!H9</f>
        <v>2171</v>
      </c>
      <c r="D229" s="480"/>
      <c r="E229" s="480"/>
      <c r="F229" s="304">
        <f t="shared" si="69"/>
        <v>2171</v>
      </c>
      <c r="G229" s="630"/>
      <c r="H229" s="303"/>
      <c r="I229" s="304">
        <f t="shared" si="71"/>
        <v>2171</v>
      </c>
      <c r="J229" s="265">
        <f t="shared" si="70"/>
        <v>8.7307970723075681E-2</v>
      </c>
      <c r="K229" s="579"/>
      <c r="L229" s="262"/>
      <c r="M229" s="262"/>
    </row>
    <row r="230" spans="1:13">
      <c r="A230" s="257"/>
      <c r="B230" s="264" t="s">
        <v>219</v>
      </c>
      <c r="C230" s="504">
        <f>'[48]Sch D'!I9</f>
        <v>1054</v>
      </c>
      <c r="D230" s="480"/>
      <c r="E230" s="480"/>
      <c r="F230" s="304">
        <f t="shared" si="69"/>
        <v>1054</v>
      </c>
      <c r="G230" s="630"/>
      <c r="H230" s="303"/>
      <c r="I230" s="304">
        <f t="shared" si="71"/>
        <v>1054</v>
      </c>
      <c r="J230" s="265">
        <f t="shared" si="70"/>
        <v>4.2387195367168021E-2</v>
      </c>
      <c r="K230" s="579"/>
      <c r="L230" s="262"/>
      <c r="M230" s="262"/>
    </row>
    <row r="231" spans="1:13">
      <c r="A231" s="257"/>
      <c r="B231" s="264" t="s">
        <v>218</v>
      </c>
      <c r="C231" s="504">
        <f>'[48]Sch D'!J9</f>
        <v>80</v>
      </c>
      <c r="D231" s="480"/>
      <c r="E231" s="480"/>
      <c r="F231" s="304">
        <f t="shared" si="69"/>
        <v>80</v>
      </c>
      <c r="G231" s="630"/>
      <c r="H231" s="303"/>
      <c r="I231" s="304">
        <f t="shared" si="71"/>
        <v>80</v>
      </c>
      <c r="J231" s="265">
        <f>IF($I$233=0,0,I231/$I$233)</f>
        <v>3.2172444301455804E-3</v>
      </c>
      <c r="K231" s="579"/>
      <c r="L231" s="262"/>
      <c r="M231" s="262"/>
    </row>
    <row r="232" spans="1:13">
      <c r="A232" s="257"/>
      <c r="B232" s="264" t="s">
        <v>170</v>
      </c>
      <c r="C232" s="504">
        <f>'[48]Sch D'!K9</f>
        <v>0</v>
      </c>
      <c r="D232" s="480"/>
      <c r="E232" s="480"/>
      <c r="F232" s="304">
        <f t="shared" si="69"/>
        <v>0</v>
      </c>
      <c r="G232" s="630"/>
      <c r="H232" s="303"/>
      <c r="I232" s="304">
        <f t="shared" si="71"/>
        <v>0</v>
      </c>
      <c r="J232" s="265">
        <f t="shared" si="70"/>
        <v>0</v>
      </c>
      <c r="K232" s="579"/>
      <c r="L232" s="262"/>
      <c r="M232" s="262"/>
    </row>
    <row r="233" spans="1:13" ht="13.5" thickBot="1">
      <c r="A233" s="257"/>
      <c r="B233" s="315" t="s">
        <v>67</v>
      </c>
      <c r="C233" s="504">
        <f t="shared" ref="C233:E233" si="72">SUM(C224:C232)</f>
        <v>24866</v>
      </c>
      <c r="D233" s="504">
        <f t="shared" si="72"/>
        <v>0</v>
      </c>
      <c r="E233" s="504">
        <f t="shared" si="72"/>
        <v>0</v>
      </c>
      <c r="F233" s="307">
        <f t="shared" ref="F233:I233" si="73">SUM(F224:F232)</f>
        <v>24866</v>
      </c>
      <c r="G233" s="307">
        <f t="shared" si="73"/>
        <v>0</v>
      </c>
      <c r="H233" s="307">
        <f t="shared" si="73"/>
        <v>0</v>
      </c>
      <c r="I233" s="307">
        <f t="shared" si="73"/>
        <v>24866</v>
      </c>
      <c r="J233" s="265">
        <f t="shared" si="70"/>
        <v>1</v>
      </c>
      <c r="K233" s="579"/>
      <c r="L233" s="262"/>
      <c r="M233" s="262"/>
    </row>
    <row r="234" spans="1:13" ht="13.5" thickTop="1">
      <c r="A234" s="257"/>
      <c r="B234" s="261"/>
      <c r="C234" s="549"/>
      <c r="D234" s="227"/>
      <c r="E234" s="227"/>
      <c r="F234" s="302"/>
      <c r="G234" s="302"/>
      <c r="H234" s="308"/>
      <c r="I234" s="302"/>
      <c r="J234" s="261"/>
      <c r="K234" s="581"/>
      <c r="L234" s="262"/>
      <c r="M234" s="262"/>
    </row>
    <row r="235" spans="1:13">
      <c r="A235" s="257"/>
      <c r="B235" s="159" t="s">
        <v>152</v>
      </c>
      <c r="C235" s="548"/>
      <c r="D235" s="221"/>
      <c r="E235" s="221"/>
      <c r="F235" s="302"/>
      <c r="G235" s="302"/>
      <c r="H235" s="302"/>
      <c r="I235" s="302"/>
      <c r="J235" s="261"/>
      <c r="K235" s="581"/>
      <c r="L235" s="262"/>
      <c r="M235" s="262"/>
    </row>
    <row r="236" spans="1:13">
      <c r="A236" s="257"/>
      <c r="B236" s="23" t="s">
        <v>203</v>
      </c>
      <c r="C236" s="504">
        <f>'[48]Sch D'!N22</f>
        <v>107</v>
      </c>
      <c r="D236" s="480"/>
      <c r="E236" s="480"/>
      <c r="F236" s="304">
        <f>C236+E236</f>
        <v>107</v>
      </c>
      <c r="G236" s="630"/>
      <c r="H236" s="304"/>
      <c r="I236" s="304">
        <f>F236+G236+H236</f>
        <v>107</v>
      </c>
      <c r="J236" s="261"/>
      <c r="K236" s="581"/>
      <c r="L236" s="262"/>
      <c r="M236" s="262"/>
    </row>
    <row r="237" spans="1:13">
      <c r="A237" s="257"/>
      <c r="B237" s="23" t="s">
        <v>271</v>
      </c>
      <c r="C237" s="504">
        <f>'[48]Sch D'!N24</f>
        <v>107</v>
      </c>
      <c r="D237" s="480"/>
      <c r="E237" s="480"/>
      <c r="F237" s="304">
        <f>C237+E237</f>
        <v>107</v>
      </c>
      <c r="G237" s="630"/>
      <c r="H237" s="304"/>
      <c r="I237" s="304">
        <f>F237+G237+H237</f>
        <v>107</v>
      </c>
      <c r="J237" s="261"/>
      <c r="K237" s="581"/>
      <c r="L237" s="262"/>
      <c r="M237" s="262"/>
    </row>
    <row r="238" spans="1:13">
      <c r="A238" s="257"/>
      <c r="B238" s="23" t="s">
        <v>68</v>
      </c>
      <c r="C238" s="504">
        <f>$C$4-$C$3+1</f>
        <v>365</v>
      </c>
      <c r="D238" s="427"/>
      <c r="E238" s="427"/>
      <c r="F238" s="304">
        <f>C238+E238</f>
        <v>365</v>
      </c>
      <c r="G238" s="630"/>
      <c r="H238" s="309"/>
      <c r="I238" s="304">
        <f>F238+G238+H238</f>
        <v>365</v>
      </c>
      <c r="J238" s="261"/>
      <c r="K238" s="581"/>
      <c r="L238" s="262"/>
      <c r="M238" s="262"/>
    </row>
    <row r="239" spans="1:13">
      <c r="A239" s="257"/>
      <c r="B239" s="310"/>
      <c r="C239" s="550"/>
      <c r="D239" s="228"/>
      <c r="E239" s="228"/>
      <c r="F239" s="311"/>
      <c r="G239" s="309"/>
      <c r="H239" s="309"/>
      <c r="I239" s="311"/>
      <c r="J239" s="261"/>
      <c r="K239" s="581"/>
      <c r="L239" s="262"/>
      <c r="M239" s="262"/>
    </row>
    <row r="240" spans="1:13" ht="26.5">
      <c r="A240" s="257"/>
      <c r="B240" s="312" t="s">
        <v>220</v>
      </c>
      <c r="C240" s="504">
        <f>'[48]Sch D'!N28</f>
        <v>39055</v>
      </c>
      <c r="D240" s="427"/>
      <c r="E240" s="427"/>
      <c r="F240" s="303">
        <f>F236*F238</f>
        <v>39055</v>
      </c>
      <c r="G240"/>
      <c r="H240" s="309"/>
      <c r="I240" s="303">
        <f>I236*I238</f>
        <v>39055</v>
      </c>
      <c r="J240" s="261"/>
      <c r="K240" s="581"/>
      <c r="L240" s="262"/>
      <c r="M240" s="262"/>
    </row>
    <row r="241" spans="1:13" ht="26.5">
      <c r="A241" s="257"/>
      <c r="B241" s="312" t="s">
        <v>221</v>
      </c>
      <c r="C241" s="505">
        <f>'[48]Sch D'!N30</f>
        <v>0.63669184483420815</v>
      </c>
      <c r="D241" s="228"/>
      <c r="E241" s="228"/>
      <c r="F241" s="313">
        <f>F233/F240</f>
        <v>0.63669184483420815</v>
      </c>
      <c r="G241"/>
      <c r="H241" s="314"/>
      <c r="I241" s="313">
        <f>I233/I240</f>
        <v>0.63669184483420815</v>
      </c>
      <c r="J241" s="261"/>
      <c r="K241" s="581"/>
      <c r="L241" s="262"/>
      <c r="M241" s="262"/>
    </row>
    <row r="242" spans="1:13" ht="26.5">
      <c r="A242" s="257"/>
      <c r="B242" s="312" t="s">
        <v>222</v>
      </c>
      <c r="C242" s="505">
        <f>'[48]Sch D'!N32</f>
        <v>0.29420048649340674</v>
      </c>
      <c r="D242" s="228"/>
      <c r="E242" s="228"/>
      <c r="F242" s="313">
        <f>(F224+F225)/F240</f>
        <v>0.29420048649340674</v>
      </c>
      <c r="G242"/>
      <c r="H242" s="314"/>
      <c r="I242" s="313">
        <f>(I224+I225)/I240</f>
        <v>0.29420048649340674</v>
      </c>
      <c r="J242" s="261"/>
      <c r="K242" s="581"/>
      <c r="L242" s="262"/>
      <c r="M242" s="262"/>
    </row>
    <row r="243" spans="1:13" ht="26.5">
      <c r="A243" s="257"/>
      <c r="B243" s="312" t="s">
        <v>223</v>
      </c>
      <c r="C243" s="505">
        <f>'[48]Sch D'!N34</f>
        <v>0.46207673127965898</v>
      </c>
      <c r="D243" s="228"/>
      <c r="E243" s="228"/>
      <c r="F243" s="313">
        <f>(F242/F241)</f>
        <v>0.46207673127965898</v>
      </c>
      <c r="G243"/>
      <c r="H243" s="314"/>
      <c r="I243" s="313">
        <f>(I242/I241)</f>
        <v>0.46207673127965898</v>
      </c>
      <c r="J243" s="261"/>
      <c r="K243" s="581"/>
      <c r="L243" s="262"/>
      <c r="M243" s="262"/>
    </row>
    <row r="244" spans="1:13">
      <c r="C244" s="138"/>
      <c r="D244" s="138"/>
      <c r="E244" s="138"/>
      <c r="K244" s="581"/>
    </row>
    <row r="245" spans="1:13">
      <c r="C245" s="138"/>
      <c r="D245" s="138"/>
      <c r="E245" s="138"/>
      <c r="K245" s="581"/>
    </row>
    <row r="246" spans="1:13">
      <c r="B246" s="244" t="s">
        <v>320</v>
      </c>
      <c r="C246" s="138"/>
      <c r="D246" s="138"/>
      <c r="E246" s="138"/>
      <c r="H246" s="239" t="s">
        <v>321</v>
      </c>
      <c r="I246" s="480">
        <f>'[48]Sch B'!C90</f>
        <v>254.79499461786867</v>
      </c>
      <c r="K246" s="581"/>
    </row>
    <row r="247" spans="1:13">
      <c r="C247" s="138"/>
      <c r="D247" s="138"/>
      <c r="E247" s="138"/>
      <c r="H247" s="239" t="s">
        <v>322</v>
      </c>
      <c r="I247" s="480">
        <f>'[48]Sch B'!E90</f>
        <v>313.37692063492062</v>
      </c>
      <c r="K247" s="581"/>
    </row>
    <row r="248" spans="1:13">
      <c r="C248" s="138"/>
      <c r="D248" s="138"/>
      <c r="E248" s="138"/>
      <c r="H248" s="239" t="s">
        <v>323</v>
      </c>
      <c r="I248" s="480">
        <f>'[48]Sch B'!G90</f>
        <v>281.30022044088173</v>
      </c>
      <c r="K248" s="581"/>
    </row>
    <row r="249" spans="1:13">
      <c r="C249" s="138"/>
      <c r="D249" s="138"/>
      <c r="E249" s="138"/>
      <c r="H249" s="239" t="s">
        <v>324</v>
      </c>
      <c r="I249" s="480">
        <f>'[48]Sch B'!I90</f>
        <v>288.80350467289719</v>
      </c>
      <c r="K249" s="581"/>
    </row>
    <row r="250" spans="1:13">
      <c r="C250" s="138"/>
      <c r="D250" s="138"/>
      <c r="E250" s="138"/>
      <c r="H250" s="239"/>
      <c r="K250" s="581"/>
    </row>
    <row r="251" spans="1:13">
      <c r="C251" s="138"/>
      <c r="D251" s="138"/>
      <c r="E251" s="138"/>
      <c r="K251" s="581"/>
    </row>
    <row r="252" spans="1:13">
      <c r="C252" s="138"/>
      <c r="D252" s="138"/>
      <c r="E252" s="138"/>
    </row>
    <row r="253" spans="1:13">
      <c r="C253" s="138"/>
      <c r="D253" s="138"/>
      <c r="E253" s="138"/>
    </row>
    <row r="254" spans="1:13">
      <c r="C254" s="138"/>
      <c r="D254" s="138"/>
      <c r="E254" s="138"/>
    </row>
    <row r="255" spans="1:13">
      <c r="C255" s="138"/>
      <c r="D255" s="138"/>
      <c r="E255" s="138"/>
    </row>
    <row r="256" spans="1:13">
      <c r="C256" s="138"/>
      <c r="D256" s="138"/>
      <c r="E256" s="138"/>
    </row>
    <row r="277" spans="2:2">
      <c r="B277" s="237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20" sqref="A2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3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336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'[49]Sch A Pg 1'!B39</f>
        <v>42917</v>
      </c>
      <c r="D3" s="620"/>
      <c r="E3" s="142"/>
      <c r="F3" s="144"/>
      <c r="G3" s="144"/>
      <c r="H3" s="411"/>
    </row>
    <row r="4" spans="1:16">
      <c r="A4" s="143"/>
      <c r="B4" s="145" t="s">
        <v>72</v>
      </c>
      <c r="C4" s="557">
        <f>'[49]Sch A Pg 1'!G39</f>
        <v>43281</v>
      </c>
      <c r="D4" s="620"/>
      <c r="E4" s="142"/>
      <c r="F4" s="146"/>
      <c r="G4" s="146"/>
      <c r="H4" s="411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'[49]Sch B'!E10</f>
        <v>2048608</v>
      </c>
      <c r="D12" s="480">
        <f>'[49]Sch B'!G10</f>
        <v>0</v>
      </c>
      <c r="E12" s="480"/>
      <c r="F12" s="166">
        <f>C12+D12+E12</f>
        <v>2048608</v>
      </c>
      <c r="G12" s="626"/>
      <c r="H12" s="166"/>
      <c r="I12" s="166">
        <f>F12+G12+H12</f>
        <v>2048608</v>
      </c>
      <c r="J12" s="167">
        <f>IF($I$26=0,0,I12/$I$26)</f>
        <v>0.38661180220107055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'[49]Sch B'!E12</f>
        <v>0</v>
      </c>
      <c r="D13" s="480">
        <f>'[49]Sch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'[49]Sch B'!E13</f>
        <v>63750</v>
      </c>
      <c r="D14" s="480">
        <f>'[49]Sch B'!G13</f>
        <v>0</v>
      </c>
      <c r="E14" s="480"/>
      <c r="F14" s="166">
        <f t="shared" si="0"/>
        <v>63750</v>
      </c>
      <c r="G14" s="626"/>
      <c r="H14" s="166"/>
      <c r="I14" s="166">
        <f t="shared" si="1"/>
        <v>63750</v>
      </c>
      <c r="J14" s="167">
        <f>IF($I$26=0,0,I14/$I$26)</f>
        <v>1.2030853335688549E-2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'[49]Sch B'!E14</f>
        <v>0</v>
      </c>
      <c r="D15" s="480">
        <f>'[49]Sch B'!G14</f>
        <v>0</v>
      </c>
      <c r="E15" s="480"/>
      <c r="F15" s="166">
        <f t="shared" si="0"/>
        <v>0</v>
      </c>
      <c r="G15" s="626">
        <v>69554.649999999994</v>
      </c>
      <c r="H15" s="166"/>
      <c r="I15" s="166">
        <f t="shared" si="1"/>
        <v>69554.649999999994</v>
      </c>
      <c r="J15" s="167">
        <f>IF($I$26=0,0,I15/$I$26)</f>
        <v>1.3126302634747443E-2</v>
      </c>
      <c r="K15" s="162" t="s">
        <v>650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'[49]Sch B'!E15</f>
        <v>2112358</v>
      </c>
      <c r="D16" s="480">
        <f>'[49]Sch B'!G15</f>
        <v>0</v>
      </c>
      <c r="E16" s="480"/>
      <c r="F16" s="166">
        <f t="shared" si="0"/>
        <v>2112358</v>
      </c>
      <c r="G16" s="626"/>
      <c r="H16" s="166"/>
      <c r="I16" s="166">
        <f>SUM(I12:I15)</f>
        <v>2181912.65</v>
      </c>
      <c r="J16" s="167">
        <f t="shared" ref="J16:J26" si="2">IF($I$26=0,0,I16/$I$26)</f>
        <v>0.41176895817150655</v>
      </c>
      <c r="K16" s="458"/>
      <c r="L16" s="333" t="s">
        <v>325</v>
      </c>
      <c r="M16" s="334">
        <f>I26</f>
        <v>5298876</v>
      </c>
      <c r="O16" s="324">
        <f>IFERROR(I16/I224,0)</f>
        <v>194.2067334223409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'[49]Sch B'!E20</f>
        <v>0</v>
      </c>
      <c r="D17" s="480">
        <f>'[49]Sch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5453463.5600000005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'[49]Sch B'!E26</f>
        <v>1032139</v>
      </c>
      <c r="D18" s="480">
        <f>'[49]Sch B'!G26</f>
        <v>0</v>
      </c>
      <c r="E18" s="480"/>
      <c r="F18" s="166">
        <f t="shared" si="0"/>
        <v>1032139</v>
      </c>
      <c r="G18" s="626"/>
      <c r="H18" s="166"/>
      <c r="I18" s="166">
        <f t="shared" si="1"/>
        <v>1032139</v>
      </c>
      <c r="J18" s="167">
        <f t="shared" si="2"/>
        <v>0.19478451656539991</v>
      </c>
      <c r="K18" s="458"/>
      <c r="L18" s="335" t="s">
        <v>327</v>
      </c>
      <c r="M18" s="336">
        <f>I233</f>
        <v>20553</v>
      </c>
      <c r="O18" s="324">
        <f t="shared" si="3"/>
        <v>570.87334070796464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'[49]Sch B'!E32</f>
        <v>866826</v>
      </c>
      <c r="D19" s="480">
        <f>'[49]Sch B'!G32</f>
        <v>0</v>
      </c>
      <c r="E19" s="480"/>
      <c r="F19" s="166">
        <f t="shared" si="0"/>
        <v>866826</v>
      </c>
      <c r="G19" s="626"/>
      <c r="H19" s="166"/>
      <c r="I19" s="166">
        <f t="shared" si="1"/>
        <v>866826</v>
      </c>
      <c r="J19" s="170">
        <f t="shared" si="2"/>
        <v>0.16358676821273041</v>
      </c>
      <c r="K19" s="464"/>
      <c r="L19" s="335" t="s">
        <v>328</v>
      </c>
      <c r="M19" s="336">
        <f>I236</f>
        <v>102</v>
      </c>
      <c r="O19" s="324">
        <f t="shared" si="3"/>
        <v>404.30317164179104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'[49]Sch B'!E37</f>
        <v>0</v>
      </c>
      <c r="D20" s="480">
        <f>'[49]Sch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37230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'[49]Sch B'!E42</f>
        <v>885096</v>
      </c>
      <c r="D21" s="480">
        <f>'[49]Sch B'!G42</f>
        <v>0</v>
      </c>
      <c r="E21" s="480"/>
      <c r="F21" s="166">
        <f t="shared" si="0"/>
        <v>885096</v>
      </c>
      <c r="G21" s="626"/>
      <c r="H21" s="166"/>
      <c r="I21" s="166">
        <f t="shared" si="1"/>
        <v>885096</v>
      </c>
      <c r="J21" s="167">
        <f t="shared" si="2"/>
        <v>0.16703466923928773</v>
      </c>
      <c r="K21" s="458"/>
      <c r="L21" s="337"/>
      <c r="M21" s="336"/>
      <c r="O21" s="324">
        <f t="shared" si="3"/>
        <v>233.34985499604534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'[49]Sch B'!E47</f>
        <v>262391</v>
      </c>
      <c r="D22" s="480">
        <f>'[49]Sch B'!G47</f>
        <v>0</v>
      </c>
      <c r="E22" s="480"/>
      <c r="F22" s="166">
        <f t="shared" si="0"/>
        <v>262391</v>
      </c>
      <c r="G22" s="626"/>
      <c r="H22" s="166"/>
      <c r="I22" s="166">
        <f t="shared" si="1"/>
        <v>262391</v>
      </c>
      <c r="J22" s="167">
        <f t="shared" si="2"/>
        <v>4.951823745262203E-2</v>
      </c>
      <c r="K22" s="458"/>
      <c r="L22" s="335" t="s">
        <v>148</v>
      </c>
      <c r="M22" s="336">
        <f>L213</f>
        <v>91181.040859757399</v>
      </c>
      <c r="O22" s="324">
        <f t="shared" si="3"/>
        <v>190.27628716461203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'[49]Sch B'!E52</f>
        <v>0</v>
      </c>
      <c r="D23" s="480">
        <f>'[49]Sch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96151.040859757399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'[49]Sch B'!E57</f>
        <v>80632</v>
      </c>
      <c r="D24" s="480">
        <f>'[49]Sch B'!G57</f>
        <v>0</v>
      </c>
      <c r="E24" s="480"/>
      <c r="F24" s="166">
        <f t="shared" si="0"/>
        <v>80632</v>
      </c>
      <c r="G24" s="626"/>
      <c r="H24" s="166"/>
      <c r="I24" s="166">
        <f t="shared" si="1"/>
        <v>80632</v>
      </c>
      <c r="J24" s="167">
        <f t="shared" si="2"/>
        <v>1.5216812018246888E-2</v>
      </c>
      <c r="K24" s="458"/>
      <c r="L24" s="163"/>
      <c r="M24" s="163"/>
      <c r="O24" s="324">
        <f t="shared" si="3"/>
        <v>415.62886597938143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'[49]Sch B'!E72</f>
        <v>72519</v>
      </c>
      <c r="D25" s="480">
        <f>'[49]Sch B'!G72</f>
        <v>-13085</v>
      </c>
      <c r="E25" s="480"/>
      <c r="F25" s="166">
        <f t="shared" si="0"/>
        <v>59434</v>
      </c>
      <c r="G25" s="626">
        <v>-69554.649999999994</v>
      </c>
      <c r="H25" s="166"/>
      <c r="I25" s="166">
        <f t="shared" si="1"/>
        <v>-10120.649999999994</v>
      </c>
      <c r="J25" s="167">
        <f t="shared" si="2"/>
        <v>-1.9099616597935099E-3</v>
      </c>
      <c r="K25" s="162" t="s">
        <v>650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5311961</v>
      </c>
      <c r="D26" s="480">
        <f t="shared" ref="D26:F26" si="4">SUM(D16:D25)</f>
        <v>-13085</v>
      </c>
      <c r="E26" s="480">
        <f t="shared" si="4"/>
        <v>0</v>
      </c>
      <c r="F26" s="166">
        <f t="shared" si="4"/>
        <v>5298876</v>
      </c>
      <c r="G26" s="166">
        <f>SUM(G12:G25)</f>
        <v>0</v>
      </c>
      <c r="H26" s="166">
        <f>SUM(H12:H25)</f>
        <v>0</v>
      </c>
      <c r="I26" s="166">
        <f>SUM(I16:I25)</f>
        <v>5298876</v>
      </c>
      <c r="J26" s="167">
        <f t="shared" si="2"/>
        <v>1</v>
      </c>
      <c r="K26" s="458"/>
      <c r="L26" s="163"/>
      <c r="M26" s="163"/>
      <c r="O26" s="324">
        <f>IFERROR(I26/I233,0)</f>
        <v>257.81520945847319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'[49]Sch C'!D10</f>
        <v>0</v>
      </c>
      <c r="D30" s="480">
        <f>'[49]Sch C'!F10</f>
        <v>112757</v>
      </c>
      <c r="E30" s="480">
        <f>+'[49]Sch C'!H10</f>
        <v>0</v>
      </c>
      <c r="F30" s="166">
        <f t="shared" ref="F30:F65" si="5">C30+D30+E30</f>
        <v>112757</v>
      </c>
      <c r="G30" s="626"/>
      <c r="H30" s="166"/>
      <c r="I30" s="166">
        <f t="shared" ref="I30:I65" si="6">F30+G30+H30</f>
        <v>112757</v>
      </c>
      <c r="J30" s="167">
        <f>IF($I$213=0,0,I30/$I$213)</f>
        <v>2.0676217739318679E-2</v>
      </c>
      <c r="K30" s="458"/>
      <c r="L30" s="176">
        <v>2088</v>
      </c>
      <c r="M30" s="176">
        <v>2329</v>
      </c>
      <c r="O30" s="324">
        <f>I30/I$233</f>
        <v>5.4861577385296547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'[49]Sch C'!D11</f>
        <v>0</v>
      </c>
      <c r="D31" s="480">
        <f>'[49]Sch C'!F11</f>
        <v>0</v>
      </c>
      <c r="E31" s="480">
        <f>+'[49]Sch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'[49]Sch C'!D12</f>
        <v>253156</v>
      </c>
      <c r="D32" s="480">
        <f>'[49]Sch C'!F12</f>
        <v>-112757</v>
      </c>
      <c r="E32" s="480">
        <f>+'[49]Sch C'!H12</f>
        <v>0</v>
      </c>
      <c r="F32" s="166">
        <f t="shared" si="5"/>
        <v>140399</v>
      </c>
      <c r="G32" s="626"/>
      <c r="H32" s="166"/>
      <c r="I32" s="166">
        <f t="shared" si="6"/>
        <v>140399</v>
      </c>
      <c r="J32" s="167">
        <f t="shared" si="7"/>
        <v>2.5744923103511116E-2</v>
      </c>
      <c r="K32" s="458"/>
      <c r="L32" s="176">
        <v>5469</v>
      </c>
      <c r="M32" s="176">
        <v>5814</v>
      </c>
      <c r="O32" s="324">
        <f t="shared" si="8"/>
        <v>6.831070889894419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'[49]Sch C'!D13</f>
        <v>41187</v>
      </c>
      <c r="D33" s="480">
        <f>'[49]Sch C'!F13</f>
        <v>0</v>
      </c>
      <c r="E33" s="480">
        <f>+'[49]Sch C'!H13</f>
        <v>0</v>
      </c>
      <c r="F33" s="166">
        <f t="shared" si="5"/>
        <v>41187</v>
      </c>
      <c r="G33" s="626"/>
      <c r="H33" s="166"/>
      <c r="I33" s="166">
        <f t="shared" si="6"/>
        <v>41187</v>
      </c>
      <c r="J33" s="167">
        <f t="shared" si="7"/>
        <v>7.5524480079225097E-3</v>
      </c>
      <c r="K33" s="458"/>
      <c r="L33" s="163"/>
      <c r="M33" s="163"/>
      <c r="O33" s="324">
        <f t="shared" si="8"/>
        <v>2.0039410305064953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'[49]Sch C'!D14</f>
        <v>0</v>
      </c>
      <c r="D34" s="480">
        <f>'[49]Sch C'!F14</f>
        <v>0</v>
      </c>
      <c r="E34" s="480">
        <f>+'[49]Sch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'[49]Sch C'!D15</f>
        <v>0</v>
      </c>
      <c r="D35" s="480">
        <f>'[49]Sch C'!F15</f>
        <v>0</v>
      </c>
      <c r="E35" s="480">
        <f>+'[49]Sch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'[49]Sch C'!D16</f>
        <v>265591</v>
      </c>
      <c r="D36" s="480">
        <f>'[49]Sch C'!F16</f>
        <v>0</v>
      </c>
      <c r="E36" s="480">
        <f>+'[49]Sch C'!H16</f>
        <v>-1451</v>
      </c>
      <c r="F36" s="166">
        <f t="shared" si="5"/>
        <v>264140</v>
      </c>
      <c r="G36" s="626"/>
      <c r="H36" s="166"/>
      <c r="I36" s="166">
        <f t="shared" si="6"/>
        <v>264140</v>
      </c>
      <c r="J36" s="167">
        <f t="shared" si="7"/>
        <v>4.843527367403918E-2</v>
      </c>
      <c r="K36" s="458"/>
      <c r="L36" s="163"/>
      <c r="M36" s="163"/>
      <c r="O36" s="324">
        <f t="shared" si="8"/>
        <v>12.851651826983895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'[49]Sch C'!D17</f>
        <v>47</v>
      </c>
      <c r="D37" s="480">
        <f>'[49]Sch C'!F17</f>
        <v>-47</v>
      </c>
      <c r="E37" s="480">
        <f>+'[49]Sch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'[49]Sch C'!D18</f>
        <v>27031</v>
      </c>
      <c r="D38" s="480">
        <f>'[49]Sch C'!F18</f>
        <v>0</v>
      </c>
      <c r="E38" s="480">
        <f>+'[49]Sch C'!H18</f>
        <v>0</v>
      </c>
      <c r="F38" s="166">
        <f t="shared" si="5"/>
        <v>27031</v>
      </c>
      <c r="G38" s="626"/>
      <c r="H38" s="166"/>
      <c r="I38" s="166">
        <f t="shared" si="6"/>
        <v>27031</v>
      </c>
      <c r="J38" s="167">
        <f t="shared" si="7"/>
        <v>4.9566664749108539E-3</v>
      </c>
      <c r="K38" s="458"/>
      <c r="L38" s="163"/>
      <c r="M38" s="163"/>
      <c r="O38" s="324">
        <f t="shared" si="8"/>
        <v>1.31518513112441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'[49]Sch C'!D19</f>
        <v>12709</v>
      </c>
      <c r="D39" s="480">
        <f>'[49]Sch C'!F19</f>
        <v>0</v>
      </c>
      <c r="E39" s="480">
        <f>+'[49]Sch C'!H19</f>
        <v>0</v>
      </c>
      <c r="F39" s="166">
        <f t="shared" si="5"/>
        <v>12709</v>
      </c>
      <c r="G39" s="626"/>
      <c r="H39" s="166"/>
      <c r="I39" s="166">
        <f t="shared" si="6"/>
        <v>12709</v>
      </c>
      <c r="J39" s="167">
        <f t="shared" si="7"/>
        <v>2.3304455709978189E-3</v>
      </c>
      <c r="K39" s="458"/>
      <c r="L39" s="163"/>
      <c r="M39" s="163"/>
      <c r="O39" s="324">
        <f t="shared" si="8"/>
        <v>0.61835255193888972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'[49]Sch C'!D20</f>
        <v>13898</v>
      </c>
      <c r="D40" s="480">
        <f>'[49]Sch C'!F20</f>
        <v>0</v>
      </c>
      <c r="E40" s="480">
        <f>+'[49]Sch C'!H20</f>
        <v>0</v>
      </c>
      <c r="F40" s="166">
        <f t="shared" si="5"/>
        <v>13898</v>
      </c>
      <c r="G40" s="626"/>
      <c r="H40" s="166"/>
      <c r="I40" s="166">
        <f t="shared" si="6"/>
        <v>13898</v>
      </c>
      <c r="J40" s="167">
        <f t="shared" si="7"/>
        <v>2.5484721493215586E-3</v>
      </c>
      <c r="K40" s="458"/>
      <c r="L40" s="163"/>
      <c r="M40" s="163"/>
      <c r="O40" s="324">
        <f t="shared" si="8"/>
        <v>0.67620298739843332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'[49]Sch C'!D21</f>
        <v>11364</v>
      </c>
      <c r="D41" s="480">
        <f>'[49]Sch C'!F21</f>
        <v>0</v>
      </c>
      <c r="E41" s="480">
        <f>+'[49]Sch C'!H21</f>
        <v>0</v>
      </c>
      <c r="F41" s="166">
        <f t="shared" si="5"/>
        <v>11364</v>
      </c>
      <c r="G41" s="626"/>
      <c r="H41" s="166"/>
      <c r="I41" s="166">
        <f t="shared" si="6"/>
        <v>11364</v>
      </c>
      <c r="J41" s="167">
        <f t="shared" si="7"/>
        <v>2.0838133188149513E-3</v>
      </c>
      <c r="K41" s="458"/>
      <c r="L41" s="163"/>
      <c r="M41" s="163"/>
      <c r="O41" s="324">
        <f t="shared" si="8"/>
        <v>0.55291198365202165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'[49]Sch C'!D22</f>
        <v>0</v>
      </c>
      <c r="D42" s="480">
        <f>'[49]Sch C'!F22</f>
        <v>0</v>
      </c>
      <c r="E42" s="480">
        <f>+'[49]Sch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'[49]Sch C'!D23</f>
        <v>3259</v>
      </c>
      <c r="D43" s="480">
        <f>'[49]Sch C'!F23</f>
        <v>0</v>
      </c>
      <c r="E43" s="480">
        <f>+'[49]Sch C'!H23</f>
        <v>0</v>
      </c>
      <c r="F43" s="166">
        <f t="shared" si="5"/>
        <v>3259</v>
      </c>
      <c r="G43" s="626"/>
      <c r="H43" s="166"/>
      <c r="I43" s="166">
        <f t="shared" si="6"/>
        <v>3259</v>
      </c>
      <c r="J43" s="167">
        <f t="shared" si="7"/>
        <v>5.976018660698633E-4</v>
      </c>
      <c r="K43" s="458"/>
      <c r="L43" s="163"/>
      <c r="M43" s="163"/>
      <c r="O43" s="324">
        <f t="shared" si="8"/>
        <v>0.15856565951442611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'[49]Sch C'!D24</f>
        <v>21947</v>
      </c>
      <c r="D44" s="480">
        <f>'[49]Sch C'!F24</f>
        <v>0</v>
      </c>
      <c r="E44" s="480">
        <f>+'[49]Sch C'!H24</f>
        <v>0</v>
      </c>
      <c r="F44" s="166">
        <f t="shared" si="5"/>
        <v>21947</v>
      </c>
      <c r="G44" s="626"/>
      <c r="H44" s="166"/>
      <c r="I44" s="166">
        <f t="shared" si="6"/>
        <v>21947</v>
      </c>
      <c r="J44" s="167">
        <f t="shared" si="7"/>
        <v>4.0244148986300363E-3</v>
      </c>
      <c r="K44" s="458"/>
      <c r="L44" s="163"/>
      <c r="M44" s="163"/>
      <c r="O44" s="324">
        <f t="shared" si="8"/>
        <v>1.0678246484698097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'[49]Sch C'!D25</f>
        <v>10042</v>
      </c>
      <c r="D45" s="480">
        <f>'[49]Sch C'!F25</f>
        <v>0</v>
      </c>
      <c r="E45" s="480">
        <f>+'[49]Sch C'!H25</f>
        <v>0</v>
      </c>
      <c r="F45" s="166">
        <f t="shared" si="5"/>
        <v>10042</v>
      </c>
      <c r="G45" s="626"/>
      <c r="H45" s="166"/>
      <c r="I45" s="166">
        <f t="shared" si="6"/>
        <v>10042</v>
      </c>
      <c r="J45" s="167">
        <f t="shared" si="7"/>
        <v>1.8413985698292625E-3</v>
      </c>
      <c r="K45" s="458"/>
      <c r="L45" s="163"/>
      <c r="M45" s="163"/>
      <c r="O45" s="324">
        <f t="shared" si="8"/>
        <v>0.48859047341020778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'[49]Sch C'!D26</f>
        <v>348478</v>
      </c>
      <c r="D46" s="480">
        <f>'[49]Sch C'!F26</f>
        <v>0</v>
      </c>
      <c r="E46" s="480">
        <f>+'[49]Sch C'!H26</f>
        <v>0</v>
      </c>
      <c r="F46" s="166">
        <f t="shared" si="5"/>
        <v>348478</v>
      </c>
      <c r="G46" s="626"/>
      <c r="H46" s="166"/>
      <c r="I46" s="166">
        <f t="shared" si="6"/>
        <v>348478</v>
      </c>
      <c r="J46" s="167">
        <f t="shared" si="7"/>
        <v>6.3900307788982452E-2</v>
      </c>
      <c r="K46" s="458"/>
      <c r="L46" s="163"/>
      <c r="M46" s="163"/>
      <c r="O46" s="324">
        <f t="shared" si="8"/>
        <v>16.955091714104999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'[49]Sch C'!D27</f>
        <v>46317</v>
      </c>
      <c r="D47" s="480">
        <f>'[49]Sch C'!F27</f>
        <v>-265</v>
      </c>
      <c r="E47" s="480">
        <f>+'[49]Sch C'!H27</f>
        <v>0</v>
      </c>
      <c r="F47" s="166">
        <f t="shared" si="5"/>
        <v>46052</v>
      </c>
      <c r="G47" s="626"/>
      <c r="H47" s="166"/>
      <c r="I47" s="166">
        <f t="shared" si="6"/>
        <v>46052</v>
      </c>
      <c r="J47" s="167">
        <f t="shared" si="7"/>
        <v>8.4445416189780128E-3</v>
      </c>
      <c r="K47" s="458"/>
      <c r="L47" s="163"/>
      <c r="M47" s="163"/>
      <c r="O47" s="324">
        <f t="shared" si="8"/>
        <v>2.2406461343842747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'[49]Sch C'!D28</f>
        <v>0</v>
      </c>
      <c r="D48" s="480">
        <f>'[49]Sch C'!F28</f>
        <v>0</v>
      </c>
      <c r="E48" s="480">
        <f>+'[49]Sch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'[49]Sch C'!D29</f>
        <v>149269</v>
      </c>
      <c r="D49" s="480">
        <f>'[49]Sch C'!F29</f>
        <v>-149269</v>
      </c>
      <c r="E49" s="480">
        <f>+'[49]Sch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'[49]Sch C'!D30</f>
        <v>0</v>
      </c>
      <c r="D50" s="480">
        <f>'[49]Sch C'!F30</f>
        <v>0</v>
      </c>
      <c r="E50" s="480">
        <f>+'[49]Sch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'[49]Sch C'!D31</f>
        <v>0</v>
      </c>
      <c r="D51" s="480">
        <f>'[49]Sch C'!F31</f>
        <v>0</v>
      </c>
      <c r="E51" s="480">
        <f>+'[49]Sch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'[49]Sch C'!D32</f>
        <v>51150</v>
      </c>
      <c r="D52" s="480">
        <f>'[49]Sch C'!F32</f>
        <v>0</v>
      </c>
      <c r="E52" s="480">
        <f>+'[49]Sch C'!H32</f>
        <v>0</v>
      </c>
      <c r="F52" s="166">
        <f t="shared" si="5"/>
        <v>51150</v>
      </c>
      <c r="G52" s="626"/>
      <c r="H52" s="166"/>
      <c r="I52" s="166">
        <f t="shared" si="6"/>
        <v>51150</v>
      </c>
      <c r="J52" s="167">
        <f t="shared" si="7"/>
        <v>9.3793603711179833E-3</v>
      </c>
      <c r="K52" s="458"/>
      <c r="L52" s="163"/>
      <c r="M52" s="163"/>
      <c r="O52" s="324">
        <f t="shared" si="8"/>
        <v>2.4886877828054299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'[49]Sch C'!D33</f>
        <v>0</v>
      </c>
      <c r="D53" s="480">
        <f>'[49]Sch C'!F33</f>
        <v>0</v>
      </c>
      <c r="E53" s="480">
        <f>+'[49]Sch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'[49]Sch C'!D34</f>
        <v>173</v>
      </c>
      <c r="D54" s="480">
        <f>'[49]Sch C'!F34</f>
        <v>0</v>
      </c>
      <c r="E54" s="480">
        <f>+'[49]Sch C'!H34</f>
        <v>0</v>
      </c>
      <c r="F54" s="166">
        <f t="shared" si="5"/>
        <v>173</v>
      </c>
      <c r="G54" s="626"/>
      <c r="H54" s="166"/>
      <c r="I54" s="166">
        <f t="shared" si="6"/>
        <v>173</v>
      </c>
      <c r="J54" s="167">
        <f t="shared" si="7"/>
        <v>3.1722958830956227E-5</v>
      </c>
      <c r="K54" s="458"/>
      <c r="L54" s="163"/>
      <c r="M54" s="163"/>
      <c r="O54" s="324">
        <f t="shared" si="8"/>
        <v>8.4172626867124022E-3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'[49]Sch C'!D35</f>
        <v>0</v>
      </c>
      <c r="D55" s="480">
        <f>'[49]Sch C'!F35</f>
        <v>0</v>
      </c>
      <c r="E55" s="480">
        <f>+'[49]Sch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'[49]Sch C'!D36</f>
        <v>0</v>
      </c>
      <c r="D56" s="480">
        <f>'[49]Sch C'!F36</f>
        <v>0</v>
      </c>
      <c r="E56" s="480">
        <f>+'[49]Sch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'[49]Sch C'!D37</f>
        <v>0</v>
      </c>
      <c r="D57" s="480">
        <f>'[49]Sch C'!F37</f>
        <v>0</v>
      </c>
      <c r="E57" s="480">
        <f>+'[49]Sch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'[49]Sch C'!D38</f>
        <v>0</v>
      </c>
      <c r="D58" s="480">
        <f>'[49]Sch C'!F38</f>
        <v>0</v>
      </c>
      <c r="E58" s="480">
        <f>+'[49]Sch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'[49]Sch C'!D39</f>
        <v>2366</v>
      </c>
      <c r="D59" s="480">
        <f>'[49]Sch C'!F39</f>
        <v>0</v>
      </c>
      <c r="E59" s="480">
        <f>+'[49]Sch C'!H39</f>
        <v>0</v>
      </c>
      <c r="F59" s="166">
        <f t="shared" si="5"/>
        <v>2366</v>
      </c>
      <c r="G59" s="626"/>
      <c r="H59" s="166"/>
      <c r="I59" s="166">
        <f t="shared" si="6"/>
        <v>2366</v>
      </c>
      <c r="J59" s="167">
        <f t="shared" si="7"/>
        <v>4.3385272019677709E-4</v>
      </c>
      <c r="K59" s="458"/>
      <c r="L59" s="163"/>
      <c r="M59" s="163"/>
      <c r="O59" s="324">
        <f t="shared" si="8"/>
        <v>0.11511701454775458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'[49]Sch C'!D40</f>
        <v>243</v>
      </c>
      <c r="D60" s="480">
        <f>'[49]Sch C'!F40</f>
        <v>-243</v>
      </c>
      <c r="E60" s="480">
        <f>+'[49]Sch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'[49]Sch C'!D41</f>
        <v>149525</v>
      </c>
      <c r="D61" s="480">
        <f>'[49]Sch C'!F41</f>
        <v>0</v>
      </c>
      <c r="E61" s="480">
        <f>+'[49]Sch C'!H41</f>
        <v>-4484</v>
      </c>
      <c r="F61" s="166">
        <f t="shared" si="5"/>
        <v>145041</v>
      </c>
      <c r="G61" s="626"/>
      <c r="H61" s="166"/>
      <c r="I61" s="166">
        <f t="shared" si="6"/>
        <v>145041</v>
      </c>
      <c r="J61" s="167">
        <f t="shared" si="7"/>
        <v>2.6596125270524407E-2</v>
      </c>
      <c r="K61" s="458"/>
      <c r="L61" s="163"/>
      <c r="M61" s="163"/>
      <c r="O61" s="324">
        <f t="shared" si="8"/>
        <v>7.0569259962049333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'[49]Sch C'!D42</f>
        <v>0</v>
      </c>
      <c r="D62" s="480">
        <f>'[49]Sch C'!F42</f>
        <v>0</v>
      </c>
      <c r="E62" s="480">
        <f>+'[49]Sch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'[49]Sch C'!D43</f>
        <v>9379</v>
      </c>
      <c r="D63" s="480">
        <f>'[49]Sch C'!F43</f>
        <v>-9379</v>
      </c>
      <c r="E63" s="480">
        <f>+'[49]Sch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'[49]Sch C'!D44</f>
        <v>0</v>
      </c>
      <c r="D64" s="480">
        <f>'[49]Sch C'!F44</f>
        <v>0</v>
      </c>
      <c r="E64" s="480">
        <f>+'[49]Sch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'[49]Sch C'!D45</f>
        <v>8247</v>
      </c>
      <c r="D65" s="480">
        <f>'[49]Sch C'!F45</f>
        <v>-12223</v>
      </c>
      <c r="E65" s="480">
        <f>+'[49]Sch C'!H45</f>
        <v>0</v>
      </c>
      <c r="F65" s="166">
        <f t="shared" si="5"/>
        <v>-3976</v>
      </c>
      <c r="G65" s="626">
        <v>-2954.44</v>
      </c>
      <c r="H65" s="166"/>
      <c r="I65" s="166">
        <f t="shared" si="6"/>
        <v>-6930.4400000000005</v>
      </c>
      <c r="J65" s="167">
        <f t="shared" si="7"/>
        <v>-1.2708327329503601E-3</v>
      </c>
      <c r="K65" s="458" t="s">
        <v>586</v>
      </c>
      <c r="L65" s="163"/>
      <c r="M65" s="163"/>
      <c r="O65" s="324">
        <f t="shared" si="8"/>
        <v>-0.3371984625115555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1425378</v>
      </c>
      <c r="D66" s="480">
        <f t="shared" si="9"/>
        <v>-171426</v>
      </c>
      <c r="E66" s="480">
        <f t="shared" si="9"/>
        <v>-5935</v>
      </c>
      <c r="F66" s="166">
        <f t="shared" ref="F66:I66" si="10">SUM(F30:F65)</f>
        <v>1248017</v>
      </c>
      <c r="G66" s="166">
        <f t="shared" si="10"/>
        <v>-2954.44</v>
      </c>
      <c r="H66" s="166">
        <f t="shared" si="10"/>
        <v>0</v>
      </c>
      <c r="I66" s="166">
        <f t="shared" si="10"/>
        <v>1245062.56</v>
      </c>
      <c r="J66" s="178">
        <f t="shared" si="7"/>
        <v>0.22830675336904607</v>
      </c>
      <c r="K66" s="465"/>
      <c r="L66" s="163"/>
      <c r="M66" s="163"/>
      <c r="O66" s="329">
        <f>I66/I$233</f>
        <v>60.578142363645213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'[49]Sch C'!D57</f>
        <v>339066</v>
      </c>
      <c r="D69" s="480">
        <f>'[49]Sch C'!F57</f>
        <v>0</v>
      </c>
      <c r="E69" s="480">
        <f>+'[49]Sch C'!H57</f>
        <v>0</v>
      </c>
      <c r="F69" s="166">
        <f>C69+D69+E69</f>
        <v>339066</v>
      </c>
      <c r="G69" s="626"/>
      <c r="H69" s="166"/>
      <c r="I69" s="166">
        <f>F69+G69+H69</f>
        <v>339066</v>
      </c>
      <c r="J69" s="167">
        <f t="shared" ref="J69:J84" si="11">IF($I$213=0,0,I69/$I$213)</f>
        <v>6.2174432132815052E-2</v>
      </c>
      <c r="K69" s="457"/>
      <c r="L69" s="182"/>
      <c r="M69" s="163"/>
      <c r="O69" s="324">
        <f t="shared" ref="O69:O84" si="12">I69/I$233</f>
        <v>16.497153700189752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'[49]Sch C'!D58</f>
        <v>19886</v>
      </c>
      <c r="D70" s="480">
        <f>'[49]Sch C'!F58</f>
        <v>0</v>
      </c>
      <c r="E70" s="480">
        <f>+'[49]Sch C'!H58</f>
        <v>0</v>
      </c>
      <c r="F70" s="166">
        <f t="shared" ref="F70:F83" si="13">C70+D70+E70</f>
        <v>19886</v>
      </c>
      <c r="G70" s="626"/>
      <c r="H70" s="166"/>
      <c r="I70" s="166">
        <f t="shared" ref="I70:I83" si="14">F70+G70+H70</f>
        <v>19886</v>
      </c>
      <c r="J70" s="167">
        <f t="shared" si="11"/>
        <v>3.6464899382219395E-3</v>
      </c>
      <c r="K70" s="458"/>
      <c r="L70" s="182"/>
      <c r="M70" s="163"/>
      <c r="O70" s="324">
        <f t="shared" si="12"/>
        <v>0.96754731669342675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'[49]Sch C'!D59</f>
        <v>0</v>
      </c>
      <c r="D71" s="480">
        <f>'[49]Sch C'!F59</f>
        <v>0</v>
      </c>
      <c r="E71" s="480">
        <f>+'[49]Sch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'[49]Sch C'!D60</f>
        <v>30958</v>
      </c>
      <c r="D72" s="480">
        <f>'[49]Sch C'!F60</f>
        <v>0</v>
      </c>
      <c r="E72" s="480">
        <f>+'[49]Sch C'!H60</f>
        <v>0</v>
      </c>
      <c r="F72" s="166">
        <f t="shared" si="13"/>
        <v>30958</v>
      </c>
      <c r="G72" s="626"/>
      <c r="H72" s="166"/>
      <c r="I72" s="166">
        <f t="shared" si="14"/>
        <v>30958</v>
      </c>
      <c r="J72" s="167">
        <f t="shared" si="11"/>
        <v>5.6767593034031377E-3</v>
      </c>
      <c r="K72" s="458"/>
      <c r="L72" s="185"/>
      <c r="M72" s="163"/>
      <c r="O72" s="324">
        <f t="shared" si="12"/>
        <v>1.5062521286430204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'[49]Sch C'!D61</f>
        <v>10261</v>
      </c>
      <c r="D73" s="480">
        <f>'[49]Sch C'!F61</f>
        <v>0</v>
      </c>
      <c r="E73" s="480">
        <f>+'[49]Sch C'!H61</f>
        <v>0</v>
      </c>
      <c r="F73" s="166">
        <f t="shared" si="13"/>
        <v>10261</v>
      </c>
      <c r="G73" s="626"/>
      <c r="H73" s="166"/>
      <c r="I73" s="166">
        <f t="shared" si="14"/>
        <v>10261</v>
      </c>
      <c r="J73" s="167">
        <f t="shared" si="11"/>
        <v>1.8815565350545772E-3</v>
      </c>
      <c r="K73" s="458"/>
      <c r="L73" s="185"/>
      <c r="M73" s="163"/>
      <c r="O73" s="324">
        <f t="shared" si="12"/>
        <v>0.49924585218702866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'[49]Sch C'!D62</f>
        <v>473</v>
      </c>
      <c r="D74" s="480">
        <f>'[49]Sch C'!F62</f>
        <v>0</v>
      </c>
      <c r="E74" s="480">
        <f>+'[49]Sch C'!H62</f>
        <v>0</v>
      </c>
      <c r="F74" s="166">
        <f t="shared" si="13"/>
        <v>473</v>
      </c>
      <c r="G74" s="626"/>
      <c r="H74" s="166"/>
      <c r="I74" s="166">
        <f t="shared" si="14"/>
        <v>473</v>
      </c>
      <c r="J74" s="167">
        <f t="shared" si="11"/>
        <v>8.6733870098510383E-5</v>
      </c>
      <c r="K74" s="458"/>
      <c r="L74" s="187"/>
      <c r="M74" s="163"/>
      <c r="O74" s="324">
        <f t="shared" si="12"/>
        <v>2.3013671970028706E-2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'[49]Sch C'!D63</f>
        <v>0</v>
      </c>
      <c r="D75" s="480">
        <f>'[49]Sch C'!F63</f>
        <v>0</v>
      </c>
      <c r="E75" s="480">
        <f>+'[49]Sch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'[49]Sch C'!D64</f>
        <v>0</v>
      </c>
      <c r="D76" s="480">
        <f>'[49]Sch C'!F64</f>
        <v>0</v>
      </c>
      <c r="E76" s="480">
        <f>+'[49]Sch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'[49]Sch C'!D65</f>
        <v>0</v>
      </c>
      <c r="D77" s="480">
        <f>'[49]Sch C'!F65</f>
        <v>0</v>
      </c>
      <c r="E77" s="480">
        <f>+'[49]Sch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'[49]Sch C'!D66</f>
        <v>46483</v>
      </c>
      <c r="D78" s="480">
        <f>'[49]Sch C'!F66</f>
        <v>0</v>
      </c>
      <c r="E78" s="480">
        <f>+'[49]Sch C'!H66</f>
        <v>-409</v>
      </c>
      <c r="F78" s="166">
        <f t="shared" si="13"/>
        <v>46074</v>
      </c>
      <c r="G78" s="626"/>
      <c r="H78" s="166"/>
      <c r="I78" s="166">
        <f t="shared" si="14"/>
        <v>46074</v>
      </c>
      <c r="J78" s="167">
        <f t="shared" si="11"/>
        <v>8.4485757524709673E-3</v>
      </c>
      <c r="K78" s="457"/>
      <c r="L78" s="187"/>
      <c r="M78" s="163"/>
      <c r="O78" s="324">
        <f t="shared" si="12"/>
        <v>2.2417165377317181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'[49]Sch C'!D67</f>
        <v>34041</v>
      </c>
      <c r="D79" s="480">
        <f>'[49]Sch C'!F67</f>
        <v>0</v>
      </c>
      <c r="E79" s="480">
        <f>+'[49]Sch C'!H67</f>
        <v>0</v>
      </c>
      <c r="F79" s="166">
        <f t="shared" si="13"/>
        <v>34041</v>
      </c>
      <c r="G79" s="626"/>
      <c r="H79" s="166"/>
      <c r="I79" s="166">
        <f t="shared" si="14"/>
        <v>34041</v>
      </c>
      <c r="J79" s="167">
        <f t="shared" si="11"/>
        <v>6.2420881015293698E-3</v>
      </c>
      <c r="K79" s="458"/>
      <c r="L79" s="187"/>
      <c r="M79" s="163"/>
      <c r="O79" s="324">
        <f t="shared" si="12"/>
        <v>1.6562545613779009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'[49]Sch C'!D68</f>
        <v>0</v>
      </c>
      <c r="D80" s="480">
        <f>'[49]Sch C'!F68</f>
        <v>0</v>
      </c>
      <c r="E80" s="480">
        <f>+'[49]Sch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'[49]Sch C'!D69</f>
        <v>4087</v>
      </c>
      <c r="D81" s="480">
        <f>'[49]Sch C'!F69</f>
        <v>0</v>
      </c>
      <c r="E81" s="480">
        <f>+'[49]Sch C'!H69</f>
        <v>0</v>
      </c>
      <c r="F81" s="166">
        <f t="shared" si="13"/>
        <v>4087</v>
      </c>
      <c r="G81" s="626"/>
      <c r="H81" s="166"/>
      <c r="I81" s="166">
        <f t="shared" si="14"/>
        <v>4087</v>
      </c>
      <c r="J81" s="167">
        <f t="shared" si="11"/>
        <v>7.4943198116831267E-4</v>
      </c>
      <c r="K81" s="458"/>
      <c r="L81" s="187"/>
      <c r="M81" s="163"/>
      <c r="O81" s="324">
        <f t="shared" si="12"/>
        <v>0.19885174913637912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'[49]Sch C'!D70</f>
        <v>0</v>
      </c>
      <c r="D82" s="480">
        <f>'[49]Sch C'!F70</f>
        <v>0</v>
      </c>
      <c r="E82" s="480">
        <f>+'[49]Sch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'[49]Sch C'!D71</f>
        <v>0</v>
      </c>
      <c r="D83" s="480">
        <f>'[49]Sch C'!F71</f>
        <v>0</v>
      </c>
      <c r="E83" s="480">
        <f>+'[49]Sch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485255</v>
      </c>
      <c r="D84" s="480">
        <f t="shared" si="15"/>
        <v>0</v>
      </c>
      <c r="E84" s="480">
        <f t="shared" si="15"/>
        <v>-409</v>
      </c>
      <c r="F84" s="166">
        <f t="shared" ref="F84:I84" si="16">SUM(F69:F83)</f>
        <v>484846</v>
      </c>
      <c r="G84" s="166">
        <f t="shared" si="16"/>
        <v>0</v>
      </c>
      <c r="H84" s="166">
        <f t="shared" si="16"/>
        <v>0</v>
      </c>
      <c r="I84" s="166">
        <f t="shared" si="16"/>
        <v>484846</v>
      </c>
      <c r="J84" s="167">
        <f t="shared" si="11"/>
        <v>8.8906067614761872E-2</v>
      </c>
      <c r="K84" s="458"/>
      <c r="L84" s="187"/>
      <c r="M84" s="163"/>
      <c r="O84" s="324">
        <f t="shared" si="12"/>
        <v>23.590035517929255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'[49]Sch C'!D75</f>
        <v>42626</v>
      </c>
      <c r="D87" s="480">
        <f>'[49]Sch C'!F75</f>
        <v>0</v>
      </c>
      <c r="E87" s="480">
        <f>+'[49]Sch C'!H75</f>
        <v>0</v>
      </c>
      <c r="F87" s="166">
        <f t="shared" ref="F87:F97" si="17">C87+D87+E87</f>
        <v>42626</v>
      </c>
      <c r="G87" s="626"/>
      <c r="H87" s="166"/>
      <c r="I87" s="166">
        <f t="shared" ref="I87:I97" si="18">F87+G87+H87</f>
        <v>42626</v>
      </c>
      <c r="J87" s="167">
        <f t="shared" ref="J87:J98" si="19">IF($I$213=0,0,I87/$I$213)</f>
        <v>7.8163170123025441E-3</v>
      </c>
      <c r="K87" s="458"/>
      <c r="L87" s="176">
        <v>1784</v>
      </c>
      <c r="M87" s="176">
        <v>1879</v>
      </c>
      <c r="O87" s="324">
        <f t="shared" ref="O87:O97" si="20">I87/I$233</f>
        <v>2.0739551403688026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'[49]Sch C'!D76</f>
        <v>17816</v>
      </c>
      <c r="D88" s="480">
        <f>'[49]Sch C'!F76</f>
        <v>0</v>
      </c>
      <c r="E88" s="480">
        <f>+'[49]Sch C'!H76</f>
        <v>0</v>
      </c>
      <c r="F88" s="166">
        <f t="shared" si="17"/>
        <v>17816</v>
      </c>
      <c r="G88" s="626"/>
      <c r="H88" s="166"/>
      <c r="I88" s="166">
        <f t="shared" si="18"/>
        <v>17816</v>
      </c>
      <c r="J88" s="167">
        <f t="shared" si="19"/>
        <v>3.2669146504758157E-3</v>
      </c>
      <c r="K88" s="458"/>
      <c r="L88" s="163"/>
      <c r="M88" s="163"/>
      <c r="O88" s="324">
        <f t="shared" si="20"/>
        <v>0.86683209263854422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'[49]Sch C'!D77</f>
        <v>10890</v>
      </c>
      <c r="D89" s="480">
        <f>'[49]Sch C'!F77</f>
        <v>0</v>
      </c>
      <c r="E89" s="480">
        <f>+'[49]Sch C'!H77</f>
        <v>0</v>
      </c>
      <c r="F89" s="166">
        <f t="shared" si="17"/>
        <v>10890</v>
      </c>
      <c r="G89" s="626"/>
      <c r="H89" s="166"/>
      <c r="I89" s="166">
        <f t="shared" si="18"/>
        <v>10890</v>
      </c>
      <c r="J89" s="167">
        <f t="shared" si="19"/>
        <v>1.9968960790122158E-3</v>
      </c>
      <c r="K89" s="458"/>
      <c r="L89" s="163"/>
      <c r="M89" s="163"/>
      <c r="O89" s="324">
        <f t="shared" si="20"/>
        <v>0.5298496569843818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'[49]Sch C'!D78</f>
        <v>0</v>
      </c>
      <c r="D90" s="480">
        <f>'[49]Sch C'!F78</f>
        <v>0</v>
      </c>
      <c r="E90" s="480">
        <f>+'[49]Sch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'[49]Sch C'!D79</f>
        <v>5431</v>
      </c>
      <c r="D91" s="480">
        <f>'[49]Sch C'!F79</f>
        <v>0</v>
      </c>
      <c r="E91" s="480">
        <f>+'[49]Sch C'!H79</f>
        <v>0</v>
      </c>
      <c r="F91" s="166">
        <f t="shared" si="17"/>
        <v>5431</v>
      </c>
      <c r="G91" s="626"/>
      <c r="H91" s="166"/>
      <c r="I91" s="166">
        <f t="shared" si="18"/>
        <v>5431</v>
      </c>
      <c r="J91" s="167">
        <f t="shared" si="19"/>
        <v>9.9588086364695537E-4</v>
      </c>
      <c r="K91" s="458"/>
      <c r="L91" s="163"/>
      <c r="M91" s="163"/>
      <c r="O91" s="324">
        <f t="shared" si="20"/>
        <v>0.26424366272563615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'[49]Sch C'!D80</f>
        <v>16907</v>
      </c>
      <c r="D92" s="480">
        <f>'[49]Sch C'!F80</f>
        <v>0</v>
      </c>
      <c r="E92" s="480">
        <f>+'[49]Sch C'!H80</f>
        <v>0</v>
      </c>
      <c r="F92" s="166">
        <f t="shared" si="17"/>
        <v>16907</v>
      </c>
      <c r="G92" s="626"/>
      <c r="H92" s="166"/>
      <c r="I92" s="166">
        <f t="shared" si="18"/>
        <v>16907</v>
      </c>
      <c r="J92" s="167">
        <f t="shared" si="19"/>
        <v>3.1002315893351269E-3</v>
      </c>
      <c r="K92" s="458"/>
      <c r="L92" s="163"/>
      <c r="M92" s="163"/>
      <c r="O92" s="324">
        <f t="shared" si="20"/>
        <v>0.8226049725100959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'[49]Sch C'!D81</f>
        <v>30964</v>
      </c>
      <c r="D93" s="480">
        <f>'[49]Sch C'!F81</f>
        <v>0</v>
      </c>
      <c r="E93" s="480">
        <f>+'[49]Sch C'!H81</f>
        <v>0</v>
      </c>
      <c r="F93" s="166">
        <f t="shared" si="17"/>
        <v>30964</v>
      </c>
      <c r="G93" s="626"/>
      <c r="H93" s="166"/>
      <c r="I93" s="166">
        <f t="shared" si="18"/>
        <v>30964</v>
      </c>
      <c r="J93" s="167">
        <f t="shared" si="19"/>
        <v>5.677859521628489E-3</v>
      </c>
      <c r="K93" s="458"/>
      <c r="L93" s="163"/>
      <c r="M93" s="163"/>
      <c r="O93" s="324">
        <f t="shared" si="20"/>
        <v>1.5065440568286868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'[49]Sch C'!D82</f>
        <v>9843</v>
      </c>
      <c r="D94" s="480">
        <f>'[49]Sch C'!F82</f>
        <v>0</v>
      </c>
      <c r="E94" s="480">
        <f>+'[49]Sch C'!H82</f>
        <v>0</v>
      </c>
      <c r="F94" s="166">
        <f t="shared" si="17"/>
        <v>9843</v>
      </c>
      <c r="G94" s="626"/>
      <c r="H94" s="166"/>
      <c r="I94" s="166">
        <f t="shared" si="18"/>
        <v>9843</v>
      </c>
      <c r="J94" s="167">
        <f t="shared" si="19"/>
        <v>1.8049079986884517E-3</v>
      </c>
      <c r="K94" s="458"/>
      <c r="L94" s="163"/>
      <c r="M94" s="163"/>
      <c r="O94" s="324">
        <f t="shared" si="20"/>
        <v>0.47890818858560796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'[49]Sch C'!D83</f>
        <v>0</v>
      </c>
      <c r="D95" s="480">
        <f>'[49]Sch C'!F83</f>
        <v>0</v>
      </c>
      <c r="E95" s="480">
        <f>+'[49]Sch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'[49]Sch C'!D84</f>
        <v>94126</v>
      </c>
      <c r="D96" s="480">
        <f>'[49]Sch C'!F84</f>
        <v>0</v>
      </c>
      <c r="E96" s="480">
        <f>+'[49]Sch C'!H84</f>
        <v>0</v>
      </c>
      <c r="F96" s="166">
        <f t="shared" si="17"/>
        <v>94126</v>
      </c>
      <c r="G96" s="626"/>
      <c r="H96" s="166"/>
      <c r="I96" s="166">
        <f t="shared" si="18"/>
        <v>94126</v>
      </c>
      <c r="J96" s="167">
        <f t="shared" si="19"/>
        <v>1.725985677989934E-2</v>
      </c>
      <c r="K96" s="458"/>
      <c r="L96" s="163"/>
      <c r="M96" s="163"/>
      <c r="O96" s="324">
        <f t="shared" si="20"/>
        <v>4.5796720673381017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'[49]Sch C'!D85</f>
        <v>0</v>
      </c>
      <c r="D97" s="480">
        <f>'[49]Sch C'!F85</f>
        <v>0</v>
      </c>
      <c r="E97" s="480">
        <f>+'[49]Sch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228603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228603</v>
      </c>
      <c r="G98" s="166">
        <f t="shared" si="22"/>
        <v>0</v>
      </c>
      <c r="H98" s="166">
        <f t="shared" si="22"/>
        <v>0</v>
      </c>
      <c r="I98" s="166">
        <f t="shared" si="22"/>
        <v>228603</v>
      </c>
      <c r="J98" s="167">
        <f t="shared" si="19"/>
        <v>4.1918864494988939E-2</v>
      </c>
      <c r="K98" s="458"/>
      <c r="L98" s="163"/>
      <c r="M98" s="163"/>
      <c r="O98" s="329">
        <f>I98/I$233</f>
        <v>11.122609837979857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'[49]Sch C'!D89</f>
        <v>0</v>
      </c>
      <c r="D101" s="480">
        <f>'[49]Sch C'!F89</f>
        <v>0</v>
      </c>
      <c r="E101" s="480">
        <f>+'[49]Sch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'[49]Sch C'!D90</f>
        <v>0</v>
      </c>
      <c r="D102" s="480">
        <f>'[49]Sch C'!F90</f>
        <v>0</v>
      </c>
      <c r="E102" s="480">
        <f>+'[49]Sch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'[49]Sch C'!D91</f>
        <v>391593</v>
      </c>
      <c r="D103" s="480">
        <f>'[49]Sch C'!F91</f>
        <v>0</v>
      </c>
      <c r="E103" s="480">
        <f>+'[49]Sch C'!H91</f>
        <v>0</v>
      </c>
      <c r="F103" s="166">
        <f t="shared" si="23"/>
        <v>391593</v>
      </c>
      <c r="G103" s="626"/>
      <c r="H103" s="166"/>
      <c r="I103" s="166">
        <f t="shared" si="24"/>
        <v>391593</v>
      </c>
      <c r="J103" s="167">
        <f t="shared" si="25"/>
        <v>7.180629258665111E-2</v>
      </c>
      <c r="K103" s="458"/>
      <c r="L103" s="163"/>
      <c r="M103" s="163"/>
      <c r="O103" s="329">
        <f t="shared" si="26"/>
        <v>19.052839001605605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'[49]Sch C'!D92</f>
        <v>2763</v>
      </c>
      <c r="D104" s="480">
        <f>'[49]Sch C'!F92</f>
        <v>-597</v>
      </c>
      <c r="E104" s="480">
        <f>+'[49]Sch C'!H92</f>
        <v>0</v>
      </c>
      <c r="F104" s="166">
        <f t="shared" si="23"/>
        <v>2166</v>
      </c>
      <c r="G104" s="626"/>
      <c r="H104" s="166"/>
      <c r="I104" s="166">
        <f t="shared" si="24"/>
        <v>2166</v>
      </c>
      <c r="J104" s="167">
        <f t="shared" si="25"/>
        <v>3.9717877935174095E-4</v>
      </c>
      <c r="K104" s="458"/>
      <c r="L104" s="163"/>
      <c r="M104" s="163"/>
      <c r="O104" s="329">
        <f t="shared" si="26"/>
        <v>0.10538607502554372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'[49]Sch C'!D93</f>
        <v>1751</v>
      </c>
      <c r="D105" s="480">
        <f>'[49]Sch C'!F93</f>
        <v>0</v>
      </c>
      <c r="E105" s="480">
        <f>+'[49]Sch C'!H93</f>
        <v>0</v>
      </c>
      <c r="F105" s="166">
        <f t="shared" si="23"/>
        <v>1751</v>
      </c>
      <c r="G105" s="626"/>
      <c r="H105" s="166"/>
      <c r="I105" s="166">
        <f t="shared" si="24"/>
        <v>1751</v>
      </c>
      <c r="J105" s="167">
        <f t="shared" si="25"/>
        <v>3.2108035209829107E-4</v>
      </c>
      <c r="K105" s="458"/>
      <c r="L105" s="163"/>
      <c r="M105" s="163"/>
      <c r="O105" s="329">
        <f t="shared" si="26"/>
        <v>8.5194375516956161E-2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'[49]Sch C'!D94</f>
        <v>0</v>
      </c>
      <c r="D106" s="480">
        <f>'[49]Sch C'!F94</f>
        <v>0</v>
      </c>
      <c r="E106" s="480">
        <f>+'[49]Sch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396107</v>
      </c>
      <c r="D107" s="480">
        <f t="shared" si="27"/>
        <v>-597</v>
      </c>
      <c r="E107" s="480">
        <f t="shared" si="27"/>
        <v>0</v>
      </c>
      <c r="F107" s="166">
        <f t="shared" ref="F107:I107" si="28">SUM(F101:F106)</f>
        <v>395510</v>
      </c>
      <c r="G107" s="166">
        <f t="shared" si="28"/>
        <v>0</v>
      </c>
      <c r="H107" s="166">
        <f t="shared" si="28"/>
        <v>0</v>
      </c>
      <c r="I107" s="166">
        <f t="shared" si="28"/>
        <v>395510</v>
      </c>
      <c r="J107" s="167">
        <f t="shared" si="25"/>
        <v>7.2524551718101141E-2</v>
      </c>
      <c r="K107" s="458"/>
      <c r="L107" s="163"/>
      <c r="M107" s="163"/>
      <c r="O107" s="329">
        <f>I107/I$233</f>
        <v>19.243419452148103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'[49]Sch C'!D98</f>
        <v>0</v>
      </c>
      <c r="D110" s="480">
        <f>'[49]Sch C'!F98</f>
        <v>0</v>
      </c>
      <c r="E110" s="480">
        <f>+'[49]Sch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'[49]Sch C'!D99</f>
        <v>0</v>
      </c>
      <c r="D111" s="480">
        <f>'[49]Sch C'!F99</f>
        <v>0</v>
      </c>
      <c r="E111" s="480">
        <f>+'[49]Sch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'[49]Sch C'!D100</f>
        <v>0</v>
      </c>
      <c r="D112" s="480">
        <f>'[49]Sch C'!F100</f>
        <v>0</v>
      </c>
      <c r="E112" s="480">
        <f>+'[49]Sch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'[49]Sch C'!D101</f>
        <v>33921</v>
      </c>
      <c r="D113" s="480">
        <f>'[49]Sch C'!F101</f>
        <v>0</v>
      </c>
      <c r="E113" s="480">
        <f>+'[49]Sch C'!H101</f>
        <v>0</v>
      </c>
      <c r="F113" s="166">
        <f t="shared" si="29"/>
        <v>33921</v>
      </c>
      <c r="G113" s="626"/>
      <c r="H113" s="166"/>
      <c r="I113" s="166">
        <f t="shared" si="30"/>
        <v>33921</v>
      </c>
      <c r="J113" s="167">
        <f t="shared" si="31"/>
        <v>6.220083737022348E-3</v>
      </c>
      <c r="K113" s="458"/>
      <c r="L113" s="163"/>
      <c r="M113" s="163"/>
      <c r="O113" s="329">
        <f t="shared" si="32"/>
        <v>1.6504159976645745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'[49]Sch C'!D102</f>
        <v>4004</v>
      </c>
      <c r="D114" s="480">
        <f>'[49]Sch C'!F102</f>
        <v>0</v>
      </c>
      <c r="E114" s="480">
        <f>+'[49]Sch C'!H102</f>
        <v>0</v>
      </c>
      <c r="F114" s="166">
        <f t="shared" si="29"/>
        <v>4004</v>
      </c>
      <c r="G114" s="626"/>
      <c r="H114" s="166"/>
      <c r="I114" s="166">
        <f t="shared" si="30"/>
        <v>4004</v>
      </c>
      <c r="J114" s="167">
        <f t="shared" si="31"/>
        <v>7.3421229571762274E-4</v>
      </c>
      <c r="K114" s="458"/>
      <c r="L114" s="163"/>
      <c r="M114" s="163"/>
      <c r="O114" s="329">
        <f t="shared" si="32"/>
        <v>0.19481340923466162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'[49]Sch C'!D103</f>
        <v>0</v>
      </c>
      <c r="D115" s="480">
        <f>'[49]Sch C'!F103</f>
        <v>0</v>
      </c>
      <c r="E115" s="480">
        <f>+'[49]Sch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37925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37925</v>
      </c>
      <c r="G116" s="166">
        <f t="shared" si="34"/>
        <v>0</v>
      </c>
      <c r="H116" s="166">
        <f t="shared" si="34"/>
        <v>0</v>
      </c>
      <c r="I116" s="166">
        <f t="shared" si="34"/>
        <v>37925</v>
      </c>
      <c r="J116" s="167">
        <f t="shared" si="31"/>
        <v>6.9542960327399709E-3</v>
      </c>
      <c r="K116" s="458"/>
      <c r="L116" s="163"/>
      <c r="M116" s="163"/>
      <c r="O116" s="329">
        <f>I116/I$233</f>
        <v>1.8452294068992361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'[49]Sch C'!D115</f>
        <v>0</v>
      </c>
      <c r="D119" s="480">
        <f>'[49]Sch C'!F115</f>
        <v>0</v>
      </c>
      <c r="E119" s="480">
        <f>+'[49]Sch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'[49]Sch C'!D116</f>
        <v>0</v>
      </c>
      <c r="D120" s="480">
        <f>'[49]Sch C'!F116</f>
        <v>0</v>
      </c>
      <c r="E120" s="480">
        <f>+'[49]Sch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'[49]Sch C'!D117</f>
        <v>10862</v>
      </c>
      <c r="D121" s="480">
        <f>'[49]Sch C'!F117</f>
        <v>0</v>
      </c>
      <c r="E121" s="480">
        <f>+'[49]Sch C'!H117</f>
        <v>0</v>
      </c>
      <c r="F121" s="166">
        <f t="shared" si="35"/>
        <v>10862</v>
      </c>
      <c r="G121" s="626"/>
      <c r="H121" s="166"/>
      <c r="I121" s="166">
        <f t="shared" si="36"/>
        <v>10862</v>
      </c>
      <c r="J121" s="167">
        <f t="shared" si="37"/>
        <v>1.9917617272939107E-3</v>
      </c>
      <c r="K121" s="458"/>
      <c r="L121" s="163"/>
      <c r="M121" s="163"/>
      <c r="O121" s="329">
        <f t="shared" si="38"/>
        <v>0.52848732545127231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'[49]Sch C'!D118</f>
        <v>82135</v>
      </c>
      <c r="D122" s="480">
        <f>'[49]Sch C'!F118</f>
        <v>0</v>
      </c>
      <c r="E122" s="480">
        <f>+'[49]Sch C'!H118</f>
        <v>0</v>
      </c>
      <c r="F122" s="166">
        <f t="shared" si="35"/>
        <v>82135</v>
      </c>
      <c r="G122" s="626"/>
      <c r="H122" s="166"/>
      <c r="I122" s="166">
        <f t="shared" si="36"/>
        <v>82135</v>
      </c>
      <c r="J122" s="167">
        <f t="shared" si="37"/>
        <v>1.5061070656535201E-2</v>
      </c>
      <c r="K122" s="458"/>
      <c r="L122" s="163"/>
      <c r="M122" s="163"/>
      <c r="O122" s="329">
        <f t="shared" si="38"/>
        <v>3.9962535882839489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'[49]Sch C'!D119</f>
        <v>815</v>
      </c>
      <c r="D123" s="480">
        <f>'[49]Sch C'!F119</f>
        <v>0</v>
      </c>
      <c r="E123" s="480">
        <f>+'[49]Sch C'!H119</f>
        <v>0</v>
      </c>
      <c r="F123" s="166">
        <f t="shared" si="35"/>
        <v>815</v>
      </c>
      <c r="G123" s="626"/>
      <c r="H123" s="166"/>
      <c r="I123" s="166">
        <f t="shared" si="36"/>
        <v>815</v>
      </c>
      <c r="J123" s="167">
        <f t="shared" si="37"/>
        <v>1.494463089435221E-4</v>
      </c>
      <c r="K123" s="458"/>
      <c r="L123" s="163"/>
      <c r="M123" s="163"/>
      <c r="O123" s="329">
        <f t="shared" si="38"/>
        <v>3.9653578553009293E-2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93812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93812</v>
      </c>
      <c r="G124" s="166">
        <f t="shared" si="40"/>
        <v>0</v>
      </c>
      <c r="H124" s="166">
        <f t="shared" si="40"/>
        <v>0</v>
      </c>
      <c r="I124" s="166">
        <f t="shared" si="40"/>
        <v>93812</v>
      </c>
      <c r="J124" s="167">
        <f t="shared" si="37"/>
        <v>1.7202278692772632E-2</v>
      </c>
      <c r="K124" s="458"/>
      <c r="L124" s="163"/>
      <c r="M124" s="163"/>
      <c r="O124" s="329">
        <f t="shared" si="38"/>
        <v>4.5643944922882307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'[49]Sch C'!D124</f>
        <v>0</v>
      </c>
      <c r="D128" s="480">
        <f>'[49]Sch C'!F124</f>
        <v>0</v>
      </c>
      <c r="E128" s="480">
        <f>+'[49]Sch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'[49]Sch C'!D125</f>
        <v>175765</v>
      </c>
      <c r="D129" s="480">
        <f>'[49]Sch C'!F125</f>
        <v>0</v>
      </c>
      <c r="E129" s="480">
        <f>+'[49]Sch C'!H125</f>
        <v>0</v>
      </c>
      <c r="F129" s="166">
        <f t="shared" si="41"/>
        <v>175765</v>
      </c>
      <c r="G129" s="626"/>
      <c r="H129" s="166"/>
      <c r="I129" s="166">
        <f t="shared" si="42"/>
        <v>175765</v>
      </c>
      <c r="J129" s="167">
        <f>IF($I$213=0,0,I129/$I$213)</f>
        <v>3.2229976063138849E-2</v>
      </c>
      <c r="K129" s="458"/>
      <c r="L129" s="176">
        <v>4188</v>
      </c>
      <c r="M129" s="176">
        <v>4260</v>
      </c>
      <c r="O129" s="329">
        <f t="shared" si="43"/>
        <v>8.5517929256069678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'[49]Sch C'!D126</f>
        <v>0</v>
      </c>
      <c r="D130" s="480">
        <f>'[49]Sch C'!F126</f>
        <v>0</v>
      </c>
      <c r="E130" s="480">
        <f>+'[49]Sch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'[49]Sch C'!D127</f>
        <v>0</v>
      </c>
      <c r="D131" s="480">
        <f>'[49]Sch C'!F127</f>
        <v>0</v>
      </c>
      <c r="E131" s="480">
        <f>+'[49]Sch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'[49]Sch C'!D128</f>
        <v>34867</v>
      </c>
      <c r="D132" s="480">
        <f>'[49]Sch C'!F128</f>
        <v>0</v>
      </c>
      <c r="E132" s="480">
        <f>+'[49]Sch C'!H128</f>
        <v>0</v>
      </c>
      <c r="F132" s="166">
        <f t="shared" si="41"/>
        <v>34867</v>
      </c>
      <c r="G132" s="626"/>
      <c r="H132" s="166"/>
      <c r="I132" s="166">
        <f t="shared" si="42"/>
        <v>34867</v>
      </c>
      <c r="J132" s="167">
        <f>IF($I$213=0,0,I132/$I$213)</f>
        <v>6.393551477219369E-3</v>
      </c>
      <c r="K132" s="458"/>
      <c r="L132" s="176">
        <v>1819</v>
      </c>
      <c r="M132" s="176">
        <v>2095</v>
      </c>
      <c r="O132" s="329">
        <f t="shared" si="43"/>
        <v>1.6964433416046318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'[49]Sch C'!D130</f>
        <v>0</v>
      </c>
      <c r="D134" s="480">
        <f>'[49]Sch C'!F130</f>
        <v>0</v>
      </c>
      <c r="E134" s="480">
        <f>+'[49]Sch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'[49]Sch C'!D131</f>
        <v>41342</v>
      </c>
      <c r="D135" s="480">
        <f>'[49]Sch C'!F131</f>
        <v>0</v>
      </c>
      <c r="E135" s="480">
        <f>+'[49]Sch C'!H131</f>
        <v>0</v>
      </c>
      <c r="F135" s="166">
        <f t="shared" si="44"/>
        <v>41342</v>
      </c>
      <c r="G135" s="626"/>
      <c r="H135" s="166"/>
      <c r="I135" s="166">
        <f t="shared" si="45"/>
        <v>41342</v>
      </c>
      <c r="J135" s="167">
        <f>IF($I$213=0,0,I135/$I$213)</f>
        <v>7.5808703120774125E-3</v>
      </c>
      <c r="K135" s="458"/>
      <c r="L135" s="196"/>
      <c r="M135" s="196"/>
      <c r="O135" s="329">
        <f t="shared" si="43"/>
        <v>2.0114825086362087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'[49]Sch C'!D132</f>
        <v>0</v>
      </c>
      <c r="D136" s="480">
        <f>'[49]Sch C'!F132</f>
        <v>0</v>
      </c>
      <c r="E136" s="480">
        <f>+'[49]Sch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'[49]Sch C'!D133</f>
        <v>0</v>
      </c>
      <c r="D137" s="480">
        <f>'[49]Sch C'!F133</f>
        <v>0</v>
      </c>
      <c r="E137" s="480">
        <f>+'[49]Sch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'[49]Sch C'!D134</f>
        <v>7088</v>
      </c>
      <c r="D138" s="480">
        <f>'[49]Sch C'!F134</f>
        <v>0</v>
      </c>
      <c r="E138" s="480">
        <f>+'[49]Sch C'!H134</f>
        <v>0</v>
      </c>
      <c r="F138" s="166">
        <f t="shared" si="44"/>
        <v>7088</v>
      </c>
      <c r="G138" s="626"/>
      <c r="H138" s="166"/>
      <c r="I138" s="166">
        <f t="shared" si="45"/>
        <v>7088</v>
      </c>
      <c r="J138" s="167">
        <f>IF($I$213=0,0,I138/$I$213)</f>
        <v>1.2997244635480794E-3</v>
      </c>
      <c r="K138" s="458"/>
      <c r="L138" s="163"/>
      <c r="M138" s="163"/>
      <c r="O138" s="329">
        <f t="shared" si="43"/>
        <v>0.34486449666715319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'[49]Sch C'!D136</f>
        <v>623977</v>
      </c>
      <c r="D140" s="480">
        <f>'[49]Sch C'!F136</f>
        <v>0</v>
      </c>
      <c r="E140" s="480">
        <f>+'[49]Sch C'!H136</f>
        <v>0</v>
      </c>
      <c r="F140" s="166">
        <f t="shared" ref="F140:F143" si="46">C140+D140+E140</f>
        <v>623977</v>
      </c>
      <c r="G140" s="626"/>
      <c r="H140" s="166"/>
      <c r="I140" s="166">
        <f t="shared" ref="I140:I143" si="47">F140+G140+H140</f>
        <v>623977</v>
      </c>
      <c r="J140" s="167">
        <f>IF($I$213=0,0,I140/$I$213)</f>
        <v>0.11441847793331546</v>
      </c>
      <c r="K140" s="458"/>
      <c r="L140" s="176">
        <v>20506</v>
      </c>
      <c r="M140" s="176">
        <v>21478</v>
      </c>
      <c r="O140" s="329">
        <f t="shared" si="43"/>
        <v>30.359412251252859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'[49]Sch C'!D137</f>
        <v>106094</v>
      </c>
      <c r="D141" s="480">
        <f>'[49]Sch C'!F137</f>
        <v>0</v>
      </c>
      <c r="E141" s="480">
        <f>+'[49]Sch C'!H137</f>
        <v>0</v>
      </c>
      <c r="F141" s="166">
        <f t="shared" si="46"/>
        <v>106094</v>
      </c>
      <c r="G141" s="626"/>
      <c r="H141" s="166"/>
      <c r="I141" s="166">
        <f t="shared" si="47"/>
        <v>106094</v>
      </c>
      <c r="J141" s="167">
        <f>IF($I$213=0,0,I141/$I$213)</f>
        <v>1.94544254000663E-2</v>
      </c>
      <c r="K141" s="458"/>
      <c r="L141" s="176">
        <v>3831</v>
      </c>
      <c r="M141" s="176">
        <v>4115</v>
      </c>
      <c r="O141" s="329">
        <f t="shared" si="43"/>
        <v>5.1619714883472003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'[49]Sch C'!D138</f>
        <v>515274</v>
      </c>
      <c r="D142" s="480">
        <f>'[49]Sch C'!F138</f>
        <v>1975</v>
      </c>
      <c r="E142" s="480">
        <f>+'[49]Sch C'!H138</f>
        <v>0</v>
      </c>
      <c r="F142" s="166">
        <f t="shared" si="46"/>
        <v>517249</v>
      </c>
      <c r="G142" s="626"/>
      <c r="H142" s="166"/>
      <c r="I142" s="166">
        <f t="shared" si="47"/>
        <v>517249</v>
      </c>
      <c r="J142" s="167">
        <f>IF($I$213=0,0,I142/$I$213)</f>
        <v>9.4847796140770393E-2</v>
      </c>
      <c r="K142" s="458"/>
      <c r="L142" s="176">
        <v>36994</v>
      </c>
      <c r="M142" s="176">
        <v>39357</v>
      </c>
      <c r="O142" s="329">
        <f t="shared" si="43"/>
        <v>25.166593684620249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'[49]Sch C'!D139</f>
        <v>1975</v>
      </c>
      <c r="D143" s="480">
        <f>'[49]Sch C'!F139</f>
        <v>-1975</v>
      </c>
      <c r="E143" s="480">
        <f>+'[49]Sch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'[49]Sch C'!D141</f>
        <v>245254</v>
      </c>
      <c r="D145" s="480">
        <f>'[49]Sch C'!F141</f>
        <v>-122565</v>
      </c>
      <c r="E145" s="480">
        <f>+'[49]Sch C'!H141</f>
        <v>0</v>
      </c>
      <c r="F145" s="166">
        <f t="shared" ref="F145:F148" si="48">C145+D145+E145</f>
        <v>122689</v>
      </c>
      <c r="G145" s="626"/>
      <c r="H145" s="166"/>
      <c r="I145" s="166">
        <f t="shared" ref="I145:I148" si="49">F145+G145+H145</f>
        <v>122689</v>
      </c>
      <c r="J145" s="167">
        <f>IF($I$213=0,0,I145/$I$213)</f>
        <v>2.249744564168317E-2</v>
      </c>
      <c r="K145" s="458"/>
      <c r="L145" s="163"/>
      <c r="M145" s="163"/>
      <c r="O145" s="329">
        <f t="shared" si="43"/>
        <v>5.9693961952026466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'[49]Sch C'!D142</f>
        <v>0</v>
      </c>
      <c r="D146" s="480">
        <f>'[49]Sch C'!F142</f>
        <v>20861</v>
      </c>
      <c r="E146" s="480">
        <f>+'[49]Sch C'!H142</f>
        <v>0</v>
      </c>
      <c r="F146" s="166">
        <f t="shared" si="48"/>
        <v>20861</v>
      </c>
      <c r="G146" s="626"/>
      <c r="H146" s="166"/>
      <c r="I146" s="166">
        <f t="shared" si="49"/>
        <v>20861</v>
      </c>
      <c r="J146" s="167">
        <f>IF($I$213=0,0,I146/$I$213)</f>
        <v>3.8252753998414906E-3</v>
      </c>
      <c r="K146" s="458"/>
      <c r="L146" s="163"/>
      <c r="M146" s="163"/>
      <c r="O146" s="329">
        <f t="shared" si="43"/>
        <v>1.0149856468642047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'[49]Sch C'!D143</f>
        <v>0</v>
      </c>
      <c r="D147" s="480">
        <f>'[49]Sch C'!F143</f>
        <v>101704</v>
      </c>
      <c r="E147" s="480">
        <f>+'[49]Sch C'!H143</f>
        <v>0</v>
      </c>
      <c r="F147" s="166">
        <f t="shared" si="48"/>
        <v>101704</v>
      </c>
      <c r="G147" s="626"/>
      <c r="H147" s="166"/>
      <c r="I147" s="166">
        <f t="shared" si="49"/>
        <v>101704</v>
      </c>
      <c r="J147" s="167">
        <f>IF($I$213=0,0,I147/$I$213)</f>
        <v>1.8649432398517757E-2</v>
      </c>
      <c r="K147" s="458"/>
      <c r="L147" s="163"/>
      <c r="M147" s="163"/>
      <c r="O147" s="329">
        <f t="shared" si="43"/>
        <v>4.9483773658346717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'[49]Sch C'!D144</f>
        <v>0</v>
      </c>
      <c r="D148" s="480">
        <f>'[49]Sch C'!F144</f>
        <v>0</v>
      </c>
      <c r="E148" s="480">
        <f>+'[49]Sch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'[49]Sch C'!D146</f>
        <v>33600</v>
      </c>
      <c r="D150" s="480">
        <f>'[49]Sch C'!F146</f>
        <v>0</v>
      </c>
      <c r="E150" s="480">
        <f>+'[49]Sch C'!H146</f>
        <v>0</v>
      </c>
      <c r="F150" s="166">
        <f t="shared" ref="F150:F158" si="50">C150+D150+E150</f>
        <v>33600</v>
      </c>
      <c r="G150" s="626"/>
      <c r="H150" s="166"/>
      <c r="I150" s="166">
        <f t="shared" ref="I150:I158" si="51">F150+G150+H150</f>
        <v>33600</v>
      </c>
      <c r="J150" s="167">
        <f t="shared" ref="J150:J158" si="52">IF($I$213=0,0,I150/$I$213)</f>
        <v>6.1612220619660651E-3</v>
      </c>
      <c r="K150" s="458"/>
      <c r="L150" s="176">
        <v>192.0408597573952</v>
      </c>
      <c r="M150" s="176">
        <v>192.0408597573952</v>
      </c>
      <c r="O150" s="329">
        <f t="shared" si="43"/>
        <v>1.634797839731426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'[49]Sch C'!D147</f>
        <v>2893</v>
      </c>
      <c r="D151" s="480">
        <f>'[49]Sch C'!F147</f>
        <v>0</v>
      </c>
      <c r="E151" s="480">
        <f>+'[49]Sch C'!H147</f>
        <v>0</v>
      </c>
      <c r="F151" s="166">
        <f t="shared" si="50"/>
        <v>2893</v>
      </c>
      <c r="G151" s="626"/>
      <c r="H151" s="166"/>
      <c r="I151" s="166">
        <f t="shared" si="51"/>
        <v>2893</v>
      </c>
      <c r="J151" s="167">
        <f t="shared" si="52"/>
        <v>5.3048855432344724E-4</v>
      </c>
      <c r="K151" s="458"/>
      <c r="L151" s="176">
        <v>83</v>
      </c>
      <c r="M151" s="176">
        <v>83</v>
      </c>
      <c r="O151" s="329">
        <f t="shared" si="43"/>
        <v>0.14075804018878021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'[49]Sch C'!D148</f>
        <v>0</v>
      </c>
      <c r="D152" s="480">
        <f>'[49]Sch C'!F148</f>
        <v>0</v>
      </c>
      <c r="E152" s="480">
        <f>+'[49]Sch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'[49]Sch C'!D149</f>
        <v>250320</v>
      </c>
      <c r="D153" s="480">
        <f>'[49]Sch C'!F149</f>
        <v>0</v>
      </c>
      <c r="E153" s="480">
        <f>+'[49]Sch C'!H149</f>
        <v>0</v>
      </c>
      <c r="F153" s="166">
        <f t="shared" si="50"/>
        <v>250320</v>
      </c>
      <c r="G153" s="626"/>
      <c r="H153" s="166"/>
      <c r="I153" s="166">
        <f t="shared" si="51"/>
        <v>250320</v>
      </c>
      <c r="J153" s="167">
        <f t="shared" si="52"/>
        <v>4.5901104361647183E-2</v>
      </c>
      <c r="K153" s="458"/>
      <c r="L153" s="176">
        <v>8525</v>
      </c>
      <c r="M153" s="176">
        <v>8525</v>
      </c>
      <c r="O153" s="329">
        <f t="shared" si="43"/>
        <v>12.179243905999124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'[49]Sch C'!D150</f>
        <v>3167</v>
      </c>
      <c r="D154" s="480">
        <f>'[49]Sch C'!F150</f>
        <v>0</v>
      </c>
      <c r="E154" s="480">
        <f>+'[49]Sch C'!H150</f>
        <v>0</v>
      </c>
      <c r="F154" s="166">
        <f t="shared" si="50"/>
        <v>3167</v>
      </c>
      <c r="G154" s="626"/>
      <c r="H154" s="166"/>
      <c r="I154" s="166">
        <f t="shared" si="51"/>
        <v>3167</v>
      </c>
      <c r="J154" s="167">
        <f t="shared" si="52"/>
        <v>5.8073185328114661E-4</v>
      </c>
      <c r="K154" s="458"/>
      <c r="L154" s="176">
        <v>0</v>
      </c>
      <c r="M154" s="176">
        <v>0</v>
      </c>
      <c r="O154" s="329">
        <f t="shared" si="43"/>
        <v>0.15408942733420911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'[49]Sch C'!D151</f>
        <v>93808</v>
      </c>
      <c r="D155" s="480">
        <f>'[49]Sch C'!F151</f>
        <v>0</v>
      </c>
      <c r="E155" s="480">
        <f>+'[49]Sch C'!H151</f>
        <v>0</v>
      </c>
      <c r="F155" s="166">
        <f t="shared" si="50"/>
        <v>93808</v>
      </c>
      <c r="G155" s="626"/>
      <c r="H155" s="166"/>
      <c r="I155" s="166">
        <f t="shared" si="51"/>
        <v>93808</v>
      </c>
      <c r="J155" s="167">
        <f t="shared" si="52"/>
        <v>1.7201545213955734E-2</v>
      </c>
      <c r="K155" s="458"/>
      <c r="L155" s="163"/>
      <c r="M155" s="163"/>
      <c r="O155" s="329">
        <f t="shared" si="43"/>
        <v>4.5641998734977864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'[49]Sch C'!D152</f>
        <v>2786</v>
      </c>
      <c r="D156" s="480">
        <f>'[49]Sch C'!F152</f>
        <v>0</v>
      </c>
      <c r="E156" s="480">
        <f>+'[49]Sch C'!H152</f>
        <v>0</v>
      </c>
      <c r="F156" s="166">
        <f t="shared" si="50"/>
        <v>2786</v>
      </c>
      <c r="G156" s="626"/>
      <c r="H156" s="166"/>
      <c r="I156" s="166">
        <f t="shared" si="51"/>
        <v>2786</v>
      </c>
      <c r="J156" s="167">
        <f t="shared" si="52"/>
        <v>5.1086799597135284E-4</v>
      </c>
      <c r="K156" s="458"/>
      <c r="L156" s="163"/>
      <c r="M156" s="163"/>
      <c r="O156" s="329">
        <f t="shared" si="43"/>
        <v>0.1355519875443974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'[49]Sch C'!D153</f>
        <v>0</v>
      </c>
      <c r="D157" s="480">
        <f>'[49]Sch C'!F153</f>
        <v>0</v>
      </c>
      <c r="E157" s="480">
        <f>+'[49]Sch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'[49]Sch C'!D154</f>
        <v>0</v>
      </c>
      <c r="D158" s="480">
        <f>'[49]Sch C'!F154</f>
        <v>0</v>
      </c>
      <c r="E158" s="480">
        <f>+'[49]Sch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'[49]Sch C'!D156</f>
        <v>0</v>
      </c>
      <c r="D160" s="480">
        <f>'[49]Sch C'!F156</f>
        <v>0</v>
      </c>
      <c r="E160" s="480">
        <f>+'[49]Sch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'[49]Sch C'!D157</f>
        <v>0</v>
      </c>
      <c r="D161" s="480">
        <f>'[49]Sch C'!F157</f>
        <v>0</v>
      </c>
      <c r="E161" s="480">
        <f>+'[49]Sch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'[49]Sch C'!D158</f>
        <v>75</v>
      </c>
      <c r="D162" s="480">
        <f>'[49]Sch C'!F158</f>
        <v>0</v>
      </c>
      <c r="E162" s="480">
        <f>+'[49]Sch C'!H158</f>
        <v>0</v>
      </c>
      <c r="F162" s="166">
        <f t="shared" si="53"/>
        <v>75</v>
      </c>
      <c r="G162" s="626"/>
      <c r="H162" s="166"/>
      <c r="I162" s="166">
        <f t="shared" si="54"/>
        <v>75</v>
      </c>
      <c r="J162" s="167">
        <f t="shared" si="55"/>
        <v>1.3752727816888537E-5</v>
      </c>
      <c r="K162" s="458"/>
      <c r="L162" s="163"/>
      <c r="M162" s="163"/>
      <c r="O162" s="329">
        <f t="shared" si="43"/>
        <v>3.649102320829076E-3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'[49]Sch C'!D159</f>
        <v>0</v>
      </c>
      <c r="D163" s="480">
        <f>'[49]Sch C'!F159</f>
        <v>0</v>
      </c>
      <c r="E163" s="480">
        <f>+'[49]Sch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'[49]Sch C'!D160</f>
        <v>0</v>
      </c>
      <c r="D164" s="480">
        <f>'[49]Sch C'!F160</f>
        <v>0</v>
      </c>
      <c r="E164" s="480">
        <f>+'[49]Sch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'[49]Sch C'!D161</f>
        <v>9772</v>
      </c>
      <c r="D165" s="480">
        <f>'[49]Sch C'!F161</f>
        <v>0</v>
      </c>
      <c r="E165" s="480">
        <f>+'[49]Sch C'!H161</f>
        <v>0</v>
      </c>
      <c r="F165" s="166">
        <f t="shared" si="53"/>
        <v>9772</v>
      </c>
      <c r="G165" s="626"/>
      <c r="H165" s="166"/>
      <c r="I165" s="166">
        <f t="shared" si="54"/>
        <v>9772</v>
      </c>
      <c r="J165" s="167">
        <f t="shared" si="55"/>
        <v>1.7918887496884638E-3</v>
      </c>
      <c r="K165" s="458"/>
      <c r="L165" s="163"/>
      <c r="M165" s="163"/>
      <c r="O165" s="329">
        <f t="shared" si="43"/>
        <v>0.47545370505522311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2148057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2148057</v>
      </c>
      <c r="G166" s="166">
        <f t="shared" si="57"/>
        <v>0</v>
      </c>
      <c r="H166" s="166">
        <f t="shared" si="57"/>
        <v>0</v>
      </c>
      <c r="I166" s="166">
        <f t="shared" si="57"/>
        <v>2148057</v>
      </c>
      <c r="J166" s="167">
        <f t="shared" si="55"/>
        <v>0.39388857674882854</v>
      </c>
      <c r="K166" s="458"/>
      <c r="L166" s="163"/>
      <c r="M166" s="163"/>
      <c r="O166" s="329">
        <f>I166/I$233</f>
        <v>104.51306378630856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'[49]Sch C'!D175</f>
        <v>0</v>
      </c>
      <c r="D169" s="480">
        <f>'[49]Sch C'!F175</f>
        <v>0</v>
      </c>
      <c r="E169" s="480">
        <f>+'[49]Sch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'[49]Sch C'!D176</f>
        <v>0</v>
      </c>
      <c r="D170" s="480">
        <f>'[49]Sch C'!F176</f>
        <v>0</v>
      </c>
      <c r="E170" s="480">
        <f>+'[49]Sch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'[49]Sch C'!D177</f>
        <v>0</v>
      </c>
      <c r="D171" s="480">
        <f>'[49]Sch C'!F177</f>
        <v>0</v>
      </c>
      <c r="E171" s="480">
        <f>+'[49]Sch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'[49]Sch C'!D178</f>
        <v>0</v>
      </c>
      <c r="D172" s="480">
        <f>'[49]Sch C'!F178</f>
        <v>0</v>
      </c>
      <c r="E172" s="480">
        <f>+'[49]Sch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'[49]Sch C'!D179</f>
        <v>0</v>
      </c>
      <c r="D173" s="480">
        <f>'[49]Sch C'!F179</f>
        <v>0</v>
      </c>
      <c r="E173" s="480">
        <f>+'[49]Sch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'[49]Sch C'!D180</f>
        <v>0</v>
      </c>
      <c r="D174" s="480">
        <f>'[49]Sch C'!F180</f>
        <v>0</v>
      </c>
      <c r="E174" s="480">
        <f>+'[49]Sch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'[49]Sch C'!D181</f>
        <v>0</v>
      </c>
      <c r="D175" s="480">
        <f>'[49]Sch C'!F181</f>
        <v>0</v>
      </c>
      <c r="E175" s="480">
        <f>+'[49]Sch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'[49]Sch C'!D182</f>
        <v>0</v>
      </c>
      <c r="D176" s="480">
        <f>'[49]Sch C'!F182</f>
        <v>0</v>
      </c>
      <c r="E176" s="480">
        <f>+'[49]Sch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'[49]Sch C'!D183</f>
        <v>0</v>
      </c>
      <c r="D177" s="480">
        <f>'[49]Sch C'!F183</f>
        <v>0</v>
      </c>
      <c r="E177" s="480">
        <f>+'[49]Sch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'[49]Sch C'!D184</f>
        <v>0</v>
      </c>
      <c r="D178" s="480">
        <f>'[49]Sch C'!F184</f>
        <v>0</v>
      </c>
      <c r="E178" s="480">
        <f>+'[49]Sch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'[49]Sch C'!D185</f>
        <v>0</v>
      </c>
      <c r="D179" s="480">
        <f>'[49]Sch C'!F185</f>
        <v>0</v>
      </c>
      <c r="E179" s="480">
        <f>+'[49]Sch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'[49]Sch C'!D186</f>
        <v>0</v>
      </c>
      <c r="D180" s="480">
        <f>'[49]Sch C'!F186</f>
        <v>0</v>
      </c>
      <c r="E180" s="480">
        <f>+'[49]Sch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'[49]Sch C'!D187</f>
        <v>0</v>
      </c>
      <c r="D181" s="480">
        <f>'[49]Sch C'!F187</f>
        <v>0</v>
      </c>
      <c r="E181" s="480">
        <f>+'[49]Sch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'[49]Sch C'!D188</f>
        <v>0</v>
      </c>
      <c r="D182" s="480">
        <f>'[49]Sch C'!F188</f>
        <v>0</v>
      </c>
      <c r="E182" s="480">
        <f>+'[49]Sch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'[49]Sch C'!D189</f>
        <v>0</v>
      </c>
      <c r="D183" s="480">
        <f>'[49]Sch C'!F189</f>
        <v>0</v>
      </c>
      <c r="E183" s="480">
        <f>+'[49]Sch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'[49]Sch C'!D190</f>
        <v>0</v>
      </c>
      <c r="D184" s="480">
        <f>'[49]Sch C'!F190</f>
        <v>0</v>
      </c>
      <c r="E184" s="480">
        <f>+'[49]Sch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'[49]Sch C'!D191</f>
        <v>0</v>
      </c>
      <c r="D185" s="480">
        <f>'[49]Sch C'!F191</f>
        <v>0</v>
      </c>
      <c r="E185" s="480">
        <f>+'[49]Sch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'[49]Sch C'!D192</f>
        <v>0</v>
      </c>
      <c r="D186" s="480">
        <f>'[49]Sch C'!F192</f>
        <v>0</v>
      </c>
      <c r="E186" s="480">
        <f>+'[49]Sch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'[49]Sch C'!D193</f>
        <v>930</v>
      </c>
      <c r="D187" s="480">
        <f>'[49]Sch C'!F193</f>
        <v>0</v>
      </c>
      <c r="E187" s="480">
        <f>+'[49]Sch C'!H193</f>
        <v>0</v>
      </c>
      <c r="F187" s="166">
        <f t="shared" si="58"/>
        <v>930</v>
      </c>
      <c r="G187" s="626"/>
      <c r="H187" s="166"/>
      <c r="I187" s="166">
        <f t="shared" si="59"/>
        <v>930</v>
      </c>
      <c r="J187" s="167">
        <f t="shared" si="60"/>
        <v>1.7053382492941785E-4</v>
      </c>
      <c r="K187" s="458"/>
      <c r="L187" s="213"/>
      <c r="M187" s="208"/>
      <c r="N187" s="210"/>
      <c r="O187" s="329">
        <f t="shared" si="61"/>
        <v>4.5248868778280542E-2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'[49]Sch C'!D194</f>
        <v>204234</v>
      </c>
      <c r="D188" s="480">
        <f>'[49]Sch C'!F194</f>
        <v>0</v>
      </c>
      <c r="E188" s="480">
        <f>+'[49]Sch C'!H194</f>
        <v>3574</v>
      </c>
      <c r="F188" s="166">
        <f t="shared" si="58"/>
        <v>207808</v>
      </c>
      <c r="G188" s="626"/>
      <c r="H188" s="166"/>
      <c r="I188" s="166">
        <f t="shared" si="59"/>
        <v>207808</v>
      </c>
      <c r="J188" s="167">
        <f t="shared" si="60"/>
        <v>3.8105691495626308E-2</v>
      </c>
      <c r="K188" s="458"/>
      <c r="L188" s="213"/>
      <c r="M188" s="208"/>
      <c r="O188" s="329">
        <f t="shared" si="61"/>
        <v>10.110835401157981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'[49]Sch C'!D195</f>
        <v>89900</v>
      </c>
      <c r="D189" s="480">
        <f>'[49]Sch C'!F195</f>
        <v>0</v>
      </c>
      <c r="E189" s="480">
        <f>+'[49]Sch C'!H195</f>
        <v>1573</v>
      </c>
      <c r="F189" s="166">
        <f t="shared" si="58"/>
        <v>91473</v>
      </c>
      <c r="G189" s="626"/>
      <c r="H189" s="166"/>
      <c r="I189" s="166">
        <f t="shared" si="59"/>
        <v>91473</v>
      </c>
      <c r="J189" s="167">
        <f t="shared" si="60"/>
        <v>1.6773376954589934E-2</v>
      </c>
      <c r="K189" s="458"/>
      <c r="L189" s="213"/>
      <c r="M189" s="208"/>
      <c r="O189" s="329">
        <f t="shared" si="61"/>
        <v>4.4505911545759744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'[49]Sch C'!D196</f>
        <v>0</v>
      </c>
      <c r="D190" s="480">
        <f>'[49]Sch C'!F196</f>
        <v>0</v>
      </c>
      <c r="E190" s="480">
        <f>+'[49]Sch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'[49]Sch C'!D197</f>
        <v>217045</v>
      </c>
      <c r="D191" s="480">
        <f>'[49]Sch C'!F197</f>
        <v>0</v>
      </c>
      <c r="E191" s="480">
        <f>+'[49]Sch C'!H197</f>
        <v>3798</v>
      </c>
      <c r="F191" s="166">
        <f t="shared" si="58"/>
        <v>220843</v>
      </c>
      <c r="G191" s="626"/>
      <c r="H191" s="166"/>
      <c r="I191" s="166">
        <f t="shared" si="59"/>
        <v>220843</v>
      </c>
      <c r="J191" s="167">
        <f t="shared" si="60"/>
        <v>4.0495915590201541E-2</v>
      </c>
      <c r="K191" s="458"/>
      <c r="L191" s="213"/>
      <c r="M191" s="208"/>
      <c r="O191" s="329">
        <f t="shared" si="61"/>
        <v>10.745049384518076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'[49]Sch C'!D198</f>
        <v>30063</v>
      </c>
      <c r="D192" s="480">
        <f>'[49]Sch C'!F198</f>
        <v>0</v>
      </c>
      <c r="E192" s="480">
        <f>+'[49]Sch C'!H198</f>
        <v>0</v>
      </c>
      <c r="F192" s="166">
        <f t="shared" si="58"/>
        <v>30063</v>
      </c>
      <c r="G192" s="626"/>
      <c r="H192" s="166"/>
      <c r="I192" s="166">
        <f t="shared" si="59"/>
        <v>30063</v>
      </c>
      <c r="J192" s="167">
        <f t="shared" si="60"/>
        <v>5.5126434181216018E-3</v>
      </c>
      <c r="K192" s="458"/>
      <c r="L192" s="213"/>
      <c r="M192" s="208"/>
      <c r="O192" s="329">
        <f t="shared" si="61"/>
        <v>1.4627061742811269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'[49]Sch C'!D199</f>
        <v>0</v>
      </c>
      <c r="D193" s="480">
        <f>'[49]Sch C'!F199</f>
        <v>0</v>
      </c>
      <c r="E193" s="480">
        <f>+'[49]Sch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'[49]Sch C'!D200</f>
        <v>0</v>
      </c>
      <c r="D194" s="480">
        <f>'[49]Sch C'!F200</f>
        <v>0</v>
      </c>
      <c r="E194" s="480">
        <f>+'[49]Sch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'[49]Sch C'!D201</f>
        <v>0</v>
      </c>
      <c r="D195" s="480">
        <f>'[49]Sch C'!F201</f>
        <v>0</v>
      </c>
      <c r="E195" s="480">
        <f>+'[49]Sch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'[49]Sch C'!D202</f>
        <v>0</v>
      </c>
      <c r="D196" s="480">
        <f>'[49]Sch C'!F202</f>
        <v>0</v>
      </c>
      <c r="E196" s="480">
        <f>+'[49]Sch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'[49]Sch C'!D203</f>
        <v>0</v>
      </c>
      <c r="D197" s="480">
        <f>'[49]Sch C'!F203</f>
        <v>0</v>
      </c>
      <c r="E197" s="480">
        <f>+'[49]Sch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'[49]Sch C'!D204</f>
        <v>0</v>
      </c>
      <c r="D198" s="480">
        <f>'[49]Sch C'!F204</f>
        <v>0</v>
      </c>
      <c r="E198" s="480">
        <f>+'[49]Sch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'[49]Sch C'!D205</f>
        <v>133471</v>
      </c>
      <c r="D199" s="480">
        <f>'[49]Sch C'!F205</f>
        <v>0</v>
      </c>
      <c r="E199" s="480">
        <f>+'[49]Sch C'!H205</f>
        <v>0</v>
      </c>
      <c r="F199" s="166">
        <f t="shared" si="58"/>
        <v>133471</v>
      </c>
      <c r="G199" s="626"/>
      <c r="H199" s="166"/>
      <c r="I199" s="166">
        <f t="shared" si="59"/>
        <v>133471</v>
      </c>
      <c r="J199" s="167">
        <f t="shared" si="60"/>
        <v>2.4474537792639067E-2</v>
      </c>
      <c r="K199" s="458"/>
      <c r="L199" s="213"/>
      <c r="M199" s="208"/>
      <c r="O199" s="329">
        <f t="shared" si="61"/>
        <v>6.4939911448450349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'[49]Sch C'!D206</f>
        <v>2492</v>
      </c>
      <c r="D200" s="480">
        <f>'[49]Sch C'!F206</f>
        <v>0</v>
      </c>
      <c r="E200" s="480">
        <f>+'[49]Sch C'!H206</f>
        <v>0</v>
      </c>
      <c r="F200" s="166">
        <f t="shared" si="58"/>
        <v>2492</v>
      </c>
      <c r="G200" s="626"/>
      <c r="H200" s="166"/>
      <c r="I200" s="166">
        <f t="shared" si="59"/>
        <v>2492</v>
      </c>
      <c r="J200" s="167">
        <f t="shared" si="60"/>
        <v>4.5695730292914983E-4</v>
      </c>
      <c r="K200" s="458"/>
      <c r="L200" s="213"/>
      <c r="M200" s="208"/>
      <c r="O200" s="329">
        <f t="shared" si="61"/>
        <v>0.12124750644674744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'[49]Sch C'!D207</f>
        <v>1619</v>
      </c>
      <c r="D201" s="480">
        <f>'[49]Sch C'!F207</f>
        <v>0</v>
      </c>
      <c r="E201" s="480">
        <f>+'[49]Sch C'!H207</f>
        <v>0</v>
      </c>
      <c r="F201" s="166">
        <f t="shared" si="58"/>
        <v>1619</v>
      </c>
      <c r="G201" s="626"/>
      <c r="H201" s="166"/>
      <c r="I201" s="166">
        <f t="shared" si="59"/>
        <v>1619</v>
      </c>
      <c r="J201" s="167">
        <f t="shared" si="60"/>
        <v>2.9687555114056726E-4</v>
      </c>
      <c r="K201" s="458"/>
      <c r="L201" s="213"/>
      <c r="M201" s="208"/>
      <c r="O201" s="329">
        <f t="shared" si="61"/>
        <v>7.8771955432296994E-2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679754</v>
      </c>
      <c r="D202" s="480">
        <f t="shared" si="62"/>
        <v>0</v>
      </c>
      <c r="E202" s="480">
        <f t="shared" si="62"/>
        <v>8945</v>
      </c>
      <c r="F202" s="166">
        <f t="shared" ref="F202:I202" si="63">SUM(F169:F201)</f>
        <v>688699</v>
      </c>
      <c r="G202" s="166">
        <f t="shared" si="63"/>
        <v>0</v>
      </c>
      <c r="H202" s="166">
        <f t="shared" si="63"/>
        <v>0</v>
      </c>
      <c r="I202" s="166">
        <f t="shared" si="63"/>
        <v>688699</v>
      </c>
      <c r="J202" s="167">
        <f>IF($I$213=0,0,I202/$I$213)</f>
        <v>0.12628653193017758</v>
      </c>
      <c r="K202" s="458"/>
      <c r="L202" s="163"/>
      <c r="M202" s="163"/>
      <c r="O202" s="329">
        <f>I202/I$233</f>
        <v>33.508441590035517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'[49]Sch C'!D211</f>
        <v>99833</v>
      </c>
      <c r="D205" s="480">
        <f>'[49]Sch C'!F211</f>
        <v>0</v>
      </c>
      <c r="E205" s="480">
        <f>+'[49]Sch C'!H211</f>
        <v>0</v>
      </c>
      <c r="F205" s="166">
        <f t="shared" ref="F205:F210" si="64">C205+D205+E205</f>
        <v>99833</v>
      </c>
      <c r="G205" s="626"/>
      <c r="H205" s="166"/>
      <c r="I205" s="166">
        <f t="shared" ref="I205:I210" si="65">F205+G205+H205</f>
        <v>99833</v>
      </c>
      <c r="J205" s="167">
        <f t="shared" ref="J205:J211" si="66">IF($I$213=0,0,I205/$I$213)</f>
        <v>1.8306347681912444E-2</v>
      </c>
      <c r="K205" s="458"/>
      <c r="L205" s="176">
        <v>5702</v>
      </c>
      <c r="M205" s="176">
        <v>6024</v>
      </c>
      <c r="O205" s="329">
        <f t="shared" ref="O205:O210" si="67">I205/I$233</f>
        <v>4.8573444266043886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'[49]Sch C'!D212</f>
        <v>23305</v>
      </c>
      <c r="D206" s="480">
        <f>'[49]Sch C'!F212</f>
        <v>0</v>
      </c>
      <c r="E206" s="480">
        <f>+'[49]Sch C'!H212</f>
        <v>0</v>
      </c>
      <c r="F206" s="166">
        <f t="shared" si="64"/>
        <v>23305</v>
      </c>
      <c r="G206" s="626"/>
      <c r="H206" s="166"/>
      <c r="I206" s="166">
        <f t="shared" si="65"/>
        <v>23305</v>
      </c>
      <c r="J206" s="167">
        <f t="shared" si="66"/>
        <v>4.2734309569678313E-3</v>
      </c>
      <c r="K206" s="458"/>
      <c r="L206" s="163"/>
      <c r="M206" s="163"/>
      <c r="O206" s="329">
        <f t="shared" si="67"/>
        <v>1.1338977278256215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'[49]Sch C'!D213</f>
        <v>4966</v>
      </c>
      <c r="D207" s="480">
        <f>'[49]Sch C'!F213</f>
        <v>0</v>
      </c>
      <c r="E207" s="480">
        <f>+'[49]Sch C'!H213</f>
        <v>0</v>
      </c>
      <c r="F207" s="166">
        <f t="shared" si="64"/>
        <v>4966</v>
      </c>
      <c r="G207" s="626"/>
      <c r="H207" s="166"/>
      <c r="I207" s="166">
        <f t="shared" si="65"/>
        <v>4966</v>
      </c>
      <c r="J207" s="167">
        <f t="shared" si="66"/>
        <v>9.1061395118224636E-4</v>
      </c>
      <c r="K207" s="458"/>
      <c r="L207" s="163"/>
      <c r="M207" s="163"/>
      <c r="O207" s="329">
        <f t="shared" si="67"/>
        <v>0.24161922833649588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'[49]Sch C'!D214</f>
        <v>0</v>
      </c>
      <c r="D208" s="480">
        <f>'[49]Sch C'!F214</f>
        <v>0</v>
      </c>
      <c r="E208" s="480">
        <f>+'[49]Sch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'[49]Sch C'!D215</f>
        <v>0</v>
      </c>
      <c r="D209" s="480">
        <f>'[49]Sch C'!F215</f>
        <v>0</v>
      </c>
      <c r="E209" s="480">
        <f>+'[49]Sch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'[49]Sch C'!D216</f>
        <v>2845</v>
      </c>
      <c r="D210" s="480">
        <f>'[49]Sch C'!F216</f>
        <v>0</v>
      </c>
      <c r="E210" s="480">
        <f>+'[49]Sch C'!H216</f>
        <v>0</v>
      </c>
      <c r="F210" s="166">
        <f t="shared" si="64"/>
        <v>2845</v>
      </c>
      <c r="G210" s="626"/>
      <c r="H210" s="166"/>
      <c r="I210" s="166">
        <f t="shared" si="65"/>
        <v>2845</v>
      </c>
      <c r="J210" s="167">
        <f t="shared" si="66"/>
        <v>5.2168680852063851E-4</v>
      </c>
      <c r="K210" s="458"/>
      <c r="L210" s="163"/>
      <c r="M210" s="163"/>
      <c r="O210" s="329">
        <f t="shared" si="67"/>
        <v>0.13842261470344963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130949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130949</v>
      </c>
      <c r="G211" s="166">
        <f t="shared" si="69"/>
        <v>0</v>
      </c>
      <c r="H211" s="166">
        <f t="shared" si="69"/>
        <v>0</v>
      </c>
      <c r="I211" s="166">
        <f t="shared" si="69"/>
        <v>130949</v>
      </c>
      <c r="J211" s="167">
        <f t="shared" si="66"/>
        <v>2.4012079398583162E-2</v>
      </c>
      <c r="K211" s="458"/>
      <c r="L211" s="163"/>
      <c r="M211" s="163"/>
      <c r="O211" s="329">
        <f>I211/I$233</f>
        <v>6.3712839974699556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5625840</v>
      </c>
      <c r="D213" s="480">
        <f t="shared" si="70"/>
        <v>-172023</v>
      </c>
      <c r="E213" s="480">
        <f t="shared" si="70"/>
        <v>2601</v>
      </c>
      <c r="F213" s="166">
        <f t="shared" ref="F213:I213" si="71">SUM(F30:F211)/2</f>
        <v>5456418</v>
      </c>
      <c r="G213" s="166">
        <f t="shared" si="71"/>
        <v>-2954.44</v>
      </c>
      <c r="H213" s="166">
        <f t="shared" si="71"/>
        <v>0</v>
      </c>
      <c r="I213" s="166">
        <f t="shared" si="71"/>
        <v>5453463.5600000005</v>
      </c>
      <c r="J213" s="167">
        <f>IF($I$213=0,0,I213/$I$213)</f>
        <v>1</v>
      </c>
      <c r="K213" s="458"/>
      <c r="L213" s="176">
        <f>SUM(L30:L205)</f>
        <v>91181.040859757399</v>
      </c>
      <c r="M213" s="176">
        <f>SUM(M30:M205)</f>
        <v>96151.040859757399</v>
      </c>
      <c r="O213" s="329">
        <f>I213/I$233</f>
        <v>265.33662044470395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'[49]Sch C'!D221</f>
        <v>5625840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-313879</v>
      </c>
      <c r="D220" s="480">
        <f t="shared" si="72"/>
        <v>158938</v>
      </c>
      <c r="E220" s="480">
        <f t="shared" si="72"/>
        <v>-2601</v>
      </c>
      <c r="F220" s="166">
        <f t="shared" ref="F220:I220" si="73">F26-F213</f>
        <v>-157542</v>
      </c>
      <c r="G220" s="166">
        <f t="shared" si="73"/>
        <v>2954.44</v>
      </c>
      <c r="H220" s="166">
        <f t="shared" si="73"/>
        <v>0</v>
      </c>
      <c r="I220" s="166">
        <f t="shared" si="73"/>
        <v>-154587.56000000052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'[49]Sch D'!C9</f>
        <v>11235</v>
      </c>
      <c r="D224" s="480"/>
      <c r="E224" s="480"/>
      <c r="F224" s="224">
        <f>C224+D224+E224</f>
        <v>11235</v>
      </c>
      <c r="G224" s="627"/>
      <c r="H224" s="223"/>
      <c r="I224" s="224">
        <f>F224+G224+H224</f>
        <v>11235</v>
      </c>
      <c r="J224" s="167">
        <f t="shared" ref="J224:J233" si="74">IF($I$233=0,0,I224/$I$233)</f>
        <v>0.54663552766019563</v>
      </c>
      <c r="K224" s="458"/>
      <c r="L224" s="163"/>
      <c r="M224" s="163"/>
    </row>
    <row r="225" spans="1:13">
      <c r="A225" s="158"/>
      <c r="B225" s="165" t="s">
        <v>201</v>
      </c>
      <c r="C225" s="504">
        <f>'[49]Sch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'[49]Sch D'!E9</f>
        <v>1808</v>
      </c>
      <c r="D226" s="480"/>
      <c r="E226" s="480"/>
      <c r="F226" s="224">
        <f t="shared" si="75"/>
        <v>1808</v>
      </c>
      <c r="G226" s="627"/>
      <c r="H226" s="223"/>
      <c r="I226" s="224">
        <f t="shared" si="76"/>
        <v>1808</v>
      </c>
      <c r="J226" s="167">
        <f t="shared" si="74"/>
        <v>8.7967693280786255E-2</v>
      </c>
      <c r="K226" s="458"/>
      <c r="L226" s="163"/>
      <c r="M226" s="163"/>
    </row>
    <row r="227" spans="1:13">
      <c r="A227" s="158"/>
      <c r="B227" s="194" t="s">
        <v>315</v>
      </c>
      <c r="C227" s="504">
        <f>'[49]Sch D'!F9</f>
        <v>2144</v>
      </c>
      <c r="D227" s="480"/>
      <c r="E227" s="480"/>
      <c r="F227" s="224">
        <f t="shared" si="75"/>
        <v>2144</v>
      </c>
      <c r="G227" s="627"/>
      <c r="H227" s="223"/>
      <c r="I227" s="224">
        <f t="shared" si="76"/>
        <v>2144</v>
      </c>
      <c r="J227" s="167">
        <f t="shared" si="74"/>
        <v>0.10431567167810052</v>
      </c>
      <c r="K227" s="458"/>
      <c r="L227" s="163"/>
      <c r="M227" s="163"/>
    </row>
    <row r="228" spans="1:13">
      <c r="A228" s="158"/>
      <c r="B228" s="165" t="s">
        <v>65</v>
      </c>
      <c r="C228" s="504">
        <f>'[49]Sch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'[49]Sch D'!H9</f>
        <v>3793</v>
      </c>
      <c r="D229" s="480"/>
      <c r="E229" s="480"/>
      <c r="F229" s="224">
        <f t="shared" si="75"/>
        <v>3793</v>
      </c>
      <c r="G229" s="627"/>
      <c r="H229" s="223"/>
      <c r="I229" s="224">
        <f t="shared" si="76"/>
        <v>3793</v>
      </c>
      <c r="J229" s="167">
        <f t="shared" si="74"/>
        <v>0.18454726803872915</v>
      </c>
      <c r="K229" s="458"/>
      <c r="L229" s="163"/>
      <c r="M229" s="163"/>
    </row>
    <row r="230" spans="1:13">
      <c r="A230" s="158"/>
      <c r="B230" s="165" t="s">
        <v>219</v>
      </c>
      <c r="C230" s="504">
        <f>'[49]Sch D'!I9</f>
        <v>1379</v>
      </c>
      <c r="D230" s="480"/>
      <c r="E230" s="480"/>
      <c r="F230" s="224">
        <f t="shared" si="75"/>
        <v>1379</v>
      </c>
      <c r="G230" s="627"/>
      <c r="H230" s="223"/>
      <c r="I230" s="224">
        <f t="shared" si="76"/>
        <v>1379</v>
      </c>
      <c r="J230" s="167">
        <f t="shared" si="74"/>
        <v>6.7094828005643939E-2</v>
      </c>
      <c r="K230" s="458"/>
      <c r="L230" s="163"/>
      <c r="M230" s="163"/>
    </row>
    <row r="231" spans="1:13">
      <c r="A231" s="158"/>
      <c r="B231" s="165" t="s">
        <v>218</v>
      </c>
      <c r="C231" s="504">
        <f>'[49]Sch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'[49]Sch D'!K9</f>
        <v>194</v>
      </c>
      <c r="D232" s="480"/>
      <c r="E232" s="480"/>
      <c r="F232" s="224">
        <f t="shared" si="75"/>
        <v>194</v>
      </c>
      <c r="G232" s="627"/>
      <c r="H232" s="223"/>
      <c r="I232" s="224">
        <f t="shared" si="76"/>
        <v>194</v>
      </c>
      <c r="J232" s="167">
        <f t="shared" si="74"/>
        <v>9.4390113365445429E-3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20553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20553</v>
      </c>
      <c r="G233" s="226">
        <f t="shared" si="78"/>
        <v>0</v>
      </c>
      <c r="H233" s="226">
        <f t="shared" si="78"/>
        <v>0</v>
      </c>
      <c r="I233" s="226">
        <f t="shared" si="78"/>
        <v>20553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'[49]Sch D'!N22</f>
        <v>102</v>
      </c>
      <c r="D236" s="480"/>
      <c r="E236" s="480"/>
      <c r="F236" s="224">
        <f>C236+E236</f>
        <v>102</v>
      </c>
      <c r="G236" s="627"/>
      <c r="H236" s="224"/>
      <c r="I236" s="224">
        <f>F236+G236+H236</f>
        <v>102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'[49]Sch D'!N24</f>
        <v>102</v>
      </c>
      <c r="D237" s="480"/>
      <c r="E237" s="480"/>
      <c r="F237" s="224">
        <f>C237+E237</f>
        <v>102</v>
      </c>
      <c r="G237" s="627"/>
      <c r="H237" s="224"/>
      <c r="I237" s="224">
        <f>F237+G237+H237</f>
        <v>102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'[49]Sch D'!N28</f>
        <v>37230</v>
      </c>
      <c r="D240" s="427"/>
      <c r="E240" s="427"/>
      <c r="F240" s="223">
        <f>F236*F238</f>
        <v>37230</v>
      </c>
      <c r="G240"/>
      <c r="H240" s="228"/>
      <c r="I240" s="223">
        <f>I236*I238</f>
        <v>37230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'[49]Sch D'!N30</f>
        <v>0.55205479452054795</v>
      </c>
      <c r="D241" s="228"/>
      <c r="E241" s="228"/>
      <c r="F241" s="232">
        <f>F233/F240</f>
        <v>0.55205479452054795</v>
      </c>
      <c r="G241"/>
      <c r="H241" s="233"/>
      <c r="I241" s="232">
        <f>I233/I240</f>
        <v>0.55205479452054795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'[49]Sch D'!N32</f>
        <v>0.30177276390008057</v>
      </c>
      <c r="D242" s="228"/>
      <c r="E242" s="228"/>
      <c r="F242" s="232">
        <f>(F224+F225)/F240</f>
        <v>0.30177276390008057</v>
      </c>
      <c r="G242"/>
      <c r="H242" s="233"/>
      <c r="I242" s="232">
        <f>(I224+I225)/I240</f>
        <v>0.30177276390008057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'[49]Sch D'!N34</f>
        <v>0.54663552766019552</v>
      </c>
      <c r="D243" s="228"/>
      <c r="E243" s="228"/>
      <c r="F243" s="232">
        <f>(F242/F241)</f>
        <v>0.54663552766019552</v>
      </c>
      <c r="G243"/>
      <c r="H243" s="233"/>
      <c r="I243" s="232">
        <f>(I242/I241)</f>
        <v>0.54663552766019552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'[49]Sch B'!C90</f>
        <v>233.35061262959474</v>
      </c>
      <c r="K246" s="460"/>
    </row>
    <row r="247" spans="1:13">
      <c r="H247" s="140" t="s">
        <v>322</v>
      </c>
      <c r="I247" s="480">
        <f>'[49]Sch B'!E90</f>
        <v>233.35</v>
      </c>
      <c r="K247" s="460"/>
    </row>
    <row r="248" spans="1:13">
      <c r="B248" s="411"/>
      <c r="H248" s="140" t="s">
        <v>323</v>
      </c>
      <c r="I248" s="480">
        <f>'[49]Sch B'!G90</f>
        <v>233.34981905910735</v>
      </c>
      <c r="K248" s="460"/>
    </row>
    <row r="249" spans="1:13">
      <c r="B249" s="411"/>
      <c r="H249" s="140" t="s">
        <v>324</v>
      </c>
      <c r="I249" s="480">
        <f>'[49]Sch B'!I90</f>
        <v>233.34869240348692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1">
    <tabColor rgb="FFE28CAB"/>
  </sheetPr>
  <dimension ref="A1:Q277"/>
  <sheetViews>
    <sheetView showGridLines="0" topLeftCell="B10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 t="s">
        <v>440</v>
      </c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441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'[50]Sch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'[50]Sch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259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'[50]Sch B'!E10</f>
        <v>2629978</v>
      </c>
      <c r="D12" s="480">
        <f>'[50]Sch B'!G10</f>
        <v>0</v>
      </c>
      <c r="E12" s="480"/>
      <c r="F12" s="166">
        <f>C12+D12+E12</f>
        <v>2629978</v>
      </c>
      <c r="G12" s="626"/>
      <c r="H12" s="626"/>
      <c r="I12" s="166">
        <f>F12+G12+H12</f>
        <v>2629978</v>
      </c>
      <c r="J12" s="167">
        <f>IF($I$26=0,0,I12/$I$26)</f>
        <v>0.36097043636984977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'[50]Sch B'!E12</f>
        <v>860574</v>
      </c>
      <c r="D13" s="480">
        <f>'[50]Sch B'!G12</f>
        <v>801027.28338327538</v>
      </c>
      <c r="E13" s="480"/>
      <c r="F13" s="166">
        <f t="shared" ref="F13:F25" si="0">C13+D13+E13</f>
        <v>1661601.2833832754</v>
      </c>
      <c r="G13" s="626">
        <v>122452</v>
      </c>
      <c r="H13" s="626"/>
      <c r="I13" s="166">
        <f t="shared" ref="I13:I25" si="1">F13+G13+H13</f>
        <v>1784053.2833832754</v>
      </c>
      <c r="J13" s="167">
        <f>IF($I$26=0,0,I13/$I$26)</f>
        <v>0.24486535332612067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'[50]Sch B'!E13</f>
        <v>40480</v>
      </c>
      <c r="D14" s="480">
        <f>'[50]Sch B'!G13</f>
        <v>0</v>
      </c>
      <c r="E14" s="480"/>
      <c r="F14" s="166">
        <f t="shared" si="0"/>
        <v>40480</v>
      </c>
      <c r="G14" s="626"/>
      <c r="H14" s="626"/>
      <c r="I14" s="166">
        <f t="shared" si="1"/>
        <v>40480</v>
      </c>
      <c r="J14" s="167">
        <f>IF($I$26=0,0,I14/$I$26)</f>
        <v>5.5559716713415542E-3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'[50]Sch B'!E14</f>
        <v>67712</v>
      </c>
      <c r="D15" s="480">
        <f>'[50]Sch B'!G14</f>
        <v>0</v>
      </c>
      <c r="E15" s="480"/>
      <c r="F15" s="166">
        <f t="shared" si="0"/>
        <v>67712</v>
      </c>
      <c r="G15" s="626"/>
      <c r="H15" s="626"/>
      <c r="I15" s="166">
        <f t="shared" si="1"/>
        <v>67712</v>
      </c>
      <c r="J15" s="167">
        <f>IF($I$26=0,0,I15/$I$26)</f>
        <v>9.2936253411531455E-3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'[50]Sch B'!E15</f>
        <v>3598744</v>
      </c>
      <c r="D16" s="480">
        <f>'[50]Sch B'!G15</f>
        <v>801027.28338327538</v>
      </c>
      <c r="E16" s="480"/>
      <c r="F16" s="166">
        <f t="shared" si="0"/>
        <v>4399771.2833832754</v>
      </c>
      <c r="G16" s="626"/>
      <c r="H16" s="626"/>
      <c r="I16" s="166">
        <f>SUM(I12:I15)</f>
        <v>4522223.2833832754</v>
      </c>
      <c r="J16" s="167">
        <f t="shared" ref="J16:J26" si="2">IF($I$26=0,0,I16/$I$26)</f>
        <v>0.62068538670846518</v>
      </c>
      <c r="K16" s="457"/>
      <c r="L16" s="333" t="s">
        <v>325</v>
      </c>
      <c r="M16" s="334">
        <f>I26</f>
        <v>7285854.2833832754</v>
      </c>
      <c r="O16" s="324">
        <f>IFERROR(I16/I224,0)</f>
        <v>311.64105047090311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'[50]Sch B'!E20</f>
        <v>0</v>
      </c>
      <c r="D17" s="480">
        <f>'[50]Sch B'!G20</f>
        <v>0</v>
      </c>
      <c r="E17" s="480"/>
      <c r="F17" s="166">
        <f t="shared" si="0"/>
        <v>0</v>
      </c>
      <c r="G17" s="626"/>
      <c r="H17" s="62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5709986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'[50]Sch B'!E26</f>
        <v>1103264</v>
      </c>
      <c r="D18" s="480">
        <f>'[50]Sch B'!G26</f>
        <v>0</v>
      </c>
      <c r="E18" s="480"/>
      <c r="F18" s="166">
        <f t="shared" si="0"/>
        <v>1103264</v>
      </c>
      <c r="G18" s="626"/>
      <c r="H18" s="626"/>
      <c r="I18" s="166">
        <f t="shared" si="1"/>
        <v>1103264</v>
      </c>
      <c r="J18" s="167">
        <f t="shared" si="2"/>
        <v>0.15142548246074528</v>
      </c>
      <c r="K18" s="458"/>
      <c r="L18" s="335" t="s">
        <v>327</v>
      </c>
      <c r="M18" s="336">
        <f>I233</f>
        <v>22172</v>
      </c>
      <c r="O18" s="324">
        <f t="shared" si="3"/>
        <v>650.12610489098404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'[50]Sch B'!E32</f>
        <v>695547.94154084392</v>
      </c>
      <c r="D19" s="480">
        <f>'[50]Sch B'!G32</f>
        <v>0</v>
      </c>
      <c r="E19" s="480"/>
      <c r="F19" s="166">
        <f t="shared" si="0"/>
        <v>695547.94154084392</v>
      </c>
      <c r="G19" s="626"/>
      <c r="H19" s="626"/>
      <c r="I19" s="166">
        <f t="shared" si="1"/>
        <v>695547.94154084392</v>
      </c>
      <c r="J19" s="170">
        <f t="shared" si="2"/>
        <v>9.546553012008055E-2</v>
      </c>
      <c r="K19" s="464"/>
      <c r="L19" s="335" t="s">
        <v>328</v>
      </c>
      <c r="M19" s="336">
        <f>I236</f>
        <v>120</v>
      </c>
      <c r="O19" s="324">
        <f t="shared" si="3"/>
        <v>398.59480890592778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'[50]Sch B'!E37</f>
        <v>0</v>
      </c>
      <c r="D20" s="480">
        <f>'[50]Sch B'!G37</f>
        <v>0</v>
      </c>
      <c r="E20" s="480"/>
      <c r="F20" s="166">
        <f t="shared" si="0"/>
        <v>0</v>
      </c>
      <c r="G20" s="626"/>
      <c r="H20" s="62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'[50]Sch B'!E42</f>
        <v>269581</v>
      </c>
      <c r="D21" s="480">
        <f>'[50]Sch B'!G42</f>
        <v>0</v>
      </c>
      <c r="E21" s="480"/>
      <c r="F21" s="166">
        <f t="shared" si="0"/>
        <v>269581</v>
      </c>
      <c r="G21" s="626"/>
      <c r="H21" s="626"/>
      <c r="I21" s="166">
        <f t="shared" si="1"/>
        <v>269581</v>
      </c>
      <c r="J21" s="167">
        <f t="shared" si="2"/>
        <v>3.7000602745353946E-2</v>
      </c>
      <c r="K21" s="457"/>
      <c r="L21" s="337"/>
      <c r="M21" s="336"/>
      <c r="O21" s="324">
        <f t="shared" si="3"/>
        <v>186.81981981981983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'[50]Sch B'!E47</f>
        <v>340579.87616099068</v>
      </c>
      <c r="D22" s="480">
        <f>'[50]Sch B'!G47</f>
        <v>0</v>
      </c>
      <c r="E22" s="480"/>
      <c r="F22" s="166">
        <f t="shared" si="0"/>
        <v>340579.87616099068</v>
      </c>
      <c r="G22" s="626"/>
      <c r="H22" s="626"/>
      <c r="I22" s="166">
        <f t="shared" si="1"/>
        <v>340579.87616099068</v>
      </c>
      <c r="J22" s="167">
        <f t="shared" si="2"/>
        <v>4.6745359283089899E-2</v>
      </c>
      <c r="K22" s="458"/>
      <c r="L22" s="335" t="s">
        <v>148</v>
      </c>
      <c r="M22" s="336">
        <f>L213</f>
        <v>142481</v>
      </c>
      <c r="O22" s="324">
        <f t="shared" si="3"/>
        <v>189.21104231166149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'[50]Sch B'!E52</f>
        <v>26111.123839009291</v>
      </c>
      <c r="D23" s="480">
        <f>'[50]Sch B'!G52</f>
        <v>0</v>
      </c>
      <c r="E23" s="480"/>
      <c r="F23" s="166">
        <f t="shared" si="0"/>
        <v>26111.123839009291</v>
      </c>
      <c r="G23" s="626"/>
      <c r="H23" s="626"/>
      <c r="I23" s="166">
        <f t="shared" si="1"/>
        <v>26111.123839009291</v>
      </c>
      <c r="J23" s="167">
        <f t="shared" si="2"/>
        <v>3.5838108783702262E-3</v>
      </c>
      <c r="K23" s="457"/>
      <c r="L23" s="338" t="s">
        <v>233</v>
      </c>
      <c r="M23" s="339">
        <f>M213</f>
        <v>150429</v>
      </c>
      <c r="O23" s="324">
        <f t="shared" si="3"/>
        <v>189.21104231166154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'[50]Sch B'!E57</f>
        <v>322057.05845915602</v>
      </c>
      <c r="D24" s="480">
        <f>'[50]Sch B'!G57</f>
        <v>0</v>
      </c>
      <c r="E24" s="480"/>
      <c r="F24" s="166">
        <f t="shared" si="0"/>
        <v>322057.05845915602</v>
      </c>
      <c r="G24" s="626"/>
      <c r="H24" s="626"/>
      <c r="I24" s="166">
        <f t="shared" si="1"/>
        <v>322057.05845915602</v>
      </c>
      <c r="J24" s="167">
        <f t="shared" si="2"/>
        <v>4.4203060606587491E-2</v>
      </c>
      <c r="K24" s="458"/>
      <c r="L24" s="163"/>
      <c r="M24" s="163"/>
      <c r="O24" s="324">
        <f t="shared" si="3"/>
        <v>384.31629887727451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'[50]Sch B'!E72</f>
        <v>6490</v>
      </c>
      <c r="D25" s="480">
        <f>'[50]Sch B'!G72</f>
        <v>0</v>
      </c>
      <c r="E25" s="480"/>
      <c r="F25" s="166">
        <f t="shared" si="0"/>
        <v>6490</v>
      </c>
      <c r="G25" s="626"/>
      <c r="H25" s="626"/>
      <c r="I25" s="166">
        <f t="shared" si="1"/>
        <v>6490</v>
      </c>
      <c r="J25" s="167">
        <f t="shared" si="2"/>
        <v>8.9076719730747753E-4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6362375</v>
      </c>
      <c r="D26" s="480">
        <f t="shared" ref="D26:F26" si="4">SUM(D16:D25)</f>
        <v>801027.28338327538</v>
      </c>
      <c r="E26" s="480">
        <f t="shared" si="4"/>
        <v>0</v>
      </c>
      <c r="F26" s="166">
        <f t="shared" si="4"/>
        <v>7163402.2833832754</v>
      </c>
      <c r="G26" s="166">
        <f>SUM(G12:G25)</f>
        <v>122452</v>
      </c>
      <c r="H26" s="166">
        <f>SUM(H12:H25)</f>
        <v>0</v>
      </c>
      <c r="I26" s="166">
        <f>SUM(I16:I25)</f>
        <v>7285854.2833832754</v>
      </c>
      <c r="J26" s="167">
        <f t="shared" si="2"/>
        <v>1</v>
      </c>
      <c r="K26" s="458"/>
      <c r="L26" s="163"/>
      <c r="M26" s="163"/>
      <c r="O26" s="324">
        <f>IFERROR(I26/I233,0)</f>
        <v>328.60609252134566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'[50]Sch C'!D10</f>
        <v>124808</v>
      </c>
      <c r="D30" s="480">
        <f>'[50]Sch C'!F10</f>
        <v>-12838</v>
      </c>
      <c r="E30" s="480">
        <f>+'[50]Sch C'!H10</f>
        <v>0</v>
      </c>
      <c r="F30" s="166">
        <f t="shared" ref="F30:F65" si="5">C30+D30+E30</f>
        <v>111970</v>
      </c>
      <c r="G30" s="626">
        <v>12838</v>
      </c>
      <c r="H30" s="626"/>
      <c r="I30" s="166">
        <f t="shared" ref="I30:I65" si="6">F30+G30+H30</f>
        <v>124808</v>
      </c>
      <c r="J30" s="167">
        <f>IF($I$213=0,0,I30/$I$213)</f>
        <v>2.1857846936927692E-2</v>
      </c>
      <c r="K30" s="458"/>
      <c r="L30" s="176">
        <v>2080</v>
      </c>
      <c r="M30" s="176">
        <v>2080</v>
      </c>
      <c r="O30" s="324">
        <f>I30/I$233</f>
        <v>5.6290817246978166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'[50]Sch C'!D11</f>
        <v>0</v>
      </c>
      <c r="D31" s="480">
        <f>'[50]Sch C'!F11</f>
        <v>0</v>
      </c>
      <c r="E31" s="480">
        <f>+'[50]Sch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'[50]Sch C'!D12</f>
        <v>136805</v>
      </c>
      <c r="D32" s="480">
        <f>'[50]Sch C'!F12</f>
        <v>0</v>
      </c>
      <c r="E32" s="480">
        <f>+'[50]Sch C'!H12</f>
        <v>0</v>
      </c>
      <c r="F32" s="166">
        <f t="shared" si="5"/>
        <v>136805</v>
      </c>
      <c r="G32" s="626"/>
      <c r="H32" s="626"/>
      <c r="I32" s="166">
        <f t="shared" si="6"/>
        <v>136805</v>
      </c>
      <c r="J32" s="167">
        <f t="shared" si="7"/>
        <v>2.3958902876469398E-2</v>
      </c>
      <c r="K32" s="458"/>
      <c r="L32" s="176">
        <v>7208</v>
      </c>
      <c r="M32" s="176">
        <v>7816</v>
      </c>
      <c r="O32" s="324">
        <f t="shared" si="8"/>
        <v>6.1701695832581631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'[50]Sch C'!D13</f>
        <v>193515</v>
      </c>
      <c r="D33" s="480">
        <f>'[50]Sch C'!F13</f>
        <v>-134694</v>
      </c>
      <c r="E33" s="480">
        <f>+'[50]Sch C'!H13</f>
        <v>0</v>
      </c>
      <c r="F33" s="166">
        <f t="shared" si="5"/>
        <v>58821</v>
      </c>
      <c r="G33" s="626"/>
      <c r="H33" s="626"/>
      <c r="I33" s="166">
        <f t="shared" si="6"/>
        <v>58821</v>
      </c>
      <c r="J33" s="167">
        <f t="shared" si="7"/>
        <v>1.0301426308225625E-2</v>
      </c>
      <c r="K33" s="458"/>
      <c r="L33" s="163"/>
      <c r="M33" s="163"/>
      <c r="O33" s="324">
        <f t="shared" si="8"/>
        <v>2.6529406458596427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'[50]Sch C'!D14</f>
        <v>0</v>
      </c>
      <c r="D34" s="480">
        <f>'[50]Sch C'!F14</f>
        <v>0</v>
      </c>
      <c r="E34" s="480">
        <f>+'[50]Sch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'[50]Sch C'!D15</f>
        <v>0</v>
      </c>
      <c r="D35" s="480">
        <f>'[50]Sch C'!F15</f>
        <v>0</v>
      </c>
      <c r="E35" s="480">
        <f>+'[50]Sch C'!H15</f>
        <v>0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'[50]Sch C'!D16</f>
        <v>318295</v>
      </c>
      <c r="D36" s="480">
        <f>'[50]Sch C'!F16</f>
        <v>0</v>
      </c>
      <c r="E36" s="480">
        <f>+'[50]Sch C'!H16</f>
        <v>-91386</v>
      </c>
      <c r="F36" s="166">
        <f t="shared" si="5"/>
        <v>226909</v>
      </c>
      <c r="G36" s="626"/>
      <c r="H36" s="626">
        <v>190492</v>
      </c>
      <c r="I36" s="166">
        <f t="shared" si="6"/>
        <v>417401</v>
      </c>
      <c r="J36" s="167">
        <f t="shared" si="7"/>
        <v>7.3100179229861506E-2</v>
      </c>
      <c r="K36" s="458" t="s">
        <v>374</v>
      </c>
      <c r="L36" s="163"/>
      <c r="M36" s="163"/>
      <c r="O36" s="324">
        <f t="shared" si="8"/>
        <v>18.825590835287752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'[50]Sch C'!D17</f>
        <v>0</v>
      </c>
      <c r="D37" s="480">
        <f>'[50]Sch C'!F17</f>
        <v>0</v>
      </c>
      <c r="E37" s="480">
        <f>+'[50]Sch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'[50]Sch C'!D18</f>
        <v>13933</v>
      </c>
      <c r="D38" s="480">
        <f>'[50]Sch C'!F18</f>
        <v>0</v>
      </c>
      <c r="E38" s="480">
        <f>+'[50]Sch C'!H18</f>
        <v>0</v>
      </c>
      <c r="F38" s="166">
        <f t="shared" si="5"/>
        <v>13933</v>
      </c>
      <c r="G38" s="626"/>
      <c r="H38" s="626"/>
      <c r="I38" s="166">
        <f t="shared" si="6"/>
        <v>13933</v>
      </c>
      <c r="J38" s="167">
        <f t="shared" si="7"/>
        <v>2.440111061568277E-3</v>
      </c>
      <c r="K38" s="458"/>
      <c r="L38" s="163"/>
      <c r="M38" s="163"/>
      <c r="O38" s="324">
        <f t="shared" si="8"/>
        <v>0.62840519574237774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'[50]Sch C'!D19</f>
        <v>21771</v>
      </c>
      <c r="D39" s="480">
        <f>'[50]Sch C'!F19</f>
        <v>-1983</v>
      </c>
      <c r="E39" s="480">
        <f>+'[50]Sch C'!H19</f>
        <v>0</v>
      </c>
      <c r="F39" s="166">
        <f t="shared" si="5"/>
        <v>19788</v>
      </c>
      <c r="G39" s="626"/>
      <c r="H39" s="626"/>
      <c r="I39" s="166">
        <f t="shared" si="6"/>
        <v>19788</v>
      </c>
      <c r="J39" s="167">
        <f t="shared" si="7"/>
        <v>3.4655076212095791E-3</v>
      </c>
      <c r="K39" s="458"/>
      <c r="L39" s="163"/>
      <c r="M39" s="163"/>
      <c r="O39" s="324">
        <f t="shared" si="8"/>
        <v>0.89247699801551506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'[50]Sch C'!D20</f>
        <v>16319</v>
      </c>
      <c r="D40" s="480">
        <f>'[50]Sch C'!F20</f>
        <v>4765</v>
      </c>
      <c r="E40" s="480">
        <f>+'[50]Sch C'!H20</f>
        <v>0</v>
      </c>
      <c r="F40" s="166">
        <f t="shared" si="5"/>
        <v>21084</v>
      </c>
      <c r="G40" s="626"/>
      <c r="H40" s="626"/>
      <c r="I40" s="166">
        <f t="shared" si="6"/>
        <v>21084</v>
      </c>
      <c r="J40" s="167">
        <f t="shared" si="7"/>
        <v>3.6924784053761254E-3</v>
      </c>
      <c r="K40" s="458"/>
      <c r="L40" s="163"/>
      <c r="M40" s="163"/>
      <c r="O40" s="324">
        <f t="shared" si="8"/>
        <v>0.95092909976546991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'[50]Sch C'!D21</f>
        <v>2213</v>
      </c>
      <c r="D41" s="480">
        <f>'[50]Sch C'!F21</f>
        <v>0</v>
      </c>
      <c r="E41" s="480">
        <f>+'[50]Sch C'!H21</f>
        <v>0</v>
      </c>
      <c r="F41" s="166">
        <f t="shared" si="5"/>
        <v>2213</v>
      </c>
      <c r="G41" s="626"/>
      <c r="H41" s="626"/>
      <c r="I41" s="166">
        <f t="shared" si="6"/>
        <v>2213</v>
      </c>
      <c r="J41" s="167">
        <f t="shared" si="7"/>
        <v>3.8756662450661E-4</v>
      </c>
      <c r="K41" s="458"/>
      <c r="L41" s="163"/>
      <c r="M41" s="163"/>
      <c r="O41" s="324">
        <f t="shared" si="8"/>
        <v>9.9810571892476996E-2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'[50]Sch C'!D22</f>
        <v>0</v>
      </c>
      <c r="D42" s="480">
        <f>'[50]Sch C'!F22</f>
        <v>0</v>
      </c>
      <c r="E42" s="480">
        <f>+'[50]Sch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'[50]Sch C'!D23</f>
        <v>13507</v>
      </c>
      <c r="D43" s="480">
        <f>'[50]Sch C'!F23</f>
        <v>0</v>
      </c>
      <c r="E43" s="480">
        <f>+'[50]Sch C'!H23</f>
        <v>0</v>
      </c>
      <c r="F43" s="166">
        <f t="shared" si="5"/>
        <v>13507</v>
      </c>
      <c r="G43" s="626"/>
      <c r="H43" s="626"/>
      <c r="I43" s="166">
        <f t="shared" si="6"/>
        <v>13507</v>
      </c>
      <c r="J43" s="167">
        <f t="shared" si="7"/>
        <v>2.3655049241801994E-3</v>
      </c>
      <c r="K43" s="458"/>
      <c r="L43" s="163"/>
      <c r="M43" s="163"/>
      <c r="O43" s="324">
        <f t="shared" si="8"/>
        <v>0.60919177340790187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'[50]Sch C'!D24</f>
        <v>67170</v>
      </c>
      <c r="D44" s="480">
        <f>'[50]Sch C'!F24</f>
        <v>0</v>
      </c>
      <c r="E44" s="480">
        <f>+'[50]Sch C'!H24</f>
        <v>-17001</v>
      </c>
      <c r="F44" s="166">
        <f t="shared" si="5"/>
        <v>50169</v>
      </c>
      <c r="G44" s="626"/>
      <c r="H44" s="626"/>
      <c r="I44" s="166">
        <f t="shared" si="6"/>
        <v>50169</v>
      </c>
      <c r="J44" s="167">
        <f t="shared" si="7"/>
        <v>8.7861861657804411E-3</v>
      </c>
      <c r="K44" s="458"/>
      <c r="L44" s="163"/>
      <c r="M44" s="163"/>
      <c r="O44" s="324">
        <f t="shared" si="8"/>
        <v>2.2627187443622585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'[50]Sch C'!D25</f>
        <v>0</v>
      </c>
      <c r="D45" s="480">
        <f>'[50]Sch C'!F25</f>
        <v>0</v>
      </c>
      <c r="E45" s="480">
        <f>+'[50]Sch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'[50]Sch C'!D26</f>
        <v>376330</v>
      </c>
      <c r="D46" s="480">
        <f>'[50]Sch C'!F26</f>
        <v>0</v>
      </c>
      <c r="E46" s="480">
        <f>+'[50]Sch C'!H26</f>
        <v>0</v>
      </c>
      <c r="F46" s="166">
        <f t="shared" si="5"/>
        <v>376330</v>
      </c>
      <c r="G46" s="626"/>
      <c r="H46" s="626"/>
      <c r="I46" s="166">
        <f t="shared" si="6"/>
        <v>376330</v>
      </c>
      <c r="J46" s="167">
        <f t="shared" si="7"/>
        <v>6.5907341979472456E-2</v>
      </c>
      <c r="K46" s="458"/>
      <c r="L46" s="163"/>
      <c r="M46" s="163"/>
      <c r="O46" s="324">
        <f t="shared" si="8"/>
        <v>16.973209453364603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'[50]Sch C'!D27</f>
        <v>0</v>
      </c>
      <c r="D47" s="480">
        <f>'[50]Sch C'!F27</f>
        <v>0</v>
      </c>
      <c r="E47" s="480">
        <f>+'[50]Sch C'!H27</f>
        <v>0</v>
      </c>
      <c r="F47" s="166">
        <f t="shared" si="5"/>
        <v>0</v>
      </c>
      <c r="G47" s="626"/>
      <c r="H47" s="62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'[50]Sch C'!D28</f>
        <v>0</v>
      </c>
      <c r="D48" s="480">
        <f>'[50]Sch C'!F28</f>
        <v>0</v>
      </c>
      <c r="E48" s="480">
        <f>+'[50]Sch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'[50]Sch C'!D29</f>
        <v>114966</v>
      </c>
      <c r="D49" s="480">
        <f>'[50]Sch C'!F29</f>
        <v>-114966</v>
      </c>
      <c r="E49" s="480">
        <f>+'[50]Sch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'[50]Sch C'!D30</f>
        <v>0</v>
      </c>
      <c r="D50" s="480">
        <f>'[50]Sch C'!F30</f>
        <v>0</v>
      </c>
      <c r="E50" s="480">
        <f>+'[50]Sch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'[50]Sch C'!D31</f>
        <v>87190</v>
      </c>
      <c r="D51" s="480">
        <f>'[50]Sch C'!F31</f>
        <v>0</v>
      </c>
      <c r="E51" s="480">
        <f>+'[50]Sch C'!H31</f>
        <v>-51084</v>
      </c>
      <c r="F51" s="166">
        <f t="shared" si="5"/>
        <v>36106</v>
      </c>
      <c r="G51" s="626"/>
      <c r="H51" s="626"/>
      <c r="I51" s="166">
        <f t="shared" si="6"/>
        <v>36106</v>
      </c>
      <c r="J51" s="167">
        <f t="shared" si="7"/>
        <v>6.3233079730843477E-3</v>
      </c>
      <c r="K51" s="458"/>
      <c r="L51" s="163"/>
      <c r="M51" s="163"/>
      <c r="O51" s="324">
        <f t="shared" si="8"/>
        <v>1.6284502976727404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'[50]Sch C'!D32</f>
        <v>111492</v>
      </c>
      <c r="D52" s="480">
        <f>'[50]Sch C'!F32</f>
        <v>0</v>
      </c>
      <c r="E52" s="480">
        <f>+'[50]Sch C'!H32</f>
        <v>-50171</v>
      </c>
      <c r="F52" s="166">
        <f t="shared" si="5"/>
        <v>61321</v>
      </c>
      <c r="G52" s="626"/>
      <c r="H52" s="626"/>
      <c r="I52" s="166">
        <f t="shared" si="6"/>
        <v>61321</v>
      </c>
      <c r="J52" s="167">
        <f t="shared" si="7"/>
        <v>1.0739255752991339E-2</v>
      </c>
      <c r="K52" s="458"/>
      <c r="L52" s="163"/>
      <c r="M52" s="163"/>
      <c r="O52" s="324">
        <f t="shared" si="8"/>
        <v>2.7656954717661915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'[50]Sch C'!D33</f>
        <v>11053</v>
      </c>
      <c r="D53" s="480">
        <f>'[50]Sch C'!F33</f>
        <v>-11053</v>
      </c>
      <c r="E53" s="480">
        <f>+'[50]Sch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'[50]Sch C'!D34</f>
        <v>0</v>
      </c>
      <c r="D54" s="480">
        <f>'[50]Sch C'!F34</f>
        <v>0</v>
      </c>
      <c r="E54" s="480">
        <f>+'[50]Sch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'[50]Sch C'!D35</f>
        <v>52</v>
      </c>
      <c r="D55" s="480">
        <f>'[50]Sch C'!F35</f>
        <v>-52</v>
      </c>
      <c r="E55" s="480">
        <f>+'[50]Sch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'[50]Sch C'!D36</f>
        <v>0</v>
      </c>
      <c r="D56" s="480">
        <f>'[50]Sch C'!F36</f>
        <v>0</v>
      </c>
      <c r="E56" s="480">
        <f>+'[50]Sch C'!H36</f>
        <v>0</v>
      </c>
      <c r="F56" s="166">
        <f t="shared" si="5"/>
        <v>0</v>
      </c>
      <c r="G56" s="626"/>
      <c r="H56" s="62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'[50]Sch C'!D37</f>
        <v>0</v>
      </c>
      <c r="D57" s="480">
        <f>'[50]Sch C'!F37</f>
        <v>0</v>
      </c>
      <c r="E57" s="480">
        <f>+'[50]Sch C'!H37</f>
        <v>0</v>
      </c>
      <c r="F57" s="166">
        <f t="shared" si="5"/>
        <v>0</v>
      </c>
      <c r="G57" s="626"/>
      <c r="H57" s="62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'[50]Sch C'!D38</f>
        <v>0</v>
      </c>
      <c r="D58" s="480">
        <f>'[50]Sch C'!F38</f>
        <v>0</v>
      </c>
      <c r="E58" s="480">
        <f>+'[50]Sch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'[50]Sch C'!D39</f>
        <v>7766</v>
      </c>
      <c r="D59" s="480">
        <f>'[50]Sch C'!F39</f>
        <v>0</v>
      </c>
      <c r="E59" s="480">
        <f>+'[50]Sch C'!H39</f>
        <v>0</v>
      </c>
      <c r="F59" s="166">
        <f t="shared" si="5"/>
        <v>7766</v>
      </c>
      <c r="G59" s="626"/>
      <c r="H59" s="626"/>
      <c r="I59" s="166">
        <f t="shared" si="6"/>
        <v>7766</v>
      </c>
      <c r="J59" s="167">
        <f t="shared" si="7"/>
        <v>1.3600733872202138E-3</v>
      </c>
      <c r="K59" s="458"/>
      <c r="L59" s="163"/>
      <c r="M59" s="163"/>
      <c r="O59" s="324">
        <f t="shared" si="8"/>
        <v>0.35026159119610317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'[50]Sch C'!D40</f>
        <v>9279</v>
      </c>
      <c r="D60" s="480">
        <f>'[50]Sch C'!F40</f>
        <v>0</v>
      </c>
      <c r="E60" s="480">
        <f>+'[50]Sch C'!H40</f>
        <v>0</v>
      </c>
      <c r="F60" s="166">
        <f t="shared" si="5"/>
        <v>9279</v>
      </c>
      <c r="G60" s="626"/>
      <c r="H60" s="626"/>
      <c r="I60" s="166">
        <f t="shared" si="6"/>
        <v>9279</v>
      </c>
      <c r="J60" s="167">
        <f t="shared" si="7"/>
        <v>1.6250477671924239E-3</v>
      </c>
      <c r="K60" s="458"/>
      <c r="L60" s="163"/>
      <c r="M60" s="163"/>
      <c r="O60" s="324">
        <f t="shared" si="8"/>
        <v>0.41850081183474652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'[50]Sch C'!D41</f>
        <v>15290</v>
      </c>
      <c r="D61" s="480">
        <f>'[50]Sch C'!F41</f>
        <v>0</v>
      </c>
      <c r="E61" s="480">
        <f>+'[50]Sch C'!H41</f>
        <v>0</v>
      </c>
      <c r="F61" s="166">
        <f t="shared" si="5"/>
        <v>15290</v>
      </c>
      <c r="G61" s="626"/>
      <c r="H61" s="626"/>
      <c r="I61" s="166">
        <f t="shared" si="6"/>
        <v>15290</v>
      </c>
      <c r="J61" s="167">
        <f t="shared" si="7"/>
        <v>2.6777648841871068E-3</v>
      </c>
      <c r="K61" s="458"/>
      <c r="L61" s="163"/>
      <c r="M61" s="163"/>
      <c r="O61" s="324">
        <f t="shared" si="8"/>
        <v>0.68960851524445244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'[50]Sch C'!D42</f>
        <v>5893</v>
      </c>
      <c r="D62" s="480">
        <f>'[50]Sch C'!F42</f>
        <v>0</v>
      </c>
      <c r="E62" s="480">
        <f>+'[50]Sch C'!H42</f>
        <v>0</v>
      </c>
      <c r="F62" s="166">
        <f t="shared" si="5"/>
        <v>5893</v>
      </c>
      <c r="G62" s="626"/>
      <c r="H62" s="626"/>
      <c r="I62" s="166">
        <f t="shared" si="6"/>
        <v>5893</v>
      </c>
      <c r="J62" s="167">
        <f t="shared" si="7"/>
        <v>1.0320515672017408E-3</v>
      </c>
      <c r="K62" s="458"/>
      <c r="L62" s="163"/>
      <c r="M62" s="163"/>
      <c r="O62" s="324">
        <f t="shared" si="8"/>
        <v>0.26578567562691685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'[50]Sch C'!D43</f>
        <v>9027</v>
      </c>
      <c r="D63" s="480">
        <f>'[50]Sch C'!F43</f>
        <v>0</v>
      </c>
      <c r="E63" s="480">
        <f>+'[50]Sch C'!H43</f>
        <v>0</v>
      </c>
      <c r="F63" s="166">
        <f t="shared" si="5"/>
        <v>9027</v>
      </c>
      <c r="G63" s="626">
        <v>-9027</v>
      </c>
      <c r="H63" s="626"/>
      <c r="I63" s="166">
        <f t="shared" si="6"/>
        <v>0</v>
      </c>
      <c r="J63" s="167">
        <f t="shared" si="7"/>
        <v>0</v>
      </c>
      <c r="K63" s="458" t="s">
        <v>714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'[50]Sch C'!D44</f>
        <v>0</v>
      </c>
      <c r="D64" s="480">
        <f>'[50]Sch C'!F44</f>
        <v>0</v>
      </c>
      <c r="E64" s="480">
        <f>+'[50]Sch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'[50]Sch C'!D45</f>
        <v>982</v>
      </c>
      <c r="D65" s="480">
        <f>'[50]Sch C'!F45</f>
        <v>-5979</v>
      </c>
      <c r="E65" s="480">
        <f>+'[50]Sch C'!H45</f>
        <v>0</v>
      </c>
      <c r="F65" s="166">
        <f t="shared" si="5"/>
        <v>-4997</v>
      </c>
      <c r="G65" s="626">
        <f>1152+28843</f>
        <v>29995</v>
      </c>
      <c r="H65" s="626"/>
      <c r="I65" s="166">
        <f t="shared" si="6"/>
        <v>24998</v>
      </c>
      <c r="J65" s="167">
        <f t="shared" si="7"/>
        <v>4.377944184101327E-3</v>
      </c>
      <c r="K65" s="458"/>
      <c r="L65" s="163"/>
      <c r="M65" s="163"/>
      <c r="O65" s="324">
        <f t="shared" si="8"/>
        <v>1.1274580552047628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1657656</v>
      </c>
      <c r="D66" s="480">
        <f t="shared" si="9"/>
        <v>-276800</v>
      </c>
      <c r="E66" s="480">
        <f t="shared" si="9"/>
        <v>-209642</v>
      </c>
      <c r="F66" s="166">
        <f t="shared" ref="F66:I66" si="10">SUM(F30:F65)</f>
        <v>1171214</v>
      </c>
      <c r="G66" s="166">
        <f t="shared" si="10"/>
        <v>33806</v>
      </c>
      <c r="H66" s="166">
        <f t="shared" si="10"/>
        <v>190492</v>
      </c>
      <c r="I66" s="166">
        <f t="shared" si="10"/>
        <v>1395512</v>
      </c>
      <c r="J66" s="178">
        <f t="shared" si="7"/>
        <v>0.2443984976495564</v>
      </c>
      <c r="K66" s="465"/>
      <c r="L66" s="163"/>
      <c r="M66" s="163"/>
      <c r="O66" s="329">
        <f>I66/I$233</f>
        <v>62.940285044199889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'[50]Sch C'!D57</f>
        <v>736849</v>
      </c>
      <c r="D69" s="480">
        <f>'[50]Sch C'!F57+736849</f>
        <v>0</v>
      </c>
      <c r="E69" s="480">
        <f>+'[50]Sch C'!H57</f>
        <v>0</v>
      </c>
      <c r="F69" s="166">
        <f>C69+D69+E69</f>
        <v>736849</v>
      </c>
      <c r="G69" s="626"/>
      <c r="H69" s="480">
        <v>-736849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'[50]Sch C'!D58</f>
        <v>23831</v>
      </c>
      <c r="D70" s="480">
        <f>'[50]Sch C'!F58-250055</f>
        <v>0</v>
      </c>
      <c r="E70" s="480">
        <f>+'[50]Sch C'!H58</f>
        <v>0</v>
      </c>
      <c r="F70" s="166">
        <f t="shared" ref="F70:F83" si="13">C70+D70+E70</f>
        <v>23831</v>
      </c>
      <c r="G70" s="626"/>
      <c r="H70" s="480">
        <v>250055</v>
      </c>
      <c r="I70" s="166">
        <f t="shared" ref="I70:I83" si="14">F70+G70+H70</f>
        <v>273886</v>
      </c>
      <c r="J70" s="167">
        <f t="shared" si="11"/>
        <v>4.7966142123640934E-2</v>
      </c>
      <c r="K70" s="458"/>
      <c r="L70" s="182"/>
      <c r="M70" s="163"/>
      <c r="O70" s="324">
        <f t="shared" si="12"/>
        <v>12.352787299296409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'[50]Sch C'!D59</f>
        <v>0</v>
      </c>
      <c r="D71" s="480">
        <f>'[50]Sch C'!F59</f>
        <v>0</v>
      </c>
      <c r="E71" s="480">
        <f>+'[50]Sch C'!H59</f>
        <v>0</v>
      </c>
      <c r="F71" s="166">
        <f t="shared" si="13"/>
        <v>0</v>
      </c>
      <c r="G71" s="626"/>
      <c r="H71" s="62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'[50]Sch C'!D60</f>
        <v>18058</v>
      </c>
      <c r="D72" s="480">
        <f>'[50]Sch C'!F60</f>
        <v>0</v>
      </c>
      <c r="E72" s="480">
        <f>+'[50]Sch C'!H60</f>
        <v>0</v>
      </c>
      <c r="F72" s="166">
        <f t="shared" si="13"/>
        <v>18058</v>
      </c>
      <c r="G72" s="626"/>
      <c r="H72" s="626"/>
      <c r="I72" s="166">
        <f t="shared" si="14"/>
        <v>18058</v>
      </c>
      <c r="J72" s="167">
        <f t="shared" si="11"/>
        <v>3.1625296454317049E-3</v>
      </c>
      <c r="K72" s="458"/>
      <c r="L72" s="185"/>
      <c r="M72" s="163"/>
      <c r="O72" s="324">
        <f t="shared" si="12"/>
        <v>0.81445065848818332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'[50]Sch C'!D61</f>
        <v>6333</v>
      </c>
      <c r="D73" s="480">
        <f>'[50]Sch C'!F61</f>
        <v>0</v>
      </c>
      <c r="E73" s="480">
        <f>+'[50]Sch C'!H61</f>
        <v>0</v>
      </c>
      <c r="F73" s="166">
        <f t="shared" si="13"/>
        <v>6333</v>
      </c>
      <c r="G73" s="626"/>
      <c r="H73" s="626"/>
      <c r="I73" s="166">
        <f t="shared" si="14"/>
        <v>6333</v>
      </c>
      <c r="J73" s="167">
        <f t="shared" si="11"/>
        <v>1.1091095494805065E-3</v>
      </c>
      <c r="K73" s="458"/>
      <c r="L73" s="185"/>
      <c r="M73" s="163"/>
      <c r="O73" s="324">
        <f t="shared" si="12"/>
        <v>0.2856305249864694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'[50]Sch C'!D62</f>
        <v>8919</v>
      </c>
      <c r="D74" s="480">
        <f>'[50]Sch C'!F62</f>
        <v>0</v>
      </c>
      <c r="E74" s="480">
        <f>+'[50]Sch C'!H62</f>
        <v>0</v>
      </c>
      <c r="F74" s="166">
        <f t="shared" si="13"/>
        <v>8919</v>
      </c>
      <c r="G74" s="626"/>
      <c r="H74" s="626"/>
      <c r="I74" s="166">
        <f t="shared" si="14"/>
        <v>8919</v>
      </c>
      <c r="J74" s="167">
        <f t="shared" si="11"/>
        <v>1.5620003271461611E-3</v>
      </c>
      <c r="K74" s="458"/>
      <c r="L74" s="187"/>
      <c r="M74" s="163"/>
      <c r="O74" s="324">
        <f t="shared" si="12"/>
        <v>0.40226411690420349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'[50]Sch C'!D63</f>
        <v>0</v>
      </c>
      <c r="D75" s="480">
        <f>'[50]Sch C'!F63</f>
        <v>0</v>
      </c>
      <c r="E75" s="480">
        <f>+'[50]Sch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'[50]Sch C'!D64</f>
        <v>0</v>
      </c>
      <c r="D76" s="480">
        <f>'[50]Sch C'!F64</f>
        <v>0</v>
      </c>
      <c r="E76" s="480">
        <f>+'[50]Sch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'[50]Sch C'!D65</f>
        <v>5427</v>
      </c>
      <c r="D77" s="480">
        <f>'[50]Sch C'!F65</f>
        <v>0</v>
      </c>
      <c r="E77" s="480">
        <f>+'[50]Sch C'!H65</f>
        <v>0</v>
      </c>
      <c r="F77" s="166">
        <f t="shared" si="13"/>
        <v>5427</v>
      </c>
      <c r="G77" s="626"/>
      <c r="H77" s="626"/>
      <c r="I77" s="166">
        <f t="shared" si="14"/>
        <v>5427</v>
      </c>
      <c r="J77" s="167">
        <f t="shared" si="11"/>
        <v>9.5044015869741186E-4</v>
      </c>
      <c r="K77" s="458"/>
      <c r="L77" s="187"/>
      <c r="M77" s="163"/>
      <c r="O77" s="324">
        <f t="shared" si="12"/>
        <v>0.24476817607793613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'[50]Sch C'!D66</f>
        <v>8943</v>
      </c>
      <c r="D78" s="480">
        <f>'[50]Sch C'!F66</f>
        <v>0</v>
      </c>
      <c r="E78" s="480">
        <f>+'[50]Sch C'!H66</f>
        <v>0</v>
      </c>
      <c r="F78" s="166">
        <f t="shared" si="13"/>
        <v>8943</v>
      </c>
      <c r="G78" s="626">
        <f>4860+1385</f>
        <v>6245</v>
      </c>
      <c r="H78" s="626"/>
      <c r="I78" s="166">
        <f t="shared" si="14"/>
        <v>15188</v>
      </c>
      <c r="J78" s="167">
        <f t="shared" si="11"/>
        <v>2.6599014428406653E-3</v>
      </c>
      <c r="K78" s="458"/>
      <c r="L78" s="187"/>
      <c r="M78" s="163"/>
      <c r="O78" s="324">
        <f t="shared" si="12"/>
        <v>0.68500811834746522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'[50]Sch C'!D67</f>
        <v>65587</v>
      </c>
      <c r="D79" s="480">
        <f>'[50]Sch C'!F67</f>
        <v>-680</v>
      </c>
      <c r="E79" s="480">
        <f>+'[50]Sch C'!H67</f>
        <v>0</v>
      </c>
      <c r="F79" s="166">
        <f t="shared" si="13"/>
        <v>64907</v>
      </c>
      <c r="G79" s="626"/>
      <c r="H79" s="626"/>
      <c r="I79" s="166">
        <f t="shared" si="14"/>
        <v>64907</v>
      </c>
      <c r="J79" s="167">
        <f t="shared" si="11"/>
        <v>1.1367278308563279E-2</v>
      </c>
      <c r="K79" s="458"/>
      <c r="L79" s="187"/>
      <c r="M79" s="163"/>
      <c r="O79" s="324">
        <f t="shared" si="12"/>
        <v>2.9274309940465453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'[50]Sch C'!D68</f>
        <v>0</v>
      </c>
      <c r="D80" s="480">
        <f>'[50]Sch C'!F68</f>
        <v>0</v>
      </c>
      <c r="E80" s="480">
        <f>+'[50]Sch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'[50]Sch C'!D69</f>
        <v>5376</v>
      </c>
      <c r="D81" s="480">
        <f>'[50]Sch C'!F69</f>
        <v>0</v>
      </c>
      <c r="E81" s="480">
        <f>+'[50]Sch C'!H69</f>
        <v>0</v>
      </c>
      <c r="F81" s="166">
        <f t="shared" si="13"/>
        <v>5376</v>
      </c>
      <c r="G81" s="626"/>
      <c r="H81" s="626"/>
      <c r="I81" s="166">
        <f t="shared" si="14"/>
        <v>5376</v>
      </c>
      <c r="J81" s="167">
        <f t="shared" si="11"/>
        <v>9.4150843802419133E-4</v>
      </c>
      <c r="K81" s="458"/>
      <c r="L81" s="187"/>
      <c r="M81" s="163"/>
      <c r="O81" s="324">
        <f t="shared" si="12"/>
        <v>0.24246797762944253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'[50]Sch C'!D70</f>
        <v>0</v>
      </c>
      <c r="D82" s="480">
        <f>'[50]Sch C'!F70</f>
        <v>0</v>
      </c>
      <c r="E82" s="480">
        <f>+'[50]Sch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'[50]Sch C'!D71</f>
        <v>0</v>
      </c>
      <c r="D83" s="480">
        <f>'[50]Sch C'!F71</f>
        <v>0</v>
      </c>
      <c r="E83" s="480">
        <f>+'[50]Sch C'!H71</f>
        <v>0</v>
      </c>
      <c r="F83" s="166">
        <f t="shared" si="13"/>
        <v>0</v>
      </c>
      <c r="G83" s="626"/>
      <c r="H83" s="62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879323</v>
      </c>
      <c r="D84" s="480">
        <f t="shared" si="15"/>
        <v>-680</v>
      </c>
      <c r="E84" s="480">
        <f t="shared" si="15"/>
        <v>0</v>
      </c>
      <c r="F84" s="166">
        <f t="shared" ref="F84:I84" si="16">SUM(F69:F83)</f>
        <v>878643</v>
      </c>
      <c r="G84" s="166">
        <f t="shared" si="16"/>
        <v>6245</v>
      </c>
      <c r="H84" s="166">
        <f t="shared" si="16"/>
        <v>-486794</v>
      </c>
      <c r="I84" s="166">
        <f t="shared" si="16"/>
        <v>398094</v>
      </c>
      <c r="J84" s="167">
        <f t="shared" si="11"/>
        <v>6.9718909993824851E-2</v>
      </c>
      <c r="K84" s="458"/>
      <c r="L84" s="187"/>
      <c r="M84" s="163"/>
      <c r="O84" s="324">
        <f t="shared" si="12"/>
        <v>17.954807865776655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'[50]Sch C'!D75</f>
        <v>44697</v>
      </c>
      <c r="D87" s="480">
        <f>'[50]Sch C'!F75</f>
        <v>0</v>
      </c>
      <c r="E87" s="480">
        <f>+'[50]Sch C'!H75</f>
        <v>0</v>
      </c>
      <c r="F87" s="166">
        <f t="shared" ref="F87:F97" si="17">C87+D87+E87</f>
        <v>44697</v>
      </c>
      <c r="G87" s="626"/>
      <c r="H87" s="626"/>
      <c r="I87" s="166">
        <f t="shared" ref="I87:I97" si="18">F87+G87+H87</f>
        <v>44697</v>
      </c>
      <c r="J87" s="167">
        <f t="shared" ref="J87:J98" si="19">IF($I$213=0,0,I87/$I$213)</f>
        <v>7.8278650770772472E-3</v>
      </c>
      <c r="K87" s="458"/>
      <c r="L87" s="176">
        <v>2024</v>
      </c>
      <c r="M87" s="176">
        <v>2091</v>
      </c>
      <c r="O87" s="324">
        <f t="shared" ref="O87:O97" si="20">I87/I$233</f>
        <v>2.0159209814180046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'[50]Sch C'!D76</f>
        <v>5174</v>
      </c>
      <c r="D88" s="480">
        <f>'[50]Sch C'!F76</f>
        <v>2555</v>
      </c>
      <c r="E88" s="480">
        <f>+'[50]Sch C'!H76</f>
        <v>0</v>
      </c>
      <c r="F88" s="166">
        <f t="shared" si="17"/>
        <v>7729</v>
      </c>
      <c r="G88" s="626"/>
      <c r="H88" s="626"/>
      <c r="I88" s="166">
        <f t="shared" si="18"/>
        <v>7729</v>
      </c>
      <c r="J88" s="167">
        <f t="shared" si="19"/>
        <v>1.3535935114376812E-3</v>
      </c>
      <c r="K88" s="458"/>
      <c r="L88" s="163"/>
      <c r="M88" s="163"/>
      <c r="O88" s="324">
        <f t="shared" si="20"/>
        <v>0.34859281977268625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'[50]Sch C'!D77</f>
        <v>6852</v>
      </c>
      <c r="D89" s="480">
        <f>'[50]Sch C'!F77</f>
        <v>0</v>
      </c>
      <c r="E89" s="480">
        <f>+'[50]Sch C'!H77</f>
        <v>0</v>
      </c>
      <c r="F89" s="166">
        <f t="shared" si="17"/>
        <v>6852</v>
      </c>
      <c r="G89" s="626"/>
      <c r="H89" s="626"/>
      <c r="I89" s="166">
        <f t="shared" si="18"/>
        <v>6852</v>
      </c>
      <c r="J89" s="167">
        <f t="shared" si="19"/>
        <v>1.2000029422138689E-3</v>
      </c>
      <c r="K89" s="458"/>
      <c r="L89" s="163"/>
      <c r="M89" s="163"/>
      <c r="O89" s="324">
        <f t="shared" si="20"/>
        <v>0.30903842684466898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'[50]Sch C'!D78</f>
        <v>0</v>
      </c>
      <c r="D90" s="480">
        <f>'[50]Sch C'!F78</f>
        <v>0</v>
      </c>
      <c r="E90" s="480">
        <f>+'[50]Sch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'[50]Sch C'!D79</f>
        <v>6417</v>
      </c>
      <c r="D91" s="480">
        <f>'[50]Sch C'!F79</f>
        <v>1244</v>
      </c>
      <c r="E91" s="480">
        <f>+'[50]Sch C'!H79</f>
        <v>0</v>
      </c>
      <c r="F91" s="166">
        <f t="shared" si="17"/>
        <v>7661</v>
      </c>
      <c r="G91" s="626"/>
      <c r="H91" s="626"/>
      <c r="I91" s="166">
        <f t="shared" si="18"/>
        <v>7661</v>
      </c>
      <c r="J91" s="167">
        <f t="shared" si="19"/>
        <v>1.3416845505400538E-3</v>
      </c>
      <c r="K91" s="458"/>
      <c r="L91" s="163"/>
      <c r="M91" s="163"/>
      <c r="O91" s="324">
        <f t="shared" si="20"/>
        <v>0.34552588850802812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'[50]Sch C'!D80</f>
        <v>28820</v>
      </c>
      <c r="D92" s="480">
        <f>'[50]Sch C'!F80</f>
        <v>0</v>
      </c>
      <c r="E92" s="480">
        <f>+'[50]Sch C'!H80</f>
        <v>0</v>
      </c>
      <c r="F92" s="166">
        <f t="shared" si="17"/>
        <v>28820</v>
      </c>
      <c r="G92" s="626"/>
      <c r="H92" s="626"/>
      <c r="I92" s="166">
        <f t="shared" si="18"/>
        <v>28820</v>
      </c>
      <c r="J92" s="167">
        <f t="shared" si="19"/>
        <v>5.047297839259151E-3</v>
      </c>
      <c r="K92" s="458"/>
      <c r="L92" s="163"/>
      <c r="M92" s="163"/>
      <c r="O92" s="324">
        <f t="shared" si="20"/>
        <v>1.2998376330506947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'[50]Sch C'!D81</f>
        <v>15627</v>
      </c>
      <c r="D93" s="480">
        <f>'[50]Sch C'!F81</f>
        <v>0</v>
      </c>
      <c r="E93" s="480">
        <f>+'[50]Sch C'!H81</f>
        <v>0</v>
      </c>
      <c r="F93" s="166">
        <f t="shared" si="17"/>
        <v>15627</v>
      </c>
      <c r="G93" s="626"/>
      <c r="H93" s="626"/>
      <c r="I93" s="166">
        <f t="shared" si="18"/>
        <v>15627</v>
      </c>
      <c r="J93" s="167">
        <f t="shared" si="19"/>
        <v>2.736784293341525E-3</v>
      </c>
      <c r="K93" s="458"/>
      <c r="L93" s="163"/>
      <c r="M93" s="163"/>
      <c r="O93" s="324">
        <f t="shared" si="20"/>
        <v>0.70480786577665522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'[50]Sch C'!D82</f>
        <v>152</v>
      </c>
      <c r="D94" s="480">
        <f>'[50]Sch C'!F82</f>
        <v>0</v>
      </c>
      <c r="E94" s="480">
        <f>+'[50]Sch C'!H82</f>
        <v>0</v>
      </c>
      <c r="F94" s="166">
        <f t="shared" si="17"/>
        <v>152</v>
      </c>
      <c r="G94" s="626"/>
      <c r="H94" s="626"/>
      <c r="I94" s="166">
        <f t="shared" si="18"/>
        <v>152</v>
      </c>
      <c r="J94" s="167">
        <f t="shared" si="19"/>
        <v>2.6620030241755409E-5</v>
      </c>
      <c r="K94" s="458"/>
      <c r="L94" s="163"/>
      <c r="M94" s="163"/>
      <c r="O94" s="324">
        <f t="shared" si="20"/>
        <v>6.8554934151181671E-3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'[50]Sch C'!D83</f>
        <v>0</v>
      </c>
      <c r="D95" s="480">
        <f>'[50]Sch C'!F83</f>
        <v>0</v>
      </c>
      <c r="E95" s="480">
        <f>+'[50]Sch C'!H83</f>
        <v>0</v>
      </c>
      <c r="F95" s="166">
        <f t="shared" si="17"/>
        <v>0</v>
      </c>
      <c r="G95" s="626"/>
      <c r="H95" s="62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'[50]Sch C'!D84</f>
        <v>77167</v>
      </c>
      <c r="D96" s="480">
        <f>'[50]Sch C'!F84</f>
        <v>0</v>
      </c>
      <c r="E96" s="480">
        <f>+'[50]Sch C'!H84</f>
        <v>0</v>
      </c>
      <c r="F96" s="166">
        <f t="shared" si="17"/>
        <v>77167</v>
      </c>
      <c r="G96" s="626"/>
      <c r="H96" s="626"/>
      <c r="I96" s="166">
        <f t="shared" si="18"/>
        <v>77167</v>
      </c>
      <c r="J96" s="167">
        <f t="shared" si="19"/>
        <v>1.351439390569434E-2</v>
      </c>
      <c r="K96" s="458"/>
      <c r="L96" s="163"/>
      <c r="M96" s="163"/>
      <c r="O96" s="324">
        <f t="shared" si="20"/>
        <v>3.4803806602922607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'[50]Sch C'!D85</f>
        <v>11</v>
      </c>
      <c r="D97" s="480">
        <f>'[50]Sch C'!F85</f>
        <v>0</v>
      </c>
      <c r="E97" s="480">
        <f>+'[50]Sch C'!H85</f>
        <v>0</v>
      </c>
      <c r="F97" s="166">
        <f t="shared" si="17"/>
        <v>11</v>
      </c>
      <c r="G97" s="626"/>
      <c r="H97" s="626"/>
      <c r="I97" s="166">
        <f t="shared" si="18"/>
        <v>11</v>
      </c>
      <c r="J97" s="167">
        <f t="shared" si="19"/>
        <v>1.9264495569691413E-6</v>
      </c>
      <c r="K97" s="458"/>
      <c r="L97" s="163"/>
      <c r="M97" s="163"/>
      <c r="O97" s="324">
        <f t="shared" si="20"/>
        <v>4.9612123398881474E-4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184917</v>
      </c>
      <c r="D98" s="480">
        <f t="shared" si="21"/>
        <v>3799</v>
      </c>
      <c r="E98" s="480">
        <f t="shared" si="21"/>
        <v>0</v>
      </c>
      <c r="F98" s="166">
        <f t="shared" ref="F98:I98" si="22">SUM(F87:F97)</f>
        <v>188716</v>
      </c>
      <c r="G98" s="166">
        <f t="shared" si="22"/>
        <v>0</v>
      </c>
      <c r="H98" s="166">
        <f t="shared" si="22"/>
        <v>0</v>
      </c>
      <c r="I98" s="166">
        <f t="shared" si="22"/>
        <v>188716</v>
      </c>
      <c r="J98" s="167">
        <f t="shared" si="19"/>
        <v>3.3050168599362592E-2</v>
      </c>
      <c r="K98" s="458"/>
      <c r="L98" s="163"/>
      <c r="M98" s="163"/>
      <c r="O98" s="329">
        <f>I98/I$233</f>
        <v>8.5114558903121047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'[50]Sch C'!D89</f>
        <v>188150</v>
      </c>
      <c r="D101" s="480">
        <f>'[50]Sch C'!F89</f>
        <v>0</v>
      </c>
      <c r="E101" s="480">
        <f>+'[50]Sch C'!H89</f>
        <v>0</v>
      </c>
      <c r="F101" s="166">
        <f t="shared" ref="F101:F106" si="23">C101+D101+E101</f>
        <v>188150</v>
      </c>
      <c r="G101" s="626"/>
      <c r="H101" s="626"/>
      <c r="I101" s="166">
        <f t="shared" ref="I101:I106" si="24">F101+G101+H101</f>
        <v>188150</v>
      </c>
      <c r="J101" s="167">
        <f t="shared" ref="J101:J107" si="25">IF($I$213=0,0,I101/$I$213)</f>
        <v>3.2951044013067636E-2</v>
      </c>
      <c r="K101" s="458"/>
      <c r="L101" s="176">
        <v>12536</v>
      </c>
      <c r="M101" s="176">
        <v>13229</v>
      </c>
      <c r="O101" s="329">
        <f t="shared" ref="O101:O106" si="26">I101/I$233</f>
        <v>8.4859281977268619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'[50]Sch C'!D90</f>
        <v>26633</v>
      </c>
      <c r="D102" s="480">
        <f>'[50]Sch C'!F90</f>
        <v>10756</v>
      </c>
      <c r="E102" s="480">
        <f>+'[50]Sch C'!H90</f>
        <v>0</v>
      </c>
      <c r="F102" s="166">
        <f t="shared" si="23"/>
        <v>37389</v>
      </c>
      <c r="G102" s="626"/>
      <c r="H102" s="626"/>
      <c r="I102" s="166">
        <f t="shared" si="24"/>
        <v>37389</v>
      </c>
      <c r="J102" s="167">
        <f t="shared" si="25"/>
        <v>6.5480020441381114E-3</v>
      </c>
      <c r="K102" s="458"/>
      <c r="L102" s="163"/>
      <c r="M102" s="163"/>
      <c r="O102" s="329">
        <f t="shared" si="26"/>
        <v>1.6863160743279813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'[50]Sch C'!D91</f>
        <v>6071</v>
      </c>
      <c r="D103" s="480">
        <f>'[50]Sch C'!F91</f>
        <v>0</v>
      </c>
      <c r="E103" s="480">
        <f>+'[50]Sch C'!H91</f>
        <v>0</v>
      </c>
      <c r="F103" s="166">
        <f t="shared" si="23"/>
        <v>6071</v>
      </c>
      <c r="G103" s="626"/>
      <c r="H103" s="626"/>
      <c r="I103" s="166">
        <f t="shared" si="24"/>
        <v>6071</v>
      </c>
      <c r="J103" s="167">
        <f t="shared" si="25"/>
        <v>1.0632250236690599E-3</v>
      </c>
      <c r="K103" s="458"/>
      <c r="L103" s="163"/>
      <c r="M103" s="163"/>
      <c r="O103" s="329">
        <f t="shared" si="26"/>
        <v>0.27381381923146308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'[50]Sch C'!D92</f>
        <v>132923</v>
      </c>
      <c r="D104" s="480">
        <f>'[50]Sch C'!F92</f>
        <v>0</v>
      </c>
      <c r="E104" s="480">
        <f>+'[50]Sch C'!H92</f>
        <v>0</v>
      </c>
      <c r="F104" s="166">
        <f t="shared" si="23"/>
        <v>132923</v>
      </c>
      <c r="G104" s="626"/>
      <c r="H104" s="626"/>
      <c r="I104" s="166">
        <f t="shared" si="24"/>
        <v>132923</v>
      </c>
      <c r="J104" s="167">
        <f t="shared" si="25"/>
        <v>2.3279041314637199E-2</v>
      </c>
      <c r="K104" s="458"/>
      <c r="L104" s="163"/>
      <c r="M104" s="163"/>
      <c r="O104" s="329">
        <f t="shared" si="26"/>
        <v>5.9950838895904743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'[50]Sch C'!D93</f>
        <v>12588</v>
      </c>
      <c r="D105" s="480">
        <f>'[50]Sch C'!F93</f>
        <v>0</v>
      </c>
      <c r="E105" s="480">
        <f>+'[50]Sch C'!H93</f>
        <v>0</v>
      </c>
      <c r="F105" s="166">
        <f t="shared" si="23"/>
        <v>12588</v>
      </c>
      <c r="G105" s="626"/>
      <c r="H105" s="626"/>
      <c r="I105" s="166">
        <f t="shared" si="24"/>
        <v>12588</v>
      </c>
      <c r="J105" s="167">
        <f t="shared" si="25"/>
        <v>2.2045588202843228E-3</v>
      </c>
      <c r="K105" s="458"/>
      <c r="L105" s="163"/>
      <c r="M105" s="163"/>
      <c r="O105" s="329">
        <f t="shared" si="26"/>
        <v>0.56774309940465451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'[50]Sch C'!D94</f>
        <v>0</v>
      </c>
      <c r="D106" s="480">
        <f>'[50]Sch C'!F94</f>
        <v>1000</v>
      </c>
      <c r="E106" s="480">
        <f>+'[50]Sch C'!H94</f>
        <v>0</v>
      </c>
      <c r="F106" s="166">
        <f t="shared" si="23"/>
        <v>1000</v>
      </c>
      <c r="G106" s="626"/>
      <c r="H106" s="626"/>
      <c r="I106" s="166">
        <f t="shared" si="24"/>
        <v>1000</v>
      </c>
      <c r="J106" s="167">
        <f t="shared" si="25"/>
        <v>1.7513177790628558E-4</v>
      </c>
      <c r="K106" s="458"/>
      <c r="L106" s="163"/>
      <c r="M106" s="163"/>
      <c r="O106" s="329">
        <f t="shared" si="26"/>
        <v>4.5101930362619523E-2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366365</v>
      </c>
      <c r="D107" s="480">
        <f t="shared" si="27"/>
        <v>11756</v>
      </c>
      <c r="E107" s="480">
        <f t="shared" si="27"/>
        <v>0</v>
      </c>
      <c r="F107" s="166">
        <f t="shared" ref="F107:I107" si="28">SUM(F101:F106)</f>
        <v>378121</v>
      </c>
      <c r="G107" s="166">
        <f t="shared" si="28"/>
        <v>0</v>
      </c>
      <c r="H107" s="166">
        <f t="shared" si="28"/>
        <v>0</v>
      </c>
      <c r="I107" s="166">
        <f t="shared" si="28"/>
        <v>378121</v>
      </c>
      <c r="J107" s="167">
        <f t="shared" si="25"/>
        <v>6.6221002993702607E-2</v>
      </c>
      <c r="K107" s="458"/>
      <c r="L107" s="163"/>
      <c r="M107" s="163"/>
      <c r="O107" s="329">
        <f>I107/I$233</f>
        <v>17.053987010644054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'[50]Sch C'!D98</f>
        <v>0</v>
      </c>
      <c r="D110" s="480">
        <f>'[50]Sch C'!F98</f>
        <v>0</v>
      </c>
      <c r="E110" s="480">
        <f>+'[50]Sch C'!H98</f>
        <v>0</v>
      </c>
      <c r="F110" s="166">
        <f t="shared" ref="F110:F115" si="29">C110+D110+E110</f>
        <v>0</v>
      </c>
      <c r="G110" s="626"/>
      <c r="H110" s="62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'[50]Sch C'!D99</f>
        <v>0</v>
      </c>
      <c r="D111" s="480">
        <f>'[50]Sch C'!F99</f>
        <v>0</v>
      </c>
      <c r="E111" s="480">
        <f>+'[50]Sch C'!H99</f>
        <v>0</v>
      </c>
      <c r="F111" s="166">
        <f t="shared" si="29"/>
        <v>0</v>
      </c>
      <c r="G111" s="626"/>
      <c r="H111" s="626"/>
      <c r="I111" s="166">
        <f t="shared" si="30"/>
        <v>0</v>
      </c>
      <c r="J111" s="167">
        <f t="shared" si="31"/>
        <v>0</v>
      </c>
      <c r="K111" s="458"/>
      <c r="L111" s="497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'[50]Sch C'!D100</f>
        <v>6459</v>
      </c>
      <c r="D112" s="480">
        <f>'[50]Sch C'!F100</f>
        <v>0</v>
      </c>
      <c r="E112" s="480">
        <f>+'[50]Sch C'!H100</f>
        <v>0</v>
      </c>
      <c r="F112" s="166">
        <f t="shared" si="29"/>
        <v>6459</v>
      </c>
      <c r="G112" s="626"/>
      <c r="H112" s="626"/>
      <c r="I112" s="166">
        <f t="shared" si="30"/>
        <v>6459</v>
      </c>
      <c r="J112" s="167">
        <f t="shared" si="31"/>
        <v>1.1311761534966987E-3</v>
      </c>
      <c r="K112" s="458"/>
      <c r="L112" s="497"/>
      <c r="M112" s="163"/>
      <c r="O112" s="329">
        <f t="shared" si="32"/>
        <v>0.29131336821215947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'[50]Sch C'!D101</f>
        <v>0</v>
      </c>
      <c r="D113" s="480">
        <f>'[50]Sch C'!F101</f>
        <v>0</v>
      </c>
      <c r="E113" s="480">
        <f>+'[50]Sch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458"/>
      <c r="L113" s="497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'[50]Sch C'!D102</f>
        <v>5457</v>
      </c>
      <c r="D114" s="480">
        <f>'[50]Sch C'!F102</f>
        <v>0</v>
      </c>
      <c r="E114" s="480">
        <f>+'[50]Sch C'!H102</f>
        <v>0</v>
      </c>
      <c r="F114" s="166">
        <f t="shared" si="29"/>
        <v>5457</v>
      </c>
      <c r="G114" s="626"/>
      <c r="H114" s="626"/>
      <c r="I114" s="166">
        <f t="shared" si="30"/>
        <v>5457</v>
      </c>
      <c r="J114" s="167">
        <f t="shared" si="31"/>
        <v>9.5569411203460044E-4</v>
      </c>
      <c r="K114" s="458"/>
      <c r="L114" s="497"/>
      <c r="M114" s="163"/>
      <c r="O114" s="329">
        <f t="shared" si="32"/>
        <v>0.24612123398881472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'[50]Sch C'!D103</f>
        <v>0</v>
      </c>
      <c r="D115" s="480">
        <f>'[50]Sch C'!F103</f>
        <v>0</v>
      </c>
      <c r="E115" s="480">
        <f>+'[50]Sch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K115" s="458"/>
      <c r="L115" s="539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11916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11916</v>
      </c>
      <c r="G116" s="166">
        <f t="shared" si="34"/>
        <v>0</v>
      </c>
      <c r="H116" s="166">
        <f t="shared" si="34"/>
        <v>0</v>
      </c>
      <c r="I116" s="166">
        <f t="shared" si="34"/>
        <v>11916</v>
      </c>
      <c r="J116" s="167">
        <f t="shared" si="31"/>
        <v>2.086870265531299E-3</v>
      </c>
      <c r="K116" s="458"/>
      <c r="L116" s="539"/>
      <c r="M116" s="163"/>
      <c r="O116" s="329">
        <f>I116/I$233</f>
        <v>0.53743460220097417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539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'[50]Sch C'!D115</f>
        <v>95448</v>
      </c>
      <c r="D119" s="480">
        <f>'[50]Sch C'!F115</f>
        <v>0</v>
      </c>
      <c r="E119" s="480">
        <f>+'[50]Sch C'!H115</f>
        <v>0</v>
      </c>
      <c r="F119" s="166">
        <f t="shared" ref="F119:F123" si="35">C119+D119+E119</f>
        <v>95448</v>
      </c>
      <c r="G119" s="626"/>
      <c r="H119" s="626"/>
      <c r="I119" s="166">
        <f t="shared" ref="I119:I123" si="36">F119+G119+H119</f>
        <v>95448</v>
      </c>
      <c r="J119" s="167">
        <f t="shared" ref="J119:J124" si="37">IF($I$213=0,0,I119/$I$213)</f>
        <v>1.6715977937599148E-2</v>
      </c>
      <c r="K119" s="458"/>
      <c r="L119" s="176">
        <v>9142</v>
      </c>
      <c r="M119" s="176">
        <v>9654</v>
      </c>
      <c r="O119" s="329">
        <f t="shared" ref="O119:O124" si="38">I119/I$233</f>
        <v>4.3048890492513081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'[50]Sch C'!D116</f>
        <v>13182</v>
      </c>
      <c r="D120" s="480">
        <f>'[50]Sch C'!F116</f>
        <v>5457</v>
      </c>
      <c r="E120" s="480">
        <f>+'[50]Sch C'!H116</f>
        <v>0</v>
      </c>
      <c r="F120" s="166">
        <f t="shared" si="35"/>
        <v>18639</v>
      </c>
      <c r="G120" s="626"/>
      <c r="H120" s="626"/>
      <c r="I120" s="166">
        <f t="shared" si="36"/>
        <v>18639</v>
      </c>
      <c r="J120" s="167">
        <f t="shared" si="37"/>
        <v>3.2642812083952572E-3</v>
      </c>
      <c r="K120" s="458" t="s">
        <v>374</v>
      </c>
      <c r="L120" s="163"/>
      <c r="M120" s="163"/>
      <c r="O120" s="329">
        <f t="shared" si="38"/>
        <v>0.84065488002886524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'[50]Sch C'!D117</f>
        <v>16341</v>
      </c>
      <c r="D121" s="480">
        <f>'[50]Sch C'!F117</f>
        <v>0</v>
      </c>
      <c r="E121" s="480">
        <f>+'[50]Sch C'!H117</f>
        <v>0</v>
      </c>
      <c r="F121" s="166">
        <f t="shared" si="35"/>
        <v>16341</v>
      </c>
      <c r="G121" s="626"/>
      <c r="H121" s="626"/>
      <c r="I121" s="166">
        <f t="shared" si="36"/>
        <v>16341</v>
      </c>
      <c r="J121" s="167">
        <f t="shared" si="37"/>
        <v>2.8618283827666125E-3</v>
      </c>
      <c r="K121" s="458"/>
      <c r="L121" s="163"/>
      <c r="M121" s="163"/>
      <c r="O121" s="329">
        <f t="shared" si="38"/>
        <v>0.7370106440555656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'[50]Sch C'!D118</f>
        <v>4958</v>
      </c>
      <c r="D122" s="480">
        <f>'[50]Sch C'!F118</f>
        <v>0</v>
      </c>
      <c r="E122" s="480">
        <f>+'[50]Sch C'!H118</f>
        <v>0</v>
      </c>
      <c r="F122" s="166">
        <f t="shared" si="35"/>
        <v>4958</v>
      </c>
      <c r="G122" s="626"/>
      <c r="H122" s="626"/>
      <c r="I122" s="166">
        <f t="shared" si="36"/>
        <v>4958</v>
      </c>
      <c r="J122" s="167">
        <f t="shared" si="37"/>
        <v>8.6830335485936396E-4</v>
      </c>
      <c r="K122" s="458"/>
      <c r="L122" s="163"/>
      <c r="M122" s="163"/>
      <c r="O122" s="329">
        <f t="shared" si="38"/>
        <v>0.22361537073786758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'[50]Sch C'!D119</f>
        <v>61</v>
      </c>
      <c r="D123" s="480">
        <f>'[50]Sch C'!F119</f>
        <v>0</v>
      </c>
      <c r="E123" s="480">
        <f>+'[50]Sch C'!H119</f>
        <v>0</v>
      </c>
      <c r="F123" s="166">
        <f t="shared" si="35"/>
        <v>61</v>
      </c>
      <c r="G123" s="626"/>
      <c r="H123" s="626"/>
      <c r="I123" s="166">
        <f t="shared" si="36"/>
        <v>61</v>
      </c>
      <c r="J123" s="167">
        <f t="shared" si="37"/>
        <v>1.068303845228342E-5</v>
      </c>
      <c r="K123" s="458"/>
      <c r="L123" s="163"/>
      <c r="M123" s="163"/>
      <c r="O123" s="329">
        <f t="shared" si="38"/>
        <v>2.7512177521197907E-3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129990</v>
      </c>
      <c r="D124" s="480">
        <f t="shared" si="39"/>
        <v>5457</v>
      </c>
      <c r="E124" s="480">
        <f t="shared" si="39"/>
        <v>0</v>
      </c>
      <c r="F124" s="166">
        <f t="shared" ref="F124:I124" si="40">SUM(F119:F123)</f>
        <v>135447</v>
      </c>
      <c r="G124" s="166">
        <f t="shared" si="40"/>
        <v>0</v>
      </c>
      <c r="H124" s="166">
        <f t="shared" si="40"/>
        <v>0</v>
      </c>
      <c r="I124" s="166">
        <f t="shared" si="40"/>
        <v>135447</v>
      </c>
      <c r="J124" s="167">
        <f t="shared" si="37"/>
        <v>2.3721073922072664E-2</v>
      </c>
      <c r="K124" s="458"/>
      <c r="L124" s="163"/>
      <c r="M124" s="163"/>
      <c r="O124" s="329">
        <f t="shared" si="38"/>
        <v>6.1089211618257258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'[50]Sch C'!D124</f>
        <v>0</v>
      </c>
      <c r="D128" s="480">
        <f>'[50]Sch C'!F124</f>
        <v>0</v>
      </c>
      <c r="E128" s="480">
        <f>+'[50]Sch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'[50]Sch C'!D125</f>
        <v>157657</v>
      </c>
      <c r="D129" s="480">
        <f>'[50]Sch C'!F125</f>
        <v>0</v>
      </c>
      <c r="E129" s="480">
        <f>+'[50]Sch C'!H125</f>
        <v>82828</v>
      </c>
      <c r="F129" s="166">
        <f t="shared" si="41"/>
        <v>240485</v>
      </c>
      <c r="G129" s="626"/>
      <c r="H129" s="626"/>
      <c r="I129" s="166">
        <f t="shared" si="42"/>
        <v>240485</v>
      </c>
      <c r="J129" s="167">
        <f>IF($I$213=0,0,I129/$I$213)</f>
        <v>4.2116565609793086E-2</v>
      </c>
      <c r="K129" s="458" t="s">
        <v>374</v>
      </c>
      <c r="L129" s="176">
        <v>5539</v>
      </c>
      <c r="M129" s="176">
        <v>5894</v>
      </c>
      <c r="O129" s="329">
        <f t="shared" si="43"/>
        <v>10.846337723254555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'[50]Sch C'!D126</f>
        <v>75068</v>
      </c>
      <c r="D130" s="480">
        <f>'[50]Sch C'!F126</f>
        <v>0</v>
      </c>
      <c r="E130" s="480">
        <f>+'[50]Sch C'!H126</f>
        <v>0</v>
      </c>
      <c r="F130" s="166">
        <f t="shared" si="41"/>
        <v>75068</v>
      </c>
      <c r="G130" s="626"/>
      <c r="H130" s="626"/>
      <c r="I130" s="166">
        <f t="shared" si="42"/>
        <v>75068</v>
      </c>
      <c r="J130" s="167">
        <f>IF($I$213=0,0,I130/$I$213)</f>
        <v>1.3146792303869045E-2</v>
      </c>
      <c r="K130" s="458"/>
      <c r="L130" s="176">
        <v>2439</v>
      </c>
      <c r="M130" s="176">
        <v>2541</v>
      </c>
      <c r="O130" s="329">
        <f t="shared" si="43"/>
        <v>3.3857117084611223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'[50]Sch C'!D127</f>
        <v>0</v>
      </c>
      <c r="D131" s="480">
        <f>'[50]Sch C'!F127</f>
        <v>0</v>
      </c>
      <c r="E131" s="480">
        <f>+'[50]Sch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'[50]Sch C'!D128</f>
        <v>39549</v>
      </c>
      <c r="D132" s="480">
        <f>'[50]Sch C'!F128</f>
        <v>0</v>
      </c>
      <c r="E132" s="480">
        <f>+'[50]Sch C'!H128</f>
        <v>0</v>
      </c>
      <c r="F132" s="166">
        <f t="shared" si="41"/>
        <v>39549</v>
      </c>
      <c r="G132" s="626"/>
      <c r="H132" s="626"/>
      <c r="I132" s="166">
        <f t="shared" si="42"/>
        <v>39549</v>
      </c>
      <c r="J132" s="167">
        <f>IF($I$213=0,0,I132/$I$213)</f>
        <v>6.9262866844156884E-3</v>
      </c>
      <c r="K132" s="458"/>
      <c r="L132" s="176">
        <v>1808</v>
      </c>
      <c r="M132" s="176">
        <v>1899</v>
      </c>
      <c r="O132" s="329">
        <f t="shared" si="43"/>
        <v>1.7837362439112394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'[50]Sch C'!D130</f>
        <v>0</v>
      </c>
      <c r="D134" s="480">
        <f>'[50]Sch C'!F130</f>
        <v>0</v>
      </c>
      <c r="E134" s="480">
        <f>+'[50]Sch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'[50]Sch C'!D131</f>
        <v>0</v>
      </c>
      <c r="D135" s="480">
        <f>'[50]Sch C'!F131</f>
        <v>9013</v>
      </c>
      <c r="E135" s="480">
        <f>+'[50]Sch C'!H131</f>
        <v>8558</v>
      </c>
      <c r="F135" s="166">
        <f t="shared" si="44"/>
        <v>17571</v>
      </c>
      <c r="G135" s="626">
        <v>32202</v>
      </c>
      <c r="H135" s="626"/>
      <c r="I135" s="166">
        <f t="shared" si="45"/>
        <v>49773</v>
      </c>
      <c r="J135" s="167">
        <f>IF($I$213=0,0,I135/$I$213)</f>
        <v>8.716833981729552E-3</v>
      </c>
      <c r="K135" s="458"/>
      <c r="L135" s="196"/>
      <c r="M135" s="196"/>
      <c r="O135" s="329">
        <f t="shared" si="43"/>
        <v>2.2448583799386612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'[50]Sch C'!D132</f>
        <v>0</v>
      </c>
      <c r="D136" s="480">
        <f>'[50]Sch C'!F132</f>
        <v>4292</v>
      </c>
      <c r="E136" s="480">
        <f>+'[50]Sch C'!H132</f>
        <v>0</v>
      </c>
      <c r="F136" s="166">
        <f t="shared" si="44"/>
        <v>4292</v>
      </c>
      <c r="G136" s="626">
        <v>10052</v>
      </c>
      <c r="H136" s="626"/>
      <c r="I136" s="166">
        <f t="shared" si="45"/>
        <v>14344</v>
      </c>
      <c r="J136" s="167">
        <f>IF($I$213=0,0,I136/$I$213)</f>
        <v>2.5120902222877605E-3</v>
      </c>
      <c r="K136" s="458"/>
      <c r="L136" s="163"/>
      <c r="M136" s="163"/>
      <c r="O136" s="329">
        <f t="shared" si="43"/>
        <v>0.64694208912141438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'[50]Sch C'!D133</f>
        <v>0</v>
      </c>
      <c r="D137" s="480">
        <f>'[50]Sch C'!F133</f>
        <v>0</v>
      </c>
      <c r="E137" s="480">
        <f>+'[50]Sch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'[50]Sch C'!D134</f>
        <v>0</v>
      </c>
      <c r="D138" s="480">
        <f>'[50]Sch C'!F134</f>
        <v>2261</v>
      </c>
      <c r="E138" s="480">
        <f>+'[50]Sch C'!H134</f>
        <v>0</v>
      </c>
      <c r="F138" s="166">
        <f t="shared" si="44"/>
        <v>2261</v>
      </c>
      <c r="G138" s="626">
        <v>5296</v>
      </c>
      <c r="H138" s="626"/>
      <c r="I138" s="166">
        <f t="shared" si="45"/>
        <v>7557</v>
      </c>
      <c r="J138" s="167">
        <f>IF($I$213=0,0,I138/$I$213)</f>
        <v>1.3234708456378002E-3</v>
      </c>
      <c r="K138" s="458"/>
      <c r="L138" s="163"/>
      <c r="M138" s="163"/>
      <c r="O138" s="329">
        <f t="shared" si="43"/>
        <v>0.34083528775031574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'[50]Sch C'!D136</f>
        <v>175360</v>
      </c>
      <c r="D140" s="480">
        <f>'[50]Sch C'!F136</f>
        <v>0</v>
      </c>
      <c r="E140" s="480">
        <f>+'[50]Sch C'!H136</f>
        <v>0</v>
      </c>
      <c r="F140" s="166">
        <f t="shared" ref="F140:F143" si="46">C140+D140+E140</f>
        <v>175360</v>
      </c>
      <c r="G140" s="626"/>
      <c r="H140" s="626"/>
      <c r="I140" s="166">
        <f t="shared" ref="I140:I143" si="47">F140+G140+H140</f>
        <v>175360</v>
      </c>
      <c r="J140" s="167">
        <f>IF($I$213=0,0,I140/$I$213)</f>
        <v>3.0711108573646239E-2</v>
      </c>
      <c r="K140" s="458"/>
      <c r="L140" s="176">
        <v>6238</v>
      </c>
      <c r="M140" s="176">
        <v>6363</v>
      </c>
      <c r="O140" s="329">
        <f t="shared" si="43"/>
        <v>7.9090745083889589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'[50]Sch C'!D137</f>
        <v>487498</v>
      </c>
      <c r="D141" s="480">
        <f>'[50]Sch C'!F137</f>
        <v>0</v>
      </c>
      <c r="E141" s="480">
        <f>+'[50]Sch C'!H137</f>
        <v>0</v>
      </c>
      <c r="F141" s="166">
        <f t="shared" si="46"/>
        <v>487498</v>
      </c>
      <c r="G141" s="626"/>
      <c r="H141" s="626"/>
      <c r="I141" s="166">
        <f t="shared" si="47"/>
        <v>487498</v>
      </c>
      <c r="J141" s="167">
        <f>IF($I$213=0,0,I141/$I$213)</f>
        <v>8.5376391465758414E-2</v>
      </c>
      <c r="K141" s="458"/>
      <c r="L141" s="176">
        <v>18390</v>
      </c>
      <c r="M141" s="176">
        <v>19201</v>
      </c>
      <c r="O141" s="329">
        <f t="shared" si="43"/>
        <v>21.987100847916292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'[50]Sch C'!D138</f>
        <v>570126</v>
      </c>
      <c r="D142" s="480">
        <f>'[50]Sch C'!F138</f>
        <v>0</v>
      </c>
      <c r="E142" s="480">
        <f>+'[50]Sch C'!H138</f>
        <v>0</v>
      </c>
      <c r="F142" s="166">
        <f t="shared" si="46"/>
        <v>570126</v>
      </c>
      <c r="G142" s="626"/>
      <c r="H142" s="626"/>
      <c r="I142" s="166">
        <f t="shared" si="47"/>
        <v>570126</v>
      </c>
      <c r="J142" s="167">
        <f>IF($I$213=0,0,I142/$I$213)</f>
        <v>9.9847180010598974E-2</v>
      </c>
      <c r="K142" s="458"/>
      <c r="L142" s="176">
        <v>44161</v>
      </c>
      <c r="M142" s="176">
        <v>46771</v>
      </c>
      <c r="O142" s="329">
        <f t="shared" si="43"/>
        <v>25.713783149918818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'[50]Sch C'!D139</f>
        <v>100012</v>
      </c>
      <c r="D143" s="480">
        <f>'[50]Sch C'!F139</f>
        <v>0</v>
      </c>
      <c r="E143" s="480">
        <f>+'[50]Sch C'!H139</f>
        <v>0</v>
      </c>
      <c r="F143" s="166">
        <f t="shared" si="46"/>
        <v>100012</v>
      </c>
      <c r="G143" s="626"/>
      <c r="H143" s="626"/>
      <c r="I143" s="166">
        <f t="shared" si="47"/>
        <v>100012</v>
      </c>
      <c r="J143" s="167">
        <f>IF($I$213=0,0,I143/$I$213)</f>
        <v>1.7515279371963434E-2</v>
      </c>
      <c r="K143" s="458"/>
      <c r="L143" s="176">
        <v>7477</v>
      </c>
      <c r="M143" s="176">
        <v>8209</v>
      </c>
      <c r="O143" s="329">
        <f t="shared" si="43"/>
        <v>4.5107342594263038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'[50]Sch C'!D141</f>
        <v>0</v>
      </c>
      <c r="D145" s="480">
        <f>'[50]Sch C'!F141</f>
        <v>10025</v>
      </c>
      <c r="E145" s="480">
        <f>+'[50]Sch C'!H141</f>
        <v>0</v>
      </c>
      <c r="F145" s="166">
        <f t="shared" ref="F145:F148" si="48">C145+D145+E145</f>
        <v>10025</v>
      </c>
      <c r="G145" s="626">
        <v>23482</v>
      </c>
      <c r="H145" s="626"/>
      <c r="I145" s="166">
        <f t="shared" ref="I145:I148" si="49">F145+G145+H145</f>
        <v>33507</v>
      </c>
      <c r="J145" s="167">
        <f>IF($I$213=0,0,I145/$I$213)</f>
        <v>5.8681404823059113E-3</v>
      </c>
      <c r="K145" s="458"/>
      <c r="L145" s="163"/>
      <c r="M145" s="163"/>
      <c r="O145" s="329">
        <f t="shared" si="43"/>
        <v>1.5112303806602922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'[50]Sch C'!D142</f>
        <v>0</v>
      </c>
      <c r="D146" s="480">
        <f>'[50]Sch C'!F142</f>
        <v>27869</v>
      </c>
      <c r="E146" s="480">
        <f>+'[50]Sch C'!H142</f>
        <v>0</v>
      </c>
      <c r="F146" s="166">
        <f t="shared" si="48"/>
        <v>27869</v>
      </c>
      <c r="G146" s="626">
        <v>65278</v>
      </c>
      <c r="H146" s="626"/>
      <c r="I146" s="166">
        <f t="shared" si="49"/>
        <v>93147</v>
      </c>
      <c r="J146" s="167">
        <f>IF($I$213=0,0,I146/$I$213)</f>
        <v>1.6312999716636783E-2</v>
      </c>
      <c r="K146" s="458"/>
      <c r="L146" s="163"/>
      <c r="M146" s="163"/>
      <c r="O146" s="329">
        <f t="shared" si="43"/>
        <v>4.2011095074869207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'[50]Sch C'!D143</f>
        <v>0</v>
      </c>
      <c r="D147" s="480">
        <f>'[50]Sch C'!F143</f>
        <v>32593</v>
      </c>
      <c r="E147" s="480">
        <f>+'[50]Sch C'!H143</f>
        <v>0</v>
      </c>
      <c r="F147" s="166">
        <f t="shared" si="48"/>
        <v>32593</v>
      </c>
      <c r="G147" s="626">
        <v>76343</v>
      </c>
      <c r="H147" s="626"/>
      <c r="I147" s="166">
        <f t="shared" si="49"/>
        <v>108936</v>
      </c>
      <c r="J147" s="167">
        <f>IF($I$213=0,0,I147/$I$213)</f>
        <v>1.9078155357999126E-2</v>
      </c>
      <c r="K147" s="458"/>
      <c r="L147" s="163"/>
      <c r="M147" s="163"/>
      <c r="O147" s="329">
        <f t="shared" si="43"/>
        <v>4.9132238859823198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'[50]Sch C'!D144</f>
        <v>226045</v>
      </c>
      <c r="D148" s="480">
        <f>'[50]Sch C'!F144</f>
        <v>5718</v>
      </c>
      <c r="E148" s="480">
        <f>+'[50]Sch C'!H144</f>
        <v>0</v>
      </c>
      <c r="F148" s="166">
        <f t="shared" si="48"/>
        <v>231763</v>
      </c>
      <c r="G148" s="626">
        <v>-212653</v>
      </c>
      <c r="H148" s="626"/>
      <c r="I148" s="166">
        <f t="shared" si="49"/>
        <v>19110</v>
      </c>
      <c r="J148" s="167">
        <f>IF($I$213=0,0,I148/$I$213)</f>
        <v>3.3467682757891176E-3</v>
      </c>
      <c r="K148" s="458"/>
      <c r="L148" s="163"/>
      <c r="M148" s="163"/>
      <c r="O148" s="329">
        <f t="shared" si="43"/>
        <v>0.86189788922965904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'[50]Sch C'!D146</f>
        <v>22125</v>
      </c>
      <c r="D150" s="480">
        <f>'[50]Sch C'!F146</f>
        <v>0</v>
      </c>
      <c r="E150" s="480">
        <f>+'[50]Sch C'!H146</f>
        <v>0</v>
      </c>
      <c r="F150" s="166">
        <f t="shared" ref="F150:F158" si="50">C150+D150+E150</f>
        <v>22125</v>
      </c>
      <c r="G150" s="626"/>
      <c r="H150" s="626"/>
      <c r="I150" s="166">
        <f t="shared" ref="I150:I158" si="51">F150+G150+H150</f>
        <v>22125</v>
      </c>
      <c r="J150" s="167">
        <f t="shared" ref="J150:J158" si="52">IF($I$213=0,0,I150/$I$213)</f>
        <v>3.8747905861765686E-3</v>
      </c>
      <c r="K150" s="458"/>
      <c r="L150" s="176">
        <v>144</v>
      </c>
      <c r="M150" s="176">
        <v>144</v>
      </c>
      <c r="O150" s="329">
        <f t="shared" si="43"/>
        <v>0.99788020927295684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'[50]Sch C'!D147</f>
        <v>21561</v>
      </c>
      <c r="D151" s="480">
        <f>'[50]Sch C'!F147</f>
        <v>0</v>
      </c>
      <c r="E151" s="480">
        <f>+'[50]Sch C'!H147</f>
        <v>0</v>
      </c>
      <c r="F151" s="166">
        <f t="shared" si="50"/>
        <v>21561</v>
      </c>
      <c r="G151" s="626"/>
      <c r="H151" s="626"/>
      <c r="I151" s="166">
        <f t="shared" si="51"/>
        <v>21561</v>
      </c>
      <c r="J151" s="167">
        <f t="shared" si="52"/>
        <v>3.7760162634374234E-3</v>
      </c>
      <c r="K151" s="458"/>
      <c r="L151" s="176">
        <v>372</v>
      </c>
      <c r="M151" s="176">
        <v>372</v>
      </c>
      <c r="O151" s="329">
        <f t="shared" si="43"/>
        <v>0.9724427205484395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'[50]Sch C'!D148</f>
        <v>7499</v>
      </c>
      <c r="D152" s="480">
        <f>'[50]Sch C'!F148</f>
        <v>0</v>
      </c>
      <c r="E152" s="480">
        <f>+'[50]Sch C'!H148</f>
        <v>0</v>
      </c>
      <c r="F152" s="166">
        <f t="shared" si="50"/>
        <v>7499</v>
      </c>
      <c r="G152" s="626"/>
      <c r="H152" s="626"/>
      <c r="I152" s="166">
        <f t="shared" si="51"/>
        <v>7499</v>
      </c>
      <c r="J152" s="167">
        <f t="shared" si="52"/>
        <v>1.3133132025192355E-3</v>
      </c>
      <c r="K152" s="458"/>
      <c r="L152" s="176">
        <v>156</v>
      </c>
      <c r="M152" s="176">
        <v>156</v>
      </c>
      <c r="O152" s="329">
        <f t="shared" si="43"/>
        <v>0.33821937578928379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'[50]Sch C'!D149</f>
        <v>19851</v>
      </c>
      <c r="D153" s="480">
        <f>'[50]Sch C'!F149</f>
        <v>0</v>
      </c>
      <c r="E153" s="480">
        <f>+'[50]Sch C'!H149</f>
        <v>0</v>
      </c>
      <c r="F153" s="166">
        <f t="shared" si="50"/>
        <v>19851</v>
      </c>
      <c r="G153" s="626"/>
      <c r="H153" s="626"/>
      <c r="I153" s="166">
        <f t="shared" si="51"/>
        <v>19851</v>
      </c>
      <c r="J153" s="167">
        <f t="shared" si="52"/>
        <v>3.4765409232176752E-3</v>
      </c>
      <c r="K153" s="458"/>
      <c r="L153" s="176">
        <v>710</v>
      </c>
      <c r="M153" s="176">
        <v>710</v>
      </c>
      <c r="O153" s="329">
        <f t="shared" si="43"/>
        <v>0.89531841962836012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'[50]Sch C'!D150</f>
        <v>17055</v>
      </c>
      <c r="D154" s="480">
        <f>'[50]Sch C'!F150</f>
        <v>0</v>
      </c>
      <c r="E154" s="480">
        <f>+'[50]Sch C'!H150</f>
        <v>0</v>
      </c>
      <c r="F154" s="166">
        <f t="shared" si="50"/>
        <v>17055</v>
      </c>
      <c r="G154" s="626"/>
      <c r="H154" s="626"/>
      <c r="I154" s="166">
        <f t="shared" si="51"/>
        <v>17055</v>
      </c>
      <c r="J154" s="167">
        <f t="shared" si="52"/>
        <v>2.9868724721917005E-3</v>
      </c>
      <c r="K154" s="458"/>
      <c r="L154" s="176">
        <v>682</v>
      </c>
      <c r="M154" s="176">
        <v>682</v>
      </c>
      <c r="O154" s="329">
        <f t="shared" si="43"/>
        <v>0.76921342233447587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'[50]Sch C'!D151</f>
        <v>117579</v>
      </c>
      <c r="D155" s="480">
        <f>'[50]Sch C'!F151</f>
        <v>1456</v>
      </c>
      <c r="E155" s="480">
        <f>+'[50]Sch C'!H151</f>
        <v>0</v>
      </c>
      <c r="F155" s="166">
        <f t="shared" si="50"/>
        <v>119035</v>
      </c>
      <c r="G155" s="626"/>
      <c r="H155" s="626"/>
      <c r="I155" s="166">
        <f t="shared" si="51"/>
        <v>119035</v>
      </c>
      <c r="J155" s="167">
        <f t="shared" si="52"/>
        <v>2.0846811183074705E-2</v>
      </c>
      <c r="K155" s="458"/>
      <c r="L155" s="163"/>
      <c r="M155" s="163"/>
      <c r="O155" s="329">
        <f t="shared" si="43"/>
        <v>5.3687082807144142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'[50]Sch C'!D152</f>
        <v>8080</v>
      </c>
      <c r="D156" s="480">
        <f>'[50]Sch C'!F152</f>
        <v>0</v>
      </c>
      <c r="E156" s="480">
        <f>+'[50]Sch C'!H152</f>
        <v>0</v>
      </c>
      <c r="F156" s="166">
        <f t="shared" si="50"/>
        <v>8080</v>
      </c>
      <c r="G156" s="626"/>
      <c r="H156" s="626"/>
      <c r="I156" s="166">
        <f t="shared" si="51"/>
        <v>8080</v>
      </c>
      <c r="J156" s="167">
        <f t="shared" si="52"/>
        <v>1.4150647654827876E-3</v>
      </c>
      <c r="K156" s="458"/>
      <c r="L156" s="163"/>
      <c r="M156" s="163"/>
      <c r="O156" s="329">
        <f t="shared" si="43"/>
        <v>0.36442359732996571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'[50]Sch C'!D153</f>
        <v>1496</v>
      </c>
      <c r="D157" s="480">
        <f>'[50]Sch C'!F153</f>
        <v>0</v>
      </c>
      <c r="E157" s="480">
        <f>+'[50]Sch C'!H153</f>
        <v>0</v>
      </c>
      <c r="F157" s="166">
        <f t="shared" si="50"/>
        <v>1496</v>
      </c>
      <c r="G157" s="626"/>
      <c r="H157" s="626"/>
      <c r="I157" s="166">
        <f t="shared" si="51"/>
        <v>1496</v>
      </c>
      <c r="J157" s="167">
        <f t="shared" si="52"/>
        <v>2.6199713974780326E-4</v>
      </c>
      <c r="K157" s="458"/>
      <c r="L157" s="163"/>
      <c r="M157" s="163"/>
      <c r="O157" s="329">
        <f t="shared" si="43"/>
        <v>6.7472487822478805E-2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'[50]Sch C'!D154</f>
        <v>0</v>
      </c>
      <c r="D158" s="480">
        <f>'[50]Sch C'!F154</f>
        <v>0</v>
      </c>
      <c r="E158" s="480">
        <f>+'[50]Sch C'!H154</f>
        <v>0</v>
      </c>
      <c r="F158" s="166">
        <f t="shared" si="50"/>
        <v>0</v>
      </c>
      <c r="G158" s="626"/>
      <c r="H158" s="62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'[50]Sch C'!D156</f>
        <v>0</v>
      </c>
      <c r="D160" s="480">
        <f>'[50]Sch C'!F156</f>
        <v>0</v>
      </c>
      <c r="E160" s="480">
        <f>+'[50]Sch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'[50]Sch C'!D157</f>
        <v>0</v>
      </c>
      <c r="D161" s="480">
        <f>'[50]Sch C'!F157</f>
        <v>0</v>
      </c>
      <c r="E161" s="480">
        <f>+'[50]Sch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'[50]Sch C'!D158</f>
        <v>0</v>
      </c>
      <c r="D162" s="480">
        <f>'[50]Sch C'!F158</f>
        <v>0</v>
      </c>
      <c r="E162" s="480">
        <f>+'[50]Sch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'[50]Sch C'!D159</f>
        <v>0</v>
      </c>
      <c r="D163" s="480">
        <f>'[50]Sch C'!F159</f>
        <v>0</v>
      </c>
      <c r="E163" s="480">
        <f>+'[50]Sch C'!H159</f>
        <v>0</v>
      </c>
      <c r="F163" s="166">
        <f t="shared" si="53"/>
        <v>0</v>
      </c>
      <c r="G163" s="626"/>
      <c r="H163" s="62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'[50]Sch C'!D160</f>
        <v>0</v>
      </c>
      <c r="D164" s="480">
        <f>'[50]Sch C'!F160</f>
        <v>0</v>
      </c>
      <c r="E164" s="480">
        <f>+'[50]Sch C'!H160</f>
        <v>0</v>
      </c>
      <c r="F164" s="166">
        <f t="shared" si="53"/>
        <v>0</v>
      </c>
      <c r="G164" s="626"/>
      <c r="H164" s="62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'[50]Sch C'!D161</f>
        <v>8633</v>
      </c>
      <c r="D165" s="480">
        <f>'[50]Sch C'!F161</f>
        <v>0</v>
      </c>
      <c r="E165" s="480">
        <f>+'[50]Sch C'!H161</f>
        <v>0</v>
      </c>
      <c r="F165" s="166">
        <f t="shared" si="53"/>
        <v>8633</v>
      </c>
      <c r="G165" s="626">
        <v>-4860</v>
      </c>
      <c r="H165" s="626"/>
      <c r="I165" s="166">
        <f t="shared" si="54"/>
        <v>3773</v>
      </c>
      <c r="J165" s="167">
        <f t="shared" si="55"/>
        <v>6.6077219804041556E-4</v>
      </c>
      <c r="K165" s="458"/>
      <c r="L165" s="163"/>
      <c r="M165" s="163"/>
      <c r="O165" s="329">
        <f t="shared" si="43"/>
        <v>0.17016958325816345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2055194</v>
      </c>
      <c r="D166" s="480">
        <f t="shared" si="56"/>
        <v>93227</v>
      </c>
      <c r="E166" s="480">
        <f t="shared" si="56"/>
        <v>91386</v>
      </c>
      <c r="F166" s="166">
        <f t="shared" ref="F166:I166" si="57">SUM(F128:F165)</f>
        <v>2239807</v>
      </c>
      <c r="G166" s="166">
        <f t="shared" si="57"/>
        <v>-4860</v>
      </c>
      <c r="H166" s="166">
        <f t="shared" si="57"/>
        <v>0</v>
      </c>
      <c r="I166" s="166">
        <f t="shared" si="57"/>
        <v>2234947</v>
      </c>
      <c r="J166" s="167">
        <f t="shared" si="55"/>
        <v>0.39141024163631927</v>
      </c>
      <c r="K166" s="458"/>
      <c r="L166" s="163"/>
      <c r="M166" s="163"/>
      <c r="O166" s="329">
        <f>I166/I$233</f>
        <v>100.8004239581454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'[50]Sch C'!D175</f>
        <v>0</v>
      </c>
      <c r="D169" s="480">
        <f>'[50]Sch C'!F175</f>
        <v>0</v>
      </c>
      <c r="E169" s="480">
        <f>+'[50]Sch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'[50]Sch C'!D176</f>
        <v>0</v>
      </c>
      <c r="D170" s="480">
        <f>'[50]Sch C'!F176</f>
        <v>0</v>
      </c>
      <c r="E170" s="480">
        <f>+'[50]Sch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'[50]Sch C'!D177</f>
        <v>238877</v>
      </c>
      <c r="D171" s="480">
        <f>'[50]Sch C'!F177</f>
        <v>0</v>
      </c>
      <c r="E171" s="480">
        <f>+'[50]Sch C'!H177</f>
        <v>0</v>
      </c>
      <c r="F171" s="166">
        <f t="shared" si="58"/>
        <v>238877</v>
      </c>
      <c r="G171" s="626"/>
      <c r="H171" s="626"/>
      <c r="I171" s="166">
        <f t="shared" si="59"/>
        <v>238877</v>
      </c>
      <c r="J171" s="167">
        <f t="shared" si="60"/>
        <v>4.1834953710919782E-2</v>
      </c>
      <c r="K171" s="468"/>
      <c r="L171" s="176">
        <v>7731</v>
      </c>
      <c r="M171" s="176">
        <v>8175</v>
      </c>
      <c r="N171" s="208"/>
      <c r="O171" s="329">
        <f t="shared" si="61"/>
        <v>10.773813819231464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'[50]Sch C'!D178</f>
        <v>33078</v>
      </c>
      <c r="D172" s="480">
        <f>'[50]Sch C'!F178</f>
        <v>13656</v>
      </c>
      <c r="E172" s="480">
        <f>+'[50]Sch C'!H178</f>
        <v>0</v>
      </c>
      <c r="F172" s="166">
        <f t="shared" si="58"/>
        <v>46734</v>
      </c>
      <c r="G172" s="626"/>
      <c r="H172" s="626"/>
      <c r="I172" s="166">
        <f t="shared" si="59"/>
        <v>46734</v>
      </c>
      <c r="J172" s="167">
        <f t="shared" si="60"/>
        <v>8.1846085086723502E-3</v>
      </c>
      <c r="K172" s="469"/>
      <c r="L172" s="212"/>
      <c r="M172" s="212"/>
      <c r="N172" s="208"/>
      <c r="O172" s="329">
        <f t="shared" si="61"/>
        <v>2.1077936135666606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'[50]Sch C'!D179</f>
        <v>34542</v>
      </c>
      <c r="D173" s="480">
        <f>'[50]Sch C'!F179</f>
        <v>0</v>
      </c>
      <c r="E173" s="480">
        <f>+'[50]Sch C'!H179</f>
        <v>0</v>
      </c>
      <c r="F173" s="166">
        <f t="shared" si="58"/>
        <v>34542</v>
      </c>
      <c r="G173" s="626"/>
      <c r="H173" s="626"/>
      <c r="I173" s="166">
        <f t="shared" si="59"/>
        <v>34542</v>
      </c>
      <c r="J173" s="167">
        <f t="shared" si="60"/>
        <v>6.0494018724389165E-3</v>
      </c>
      <c r="K173" s="468"/>
      <c r="L173" s="176">
        <v>1050</v>
      </c>
      <c r="M173" s="176">
        <v>1179</v>
      </c>
      <c r="N173" s="208"/>
      <c r="O173" s="329">
        <f t="shared" si="61"/>
        <v>1.5579108785856035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'[50]Sch C'!D180</f>
        <v>7401</v>
      </c>
      <c r="D174" s="480">
        <f>'[50]Sch C'!F180</f>
        <v>1975</v>
      </c>
      <c r="E174" s="480">
        <f>+'[50]Sch C'!H180</f>
        <v>0</v>
      </c>
      <c r="F174" s="166">
        <f t="shared" si="58"/>
        <v>9376</v>
      </c>
      <c r="G174" s="626"/>
      <c r="H174" s="626"/>
      <c r="I174" s="166">
        <f t="shared" si="59"/>
        <v>9376</v>
      </c>
      <c r="J174" s="167">
        <f t="shared" si="60"/>
        <v>1.6420355496493337E-3</v>
      </c>
      <c r="K174" s="469"/>
      <c r="L174" s="212"/>
      <c r="M174" s="212"/>
      <c r="N174" s="208"/>
      <c r="O174" s="329">
        <f t="shared" si="61"/>
        <v>0.42287569907992062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'[50]Sch C'!D181</f>
        <v>0</v>
      </c>
      <c r="D175" s="480">
        <f>'[50]Sch C'!F181</f>
        <v>0</v>
      </c>
      <c r="E175" s="480">
        <f>+'[50]Sch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'[50]Sch C'!D182</f>
        <v>0</v>
      </c>
      <c r="D176" s="480">
        <f>'[50]Sch C'!F182</f>
        <v>0</v>
      </c>
      <c r="E176" s="480">
        <f>+'[50]Sch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'[50]Sch C'!D183</f>
        <v>144543</v>
      </c>
      <c r="D177" s="480">
        <f>'[50]Sch C'!F183</f>
        <v>0</v>
      </c>
      <c r="E177" s="480">
        <f>+'[50]Sch C'!H183</f>
        <v>0</v>
      </c>
      <c r="F177" s="166">
        <f t="shared" si="58"/>
        <v>144543</v>
      </c>
      <c r="G177" s="626"/>
      <c r="H177" s="626"/>
      <c r="I177" s="166">
        <f t="shared" si="59"/>
        <v>144543</v>
      </c>
      <c r="J177" s="167">
        <f t="shared" si="60"/>
        <v>2.5314072573908237E-2</v>
      </c>
      <c r="K177" s="468"/>
      <c r="L177" s="176">
        <v>4836</v>
      </c>
      <c r="M177" s="176">
        <v>5235</v>
      </c>
      <c r="N177" s="208"/>
      <c r="O177" s="329">
        <f t="shared" si="61"/>
        <v>6.5191683204041135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'[50]Sch C'!D184</f>
        <v>24551</v>
      </c>
      <c r="D178" s="480">
        <f>'[50]Sch C'!F184</f>
        <v>8263</v>
      </c>
      <c r="E178" s="480">
        <f>+'[50]Sch C'!H184</f>
        <v>0</v>
      </c>
      <c r="F178" s="166">
        <f t="shared" si="58"/>
        <v>32814</v>
      </c>
      <c r="G178" s="626"/>
      <c r="H178" s="626"/>
      <c r="I178" s="166">
        <f t="shared" si="59"/>
        <v>32814</v>
      </c>
      <c r="J178" s="167">
        <f t="shared" si="60"/>
        <v>5.746774160216855E-3</v>
      </c>
      <c r="K178" s="469"/>
      <c r="L178" s="212"/>
      <c r="M178" s="212"/>
      <c r="N178" s="208"/>
      <c r="O178" s="329">
        <f t="shared" si="61"/>
        <v>1.4799747429189969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'[50]Sch C'!D185</f>
        <v>0</v>
      </c>
      <c r="D179" s="480">
        <f>'[50]Sch C'!F185</f>
        <v>0</v>
      </c>
      <c r="E179" s="480">
        <f>+'[50]Sch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'[50]Sch C'!D186</f>
        <v>0</v>
      </c>
      <c r="D180" s="480">
        <f>'[50]Sch C'!F186</f>
        <v>0</v>
      </c>
      <c r="E180" s="480">
        <f>+'[50]Sch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'[50]Sch C'!D187</f>
        <v>0</v>
      </c>
      <c r="D181" s="480">
        <f>'[50]Sch C'!F187</f>
        <v>0</v>
      </c>
      <c r="E181" s="480">
        <f>+'[50]Sch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'[50]Sch C'!D188</f>
        <v>1991</v>
      </c>
      <c r="D182" s="480">
        <f>'[50]Sch C'!F188</f>
        <v>0</v>
      </c>
      <c r="E182" s="480">
        <f>+'[50]Sch C'!H188</f>
        <v>0</v>
      </c>
      <c r="F182" s="166">
        <f t="shared" si="58"/>
        <v>1991</v>
      </c>
      <c r="G182" s="626"/>
      <c r="H182" s="626"/>
      <c r="I182" s="166">
        <f t="shared" si="59"/>
        <v>1991</v>
      </c>
      <c r="J182" s="167">
        <f t="shared" si="60"/>
        <v>3.486873698114146E-4</v>
      </c>
      <c r="K182" s="458"/>
      <c r="L182" s="213"/>
      <c r="M182" s="208"/>
      <c r="N182" s="210"/>
      <c r="O182" s="329">
        <f t="shared" si="61"/>
        <v>8.9797943351975468E-2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'[50]Sch C'!D189</f>
        <v>86</v>
      </c>
      <c r="D183" s="480">
        <f>'[50]Sch C'!F189</f>
        <v>0</v>
      </c>
      <c r="E183" s="480">
        <f>+'[50]Sch C'!H189</f>
        <v>0</v>
      </c>
      <c r="F183" s="166">
        <f t="shared" si="58"/>
        <v>86</v>
      </c>
      <c r="G183" s="626"/>
      <c r="H183" s="626"/>
      <c r="I183" s="166">
        <f t="shared" si="59"/>
        <v>86</v>
      </c>
      <c r="J183" s="167">
        <f t="shared" si="60"/>
        <v>1.506133289994056E-5</v>
      </c>
      <c r="K183" s="458"/>
      <c r="L183" s="213"/>
      <c r="M183" s="208"/>
      <c r="N183" s="210"/>
      <c r="O183" s="329">
        <f t="shared" si="61"/>
        <v>3.8787660111852789E-3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'[50]Sch C'!D190</f>
        <v>0</v>
      </c>
      <c r="D184" s="480">
        <f>'[50]Sch C'!F190</f>
        <v>0</v>
      </c>
      <c r="E184" s="480">
        <f>+'[50]Sch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'[50]Sch C'!D191</f>
        <v>261</v>
      </c>
      <c r="D185" s="480">
        <f>'[50]Sch C'!F191</f>
        <v>0</v>
      </c>
      <c r="E185" s="480">
        <f>+'[50]Sch C'!H191</f>
        <v>0</v>
      </c>
      <c r="F185" s="166">
        <f t="shared" si="58"/>
        <v>261</v>
      </c>
      <c r="G185" s="626"/>
      <c r="H185" s="626"/>
      <c r="I185" s="166">
        <f t="shared" si="59"/>
        <v>261</v>
      </c>
      <c r="J185" s="167">
        <f t="shared" si="60"/>
        <v>4.5709394033540536E-5</v>
      </c>
      <c r="K185" s="458"/>
      <c r="L185" s="213"/>
      <c r="M185" s="208"/>
      <c r="N185" s="210"/>
      <c r="O185" s="329">
        <f t="shared" si="61"/>
        <v>1.1771603824643694E-2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'[50]Sch C'!D192</f>
        <v>0</v>
      </c>
      <c r="D186" s="480">
        <f>'[50]Sch C'!F192</f>
        <v>0</v>
      </c>
      <c r="E186" s="480">
        <f>+'[50]Sch C'!H192</f>
        <v>0</v>
      </c>
      <c r="F186" s="166">
        <f t="shared" si="58"/>
        <v>0</v>
      </c>
      <c r="G186" s="626"/>
      <c r="H186" s="62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'[50]Sch C'!D193</f>
        <v>0</v>
      </c>
      <c r="D187" s="480">
        <f>'[50]Sch C'!F193</f>
        <v>0</v>
      </c>
      <c r="E187" s="480">
        <f>+'[50]Sch C'!H193</f>
        <v>0</v>
      </c>
      <c r="F187" s="166">
        <f t="shared" si="58"/>
        <v>0</v>
      </c>
      <c r="G187" s="626"/>
      <c r="H187" s="62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'[50]Sch C'!D194</f>
        <v>882</v>
      </c>
      <c r="D188" s="480">
        <f>'[50]Sch C'!F194</f>
        <v>0</v>
      </c>
      <c r="E188" s="480">
        <f>+'[50]Sch C'!H194</f>
        <v>0</v>
      </c>
      <c r="F188" s="166">
        <f t="shared" si="58"/>
        <v>882</v>
      </c>
      <c r="G188" s="626"/>
      <c r="H188" s="626"/>
      <c r="I188" s="166">
        <f t="shared" si="59"/>
        <v>882</v>
      </c>
      <c r="J188" s="167">
        <f t="shared" si="60"/>
        <v>1.5446622811334388E-4</v>
      </c>
      <c r="K188" s="458"/>
      <c r="L188" s="213"/>
      <c r="M188" s="208"/>
      <c r="O188" s="329">
        <f t="shared" si="61"/>
        <v>3.9779902579830419E-2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'[50]Sch C'!D195</f>
        <v>4051</v>
      </c>
      <c r="D189" s="480">
        <f>'[50]Sch C'!F195</f>
        <v>0</v>
      </c>
      <c r="E189" s="480">
        <f>+'[50]Sch C'!H195</f>
        <v>0</v>
      </c>
      <c r="F189" s="166">
        <f t="shared" si="58"/>
        <v>4051</v>
      </c>
      <c r="G189" s="626"/>
      <c r="H189" s="626"/>
      <c r="I189" s="166">
        <f t="shared" si="59"/>
        <v>4051</v>
      </c>
      <c r="J189" s="167">
        <f t="shared" si="60"/>
        <v>7.0945883229836288E-4</v>
      </c>
      <c r="K189" s="458"/>
      <c r="L189" s="213"/>
      <c r="M189" s="208"/>
      <c r="O189" s="329">
        <f t="shared" si="61"/>
        <v>0.18270791989897167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'[50]Sch C'!D196</f>
        <v>0</v>
      </c>
      <c r="D190" s="480">
        <f>'[50]Sch C'!F196</f>
        <v>0</v>
      </c>
      <c r="E190" s="480">
        <f>+'[50]Sch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'[50]Sch C'!D197</f>
        <v>0</v>
      </c>
      <c r="D191" s="480">
        <f>'[50]Sch C'!F197</f>
        <v>0</v>
      </c>
      <c r="E191" s="480">
        <f>+'[50]Sch C'!H197</f>
        <v>0</v>
      </c>
      <c r="F191" s="166">
        <f t="shared" si="58"/>
        <v>0</v>
      </c>
      <c r="G191" s="626"/>
      <c r="H191" s="62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'[50]Sch C'!D198</f>
        <v>34235</v>
      </c>
      <c r="D192" s="480">
        <f>'[50]Sch C'!F198</f>
        <v>0</v>
      </c>
      <c r="E192" s="480">
        <f>+'[50]Sch C'!H198</f>
        <v>-1112</v>
      </c>
      <c r="F192" s="166">
        <f t="shared" si="58"/>
        <v>33123</v>
      </c>
      <c r="G192" s="626"/>
      <c r="H192" s="626"/>
      <c r="I192" s="166">
        <f t="shared" si="59"/>
        <v>33123</v>
      </c>
      <c r="J192" s="167">
        <f t="shared" si="60"/>
        <v>5.8008898795898975E-3</v>
      </c>
      <c r="K192" s="458"/>
      <c r="L192" s="213"/>
      <c r="M192" s="208"/>
      <c r="O192" s="329">
        <f t="shared" si="61"/>
        <v>1.4939112394010463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'[50]Sch C'!D199</f>
        <v>0</v>
      </c>
      <c r="D193" s="480">
        <f>'[50]Sch C'!F199</f>
        <v>0</v>
      </c>
      <c r="E193" s="480">
        <f>+'[50]Sch C'!H199</f>
        <v>0</v>
      </c>
      <c r="F193" s="166">
        <f t="shared" si="58"/>
        <v>0</v>
      </c>
      <c r="G193" s="626"/>
      <c r="H193" s="62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'[50]Sch C'!D200</f>
        <v>0</v>
      </c>
      <c r="D194" s="480">
        <f>'[50]Sch C'!F200</f>
        <v>0</v>
      </c>
      <c r="E194" s="480">
        <f>+'[50]Sch C'!H200</f>
        <v>0</v>
      </c>
      <c r="F194" s="166">
        <f t="shared" si="58"/>
        <v>0</v>
      </c>
      <c r="G194" s="626"/>
      <c r="H194" s="62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'[50]Sch C'!D201</f>
        <v>0</v>
      </c>
      <c r="D195" s="480">
        <f>'[50]Sch C'!F201</f>
        <v>0</v>
      </c>
      <c r="E195" s="480">
        <f>+'[50]Sch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'[50]Sch C'!D202</f>
        <v>0</v>
      </c>
      <c r="D196" s="480">
        <f>'[50]Sch C'!F202</f>
        <v>0</v>
      </c>
      <c r="E196" s="480">
        <f>+'[50]Sch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'[50]Sch C'!D203</f>
        <v>0</v>
      </c>
      <c r="D197" s="480">
        <f>'[50]Sch C'!F203</f>
        <v>0</v>
      </c>
      <c r="E197" s="480">
        <f>+'[50]Sch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'[50]Sch C'!D204</f>
        <v>0</v>
      </c>
      <c r="D198" s="480">
        <f>'[50]Sch C'!F204</f>
        <v>0</v>
      </c>
      <c r="E198" s="480">
        <f>+'[50]Sch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'[50]Sch C'!D205</f>
        <v>161403</v>
      </c>
      <c r="D199" s="480">
        <f>'[50]Sch C'!F205</f>
        <v>0</v>
      </c>
      <c r="E199" s="480">
        <f>+'[50]Sch C'!H205</f>
        <v>0</v>
      </c>
      <c r="F199" s="166">
        <f t="shared" si="58"/>
        <v>161403</v>
      </c>
      <c r="G199" s="626"/>
      <c r="H199" s="626"/>
      <c r="I199" s="166">
        <f t="shared" si="59"/>
        <v>161403</v>
      </c>
      <c r="J199" s="167">
        <f t="shared" si="60"/>
        <v>2.8266794349408212E-2</v>
      </c>
      <c r="K199" s="458"/>
      <c r="L199" s="213"/>
      <c r="M199" s="208"/>
      <c r="O199" s="329">
        <f t="shared" si="61"/>
        <v>7.279586866317878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'[50]Sch C'!D206</f>
        <v>2196</v>
      </c>
      <c r="D200" s="480">
        <f>'[50]Sch C'!F206</f>
        <v>0</v>
      </c>
      <c r="E200" s="480">
        <f>+'[50]Sch C'!H206</f>
        <v>0</v>
      </c>
      <c r="F200" s="166">
        <f t="shared" si="58"/>
        <v>2196</v>
      </c>
      <c r="G200" s="626"/>
      <c r="H200" s="626"/>
      <c r="I200" s="166">
        <f t="shared" si="59"/>
        <v>2196</v>
      </c>
      <c r="J200" s="167">
        <f t="shared" si="60"/>
        <v>3.8458938428220313E-4</v>
      </c>
      <c r="K200" s="458"/>
      <c r="L200" s="213"/>
      <c r="M200" s="208"/>
      <c r="O200" s="329">
        <f t="shared" si="61"/>
        <v>9.9043839076312465E-2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'[50]Sch C'!D207</f>
        <v>12756</v>
      </c>
      <c r="D201" s="480">
        <f>'[50]Sch C'!F207</f>
        <v>-638</v>
      </c>
      <c r="E201" s="480">
        <f>+'[50]Sch C'!H207</f>
        <v>0</v>
      </c>
      <c r="F201" s="166">
        <f t="shared" si="58"/>
        <v>12118</v>
      </c>
      <c r="G201" s="626"/>
      <c r="H201" s="626"/>
      <c r="I201" s="166">
        <f t="shared" si="59"/>
        <v>12118</v>
      </c>
      <c r="J201" s="167">
        <f t="shared" si="60"/>
        <v>2.1222468846683689E-3</v>
      </c>
      <c r="K201" s="458"/>
      <c r="L201" s="213"/>
      <c r="M201" s="208"/>
      <c r="O201" s="329">
        <f t="shared" si="61"/>
        <v>0.54654519213422337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700853</v>
      </c>
      <c r="D202" s="480">
        <f t="shared" si="62"/>
        <v>23256</v>
      </c>
      <c r="E202" s="480">
        <f t="shared" si="62"/>
        <v>-1112</v>
      </c>
      <c r="F202" s="166">
        <f t="shared" ref="F202:I202" si="63">SUM(F169:F201)</f>
        <v>722997</v>
      </c>
      <c r="G202" s="166">
        <f t="shared" si="63"/>
        <v>0</v>
      </c>
      <c r="H202" s="166">
        <f t="shared" si="63"/>
        <v>0</v>
      </c>
      <c r="I202" s="166">
        <f t="shared" si="63"/>
        <v>722997</v>
      </c>
      <c r="J202" s="167">
        <f>IF($I$213=0,0,I202/$I$213)</f>
        <v>0.12661975003091075</v>
      </c>
      <c r="K202" s="458"/>
      <c r="L202" s="163"/>
      <c r="M202" s="163"/>
      <c r="O202" s="329">
        <f>I202/I$233</f>
        <v>32.608560346382824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'[50]Sch C'!D211</f>
        <v>165979</v>
      </c>
      <c r="D205" s="480">
        <f>'[50]Sch C'!F211</f>
        <v>0</v>
      </c>
      <c r="E205" s="480">
        <f>+'[50]Sch C'!H211</f>
        <v>0</v>
      </c>
      <c r="F205" s="166">
        <f t="shared" ref="F205:F210" si="64">C205+D205+E205</f>
        <v>165979</v>
      </c>
      <c r="G205" s="626"/>
      <c r="H205" s="626"/>
      <c r="I205" s="166">
        <f t="shared" ref="I205:I210" si="65">F205+G205+H205</f>
        <v>165979</v>
      </c>
      <c r="J205" s="167">
        <f t="shared" ref="J205:J211" si="66">IF($I$213=0,0,I205/$I$213)</f>
        <v>2.9068197365107375E-2</v>
      </c>
      <c r="K205" s="458"/>
      <c r="L205" s="176">
        <v>7758</v>
      </c>
      <c r="M205" s="176">
        <v>8028</v>
      </c>
      <c r="O205" s="329">
        <f t="shared" ref="O205:O210" si="67">I205/I$233</f>
        <v>7.4859732996572257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'[50]Sch C'!D212</f>
        <v>23535</v>
      </c>
      <c r="D206" s="480">
        <f>'[50]Sch C'!F212</f>
        <v>9489</v>
      </c>
      <c r="E206" s="480">
        <f>+'[50]Sch C'!H212</f>
        <v>0</v>
      </c>
      <c r="F206" s="166">
        <f t="shared" si="64"/>
        <v>33024</v>
      </c>
      <c r="G206" s="626"/>
      <c r="H206" s="626"/>
      <c r="I206" s="166">
        <f t="shared" si="65"/>
        <v>33024</v>
      </c>
      <c r="J206" s="167">
        <f t="shared" si="66"/>
        <v>5.7835518335771748E-3</v>
      </c>
      <c r="K206" s="458"/>
      <c r="L206" s="163"/>
      <c r="M206" s="163"/>
      <c r="O206" s="329">
        <f t="shared" si="67"/>
        <v>1.4894461482951471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'[50]Sch C'!D213</f>
        <v>37343</v>
      </c>
      <c r="D207" s="480">
        <f>'[50]Sch C'!F213</f>
        <v>0</v>
      </c>
      <c r="E207" s="480">
        <f>+'[50]Sch C'!H213</f>
        <v>0</v>
      </c>
      <c r="F207" s="166">
        <f t="shared" si="64"/>
        <v>37343</v>
      </c>
      <c r="G207" s="626">
        <v>-1385</v>
      </c>
      <c r="H207" s="626"/>
      <c r="I207" s="166">
        <f t="shared" si="65"/>
        <v>35958</v>
      </c>
      <c r="J207" s="167">
        <f t="shared" si="66"/>
        <v>6.2973884699542172E-3</v>
      </c>
      <c r="K207" s="458"/>
      <c r="L207" s="163"/>
      <c r="M207" s="163"/>
      <c r="O207" s="329">
        <f t="shared" si="67"/>
        <v>1.6217752119790727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'[50]Sch C'!D214</f>
        <v>0</v>
      </c>
      <c r="D208" s="480">
        <f>'[50]Sch C'!F214</f>
        <v>0</v>
      </c>
      <c r="E208" s="480">
        <f>+'[50]Sch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'[50]Sch C'!D215</f>
        <v>0</v>
      </c>
      <c r="D209" s="480">
        <f>'[50]Sch C'!F215</f>
        <v>0</v>
      </c>
      <c r="E209" s="480">
        <f>+'[50]Sch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'[50]Sch C'!D216</f>
        <v>38084</v>
      </c>
      <c r="D210" s="480">
        <f>'[50]Sch C'!F216</f>
        <v>1186</v>
      </c>
      <c r="E210" s="480">
        <f>+'[50]Sch C'!H216</f>
        <v>0</v>
      </c>
      <c r="F210" s="166">
        <f t="shared" si="64"/>
        <v>39270</v>
      </c>
      <c r="G210" s="626">
        <f>-1152-28843</f>
        <v>-29995</v>
      </c>
      <c r="H210" s="626"/>
      <c r="I210" s="166">
        <f t="shared" si="65"/>
        <v>9275</v>
      </c>
      <c r="J210" s="167">
        <f t="shared" si="66"/>
        <v>1.6243472400807987E-3</v>
      </c>
      <c r="K210" s="458"/>
      <c r="L210" s="163"/>
      <c r="M210" s="163"/>
      <c r="O210" s="329">
        <f t="shared" si="67"/>
        <v>0.41832040411329607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264941</v>
      </c>
      <c r="D211" s="480">
        <f t="shared" si="68"/>
        <v>10675</v>
      </c>
      <c r="E211" s="480">
        <f t="shared" si="68"/>
        <v>0</v>
      </c>
      <c r="F211" s="166">
        <f t="shared" ref="F211:I211" si="69">SUM(F205:F210)</f>
        <v>275616</v>
      </c>
      <c r="G211" s="166">
        <f t="shared" si="69"/>
        <v>-31380</v>
      </c>
      <c r="H211" s="166">
        <f t="shared" si="69"/>
        <v>0</v>
      </c>
      <c r="I211" s="166">
        <f t="shared" si="69"/>
        <v>244236</v>
      </c>
      <c r="J211" s="167">
        <f t="shared" si="66"/>
        <v>4.2773484908719565E-2</v>
      </c>
      <c r="K211" s="458"/>
      <c r="L211" s="163"/>
      <c r="M211" s="163"/>
      <c r="O211" s="329">
        <f>I211/I$233</f>
        <v>11.015515064044742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6251155</v>
      </c>
      <c r="D213" s="480">
        <f t="shared" si="70"/>
        <v>-129310</v>
      </c>
      <c r="E213" s="480">
        <f t="shared" si="70"/>
        <v>-119368</v>
      </c>
      <c r="F213" s="166">
        <f t="shared" ref="F213:I213" si="71">SUM(F30:F211)/2</f>
        <v>6002477</v>
      </c>
      <c r="G213" s="166">
        <f t="shared" si="71"/>
        <v>3811</v>
      </c>
      <c r="H213" s="166">
        <f t="shared" si="71"/>
        <v>-296302</v>
      </c>
      <c r="I213" s="166">
        <f t="shared" si="71"/>
        <v>5709986</v>
      </c>
      <c r="J213" s="167">
        <f>IF($I$213=0,0,I213/$I$213)</f>
        <v>1</v>
      </c>
      <c r="K213" s="458"/>
      <c r="L213" s="176">
        <f>SUM(L30:L205)</f>
        <v>142481</v>
      </c>
      <c r="M213" s="176">
        <f>SUM(M30:M205)</f>
        <v>150429</v>
      </c>
      <c r="O213" s="329">
        <f>I213/I$233</f>
        <v>257.53139094353236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'[50]Sch C'!D221</f>
        <v>6251155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111220</v>
      </c>
      <c r="D220" s="480">
        <f t="shared" si="72"/>
        <v>930337.28338327538</v>
      </c>
      <c r="E220" s="480">
        <f t="shared" si="72"/>
        <v>119368</v>
      </c>
      <c r="F220" s="166">
        <f t="shared" ref="F220:I220" si="73">F26-F213</f>
        <v>1160925.2833832754</v>
      </c>
      <c r="G220" s="166">
        <f t="shared" si="73"/>
        <v>118641</v>
      </c>
      <c r="H220" s="166">
        <f t="shared" si="73"/>
        <v>296302</v>
      </c>
      <c r="I220" s="166">
        <f t="shared" si="73"/>
        <v>1575868.2833832754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'[50]Sch D'!C9</f>
        <v>14511</v>
      </c>
      <c r="D224" s="480"/>
      <c r="E224" s="480"/>
      <c r="F224" s="224">
        <f>C224+D224+E224</f>
        <v>14511</v>
      </c>
      <c r="G224" s="627"/>
      <c r="H224" s="223"/>
      <c r="I224" s="224">
        <f>F224+G224+H224</f>
        <v>14511</v>
      </c>
      <c r="J224" s="167">
        <f t="shared" ref="J224:J233" si="74">IF($I$233=0,0,I224/$I$233)</f>
        <v>0.65447411149197188</v>
      </c>
      <c r="K224" s="458"/>
      <c r="L224" s="163"/>
      <c r="M224" s="163"/>
    </row>
    <row r="225" spans="1:13">
      <c r="A225" s="158"/>
      <c r="B225" s="165" t="s">
        <v>201</v>
      </c>
      <c r="C225" s="504">
        <f>'[50]Sch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'[50]Sch D'!E9</f>
        <v>1697</v>
      </c>
      <c r="D226" s="480"/>
      <c r="E226" s="480"/>
      <c r="F226" s="224">
        <f t="shared" si="75"/>
        <v>1697</v>
      </c>
      <c r="G226" s="627"/>
      <c r="H226" s="223"/>
      <c r="I226" s="224">
        <f t="shared" si="76"/>
        <v>1697</v>
      </c>
      <c r="J226" s="167">
        <f t="shared" si="74"/>
        <v>7.6537975825365326E-2</v>
      </c>
      <c r="K226" s="458"/>
      <c r="L226" s="163"/>
      <c r="M226" s="163"/>
    </row>
    <row r="227" spans="1:13">
      <c r="A227" s="158"/>
      <c r="B227" s="194" t="s">
        <v>315</v>
      </c>
      <c r="C227" s="504">
        <f>'[50]Sch D'!F9</f>
        <v>1745</v>
      </c>
      <c r="D227" s="480"/>
      <c r="E227" s="480"/>
      <c r="F227" s="224">
        <f t="shared" si="75"/>
        <v>1745</v>
      </c>
      <c r="G227" s="627"/>
      <c r="H227" s="223"/>
      <c r="I227" s="224">
        <f t="shared" si="76"/>
        <v>1745</v>
      </c>
      <c r="J227" s="167">
        <f t="shared" si="74"/>
        <v>7.8702868482771068E-2</v>
      </c>
      <c r="K227" s="458"/>
      <c r="L227" s="163"/>
      <c r="M227" s="163"/>
    </row>
    <row r="228" spans="1:13">
      <c r="A228" s="158"/>
      <c r="B228" s="165" t="s">
        <v>65</v>
      </c>
      <c r="C228" s="504">
        <f>'[50]Sch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'[50]Sch D'!H9</f>
        <v>1443</v>
      </c>
      <c r="D229" s="480"/>
      <c r="E229" s="480"/>
      <c r="F229" s="224">
        <f t="shared" si="75"/>
        <v>1443</v>
      </c>
      <c r="G229" s="627"/>
      <c r="H229" s="223"/>
      <c r="I229" s="224">
        <f t="shared" si="76"/>
        <v>1443</v>
      </c>
      <c r="J229" s="167">
        <f t="shared" si="74"/>
        <v>6.5082085513259974E-2</v>
      </c>
      <c r="K229" s="458"/>
      <c r="L229" s="163"/>
      <c r="M229" s="163"/>
    </row>
    <row r="230" spans="1:13">
      <c r="A230" s="158"/>
      <c r="B230" s="165" t="s">
        <v>219</v>
      </c>
      <c r="C230" s="504">
        <f>'[50]Sch D'!I9</f>
        <v>1800</v>
      </c>
      <c r="D230" s="480"/>
      <c r="E230" s="480"/>
      <c r="F230" s="224">
        <f t="shared" si="75"/>
        <v>1800</v>
      </c>
      <c r="G230" s="627"/>
      <c r="H230" s="223"/>
      <c r="I230" s="224">
        <f t="shared" si="76"/>
        <v>1800</v>
      </c>
      <c r="J230" s="167">
        <f t="shared" si="74"/>
        <v>8.1183474652715137E-2</v>
      </c>
      <c r="K230" s="458"/>
      <c r="L230" s="163"/>
      <c r="M230" s="163"/>
    </row>
    <row r="231" spans="1:13">
      <c r="A231" s="158"/>
      <c r="B231" s="165" t="s">
        <v>218</v>
      </c>
      <c r="C231" s="504">
        <f>'[50]Sch D'!J9</f>
        <v>138</v>
      </c>
      <c r="D231" s="480"/>
      <c r="E231" s="480"/>
      <c r="F231" s="224">
        <f t="shared" si="75"/>
        <v>138</v>
      </c>
      <c r="G231" s="627"/>
      <c r="H231" s="223"/>
      <c r="I231" s="224">
        <f t="shared" si="76"/>
        <v>138</v>
      </c>
      <c r="J231" s="167">
        <f>IF($I$233=0,0,I231/$I$233)</f>
        <v>6.2240663900414933E-3</v>
      </c>
      <c r="K231" s="458"/>
      <c r="L231" s="163"/>
      <c r="M231" s="163"/>
    </row>
    <row r="232" spans="1:13">
      <c r="A232" s="158"/>
      <c r="B232" s="165" t="s">
        <v>170</v>
      </c>
      <c r="C232" s="504">
        <f>'[50]Sch D'!K9</f>
        <v>838</v>
      </c>
      <c r="D232" s="480"/>
      <c r="E232" s="480"/>
      <c r="F232" s="224">
        <f t="shared" si="75"/>
        <v>838</v>
      </c>
      <c r="G232" s="627"/>
      <c r="H232" s="223"/>
      <c r="I232" s="224">
        <f t="shared" si="76"/>
        <v>838</v>
      </c>
      <c r="J232" s="167">
        <f t="shared" si="74"/>
        <v>3.7795417643875159E-2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22172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22172</v>
      </c>
      <c r="G233" s="226">
        <f t="shared" si="78"/>
        <v>0</v>
      </c>
      <c r="H233" s="226">
        <f t="shared" si="78"/>
        <v>0</v>
      </c>
      <c r="I233" s="226">
        <f t="shared" si="78"/>
        <v>22172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'[50]Sch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'[50]Sch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'[50]Sch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'[50]Sch D'!N30</f>
        <v>0.50621004566210048</v>
      </c>
      <c r="D241" s="228"/>
      <c r="E241" s="228"/>
      <c r="F241" s="232">
        <f>F233/F240</f>
        <v>0.50621004566210048</v>
      </c>
      <c r="G241"/>
      <c r="H241" s="233"/>
      <c r="I241" s="232">
        <f>I233/I240</f>
        <v>0.50621004566210048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'[50]Sch D'!N32</f>
        <v>0.33130136986301367</v>
      </c>
      <c r="D242" s="228"/>
      <c r="E242" s="228"/>
      <c r="F242" s="232">
        <f>(F224+F225)/F240</f>
        <v>0.33130136986301367</v>
      </c>
      <c r="G242"/>
      <c r="H242" s="233"/>
      <c r="I242" s="232">
        <f>(I224+I225)/I240</f>
        <v>0.33130136986301367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'[50]Sch D'!N34</f>
        <v>0.65447411149197177</v>
      </c>
      <c r="D243" s="228"/>
      <c r="E243" s="228"/>
      <c r="F243" s="232">
        <f>(F242/F241)</f>
        <v>0.65447411149197177</v>
      </c>
      <c r="G243"/>
      <c r="H243" s="233"/>
      <c r="I243" s="232">
        <f>(I242/I241)</f>
        <v>0.65447411149197177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'[50]Sch B'!C90</f>
        <v>212.71095571095572</v>
      </c>
      <c r="K246" s="460"/>
    </row>
    <row r="247" spans="1:13">
      <c r="H247" s="140" t="s">
        <v>322</v>
      </c>
      <c r="I247" s="480">
        <f>'[50]Sch B'!E90</f>
        <v>143.45876288659792</v>
      </c>
      <c r="K247" s="460"/>
    </row>
    <row r="248" spans="1:13">
      <c r="H248" s="140" t="s">
        <v>323</v>
      </c>
      <c r="I248" s="480">
        <f>'[50]Sch B'!G90</f>
        <v>175.94632768361581</v>
      </c>
      <c r="K248" s="460"/>
    </row>
    <row r="249" spans="1:13">
      <c r="H249" s="140" t="s">
        <v>324</v>
      </c>
      <c r="I249" s="480">
        <f>'[50]Sch B'!I90</f>
        <v>221.9889705882353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4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7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442</v>
      </c>
      <c r="D2" s="234"/>
      <c r="E2" s="234"/>
      <c r="F2" s="562" t="s">
        <v>443</v>
      </c>
      <c r="G2" s="562"/>
    </row>
    <row r="3" spans="1:16">
      <c r="A3" s="143"/>
      <c r="B3" s="138" t="s">
        <v>71</v>
      </c>
      <c r="C3" s="557">
        <f>'[51]Sch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'[51]Sch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'[51]Sch B'!E10</f>
        <v>2402232</v>
      </c>
      <c r="D12" s="480">
        <f>'[51]Sch B'!G10</f>
        <v>0</v>
      </c>
      <c r="E12" s="480"/>
      <c r="F12" s="166">
        <f>C12+D12+E12</f>
        <v>2402232</v>
      </c>
      <c r="G12" s="626"/>
      <c r="H12" s="607"/>
      <c r="I12" s="166">
        <f>F12+G12+H12</f>
        <v>2402232</v>
      </c>
      <c r="J12" s="167">
        <f>IF($I$26=0,0,I12/$I$26)</f>
        <v>0.45071216476294007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'[51]Sch B'!E12</f>
        <v>718689</v>
      </c>
      <c r="D13" s="480">
        <f>'[51]Sch B'!G12</f>
        <v>983964.36151881074</v>
      </c>
      <c r="E13" s="480"/>
      <c r="F13" s="166">
        <f t="shared" ref="F13:F25" si="0">C13+D13+E13</f>
        <v>1702653.3615188107</v>
      </c>
      <c r="G13" s="626">
        <v>-85314</v>
      </c>
      <c r="H13" s="607"/>
      <c r="I13" s="166">
        <f t="shared" ref="I13:I25" si="1">F13+G13+H13</f>
        <v>1617339.3615188107</v>
      </c>
      <c r="J13" s="167">
        <f>IF($I$26=0,0,I13/$I$26)</f>
        <v>0.30344884456890697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'[51]Sch B'!E13</f>
        <v>55844</v>
      </c>
      <c r="D14" s="480">
        <f>'[51]Sch B'!G13</f>
        <v>0</v>
      </c>
      <c r="E14" s="480"/>
      <c r="F14" s="166">
        <f t="shared" si="0"/>
        <v>55844</v>
      </c>
      <c r="G14" s="626"/>
      <c r="H14" s="607"/>
      <c r="I14" s="166">
        <f t="shared" si="1"/>
        <v>55844</v>
      </c>
      <c r="J14" s="167">
        <f>IF($I$26=0,0,I14/$I$26)</f>
        <v>1.0477576740723471E-2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'[51]Sch B'!E14</f>
        <v>48519</v>
      </c>
      <c r="D15" s="480">
        <f>'[51]Sch B'!G14</f>
        <v>0</v>
      </c>
      <c r="E15" s="480"/>
      <c r="F15" s="166">
        <f t="shared" si="0"/>
        <v>48519</v>
      </c>
      <c r="G15" s="626"/>
      <c r="H15" s="607"/>
      <c r="I15" s="166">
        <f t="shared" si="1"/>
        <v>48519</v>
      </c>
      <c r="J15" s="167">
        <f>IF($I$26=0,0,I15/$I$26)</f>
        <v>9.1032437841695093E-3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'[51]Sch B'!E15</f>
        <v>3225284</v>
      </c>
      <c r="D16" s="480">
        <f>'[51]Sch B'!G15</f>
        <v>983964.36151881074</v>
      </c>
      <c r="E16" s="480"/>
      <c r="F16" s="166">
        <f t="shared" si="0"/>
        <v>4209248.3615188105</v>
      </c>
      <c r="G16" s="626"/>
      <c r="H16" s="607"/>
      <c r="I16" s="166">
        <f>SUM(I12:I15)</f>
        <v>4123934.3615188105</v>
      </c>
      <c r="J16" s="167">
        <f t="shared" ref="J16:J26" si="2">IF($I$26=0,0,I16/$I$26)</f>
        <v>0.77374182985674</v>
      </c>
      <c r="K16" s="458"/>
      <c r="L16" s="333" t="s">
        <v>325</v>
      </c>
      <c r="M16" s="334">
        <f>I26</f>
        <v>5329858.3615188105</v>
      </c>
      <c r="O16" s="324">
        <f>IFERROR(I16/I224,0)</f>
        <v>310.21019719563793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'[51]Sch B'!E20</f>
        <v>0</v>
      </c>
      <c r="D17" s="480">
        <f>'[51]Sch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4198792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'[51]Sch B'!E26</f>
        <v>360005</v>
      </c>
      <c r="D18" s="480">
        <f>'[51]Sch B'!G26</f>
        <v>0</v>
      </c>
      <c r="E18" s="480"/>
      <c r="F18" s="166">
        <f t="shared" si="0"/>
        <v>360005</v>
      </c>
      <c r="G18" s="626"/>
      <c r="H18" s="607"/>
      <c r="I18" s="166">
        <f t="shared" si="1"/>
        <v>360005</v>
      </c>
      <c r="J18" s="167">
        <f t="shared" si="2"/>
        <v>6.7544946897502928E-2</v>
      </c>
      <c r="K18" s="458"/>
      <c r="L18" s="335" t="s">
        <v>327</v>
      </c>
      <c r="M18" s="336">
        <f>I233</f>
        <v>16891</v>
      </c>
      <c r="O18" s="324">
        <f t="shared" si="3"/>
        <v>687.03244274809163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'[51]Sch B'!E32</f>
        <v>403836.3255004352</v>
      </c>
      <c r="D19" s="480">
        <f>'[51]Sch B'!G32</f>
        <v>0</v>
      </c>
      <c r="E19" s="480"/>
      <c r="F19" s="166">
        <f t="shared" si="0"/>
        <v>403836.3255004352</v>
      </c>
      <c r="G19" s="626"/>
      <c r="H19" s="607"/>
      <c r="I19" s="166">
        <f t="shared" si="1"/>
        <v>403836.3255004352</v>
      </c>
      <c r="J19" s="170">
        <f t="shared" si="2"/>
        <v>7.576867866060083E-2</v>
      </c>
      <c r="K19" s="464"/>
      <c r="L19" s="335" t="s">
        <v>328</v>
      </c>
      <c r="M19" s="336">
        <f>I236</f>
        <v>99</v>
      </c>
      <c r="O19" s="324">
        <f t="shared" si="3"/>
        <v>429.15656269971862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'[51]Sch B'!E37</f>
        <v>0</v>
      </c>
      <c r="D20" s="480">
        <f>'[51]Sch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36135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'[51]Sch B'!E42</f>
        <v>179300</v>
      </c>
      <c r="D21" s="480">
        <f>'[51]Sch B'!G42</f>
        <v>0</v>
      </c>
      <c r="E21" s="480"/>
      <c r="F21" s="166">
        <f t="shared" si="0"/>
        <v>179300</v>
      </c>
      <c r="G21" s="626"/>
      <c r="H21" s="607"/>
      <c r="I21" s="166">
        <f t="shared" si="1"/>
        <v>179300</v>
      </c>
      <c r="J21" s="167">
        <f t="shared" si="2"/>
        <v>3.3640668820494921E-2</v>
      </c>
      <c r="K21" s="458"/>
      <c r="L21" s="337"/>
      <c r="M21" s="336"/>
      <c r="O21" s="324">
        <f t="shared" si="3"/>
        <v>187.74869109947645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'[51]Sch B'!E47</f>
        <v>171589</v>
      </c>
      <c r="D22" s="480">
        <f>'[51]Sch B'!G47</f>
        <v>0</v>
      </c>
      <c r="E22" s="480"/>
      <c r="F22" s="166">
        <f t="shared" si="0"/>
        <v>171589</v>
      </c>
      <c r="G22" s="626"/>
      <c r="H22" s="607"/>
      <c r="I22" s="166">
        <f t="shared" si="1"/>
        <v>171589</v>
      </c>
      <c r="J22" s="167">
        <f t="shared" si="2"/>
        <v>3.2193913676742347E-2</v>
      </c>
      <c r="K22" s="458"/>
      <c r="L22" s="335" t="s">
        <v>148</v>
      </c>
      <c r="M22" s="336">
        <f>L213</f>
        <v>104927</v>
      </c>
      <c r="O22" s="324">
        <f t="shared" si="3"/>
        <v>185.50162162162161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'[51]Sch B'!E52</f>
        <v>8162</v>
      </c>
      <c r="D23" s="480">
        <f>'[51]Sch B'!G52</f>
        <v>0</v>
      </c>
      <c r="E23" s="480"/>
      <c r="F23" s="166">
        <f t="shared" si="0"/>
        <v>8162</v>
      </c>
      <c r="G23" s="626"/>
      <c r="H23" s="607"/>
      <c r="I23" s="166">
        <f t="shared" si="1"/>
        <v>8162</v>
      </c>
      <c r="J23" s="167">
        <f t="shared" si="2"/>
        <v>1.5313727769820388E-3</v>
      </c>
      <c r="K23" s="458"/>
      <c r="L23" s="338" t="s">
        <v>233</v>
      </c>
      <c r="M23" s="339">
        <f>M213</f>
        <v>109711</v>
      </c>
      <c r="O23" s="324">
        <f t="shared" si="3"/>
        <v>185.5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'[51]Sch B'!E57</f>
        <v>83329.674499564848</v>
      </c>
      <c r="D24" s="480">
        <f>'[51]Sch B'!G57</f>
        <v>0</v>
      </c>
      <c r="E24" s="480"/>
      <c r="F24" s="166">
        <f t="shared" si="0"/>
        <v>83329.674499564848</v>
      </c>
      <c r="G24" s="626"/>
      <c r="H24" s="607"/>
      <c r="I24" s="166">
        <f t="shared" si="1"/>
        <v>83329.674499564848</v>
      </c>
      <c r="J24" s="167">
        <f t="shared" si="2"/>
        <v>1.5634500740432246E-2</v>
      </c>
      <c r="K24" s="458"/>
      <c r="L24" s="163"/>
      <c r="M24" s="163"/>
      <c r="O24" s="324">
        <f t="shared" si="3"/>
        <v>400.62343509406179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'[51]Sch B'!E72</f>
        <v>-298</v>
      </c>
      <c r="D25" s="480">
        <f>'[51]Sch B'!G72</f>
        <v>0</v>
      </c>
      <c r="E25" s="480"/>
      <c r="F25" s="166">
        <f t="shared" si="0"/>
        <v>-298</v>
      </c>
      <c r="G25" s="626"/>
      <c r="H25" s="607"/>
      <c r="I25" s="166">
        <f t="shared" si="1"/>
        <v>-298</v>
      </c>
      <c r="J25" s="167">
        <f t="shared" si="2"/>
        <v>-5.59114294953011E-5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4431208</v>
      </c>
      <c r="D26" s="480">
        <f t="shared" ref="D26:F26" si="4">SUM(D16:D25)</f>
        <v>983964.36151881074</v>
      </c>
      <c r="E26" s="480">
        <f t="shared" si="4"/>
        <v>0</v>
      </c>
      <c r="F26" s="166">
        <f t="shared" si="4"/>
        <v>5415172.3615188105</v>
      </c>
      <c r="G26" s="166">
        <f>SUM(G12:G25)</f>
        <v>-85314</v>
      </c>
      <c r="H26" s="166">
        <f>SUM(H12:H25)</f>
        <v>0</v>
      </c>
      <c r="I26" s="166">
        <f>SUM(I16:I25)</f>
        <v>5329858.3615188105</v>
      </c>
      <c r="J26" s="167">
        <f t="shared" si="2"/>
        <v>1</v>
      </c>
      <c r="K26" s="458"/>
      <c r="L26" s="163"/>
      <c r="M26" s="163"/>
      <c r="O26" s="324">
        <f>IFERROR(I26/I233,0)</f>
        <v>315.54427573967263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N29" s="51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'[51]Sch C'!D10</f>
        <v>79928</v>
      </c>
      <c r="D30" s="480">
        <f>'[51]Sch C'!F10</f>
        <v>-26209</v>
      </c>
      <c r="E30" s="480">
        <f>+'[51]Sch C'!H10</f>
        <v>0</v>
      </c>
      <c r="F30" s="166">
        <f t="shared" ref="F30:F65" si="5">C30+D30+E30</f>
        <v>53719</v>
      </c>
      <c r="G30" s="626">
        <v>26209</v>
      </c>
      <c r="H30" s="607"/>
      <c r="I30" s="166">
        <f t="shared" ref="I30:I65" si="6">F30+G30+H30</f>
        <v>79928</v>
      </c>
      <c r="J30" s="167">
        <f>IF($I$213=0,0,I30/$I$213)</f>
        <v>1.9035951292657508E-2</v>
      </c>
      <c r="K30" s="458"/>
      <c r="L30" s="176">
        <v>2080</v>
      </c>
      <c r="M30" s="176">
        <v>2080</v>
      </c>
      <c r="N30" s="520"/>
      <c r="O30" s="324">
        <f>I30/I$233</f>
        <v>4.7319874489373035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'[51]Sch C'!D11</f>
        <v>0</v>
      </c>
      <c r="D31" s="480">
        <f>'[51]Sch C'!F11</f>
        <v>0</v>
      </c>
      <c r="E31" s="480">
        <f>+'[51]Sch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N31" s="520"/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'[51]Sch C'!D12</f>
        <v>162846</v>
      </c>
      <c r="D32" s="480">
        <f>'[51]Sch C'!F12</f>
        <v>0</v>
      </c>
      <c r="E32" s="480">
        <f>+'[51]Sch C'!H12</f>
        <v>0</v>
      </c>
      <c r="F32" s="166">
        <f t="shared" si="5"/>
        <v>162846</v>
      </c>
      <c r="G32" s="626"/>
      <c r="H32" s="607"/>
      <c r="I32" s="166">
        <f t="shared" si="6"/>
        <v>162846</v>
      </c>
      <c r="J32" s="167">
        <f t="shared" si="7"/>
        <v>3.8784012163498451E-2</v>
      </c>
      <c r="K32" s="458"/>
      <c r="L32" s="176">
        <v>8344</v>
      </c>
      <c r="M32" s="176">
        <v>8756</v>
      </c>
      <c r="N32" s="520"/>
      <c r="O32" s="324">
        <f t="shared" si="8"/>
        <v>9.6409922443905032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'[51]Sch C'!D13</f>
        <v>138305</v>
      </c>
      <c r="D33" s="480">
        <f>'[51]Sch C'!F13</f>
        <v>-85792</v>
      </c>
      <c r="E33" s="480">
        <f>+'[51]Sch C'!H13</f>
        <v>0</v>
      </c>
      <c r="F33" s="166">
        <f t="shared" si="5"/>
        <v>52513</v>
      </c>
      <c r="G33" s="626"/>
      <c r="H33" s="607"/>
      <c r="I33" s="166">
        <f t="shared" si="6"/>
        <v>52513</v>
      </c>
      <c r="J33" s="167">
        <f t="shared" si="7"/>
        <v>1.2506692401052493E-2</v>
      </c>
      <c r="K33" s="458"/>
      <c r="L33" s="163"/>
      <c r="M33" s="163"/>
      <c r="N33" s="520"/>
      <c r="O33" s="324">
        <f t="shared" si="8"/>
        <v>3.1089337517020899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'[51]Sch C'!D14</f>
        <v>0</v>
      </c>
      <c r="D34" s="480">
        <f>'[51]Sch C'!F14</f>
        <v>0</v>
      </c>
      <c r="E34" s="480">
        <f>+'[51]Sch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N34" s="520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'[51]Sch C'!D15</f>
        <v>0</v>
      </c>
      <c r="D35" s="480">
        <f>'[51]Sch C'!F15</f>
        <v>0</v>
      </c>
      <c r="E35" s="480">
        <f>+'[51]Sch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N35" s="520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'[51]Sch C'!D16</f>
        <v>221659</v>
      </c>
      <c r="D36" s="480">
        <f>'[51]Sch C'!F16</f>
        <v>0</v>
      </c>
      <c r="E36" s="480">
        <f>+'[51]Sch C'!H16</f>
        <v>-122753</v>
      </c>
      <c r="F36" s="166">
        <f t="shared" si="5"/>
        <v>98906</v>
      </c>
      <c r="G36" s="626"/>
      <c r="H36" s="607">
        <v>225042</v>
      </c>
      <c r="I36" s="166">
        <f t="shared" si="6"/>
        <v>323948</v>
      </c>
      <c r="J36" s="167">
        <f t="shared" si="7"/>
        <v>7.715266676701299E-2</v>
      </c>
      <c r="K36" s="458" t="s">
        <v>374</v>
      </c>
      <c r="L36" s="163"/>
      <c r="M36" s="163"/>
      <c r="N36" s="520"/>
      <c r="O36" s="324">
        <f t="shared" si="8"/>
        <v>19.178734237167724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'[51]Sch C'!D17</f>
        <v>0</v>
      </c>
      <c r="D37" s="480">
        <f>'[51]Sch C'!F17</f>
        <v>0</v>
      </c>
      <c r="E37" s="480">
        <f>+'[51]Sch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N37" s="520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'[51]Sch C'!D18</f>
        <v>9609</v>
      </c>
      <c r="D38" s="480">
        <f>'[51]Sch C'!F18</f>
        <v>0</v>
      </c>
      <c r="E38" s="480">
        <f>+'[51]Sch C'!H18</f>
        <v>0</v>
      </c>
      <c r="F38" s="166">
        <f t="shared" si="5"/>
        <v>9609</v>
      </c>
      <c r="G38" s="626"/>
      <c r="H38" s="607"/>
      <c r="I38" s="166">
        <f t="shared" si="6"/>
        <v>9609</v>
      </c>
      <c r="J38" s="167">
        <f t="shared" si="7"/>
        <v>2.2885153634664445E-3</v>
      </c>
      <c r="K38" s="458"/>
      <c r="L38" s="163"/>
      <c r="M38" s="163"/>
      <c r="N38" s="520"/>
      <c r="O38" s="324">
        <f t="shared" si="8"/>
        <v>0.56888283701379427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'[51]Sch C'!D19</f>
        <v>21613</v>
      </c>
      <c r="D39" s="480">
        <f>'[51]Sch C'!F19</f>
        <v>-1405</v>
      </c>
      <c r="E39" s="480">
        <f>+'[51]Sch C'!H19</f>
        <v>0</v>
      </c>
      <c r="F39" s="166">
        <f t="shared" si="5"/>
        <v>20208</v>
      </c>
      <c r="G39" s="626"/>
      <c r="H39" s="607"/>
      <c r="I39" s="166">
        <f t="shared" si="6"/>
        <v>20208</v>
      </c>
      <c r="J39" s="167">
        <f t="shared" si="7"/>
        <v>4.8128128280705501E-3</v>
      </c>
      <c r="K39" s="458"/>
      <c r="L39" s="163"/>
      <c r="M39" s="163"/>
      <c r="N39" s="520"/>
      <c r="O39" s="324">
        <f t="shared" si="8"/>
        <v>1.196376768693387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'[51]Sch C'!D20</f>
        <v>15646</v>
      </c>
      <c r="D40" s="480">
        <f>'[51]Sch C'!F20</f>
        <v>0</v>
      </c>
      <c r="E40" s="480">
        <f>+'[51]Sch C'!H20</f>
        <v>0</v>
      </c>
      <c r="F40" s="166">
        <f t="shared" si="5"/>
        <v>15646</v>
      </c>
      <c r="G40" s="626"/>
      <c r="H40" s="607"/>
      <c r="I40" s="166">
        <f t="shared" si="6"/>
        <v>15646</v>
      </c>
      <c r="J40" s="167">
        <f t="shared" si="7"/>
        <v>3.7263098529291281E-3</v>
      </c>
      <c r="K40" s="458"/>
      <c r="L40" s="163"/>
      <c r="M40" s="163"/>
      <c r="N40" s="520"/>
      <c r="O40" s="324">
        <f t="shared" si="8"/>
        <v>0.9262921082233142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'[51]Sch C'!D21</f>
        <v>1431</v>
      </c>
      <c r="D41" s="480">
        <f>'[51]Sch C'!F21</f>
        <v>0</v>
      </c>
      <c r="E41" s="480">
        <f>+'[51]Sch C'!H21</f>
        <v>0</v>
      </c>
      <c r="F41" s="166">
        <f t="shared" si="5"/>
        <v>1431</v>
      </c>
      <c r="G41" s="626"/>
      <c r="H41" s="607"/>
      <c r="I41" s="166">
        <f t="shared" si="6"/>
        <v>1431</v>
      </c>
      <c r="J41" s="167">
        <f t="shared" si="7"/>
        <v>3.4081230982625478E-4</v>
      </c>
      <c r="K41" s="458"/>
      <c r="L41" s="163"/>
      <c r="M41" s="163"/>
      <c r="N41" s="520"/>
      <c r="O41" s="324">
        <f t="shared" si="8"/>
        <v>8.4719673198744891E-2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'[51]Sch C'!D22</f>
        <v>0</v>
      </c>
      <c r="D42" s="480">
        <f>'[51]Sch C'!F22</f>
        <v>0</v>
      </c>
      <c r="E42" s="480">
        <f>+'[51]Sch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N42" s="520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'[51]Sch C'!D23</f>
        <v>8942</v>
      </c>
      <c r="D43" s="480">
        <f>'[51]Sch C'!F23</f>
        <v>0</v>
      </c>
      <c r="E43" s="480">
        <f>+'[51]Sch C'!H23</f>
        <v>0</v>
      </c>
      <c r="F43" s="166">
        <f t="shared" si="5"/>
        <v>8942</v>
      </c>
      <c r="G43" s="626"/>
      <c r="H43" s="607"/>
      <c r="I43" s="166">
        <f t="shared" si="6"/>
        <v>8942</v>
      </c>
      <c r="J43" s="167">
        <f t="shared" si="7"/>
        <v>2.1296601498716774E-3</v>
      </c>
      <c r="K43" s="458"/>
      <c r="L43" s="163"/>
      <c r="M43" s="163"/>
      <c r="N43" s="520"/>
      <c r="O43" s="324">
        <f t="shared" si="8"/>
        <v>0.52939435202178675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'[51]Sch C'!D24</f>
        <v>47699</v>
      </c>
      <c r="D44" s="480">
        <f>'[51]Sch C'!F24</f>
        <v>0</v>
      </c>
      <c r="E44" s="480">
        <f>+'[51]Sch C'!H24</f>
        <v>-12941</v>
      </c>
      <c r="F44" s="166">
        <f t="shared" si="5"/>
        <v>34758</v>
      </c>
      <c r="G44" s="626"/>
      <c r="H44" s="607"/>
      <c r="I44" s="166">
        <f t="shared" si="6"/>
        <v>34758</v>
      </c>
      <c r="J44" s="167">
        <f t="shared" si="7"/>
        <v>8.2780952235785906E-3</v>
      </c>
      <c r="K44" s="458"/>
      <c r="L44" s="163"/>
      <c r="M44" s="163"/>
      <c r="N44" s="520"/>
      <c r="O44" s="324">
        <f t="shared" si="8"/>
        <v>2.0577822509028478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'[51]Sch C'!D25</f>
        <v>0</v>
      </c>
      <c r="D45" s="480">
        <f>'[51]Sch C'!F25</f>
        <v>0</v>
      </c>
      <c r="E45" s="480">
        <f>+'[51]Sch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N45" s="520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'[51]Sch C'!D26</f>
        <v>320257</v>
      </c>
      <c r="D46" s="480">
        <f>'[51]Sch C'!F26</f>
        <v>0</v>
      </c>
      <c r="E46" s="480">
        <f>+'[51]Sch C'!H26</f>
        <v>0</v>
      </c>
      <c r="F46" s="166">
        <f t="shared" si="5"/>
        <v>320257</v>
      </c>
      <c r="G46" s="626"/>
      <c r="H46" s="607"/>
      <c r="I46" s="166">
        <f t="shared" si="6"/>
        <v>320257</v>
      </c>
      <c r="J46" s="167">
        <f t="shared" si="7"/>
        <v>7.6273604408125001E-2</v>
      </c>
      <c r="K46" s="458"/>
      <c r="L46" s="163"/>
      <c r="M46" s="163"/>
      <c r="N46" s="520"/>
      <c r="O46" s="324">
        <f t="shared" si="8"/>
        <v>18.960215499378368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'[51]Sch C'!D27</f>
        <v>0</v>
      </c>
      <c r="D47" s="480">
        <f>'[51]Sch C'!F27</f>
        <v>0</v>
      </c>
      <c r="E47" s="480">
        <f>+'[51]Sch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N47" s="520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'[51]Sch C'!D28</f>
        <v>0</v>
      </c>
      <c r="D48" s="480">
        <f>'[51]Sch C'!F28</f>
        <v>0</v>
      </c>
      <c r="E48" s="480">
        <f>+'[51]Sch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N48" s="520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'[51]Sch C'!D29</f>
        <v>88351</v>
      </c>
      <c r="D49" s="480">
        <f>'[51]Sch C'!F29</f>
        <v>-88351</v>
      </c>
      <c r="E49" s="480">
        <f>+'[51]Sch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N49" s="520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'[51]Sch C'!D30</f>
        <v>0</v>
      </c>
      <c r="D50" s="480">
        <f>'[51]Sch C'!F30</f>
        <v>0</v>
      </c>
      <c r="E50" s="480">
        <f>+'[51]Sch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N50" s="520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'[51]Sch C'!D31</f>
        <v>47486</v>
      </c>
      <c r="D51" s="480">
        <f>'[51]Sch C'!F31</f>
        <v>0</v>
      </c>
      <c r="E51" s="480">
        <f>+'[51]Sch C'!H31</f>
        <v>-27822</v>
      </c>
      <c r="F51" s="166">
        <f t="shared" si="5"/>
        <v>19664</v>
      </c>
      <c r="G51" s="626"/>
      <c r="H51" s="607"/>
      <c r="I51" s="166">
        <f t="shared" si="6"/>
        <v>19664</v>
      </c>
      <c r="J51" s="167">
        <f t="shared" si="7"/>
        <v>4.6832517543140975E-3</v>
      </c>
      <c r="K51" s="458"/>
      <c r="L51" s="163"/>
      <c r="M51" s="163"/>
      <c r="N51" s="520"/>
      <c r="O51" s="324">
        <f t="shared" si="8"/>
        <v>1.1641702681901605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'[51]Sch C'!D32</f>
        <v>86884</v>
      </c>
      <c r="D52" s="480">
        <f>'[51]Sch C'!F32</f>
        <v>0</v>
      </c>
      <c r="E52" s="480">
        <f>+'[51]Sch C'!H32</f>
        <v>-39098</v>
      </c>
      <c r="F52" s="166">
        <f t="shared" si="5"/>
        <v>47786</v>
      </c>
      <c r="G52" s="626"/>
      <c r="H52" s="607"/>
      <c r="I52" s="166">
        <f t="shared" si="6"/>
        <v>47786</v>
      </c>
      <c r="J52" s="167">
        <f t="shared" si="7"/>
        <v>1.1380892409054795E-2</v>
      </c>
      <c r="K52" s="458"/>
      <c r="L52" s="163"/>
      <c r="M52" s="163"/>
      <c r="N52" s="520"/>
      <c r="O52" s="324">
        <f t="shared" si="8"/>
        <v>2.829080575454384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'[51]Sch C'!D33</f>
        <v>0</v>
      </c>
      <c r="D53" s="480">
        <f>'[51]Sch C'!F33</f>
        <v>0</v>
      </c>
      <c r="E53" s="480">
        <f>+'[51]Sch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N53" s="520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'[51]Sch C'!D34</f>
        <v>0</v>
      </c>
      <c r="D54" s="480">
        <f>'[51]Sch C'!F34</f>
        <v>0</v>
      </c>
      <c r="E54" s="480">
        <f>+'[51]Sch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N54" s="520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'[51]Sch C'!D35</f>
        <v>93</v>
      </c>
      <c r="D55" s="480">
        <f>'[51]Sch C'!F35</f>
        <v>-93</v>
      </c>
      <c r="E55" s="480">
        <f>+'[51]Sch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N55" s="520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'[51]Sch C'!D36</f>
        <v>0</v>
      </c>
      <c r="D56" s="480">
        <f>'[51]Sch C'!F36</f>
        <v>0</v>
      </c>
      <c r="E56" s="480">
        <f>+'[51]Sch C'!H36</f>
        <v>0</v>
      </c>
      <c r="F56" s="166">
        <f t="shared" si="5"/>
        <v>0</v>
      </c>
      <c r="G56" s="626"/>
      <c r="H56" s="607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N56" s="520"/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'[51]Sch C'!D37</f>
        <v>0</v>
      </c>
      <c r="D57" s="480">
        <f>'[51]Sch C'!F37</f>
        <v>0</v>
      </c>
      <c r="E57" s="480">
        <f>+'[51]Sch C'!H37</f>
        <v>0</v>
      </c>
      <c r="F57" s="166">
        <f t="shared" si="5"/>
        <v>0</v>
      </c>
      <c r="G57" s="626"/>
      <c r="H57" s="607"/>
      <c r="I57" s="166">
        <f t="shared" si="6"/>
        <v>0</v>
      </c>
      <c r="J57" s="167">
        <f t="shared" si="7"/>
        <v>0</v>
      </c>
      <c r="K57" s="458"/>
      <c r="L57" s="163"/>
      <c r="M57" s="163"/>
      <c r="N57" s="520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'[51]Sch C'!D38</f>
        <v>0</v>
      </c>
      <c r="D58" s="480">
        <f>'[51]Sch C'!F38</f>
        <v>0</v>
      </c>
      <c r="E58" s="480">
        <f>+'[51]Sch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N58" s="520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'[51]Sch C'!D39</f>
        <v>6503</v>
      </c>
      <c r="D59" s="480">
        <f>'[51]Sch C'!F39</f>
        <v>0</v>
      </c>
      <c r="E59" s="480">
        <f>+'[51]Sch C'!H39</f>
        <v>0</v>
      </c>
      <c r="F59" s="166">
        <f t="shared" si="5"/>
        <v>6503</v>
      </c>
      <c r="G59" s="626"/>
      <c r="H59" s="607"/>
      <c r="I59" s="166">
        <f t="shared" si="6"/>
        <v>6503</v>
      </c>
      <c r="J59" s="167">
        <f t="shared" si="7"/>
        <v>1.54877879161435E-3</v>
      </c>
      <c r="K59" s="458"/>
      <c r="L59" s="163"/>
      <c r="M59" s="163"/>
      <c r="N59" s="520"/>
      <c r="O59" s="324">
        <f t="shared" si="8"/>
        <v>0.38499792789059262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'[51]Sch C'!D40</f>
        <v>1528</v>
      </c>
      <c r="D60" s="480">
        <f>'[51]Sch C'!F40</f>
        <v>0</v>
      </c>
      <c r="E60" s="480">
        <f>+'[51]Sch C'!H40</f>
        <v>0</v>
      </c>
      <c r="F60" s="166">
        <f t="shared" si="5"/>
        <v>1528</v>
      </c>
      <c r="G60" s="626"/>
      <c r="H60" s="607"/>
      <c r="I60" s="166">
        <f t="shared" si="6"/>
        <v>1528</v>
      </c>
      <c r="J60" s="167">
        <f t="shared" si="7"/>
        <v>3.6391419246297504E-4</v>
      </c>
      <c r="K60" s="458"/>
      <c r="L60" s="163"/>
      <c r="M60" s="163"/>
      <c r="N60" s="520"/>
      <c r="O60" s="324">
        <f t="shared" si="8"/>
        <v>9.0462376413474627E-2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'[51]Sch C'!D41</f>
        <v>25604</v>
      </c>
      <c r="D61" s="480">
        <f>'[51]Sch C'!F41</f>
        <v>0</v>
      </c>
      <c r="E61" s="480">
        <f>+'[51]Sch C'!H41</f>
        <v>0</v>
      </c>
      <c r="F61" s="166">
        <f t="shared" si="5"/>
        <v>25604</v>
      </c>
      <c r="G61" s="626"/>
      <c r="H61" s="607"/>
      <c r="I61" s="166">
        <f t="shared" si="6"/>
        <v>25604</v>
      </c>
      <c r="J61" s="167">
        <f t="shared" si="7"/>
        <v>6.0979443611400615E-3</v>
      </c>
      <c r="K61" s="458"/>
      <c r="L61" s="163"/>
      <c r="M61" s="163"/>
      <c r="N61" s="520"/>
      <c r="O61" s="324">
        <f t="shared" si="8"/>
        <v>1.5158368361849506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'[51]Sch C'!D42</f>
        <v>4649</v>
      </c>
      <c r="D62" s="480">
        <f>'[51]Sch C'!F42</f>
        <v>0</v>
      </c>
      <c r="E62" s="480">
        <f>+'[51]Sch C'!H42</f>
        <v>0</v>
      </c>
      <c r="F62" s="166">
        <f t="shared" si="5"/>
        <v>4649</v>
      </c>
      <c r="G62" s="626"/>
      <c r="H62" s="607"/>
      <c r="I62" s="166">
        <f t="shared" si="6"/>
        <v>4649</v>
      </c>
      <c r="J62" s="167">
        <f t="shared" si="7"/>
        <v>1.107223220392913E-3</v>
      </c>
      <c r="K62" s="458"/>
      <c r="L62" s="163"/>
      <c r="M62" s="163"/>
      <c r="N62" s="520"/>
      <c r="O62" s="324">
        <f t="shared" si="8"/>
        <v>0.27523533242555209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'[51]Sch C'!D43</f>
        <v>8198</v>
      </c>
      <c r="D63" s="480">
        <f>'[51]Sch C'!F43</f>
        <v>0</v>
      </c>
      <c r="E63" s="480">
        <f>+'[51]Sch C'!H43</f>
        <v>0</v>
      </c>
      <c r="F63" s="166">
        <f t="shared" si="5"/>
        <v>8198</v>
      </c>
      <c r="G63" s="626">
        <v>-8198</v>
      </c>
      <c r="H63" s="607"/>
      <c r="I63" s="166">
        <f t="shared" si="6"/>
        <v>0</v>
      </c>
      <c r="J63" s="167">
        <f t="shared" si="7"/>
        <v>0</v>
      </c>
      <c r="K63" s="162" t="s">
        <v>663</v>
      </c>
      <c r="L63" s="163"/>
      <c r="M63" s="163"/>
      <c r="N63" s="520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'[51]Sch C'!D44</f>
        <v>125</v>
      </c>
      <c r="D64" s="480">
        <f>'[51]Sch C'!F44</f>
        <v>0</v>
      </c>
      <c r="E64" s="480">
        <f>+'[51]Sch C'!H44</f>
        <v>0</v>
      </c>
      <c r="F64" s="166">
        <f t="shared" si="5"/>
        <v>125</v>
      </c>
      <c r="G64" s="626"/>
      <c r="H64" s="607"/>
      <c r="I64" s="166">
        <f t="shared" si="6"/>
        <v>125</v>
      </c>
      <c r="J64" s="167">
        <f t="shared" si="7"/>
        <v>2.977046731536118E-5</v>
      </c>
      <c r="K64" s="458"/>
      <c r="L64" s="163"/>
      <c r="M64" s="163"/>
      <c r="N64" s="520"/>
      <c r="O64" s="324">
        <f t="shared" si="8"/>
        <v>7.4003907406311057E-3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'[51]Sch C'!D45</f>
        <v>431</v>
      </c>
      <c r="D65" s="480">
        <f>'[51]Sch C'!F45</f>
        <v>-1665</v>
      </c>
      <c r="E65" s="480">
        <f>+'[51]Sch C'!H45</f>
        <v>0</v>
      </c>
      <c r="F65" s="166">
        <f t="shared" si="5"/>
        <v>-1234</v>
      </c>
      <c r="G65" s="626">
        <v>3848</v>
      </c>
      <c r="H65" s="607"/>
      <c r="I65" s="166">
        <f t="shared" si="6"/>
        <v>2614</v>
      </c>
      <c r="J65" s="167">
        <f t="shared" si="7"/>
        <v>6.22560012498833E-4</v>
      </c>
      <c r="K65" s="458"/>
      <c r="L65" s="163"/>
      <c r="M65" s="163"/>
      <c r="N65" s="520"/>
      <c r="O65" s="324">
        <f t="shared" si="8"/>
        <v>0.15475697116807768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1297787</v>
      </c>
      <c r="D66" s="480">
        <f t="shared" si="9"/>
        <v>-203515</v>
      </c>
      <c r="E66" s="480">
        <f t="shared" si="9"/>
        <v>-202614</v>
      </c>
      <c r="F66" s="166">
        <f t="shared" ref="F66:I66" si="10">SUM(F30:F65)</f>
        <v>891658</v>
      </c>
      <c r="G66" s="166">
        <f t="shared" si="10"/>
        <v>21859</v>
      </c>
      <c r="H66" s="166">
        <f t="shared" si="10"/>
        <v>225042</v>
      </c>
      <c r="I66" s="166">
        <f t="shared" si="10"/>
        <v>1138559</v>
      </c>
      <c r="J66" s="178">
        <f t="shared" si="7"/>
        <v>0.27116346796888247</v>
      </c>
      <c r="K66" s="465"/>
      <c r="L66" s="163"/>
      <c r="M66" s="163"/>
      <c r="N66" s="520"/>
      <c r="O66" s="329">
        <f>I66/I$233</f>
        <v>67.406251850097689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N67" s="520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N68" s="520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'[51]Sch C'!D57</f>
        <v>284838</v>
      </c>
      <c r="D69" s="480">
        <f>'[51]Sch C'!F57+284838</f>
        <v>0</v>
      </c>
      <c r="E69" s="480">
        <f>+'[51]Sch C'!H57</f>
        <v>0</v>
      </c>
      <c r="F69" s="166">
        <f>C69+D69+E69</f>
        <v>284838</v>
      </c>
      <c r="G69" s="626"/>
      <c r="H69" s="480">
        <v>-284838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N69" s="520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'[51]Sch C'!D58</f>
        <v>1764</v>
      </c>
      <c r="D70" s="480">
        <f>'[51]Sch C'!F58-132701</f>
        <v>0</v>
      </c>
      <c r="E70" s="480">
        <f>+'[51]Sch C'!H58</f>
        <v>0</v>
      </c>
      <c r="F70" s="166">
        <f t="shared" ref="F70:F83" si="13">C70+D70+E70</f>
        <v>1764</v>
      </c>
      <c r="G70" s="626"/>
      <c r="H70" s="480">
        <v>132701</v>
      </c>
      <c r="I70" s="166">
        <f t="shared" ref="I70:I83" si="14">F70+G70+H70</f>
        <v>134465</v>
      </c>
      <c r="J70" s="167">
        <f t="shared" si="11"/>
        <v>3.2024687100480329E-2</v>
      </c>
      <c r="K70" s="458"/>
      <c r="L70" s="182"/>
      <c r="M70" s="163"/>
      <c r="N70" s="520"/>
      <c r="O70" s="324">
        <f t="shared" si="12"/>
        <v>7.960748327511693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'[51]Sch C'!D59</f>
        <v>0</v>
      </c>
      <c r="D71" s="480">
        <f>'[51]Sch C'!F59</f>
        <v>0</v>
      </c>
      <c r="E71" s="480">
        <f>+'[51]Sch C'!H59</f>
        <v>0</v>
      </c>
      <c r="F71" s="166">
        <f t="shared" si="13"/>
        <v>0</v>
      </c>
      <c r="G71" s="626"/>
      <c r="H71" s="607"/>
      <c r="I71" s="166">
        <f t="shared" si="14"/>
        <v>0</v>
      </c>
      <c r="J71" s="167">
        <f t="shared" si="11"/>
        <v>0</v>
      </c>
      <c r="K71" s="458"/>
      <c r="L71" s="182"/>
      <c r="M71" s="163"/>
      <c r="N71" s="520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'[51]Sch C'!D60</f>
        <v>17044</v>
      </c>
      <c r="D72" s="480">
        <f>'[51]Sch C'!F60</f>
        <v>0</v>
      </c>
      <c r="E72" s="480">
        <f>+'[51]Sch C'!H60</f>
        <v>0</v>
      </c>
      <c r="F72" s="166">
        <f t="shared" si="13"/>
        <v>17044</v>
      </c>
      <c r="G72" s="626"/>
      <c r="H72" s="607"/>
      <c r="I72" s="166">
        <f t="shared" si="14"/>
        <v>17044</v>
      </c>
      <c r="J72" s="167">
        <f t="shared" si="11"/>
        <v>4.0592627593841277E-3</v>
      </c>
      <c r="K72" s="458"/>
      <c r="L72" s="185"/>
      <c r="M72" s="163"/>
      <c r="N72" s="520"/>
      <c r="O72" s="324">
        <f t="shared" si="12"/>
        <v>1.0090580782665324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'[51]Sch C'!D61</f>
        <v>5912</v>
      </c>
      <c r="D73" s="480">
        <f>'[51]Sch C'!F61</f>
        <v>0</v>
      </c>
      <c r="E73" s="480">
        <f>+'[51]Sch C'!H61</f>
        <v>0</v>
      </c>
      <c r="F73" s="166">
        <f t="shared" si="13"/>
        <v>5912</v>
      </c>
      <c r="G73" s="626"/>
      <c r="H73" s="607"/>
      <c r="I73" s="166">
        <f t="shared" si="14"/>
        <v>5912</v>
      </c>
      <c r="J73" s="167">
        <f t="shared" si="11"/>
        <v>1.4080240221473223E-3</v>
      </c>
      <c r="K73" s="458"/>
      <c r="L73" s="185"/>
      <c r="M73" s="163"/>
      <c r="N73" s="520"/>
      <c r="O73" s="324">
        <f t="shared" si="12"/>
        <v>0.35000888046888878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'[51]Sch C'!D62</f>
        <v>13445</v>
      </c>
      <c r="D74" s="480">
        <f>'[51]Sch C'!F62</f>
        <v>0</v>
      </c>
      <c r="E74" s="480">
        <f>+'[51]Sch C'!H62</f>
        <v>0</v>
      </c>
      <c r="F74" s="166">
        <f t="shared" si="13"/>
        <v>13445</v>
      </c>
      <c r="G74" s="626"/>
      <c r="H74" s="607"/>
      <c r="I74" s="166">
        <f t="shared" si="14"/>
        <v>13445</v>
      </c>
      <c r="J74" s="167">
        <f t="shared" si="11"/>
        <v>3.2021114644402485E-3</v>
      </c>
      <c r="K74" s="458"/>
      <c r="L74" s="187"/>
      <c r="M74" s="163"/>
      <c r="N74" s="520"/>
      <c r="O74" s="324">
        <f t="shared" si="12"/>
        <v>0.79598602806228169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'[51]Sch C'!D63</f>
        <v>0</v>
      </c>
      <c r="D75" s="480">
        <f>'[51]Sch C'!F63</f>
        <v>0</v>
      </c>
      <c r="E75" s="480">
        <f>+'[51]Sch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N75" s="520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'[51]Sch C'!D64</f>
        <v>0</v>
      </c>
      <c r="D76" s="480">
        <f>'[51]Sch C'!F64</f>
        <v>0</v>
      </c>
      <c r="E76" s="480">
        <f>+'[51]Sch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N76" s="520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'[51]Sch C'!D65</f>
        <v>5920</v>
      </c>
      <c r="D77" s="480">
        <f>'[51]Sch C'!F65</f>
        <v>0</v>
      </c>
      <c r="E77" s="480">
        <f>+'[51]Sch C'!H65</f>
        <v>0</v>
      </c>
      <c r="F77" s="166">
        <f t="shared" si="13"/>
        <v>5920</v>
      </c>
      <c r="G77" s="626"/>
      <c r="H77" s="607"/>
      <c r="I77" s="166">
        <f t="shared" si="14"/>
        <v>5920</v>
      </c>
      <c r="J77" s="167">
        <f t="shared" si="11"/>
        <v>1.4099293320555056E-3</v>
      </c>
      <c r="K77" s="458"/>
      <c r="L77" s="187"/>
      <c r="M77" s="163"/>
      <c r="N77" s="520"/>
      <c r="O77" s="324">
        <f t="shared" si="12"/>
        <v>0.35048250547628917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'[51]Sch C'!D66</f>
        <v>6028</v>
      </c>
      <c r="D78" s="480">
        <f>'[51]Sch C'!F66</f>
        <v>0</v>
      </c>
      <c r="E78" s="480">
        <f>+'[51]Sch C'!H66</f>
        <v>0</v>
      </c>
      <c r="F78" s="166">
        <f t="shared" si="13"/>
        <v>6028</v>
      </c>
      <c r="G78" s="626"/>
      <c r="H78" s="607"/>
      <c r="I78" s="166">
        <f t="shared" si="14"/>
        <v>6028</v>
      </c>
      <c r="J78" s="167">
        <f t="shared" si="11"/>
        <v>1.4356510158159775E-3</v>
      </c>
      <c r="K78" s="458"/>
      <c r="L78" s="187"/>
      <c r="M78" s="163"/>
      <c r="N78" s="520"/>
      <c r="O78" s="324">
        <f t="shared" si="12"/>
        <v>0.35687644307619443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'[51]Sch C'!D67</f>
        <v>49043</v>
      </c>
      <c r="D79" s="480">
        <f>'[51]Sch C'!F67</f>
        <v>-3850</v>
      </c>
      <c r="E79" s="480">
        <f>+'[51]Sch C'!H67</f>
        <v>0</v>
      </c>
      <c r="F79" s="166">
        <f t="shared" si="13"/>
        <v>45193</v>
      </c>
      <c r="G79" s="626"/>
      <c r="H79" s="607"/>
      <c r="I79" s="166">
        <f t="shared" si="14"/>
        <v>45193</v>
      </c>
      <c r="J79" s="167">
        <f t="shared" si="11"/>
        <v>1.0763333835064942E-2</v>
      </c>
      <c r="K79" s="458"/>
      <c r="L79" s="187"/>
      <c r="M79" s="163"/>
      <c r="N79" s="520"/>
      <c r="O79" s="324">
        <f t="shared" si="12"/>
        <v>2.6755668699307322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'[51]Sch C'!D68</f>
        <v>0</v>
      </c>
      <c r="D80" s="480">
        <f>'[51]Sch C'!F68</f>
        <v>0</v>
      </c>
      <c r="E80" s="480">
        <f>+'[51]Sch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N80" s="520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'[51]Sch C'!D69</f>
        <v>5065</v>
      </c>
      <c r="D81" s="480">
        <f>'[51]Sch C'!F69</f>
        <v>0</v>
      </c>
      <c r="E81" s="480">
        <f>+'[51]Sch C'!H69</f>
        <v>0</v>
      </c>
      <c r="F81" s="166">
        <f t="shared" si="13"/>
        <v>5065</v>
      </c>
      <c r="G81" s="626"/>
      <c r="H81" s="607"/>
      <c r="I81" s="166">
        <f t="shared" si="14"/>
        <v>5065</v>
      </c>
      <c r="J81" s="167">
        <f t="shared" si="11"/>
        <v>1.206299335618435E-3</v>
      </c>
      <c r="K81" s="458"/>
      <c r="L81" s="187"/>
      <c r="M81" s="163"/>
      <c r="N81" s="520"/>
      <c r="O81" s="324">
        <f t="shared" si="12"/>
        <v>0.29986383281037238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'[51]Sch C'!D70</f>
        <v>0</v>
      </c>
      <c r="D82" s="480">
        <f>'[51]Sch C'!F70</f>
        <v>0</v>
      </c>
      <c r="E82" s="480">
        <f>+'[51]Sch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N82" s="520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'[51]Sch C'!D71</f>
        <v>0</v>
      </c>
      <c r="D83" s="480">
        <f>'[51]Sch C'!F71</f>
        <v>0</v>
      </c>
      <c r="E83" s="480">
        <f>+'[51]Sch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N83" s="520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389059</v>
      </c>
      <c r="D84" s="480">
        <f t="shared" si="15"/>
        <v>-3850</v>
      </c>
      <c r="E84" s="480">
        <f t="shared" si="15"/>
        <v>0</v>
      </c>
      <c r="F84" s="166">
        <f t="shared" ref="F84:I84" si="16">SUM(F69:F83)</f>
        <v>385209</v>
      </c>
      <c r="G84" s="166">
        <f t="shared" si="16"/>
        <v>0</v>
      </c>
      <c r="H84" s="166">
        <f t="shared" si="16"/>
        <v>-152137</v>
      </c>
      <c r="I84" s="166">
        <f t="shared" si="16"/>
        <v>233072</v>
      </c>
      <c r="J84" s="167">
        <f t="shared" si="11"/>
        <v>5.5509298865006891E-2</v>
      </c>
      <c r="K84" s="458"/>
      <c r="L84" s="187"/>
      <c r="M84" s="163"/>
      <c r="N84" s="520"/>
      <c r="O84" s="324">
        <f t="shared" si="12"/>
        <v>13.798590965602983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N85" s="520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N86" s="520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'[51]Sch C'!D75</f>
        <v>47547</v>
      </c>
      <c r="D87" s="480">
        <f>'[51]Sch C'!F75</f>
        <v>0</v>
      </c>
      <c r="E87" s="480">
        <f>+'[51]Sch C'!H75</f>
        <v>0</v>
      </c>
      <c r="F87" s="166">
        <f t="shared" ref="F87:F97" si="17">C87+D87+E87</f>
        <v>47547</v>
      </c>
      <c r="G87" s="626"/>
      <c r="H87" s="607"/>
      <c r="I87" s="166">
        <f t="shared" ref="I87:I97" si="18">F87+G87+H87</f>
        <v>47547</v>
      </c>
      <c r="J87" s="167">
        <f t="shared" ref="J87:J98" si="19">IF($I$213=0,0,I87/$I$213)</f>
        <v>1.1323971275547825E-2</v>
      </c>
      <c r="K87" s="458"/>
      <c r="L87" s="176">
        <v>2419</v>
      </c>
      <c r="M87" s="176">
        <v>2545</v>
      </c>
      <c r="N87" s="520"/>
      <c r="O87" s="324">
        <f t="shared" ref="O87:O97" si="20">I87/I$233</f>
        <v>2.8149310283582971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'[51]Sch C'!D76</f>
        <v>6368</v>
      </c>
      <c r="D88" s="480">
        <f>'[51]Sch C'!F76</f>
        <v>2437</v>
      </c>
      <c r="E88" s="480">
        <f>+'[51]Sch C'!H76</f>
        <v>0</v>
      </c>
      <c r="F88" s="166">
        <f t="shared" si="17"/>
        <v>8805</v>
      </c>
      <c r="G88" s="626"/>
      <c r="H88" s="607"/>
      <c r="I88" s="166">
        <f t="shared" si="18"/>
        <v>8805</v>
      </c>
      <c r="J88" s="167">
        <f t="shared" si="19"/>
        <v>2.0970317176940414E-3</v>
      </c>
      <c r="K88" s="458"/>
      <c r="L88" s="163"/>
      <c r="M88" s="163"/>
      <c r="N88" s="520"/>
      <c r="O88" s="324">
        <f t="shared" si="20"/>
        <v>0.52128352377005505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'[51]Sch C'!D77</f>
        <v>16660</v>
      </c>
      <c r="D89" s="480">
        <f>'[51]Sch C'!F77</f>
        <v>0</v>
      </c>
      <c r="E89" s="480">
        <f>+'[51]Sch C'!H77</f>
        <v>0</v>
      </c>
      <c r="F89" s="166">
        <f t="shared" si="17"/>
        <v>16660</v>
      </c>
      <c r="G89" s="626"/>
      <c r="H89" s="607"/>
      <c r="I89" s="166">
        <f t="shared" si="18"/>
        <v>16660</v>
      </c>
      <c r="J89" s="167">
        <f t="shared" si="19"/>
        <v>3.9678078837913381E-3</v>
      </c>
      <c r="K89" s="458"/>
      <c r="L89" s="163"/>
      <c r="M89" s="163"/>
      <c r="N89" s="520"/>
      <c r="O89" s="324">
        <f t="shared" si="20"/>
        <v>0.98632407791131371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'[51]Sch C'!D78</f>
        <v>0</v>
      </c>
      <c r="D90" s="480">
        <f>'[51]Sch C'!F78</f>
        <v>0</v>
      </c>
      <c r="E90" s="480">
        <f>+'[51]Sch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N90" s="520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'[51]Sch C'!D79</f>
        <v>12050</v>
      </c>
      <c r="D91" s="480">
        <f>'[51]Sch C'!F79</f>
        <v>4546</v>
      </c>
      <c r="E91" s="480">
        <f>+'[51]Sch C'!H79</f>
        <v>0</v>
      </c>
      <c r="F91" s="166">
        <f t="shared" si="17"/>
        <v>16596</v>
      </c>
      <c r="G91" s="626"/>
      <c r="H91" s="607"/>
      <c r="I91" s="166">
        <f t="shared" si="18"/>
        <v>16596</v>
      </c>
      <c r="J91" s="167">
        <f t="shared" si="19"/>
        <v>3.9525654045258728E-3</v>
      </c>
      <c r="K91" s="458"/>
      <c r="L91" s="163"/>
      <c r="M91" s="163"/>
      <c r="N91" s="520"/>
      <c r="O91" s="324">
        <f t="shared" si="20"/>
        <v>0.98253507785211058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'[51]Sch C'!D80</f>
        <v>23739</v>
      </c>
      <c r="D92" s="480">
        <f>'[51]Sch C'!F80</f>
        <v>0</v>
      </c>
      <c r="E92" s="480">
        <f>+'[51]Sch C'!H80</f>
        <v>0</v>
      </c>
      <c r="F92" s="166">
        <f t="shared" si="17"/>
        <v>23739</v>
      </c>
      <c r="G92" s="626"/>
      <c r="H92" s="607"/>
      <c r="I92" s="166">
        <f t="shared" si="18"/>
        <v>23739</v>
      </c>
      <c r="J92" s="167">
        <f t="shared" si="19"/>
        <v>5.6537689887948724E-3</v>
      </c>
      <c r="K92" s="458"/>
      <c r="L92" s="163"/>
      <c r="M92" s="163"/>
      <c r="N92" s="520"/>
      <c r="O92" s="324">
        <f t="shared" si="20"/>
        <v>1.4054230063347344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'[51]Sch C'!D81</f>
        <v>13976</v>
      </c>
      <c r="D93" s="480">
        <f>'[51]Sch C'!F81</f>
        <v>0</v>
      </c>
      <c r="E93" s="480">
        <f>+'[51]Sch C'!H81</f>
        <v>0</v>
      </c>
      <c r="F93" s="166">
        <f t="shared" si="17"/>
        <v>13976</v>
      </c>
      <c r="G93" s="626"/>
      <c r="H93" s="607"/>
      <c r="I93" s="166">
        <f t="shared" si="18"/>
        <v>13976</v>
      </c>
      <c r="J93" s="167">
        <f t="shared" si="19"/>
        <v>3.328576409595903E-3</v>
      </c>
      <c r="K93" s="458"/>
      <c r="L93" s="163"/>
      <c r="M93" s="163"/>
      <c r="N93" s="520"/>
      <c r="O93" s="324">
        <f t="shared" si="20"/>
        <v>0.82742288792848262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'[51]Sch C'!D82</f>
        <v>4436</v>
      </c>
      <c r="D94" s="480">
        <f>'[51]Sch C'!F82</f>
        <v>0</v>
      </c>
      <c r="E94" s="480">
        <f>+'[51]Sch C'!H82</f>
        <v>0</v>
      </c>
      <c r="F94" s="166">
        <f t="shared" si="17"/>
        <v>4436</v>
      </c>
      <c r="G94" s="626"/>
      <c r="H94" s="607"/>
      <c r="I94" s="166">
        <f t="shared" si="18"/>
        <v>4436</v>
      </c>
      <c r="J94" s="167">
        <f t="shared" si="19"/>
        <v>1.0564943440875376E-3</v>
      </c>
      <c r="K94" s="458"/>
      <c r="L94" s="163"/>
      <c r="M94" s="163"/>
      <c r="N94" s="520"/>
      <c r="O94" s="324">
        <f t="shared" si="20"/>
        <v>0.26262506660351664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'[51]Sch C'!D83</f>
        <v>99</v>
      </c>
      <c r="D95" s="480">
        <f>'[51]Sch C'!F83</f>
        <v>0</v>
      </c>
      <c r="E95" s="480">
        <f>+'[51]Sch C'!H83</f>
        <v>0</v>
      </c>
      <c r="F95" s="166">
        <f t="shared" si="17"/>
        <v>99</v>
      </c>
      <c r="G95" s="626"/>
      <c r="H95" s="607"/>
      <c r="I95" s="166">
        <f t="shared" si="18"/>
        <v>99</v>
      </c>
      <c r="J95" s="167">
        <f t="shared" si="19"/>
        <v>2.3578210113766054E-5</v>
      </c>
      <c r="K95" s="458"/>
      <c r="L95" s="163"/>
      <c r="M95" s="163"/>
      <c r="N95" s="520"/>
      <c r="O95" s="324">
        <f t="shared" si="20"/>
        <v>5.8611094665798353E-3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'[51]Sch C'!D84</f>
        <v>51994</v>
      </c>
      <c r="D96" s="480">
        <f>'[51]Sch C'!F84</f>
        <v>0</v>
      </c>
      <c r="E96" s="480">
        <f>+'[51]Sch C'!H84</f>
        <v>0</v>
      </c>
      <c r="F96" s="166">
        <f t="shared" si="17"/>
        <v>51994</v>
      </c>
      <c r="G96" s="626"/>
      <c r="H96" s="607"/>
      <c r="I96" s="166">
        <f t="shared" si="18"/>
        <v>51994</v>
      </c>
      <c r="J96" s="167">
        <f t="shared" si="19"/>
        <v>1.2383085420759114E-2</v>
      </c>
      <c r="K96" s="458"/>
      <c r="L96" s="163"/>
      <c r="M96" s="163"/>
      <c r="N96" s="520"/>
      <c r="O96" s="324">
        <f t="shared" si="20"/>
        <v>3.0782073293469896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'[51]Sch C'!D85</f>
        <v>68</v>
      </c>
      <c r="D97" s="480">
        <f>'[51]Sch C'!F85</f>
        <v>0</v>
      </c>
      <c r="E97" s="480">
        <f>+'[51]Sch C'!H85</f>
        <v>0</v>
      </c>
      <c r="F97" s="166">
        <f t="shared" si="17"/>
        <v>68</v>
      </c>
      <c r="G97" s="626"/>
      <c r="H97" s="607"/>
      <c r="I97" s="166">
        <f t="shared" si="18"/>
        <v>68</v>
      </c>
      <c r="J97" s="167">
        <f t="shared" si="19"/>
        <v>1.6195134219556483E-5</v>
      </c>
      <c r="K97" s="458"/>
      <c r="L97" s="163"/>
      <c r="M97" s="163"/>
      <c r="N97" s="520"/>
      <c r="O97" s="324">
        <f t="shared" si="20"/>
        <v>4.0258125629033213E-3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176937</v>
      </c>
      <c r="D98" s="480">
        <f t="shared" si="21"/>
        <v>6983</v>
      </c>
      <c r="E98" s="480">
        <f t="shared" si="21"/>
        <v>0</v>
      </c>
      <c r="F98" s="166">
        <f t="shared" ref="F98:I98" si="22">SUM(F87:F97)</f>
        <v>183920</v>
      </c>
      <c r="G98" s="166">
        <f t="shared" si="22"/>
        <v>0</v>
      </c>
      <c r="H98" s="166">
        <f t="shared" si="22"/>
        <v>0</v>
      </c>
      <c r="I98" s="166">
        <f t="shared" si="22"/>
        <v>183920</v>
      </c>
      <c r="J98" s="167">
        <f t="shared" si="19"/>
        <v>4.3803074789129828E-2</v>
      </c>
      <c r="K98" s="458"/>
      <c r="L98" s="163"/>
      <c r="M98" s="163"/>
      <c r="N98" s="520"/>
      <c r="O98" s="329">
        <f>I98/I$233</f>
        <v>10.888638920134984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N99" s="520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N100" s="520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'[51]Sch C'!D89</f>
        <v>170581</v>
      </c>
      <c r="D101" s="480">
        <f>'[51]Sch C'!F89</f>
        <v>0</v>
      </c>
      <c r="E101" s="480">
        <f>+'[51]Sch C'!H89</f>
        <v>0</v>
      </c>
      <c r="F101" s="166">
        <f t="shared" ref="F101:F106" si="23">C101+D101+E101</f>
        <v>170581</v>
      </c>
      <c r="G101" s="626"/>
      <c r="H101" s="607"/>
      <c r="I101" s="166">
        <f t="shared" ref="I101:I106" si="24">F101+G101+H101</f>
        <v>170581</v>
      </c>
      <c r="J101" s="167">
        <f t="shared" ref="J101:J107" si="25">IF($I$213=0,0,I101/$I$213)</f>
        <v>4.0626208680973004E-2</v>
      </c>
      <c r="K101" s="458"/>
      <c r="L101" s="176">
        <v>10962</v>
      </c>
      <c r="M101" s="176">
        <v>11367</v>
      </c>
      <c r="N101" s="520"/>
      <c r="O101" s="329">
        <f t="shared" ref="O101:O106" si="26">I101/I$233</f>
        <v>10.098928423420757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'[51]Sch C'!D90</f>
        <v>21482</v>
      </c>
      <c r="D102" s="480">
        <f>'[51]Sch C'!F90</f>
        <v>8741</v>
      </c>
      <c r="E102" s="480">
        <f>+'[51]Sch C'!H90</f>
        <v>0</v>
      </c>
      <c r="F102" s="166">
        <f t="shared" si="23"/>
        <v>30223</v>
      </c>
      <c r="G102" s="626"/>
      <c r="H102" s="607"/>
      <c r="I102" s="166">
        <f t="shared" si="24"/>
        <v>30223</v>
      </c>
      <c r="J102" s="167">
        <f t="shared" si="25"/>
        <v>7.1980226693772872E-3</v>
      </c>
      <c r="K102" s="458"/>
      <c r="L102" s="163"/>
      <c r="M102" s="163"/>
      <c r="N102" s="520"/>
      <c r="O102" s="329">
        <f t="shared" si="26"/>
        <v>1.7892960748327511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'[51]Sch C'!D91</f>
        <v>14146</v>
      </c>
      <c r="D103" s="480">
        <f>'[51]Sch C'!F91</f>
        <v>0</v>
      </c>
      <c r="E103" s="480">
        <f>+'[51]Sch C'!H91</f>
        <v>0</v>
      </c>
      <c r="F103" s="166">
        <f t="shared" si="23"/>
        <v>14146</v>
      </c>
      <c r="G103" s="626"/>
      <c r="H103" s="607"/>
      <c r="I103" s="166">
        <f t="shared" si="24"/>
        <v>14146</v>
      </c>
      <c r="J103" s="167">
        <f t="shared" si="25"/>
        <v>3.369064245144794E-3</v>
      </c>
      <c r="K103" s="458"/>
      <c r="L103" s="163"/>
      <c r="M103" s="163"/>
      <c r="N103" s="520"/>
      <c r="O103" s="329">
        <f t="shared" si="26"/>
        <v>0.83748741933574089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'[51]Sch C'!D92</f>
        <v>109197</v>
      </c>
      <c r="D104" s="480">
        <f>'[51]Sch C'!F92</f>
        <v>0</v>
      </c>
      <c r="E104" s="480">
        <f>+'[51]Sch C'!H92</f>
        <v>0</v>
      </c>
      <c r="F104" s="166">
        <f t="shared" si="23"/>
        <v>109197</v>
      </c>
      <c r="G104" s="626"/>
      <c r="H104" s="607"/>
      <c r="I104" s="166">
        <f t="shared" si="24"/>
        <v>109197</v>
      </c>
      <c r="J104" s="167">
        <f t="shared" si="25"/>
        <v>2.6006765755483958E-2</v>
      </c>
      <c r="K104" s="458"/>
      <c r="L104" s="163"/>
      <c r="M104" s="163"/>
      <c r="N104" s="520"/>
      <c r="O104" s="329">
        <f t="shared" si="26"/>
        <v>6.4648037416375583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'[51]Sch C'!D93</f>
        <v>13627</v>
      </c>
      <c r="D105" s="480">
        <f>'[51]Sch C'!F93</f>
        <v>712</v>
      </c>
      <c r="E105" s="480">
        <f>+'[51]Sch C'!H93</f>
        <v>0</v>
      </c>
      <c r="F105" s="166">
        <f t="shared" si="23"/>
        <v>14339</v>
      </c>
      <c r="G105" s="626"/>
      <c r="H105" s="607"/>
      <c r="I105" s="166">
        <f t="shared" si="24"/>
        <v>14339</v>
      </c>
      <c r="J105" s="167">
        <f t="shared" si="25"/>
        <v>3.4150298466797116E-3</v>
      </c>
      <c r="K105" s="458"/>
      <c r="L105" s="163"/>
      <c r="M105" s="163"/>
      <c r="N105" s="520"/>
      <c r="O105" s="329">
        <f t="shared" si="26"/>
        <v>0.84891362263927539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'[51]Sch C'!D94</f>
        <v>679</v>
      </c>
      <c r="D106" s="480">
        <f>'[51]Sch C'!F94</f>
        <v>0</v>
      </c>
      <c r="E106" s="480">
        <f>+'[51]Sch C'!H94</f>
        <v>0</v>
      </c>
      <c r="F106" s="166">
        <f t="shared" si="23"/>
        <v>679</v>
      </c>
      <c r="G106" s="626"/>
      <c r="H106" s="607"/>
      <c r="I106" s="166">
        <f t="shared" si="24"/>
        <v>679</v>
      </c>
      <c r="J106" s="167">
        <f t="shared" si="25"/>
        <v>1.6171317845704194E-4</v>
      </c>
      <c r="K106" s="458"/>
      <c r="L106" s="163"/>
      <c r="M106" s="163"/>
      <c r="N106" s="520"/>
      <c r="O106" s="329">
        <f t="shared" si="26"/>
        <v>4.0198922503108164E-2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329712</v>
      </c>
      <c r="D107" s="480">
        <f t="shared" si="27"/>
        <v>9453</v>
      </c>
      <c r="E107" s="480">
        <f t="shared" si="27"/>
        <v>0</v>
      </c>
      <c r="F107" s="166">
        <f t="shared" ref="F107:I107" si="28">SUM(F101:F106)</f>
        <v>339165</v>
      </c>
      <c r="G107" s="166">
        <f t="shared" si="28"/>
        <v>0</v>
      </c>
      <c r="H107" s="166">
        <f t="shared" si="28"/>
        <v>0</v>
      </c>
      <c r="I107" s="166">
        <f t="shared" si="28"/>
        <v>339165</v>
      </c>
      <c r="J107" s="167">
        <f t="shared" si="25"/>
        <v>8.0776804376115799E-2</v>
      </c>
      <c r="K107" s="458"/>
      <c r="L107" s="163"/>
      <c r="M107" s="163"/>
      <c r="N107" s="520"/>
      <c r="O107" s="329">
        <f>I107/I$233</f>
        <v>20.07962820436919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N108" s="520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N109" s="520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'[51]Sch C'!D98</f>
        <v>25627</v>
      </c>
      <c r="D110" s="480">
        <f>'[51]Sch C'!F98</f>
        <v>0</v>
      </c>
      <c r="E110" s="480">
        <f>+'[51]Sch C'!H98</f>
        <v>0</v>
      </c>
      <c r="F110" s="166">
        <f t="shared" ref="F110:F115" si="29">C110+D110+E110</f>
        <v>25627</v>
      </c>
      <c r="G110" s="626"/>
      <c r="H110" s="607"/>
      <c r="I110" s="166">
        <f t="shared" ref="I110:I115" si="30">F110+G110+H110</f>
        <v>25627</v>
      </c>
      <c r="J110" s="167">
        <f t="shared" ref="J110:J116" si="31">IF($I$213=0,0,I110/$I$213)</f>
        <v>6.1034221271260873E-3</v>
      </c>
      <c r="K110" s="458"/>
      <c r="L110" s="176">
        <v>2157</v>
      </c>
      <c r="M110" s="176">
        <v>2264</v>
      </c>
      <c r="N110" s="520"/>
      <c r="O110" s="329">
        <f t="shared" ref="O110:O115" si="32">I110/I$233</f>
        <v>1.5171985080812267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'[51]Sch C'!D99</f>
        <v>3640</v>
      </c>
      <c r="D111" s="480">
        <f>'[51]Sch C'!F99</f>
        <v>1313</v>
      </c>
      <c r="E111" s="480">
        <f>+'[51]Sch C'!H99</f>
        <v>0</v>
      </c>
      <c r="F111" s="166">
        <f t="shared" si="29"/>
        <v>4953</v>
      </c>
      <c r="G111" s="626"/>
      <c r="H111" s="607"/>
      <c r="I111" s="166">
        <f t="shared" si="30"/>
        <v>4953</v>
      </c>
      <c r="J111" s="167">
        <f t="shared" si="31"/>
        <v>1.1796249969038713E-3</v>
      </c>
      <c r="K111" s="458"/>
      <c r="L111" s="163"/>
      <c r="M111" s="163"/>
      <c r="N111" s="520"/>
      <c r="O111" s="329">
        <f t="shared" si="32"/>
        <v>0.2932330827067669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'[51]Sch C'!D100</f>
        <v>1867</v>
      </c>
      <c r="D112" s="480">
        <f>'[51]Sch C'!F100</f>
        <v>0</v>
      </c>
      <c r="E112" s="480">
        <f>+'[51]Sch C'!H100</f>
        <v>0</v>
      </c>
      <c r="F112" s="166">
        <f t="shared" si="29"/>
        <v>1867</v>
      </c>
      <c r="G112" s="626"/>
      <c r="H112" s="607"/>
      <c r="I112" s="166">
        <f t="shared" si="30"/>
        <v>1867</v>
      </c>
      <c r="J112" s="167">
        <f t="shared" si="31"/>
        <v>4.4465169982223457E-4</v>
      </c>
      <c r="K112" s="458"/>
      <c r="L112" s="163"/>
      <c r="M112" s="163"/>
      <c r="N112" s="520"/>
      <c r="O112" s="329">
        <f t="shared" si="32"/>
        <v>0.11053223610206619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'[51]Sch C'!D101</f>
        <v>291</v>
      </c>
      <c r="D113" s="480">
        <f>'[51]Sch C'!F101</f>
        <v>0</v>
      </c>
      <c r="E113" s="480">
        <f>+'[51]Sch C'!H101</f>
        <v>0</v>
      </c>
      <c r="F113" s="166">
        <f t="shared" si="29"/>
        <v>291</v>
      </c>
      <c r="G113" s="626"/>
      <c r="H113" s="607"/>
      <c r="I113" s="166">
        <f t="shared" si="30"/>
        <v>291</v>
      </c>
      <c r="J113" s="167">
        <f t="shared" si="31"/>
        <v>6.9305647910160827E-5</v>
      </c>
      <c r="K113" s="458"/>
      <c r="L113" s="163"/>
      <c r="M113" s="163"/>
      <c r="N113" s="520"/>
      <c r="O113" s="329">
        <f t="shared" si="32"/>
        <v>1.7228109644189214E-2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'[51]Sch C'!D102</f>
        <v>3777</v>
      </c>
      <c r="D114" s="480">
        <f>'[51]Sch C'!F102</f>
        <v>0</v>
      </c>
      <c r="E114" s="480">
        <f>+'[51]Sch C'!H102</f>
        <v>0</v>
      </c>
      <c r="F114" s="166">
        <f t="shared" si="29"/>
        <v>3777</v>
      </c>
      <c r="G114" s="626"/>
      <c r="H114" s="607"/>
      <c r="I114" s="166">
        <f t="shared" si="30"/>
        <v>3777</v>
      </c>
      <c r="J114" s="167">
        <f t="shared" si="31"/>
        <v>8.995444404009534E-4</v>
      </c>
      <c r="K114" s="458"/>
      <c r="L114" s="163"/>
      <c r="M114" s="163"/>
      <c r="N114" s="520"/>
      <c r="O114" s="329">
        <f t="shared" si="32"/>
        <v>0.22361020661890949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'[51]Sch C'!D103</f>
        <v>0</v>
      </c>
      <c r="D115" s="480">
        <f>'[51]Sch C'!F103</f>
        <v>0</v>
      </c>
      <c r="E115" s="480">
        <f>+'[51]Sch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N115" s="520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35202</v>
      </c>
      <c r="D116" s="480">
        <f t="shared" si="33"/>
        <v>1313</v>
      </c>
      <c r="E116" s="480">
        <f t="shared" si="33"/>
        <v>0</v>
      </c>
      <c r="F116" s="166">
        <f t="shared" ref="F116:I116" si="34">SUM(F110:F115)</f>
        <v>36515</v>
      </c>
      <c r="G116" s="166">
        <f t="shared" si="34"/>
        <v>0</v>
      </c>
      <c r="H116" s="166">
        <f t="shared" si="34"/>
        <v>0</v>
      </c>
      <c r="I116" s="166">
        <f t="shared" si="34"/>
        <v>36515</v>
      </c>
      <c r="J116" s="167">
        <f t="shared" si="31"/>
        <v>8.6965489121633086E-3</v>
      </c>
      <c r="K116" s="458"/>
      <c r="L116" s="163"/>
      <c r="M116" s="163"/>
      <c r="N116" s="520"/>
      <c r="O116" s="329">
        <f>I116/I$233</f>
        <v>2.1618021431531584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N117" s="520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N118" s="520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'[51]Sch C'!D115</f>
        <v>77754</v>
      </c>
      <c r="D119" s="480">
        <f>'[51]Sch C'!F115</f>
        <v>0</v>
      </c>
      <c r="E119" s="480">
        <f>+'[51]Sch C'!H115</f>
        <v>0</v>
      </c>
      <c r="F119" s="166">
        <f t="shared" ref="F119:F123" si="35">C119+D119+E119</f>
        <v>77754</v>
      </c>
      <c r="G119" s="626"/>
      <c r="H119" s="607"/>
      <c r="I119" s="166">
        <f t="shared" ref="I119:I123" si="36">F119+G119+H119</f>
        <v>77754</v>
      </c>
      <c r="J119" s="167">
        <f t="shared" ref="J119:J124" si="37">IF($I$213=0,0,I119/$I$213)</f>
        <v>1.8518183325108746E-2</v>
      </c>
      <c r="K119" s="458"/>
      <c r="L119" s="176">
        <v>6161</v>
      </c>
      <c r="M119" s="176">
        <v>6502</v>
      </c>
      <c r="N119" s="520"/>
      <c r="O119" s="329">
        <f t="shared" ref="O119:O124" si="38">I119/I$233</f>
        <v>4.6032798531762475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'[51]Sch C'!D116</f>
        <v>11403</v>
      </c>
      <c r="D120" s="480">
        <f>'[51]Sch C'!F116</f>
        <v>3985</v>
      </c>
      <c r="E120" s="480">
        <f>+'[51]Sch C'!H116</f>
        <v>0</v>
      </c>
      <c r="F120" s="166">
        <f t="shared" si="35"/>
        <v>15388</v>
      </c>
      <c r="G120" s="626"/>
      <c r="H120" s="607"/>
      <c r="I120" s="166">
        <f t="shared" si="36"/>
        <v>15388</v>
      </c>
      <c r="J120" s="167">
        <f t="shared" si="37"/>
        <v>3.6648636083902227E-3</v>
      </c>
      <c r="K120" s="458"/>
      <c r="L120" s="163"/>
      <c r="M120" s="163"/>
      <c r="N120" s="520"/>
      <c r="O120" s="329">
        <f t="shared" si="38"/>
        <v>0.91101770173465157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'[51]Sch C'!D117</f>
        <v>15218</v>
      </c>
      <c r="D121" s="480">
        <f>'[51]Sch C'!F117</f>
        <v>0</v>
      </c>
      <c r="E121" s="480">
        <f>+'[51]Sch C'!H117</f>
        <v>0</v>
      </c>
      <c r="F121" s="166">
        <f t="shared" si="35"/>
        <v>15218</v>
      </c>
      <c r="G121" s="626"/>
      <c r="H121" s="607"/>
      <c r="I121" s="166">
        <f t="shared" si="36"/>
        <v>15218</v>
      </c>
      <c r="J121" s="167">
        <f t="shared" si="37"/>
        <v>3.6243757728413317E-3</v>
      </c>
      <c r="K121" s="458"/>
      <c r="L121" s="163"/>
      <c r="M121" s="163"/>
      <c r="N121" s="520"/>
      <c r="O121" s="329">
        <f t="shared" si="38"/>
        <v>0.9009531703273933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'[51]Sch C'!D118</f>
        <v>240</v>
      </c>
      <c r="D122" s="480">
        <f>'[51]Sch C'!F118</f>
        <v>0</v>
      </c>
      <c r="E122" s="480">
        <f>+'[51]Sch C'!H118</f>
        <v>0</v>
      </c>
      <c r="F122" s="166">
        <f t="shared" si="35"/>
        <v>240</v>
      </c>
      <c r="G122" s="626"/>
      <c r="H122" s="607"/>
      <c r="I122" s="166">
        <f t="shared" si="36"/>
        <v>240</v>
      </c>
      <c r="J122" s="167">
        <f t="shared" si="37"/>
        <v>5.7159297245493464E-5</v>
      </c>
      <c r="K122" s="458"/>
      <c r="L122" s="163"/>
      <c r="M122" s="163"/>
      <c r="N122" s="520"/>
      <c r="O122" s="329">
        <f t="shared" si="38"/>
        <v>1.4208750222011722E-2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'[51]Sch C'!D119</f>
        <v>0</v>
      </c>
      <c r="D123" s="480">
        <f>'[51]Sch C'!F119</f>
        <v>0</v>
      </c>
      <c r="E123" s="480">
        <f>+'[51]Sch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N123" s="520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104615</v>
      </c>
      <c r="D124" s="480">
        <f t="shared" si="39"/>
        <v>3985</v>
      </c>
      <c r="E124" s="480">
        <f t="shared" si="39"/>
        <v>0</v>
      </c>
      <c r="F124" s="166">
        <f t="shared" ref="F124:I124" si="40">SUM(F119:F123)</f>
        <v>108600</v>
      </c>
      <c r="G124" s="166">
        <f t="shared" si="40"/>
        <v>0</v>
      </c>
      <c r="H124" s="166">
        <f t="shared" si="40"/>
        <v>0</v>
      </c>
      <c r="I124" s="166">
        <f t="shared" si="40"/>
        <v>108600</v>
      </c>
      <c r="J124" s="167">
        <f t="shared" si="37"/>
        <v>2.5864582003585792E-2</v>
      </c>
      <c r="K124" s="458"/>
      <c r="L124" s="163"/>
      <c r="M124" s="163"/>
      <c r="N124" s="520"/>
      <c r="O124" s="329">
        <f t="shared" si="38"/>
        <v>6.4294594754603045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N125" s="520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N126" s="520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N127" s="520"/>
      <c r="O127" s="324"/>
      <c r="P127" s="324"/>
    </row>
    <row r="128" spans="1:16" s="162" customFormat="1">
      <c r="B128" s="323" t="s">
        <v>672</v>
      </c>
      <c r="C128" s="480">
        <f>'[51]Sch C'!D124</f>
        <v>0</v>
      </c>
      <c r="D128" s="480">
        <f>'[51]Sch C'!F124</f>
        <v>0</v>
      </c>
      <c r="E128" s="480">
        <f>+'[51]Sch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N128" s="520"/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'[51]Sch C'!D125</f>
        <v>148686</v>
      </c>
      <c r="D129" s="480">
        <f>'[51]Sch C'!F125</f>
        <v>0</v>
      </c>
      <c r="E129" s="480">
        <f>+'[51]Sch C'!H125</f>
        <v>108731</v>
      </c>
      <c r="F129" s="166">
        <f t="shared" si="41"/>
        <v>257417</v>
      </c>
      <c r="G129" s="626"/>
      <c r="H129" s="607"/>
      <c r="I129" s="166">
        <f t="shared" si="42"/>
        <v>257417</v>
      </c>
      <c r="J129" s="167">
        <f>IF($I$213=0,0,I129/$I$213)</f>
        <v>6.1307395079346634E-2</v>
      </c>
      <c r="K129" s="458" t="s">
        <v>374</v>
      </c>
      <c r="L129" s="176">
        <v>5988</v>
      </c>
      <c r="M129" s="176">
        <v>6063</v>
      </c>
      <c r="N129" s="520"/>
      <c r="O129" s="329">
        <f t="shared" si="43"/>
        <v>15.239891066248298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'[51]Sch C'!D126</f>
        <v>46884</v>
      </c>
      <c r="D130" s="480">
        <f>'[51]Sch C'!F126</f>
        <v>0</v>
      </c>
      <c r="E130" s="480">
        <f>+'[51]Sch C'!H126</f>
        <v>0</v>
      </c>
      <c r="F130" s="166">
        <f t="shared" si="41"/>
        <v>46884</v>
      </c>
      <c r="G130" s="626"/>
      <c r="H130" s="607"/>
      <c r="I130" s="166">
        <f t="shared" si="42"/>
        <v>46884</v>
      </c>
      <c r="J130" s="167">
        <f>IF($I$213=0,0,I130/$I$213)</f>
        <v>1.1166068716907148E-2</v>
      </c>
      <c r="K130" s="458"/>
      <c r="L130" s="176">
        <v>1393</v>
      </c>
      <c r="M130" s="176">
        <v>1437</v>
      </c>
      <c r="N130" s="520"/>
      <c r="O130" s="329">
        <f t="shared" si="43"/>
        <v>2.7756793558699902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'[51]Sch C'!D127</f>
        <v>0</v>
      </c>
      <c r="D131" s="480">
        <f>'[51]Sch C'!F127</f>
        <v>0</v>
      </c>
      <c r="E131" s="480">
        <f>+'[51]Sch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N131" s="520"/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'[51]Sch C'!D128</f>
        <v>28437</v>
      </c>
      <c r="D132" s="480">
        <f>'[51]Sch C'!F128</f>
        <v>0</v>
      </c>
      <c r="E132" s="480">
        <f>+'[51]Sch C'!H128</f>
        <v>0</v>
      </c>
      <c r="F132" s="166">
        <f t="shared" si="41"/>
        <v>28437</v>
      </c>
      <c r="G132" s="626"/>
      <c r="H132" s="607"/>
      <c r="I132" s="166">
        <f t="shared" si="42"/>
        <v>28437</v>
      </c>
      <c r="J132" s="167">
        <f>IF($I$213=0,0,I132/$I$213)</f>
        <v>6.7726622323754067E-3</v>
      </c>
      <c r="K132" s="458"/>
      <c r="L132" s="176">
        <v>1876</v>
      </c>
      <c r="M132" s="176">
        <v>2022</v>
      </c>
      <c r="N132" s="520"/>
      <c r="O132" s="329">
        <f t="shared" si="43"/>
        <v>1.6835592919306139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N133" s="520"/>
      <c r="O133" s="329"/>
      <c r="P133" s="324"/>
    </row>
    <row r="134" spans="1:16" s="162" customFormat="1">
      <c r="A134" s="164"/>
      <c r="B134" s="257" t="s">
        <v>680</v>
      </c>
      <c r="C134" s="480">
        <f>'[51]Sch C'!D130</f>
        <v>0</v>
      </c>
      <c r="D134" s="480">
        <f>'[51]Sch C'!F130</f>
        <v>0</v>
      </c>
      <c r="E134" s="480">
        <f>+'[51]Sch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N134" s="520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'[51]Sch C'!D131</f>
        <v>0</v>
      </c>
      <c r="D135" s="480">
        <f>'[51]Sch C'!F131</f>
        <v>7619</v>
      </c>
      <c r="E135" s="480">
        <f>+'[51]Sch C'!H131</f>
        <v>14022</v>
      </c>
      <c r="F135" s="166">
        <f t="shared" si="44"/>
        <v>21641</v>
      </c>
      <c r="G135" s="626">
        <v>30941</v>
      </c>
      <c r="H135" s="607"/>
      <c r="I135" s="166">
        <f t="shared" si="45"/>
        <v>52582</v>
      </c>
      <c r="J135" s="167">
        <f>IF($I$213=0,0,I135/$I$213)</f>
        <v>1.2523125699010573E-2</v>
      </c>
      <c r="K135" s="458" t="s">
        <v>374</v>
      </c>
      <c r="L135" s="196"/>
      <c r="M135" s="196"/>
      <c r="N135" s="520"/>
      <c r="O135" s="329">
        <f t="shared" si="43"/>
        <v>3.1130187673909182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'[51]Sch C'!D132</f>
        <v>0</v>
      </c>
      <c r="D136" s="480">
        <f>'[51]Sch C'!F132</f>
        <v>2403</v>
      </c>
      <c r="E136" s="480">
        <f>+'[51]Sch C'!H132</f>
        <v>0</v>
      </c>
      <c r="F136" s="166">
        <f t="shared" si="44"/>
        <v>2403</v>
      </c>
      <c r="G136" s="626">
        <v>5635</v>
      </c>
      <c r="H136" s="607"/>
      <c r="I136" s="166">
        <f t="shared" si="45"/>
        <v>8038</v>
      </c>
      <c r="J136" s="167">
        <f>IF($I$213=0,0,I136/$I$213)</f>
        <v>1.9143601302469852E-3</v>
      </c>
      <c r="K136" s="458"/>
      <c r="L136" s="163"/>
      <c r="M136" s="163"/>
      <c r="N136" s="520"/>
      <c r="O136" s="329">
        <f t="shared" si="43"/>
        <v>0.47587472618554261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'[51]Sch C'!D133</f>
        <v>0</v>
      </c>
      <c r="D137" s="480">
        <f>'[51]Sch C'!F133</f>
        <v>0</v>
      </c>
      <c r="E137" s="480">
        <f>+'[51]Sch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N137" s="520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'[51]Sch C'!D134</f>
        <v>0</v>
      </c>
      <c r="D138" s="480">
        <f>'[51]Sch C'!F134</f>
        <v>1457</v>
      </c>
      <c r="E138" s="480">
        <f>+'[51]Sch C'!H134</f>
        <v>0</v>
      </c>
      <c r="F138" s="166">
        <f t="shared" si="44"/>
        <v>1457</v>
      </c>
      <c r="G138" s="626">
        <v>3418</v>
      </c>
      <c r="H138" s="607"/>
      <c r="I138" s="166">
        <f t="shared" si="45"/>
        <v>4875</v>
      </c>
      <c r="J138" s="167">
        <f>IF($I$213=0,0,I138/$I$213)</f>
        <v>1.1610482252990861E-3</v>
      </c>
      <c r="K138" s="458"/>
      <c r="L138" s="163"/>
      <c r="M138" s="163"/>
      <c r="N138" s="520"/>
      <c r="O138" s="329">
        <f t="shared" si="43"/>
        <v>0.2886152388846131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N139" s="520"/>
      <c r="O139" s="329"/>
      <c r="P139" s="324"/>
    </row>
    <row r="140" spans="1:16" s="162" customFormat="1">
      <c r="A140" s="164"/>
      <c r="B140" s="323" t="s">
        <v>686</v>
      </c>
      <c r="C140" s="480">
        <f>'[51]Sch C'!D136</f>
        <v>292926</v>
      </c>
      <c r="D140" s="480">
        <f>'[51]Sch C'!F136</f>
        <v>0</v>
      </c>
      <c r="E140" s="480">
        <f>+'[51]Sch C'!H136</f>
        <v>0</v>
      </c>
      <c r="F140" s="166">
        <f t="shared" ref="F140:F143" si="46">C140+D140+E140</f>
        <v>292926</v>
      </c>
      <c r="G140" s="626"/>
      <c r="H140" s="607"/>
      <c r="I140" s="166">
        <f t="shared" ref="I140:I143" si="47">F140+G140+H140</f>
        <v>292926</v>
      </c>
      <c r="J140" s="167">
        <f>IF($I$213=0,0,I140/$I$213)</f>
        <v>6.9764351270555913E-2</v>
      </c>
      <c r="K140" s="458"/>
      <c r="L140" s="176">
        <v>9501</v>
      </c>
      <c r="M140" s="176">
        <v>9788</v>
      </c>
      <c r="N140" s="520"/>
      <c r="O140" s="329">
        <f t="shared" si="43"/>
        <v>17.342134864720858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'[51]Sch C'!D137</f>
        <v>167830</v>
      </c>
      <c r="D141" s="480">
        <f>'[51]Sch C'!F137</f>
        <v>0</v>
      </c>
      <c r="E141" s="480">
        <f>+'[51]Sch C'!H137</f>
        <v>0</v>
      </c>
      <c r="F141" s="166">
        <f t="shared" si="46"/>
        <v>167830</v>
      </c>
      <c r="G141" s="626"/>
      <c r="H141" s="607"/>
      <c r="I141" s="166">
        <f t="shared" si="47"/>
        <v>167830</v>
      </c>
      <c r="J141" s="167">
        <f>IF($I$213=0,0,I141/$I$213)</f>
        <v>3.9971020236296534E-2</v>
      </c>
      <c r="K141" s="458"/>
      <c r="L141" s="176">
        <v>6380</v>
      </c>
      <c r="M141" s="176">
        <v>6578</v>
      </c>
      <c r="N141" s="520"/>
      <c r="O141" s="329">
        <f t="shared" si="43"/>
        <v>9.9360606240009464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'[51]Sch C'!D138</f>
        <v>442600</v>
      </c>
      <c r="D142" s="480">
        <f>'[51]Sch C'!F138</f>
        <v>0</v>
      </c>
      <c r="E142" s="480">
        <f>+'[51]Sch C'!H138</f>
        <v>0</v>
      </c>
      <c r="F142" s="166">
        <f t="shared" si="46"/>
        <v>442600</v>
      </c>
      <c r="G142" s="626"/>
      <c r="H142" s="607"/>
      <c r="I142" s="166">
        <f t="shared" si="47"/>
        <v>442600</v>
      </c>
      <c r="J142" s="167">
        <f>IF($I$213=0,0,I142/$I$213)</f>
        <v>0.10541127067023087</v>
      </c>
      <c r="K142" s="458"/>
      <c r="L142" s="176">
        <v>31405</v>
      </c>
      <c r="M142" s="176">
        <v>33524</v>
      </c>
      <c r="N142" s="520"/>
      <c r="O142" s="329">
        <f t="shared" si="43"/>
        <v>26.203303534426617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'[51]Sch C'!D139</f>
        <v>5742</v>
      </c>
      <c r="D143" s="480">
        <f>'[51]Sch C'!F139</f>
        <v>0</v>
      </c>
      <c r="E143" s="480">
        <f>+'[51]Sch C'!H139</f>
        <v>0</v>
      </c>
      <c r="F143" s="166">
        <f t="shared" si="46"/>
        <v>5742</v>
      </c>
      <c r="G143" s="626"/>
      <c r="H143" s="607"/>
      <c r="I143" s="166">
        <f t="shared" si="47"/>
        <v>5742</v>
      </c>
      <c r="J143" s="167">
        <f>IF($I$213=0,0,I143/$I$213)</f>
        <v>1.3675361865984311E-3</v>
      </c>
      <c r="K143" s="458"/>
      <c r="L143" s="176">
        <v>547</v>
      </c>
      <c r="M143" s="176">
        <v>562</v>
      </c>
      <c r="N143" s="520"/>
      <c r="O143" s="329">
        <f t="shared" si="43"/>
        <v>0.33994434906163046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N144" s="520"/>
      <c r="O144" s="329"/>
      <c r="P144" s="324"/>
    </row>
    <row r="145" spans="1:16" s="162" customFormat="1">
      <c r="A145" s="164"/>
      <c r="B145" s="323" t="s">
        <v>681</v>
      </c>
      <c r="C145" s="480">
        <f>'[51]Sch C'!D141</f>
        <v>0</v>
      </c>
      <c r="D145" s="480">
        <f>'[51]Sch C'!F141</f>
        <v>15011</v>
      </c>
      <c r="E145" s="480">
        <f>+'[51]Sch C'!H141</f>
        <v>0</v>
      </c>
      <c r="F145" s="166">
        <f t="shared" ref="F145:F148" si="48">C145+D145+E145</f>
        <v>15011</v>
      </c>
      <c r="G145" s="626">
        <v>35210</v>
      </c>
      <c r="H145" s="607"/>
      <c r="I145" s="166">
        <f t="shared" ref="I145:I148" si="49">F145+G145+H145</f>
        <v>50221</v>
      </c>
      <c r="J145" s="167">
        <f>IF($I$213=0,0,I145/$I$213)</f>
        <v>1.1960821112358031E-2</v>
      </c>
      <c r="K145" s="458"/>
      <c r="L145" s="163"/>
      <c r="M145" s="163"/>
      <c r="N145" s="520"/>
      <c r="O145" s="329">
        <f t="shared" si="43"/>
        <v>2.9732401870818781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'[51]Sch C'!D142</f>
        <v>0</v>
      </c>
      <c r="D146" s="480">
        <f>'[51]Sch C'!F142</f>
        <v>8600</v>
      </c>
      <c r="E146" s="480">
        <f>+'[51]Sch C'!H142</f>
        <v>0</v>
      </c>
      <c r="F146" s="166">
        <f t="shared" si="48"/>
        <v>8600</v>
      </c>
      <c r="G146" s="626">
        <v>20173</v>
      </c>
      <c r="H146" s="607"/>
      <c r="I146" s="166">
        <f t="shared" si="49"/>
        <v>28773</v>
      </c>
      <c r="J146" s="167">
        <f>IF($I$213=0,0,I146/$I$213)</f>
        <v>6.8526852485190975E-3</v>
      </c>
      <c r="K146" s="458"/>
      <c r="L146" s="163"/>
      <c r="M146" s="163"/>
      <c r="N146" s="520"/>
      <c r="O146" s="329">
        <f t="shared" si="43"/>
        <v>1.7034515422414302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'[51]Sch C'!D143</f>
        <v>0</v>
      </c>
      <c r="D147" s="480">
        <f>'[51]Sch C'!F143</f>
        <v>22681</v>
      </c>
      <c r="E147" s="480">
        <f>+'[51]Sch C'!H143</f>
        <v>0</v>
      </c>
      <c r="F147" s="166">
        <f t="shared" si="48"/>
        <v>22681</v>
      </c>
      <c r="G147" s="626">
        <v>53200</v>
      </c>
      <c r="H147" s="607"/>
      <c r="I147" s="166">
        <f t="shared" si="49"/>
        <v>75881</v>
      </c>
      <c r="J147" s="167">
        <f>IF($I$213=0,0,I147/$I$213)</f>
        <v>1.8072102642855373E-2</v>
      </c>
      <c r="K147" s="458"/>
      <c r="L147" s="163"/>
      <c r="M147" s="163"/>
      <c r="N147" s="520"/>
      <c r="O147" s="329">
        <f t="shared" si="43"/>
        <v>4.4923923983186311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'[51]Sch C'!D144</f>
        <v>149268</v>
      </c>
      <c r="D148" s="480">
        <f>'[51]Sch C'!F144</f>
        <v>294</v>
      </c>
      <c r="E148" s="480">
        <f>+'[51]Sch C'!H144</f>
        <v>0</v>
      </c>
      <c r="F148" s="166">
        <f t="shared" si="48"/>
        <v>149562</v>
      </c>
      <c r="G148" s="626">
        <v>-148577</v>
      </c>
      <c r="H148" s="607"/>
      <c r="I148" s="166">
        <f t="shared" si="49"/>
        <v>985</v>
      </c>
      <c r="J148" s="167">
        <f>IF($I$213=0,0,I148/$I$213)</f>
        <v>2.3459128244504609E-4</v>
      </c>
      <c r="K148" s="458"/>
      <c r="L148" s="163"/>
      <c r="M148" s="163"/>
      <c r="N148" s="520"/>
      <c r="O148" s="329">
        <f t="shared" si="43"/>
        <v>5.8315079036173112E-2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N149" s="520"/>
      <c r="O149" s="329"/>
      <c r="P149" s="324"/>
    </row>
    <row r="150" spans="1:16" s="162" customFormat="1">
      <c r="A150" s="164"/>
      <c r="B150" s="323" t="s">
        <v>694</v>
      </c>
      <c r="C150" s="480">
        <f>'[51]Sch C'!D146</f>
        <v>19963</v>
      </c>
      <c r="D150" s="480">
        <f>'[51]Sch C'!F146</f>
        <v>0</v>
      </c>
      <c r="E150" s="480">
        <f>+'[51]Sch C'!H146</f>
        <v>0</v>
      </c>
      <c r="F150" s="166">
        <f t="shared" ref="F150:F158" si="50">C150+D150+E150</f>
        <v>19963</v>
      </c>
      <c r="G150" s="626"/>
      <c r="H150" s="607"/>
      <c r="I150" s="166">
        <f t="shared" ref="I150:I158" si="51">F150+G150+H150</f>
        <v>19963</v>
      </c>
      <c r="J150" s="167">
        <f t="shared" ref="J150:J158" si="52">IF($I$213=0,0,I150/$I$213)</f>
        <v>4.7544627121324417E-3</v>
      </c>
      <c r="K150" s="458"/>
      <c r="L150" s="176">
        <v>144</v>
      </c>
      <c r="M150" s="176">
        <v>144</v>
      </c>
      <c r="N150" s="520"/>
      <c r="O150" s="329">
        <f t="shared" si="43"/>
        <v>1.18187200284175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'[51]Sch C'!D147</f>
        <v>58682</v>
      </c>
      <c r="D151" s="480">
        <f>'[51]Sch C'!F147</f>
        <v>0</v>
      </c>
      <c r="E151" s="480">
        <f>+'[51]Sch C'!H147</f>
        <v>0</v>
      </c>
      <c r="F151" s="166">
        <f t="shared" si="50"/>
        <v>58682</v>
      </c>
      <c r="G151" s="626"/>
      <c r="H151" s="607"/>
      <c r="I151" s="166">
        <f t="shared" si="51"/>
        <v>58682</v>
      </c>
      <c r="J151" s="167">
        <f t="shared" si="52"/>
        <v>1.3975924504000198E-2</v>
      </c>
      <c r="K151" s="458"/>
      <c r="L151" s="176">
        <v>1112</v>
      </c>
      <c r="M151" s="176">
        <v>1112</v>
      </c>
      <c r="N151" s="520"/>
      <c r="O151" s="329">
        <f t="shared" si="43"/>
        <v>3.4741578355337164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'[51]Sch C'!D148</f>
        <v>8956</v>
      </c>
      <c r="D152" s="480">
        <f>'[51]Sch C'!F148</f>
        <v>0</v>
      </c>
      <c r="E152" s="480">
        <f>+'[51]Sch C'!H148</f>
        <v>0</v>
      </c>
      <c r="F152" s="166">
        <f t="shared" si="50"/>
        <v>8956</v>
      </c>
      <c r="G152" s="626"/>
      <c r="H152" s="607"/>
      <c r="I152" s="166">
        <f t="shared" si="51"/>
        <v>8956</v>
      </c>
      <c r="J152" s="167">
        <f t="shared" si="52"/>
        <v>2.1329944422109979E-3</v>
      </c>
      <c r="K152" s="458"/>
      <c r="L152" s="176">
        <v>236</v>
      </c>
      <c r="M152" s="176">
        <v>236</v>
      </c>
      <c r="N152" s="520"/>
      <c r="O152" s="329">
        <f t="shared" si="43"/>
        <v>0.53022319578473742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'[51]Sch C'!D149</f>
        <v>46370</v>
      </c>
      <c r="D153" s="480">
        <f>'[51]Sch C'!F149</f>
        <v>0</v>
      </c>
      <c r="E153" s="480">
        <f>+'[51]Sch C'!H149</f>
        <v>0</v>
      </c>
      <c r="F153" s="166">
        <f t="shared" si="50"/>
        <v>46370</v>
      </c>
      <c r="G153" s="626"/>
      <c r="H153" s="607"/>
      <c r="I153" s="166">
        <f t="shared" si="51"/>
        <v>46370</v>
      </c>
      <c r="J153" s="167">
        <f t="shared" si="52"/>
        <v>1.1043652555306383E-2</v>
      </c>
      <c r="K153" s="458"/>
      <c r="L153" s="176">
        <v>1952</v>
      </c>
      <c r="M153" s="176">
        <v>1952</v>
      </c>
      <c r="N153" s="520"/>
      <c r="O153" s="329">
        <f t="shared" si="43"/>
        <v>2.7452489491445147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'[51]Sch C'!D150</f>
        <v>13654</v>
      </c>
      <c r="D154" s="480">
        <f>'[51]Sch C'!F150</f>
        <v>0</v>
      </c>
      <c r="E154" s="480">
        <f>+'[51]Sch C'!H150</f>
        <v>0</v>
      </c>
      <c r="F154" s="166">
        <f t="shared" si="50"/>
        <v>13654</v>
      </c>
      <c r="G154" s="626"/>
      <c r="H154" s="607"/>
      <c r="I154" s="166">
        <f t="shared" si="51"/>
        <v>13654</v>
      </c>
      <c r="J154" s="167">
        <f t="shared" si="52"/>
        <v>3.2518876857915322E-3</v>
      </c>
      <c r="K154" s="458"/>
      <c r="L154" s="176">
        <v>137</v>
      </c>
      <c r="M154" s="176">
        <v>137</v>
      </c>
      <c r="N154" s="520"/>
      <c r="O154" s="329">
        <f t="shared" si="43"/>
        <v>0.80835948138061686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'[51]Sch C'!D151</f>
        <v>67069</v>
      </c>
      <c r="D155" s="480">
        <f>'[51]Sch C'!F151</f>
        <v>2901</v>
      </c>
      <c r="E155" s="480">
        <f>+'[51]Sch C'!H151</f>
        <v>0</v>
      </c>
      <c r="F155" s="166">
        <f t="shared" si="50"/>
        <v>69970</v>
      </c>
      <c r="G155" s="626"/>
      <c r="H155" s="607"/>
      <c r="I155" s="166">
        <f t="shared" si="51"/>
        <v>69970</v>
      </c>
      <c r="J155" s="167">
        <f t="shared" si="52"/>
        <v>1.6664316784446576E-2</v>
      </c>
      <c r="K155" s="458"/>
      <c r="L155" s="163"/>
      <c r="M155" s="163"/>
      <c r="N155" s="520"/>
      <c r="O155" s="329">
        <f t="shared" si="43"/>
        <v>4.1424427209756676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'[51]Sch C'!D152</f>
        <v>1656</v>
      </c>
      <c r="D156" s="480">
        <f>'[51]Sch C'!F152</f>
        <v>0</v>
      </c>
      <c r="E156" s="480">
        <f>+'[51]Sch C'!H152</f>
        <v>0</v>
      </c>
      <c r="F156" s="166">
        <f t="shared" si="50"/>
        <v>1656</v>
      </c>
      <c r="G156" s="626"/>
      <c r="H156" s="607"/>
      <c r="I156" s="166">
        <f t="shared" si="51"/>
        <v>1656</v>
      </c>
      <c r="J156" s="167">
        <f t="shared" si="52"/>
        <v>3.9439915099390491E-4</v>
      </c>
      <c r="K156" s="458"/>
      <c r="L156" s="163"/>
      <c r="M156" s="163"/>
      <c r="N156" s="520"/>
      <c r="O156" s="329">
        <f t="shared" si="43"/>
        <v>9.8040376531880885E-2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'[51]Sch C'!D153</f>
        <v>452</v>
      </c>
      <c r="D157" s="480">
        <f>'[51]Sch C'!F153</f>
        <v>0</v>
      </c>
      <c r="E157" s="480">
        <f>+'[51]Sch C'!H153</f>
        <v>0</v>
      </c>
      <c r="F157" s="166">
        <f t="shared" si="50"/>
        <v>452</v>
      </c>
      <c r="G157" s="626"/>
      <c r="H157" s="607"/>
      <c r="I157" s="166">
        <f t="shared" si="51"/>
        <v>452</v>
      </c>
      <c r="J157" s="167">
        <f t="shared" si="52"/>
        <v>1.0765000981234603E-4</v>
      </c>
      <c r="K157" s="458"/>
      <c r="L157" s="163"/>
      <c r="M157" s="163"/>
      <c r="N157" s="520"/>
      <c r="O157" s="329">
        <f t="shared" si="43"/>
        <v>2.6759812918122076E-2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'[51]Sch C'!D154</f>
        <v>0</v>
      </c>
      <c r="D158" s="480">
        <f>'[51]Sch C'!F154</f>
        <v>0</v>
      </c>
      <c r="E158" s="480">
        <f>+'[51]Sch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N158" s="520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N159" s="520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'[51]Sch C'!D156</f>
        <v>0</v>
      </c>
      <c r="D160" s="480">
        <f>'[51]Sch C'!F156</f>
        <v>0</v>
      </c>
      <c r="E160" s="480">
        <f>+'[51]Sch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N160" s="520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'[51]Sch C'!D157</f>
        <v>0</v>
      </c>
      <c r="D161" s="480">
        <f>'[51]Sch C'!F157</f>
        <v>0</v>
      </c>
      <c r="E161" s="480">
        <f>+'[51]Sch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N161" s="520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'[51]Sch C'!D158</f>
        <v>0</v>
      </c>
      <c r="D162" s="480">
        <f>'[51]Sch C'!F158</f>
        <v>0</v>
      </c>
      <c r="E162" s="480">
        <f>+'[51]Sch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N162" s="520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'[51]Sch C'!D159</f>
        <v>0</v>
      </c>
      <c r="D163" s="480">
        <f>'[51]Sch C'!F159</f>
        <v>0</v>
      </c>
      <c r="E163" s="480">
        <f>+'[51]Sch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N163" s="520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'[51]Sch C'!D160</f>
        <v>0</v>
      </c>
      <c r="D164" s="480">
        <f>'[51]Sch C'!F160</f>
        <v>0</v>
      </c>
      <c r="E164" s="480">
        <f>+'[51]Sch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N164" s="520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'[51]Sch C'!D161</f>
        <v>2318</v>
      </c>
      <c r="D165" s="480">
        <f>'[51]Sch C'!F161</f>
        <v>0</v>
      </c>
      <c r="E165" s="480">
        <f>+'[51]Sch C'!H161</f>
        <v>0</v>
      </c>
      <c r="F165" s="166">
        <f t="shared" si="53"/>
        <v>2318</v>
      </c>
      <c r="G165" s="626"/>
      <c r="H165" s="607"/>
      <c r="I165" s="166">
        <f t="shared" si="54"/>
        <v>2318</v>
      </c>
      <c r="J165" s="167">
        <f t="shared" si="55"/>
        <v>5.5206354589605773E-4</v>
      </c>
      <c r="K165" s="458"/>
      <c r="L165" s="163"/>
      <c r="M165" s="163"/>
      <c r="N165" s="520"/>
      <c r="O165" s="329">
        <f t="shared" si="43"/>
        <v>0.13723284589426321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1501493</v>
      </c>
      <c r="D166" s="480">
        <f t="shared" si="56"/>
        <v>60966</v>
      </c>
      <c r="E166" s="480">
        <f t="shared" si="56"/>
        <v>122753</v>
      </c>
      <c r="F166" s="166">
        <f t="shared" ref="F166:I166" si="57">SUM(F128:F165)</f>
        <v>1685212</v>
      </c>
      <c r="G166" s="166">
        <f t="shared" si="57"/>
        <v>0</v>
      </c>
      <c r="H166" s="166">
        <f t="shared" si="57"/>
        <v>0</v>
      </c>
      <c r="I166" s="166">
        <f t="shared" si="57"/>
        <v>1685212</v>
      </c>
      <c r="J166" s="167">
        <f t="shared" si="55"/>
        <v>0.40135639012363555</v>
      </c>
      <c r="K166" s="458"/>
      <c r="L166" s="163"/>
      <c r="M166" s="163"/>
      <c r="N166" s="520"/>
      <c r="O166" s="329">
        <f>I166/I$233</f>
        <v>99.769818246403403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N167" s="520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N168" s="520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'[51]Sch C'!D175</f>
        <v>0</v>
      </c>
      <c r="D169" s="480">
        <f>'[51]Sch C'!F175</f>
        <v>0</v>
      </c>
      <c r="E169" s="480">
        <f>+'[51]Sch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521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'[51]Sch C'!D176</f>
        <v>0</v>
      </c>
      <c r="D170" s="480">
        <f>'[51]Sch C'!F176</f>
        <v>0</v>
      </c>
      <c r="E170" s="480">
        <f>+'[51]Sch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521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'[51]Sch C'!D177</f>
        <v>116573</v>
      </c>
      <c r="D171" s="480">
        <f>'[51]Sch C'!F177</f>
        <v>0</v>
      </c>
      <c r="E171" s="480">
        <f>+'[51]Sch C'!H177</f>
        <v>0</v>
      </c>
      <c r="F171" s="166">
        <f t="shared" si="58"/>
        <v>116573</v>
      </c>
      <c r="G171" s="626"/>
      <c r="H171" s="607"/>
      <c r="I171" s="166">
        <f t="shared" si="59"/>
        <v>116573</v>
      </c>
      <c r="J171" s="167">
        <f t="shared" si="60"/>
        <v>2.7763461490828791E-2</v>
      </c>
      <c r="K171" s="468"/>
      <c r="L171" s="176">
        <v>3227</v>
      </c>
      <c r="M171" s="176">
        <v>3309</v>
      </c>
      <c r="N171" s="521"/>
      <c r="O171" s="329">
        <f t="shared" si="61"/>
        <v>6.9014859984607186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'[51]Sch C'!D178</f>
        <v>12103</v>
      </c>
      <c r="D172" s="480">
        <f>'[51]Sch C'!F178</f>
        <v>5974</v>
      </c>
      <c r="E172" s="480">
        <f>+'[51]Sch C'!H178</f>
        <v>0</v>
      </c>
      <c r="F172" s="166">
        <f t="shared" si="58"/>
        <v>18077</v>
      </c>
      <c r="G172" s="626"/>
      <c r="H172" s="607"/>
      <c r="I172" s="166">
        <f t="shared" si="59"/>
        <v>18077</v>
      </c>
      <c r="J172" s="167">
        <f t="shared" si="60"/>
        <v>4.3052859012782723E-3</v>
      </c>
      <c r="K172" s="469"/>
      <c r="L172" s="212"/>
      <c r="M172" s="212"/>
      <c r="N172" s="521"/>
      <c r="O172" s="329">
        <f t="shared" si="61"/>
        <v>1.0702149073471079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'[51]Sch C'!D179</f>
        <v>27508</v>
      </c>
      <c r="D173" s="480">
        <f>'[51]Sch C'!F179</f>
        <v>0</v>
      </c>
      <c r="E173" s="480">
        <f>+'[51]Sch C'!H179</f>
        <v>0</v>
      </c>
      <c r="F173" s="166">
        <f t="shared" si="58"/>
        <v>27508</v>
      </c>
      <c r="G173" s="626"/>
      <c r="H173" s="607"/>
      <c r="I173" s="166">
        <f t="shared" si="59"/>
        <v>27508</v>
      </c>
      <c r="J173" s="167">
        <f t="shared" si="60"/>
        <v>6.551408119287643E-3</v>
      </c>
      <c r="K173" s="468"/>
      <c r="L173" s="176">
        <v>707</v>
      </c>
      <c r="M173" s="176">
        <v>724</v>
      </c>
      <c r="N173" s="521"/>
      <c r="O173" s="329">
        <f t="shared" si="61"/>
        <v>1.6285595879462436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'[51]Sch C'!D180</f>
        <v>3509</v>
      </c>
      <c r="D174" s="480">
        <f>'[51]Sch C'!F180</f>
        <v>1410</v>
      </c>
      <c r="E174" s="480">
        <f>+'[51]Sch C'!H180</f>
        <v>0</v>
      </c>
      <c r="F174" s="166">
        <f t="shared" si="58"/>
        <v>4919</v>
      </c>
      <c r="G174" s="626"/>
      <c r="H174" s="607"/>
      <c r="I174" s="166">
        <f t="shared" si="59"/>
        <v>4919</v>
      </c>
      <c r="J174" s="167">
        <f t="shared" si="60"/>
        <v>1.1715274297940932E-3</v>
      </c>
      <c r="K174" s="469"/>
      <c r="L174" s="212"/>
      <c r="M174" s="212"/>
      <c r="N174" s="521"/>
      <c r="O174" s="329">
        <f t="shared" si="61"/>
        <v>0.29122017642531528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'[51]Sch C'!D181</f>
        <v>0</v>
      </c>
      <c r="D175" s="480">
        <f>'[51]Sch C'!F181</f>
        <v>0</v>
      </c>
      <c r="E175" s="480">
        <f>+'[51]Sch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521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'[51]Sch C'!D182</f>
        <v>0</v>
      </c>
      <c r="D176" s="480">
        <f>'[51]Sch C'!F182</f>
        <v>0</v>
      </c>
      <c r="E176" s="480">
        <f>+'[51]Sch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521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'[51]Sch C'!D183</f>
        <v>69404</v>
      </c>
      <c r="D177" s="480">
        <f>'[51]Sch C'!F183</f>
        <v>0</v>
      </c>
      <c r="E177" s="480">
        <f>+'[51]Sch C'!H183</f>
        <v>0</v>
      </c>
      <c r="F177" s="166">
        <f t="shared" si="58"/>
        <v>69404</v>
      </c>
      <c r="G177" s="626"/>
      <c r="H177" s="607"/>
      <c r="I177" s="166">
        <f t="shared" si="59"/>
        <v>69404</v>
      </c>
      <c r="J177" s="167">
        <f t="shared" si="60"/>
        <v>1.6529516108442617E-2</v>
      </c>
      <c r="K177" s="468"/>
      <c r="L177" s="176">
        <v>2014</v>
      </c>
      <c r="M177" s="176">
        <v>2078</v>
      </c>
      <c r="N177" s="521"/>
      <c r="O177" s="329">
        <f t="shared" si="61"/>
        <v>4.1089337517020903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'[51]Sch C'!D184</f>
        <v>8134</v>
      </c>
      <c r="D178" s="480">
        <f>'[51]Sch C'!F184</f>
        <v>3557</v>
      </c>
      <c r="E178" s="480">
        <f>+'[51]Sch C'!H184</f>
        <v>0</v>
      </c>
      <c r="F178" s="166">
        <f t="shared" si="58"/>
        <v>11691</v>
      </c>
      <c r="G178" s="626"/>
      <c r="H178" s="607"/>
      <c r="I178" s="166">
        <f t="shared" si="59"/>
        <v>11691</v>
      </c>
      <c r="J178" s="167">
        <f t="shared" si="60"/>
        <v>2.7843722670711003E-3</v>
      </c>
      <c r="K178" s="469"/>
      <c r="L178" s="212"/>
      <c r="M178" s="212"/>
      <c r="N178" s="521"/>
      <c r="O178" s="329">
        <f t="shared" si="61"/>
        <v>0.69214374518974597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'[51]Sch C'!D185</f>
        <v>0</v>
      </c>
      <c r="D179" s="480">
        <f>'[51]Sch C'!F185</f>
        <v>0</v>
      </c>
      <c r="E179" s="480">
        <f>+'[51]Sch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521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'[51]Sch C'!D186</f>
        <v>0</v>
      </c>
      <c r="D180" s="480">
        <f>'[51]Sch C'!F186</f>
        <v>0</v>
      </c>
      <c r="E180" s="480">
        <f>+'[51]Sch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522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'[51]Sch C'!D187</f>
        <v>0</v>
      </c>
      <c r="D181" s="480">
        <f>'[51]Sch C'!F187</f>
        <v>0</v>
      </c>
      <c r="E181" s="480">
        <f>+'[51]Sch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522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'[51]Sch C'!D188</f>
        <v>533</v>
      </c>
      <c r="D182" s="480">
        <f>'[51]Sch C'!F188</f>
        <v>0</v>
      </c>
      <c r="E182" s="480">
        <f>+'[51]Sch C'!H188</f>
        <v>0</v>
      </c>
      <c r="F182" s="166">
        <f t="shared" si="58"/>
        <v>533</v>
      </c>
      <c r="G182" s="626"/>
      <c r="H182" s="607"/>
      <c r="I182" s="166">
        <f t="shared" si="59"/>
        <v>533</v>
      </c>
      <c r="J182" s="167">
        <f t="shared" si="60"/>
        <v>1.2694127263270007E-4</v>
      </c>
      <c r="K182" s="458"/>
      <c r="L182" s="213"/>
      <c r="M182" s="208"/>
      <c r="N182" s="522"/>
      <c r="O182" s="329">
        <f t="shared" si="61"/>
        <v>3.1555266118051033E-2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'[51]Sch C'!D189</f>
        <v>0</v>
      </c>
      <c r="D183" s="480">
        <f>'[51]Sch C'!F189</f>
        <v>0</v>
      </c>
      <c r="E183" s="480">
        <f>+'[51]Sch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522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'[51]Sch C'!D190</f>
        <v>0</v>
      </c>
      <c r="D184" s="480">
        <f>'[51]Sch C'!F190</f>
        <v>0</v>
      </c>
      <c r="E184" s="480">
        <f>+'[51]Sch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522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'[51]Sch C'!D191</f>
        <v>0</v>
      </c>
      <c r="D185" s="480">
        <f>'[51]Sch C'!F191</f>
        <v>0</v>
      </c>
      <c r="E185" s="480">
        <f>+'[51]Sch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522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'[51]Sch C'!D192</f>
        <v>0</v>
      </c>
      <c r="D186" s="480">
        <f>'[51]Sch C'!F192</f>
        <v>0</v>
      </c>
      <c r="E186" s="480">
        <f>+'[51]Sch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522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'[51]Sch C'!D193</f>
        <v>0</v>
      </c>
      <c r="D187" s="480">
        <f>'[51]Sch C'!F193</f>
        <v>0</v>
      </c>
      <c r="E187" s="480">
        <f>+'[51]Sch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522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'[51]Sch C'!D194</f>
        <v>0</v>
      </c>
      <c r="D188" s="480">
        <f>'[51]Sch C'!F194</f>
        <v>0</v>
      </c>
      <c r="E188" s="480">
        <f>+'[51]Sch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N188" s="523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'[51]Sch C'!D195</f>
        <v>659</v>
      </c>
      <c r="D189" s="480">
        <f>'[51]Sch C'!F195</f>
        <v>0</v>
      </c>
      <c r="E189" s="480">
        <f>+'[51]Sch C'!H195</f>
        <v>0</v>
      </c>
      <c r="F189" s="166">
        <f t="shared" si="58"/>
        <v>659</v>
      </c>
      <c r="G189" s="626"/>
      <c r="H189" s="607"/>
      <c r="I189" s="166">
        <f t="shared" si="59"/>
        <v>659</v>
      </c>
      <c r="J189" s="167">
        <f t="shared" si="60"/>
        <v>1.5694990368658415E-4</v>
      </c>
      <c r="K189" s="458"/>
      <c r="L189" s="213"/>
      <c r="M189" s="208"/>
      <c r="N189" s="523"/>
      <c r="O189" s="329">
        <f t="shared" si="61"/>
        <v>3.9014859984607186E-2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'[51]Sch C'!D196</f>
        <v>0</v>
      </c>
      <c r="D190" s="480">
        <f>'[51]Sch C'!F196</f>
        <v>0</v>
      </c>
      <c r="E190" s="480">
        <f>+'[51]Sch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523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'[51]Sch C'!D197</f>
        <v>0</v>
      </c>
      <c r="D191" s="480">
        <f>'[51]Sch C'!F197</f>
        <v>0</v>
      </c>
      <c r="E191" s="480">
        <f>+'[51]Sch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523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'[51]Sch C'!D198</f>
        <v>21460</v>
      </c>
      <c r="D192" s="480">
        <f>'[51]Sch C'!F198</f>
        <v>0</v>
      </c>
      <c r="E192" s="480">
        <f>+'[51]Sch C'!H198</f>
        <v>-900</v>
      </c>
      <c r="F192" s="166">
        <f t="shared" si="58"/>
        <v>20560</v>
      </c>
      <c r="G192" s="626"/>
      <c r="H192" s="607"/>
      <c r="I192" s="166">
        <f t="shared" si="59"/>
        <v>20560</v>
      </c>
      <c r="J192" s="167">
        <f t="shared" si="60"/>
        <v>4.8966464640306066E-3</v>
      </c>
      <c r="K192" s="458"/>
      <c r="L192" s="213"/>
      <c r="M192" s="208"/>
      <c r="N192" s="523"/>
      <c r="O192" s="329">
        <f t="shared" si="61"/>
        <v>1.2172162690190043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'[51]Sch C'!D199</f>
        <v>0</v>
      </c>
      <c r="D193" s="480">
        <f>'[51]Sch C'!F199</f>
        <v>0</v>
      </c>
      <c r="E193" s="480">
        <f>+'[51]Sch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523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'[51]Sch C'!D200</f>
        <v>0</v>
      </c>
      <c r="D194" s="480">
        <f>'[51]Sch C'!F200</f>
        <v>0</v>
      </c>
      <c r="E194" s="480">
        <f>+'[51]Sch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523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'[51]Sch C'!D201</f>
        <v>0</v>
      </c>
      <c r="D195" s="480">
        <f>'[51]Sch C'!F201</f>
        <v>0</v>
      </c>
      <c r="E195" s="480">
        <f>+'[51]Sch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523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'[51]Sch C'!D202</f>
        <v>0</v>
      </c>
      <c r="D196" s="480">
        <f>'[51]Sch C'!F202</f>
        <v>0</v>
      </c>
      <c r="E196" s="480">
        <f>+'[51]Sch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523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'[51]Sch C'!D203</f>
        <v>0</v>
      </c>
      <c r="D197" s="480">
        <f>'[51]Sch C'!F203</f>
        <v>0</v>
      </c>
      <c r="E197" s="480">
        <f>+'[51]Sch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523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'[51]Sch C'!D204</f>
        <v>0</v>
      </c>
      <c r="D198" s="480">
        <f>'[51]Sch C'!F204</f>
        <v>0</v>
      </c>
      <c r="E198" s="480">
        <f>+'[51]Sch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523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'[51]Sch C'!D205</f>
        <v>46118</v>
      </c>
      <c r="D199" s="480">
        <f>'[51]Sch C'!F205</f>
        <v>0</v>
      </c>
      <c r="E199" s="480">
        <f>+'[51]Sch C'!H205</f>
        <v>0</v>
      </c>
      <c r="F199" s="166">
        <f t="shared" si="58"/>
        <v>46118</v>
      </c>
      <c r="G199" s="626"/>
      <c r="H199" s="607"/>
      <c r="I199" s="166">
        <f t="shared" si="59"/>
        <v>46118</v>
      </c>
      <c r="J199" s="167">
        <f t="shared" si="60"/>
        <v>1.0983635293198615E-2</v>
      </c>
      <c r="K199" s="458"/>
      <c r="L199" s="213"/>
      <c r="M199" s="208"/>
      <c r="N199" s="523"/>
      <c r="O199" s="329">
        <f t="shared" si="61"/>
        <v>2.7303297614114026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'[51]Sch C'!D206</f>
        <v>245</v>
      </c>
      <c r="D200" s="480">
        <f>'[51]Sch C'!F206</f>
        <v>0</v>
      </c>
      <c r="E200" s="480">
        <f>+'[51]Sch C'!H206</f>
        <v>0</v>
      </c>
      <c r="F200" s="166">
        <f t="shared" si="58"/>
        <v>245</v>
      </c>
      <c r="G200" s="626"/>
      <c r="H200" s="607"/>
      <c r="I200" s="166">
        <f t="shared" si="59"/>
        <v>245</v>
      </c>
      <c r="J200" s="167">
        <f t="shared" si="60"/>
        <v>5.8350115938107912E-5</v>
      </c>
      <c r="K200" s="458"/>
      <c r="L200" s="213"/>
      <c r="M200" s="208"/>
      <c r="N200" s="523"/>
      <c r="O200" s="329">
        <f t="shared" si="61"/>
        <v>1.4504765851636967E-2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'[51]Sch C'!D207</f>
        <v>5426</v>
      </c>
      <c r="D201" s="480">
        <f>'[51]Sch C'!F207</f>
        <v>-1634</v>
      </c>
      <c r="E201" s="480">
        <f>+'[51]Sch C'!H207</f>
        <v>0</v>
      </c>
      <c r="F201" s="166">
        <f t="shared" si="58"/>
        <v>3792</v>
      </c>
      <c r="G201" s="626"/>
      <c r="H201" s="607"/>
      <c r="I201" s="166">
        <f t="shared" si="59"/>
        <v>3792</v>
      </c>
      <c r="J201" s="167">
        <f t="shared" si="60"/>
        <v>9.0311689647879672E-4</v>
      </c>
      <c r="K201" s="458"/>
      <c r="L201" s="213"/>
      <c r="M201" s="208"/>
      <c r="N201" s="523"/>
      <c r="O201" s="329">
        <f t="shared" si="61"/>
        <v>0.22449825350778521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311672</v>
      </c>
      <c r="D202" s="480">
        <f t="shared" si="62"/>
        <v>9307</v>
      </c>
      <c r="E202" s="480">
        <f t="shared" si="62"/>
        <v>-900</v>
      </c>
      <c r="F202" s="166">
        <f t="shared" ref="F202:I202" si="63">SUM(F169:F201)</f>
        <v>320079</v>
      </c>
      <c r="G202" s="166">
        <f t="shared" si="63"/>
        <v>0</v>
      </c>
      <c r="H202" s="166">
        <f t="shared" si="63"/>
        <v>0</v>
      </c>
      <c r="I202" s="166">
        <f t="shared" si="63"/>
        <v>320079</v>
      </c>
      <c r="J202" s="167">
        <f>IF($I$213=0,0,I202/$I$213)</f>
        <v>7.6231211262667936E-2</v>
      </c>
      <c r="K202" s="458"/>
      <c r="L202" s="163"/>
      <c r="M202" s="163"/>
      <c r="N202" s="520"/>
      <c r="O202" s="329">
        <f>I202/I$233</f>
        <v>18.94967734296371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N203" s="520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N204" s="520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'[51]Sch C'!D211</f>
        <v>124246</v>
      </c>
      <c r="D205" s="480">
        <f>'[51]Sch C'!F211</f>
        <v>0</v>
      </c>
      <c r="E205" s="480">
        <f>+'[51]Sch C'!H211</f>
        <v>0</v>
      </c>
      <c r="F205" s="166">
        <f t="shared" ref="F205:F210" si="64">C205+D205+E205</f>
        <v>124246</v>
      </c>
      <c r="G205" s="626"/>
      <c r="H205" s="607"/>
      <c r="I205" s="166">
        <f t="shared" ref="I205:I210" si="65">F205+G205+H205</f>
        <v>124246</v>
      </c>
      <c r="J205" s="167">
        <f t="shared" ref="J205:J211" si="66">IF($I$213=0,0,I205/$I$213)</f>
        <v>2.9590891856514923E-2</v>
      </c>
      <c r="K205" s="458"/>
      <c r="L205" s="176">
        <v>6185</v>
      </c>
      <c r="M205" s="176">
        <v>6531</v>
      </c>
      <c r="N205" s="520"/>
      <c r="O205" s="329">
        <f t="shared" ref="O205:O210" si="67">I205/I$233</f>
        <v>7.3557515836836185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'[51]Sch C'!D212</f>
        <v>18149</v>
      </c>
      <c r="D206" s="480">
        <f>'[51]Sch C'!F212</f>
        <v>6367</v>
      </c>
      <c r="E206" s="480">
        <f>+'[51]Sch C'!H212</f>
        <v>0</v>
      </c>
      <c r="F206" s="166">
        <f t="shared" si="64"/>
        <v>24516</v>
      </c>
      <c r="G206" s="626"/>
      <c r="H206" s="607"/>
      <c r="I206" s="166">
        <f t="shared" si="65"/>
        <v>24516</v>
      </c>
      <c r="J206" s="167">
        <f t="shared" si="66"/>
        <v>5.8388222136271572E-3</v>
      </c>
      <c r="K206" s="458"/>
      <c r="L206" s="163"/>
      <c r="M206" s="163"/>
      <c r="N206" s="520"/>
      <c r="O206" s="329">
        <f t="shared" si="67"/>
        <v>1.4514238351784974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'[51]Sch C'!D213</f>
        <v>2653</v>
      </c>
      <c r="D207" s="480">
        <f>'[51]Sch C'!F213</f>
        <v>0</v>
      </c>
      <c r="E207" s="480">
        <f>+'[51]Sch C'!H213</f>
        <v>0</v>
      </c>
      <c r="F207" s="166">
        <f t="shared" si="64"/>
        <v>2653</v>
      </c>
      <c r="G207" s="626"/>
      <c r="H207" s="607"/>
      <c r="I207" s="166">
        <f t="shared" si="65"/>
        <v>2653</v>
      </c>
      <c r="J207" s="167">
        <f t="shared" si="66"/>
        <v>6.3184839830122573E-4</v>
      </c>
      <c r="K207" s="458"/>
      <c r="L207" s="163"/>
      <c r="M207" s="163"/>
      <c r="N207" s="520"/>
      <c r="O207" s="329">
        <f t="shared" si="67"/>
        <v>0.15706589307915458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'[51]Sch C'!D214</f>
        <v>0</v>
      </c>
      <c r="D208" s="480">
        <f>'[51]Sch C'!F214</f>
        <v>0</v>
      </c>
      <c r="E208" s="480">
        <f>+'[51]Sch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N208" s="520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'[51]Sch C'!D215</f>
        <v>0</v>
      </c>
      <c r="D209" s="480">
        <f>'[51]Sch C'!F215</f>
        <v>0</v>
      </c>
      <c r="E209" s="480">
        <f>+'[51]Sch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N209" s="520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'[51]Sch C'!D216</f>
        <v>6155</v>
      </c>
      <c r="D210" s="480">
        <f>'[51]Sch C'!F216</f>
        <v>0</v>
      </c>
      <c r="E210" s="480">
        <f>+'[51]Sch C'!H216</f>
        <v>-52</v>
      </c>
      <c r="F210" s="166">
        <f t="shared" si="64"/>
        <v>6103</v>
      </c>
      <c r="G210" s="626">
        <v>-3848</v>
      </c>
      <c r="H210" s="607"/>
      <c r="I210" s="166">
        <f t="shared" si="65"/>
        <v>2255</v>
      </c>
      <c r="J210" s="167">
        <f t="shared" si="66"/>
        <v>5.3705923036911571E-4</v>
      </c>
      <c r="K210" s="458"/>
      <c r="L210" s="163"/>
      <c r="M210" s="163"/>
      <c r="N210" s="520"/>
      <c r="O210" s="329">
        <f t="shared" si="67"/>
        <v>0.13350304896098514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151203</v>
      </c>
      <c r="D211" s="480">
        <f t="shared" si="68"/>
        <v>6367</v>
      </c>
      <c r="E211" s="480">
        <f t="shared" si="68"/>
        <v>-52</v>
      </c>
      <c r="F211" s="166">
        <f t="shared" ref="F211:I211" si="69">SUM(F205:F210)</f>
        <v>157518</v>
      </c>
      <c r="G211" s="166">
        <f t="shared" si="69"/>
        <v>-3848</v>
      </c>
      <c r="H211" s="166">
        <f t="shared" si="69"/>
        <v>0</v>
      </c>
      <c r="I211" s="166">
        <f t="shared" si="69"/>
        <v>153670</v>
      </c>
      <c r="J211" s="167">
        <f t="shared" si="66"/>
        <v>3.6598621698812422E-2</v>
      </c>
      <c r="K211" s="458"/>
      <c r="L211" s="163"/>
      <c r="M211" s="163"/>
      <c r="N211" s="520"/>
      <c r="O211" s="329">
        <f>I211/I$233</f>
        <v>9.0977443609022561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N212" s="520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4297680</v>
      </c>
      <c r="D213" s="480">
        <f t="shared" si="70"/>
        <v>-108991</v>
      </c>
      <c r="E213" s="480">
        <f t="shared" si="70"/>
        <v>-80813</v>
      </c>
      <c r="F213" s="166">
        <f t="shared" ref="F213:I213" si="71">SUM(F30:F211)/2</f>
        <v>4107876</v>
      </c>
      <c r="G213" s="166">
        <f t="shared" si="71"/>
        <v>18011</v>
      </c>
      <c r="H213" s="166">
        <f t="shared" si="71"/>
        <v>72905</v>
      </c>
      <c r="I213" s="166">
        <f t="shared" si="71"/>
        <v>4198792</v>
      </c>
      <c r="J213" s="167">
        <f>IF($I$213=0,0,I213/$I$213)</f>
        <v>1</v>
      </c>
      <c r="K213" s="458"/>
      <c r="L213" s="176">
        <f>SUM(L30:L205)</f>
        <v>104927</v>
      </c>
      <c r="M213" s="176">
        <f>SUM(M30:M205)</f>
        <v>109711</v>
      </c>
      <c r="N213" s="520"/>
      <c r="O213" s="329">
        <f>I213/I$233</f>
        <v>248.58161150908768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  <c r="N214" s="520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  <c r="N215" s="520"/>
    </row>
    <row r="216" spans="1:16" s="162" customFormat="1" ht="15.5">
      <c r="A216" s="158"/>
      <c r="B216" s="218" t="s">
        <v>172</v>
      </c>
      <c r="C216" s="480">
        <f>'[51]Sch C'!D221</f>
        <v>4297680</v>
      </c>
      <c r="D216" s="188"/>
      <c r="E216" s="188"/>
      <c r="F216" s="160"/>
      <c r="G216" s="160"/>
      <c r="H216" s="399"/>
      <c r="I216"/>
      <c r="K216" s="460"/>
      <c r="L216" s="163"/>
      <c r="M216" s="163"/>
      <c r="N216" s="520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  <c r="N217" s="520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  <c r="N218" s="520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133528</v>
      </c>
      <c r="D220" s="480">
        <f t="shared" si="72"/>
        <v>1092955.3615188107</v>
      </c>
      <c r="E220" s="480">
        <f t="shared" si="72"/>
        <v>80813</v>
      </c>
      <c r="F220" s="166">
        <f t="shared" ref="F220:I220" si="73">F26-F213</f>
        <v>1307296.3615188105</v>
      </c>
      <c r="G220" s="166">
        <f t="shared" si="73"/>
        <v>-103325</v>
      </c>
      <c r="H220" s="166">
        <f t="shared" si="73"/>
        <v>-72905</v>
      </c>
      <c r="I220" s="166">
        <f t="shared" si="73"/>
        <v>1131066.3615188105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'[51]Sch D'!C9</f>
        <v>13294</v>
      </c>
      <c r="D224" s="480"/>
      <c r="E224" s="480"/>
      <c r="F224" s="224">
        <f>C224+D224+E224</f>
        <v>13294</v>
      </c>
      <c r="G224" s="627"/>
      <c r="H224" s="223"/>
      <c r="I224" s="224">
        <f>F224+G224+H224</f>
        <v>13294</v>
      </c>
      <c r="J224" s="167">
        <f t="shared" ref="J224:J233" si="74">IF($I$233=0,0,I224/$I$233)</f>
        <v>0.78704635604759932</v>
      </c>
      <c r="K224" s="458"/>
      <c r="L224" s="163"/>
      <c r="M224" s="163"/>
    </row>
    <row r="225" spans="1:13">
      <c r="A225" s="158"/>
      <c r="B225" s="165" t="s">
        <v>201</v>
      </c>
      <c r="C225" s="504">
        <f>'[51]Sch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'[51]Sch D'!E9</f>
        <v>524</v>
      </c>
      <c r="D226" s="480"/>
      <c r="E226" s="480"/>
      <c r="F226" s="224">
        <f t="shared" si="75"/>
        <v>524</v>
      </c>
      <c r="G226" s="627"/>
      <c r="H226" s="223"/>
      <c r="I226" s="224">
        <f t="shared" si="76"/>
        <v>524</v>
      </c>
      <c r="J226" s="167">
        <f t="shared" si="74"/>
        <v>3.1022437984725593E-2</v>
      </c>
      <c r="K226" s="458"/>
      <c r="L226" s="163"/>
      <c r="M226" s="163"/>
    </row>
    <row r="227" spans="1:13">
      <c r="A227" s="158"/>
      <c r="B227" s="194" t="s">
        <v>315</v>
      </c>
      <c r="C227" s="504">
        <f>'[51]Sch D'!F9</f>
        <v>941</v>
      </c>
      <c r="D227" s="480"/>
      <c r="E227" s="480"/>
      <c r="F227" s="224">
        <f t="shared" si="75"/>
        <v>941</v>
      </c>
      <c r="G227" s="627"/>
      <c r="H227" s="223"/>
      <c r="I227" s="224">
        <f t="shared" si="76"/>
        <v>941</v>
      </c>
      <c r="J227" s="167">
        <f t="shared" si="74"/>
        <v>5.5710141495470961E-2</v>
      </c>
      <c r="K227" s="458"/>
      <c r="L227" s="163"/>
      <c r="M227" s="163"/>
    </row>
    <row r="228" spans="1:13">
      <c r="A228" s="158"/>
      <c r="B228" s="165" t="s">
        <v>65</v>
      </c>
      <c r="C228" s="504">
        <f>'[51]Sch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'[51]Sch D'!H9</f>
        <v>955</v>
      </c>
      <c r="D229" s="480"/>
      <c r="E229" s="480"/>
      <c r="F229" s="224">
        <f t="shared" si="75"/>
        <v>955</v>
      </c>
      <c r="G229" s="627"/>
      <c r="H229" s="223"/>
      <c r="I229" s="224">
        <f t="shared" si="76"/>
        <v>955</v>
      </c>
      <c r="J229" s="167">
        <f t="shared" si="74"/>
        <v>5.6538985258421645E-2</v>
      </c>
      <c r="K229" s="458"/>
      <c r="L229" s="163"/>
      <c r="M229" s="163"/>
    </row>
    <row r="230" spans="1:13">
      <c r="A230" s="158"/>
      <c r="B230" s="165" t="s">
        <v>219</v>
      </c>
      <c r="C230" s="504">
        <f>'[51]Sch D'!I9</f>
        <v>925</v>
      </c>
      <c r="D230" s="480"/>
      <c r="E230" s="480"/>
      <c r="F230" s="224">
        <f t="shared" si="75"/>
        <v>925</v>
      </c>
      <c r="G230" s="627"/>
      <c r="H230" s="223"/>
      <c r="I230" s="224">
        <f t="shared" si="76"/>
        <v>925</v>
      </c>
      <c r="J230" s="167">
        <f t="shared" si="74"/>
        <v>5.4762891480670178E-2</v>
      </c>
      <c r="K230" s="458"/>
      <c r="L230" s="163"/>
      <c r="M230" s="163"/>
    </row>
    <row r="231" spans="1:13">
      <c r="A231" s="158"/>
      <c r="B231" s="165" t="s">
        <v>218</v>
      </c>
      <c r="C231" s="504">
        <f>'[51]Sch D'!J9</f>
        <v>44</v>
      </c>
      <c r="D231" s="480"/>
      <c r="E231" s="480"/>
      <c r="F231" s="224">
        <f t="shared" si="75"/>
        <v>44</v>
      </c>
      <c r="G231" s="627"/>
      <c r="H231" s="223"/>
      <c r="I231" s="224">
        <f t="shared" si="76"/>
        <v>44</v>
      </c>
      <c r="J231" s="167">
        <f>IF($I$233=0,0,I231/$I$233)</f>
        <v>2.6049375407021492E-3</v>
      </c>
      <c r="K231" s="458"/>
      <c r="L231" s="163"/>
      <c r="M231" s="163"/>
    </row>
    <row r="232" spans="1:13">
      <c r="A232" s="158"/>
      <c r="B232" s="165" t="s">
        <v>170</v>
      </c>
      <c r="C232" s="504">
        <f>'[51]Sch D'!K9</f>
        <v>208</v>
      </c>
      <c r="D232" s="480"/>
      <c r="E232" s="480"/>
      <c r="F232" s="224">
        <f t="shared" si="75"/>
        <v>208</v>
      </c>
      <c r="G232" s="627"/>
      <c r="H232" s="223"/>
      <c r="I232" s="224">
        <f t="shared" si="76"/>
        <v>208</v>
      </c>
      <c r="J232" s="167">
        <f t="shared" si="74"/>
        <v>1.231425019241016E-2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16891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16891</v>
      </c>
      <c r="G233" s="226">
        <f t="shared" si="78"/>
        <v>0</v>
      </c>
      <c r="H233" s="226">
        <f t="shared" si="78"/>
        <v>0</v>
      </c>
      <c r="I233" s="226">
        <f t="shared" si="78"/>
        <v>16891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'[51]Sch D'!N22</f>
        <v>99</v>
      </c>
      <c r="D236" s="480"/>
      <c r="E236" s="480"/>
      <c r="F236" s="224">
        <f>C236+E236</f>
        <v>99</v>
      </c>
      <c r="G236" s="627"/>
      <c r="H236" s="224"/>
      <c r="I236" s="224">
        <f>F236+G236+H236</f>
        <v>99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'[51]Sch D'!N24</f>
        <v>99</v>
      </c>
      <c r="D237" s="480"/>
      <c r="E237" s="480"/>
      <c r="F237" s="224">
        <f>C237+E237</f>
        <v>99</v>
      </c>
      <c r="G237" s="627"/>
      <c r="H237" s="224"/>
      <c r="I237" s="224">
        <f>F237+G237+H237</f>
        <v>99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'[51]Sch D'!N28</f>
        <v>36135</v>
      </c>
      <c r="D240" s="427"/>
      <c r="E240" s="427"/>
      <c r="F240" s="223">
        <f>F236*F238</f>
        <v>36135</v>
      </c>
      <c r="G240"/>
      <c r="H240" s="228"/>
      <c r="I240" s="223">
        <f>I236*I238</f>
        <v>36135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'[51]Sch D'!N30</f>
        <v>0.4674415386744154</v>
      </c>
      <c r="D241" s="228"/>
      <c r="E241" s="228"/>
      <c r="F241" s="232">
        <f>F233/F240</f>
        <v>0.4674415386744154</v>
      </c>
      <c r="G241"/>
      <c r="H241" s="233"/>
      <c r="I241" s="232">
        <f>I233/I240</f>
        <v>0.4674415386744154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'[51]Sch D'!N32</f>
        <v>0.3678981596789816</v>
      </c>
      <c r="D242" s="228"/>
      <c r="E242" s="228"/>
      <c r="F242" s="232">
        <f>(F224+F225)/F240</f>
        <v>0.3678981596789816</v>
      </c>
      <c r="G242"/>
      <c r="H242" s="233"/>
      <c r="I242" s="232">
        <f>(I224+I225)/I240</f>
        <v>0.3678981596789816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'[51]Sch D'!N34</f>
        <v>0.78704635604759932</v>
      </c>
      <c r="D243" s="228"/>
      <c r="E243" s="228"/>
      <c r="F243" s="232">
        <f>(F242/F241)</f>
        <v>0.78704635604759932</v>
      </c>
      <c r="G243"/>
      <c r="H243" s="233"/>
      <c r="I243" s="232">
        <f>(I242/I241)</f>
        <v>0.78704635604759932</v>
      </c>
      <c r="J243" s="162"/>
      <c r="K243" s="460"/>
      <c r="L243" s="163"/>
      <c r="M243" s="163"/>
    </row>
    <row r="244" spans="1:13">
      <c r="K244" s="460"/>
    </row>
    <row r="245" spans="1:13" ht="15.5">
      <c r="F245"/>
      <c r="G245"/>
      <c r="K245" s="460"/>
    </row>
    <row r="246" spans="1:13" ht="15.5">
      <c r="B246" s="145" t="s">
        <v>320</v>
      </c>
      <c r="F246"/>
      <c r="G246"/>
      <c r="H246" s="140" t="s">
        <v>321</v>
      </c>
      <c r="I246" s="480">
        <f>'[51]Sch B'!C90</f>
        <v>143.56498673740052</v>
      </c>
      <c r="K246" s="460"/>
    </row>
    <row r="247" spans="1:13" ht="15.5">
      <c r="F247"/>
      <c r="G247"/>
      <c r="H247" s="140" t="s">
        <v>322</v>
      </c>
      <c r="I247" s="480">
        <f>'[51]Sch B'!E90</f>
        <v>180.9619771863118</v>
      </c>
      <c r="K247" s="460"/>
    </row>
    <row r="248" spans="1:13" ht="15.5">
      <c r="E248"/>
      <c r="F248"/>
      <c r="G248"/>
      <c r="H248" s="140" t="s">
        <v>323</v>
      </c>
      <c r="I248" s="480">
        <f>'[51]Sch B'!G90</f>
        <v>713.84705882352944</v>
      </c>
      <c r="K248" s="460"/>
    </row>
    <row r="249" spans="1:13" ht="15.5">
      <c r="E249"/>
      <c r="F249"/>
      <c r="G249"/>
      <c r="H249" s="140" t="s">
        <v>324</v>
      </c>
      <c r="I249" s="480">
        <f>'[51]Sch B'!I90</f>
        <v>73.504347826086956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2">
    <tabColor rgb="FFE28CAB"/>
  </sheetPr>
  <dimension ref="A1:Q277"/>
  <sheetViews>
    <sheetView showGridLines="0" topLeftCell="A8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82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23"/>
      <c r="I1" s="419"/>
      <c r="J1" s="417"/>
      <c r="K1" s="420"/>
    </row>
    <row r="2" spans="1:16" ht="23">
      <c r="B2" s="141" t="s">
        <v>178</v>
      </c>
      <c r="C2" s="234" t="s">
        <v>406</v>
      </c>
      <c r="D2" s="234"/>
      <c r="E2" s="234"/>
      <c r="F2" s="142"/>
      <c r="G2" s="142"/>
      <c r="H2" s="401"/>
      <c r="I2"/>
      <c r="J2"/>
    </row>
    <row r="3" spans="1:16" ht="15" customHeight="1">
      <c r="A3" s="143"/>
      <c r="B3" s="138" t="s">
        <v>71</v>
      </c>
      <c r="C3" s="557">
        <f>'[52]Sch A Pg 1'!B39</f>
        <v>42917</v>
      </c>
      <c r="D3" s="620"/>
      <c r="E3" s="142"/>
      <c r="F3" s="144"/>
      <c r="G3" s="144"/>
      <c r="H3" s="501"/>
      <c r="I3"/>
      <c r="J3"/>
    </row>
    <row r="4" spans="1:16" ht="15.5">
      <c r="A4" s="143"/>
      <c r="B4" s="145" t="s">
        <v>72</v>
      </c>
      <c r="C4" s="557">
        <f>'[52]Sch A Pg 1'!G39</f>
        <v>43281</v>
      </c>
      <c r="D4" s="620"/>
      <c r="E4" s="142"/>
      <c r="F4" s="146"/>
      <c r="G4" s="146"/>
      <c r="H4"/>
      <c r="I4"/>
      <c r="J4"/>
    </row>
    <row r="5" spans="1:16" ht="15.5">
      <c r="A5" s="143"/>
      <c r="B5" s="145"/>
      <c r="C5" s="148"/>
      <c r="D5" s="148"/>
      <c r="E5" s="142"/>
      <c r="H5"/>
      <c r="I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8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7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7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'[52]Sch B'!E10</f>
        <v>984830.53</v>
      </c>
      <c r="D12" s="480">
        <f>'[52]Sch B'!G10</f>
        <v>0</v>
      </c>
      <c r="E12" s="480"/>
      <c r="F12" s="166">
        <f>C12+D12+E12</f>
        <v>984830.53</v>
      </c>
      <c r="G12" s="626"/>
      <c r="H12" s="372"/>
      <c r="I12" s="166">
        <f>F12+G12+H12</f>
        <v>984830.53</v>
      </c>
      <c r="J12" s="167">
        <f>IF($I$26=0,0,I12/$I$26)</f>
        <v>0.25446659325278098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'[52]Sch B'!E12</f>
        <v>304423.49</v>
      </c>
      <c r="D13" s="480">
        <f>'[52]Sch B'!G12</f>
        <v>236954.47999999998</v>
      </c>
      <c r="E13" s="480"/>
      <c r="F13" s="166">
        <f t="shared" ref="F13:F25" si="0">C13+D13+E13</f>
        <v>541377.97</v>
      </c>
      <c r="G13" s="626"/>
      <c r="H13" s="372"/>
      <c r="I13" s="166">
        <f t="shared" ref="I13:I25" si="1">F13+G13+H13</f>
        <v>541377.97</v>
      </c>
      <c r="J13" s="167">
        <f>IF($I$26=0,0,I13/$I$26)</f>
        <v>0.13988458266825485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'[52]Sch B'!E13</f>
        <v>23894.05</v>
      </c>
      <c r="D14" s="480">
        <f>'[52]Sch B'!G13</f>
        <v>0</v>
      </c>
      <c r="E14" s="480"/>
      <c r="F14" s="166">
        <f t="shared" si="0"/>
        <v>23894.05</v>
      </c>
      <c r="G14" s="626"/>
      <c r="H14" s="372"/>
      <c r="I14" s="166">
        <f t="shared" si="1"/>
        <v>23894.05</v>
      </c>
      <c r="J14" s="167">
        <f>IF($I$26=0,0,I14/$I$26)</f>
        <v>6.173892174638017E-3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'[52]Sch B'!E14</f>
        <v>19034.939999999999</v>
      </c>
      <c r="D15" s="480">
        <f>'[52]Sch B'!G14</f>
        <v>0</v>
      </c>
      <c r="E15" s="480"/>
      <c r="F15" s="166">
        <f t="shared" si="0"/>
        <v>19034.939999999999</v>
      </c>
      <c r="G15" s="626"/>
      <c r="H15" s="372"/>
      <c r="I15" s="166">
        <f t="shared" si="1"/>
        <v>19034.939999999999</v>
      </c>
      <c r="J15" s="167">
        <f>IF($I$26=0,0,I15/$I$26)</f>
        <v>4.9183653298919255E-3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'[52]Sch B'!E15</f>
        <v>1332183.01</v>
      </c>
      <c r="D16" s="480">
        <f>'[52]Sch B'!G15</f>
        <v>236954.47999999998</v>
      </c>
      <c r="E16" s="480"/>
      <c r="F16" s="166">
        <f t="shared" si="0"/>
        <v>1569137.49</v>
      </c>
      <c r="G16" s="626"/>
      <c r="H16" s="372"/>
      <c r="I16" s="166">
        <f>SUM(I12:I15)</f>
        <v>1569137.49</v>
      </c>
      <c r="J16" s="167">
        <f t="shared" ref="J16:J26" si="2">IF($I$26=0,0,I16/$I$26)</f>
        <v>0.40544343342556577</v>
      </c>
      <c r="K16" s="458"/>
      <c r="L16" s="333" t="s">
        <v>325</v>
      </c>
      <c r="M16" s="334">
        <f>I26</f>
        <v>3870176.11</v>
      </c>
      <c r="O16" s="324">
        <f>IFERROR(I16/I224,0)</f>
        <v>282.88038399134666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'[52]Sch B'!E20</f>
        <v>0</v>
      </c>
      <c r="D17" s="480">
        <f>'[52]Sch B'!G20</f>
        <v>0</v>
      </c>
      <c r="E17" s="480"/>
      <c r="F17" s="166">
        <f t="shared" si="0"/>
        <v>0</v>
      </c>
      <c r="G17" s="626"/>
      <c r="H17" s="372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3031053.7499999995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'[52]Sch B'!E26</f>
        <v>1861145.83</v>
      </c>
      <c r="D18" s="480">
        <f>'[52]Sch B'!G26</f>
        <v>0</v>
      </c>
      <c r="E18" s="480"/>
      <c r="F18" s="166">
        <f t="shared" si="0"/>
        <v>1861145.83</v>
      </c>
      <c r="G18" s="626"/>
      <c r="H18" s="372"/>
      <c r="I18" s="166">
        <f t="shared" si="1"/>
        <v>1861145.83</v>
      </c>
      <c r="J18" s="167">
        <f t="shared" si="2"/>
        <v>0.48089435134258013</v>
      </c>
      <c r="K18" s="458"/>
      <c r="L18" s="335" t="s">
        <v>327</v>
      </c>
      <c r="M18" s="336">
        <f>I233</f>
        <v>11686</v>
      </c>
      <c r="O18" s="324">
        <f t="shared" si="3"/>
        <v>520.30915012580374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'[52]Sch B'!E32</f>
        <v>60484.26</v>
      </c>
      <c r="D19" s="480">
        <f>'[52]Sch B'!G32</f>
        <v>0</v>
      </c>
      <c r="E19" s="480"/>
      <c r="F19" s="166">
        <f t="shared" si="0"/>
        <v>60484.26</v>
      </c>
      <c r="G19" s="626"/>
      <c r="H19" s="372"/>
      <c r="I19" s="166">
        <f t="shared" si="1"/>
        <v>60484.26</v>
      </c>
      <c r="J19" s="170">
        <f t="shared" si="2"/>
        <v>1.5628296563486358E-2</v>
      </c>
      <c r="K19" s="464"/>
      <c r="L19" s="335" t="s">
        <v>328</v>
      </c>
      <c r="M19" s="336">
        <f>I236</f>
        <v>58</v>
      </c>
      <c r="O19" s="324">
        <f t="shared" si="3"/>
        <v>390.22103225806455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'[52]Sch B'!E37</f>
        <v>0</v>
      </c>
      <c r="D20" s="480">
        <f>'[52]Sch B'!G37</f>
        <v>0</v>
      </c>
      <c r="E20" s="480"/>
      <c r="F20" s="166">
        <f t="shared" si="0"/>
        <v>0</v>
      </c>
      <c r="G20" s="626"/>
      <c r="H20" s="372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21170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'[52]Sch B'!E42</f>
        <v>306230.70999999996</v>
      </c>
      <c r="D21" s="480">
        <f>'[52]Sch B'!G42</f>
        <v>0</v>
      </c>
      <c r="E21" s="480"/>
      <c r="F21" s="166">
        <f t="shared" si="0"/>
        <v>306230.70999999996</v>
      </c>
      <c r="G21" s="626"/>
      <c r="H21" s="372"/>
      <c r="I21" s="166">
        <f t="shared" si="1"/>
        <v>306230.70999999996</v>
      </c>
      <c r="J21" s="167">
        <f t="shared" si="2"/>
        <v>7.9125781694724992E-2</v>
      </c>
      <c r="K21" s="458"/>
      <c r="L21" s="337"/>
      <c r="M21" s="336"/>
      <c r="O21" s="324">
        <f t="shared" si="3"/>
        <v>152.73352119700746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'[52]Sch B'!E47</f>
        <v>70169.5</v>
      </c>
      <c r="D22" s="480">
        <f>'[52]Sch B'!G47</f>
        <v>0</v>
      </c>
      <c r="E22" s="480"/>
      <c r="F22" s="166">
        <f t="shared" si="0"/>
        <v>70169.5</v>
      </c>
      <c r="G22" s="626"/>
      <c r="H22" s="372"/>
      <c r="I22" s="166">
        <f t="shared" si="1"/>
        <v>70169.5</v>
      </c>
      <c r="J22" s="167">
        <f t="shared" si="2"/>
        <v>1.8130828676941008E-2</v>
      </c>
      <c r="K22" s="458"/>
      <c r="L22" s="335" t="s">
        <v>148</v>
      </c>
      <c r="M22" s="336">
        <f>L213</f>
        <v>82741.080000000016</v>
      </c>
      <c r="O22" s="324">
        <f t="shared" si="3"/>
        <v>181.78626943005182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'[52]Sch B'!E52</f>
        <v>3008.32</v>
      </c>
      <c r="D23" s="480">
        <f>'[52]Sch B'!G52</f>
        <v>0</v>
      </c>
      <c r="E23" s="480"/>
      <c r="F23" s="166">
        <f t="shared" si="0"/>
        <v>3008.32</v>
      </c>
      <c r="G23" s="626"/>
      <c r="H23" s="372"/>
      <c r="I23" s="166">
        <f t="shared" si="1"/>
        <v>3008.32</v>
      </c>
      <c r="J23" s="167">
        <f t="shared" si="2"/>
        <v>7.7730829670177469E-4</v>
      </c>
      <c r="K23" s="458"/>
      <c r="L23" s="338" t="s">
        <v>233</v>
      </c>
      <c r="M23" s="339">
        <f>M213</f>
        <v>86154.77</v>
      </c>
      <c r="O23" s="324">
        <f t="shared" si="3"/>
        <v>188.02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'[52]Sch B'!E57</f>
        <v>0</v>
      </c>
      <c r="D24" s="480">
        <f>'[52]Sch B'!G57</f>
        <v>0</v>
      </c>
      <c r="E24" s="480"/>
      <c r="F24" s="166">
        <f t="shared" si="0"/>
        <v>0</v>
      </c>
      <c r="G24" s="626"/>
      <c r="H24" s="372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'[52]Sch B'!E72</f>
        <v>81.64</v>
      </c>
      <c r="D25" s="480">
        <f>'[52]Sch B'!G72</f>
        <v>-81.64</v>
      </c>
      <c r="E25" s="480"/>
      <c r="F25" s="166">
        <f t="shared" si="0"/>
        <v>0</v>
      </c>
      <c r="G25" s="626"/>
      <c r="H25" s="372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3633303.2699999996</v>
      </c>
      <c r="D26" s="480">
        <f t="shared" ref="D26:F26" si="4">SUM(D16:D25)</f>
        <v>236872.83999999997</v>
      </c>
      <c r="E26" s="480">
        <f t="shared" si="4"/>
        <v>0</v>
      </c>
      <c r="F26" s="166">
        <f t="shared" si="4"/>
        <v>3870176.11</v>
      </c>
      <c r="G26" s="166">
        <f>SUM(G12:G25)</f>
        <v>0</v>
      </c>
      <c r="H26" s="166">
        <f>SUM(H12:H25)</f>
        <v>0</v>
      </c>
      <c r="I26" s="166">
        <f>SUM(I16:I25)</f>
        <v>3870176.11</v>
      </c>
      <c r="J26" s="167">
        <f t="shared" si="2"/>
        <v>1</v>
      </c>
      <c r="K26" s="458"/>
      <c r="L26" s="163"/>
      <c r="M26" s="163"/>
      <c r="O26" s="324">
        <f>IFERROR(I26/I233,0)</f>
        <v>331.18056734554165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86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'[52]Sch C'!D10</f>
        <v>95225.25</v>
      </c>
      <c r="D30" s="480">
        <f>'[52]Sch C'!F10</f>
        <v>-15493</v>
      </c>
      <c r="E30" s="480">
        <f>+'[52]Sch C'!H10</f>
        <v>0</v>
      </c>
      <c r="F30" s="166">
        <f t="shared" ref="F30:F65" si="5">C30+D30+E30</f>
        <v>79732.25</v>
      </c>
      <c r="G30" s="626"/>
      <c r="H30" s="372"/>
      <c r="I30" s="166">
        <f t="shared" ref="I30:I65" si="6">F30+G30+H30</f>
        <v>79732.25</v>
      </c>
      <c r="J30" s="167">
        <f>IF($I$213=0,0,I30/$I$213)</f>
        <v>2.6305125733913498E-2</v>
      </c>
      <c r="K30" s="458"/>
      <c r="L30" s="176">
        <v>1749.57</v>
      </c>
      <c r="M30" s="176">
        <v>1749.57</v>
      </c>
      <c r="O30" s="324">
        <f>I30/I$233</f>
        <v>6.8228863597467058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'[52]Sch C'!D11</f>
        <v>0</v>
      </c>
      <c r="D31" s="480">
        <f>'[52]Sch C'!F11</f>
        <v>0</v>
      </c>
      <c r="E31" s="480">
        <f>+'[52]Sch C'!H11</f>
        <v>0</v>
      </c>
      <c r="F31" s="166">
        <f t="shared" si="5"/>
        <v>0</v>
      </c>
      <c r="G31" s="626"/>
      <c r="H31" s="372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'[52]Sch C'!D12</f>
        <v>87383.8</v>
      </c>
      <c r="D32" s="480">
        <f>'[52]Sch C'!F12</f>
        <v>-5479</v>
      </c>
      <c r="E32" s="480">
        <f>+'[52]Sch C'!H12</f>
        <v>0</v>
      </c>
      <c r="F32" s="166">
        <f t="shared" si="5"/>
        <v>81904.800000000003</v>
      </c>
      <c r="G32" s="626"/>
      <c r="H32" s="372"/>
      <c r="I32" s="166">
        <f t="shared" si="6"/>
        <v>81904.800000000003</v>
      </c>
      <c r="J32" s="167">
        <f t="shared" si="7"/>
        <v>2.7021889664609219E-2</v>
      </c>
      <c r="K32" s="458"/>
      <c r="L32" s="176">
        <v>7554.18</v>
      </c>
      <c r="M32" s="176">
        <v>7927.18</v>
      </c>
      <c r="O32" s="324">
        <f t="shared" si="8"/>
        <v>7.0087968509327405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'[52]Sch C'!D13</f>
        <v>42966.64</v>
      </c>
      <c r="D33" s="480">
        <f>'[52]Sch C'!F13</f>
        <v>0</v>
      </c>
      <c r="E33" s="480">
        <f>+'[52]Sch C'!H13</f>
        <v>0</v>
      </c>
      <c r="F33" s="166">
        <f t="shared" si="5"/>
        <v>42966.64</v>
      </c>
      <c r="G33" s="626">
        <v>-2457</v>
      </c>
      <c r="H33" s="372"/>
      <c r="I33" s="166">
        <f t="shared" si="6"/>
        <v>40509.64</v>
      </c>
      <c r="J33" s="167">
        <f t="shared" si="7"/>
        <v>1.3364870220463759E-2</v>
      </c>
      <c r="K33" s="458"/>
      <c r="L33" s="163"/>
      <c r="M33" s="163"/>
      <c r="O33" s="324">
        <f t="shared" si="8"/>
        <v>3.4665103542700666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'[52]Sch C'!D14</f>
        <v>0</v>
      </c>
      <c r="D34" s="480">
        <f>'[52]Sch C'!F14</f>
        <v>0</v>
      </c>
      <c r="E34" s="480">
        <f>+'[52]Sch C'!H14</f>
        <v>0</v>
      </c>
      <c r="F34" s="166">
        <f t="shared" si="5"/>
        <v>0</v>
      </c>
      <c r="G34" s="626"/>
      <c r="H34" s="372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'[52]Sch C'!D15</f>
        <v>348370.04</v>
      </c>
      <c r="D35" s="480">
        <f>'[52]Sch C'!F15</f>
        <v>-348370.04</v>
      </c>
      <c r="E35" s="480">
        <f>+'[52]Sch C'!H15</f>
        <v>0</v>
      </c>
      <c r="F35" s="166">
        <f t="shared" si="5"/>
        <v>0</v>
      </c>
      <c r="G35" s="626"/>
      <c r="H35" s="372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'[52]Sch C'!D16</f>
        <v>0</v>
      </c>
      <c r="D36" s="480">
        <f>'[52]Sch C'!F16</f>
        <v>117075</v>
      </c>
      <c r="E36" s="480">
        <f>+'[52]Sch C'!H16</f>
        <v>0</v>
      </c>
      <c r="F36" s="166">
        <f t="shared" si="5"/>
        <v>117075</v>
      </c>
      <c r="G36" s="626"/>
      <c r="H36" s="372"/>
      <c r="I36" s="166">
        <f t="shared" si="6"/>
        <v>117075</v>
      </c>
      <c r="J36" s="167">
        <f t="shared" si="7"/>
        <v>3.8625181094198685E-2</v>
      </c>
      <c r="K36" s="458"/>
      <c r="L36" s="163"/>
      <c r="M36" s="163"/>
      <c r="O36" s="324">
        <f t="shared" si="8"/>
        <v>10.01839808317645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'[52]Sch C'!D17</f>
        <v>0</v>
      </c>
      <c r="D37" s="480">
        <f>'[52]Sch C'!F17</f>
        <v>0</v>
      </c>
      <c r="E37" s="480">
        <f>+'[52]Sch C'!H17</f>
        <v>0</v>
      </c>
      <c r="F37" s="166">
        <f t="shared" si="5"/>
        <v>0</v>
      </c>
      <c r="G37" s="626">
        <v>1426</v>
      </c>
      <c r="H37" s="372"/>
      <c r="I37" s="166">
        <f t="shared" si="6"/>
        <v>1426</v>
      </c>
      <c r="J37" s="167">
        <f t="shared" si="7"/>
        <v>4.7046344856141209E-4</v>
      </c>
      <c r="K37" s="458"/>
      <c r="L37" s="163"/>
      <c r="M37" s="163"/>
      <c r="O37" s="324">
        <f t="shared" si="8"/>
        <v>0.12202635632380626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'[52]Sch C'!D18</f>
        <v>13818.68</v>
      </c>
      <c r="D38" s="480">
        <f>'[52]Sch C'!F18</f>
        <v>0</v>
      </c>
      <c r="E38" s="480">
        <f>+'[52]Sch C'!H18</f>
        <v>0</v>
      </c>
      <c r="F38" s="166">
        <f t="shared" si="5"/>
        <v>13818.68</v>
      </c>
      <c r="G38" s="626"/>
      <c r="H38" s="372"/>
      <c r="I38" s="166">
        <f t="shared" si="6"/>
        <v>13818.68</v>
      </c>
      <c r="J38" s="167">
        <f t="shared" si="7"/>
        <v>4.5590349560775695E-3</v>
      </c>
      <c r="K38" s="458"/>
      <c r="L38" s="163"/>
      <c r="M38" s="163"/>
      <c r="O38" s="324">
        <f t="shared" si="8"/>
        <v>1.1824987164128016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'[52]Sch C'!D19</f>
        <v>18093.189999999999</v>
      </c>
      <c r="D39" s="480">
        <f>'[52]Sch C'!F19</f>
        <v>1188</v>
      </c>
      <c r="E39" s="480">
        <f>+'[52]Sch C'!H19</f>
        <v>0</v>
      </c>
      <c r="F39" s="166">
        <f t="shared" si="5"/>
        <v>19281.189999999999</v>
      </c>
      <c r="G39" s="626"/>
      <c r="H39" s="372"/>
      <c r="I39" s="166">
        <f t="shared" si="6"/>
        <v>19281.189999999999</v>
      </c>
      <c r="J39" s="167">
        <f t="shared" si="7"/>
        <v>6.3612167880559697E-3</v>
      </c>
      <c r="K39" s="458"/>
      <c r="L39" s="163"/>
      <c r="M39" s="163"/>
      <c r="O39" s="324">
        <f t="shared" si="8"/>
        <v>1.6499392435392777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'[52]Sch C'!D20</f>
        <v>14412.15</v>
      </c>
      <c r="D40" s="480">
        <f>'[52]Sch C'!F20</f>
        <v>-2301</v>
      </c>
      <c r="E40" s="480">
        <f>+'[52]Sch C'!H20</f>
        <v>0</v>
      </c>
      <c r="F40" s="166">
        <f t="shared" si="5"/>
        <v>12111.15</v>
      </c>
      <c r="G40" s="626"/>
      <c r="H40" s="372"/>
      <c r="I40" s="166">
        <f t="shared" si="6"/>
        <v>12111.15</v>
      </c>
      <c r="J40" s="167">
        <f t="shared" si="7"/>
        <v>3.9956896178433001E-3</v>
      </c>
      <c r="K40" s="458"/>
      <c r="L40" s="163"/>
      <c r="M40" s="163"/>
      <c r="O40" s="324">
        <f t="shared" si="8"/>
        <v>1.0363811398254321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'[52]Sch C'!D21</f>
        <v>10090.09</v>
      </c>
      <c r="D41" s="480">
        <f>'[52]Sch C'!F21</f>
        <v>7679</v>
      </c>
      <c r="E41" s="480">
        <f>+'[52]Sch C'!H21</f>
        <v>0</v>
      </c>
      <c r="F41" s="166">
        <f t="shared" si="5"/>
        <v>17769.09</v>
      </c>
      <c r="G41" s="626"/>
      <c r="H41" s="372"/>
      <c r="I41" s="166">
        <f t="shared" si="6"/>
        <v>17769.09</v>
      </c>
      <c r="J41" s="167">
        <f t="shared" si="7"/>
        <v>5.8623473767167615E-3</v>
      </c>
      <c r="K41" s="458"/>
      <c r="L41" s="163"/>
      <c r="M41" s="163"/>
      <c r="O41" s="324">
        <f t="shared" si="8"/>
        <v>1.5205450966969023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'[52]Sch C'!D22</f>
        <v>0</v>
      </c>
      <c r="D42" s="480">
        <f>'[52]Sch C'!F22</f>
        <v>0</v>
      </c>
      <c r="E42" s="480">
        <f>+'[52]Sch C'!H22</f>
        <v>0</v>
      </c>
      <c r="F42" s="166">
        <f t="shared" si="5"/>
        <v>0</v>
      </c>
      <c r="G42" s="626"/>
      <c r="H42" s="372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'[52]Sch C'!D23</f>
        <v>31384</v>
      </c>
      <c r="D43" s="480">
        <f>'[52]Sch C'!F23</f>
        <v>11247</v>
      </c>
      <c r="E43" s="480">
        <f>+'[52]Sch C'!H23</f>
        <v>0</v>
      </c>
      <c r="F43" s="166">
        <f t="shared" si="5"/>
        <v>42631</v>
      </c>
      <c r="G43" s="626"/>
      <c r="H43" s="372"/>
      <c r="I43" s="166">
        <f t="shared" si="6"/>
        <v>42631</v>
      </c>
      <c r="J43" s="167">
        <f t="shared" si="7"/>
        <v>1.4064745635078231E-2</v>
      </c>
      <c r="K43" s="458"/>
      <c r="L43" s="163"/>
      <c r="M43" s="163"/>
      <c r="O43" s="324">
        <f t="shared" si="8"/>
        <v>3.6480403902105083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'[52]Sch C'!D24</f>
        <v>31963.439999999999</v>
      </c>
      <c r="D44" s="480">
        <f>'[52]Sch C'!F24</f>
        <v>0</v>
      </c>
      <c r="E44" s="480">
        <f>+'[52]Sch C'!H24</f>
        <v>0</v>
      </c>
      <c r="F44" s="166">
        <f t="shared" si="5"/>
        <v>31963.439999999999</v>
      </c>
      <c r="G44" s="626"/>
      <c r="H44" s="372"/>
      <c r="I44" s="166">
        <f t="shared" si="6"/>
        <v>31963.439999999999</v>
      </c>
      <c r="J44" s="167">
        <f t="shared" si="7"/>
        <v>1.0545322728110646E-2</v>
      </c>
      <c r="K44" s="458"/>
      <c r="L44" s="163"/>
      <c r="M44" s="163"/>
      <c r="O44" s="324">
        <f t="shared" si="8"/>
        <v>2.7351908266301557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'[52]Sch C'!D25</f>
        <v>0</v>
      </c>
      <c r="D45" s="480">
        <f>'[52]Sch C'!F25</f>
        <v>0</v>
      </c>
      <c r="E45" s="480">
        <f>+'[52]Sch C'!H25</f>
        <v>0</v>
      </c>
      <c r="F45" s="166">
        <f t="shared" si="5"/>
        <v>0</v>
      </c>
      <c r="G45" s="626"/>
      <c r="H45" s="372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'[52]Sch C'!D26</f>
        <v>166874.92000000001</v>
      </c>
      <c r="D46" s="480">
        <f>'[52]Sch C'!F26</f>
        <v>0</v>
      </c>
      <c r="E46" s="480">
        <f>+'[52]Sch C'!H26</f>
        <v>0</v>
      </c>
      <c r="F46" s="166">
        <f t="shared" si="5"/>
        <v>166874.92000000001</v>
      </c>
      <c r="G46" s="626"/>
      <c r="H46" s="372"/>
      <c r="I46" s="166">
        <f t="shared" si="6"/>
        <v>166874.92000000001</v>
      </c>
      <c r="J46" s="167">
        <f t="shared" si="7"/>
        <v>5.5055084391030691E-2</v>
      </c>
      <c r="K46" s="458"/>
      <c r="L46" s="163"/>
      <c r="M46" s="163"/>
      <c r="O46" s="324">
        <f t="shared" si="8"/>
        <v>14.279900735923329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'[52]Sch C'!D27</f>
        <v>0</v>
      </c>
      <c r="D47" s="480">
        <f>'[52]Sch C'!F27</f>
        <v>7214.36</v>
      </c>
      <c r="E47" s="480">
        <f>+'[52]Sch C'!H27</f>
        <v>0</v>
      </c>
      <c r="F47" s="166">
        <f t="shared" si="5"/>
        <v>7214.36</v>
      </c>
      <c r="G47" s="626"/>
      <c r="H47" s="372"/>
      <c r="I47" s="166">
        <f t="shared" si="6"/>
        <v>7214.36</v>
      </c>
      <c r="J47" s="167">
        <f t="shared" si="7"/>
        <v>2.3801491478004969E-3</v>
      </c>
      <c r="K47" s="458"/>
      <c r="L47" s="163"/>
      <c r="M47" s="163"/>
      <c r="O47" s="324">
        <f t="shared" si="8"/>
        <v>0.61735067602259108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'[52]Sch C'!D28</f>
        <v>0</v>
      </c>
      <c r="D48" s="480">
        <f>'[52]Sch C'!F28</f>
        <v>0</v>
      </c>
      <c r="E48" s="480">
        <f>+'[52]Sch C'!H28</f>
        <v>0</v>
      </c>
      <c r="F48" s="166">
        <f t="shared" si="5"/>
        <v>0</v>
      </c>
      <c r="G48" s="626"/>
      <c r="H48" s="372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'[52]Sch C'!D29</f>
        <v>28133.56</v>
      </c>
      <c r="D49" s="480">
        <f>'[52]Sch C'!F29</f>
        <v>-28133.56</v>
      </c>
      <c r="E49" s="480">
        <f>+'[52]Sch C'!H29</f>
        <v>0</v>
      </c>
      <c r="F49" s="166">
        <f t="shared" si="5"/>
        <v>0</v>
      </c>
      <c r="G49" s="626"/>
      <c r="H49" s="372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'[52]Sch C'!D30</f>
        <v>0</v>
      </c>
      <c r="D50" s="480">
        <f>'[52]Sch C'!F30</f>
        <v>0</v>
      </c>
      <c r="E50" s="480">
        <f>+'[52]Sch C'!H30</f>
        <v>0</v>
      </c>
      <c r="F50" s="166">
        <f t="shared" si="5"/>
        <v>0</v>
      </c>
      <c r="G50" s="626"/>
      <c r="H50" s="372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'[52]Sch C'!D31</f>
        <v>0</v>
      </c>
      <c r="D51" s="480">
        <f>'[52]Sch C'!F31</f>
        <v>0</v>
      </c>
      <c r="E51" s="480">
        <f>+'[52]Sch C'!H31</f>
        <v>0</v>
      </c>
      <c r="F51" s="166">
        <f t="shared" si="5"/>
        <v>0</v>
      </c>
      <c r="G51" s="626">
        <v>25110</v>
      </c>
      <c r="H51" s="372"/>
      <c r="I51" s="166">
        <f t="shared" si="6"/>
        <v>25110</v>
      </c>
      <c r="J51" s="167">
        <f t="shared" si="7"/>
        <v>8.2842476811900833E-3</v>
      </c>
      <c r="K51" s="458"/>
      <c r="L51" s="163"/>
      <c r="M51" s="163"/>
      <c r="O51" s="324">
        <f t="shared" si="8"/>
        <v>2.1487249700496323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'[52]Sch C'!D32</f>
        <v>67107.5</v>
      </c>
      <c r="D52" s="480">
        <f>'[52]Sch C'!F32</f>
        <v>2721</v>
      </c>
      <c r="E52" s="480">
        <f>+'[52]Sch C'!H32</f>
        <v>0</v>
      </c>
      <c r="F52" s="166">
        <f t="shared" si="5"/>
        <v>69828.5</v>
      </c>
      <c r="G52" s="626"/>
      <c r="H52" s="372"/>
      <c r="I52" s="166">
        <f t="shared" si="6"/>
        <v>69828.5</v>
      </c>
      <c r="J52" s="167">
        <f t="shared" si="7"/>
        <v>2.3037697698366454E-2</v>
      </c>
      <c r="K52" s="458"/>
      <c r="L52" s="163"/>
      <c r="M52" s="163"/>
      <c r="O52" s="324">
        <f t="shared" si="8"/>
        <v>5.9753979120314904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'[52]Sch C'!D33</f>
        <v>0</v>
      </c>
      <c r="D53" s="480">
        <f>'[52]Sch C'!F33</f>
        <v>0</v>
      </c>
      <c r="E53" s="480">
        <f>+'[52]Sch C'!H33</f>
        <v>0</v>
      </c>
      <c r="F53" s="166">
        <f t="shared" si="5"/>
        <v>0</v>
      </c>
      <c r="G53" s="626"/>
      <c r="H53" s="372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'[52]Sch C'!D34</f>
        <v>0</v>
      </c>
      <c r="D54" s="480">
        <f>'[52]Sch C'!F34</f>
        <v>0</v>
      </c>
      <c r="E54" s="480">
        <f>+'[52]Sch C'!H34</f>
        <v>0</v>
      </c>
      <c r="F54" s="166">
        <f t="shared" si="5"/>
        <v>0</v>
      </c>
      <c r="G54" s="626"/>
      <c r="H54" s="372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'[52]Sch C'!D35</f>
        <v>0</v>
      </c>
      <c r="D55" s="480">
        <f>'[52]Sch C'!F35</f>
        <v>0</v>
      </c>
      <c r="E55" s="480">
        <f>+'[52]Sch C'!H35</f>
        <v>0</v>
      </c>
      <c r="F55" s="166">
        <f t="shared" si="5"/>
        <v>0</v>
      </c>
      <c r="G55" s="626"/>
      <c r="H55" s="372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'[52]Sch C'!D36</f>
        <v>0</v>
      </c>
      <c r="D56" s="480">
        <f>'[52]Sch C'!F36</f>
        <v>0</v>
      </c>
      <c r="E56" s="480">
        <f>+'[52]Sch C'!H36</f>
        <v>0</v>
      </c>
      <c r="F56" s="166">
        <f t="shared" si="5"/>
        <v>0</v>
      </c>
      <c r="G56" s="626">
        <v>17133</v>
      </c>
      <c r="H56" s="372"/>
      <c r="I56" s="166">
        <f t="shared" si="6"/>
        <v>17133</v>
      </c>
      <c r="J56" s="167">
        <f t="shared" si="7"/>
        <v>5.6524896663412852E-3</v>
      </c>
      <c r="K56" s="458"/>
      <c r="L56" s="176">
        <v>0</v>
      </c>
      <c r="M56" s="176">
        <v>0</v>
      </c>
      <c r="O56" s="324">
        <f t="shared" si="8"/>
        <v>1.4661132979633751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'[52]Sch C'!D37</f>
        <v>0</v>
      </c>
      <c r="D57" s="480">
        <f>'[52]Sch C'!F37</f>
        <v>0</v>
      </c>
      <c r="E57" s="480">
        <f>+'[52]Sch C'!H37</f>
        <v>0</v>
      </c>
      <c r="F57" s="166">
        <f t="shared" si="5"/>
        <v>0</v>
      </c>
      <c r="G57" s="626">
        <v>2525</v>
      </c>
      <c r="H57" s="372"/>
      <c r="I57" s="166">
        <f t="shared" si="6"/>
        <v>2525</v>
      </c>
      <c r="J57" s="167">
        <f t="shared" si="7"/>
        <v>8.3304362385523527E-4</v>
      </c>
      <c r="K57" s="458"/>
      <c r="L57" s="163"/>
      <c r="M57" s="163"/>
      <c r="O57" s="324">
        <f t="shared" si="8"/>
        <v>0.21607051172342975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'[52]Sch C'!D38</f>
        <v>0</v>
      </c>
      <c r="D58" s="480">
        <f>'[52]Sch C'!F38</f>
        <v>0</v>
      </c>
      <c r="E58" s="480">
        <f>+'[52]Sch C'!H38</f>
        <v>0</v>
      </c>
      <c r="F58" s="166">
        <f t="shared" si="5"/>
        <v>0</v>
      </c>
      <c r="G58" s="626"/>
      <c r="H58" s="372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'[52]Sch C'!D39</f>
        <v>12536.19</v>
      </c>
      <c r="D59" s="480">
        <f>'[52]Sch C'!F39</f>
        <v>2045</v>
      </c>
      <c r="E59" s="480">
        <f>+'[52]Sch C'!H39</f>
        <v>0</v>
      </c>
      <c r="F59" s="166">
        <f t="shared" si="5"/>
        <v>14581.19</v>
      </c>
      <c r="G59" s="626"/>
      <c r="H59" s="372"/>
      <c r="I59" s="166">
        <f t="shared" si="6"/>
        <v>14581.19</v>
      </c>
      <c r="J59" s="167">
        <f t="shared" si="7"/>
        <v>4.8106009337511762E-3</v>
      </c>
      <c r="K59" s="458"/>
      <c r="L59" s="163"/>
      <c r="M59" s="163"/>
      <c r="O59" s="324">
        <f t="shared" si="8"/>
        <v>1.247748588054082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'[52]Sch C'!D40</f>
        <v>13484.6</v>
      </c>
      <c r="D60" s="480">
        <f>'[52]Sch C'!F40</f>
        <v>-13484.6</v>
      </c>
      <c r="E60" s="480">
        <f>+'[52]Sch C'!H40</f>
        <v>0</v>
      </c>
      <c r="F60" s="166">
        <f t="shared" si="5"/>
        <v>0</v>
      </c>
      <c r="G60" s="626"/>
      <c r="H60" s="372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'[52]Sch C'!D41</f>
        <v>24379.89</v>
      </c>
      <c r="D61" s="480">
        <f>'[52]Sch C'!F41</f>
        <v>23709</v>
      </c>
      <c r="E61" s="480">
        <f>+'[52]Sch C'!H41</f>
        <v>0</v>
      </c>
      <c r="F61" s="166">
        <f t="shared" si="5"/>
        <v>48088.89</v>
      </c>
      <c r="G61" s="626"/>
      <c r="H61" s="372"/>
      <c r="I61" s="166">
        <f t="shared" si="6"/>
        <v>48088.89</v>
      </c>
      <c r="J61" s="167">
        <f t="shared" si="7"/>
        <v>1.5865403244663678E-2</v>
      </c>
      <c r="K61" s="458"/>
      <c r="L61" s="163"/>
      <c r="M61" s="163"/>
      <c r="O61" s="324">
        <f t="shared" si="8"/>
        <v>4.1150855724798907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'[52]Sch C'!D42</f>
        <v>93.5</v>
      </c>
      <c r="D62" s="480">
        <f>'[52]Sch C'!F42</f>
        <v>1318</v>
      </c>
      <c r="E62" s="480">
        <f>+'[52]Sch C'!H42</f>
        <v>0</v>
      </c>
      <c r="F62" s="166">
        <f t="shared" si="5"/>
        <v>1411.5</v>
      </c>
      <c r="G62" s="626"/>
      <c r="H62" s="372"/>
      <c r="I62" s="166">
        <f t="shared" si="6"/>
        <v>1411.5</v>
      </c>
      <c r="J62" s="167">
        <f t="shared" si="7"/>
        <v>4.6567963369174837E-4</v>
      </c>
      <c r="K62" s="458"/>
      <c r="L62" s="163"/>
      <c r="M62" s="163"/>
      <c r="O62" s="324">
        <f t="shared" si="8"/>
        <v>0.1207855553653945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'[52]Sch C'!D43</f>
        <v>0</v>
      </c>
      <c r="D63" s="480">
        <f>'[52]Sch C'!F43</f>
        <v>0</v>
      </c>
      <c r="E63" s="480">
        <f>+'[52]Sch C'!H43</f>
        <v>0</v>
      </c>
      <c r="F63" s="166">
        <f t="shared" si="5"/>
        <v>0</v>
      </c>
      <c r="G63" s="626"/>
      <c r="H63" s="372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'[52]Sch C'!D44</f>
        <v>1756</v>
      </c>
      <c r="D64" s="480">
        <f>'[52]Sch C'!F44</f>
        <v>0</v>
      </c>
      <c r="E64" s="480">
        <f>+'[52]Sch C'!H44</f>
        <v>0</v>
      </c>
      <c r="F64" s="166">
        <f t="shared" si="5"/>
        <v>1756</v>
      </c>
      <c r="G64" s="626"/>
      <c r="H64" s="372"/>
      <c r="I64" s="166">
        <f t="shared" si="6"/>
        <v>1756</v>
      </c>
      <c r="J64" s="167">
        <f t="shared" si="7"/>
        <v>5.7933647662962104E-4</v>
      </c>
      <c r="K64" s="458"/>
      <c r="L64" s="163"/>
      <c r="M64" s="163"/>
      <c r="O64" s="324">
        <f t="shared" si="8"/>
        <v>0.15026527468766046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'[52]Sch C'!D45</f>
        <v>324.98</v>
      </c>
      <c r="D65" s="480">
        <f>'[52]Sch C'!F45</f>
        <v>203</v>
      </c>
      <c r="E65" s="480">
        <f>+'[52]Sch C'!H45</f>
        <v>0</v>
      </c>
      <c r="F65" s="166">
        <f t="shared" si="5"/>
        <v>527.98</v>
      </c>
      <c r="G65" s="626"/>
      <c r="H65" s="372"/>
      <c r="I65" s="166">
        <f t="shared" si="6"/>
        <v>527.98</v>
      </c>
      <c r="J65" s="167">
        <f t="shared" si="7"/>
        <v>1.7419024654379689E-4</v>
      </c>
      <c r="K65" s="458"/>
      <c r="L65" s="163"/>
      <c r="M65" s="163"/>
      <c r="O65" s="324">
        <f t="shared" si="8"/>
        <v>4.5180557932568886E-2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1008398.4199999999</v>
      </c>
      <c r="D66" s="480">
        <f t="shared" si="9"/>
        <v>-238861.83999999997</v>
      </c>
      <c r="E66" s="480">
        <f t="shared" si="9"/>
        <v>0</v>
      </c>
      <c r="F66" s="166">
        <f t="shared" ref="F66:I66" si="10">SUM(F30:F65)</f>
        <v>769536.58</v>
      </c>
      <c r="G66" s="166">
        <f t="shared" si="10"/>
        <v>43737</v>
      </c>
      <c r="H66" s="166">
        <f t="shared" si="10"/>
        <v>0</v>
      </c>
      <c r="I66" s="166">
        <f t="shared" si="10"/>
        <v>813273.58</v>
      </c>
      <c r="J66" s="178">
        <f t="shared" si="7"/>
        <v>0.26831381000749327</v>
      </c>
      <c r="K66" s="465"/>
      <c r="L66" s="163"/>
      <c r="M66" s="163"/>
      <c r="O66" s="329">
        <f>I66/I$233</f>
        <v>69.593837069998287</v>
      </c>
      <c r="P66" s="324">
        <f>SUMMARY!L68</f>
        <v>59.215800022194173</v>
      </c>
    </row>
    <row r="67" spans="1:16" s="162" customFormat="1" ht="14">
      <c r="A67" s="158"/>
      <c r="C67" s="160"/>
      <c r="D67" s="160"/>
      <c r="E67" s="160"/>
      <c r="F67" s="160"/>
      <c r="G67" s="160"/>
      <c r="H67" s="501"/>
      <c r="I67" s="160"/>
      <c r="J67" s="179"/>
      <c r="K67" s="466"/>
      <c r="L67" s="163"/>
      <c r="M67" s="163"/>
      <c r="O67" s="324"/>
      <c r="P67" s="324"/>
    </row>
    <row r="68" spans="1:16" s="162" customFormat="1" ht="14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502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'[52]Sch C'!D57</f>
        <v>381060</v>
      </c>
      <c r="D69" s="480">
        <f>'[52]Sch C'!F57</f>
        <v>0</v>
      </c>
      <c r="E69" s="480">
        <f>+'[52]Sch C'!H57</f>
        <v>-381060</v>
      </c>
      <c r="F69" s="166">
        <f>C69+D69+E69</f>
        <v>0</v>
      </c>
      <c r="G69" s="626"/>
      <c r="H69" s="372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'[52]Sch C'!D58</f>
        <v>1290.8399999999999</v>
      </c>
      <c r="D70" s="480">
        <f>'[52]Sch C'!F58</f>
        <v>3463</v>
      </c>
      <c r="E70" s="480">
        <f>+'[52]Sch C'!H58</f>
        <v>24575.200000000001</v>
      </c>
      <c r="F70" s="166">
        <f t="shared" ref="F70:F83" si="13">C70+D70+E70</f>
        <v>29329.040000000001</v>
      </c>
      <c r="G70" s="626"/>
      <c r="H70" s="372"/>
      <c r="I70" s="166">
        <f t="shared" ref="I70:I83" si="14">F70+G70+H70</f>
        <v>29329.040000000001</v>
      </c>
      <c r="J70" s="167">
        <f t="shared" si="11"/>
        <v>9.6761860458594653E-3</v>
      </c>
      <c r="K70" s="458"/>
      <c r="L70" s="182"/>
      <c r="M70" s="163"/>
      <c r="O70" s="324">
        <f t="shared" si="12"/>
        <v>2.5097586856067089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'[52]Sch C'!D59</f>
        <v>0</v>
      </c>
      <c r="D71" s="480">
        <f>'[52]Sch C'!F59</f>
        <v>0</v>
      </c>
      <c r="E71" s="480">
        <f>+'[52]Sch C'!H59</f>
        <v>92529.15</v>
      </c>
      <c r="F71" s="166">
        <f t="shared" si="13"/>
        <v>92529.15</v>
      </c>
      <c r="G71" s="626"/>
      <c r="H71" s="372"/>
      <c r="I71" s="166">
        <f t="shared" si="14"/>
        <v>92529.15</v>
      </c>
      <c r="J71" s="167">
        <f t="shared" si="11"/>
        <v>3.0527056803265205E-2</v>
      </c>
      <c r="K71" s="458"/>
      <c r="L71" s="182"/>
      <c r="M71" s="163"/>
      <c r="O71" s="324">
        <f t="shared" si="12"/>
        <v>7.9179488276570247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'[52]Sch C'!D60</f>
        <v>14591.69</v>
      </c>
      <c r="D72" s="480">
        <f>'[52]Sch C'!F60</f>
        <v>-63.9</v>
      </c>
      <c r="E72" s="480">
        <f>+'[52]Sch C'!H60</f>
        <v>0</v>
      </c>
      <c r="F72" s="166">
        <f t="shared" si="13"/>
        <v>14527.79</v>
      </c>
      <c r="G72" s="626"/>
      <c r="H72" s="372"/>
      <c r="I72" s="166">
        <f t="shared" si="14"/>
        <v>14527.79</v>
      </c>
      <c r="J72" s="167">
        <f t="shared" si="11"/>
        <v>4.7929832983001387E-3</v>
      </c>
      <c r="K72" s="458"/>
      <c r="L72" s="185"/>
      <c r="M72" s="163"/>
      <c r="O72" s="324">
        <f t="shared" si="12"/>
        <v>1.2431790176279309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'[52]Sch C'!D61</f>
        <v>8547.35</v>
      </c>
      <c r="D73" s="480">
        <f>'[52]Sch C'!F61</f>
        <v>778</v>
      </c>
      <c r="E73" s="480">
        <f>+'[52]Sch C'!H61</f>
        <v>0</v>
      </c>
      <c r="F73" s="166">
        <f t="shared" si="13"/>
        <v>9325.35</v>
      </c>
      <c r="G73" s="626"/>
      <c r="H73" s="372"/>
      <c r="I73" s="166">
        <f t="shared" si="14"/>
        <v>9325.35</v>
      </c>
      <c r="J73" s="167">
        <f t="shared" si="11"/>
        <v>3.0766033099874925E-3</v>
      </c>
      <c r="K73" s="458"/>
      <c r="L73" s="185"/>
      <c r="M73" s="163"/>
      <c r="O73" s="324">
        <f t="shared" si="12"/>
        <v>0.79799332534656853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'[52]Sch C'!D62</f>
        <v>9865.56</v>
      </c>
      <c r="D74" s="480">
        <f>'[52]Sch C'!F62</f>
        <v>0</v>
      </c>
      <c r="E74" s="480">
        <f>+'[52]Sch C'!H62</f>
        <v>0</v>
      </c>
      <c r="F74" s="166">
        <f t="shared" si="13"/>
        <v>9865.56</v>
      </c>
      <c r="G74" s="626"/>
      <c r="H74" s="372"/>
      <c r="I74" s="166">
        <f t="shared" si="14"/>
        <v>9865.56</v>
      </c>
      <c r="J74" s="167">
        <f t="shared" si="11"/>
        <v>3.2548284569351503E-3</v>
      </c>
      <c r="K74" s="458"/>
      <c r="L74" s="187"/>
      <c r="M74" s="163"/>
      <c r="O74" s="324">
        <f t="shared" si="12"/>
        <v>0.84422043470819785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'[52]Sch C'!D63</f>
        <v>0</v>
      </c>
      <c r="D75" s="480">
        <f>'[52]Sch C'!F63</f>
        <v>0</v>
      </c>
      <c r="E75" s="480">
        <f>+'[52]Sch C'!H63</f>
        <v>0</v>
      </c>
      <c r="F75" s="166">
        <f t="shared" si="13"/>
        <v>0</v>
      </c>
      <c r="G75" s="626"/>
      <c r="H75" s="372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'[52]Sch C'!D64</f>
        <v>0</v>
      </c>
      <c r="D76" s="480">
        <f>'[52]Sch C'!F64</f>
        <v>0</v>
      </c>
      <c r="E76" s="480">
        <f>+'[52]Sch C'!H64</f>
        <v>0</v>
      </c>
      <c r="F76" s="166">
        <f t="shared" si="13"/>
        <v>0</v>
      </c>
      <c r="G76" s="626"/>
      <c r="H76" s="372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'[52]Sch C'!D65</f>
        <v>0</v>
      </c>
      <c r="D77" s="480">
        <f>'[52]Sch C'!F65</f>
        <v>0</v>
      </c>
      <c r="E77" s="480">
        <f>+'[52]Sch C'!H65</f>
        <v>0</v>
      </c>
      <c r="F77" s="166">
        <f t="shared" si="13"/>
        <v>0</v>
      </c>
      <c r="G77" s="626"/>
      <c r="H77" s="372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'[52]Sch C'!D66</f>
        <v>0</v>
      </c>
      <c r="D78" s="480">
        <f>'[52]Sch C'!F66</f>
        <v>0</v>
      </c>
      <c r="E78" s="480">
        <f>+'[52]Sch C'!H66</f>
        <v>0</v>
      </c>
      <c r="F78" s="166">
        <f t="shared" si="13"/>
        <v>0</v>
      </c>
      <c r="G78" s="626"/>
      <c r="H78" s="372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'[52]Sch C'!D67</f>
        <v>2375.04</v>
      </c>
      <c r="D79" s="480">
        <f>'[52]Sch C'!F67</f>
        <v>11176</v>
      </c>
      <c r="E79" s="480">
        <f>+'[52]Sch C'!H67</f>
        <v>7646.56</v>
      </c>
      <c r="F79" s="166">
        <f t="shared" si="13"/>
        <v>21197.600000000002</v>
      </c>
      <c r="G79" s="626"/>
      <c r="H79" s="372"/>
      <c r="I79" s="166">
        <f t="shared" si="14"/>
        <v>21197.600000000002</v>
      </c>
      <c r="J79" s="167">
        <f t="shared" si="11"/>
        <v>6.9934754538747475E-3</v>
      </c>
      <c r="K79" s="458"/>
      <c r="L79" s="187"/>
      <c r="M79" s="163"/>
      <c r="O79" s="324">
        <f t="shared" si="12"/>
        <v>1.8139311997261682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'[52]Sch C'!D68</f>
        <v>0</v>
      </c>
      <c r="D80" s="480">
        <f>'[52]Sch C'!F68</f>
        <v>0</v>
      </c>
      <c r="E80" s="480">
        <f>+'[52]Sch C'!H68</f>
        <v>0</v>
      </c>
      <c r="F80" s="166">
        <f t="shared" si="13"/>
        <v>0</v>
      </c>
      <c r="G80" s="626"/>
      <c r="H80" s="372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'[52]Sch C'!D69</f>
        <v>2573.38</v>
      </c>
      <c r="D81" s="480">
        <f>'[52]Sch C'!F69</f>
        <v>-136.04</v>
      </c>
      <c r="E81" s="480">
        <f>+'[52]Sch C'!H69</f>
        <v>0</v>
      </c>
      <c r="F81" s="166">
        <f t="shared" si="13"/>
        <v>2437.34</v>
      </c>
      <c r="G81" s="626"/>
      <c r="H81" s="372"/>
      <c r="I81" s="166">
        <f t="shared" si="14"/>
        <v>2437.34</v>
      </c>
      <c r="J81" s="167">
        <f t="shared" si="11"/>
        <v>8.041229885811166E-4</v>
      </c>
      <c r="K81" s="458"/>
      <c r="L81" s="187"/>
      <c r="M81" s="163"/>
      <c r="O81" s="324">
        <f t="shared" si="12"/>
        <v>0.20856922813623141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'[52]Sch C'!D70</f>
        <v>0</v>
      </c>
      <c r="D82" s="480">
        <f>'[52]Sch C'!F70</f>
        <v>0</v>
      </c>
      <c r="E82" s="480">
        <f>+'[52]Sch C'!H70</f>
        <v>0</v>
      </c>
      <c r="F82" s="166">
        <f t="shared" si="13"/>
        <v>0</v>
      </c>
      <c r="G82" s="626"/>
      <c r="H82" s="372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'[52]Sch C'!D71</f>
        <v>0</v>
      </c>
      <c r="D83" s="480">
        <f>'[52]Sch C'!F71</f>
        <v>0</v>
      </c>
      <c r="E83" s="480">
        <f>+'[52]Sch C'!H71</f>
        <v>0</v>
      </c>
      <c r="F83" s="166">
        <f t="shared" si="13"/>
        <v>0</v>
      </c>
      <c r="G83" s="626"/>
      <c r="H83" s="372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420303.86</v>
      </c>
      <c r="D84" s="480">
        <f t="shared" si="15"/>
        <v>15217.06</v>
      </c>
      <c r="E84" s="480">
        <f t="shared" si="15"/>
        <v>-256309.09000000003</v>
      </c>
      <c r="F84" s="166">
        <f t="shared" ref="F84:I84" si="16">SUM(F69:F83)</f>
        <v>179211.83000000002</v>
      </c>
      <c r="G84" s="166">
        <f t="shared" si="16"/>
        <v>0</v>
      </c>
      <c r="H84" s="166">
        <f t="shared" si="16"/>
        <v>0</v>
      </c>
      <c r="I84" s="166">
        <f t="shared" si="16"/>
        <v>179211.83000000002</v>
      </c>
      <c r="J84" s="167">
        <f t="shared" si="11"/>
        <v>5.9125256356803324E-2</v>
      </c>
      <c r="K84" s="458"/>
      <c r="L84" s="187"/>
      <c r="M84" s="163"/>
      <c r="O84" s="324">
        <f t="shared" si="12"/>
        <v>15.335600718808832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375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377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'[52]Sch C'!D75</f>
        <v>38410.17</v>
      </c>
      <c r="D87" s="480">
        <f>'[52]Sch C'!F75</f>
        <v>0</v>
      </c>
      <c r="E87" s="480">
        <f>+'[52]Sch C'!H75</f>
        <v>0</v>
      </c>
      <c r="F87" s="166">
        <f t="shared" ref="F87:F97" si="17">C87+D87+E87</f>
        <v>38410.17</v>
      </c>
      <c r="G87" s="626"/>
      <c r="H87" s="372"/>
      <c r="I87" s="166">
        <f t="shared" ref="I87:I97" si="18">F87+G87+H87</f>
        <v>38410.17</v>
      </c>
      <c r="J87" s="167">
        <f t="shared" ref="J87:J98" si="19">IF($I$213=0,0,I87/$I$213)</f>
        <v>1.2672216716711145E-2</v>
      </c>
      <c r="K87" s="458"/>
      <c r="L87" s="176">
        <v>2743.15</v>
      </c>
      <c r="M87" s="176">
        <v>2915.15</v>
      </c>
      <c r="O87" s="324">
        <f t="shared" ref="O87:O97" si="20">I87/I$233</f>
        <v>3.2868534999144274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'[52]Sch C'!D76</f>
        <v>7070.82</v>
      </c>
      <c r="D88" s="480">
        <f>'[52]Sch C'!F76</f>
        <v>0</v>
      </c>
      <c r="E88" s="480">
        <f>+'[52]Sch C'!H76</f>
        <v>0</v>
      </c>
      <c r="F88" s="166">
        <f t="shared" si="17"/>
        <v>7070.82</v>
      </c>
      <c r="G88" s="626">
        <v>-738</v>
      </c>
      <c r="H88" s="372"/>
      <c r="I88" s="166">
        <f t="shared" si="18"/>
        <v>6332.82</v>
      </c>
      <c r="J88" s="167">
        <f t="shared" si="19"/>
        <v>2.0893129988209546E-3</v>
      </c>
      <c r="K88" s="458"/>
      <c r="L88" s="163"/>
      <c r="M88" s="163"/>
      <c r="O88" s="324">
        <f t="shared" si="20"/>
        <v>0.54191511209994858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'[52]Sch C'!D77</f>
        <v>17639.63</v>
      </c>
      <c r="D89" s="480">
        <f>'[52]Sch C'!F77</f>
        <v>0</v>
      </c>
      <c r="E89" s="480">
        <f>+'[52]Sch C'!H77</f>
        <v>0</v>
      </c>
      <c r="F89" s="166">
        <f t="shared" si="17"/>
        <v>17639.63</v>
      </c>
      <c r="G89" s="626"/>
      <c r="H89" s="372"/>
      <c r="I89" s="166">
        <f t="shared" si="18"/>
        <v>17639.63</v>
      </c>
      <c r="J89" s="167">
        <f t="shared" si="19"/>
        <v>5.8196361578873364E-3</v>
      </c>
      <c r="K89" s="458"/>
      <c r="L89" s="163"/>
      <c r="M89" s="163"/>
      <c r="O89" s="324">
        <f t="shared" si="20"/>
        <v>1.5094668834502825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'[52]Sch C'!D78</f>
        <v>3403.89</v>
      </c>
      <c r="D90" s="480">
        <f>'[52]Sch C'!F78</f>
        <v>772</v>
      </c>
      <c r="E90" s="480">
        <f>+'[52]Sch C'!H78</f>
        <v>0</v>
      </c>
      <c r="F90" s="166">
        <f t="shared" si="17"/>
        <v>4175.8899999999994</v>
      </c>
      <c r="G90" s="626"/>
      <c r="H90" s="372"/>
      <c r="I90" s="166">
        <f t="shared" si="18"/>
        <v>4175.8899999999994</v>
      </c>
      <c r="J90" s="167">
        <f t="shared" si="19"/>
        <v>1.3777023914537973E-3</v>
      </c>
      <c r="K90" s="458"/>
      <c r="L90" s="163"/>
      <c r="M90" s="163"/>
      <c r="O90" s="324">
        <f t="shared" si="20"/>
        <v>0.35734126304980313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'[52]Sch C'!D79</f>
        <v>26162.78</v>
      </c>
      <c r="D91" s="480">
        <f>'[52]Sch C'!F79</f>
        <v>0</v>
      </c>
      <c r="E91" s="480">
        <f>+'[52]Sch C'!H79</f>
        <v>0</v>
      </c>
      <c r="F91" s="166">
        <f t="shared" si="17"/>
        <v>26162.78</v>
      </c>
      <c r="G91" s="626"/>
      <c r="H91" s="372"/>
      <c r="I91" s="166">
        <f t="shared" si="18"/>
        <v>26162.78</v>
      </c>
      <c r="J91" s="167">
        <f t="shared" si="19"/>
        <v>8.6315790341890183E-3</v>
      </c>
      <c r="K91" s="458"/>
      <c r="L91" s="163"/>
      <c r="M91" s="163"/>
      <c r="O91" s="324">
        <f t="shared" si="20"/>
        <v>2.2388139654287182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'[52]Sch C'!D80</f>
        <v>22437.67</v>
      </c>
      <c r="D92" s="480">
        <f>'[52]Sch C'!F80</f>
        <v>0</v>
      </c>
      <c r="E92" s="480">
        <f>+'[52]Sch C'!H80</f>
        <v>0</v>
      </c>
      <c r="F92" s="166">
        <f t="shared" si="17"/>
        <v>22437.67</v>
      </c>
      <c r="G92" s="626"/>
      <c r="H92" s="372"/>
      <c r="I92" s="166">
        <f t="shared" si="18"/>
        <v>22437.67</v>
      </c>
      <c r="J92" s="167">
        <f t="shared" si="19"/>
        <v>7.4025971990763946E-3</v>
      </c>
      <c r="K92" s="458"/>
      <c r="L92" s="163"/>
      <c r="M92" s="163"/>
      <c r="O92" s="324">
        <f t="shared" si="20"/>
        <v>1.9200470648639396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'[52]Sch C'!D81</f>
        <v>2305.7600000000002</v>
      </c>
      <c r="D93" s="480">
        <f>'[52]Sch C'!F81</f>
        <v>0</v>
      </c>
      <c r="E93" s="480">
        <f>+'[52]Sch C'!H81</f>
        <v>0</v>
      </c>
      <c r="F93" s="166">
        <f t="shared" si="17"/>
        <v>2305.7600000000002</v>
      </c>
      <c r="G93" s="626"/>
      <c r="H93" s="372"/>
      <c r="I93" s="166">
        <f t="shared" si="18"/>
        <v>2305.7600000000002</v>
      </c>
      <c r="J93" s="167">
        <f t="shared" si="19"/>
        <v>7.6071234302591982E-4</v>
      </c>
      <c r="K93" s="458"/>
      <c r="L93" s="163"/>
      <c r="M93" s="163"/>
      <c r="O93" s="324">
        <f t="shared" si="20"/>
        <v>0.19730960123224373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'[52]Sch C'!D82</f>
        <v>0</v>
      </c>
      <c r="D94" s="480">
        <f>'[52]Sch C'!F82</f>
        <v>0</v>
      </c>
      <c r="E94" s="480">
        <f>+'[52]Sch C'!H82</f>
        <v>0</v>
      </c>
      <c r="F94" s="166">
        <f t="shared" si="17"/>
        <v>0</v>
      </c>
      <c r="G94" s="626"/>
      <c r="H94" s="372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'[52]Sch C'!D83</f>
        <v>0</v>
      </c>
      <c r="D95" s="480">
        <f>'[52]Sch C'!F83</f>
        <v>0</v>
      </c>
      <c r="E95" s="480">
        <f>+'[52]Sch C'!H83</f>
        <v>0</v>
      </c>
      <c r="F95" s="166">
        <f t="shared" si="17"/>
        <v>0</v>
      </c>
      <c r="G95" s="626"/>
      <c r="H95" s="372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'[52]Sch C'!D84</f>
        <v>71959.75</v>
      </c>
      <c r="D96" s="480">
        <f>'[52]Sch C'!F84</f>
        <v>372</v>
      </c>
      <c r="E96" s="480">
        <f>+'[52]Sch C'!H84</f>
        <v>0</v>
      </c>
      <c r="F96" s="166">
        <f t="shared" si="17"/>
        <v>72331.75</v>
      </c>
      <c r="G96" s="626"/>
      <c r="H96" s="372"/>
      <c r="I96" s="166">
        <f t="shared" si="18"/>
        <v>72331.75</v>
      </c>
      <c r="J96" s="167">
        <f t="shared" si="19"/>
        <v>2.3863565599917196E-2</v>
      </c>
      <c r="K96" s="458"/>
      <c r="L96" s="163"/>
      <c r="M96" s="163"/>
      <c r="O96" s="324">
        <f t="shared" si="20"/>
        <v>6.1896072223173029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'[52]Sch C'!D85</f>
        <v>0</v>
      </c>
      <c r="D97" s="480">
        <f>'[52]Sch C'!F85</f>
        <v>0</v>
      </c>
      <c r="E97" s="480">
        <f>+'[52]Sch C'!H85</f>
        <v>0</v>
      </c>
      <c r="F97" s="166">
        <f t="shared" si="17"/>
        <v>0</v>
      </c>
      <c r="G97" s="626"/>
      <c r="H97" s="372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189390.46999999997</v>
      </c>
      <c r="D98" s="480">
        <f t="shared" si="21"/>
        <v>1144</v>
      </c>
      <c r="E98" s="480">
        <f t="shared" si="21"/>
        <v>0</v>
      </c>
      <c r="F98" s="166">
        <f t="shared" ref="F98:I98" si="22">SUM(F87:F97)</f>
        <v>190534.46999999997</v>
      </c>
      <c r="G98" s="166">
        <f t="shared" si="22"/>
        <v>-738</v>
      </c>
      <c r="H98" s="166">
        <f t="shared" si="22"/>
        <v>0</v>
      </c>
      <c r="I98" s="166">
        <f t="shared" si="22"/>
        <v>189796.46999999997</v>
      </c>
      <c r="J98" s="167">
        <f t="shared" si="19"/>
        <v>6.2617322441081757E-2</v>
      </c>
      <c r="K98" s="458"/>
      <c r="L98" s="163"/>
      <c r="M98" s="163"/>
      <c r="O98" s="329">
        <f>I98/I$233</f>
        <v>16.241354612356663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377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377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'[52]Sch C'!D89</f>
        <v>89293.34</v>
      </c>
      <c r="D101" s="480">
        <f>'[52]Sch C'!F89</f>
        <v>0</v>
      </c>
      <c r="E101" s="480">
        <f>+'[52]Sch C'!H89</f>
        <v>0</v>
      </c>
      <c r="F101" s="166">
        <f t="shared" ref="F101:F106" si="23">C101+D101+E101</f>
        <v>89293.34</v>
      </c>
      <c r="G101" s="626"/>
      <c r="H101" s="372"/>
      <c r="I101" s="166">
        <f t="shared" ref="I101:I106" si="24">F101+G101+H101</f>
        <v>89293.34</v>
      </c>
      <c r="J101" s="167">
        <f t="shared" ref="J101:J107" si="25">IF($I$213=0,0,I101/$I$213)</f>
        <v>2.9459503976133717E-2</v>
      </c>
      <c r="K101" s="458"/>
      <c r="L101" s="176">
        <v>9482.2800000000007</v>
      </c>
      <c r="M101" s="176">
        <v>9849.2800000000007</v>
      </c>
      <c r="O101" s="329">
        <f t="shared" ref="O101:O106" si="26">I101/I$233</f>
        <v>7.6410525415026527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'[52]Sch C'!D90</f>
        <v>19913.439999999999</v>
      </c>
      <c r="D102" s="480">
        <f>'[52]Sch C'!F90</f>
        <v>0</v>
      </c>
      <c r="E102" s="480">
        <f>+'[52]Sch C'!H90</f>
        <v>0</v>
      </c>
      <c r="F102" s="166">
        <f t="shared" si="23"/>
        <v>19913.439999999999</v>
      </c>
      <c r="G102" s="626">
        <f>-1717+314</f>
        <v>-1403</v>
      </c>
      <c r="H102" s="372"/>
      <c r="I102" s="166">
        <f t="shared" si="24"/>
        <v>18510.439999999999</v>
      </c>
      <c r="J102" s="167">
        <f t="shared" si="25"/>
        <v>6.1069322838633268E-3</v>
      </c>
      <c r="K102" s="458"/>
      <c r="L102" s="163"/>
      <c r="M102" s="163"/>
      <c r="O102" s="329">
        <f t="shared" si="26"/>
        <v>1.5839842546637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'[52]Sch C'!D91</f>
        <v>34631.19</v>
      </c>
      <c r="D103" s="480">
        <f>'[52]Sch C'!F91</f>
        <v>0</v>
      </c>
      <c r="E103" s="480">
        <f>+'[52]Sch C'!H91</f>
        <v>0</v>
      </c>
      <c r="F103" s="166">
        <f t="shared" si="23"/>
        <v>34631.19</v>
      </c>
      <c r="G103" s="626"/>
      <c r="H103" s="372"/>
      <c r="I103" s="166">
        <f t="shared" si="24"/>
        <v>34631.19</v>
      </c>
      <c r="J103" s="167">
        <f t="shared" si="25"/>
        <v>1.1425462184562054E-2</v>
      </c>
      <c r="K103" s="458"/>
      <c r="L103" s="163"/>
      <c r="M103" s="163"/>
      <c r="O103" s="329">
        <f t="shared" si="26"/>
        <v>2.96347680985795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'[52]Sch C'!D92</f>
        <v>89664.14</v>
      </c>
      <c r="D104" s="480">
        <f>'[52]Sch C'!F92</f>
        <v>0</v>
      </c>
      <c r="E104" s="480">
        <f>+'[52]Sch C'!H92</f>
        <v>0</v>
      </c>
      <c r="F104" s="166">
        <f t="shared" si="23"/>
        <v>89664.14</v>
      </c>
      <c r="G104" s="626">
        <v>215</v>
      </c>
      <c r="H104" s="372"/>
      <c r="I104" s="166">
        <f t="shared" si="24"/>
        <v>89879.14</v>
      </c>
      <c r="J104" s="167">
        <f t="shared" si="25"/>
        <v>2.965277009686813E-2</v>
      </c>
      <c r="K104" s="458"/>
      <c r="L104" s="163"/>
      <c r="M104" s="163"/>
      <c r="O104" s="329">
        <f t="shared" si="26"/>
        <v>7.6911809002224887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'[52]Sch C'!D93</f>
        <v>822.48</v>
      </c>
      <c r="D105" s="480">
        <f>'[52]Sch C'!F93</f>
        <v>0</v>
      </c>
      <c r="E105" s="480">
        <f>+'[52]Sch C'!H93</f>
        <v>0</v>
      </c>
      <c r="F105" s="166">
        <f t="shared" si="23"/>
        <v>822.48</v>
      </c>
      <c r="G105" s="626"/>
      <c r="H105" s="372"/>
      <c r="I105" s="166">
        <f t="shared" si="24"/>
        <v>822.48</v>
      </c>
      <c r="J105" s="167">
        <f t="shared" si="25"/>
        <v>2.7135117613800156E-4</v>
      </c>
      <c r="K105" s="458"/>
      <c r="L105" s="163"/>
      <c r="M105" s="163"/>
      <c r="O105" s="329">
        <f t="shared" si="26"/>
        <v>7.0381653260311483E-2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'[52]Sch C'!D94</f>
        <v>8711.17</v>
      </c>
      <c r="D106" s="480">
        <f>'[52]Sch C'!F94</f>
        <v>0</v>
      </c>
      <c r="E106" s="480">
        <f>+'[52]Sch C'!H94</f>
        <v>0</v>
      </c>
      <c r="F106" s="166">
        <f t="shared" si="23"/>
        <v>8711.17</v>
      </c>
      <c r="G106" s="626">
        <f>-240-314-337</f>
        <v>-891</v>
      </c>
      <c r="H106" s="372"/>
      <c r="I106" s="166">
        <f t="shared" si="24"/>
        <v>7820.17</v>
      </c>
      <c r="J106" s="167">
        <f t="shared" si="25"/>
        <v>2.5800169330550478E-3</v>
      </c>
      <c r="K106" s="458"/>
      <c r="L106" s="163"/>
      <c r="M106" s="163"/>
      <c r="O106" s="329">
        <f t="shared" si="26"/>
        <v>0.66919134006503511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243035.76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243035.76</v>
      </c>
      <c r="G107" s="166">
        <f t="shared" si="28"/>
        <v>-2079</v>
      </c>
      <c r="H107" s="166">
        <f t="shared" si="28"/>
        <v>0</v>
      </c>
      <c r="I107" s="166">
        <f t="shared" si="28"/>
        <v>240956.76</v>
      </c>
      <c r="J107" s="167">
        <f t="shared" si="25"/>
        <v>7.9496036650620286E-2</v>
      </c>
      <c r="K107" s="458"/>
      <c r="L107" s="163"/>
      <c r="M107" s="163"/>
      <c r="O107" s="329">
        <f>I107/I$233</f>
        <v>20.619267499572139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377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377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'[52]Sch C'!D98</f>
        <v>26059.53</v>
      </c>
      <c r="D110" s="480">
        <f>'[52]Sch C'!F98</f>
        <v>0</v>
      </c>
      <c r="E110" s="480">
        <f>+'[52]Sch C'!H98</f>
        <v>0</v>
      </c>
      <c r="F110" s="166">
        <f t="shared" ref="F110:F115" si="29">C110+D110+E110</f>
        <v>26059.53</v>
      </c>
      <c r="G110" s="626"/>
      <c r="H110" s="372"/>
      <c r="I110" s="166">
        <f t="shared" ref="I110:I115" si="30">F110+G110+H110</f>
        <v>26059.53</v>
      </c>
      <c r="J110" s="167">
        <f t="shared" ref="J110:J116" si="31">IF($I$213=0,0,I110/$I$213)</f>
        <v>8.5975149731343445E-3</v>
      </c>
      <c r="K110" s="458"/>
      <c r="L110" s="176">
        <v>2854.8</v>
      </c>
      <c r="M110" s="176">
        <v>2955.8</v>
      </c>
      <c r="O110" s="329">
        <f t="shared" ref="O110:O115" si="32">I110/I$233</f>
        <v>2.2299786068800271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'[52]Sch C'!D99</f>
        <v>3971.75</v>
      </c>
      <c r="D111" s="480">
        <f>'[52]Sch C'!F99</f>
        <v>0</v>
      </c>
      <c r="E111" s="480">
        <f>+'[52]Sch C'!H99</f>
        <v>0</v>
      </c>
      <c r="F111" s="166">
        <f t="shared" si="29"/>
        <v>3971.75</v>
      </c>
      <c r="G111" s="626">
        <v>-504</v>
      </c>
      <c r="H111" s="372"/>
      <c r="I111" s="166">
        <f t="shared" si="30"/>
        <v>3467.75</v>
      </c>
      <c r="J111" s="167">
        <f t="shared" si="31"/>
        <v>1.144074069950096E-3</v>
      </c>
      <c r="K111" s="458"/>
      <c r="L111" s="163"/>
      <c r="M111" s="163"/>
      <c r="O111" s="329">
        <f t="shared" si="32"/>
        <v>0.29674396714016771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'[52]Sch C'!D100</f>
        <v>621.14</v>
      </c>
      <c r="D112" s="480">
        <f>'[52]Sch C'!F100</f>
        <v>0</v>
      </c>
      <c r="E112" s="480">
        <f>+'[52]Sch C'!H100</f>
        <v>0</v>
      </c>
      <c r="F112" s="166">
        <f t="shared" si="29"/>
        <v>621.14</v>
      </c>
      <c r="G112" s="626"/>
      <c r="H112" s="372"/>
      <c r="I112" s="166">
        <f t="shared" si="30"/>
        <v>621.14</v>
      </c>
      <c r="J112" s="167">
        <f t="shared" si="31"/>
        <v>2.0492543228571914E-4</v>
      </c>
      <c r="K112" s="458"/>
      <c r="L112" s="163"/>
      <c r="M112" s="163"/>
      <c r="O112" s="329">
        <f t="shared" si="32"/>
        <v>5.315249015916481E-2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'[52]Sch C'!D101</f>
        <v>2407.88</v>
      </c>
      <c r="D113" s="480">
        <f>'[52]Sch C'!F101</f>
        <v>0</v>
      </c>
      <c r="E113" s="480">
        <f>+'[52]Sch C'!H101</f>
        <v>0</v>
      </c>
      <c r="F113" s="166">
        <f t="shared" si="29"/>
        <v>2407.88</v>
      </c>
      <c r="G113" s="626"/>
      <c r="H113" s="372"/>
      <c r="I113" s="166">
        <f t="shared" si="30"/>
        <v>2407.88</v>
      </c>
      <c r="J113" s="167">
        <f t="shared" si="31"/>
        <v>7.9440359643902735E-4</v>
      </c>
      <c r="K113" s="458"/>
      <c r="L113" s="163"/>
      <c r="M113" s="163"/>
      <c r="O113" s="329">
        <f t="shared" si="32"/>
        <v>0.20604826287865824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'[52]Sch C'!D102</f>
        <v>1940.2</v>
      </c>
      <c r="D114" s="480">
        <f>'[52]Sch C'!F102</f>
        <v>0</v>
      </c>
      <c r="E114" s="480">
        <f>+'[52]Sch C'!H102</f>
        <v>0</v>
      </c>
      <c r="F114" s="166">
        <f t="shared" si="29"/>
        <v>1940.2</v>
      </c>
      <c r="G114" s="626"/>
      <c r="H114" s="372"/>
      <c r="I114" s="166">
        <f t="shared" si="30"/>
        <v>1940.2</v>
      </c>
      <c r="J114" s="167">
        <f t="shared" si="31"/>
        <v>6.4010742138769406E-4</v>
      </c>
      <c r="K114" s="458"/>
      <c r="L114" s="163"/>
      <c r="M114" s="163"/>
      <c r="O114" s="329">
        <f t="shared" si="32"/>
        <v>0.16602772548348452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'[52]Sch C'!D103</f>
        <v>115</v>
      </c>
      <c r="D115" s="480">
        <f>'[52]Sch C'!F103</f>
        <v>0</v>
      </c>
      <c r="E115" s="480">
        <f>+'[52]Sch C'!H103</f>
        <v>0</v>
      </c>
      <c r="F115" s="166">
        <f t="shared" si="29"/>
        <v>115</v>
      </c>
      <c r="G115" s="626"/>
      <c r="H115" s="372"/>
      <c r="I115" s="166">
        <f t="shared" si="30"/>
        <v>115</v>
      </c>
      <c r="J115" s="167">
        <f t="shared" si="31"/>
        <v>3.7940600690436458E-5</v>
      </c>
      <c r="K115" s="458"/>
      <c r="L115" s="163"/>
      <c r="M115" s="163"/>
      <c r="O115" s="329">
        <f t="shared" si="32"/>
        <v>9.8408351874037306E-3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35115.499999999993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35115.499999999993</v>
      </c>
      <c r="G116" s="166">
        <f t="shared" si="34"/>
        <v>-504</v>
      </c>
      <c r="H116" s="166">
        <f t="shared" si="34"/>
        <v>0</v>
      </c>
      <c r="I116" s="166">
        <f t="shared" si="34"/>
        <v>34611.5</v>
      </c>
      <c r="J116" s="167">
        <f t="shared" si="31"/>
        <v>1.1418966093887317E-2</v>
      </c>
      <c r="K116" s="458"/>
      <c r="L116" s="163"/>
      <c r="M116" s="163"/>
      <c r="O116" s="329">
        <f>I116/I$233</f>
        <v>2.9617918877289062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377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377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'[52]Sch C'!D115</f>
        <v>34107.89</v>
      </c>
      <c r="D119" s="480">
        <f>'[52]Sch C'!F115</f>
        <v>0</v>
      </c>
      <c r="E119" s="480">
        <f>+'[52]Sch C'!H115</f>
        <v>0</v>
      </c>
      <c r="F119" s="166">
        <f t="shared" ref="F119:F123" si="35">C119+D119+E119</f>
        <v>34107.89</v>
      </c>
      <c r="G119" s="626"/>
      <c r="H119" s="372"/>
      <c r="I119" s="166">
        <f t="shared" ref="I119:I123" si="36">F119+G119+H119</f>
        <v>34107.89</v>
      </c>
      <c r="J119" s="167">
        <f t="shared" ref="J119:J124" si="37">IF($I$213=0,0,I119/$I$213)</f>
        <v>1.1252815955507225E-2</v>
      </c>
      <c r="K119" s="458"/>
      <c r="L119" s="176">
        <v>3924.5</v>
      </c>
      <c r="M119" s="176">
        <v>3972.5</v>
      </c>
      <c r="O119" s="329">
        <f t="shared" ref="O119:O124" si="38">I119/I$233</f>
        <v>2.9186967311312682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'[52]Sch C'!D116</f>
        <v>6689.39</v>
      </c>
      <c r="D120" s="480">
        <f>'[52]Sch C'!F116</f>
        <v>0</v>
      </c>
      <c r="E120" s="480">
        <f>+'[52]Sch C'!H116</f>
        <v>0</v>
      </c>
      <c r="F120" s="166">
        <f t="shared" si="35"/>
        <v>6689.39</v>
      </c>
      <c r="G120" s="626">
        <v>-653</v>
      </c>
      <c r="H120" s="372"/>
      <c r="I120" s="166">
        <f t="shared" si="36"/>
        <v>6036.39</v>
      </c>
      <c r="J120" s="167">
        <f t="shared" si="37"/>
        <v>1.9915153269716847E-3</v>
      </c>
      <c r="K120" s="458"/>
      <c r="L120" s="163"/>
      <c r="M120" s="163"/>
      <c r="O120" s="329">
        <f t="shared" si="38"/>
        <v>0.51654886188601745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'[52]Sch C'!D117</f>
        <v>13599.17</v>
      </c>
      <c r="D121" s="480">
        <f>'[52]Sch C'!F117</f>
        <v>0</v>
      </c>
      <c r="E121" s="480">
        <f>+'[52]Sch C'!H117</f>
        <v>0</v>
      </c>
      <c r="F121" s="166">
        <f t="shared" si="35"/>
        <v>13599.17</v>
      </c>
      <c r="G121" s="626"/>
      <c r="H121" s="372"/>
      <c r="I121" s="166">
        <f t="shared" si="36"/>
        <v>13599.17</v>
      </c>
      <c r="J121" s="167">
        <f t="shared" si="37"/>
        <v>4.4866145973161981E-3</v>
      </c>
      <c r="K121" s="458"/>
      <c r="L121" s="163"/>
      <c r="M121" s="163"/>
      <c r="O121" s="329">
        <f t="shared" si="38"/>
        <v>1.1637147013520452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'[52]Sch C'!D118</f>
        <v>0</v>
      </c>
      <c r="D122" s="480">
        <f>'[52]Sch C'!F118</f>
        <v>0</v>
      </c>
      <c r="E122" s="480">
        <f>+'[52]Sch C'!H118</f>
        <v>0</v>
      </c>
      <c r="F122" s="166">
        <f t="shared" si="35"/>
        <v>0</v>
      </c>
      <c r="G122" s="626"/>
      <c r="H122" s="372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'[52]Sch C'!D119</f>
        <v>1027.42</v>
      </c>
      <c r="D123" s="480">
        <f>'[52]Sch C'!F119</f>
        <v>0</v>
      </c>
      <c r="E123" s="480">
        <f>+'[52]Sch C'!H119</f>
        <v>0</v>
      </c>
      <c r="F123" s="166">
        <f t="shared" si="35"/>
        <v>1027.42</v>
      </c>
      <c r="G123" s="626"/>
      <c r="H123" s="372"/>
      <c r="I123" s="166">
        <f t="shared" si="36"/>
        <v>1027.42</v>
      </c>
      <c r="J123" s="167">
        <f t="shared" si="37"/>
        <v>3.3896462575102806E-4</v>
      </c>
      <c r="K123" s="458"/>
      <c r="L123" s="163"/>
      <c r="M123" s="163"/>
      <c r="O123" s="329">
        <f t="shared" si="38"/>
        <v>8.7918877289063849E-2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55423.869999999995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55423.869999999995</v>
      </c>
      <c r="G124" s="166">
        <f t="shared" si="40"/>
        <v>-653</v>
      </c>
      <c r="H124" s="166">
        <f t="shared" si="40"/>
        <v>0</v>
      </c>
      <c r="I124" s="166">
        <f t="shared" si="40"/>
        <v>54770.869999999995</v>
      </c>
      <c r="J124" s="167">
        <f t="shared" si="37"/>
        <v>1.8069910505546134E-2</v>
      </c>
      <c r="K124" s="458"/>
      <c r="L124" s="163"/>
      <c r="M124" s="163"/>
      <c r="O124" s="329">
        <f t="shared" si="38"/>
        <v>4.6868791716583944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375"/>
      <c r="I125" s="188"/>
      <c r="J125" s="189"/>
      <c r="K125" s="458"/>
      <c r="L125" s="195"/>
      <c r="M125" s="195"/>
      <c r="O125" s="324"/>
      <c r="P125" s="324"/>
    </row>
    <row r="126" spans="1:16" s="162" customFormat="1" ht="15.5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/>
      <c r="I126" s="160"/>
      <c r="J126" s="190"/>
      <c r="K126" s="460"/>
      <c r="L126" s="196"/>
      <c r="M126" s="196"/>
      <c r="O126" s="324"/>
      <c r="P126" s="324"/>
    </row>
    <row r="127" spans="1:16" s="162" customFormat="1" ht="15.5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'[52]Sch C'!D124</f>
        <v>83075.78</v>
      </c>
      <c r="D128" s="480">
        <f>'[52]Sch C'!F124</f>
        <v>0</v>
      </c>
      <c r="E128" s="480">
        <f>+'[52]Sch C'!H124</f>
        <v>0</v>
      </c>
      <c r="F128" s="166">
        <f t="shared" ref="F128:F132" si="41">C128+D128+E128</f>
        <v>83075.78</v>
      </c>
      <c r="G128" s="626"/>
      <c r="H128" s="372"/>
      <c r="I128" s="166">
        <f t="shared" ref="I128:I132" si="42">F128+G128+H128</f>
        <v>83075.78</v>
      </c>
      <c r="J128" s="167">
        <f>IF($I$213=0,0,I128/$I$213)</f>
        <v>2.7408217356752584E-2</v>
      </c>
      <c r="K128" s="458"/>
      <c r="L128" s="176">
        <v>2080</v>
      </c>
      <c r="M128" s="176">
        <v>2080</v>
      </c>
      <c r="O128" s="329">
        <f t="shared" ref="O128:O165" si="43">I128/I$233</f>
        <v>7.1090005134348795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'[52]Sch C'!D125</f>
        <v>0</v>
      </c>
      <c r="D129" s="480">
        <f>'[52]Sch C'!F125</f>
        <v>0</v>
      </c>
      <c r="E129" s="480">
        <f>+'[52]Sch C'!H125</f>
        <v>0</v>
      </c>
      <c r="F129" s="166">
        <f t="shared" si="41"/>
        <v>0</v>
      </c>
      <c r="G129" s="626"/>
      <c r="H129" s="372"/>
      <c r="I129" s="166">
        <f t="shared" si="42"/>
        <v>0</v>
      </c>
      <c r="J129" s="167">
        <f>IF($I$213=0,0,I129/$I$213)</f>
        <v>0</v>
      </c>
      <c r="K129" s="458"/>
      <c r="L129" s="176">
        <v>0</v>
      </c>
      <c r="M129" s="176">
        <v>0</v>
      </c>
      <c r="O129" s="329">
        <f t="shared" si="43"/>
        <v>0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'[52]Sch C'!D126</f>
        <v>0</v>
      </c>
      <c r="D130" s="480">
        <f>'[52]Sch C'!F126</f>
        <v>0</v>
      </c>
      <c r="E130" s="480">
        <f>+'[52]Sch C'!H126</f>
        <v>0</v>
      </c>
      <c r="F130" s="166">
        <f t="shared" si="41"/>
        <v>0</v>
      </c>
      <c r="G130" s="626"/>
      <c r="H130" s="372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'[52]Sch C'!D127</f>
        <v>0</v>
      </c>
      <c r="D131" s="480">
        <f>'[52]Sch C'!F127</f>
        <v>0</v>
      </c>
      <c r="E131" s="480">
        <f>+'[52]Sch C'!H127</f>
        <v>0</v>
      </c>
      <c r="F131" s="166">
        <f t="shared" si="41"/>
        <v>0</v>
      </c>
      <c r="G131" s="626"/>
      <c r="H131" s="372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'[52]Sch C'!D128</f>
        <v>25715.62</v>
      </c>
      <c r="D132" s="480">
        <f>'[52]Sch C'!F128</f>
        <v>20708</v>
      </c>
      <c r="E132" s="480">
        <f>+'[52]Sch C'!H128</f>
        <v>0</v>
      </c>
      <c r="F132" s="166">
        <f t="shared" si="41"/>
        <v>46423.619999999995</v>
      </c>
      <c r="G132" s="626"/>
      <c r="H132" s="372"/>
      <c r="I132" s="166">
        <f t="shared" si="42"/>
        <v>46423.619999999995</v>
      </c>
      <c r="J132" s="167">
        <f>IF($I$213=0,0,I132/$I$213)</f>
        <v>1.5316000252387475E-2</v>
      </c>
      <c r="K132" s="458"/>
      <c r="L132" s="176">
        <v>1969.87</v>
      </c>
      <c r="M132" s="176">
        <v>2038.87</v>
      </c>
      <c r="O132" s="329">
        <f t="shared" si="43"/>
        <v>3.9725842888926919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375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'[52]Sch C'!D130</f>
        <v>16418.66</v>
      </c>
      <c r="D134" s="480">
        <f>'[52]Sch C'!F130</f>
        <v>0</v>
      </c>
      <c r="E134" s="480">
        <f>+'[52]Sch C'!H130</f>
        <v>0</v>
      </c>
      <c r="F134" s="166">
        <f t="shared" ref="F134:F138" si="44">C134+D134+E134</f>
        <v>16418.66</v>
      </c>
      <c r="G134" s="626">
        <v>-1574</v>
      </c>
      <c r="H134" s="372"/>
      <c r="I134" s="166">
        <f t="shared" ref="I134:I138" si="45">F134+G134+H134</f>
        <v>14844.66</v>
      </c>
      <c r="J134" s="167">
        <f>IF($I$213=0,0,I134/$I$213)</f>
        <v>4.8975244995242998E-3</v>
      </c>
      <c r="K134" s="458"/>
      <c r="L134" s="196"/>
      <c r="M134" s="196"/>
      <c r="O134" s="329">
        <f t="shared" si="43"/>
        <v>1.2702943693308233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'[52]Sch C'!D131</f>
        <v>0</v>
      </c>
      <c r="D135" s="480">
        <f>'[52]Sch C'!F131</f>
        <v>0</v>
      </c>
      <c r="E135" s="480">
        <f>+'[52]Sch C'!H131</f>
        <v>0</v>
      </c>
      <c r="F135" s="166">
        <f t="shared" si="44"/>
        <v>0</v>
      </c>
      <c r="G135" s="626"/>
      <c r="H135" s="372"/>
      <c r="I135" s="166">
        <f t="shared" si="45"/>
        <v>0</v>
      </c>
      <c r="J135" s="167">
        <f>IF($I$213=0,0,I135/$I$213)</f>
        <v>0</v>
      </c>
      <c r="K135" s="458"/>
      <c r="L135" s="196"/>
      <c r="M135" s="196"/>
      <c r="O135" s="329">
        <f t="shared" si="43"/>
        <v>0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'[52]Sch C'!D132</f>
        <v>0</v>
      </c>
      <c r="D136" s="480">
        <f>'[52]Sch C'!F132</f>
        <v>0</v>
      </c>
      <c r="E136" s="480">
        <f>+'[52]Sch C'!H132</f>
        <v>0</v>
      </c>
      <c r="F136" s="166">
        <f t="shared" si="44"/>
        <v>0</v>
      </c>
      <c r="G136" s="626"/>
      <c r="H136" s="372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'[52]Sch C'!D133</f>
        <v>0</v>
      </c>
      <c r="D137" s="480">
        <f>'[52]Sch C'!F133</f>
        <v>0</v>
      </c>
      <c r="E137" s="480">
        <f>+'[52]Sch C'!H133</f>
        <v>0</v>
      </c>
      <c r="F137" s="166">
        <f t="shared" si="44"/>
        <v>0</v>
      </c>
      <c r="G137" s="626"/>
      <c r="H137" s="372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'[52]Sch C'!D134</f>
        <v>3514.03</v>
      </c>
      <c r="D138" s="480">
        <f>'[52]Sch C'!F134</f>
        <v>0</v>
      </c>
      <c r="E138" s="480">
        <f>+'[52]Sch C'!H134</f>
        <v>0</v>
      </c>
      <c r="F138" s="166">
        <f t="shared" si="44"/>
        <v>3514.03</v>
      </c>
      <c r="G138" s="626">
        <v>-493</v>
      </c>
      <c r="H138" s="372"/>
      <c r="I138" s="166">
        <f t="shared" si="45"/>
        <v>3021.03</v>
      </c>
      <c r="J138" s="167">
        <f>IF($I$213=0,0,I138/$I$213)</f>
        <v>9.9669298177242831E-4</v>
      </c>
      <c r="K138" s="458"/>
      <c r="L138" s="163"/>
      <c r="M138" s="163"/>
      <c r="O138" s="329">
        <f t="shared" si="43"/>
        <v>0.2585170289234982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375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'[52]Sch C'!D136</f>
        <v>186181.09</v>
      </c>
      <c r="D140" s="480">
        <f>'[52]Sch C'!F136</f>
        <v>0</v>
      </c>
      <c r="E140" s="480">
        <f>+'[52]Sch C'!H136</f>
        <v>0</v>
      </c>
      <c r="F140" s="166">
        <f t="shared" ref="F140:F143" si="46">C140+D140+E140</f>
        <v>186181.09</v>
      </c>
      <c r="G140" s="626"/>
      <c r="H140" s="372"/>
      <c r="I140" s="166">
        <f t="shared" ref="I140:I143" si="47">F140+G140+H140</f>
        <v>186181.09</v>
      </c>
      <c r="J140" s="167">
        <f>IF($I$213=0,0,I140/$I$213)</f>
        <v>6.1424542537393149E-2</v>
      </c>
      <c r="K140" s="458"/>
      <c r="L140" s="176">
        <v>7314.22</v>
      </c>
      <c r="M140" s="176">
        <v>7943.22</v>
      </c>
      <c r="O140" s="329">
        <f t="shared" si="43"/>
        <v>15.931977580010269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'[52]Sch C'!D137</f>
        <v>162398.42000000001</v>
      </c>
      <c r="D141" s="480">
        <f>'[52]Sch C'!F137</f>
        <v>0</v>
      </c>
      <c r="E141" s="480">
        <f>+'[52]Sch C'!H137</f>
        <v>0</v>
      </c>
      <c r="F141" s="166">
        <f t="shared" si="46"/>
        <v>162398.42000000001</v>
      </c>
      <c r="G141" s="626"/>
      <c r="H141" s="372"/>
      <c r="I141" s="166">
        <f t="shared" si="47"/>
        <v>162398.42000000001</v>
      </c>
      <c r="J141" s="167">
        <f>IF($I$213=0,0,I141/$I$213)</f>
        <v>5.3578205269372091E-2</v>
      </c>
      <c r="K141" s="458"/>
      <c r="L141" s="176">
        <v>9116.2900000000009</v>
      </c>
      <c r="M141" s="176">
        <v>9373.2900000000009</v>
      </c>
      <c r="O141" s="329">
        <f t="shared" si="43"/>
        <v>13.896835529693652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'[52]Sch C'!D138</f>
        <v>219491.27</v>
      </c>
      <c r="D142" s="480">
        <f>'[52]Sch C'!F138</f>
        <v>0</v>
      </c>
      <c r="E142" s="480">
        <f>+'[52]Sch C'!H138</f>
        <v>0</v>
      </c>
      <c r="F142" s="166">
        <f t="shared" si="46"/>
        <v>219491.27</v>
      </c>
      <c r="G142" s="626"/>
      <c r="H142" s="372"/>
      <c r="I142" s="166">
        <f t="shared" si="47"/>
        <v>219491.27</v>
      </c>
      <c r="J142" s="167">
        <f>IF($I$213=0,0,I142/$I$213)</f>
        <v>7.2414179392232825E-2</v>
      </c>
      <c r="K142" s="458"/>
      <c r="L142" s="176">
        <v>21493.96</v>
      </c>
      <c r="M142" s="176">
        <v>22376.959999999999</v>
      </c>
      <c r="O142" s="329">
        <f t="shared" si="43"/>
        <v>18.782412288208111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'[52]Sch C'!D139</f>
        <v>63819.38</v>
      </c>
      <c r="D143" s="480">
        <f>'[52]Sch C'!F139</f>
        <v>0</v>
      </c>
      <c r="E143" s="480">
        <f>+'[52]Sch C'!H139</f>
        <v>0</v>
      </c>
      <c r="F143" s="166">
        <f t="shared" si="46"/>
        <v>63819.38</v>
      </c>
      <c r="G143" s="626"/>
      <c r="H143" s="372"/>
      <c r="I143" s="166">
        <f t="shared" si="47"/>
        <v>63819.38</v>
      </c>
      <c r="J143" s="167">
        <f>IF($I$213=0,0,I143/$I$213)</f>
        <v>2.1055179242532404E-2</v>
      </c>
      <c r="K143" s="458"/>
      <c r="L143" s="176">
        <v>1990.3</v>
      </c>
      <c r="M143" s="176">
        <v>2006.3</v>
      </c>
      <c r="O143" s="329">
        <f t="shared" si="43"/>
        <v>5.4611826116720863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375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'[52]Sch C'!D141</f>
        <v>36795.86</v>
      </c>
      <c r="D145" s="480">
        <f>'[52]Sch C'!F141</f>
        <v>0</v>
      </c>
      <c r="E145" s="480">
        <f>+'[52]Sch C'!H141</f>
        <v>0</v>
      </c>
      <c r="F145" s="166">
        <f t="shared" ref="F145:F148" si="48">C145+D145+E145</f>
        <v>36795.86</v>
      </c>
      <c r="G145" s="626">
        <v>-3527</v>
      </c>
      <c r="H145" s="372"/>
      <c r="I145" s="166">
        <f t="shared" ref="I145:I148" si="49">F145+G145+H145</f>
        <v>33268.86</v>
      </c>
      <c r="J145" s="167">
        <f>IF($I$213=0,0,I145/$I$213)</f>
        <v>1.0976004632052469E-2</v>
      </c>
      <c r="K145" s="458"/>
      <c r="L145" s="163"/>
      <c r="M145" s="163"/>
      <c r="O145" s="329">
        <f t="shared" si="43"/>
        <v>2.8468988533287694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'[52]Sch C'!D142</f>
        <v>32095.57</v>
      </c>
      <c r="D146" s="480">
        <f>'[52]Sch C'!F142</f>
        <v>0</v>
      </c>
      <c r="E146" s="480">
        <f>+'[52]Sch C'!H142</f>
        <v>0</v>
      </c>
      <c r="F146" s="166">
        <f t="shared" si="48"/>
        <v>32095.57</v>
      </c>
      <c r="G146" s="626">
        <v>-3076</v>
      </c>
      <c r="H146" s="372"/>
      <c r="I146" s="166">
        <f t="shared" si="49"/>
        <v>29019.57</v>
      </c>
      <c r="J146" s="167">
        <f>IF($I$213=0,0,I146/$I$213)</f>
        <v>9.5740862398101673E-3</v>
      </c>
      <c r="K146" s="458"/>
      <c r="L146" s="163"/>
      <c r="M146" s="163"/>
      <c r="O146" s="329">
        <f t="shared" si="43"/>
        <v>2.4832765702550059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'[52]Sch C'!D143</f>
        <v>43379.11</v>
      </c>
      <c r="D147" s="480">
        <f>'[52]Sch C'!F143</f>
        <v>0</v>
      </c>
      <c r="E147" s="480">
        <f>+'[52]Sch C'!H143</f>
        <v>0</v>
      </c>
      <c r="F147" s="166">
        <f t="shared" si="48"/>
        <v>43379.11</v>
      </c>
      <c r="G147" s="626">
        <v>-4158</v>
      </c>
      <c r="H147" s="372"/>
      <c r="I147" s="166">
        <f t="shared" si="49"/>
        <v>39221.11</v>
      </c>
      <c r="J147" s="167">
        <f>IF($I$213=0,0,I147/$I$213)</f>
        <v>1.2939760636049428E-2</v>
      </c>
      <c r="K147" s="458"/>
      <c r="L147" s="163"/>
      <c r="M147" s="163"/>
      <c r="O147" s="329">
        <f t="shared" si="43"/>
        <v>3.356247646756803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'[52]Sch C'!D144</f>
        <v>12612.93</v>
      </c>
      <c r="D148" s="480">
        <f>'[52]Sch C'!F144</f>
        <v>0</v>
      </c>
      <c r="E148" s="480">
        <f>+'[52]Sch C'!H144</f>
        <v>0</v>
      </c>
      <c r="F148" s="166">
        <f t="shared" si="48"/>
        <v>12612.93</v>
      </c>
      <c r="G148" s="626">
        <v>-1209</v>
      </c>
      <c r="H148" s="372"/>
      <c r="I148" s="166">
        <f t="shared" si="49"/>
        <v>11403.93</v>
      </c>
      <c r="J148" s="167">
        <f>IF($I$213=0,0,I148/$I$213)</f>
        <v>3.7623648211451222E-3</v>
      </c>
      <c r="K148" s="458"/>
      <c r="L148" s="163"/>
      <c r="M148" s="163"/>
      <c r="O148" s="329">
        <f t="shared" si="43"/>
        <v>0.97586257059729598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375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'[52]Sch C'!D146</f>
        <v>20982.880000000001</v>
      </c>
      <c r="D150" s="480">
        <f>'[52]Sch C'!F146</f>
        <v>0</v>
      </c>
      <c r="E150" s="480">
        <f>+'[52]Sch C'!H146</f>
        <v>0</v>
      </c>
      <c r="F150" s="166">
        <f t="shared" ref="F150:F158" si="50">C150+D150+E150</f>
        <v>20982.880000000001</v>
      </c>
      <c r="G150" s="626"/>
      <c r="H150" s="372"/>
      <c r="I150" s="166">
        <f t="shared" ref="I150:I158" si="51">F150+G150+H150</f>
        <v>20982.880000000001</v>
      </c>
      <c r="J150" s="167">
        <f t="shared" ref="J150:J158" si="52">IF($I$213=0,0,I150/$I$213)</f>
        <v>6.9226354036116995E-3</v>
      </c>
      <c r="K150" s="458"/>
      <c r="L150" s="176" t="s">
        <v>537</v>
      </c>
      <c r="M150" s="176" t="s">
        <v>537</v>
      </c>
      <c r="O150" s="329">
        <f t="shared" si="43"/>
        <v>1.7955570768440869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'[52]Sch C'!D147</f>
        <v>0</v>
      </c>
      <c r="D151" s="480">
        <f>'[52]Sch C'!F147</f>
        <v>0</v>
      </c>
      <c r="E151" s="480">
        <f>+'[52]Sch C'!H147</f>
        <v>0</v>
      </c>
      <c r="F151" s="166">
        <f t="shared" si="50"/>
        <v>0</v>
      </c>
      <c r="G151" s="626"/>
      <c r="H151" s="372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'[52]Sch C'!D148</f>
        <v>0</v>
      </c>
      <c r="D152" s="480">
        <f>'[52]Sch C'!F148</f>
        <v>0</v>
      </c>
      <c r="E152" s="480">
        <f>+'[52]Sch C'!H148</f>
        <v>0</v>
      </c>
      <c r="F152" s="166">
        <f t="shared" si="50"/>
        <v>0</v>
      </c>
      <c r="G152" s="626"/>
      <c r="H152" s="372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'[52]Sch C'!D149</f>
        <v>0</v>
      </c>
      <c r="D153" s="480">
        <f>'[52]Sch C'!F149</f>
        <v>0</v>
      </c>
      <c r="E153" s="480">
        <f>+'[52]Sch C'!H149</f>
        <v>0</v>
      </c>
      <c r="F153" s="166">
        <f t="shared" si="50"/>
        <v>0</v>
      </c>
      <c r="G153" s="626"/>
      <c r="H153" s="372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'[52]Sch C'!D150</f>
        <v>5448.8</v>
      </c>
      <c r="D154" s="480">
        <f>'[52]Sch C'!F150</f>
        <v>0</v>
      </c>
      <c r="E154" s="480">
        <f>+'[52]Sch C'!H150</f>
        <v>0</v>
      </c>
      <c r="F154" s="166">
        <f t="shared" si="50"/>
        <v>5448.8</v>
      </c>
      <c r="G154" s="626"/>
      <c r="H154" s="372"/>
      <c r="I154" s="166">
        <f t="shared" si="51"/>
        <v>5448.8</v>
      </c>
      <c r="J154" s="167">
        <f t="shared" si="52"/>
        <v>1.7976586525395668E-3</v>
      </c>
      <c r="K154" s="458"/>
      <c r="L154" s="176" t="s">
        <v>360</v>
      </c>
      <c r="M154" s="176" t="s">
        <v>360</v>
      </c>
      <c r="O154" s="329">
        <f t="shared" si="43"/>
        <v>0.46626732842717783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'[52]Sch C'!D151</f>
        <v>43329.73</v>
      </c>
      <c r="D155" s="480">
        <f>'[52]Sch C'!F151</f>
        <v>0</v>
      </c>
      <c r="E155" s="480">
        <f>+'[52]Sch C'!H151</f>
        <v>0</v>
      </c>
      <c r="F155" s="166">
        <f t="shared" si="50"/>
        <v>43329.73</v>
      </c>
      <c r="G155" s="626"/>
      <c r="H155" s="372"/>
      <c r="I155" s="166">
        <f t="shared" si="51"/>
        <v>43329.73</v>
      </c>
      <c r="J155" s="167">
        <f t="shared" si="52"/>
        <v>1.4295269425690656E-2</v>
      </c>
      <c r="K155" s="458"/>
      <c r="L155" s="163"/>
      <c r="M155" s="163"/>
      <c r="O155" s="329">
        <f t="shared" si="43"/>
        <v>3.7078324490843748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'[52]Sch C'!D152</f>
        <v>3750.93</v>
      </c>
      <c r="D156" s="480">
        <f>'[52]Sch C'!F152</f>
        <v>0</v>
      </c>
      <c r="E156" s="480">
        <f>+'[52]Sch C'!H152</f>
        <v>0</v>
      </c>
      <c r="F156" s="166">
        <f t="shared" si="50"/>
        <v>3750.93</v>
      </c>
      <c r="G156" s="626"/>
      <c r="H156" s="372"/>
      <c r="I156" s="166">
        <f t="shared" si="51"/>
        <v>3750.93</v>
      </c>
      <c r="J156" s="167">
        <f t="shared" si="52"/>
        <v>1.237500324763294E-3</v>
      </c>
      <c r="K156" s="458"/>
      <c r="L156" s="163"/>
      <c r="M156" s="163"/>
      <c r="O156" s="329">
        <f t="shared" si="43"/>
        <v>0.32097638199555023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'[52]Sch C'!D153</f>
        <v>0</v>
      </c>
      <c r="D157" s="480">
        <f>'[52]Sch C'!F153</f>
        <v>0</v>
      </c>
      <c r="E157" s="480">
        <f>+'[52]Sch C'!H153</f>
        <v>0</v>
      </c>
      <c r="F157" s="166">
        <f t="shared" si="50"/>
        <v>0</v>
      </c>
      <c r="G157" s="626"/>
      <c r="H157" s="372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'[52]Sch C'!D154</f>
        <v>0</v>
      </c>
      <c r="D158" s="480">
        <f>'[52]Sch C'!F154</f>
        <v>0</v>
      </c>
      <c r="E158" s="480">
        <f>+'[52]Sch C'!H154</f>
        <v>0</v>
      </c>
      <c r="F158" s="166">
        <f t="shared" si="50"/>
        <v>0</v>
      </c>
      <c r="G158" s="626"/>
      <c r="H158" s="372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376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'[52]Sch C'!D156</f>
        <v>0</v>
      </c>
      <c r="D160" s="480">
        <f>'[52]Sch C'!F156</f>
        <v>0</v>
      </c>
      <c r="E160" s="480">
        <f>+'[52]Sch C'!H156</f>
        <v>0</v>
      </c>
      <c r="F160" s="166">
        <f t="shared" ref="F160:F165" si="53">C160+D160+E160</f>
        <v>0</v>
      </c>
      <c r="G160" s="626"/>
      <c r="H160" s="372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'[52]Sch C'!D157</f>
        <v>0</v>
      </c>
      <c r="D161" s="480">
        <f>'[52]Sch C'!F157</f>
        <v>0</v>
      </c>
      <c r="E161" s="480">
        <f>+'[52]Sch C'!H157</f>
        <v>0</v>
      </c>
      <c r="F161" s="166">
        <f t="shared" si="53"/>
        <v>0</v>
      </c>
      <c r="G161" s="626"/>
      <c r="H161" s="372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'[52]Sch C'!D158</f>
        <v>0</v>
      </c>
      <c r="D162" s="480">
        <f>'[52]Sch C'!F158</f>
        <v>0</v>
      </c>
      <c r="E162" s="480">
        <f>+'[52]Sch C'!H158</f>
        <v>0</v>
      </c>
      <c r="F162" s="166">
        <f t="shared" si="53"/>
        <v>0</v>
      </c>
      <c r="G162" s="626"/>
      <c r="H162" s="372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'[52]Sch C'!D159</f>
        <v>0</v>
      </c>
      <c r="D163" s="480">
        <f>'[52]Sch C'!F159</f>
        <v>0</v>
      </c>
      <c r="E163" s="480">
        <f>+'[52]Sch C'!H159</f>
        <v>0</v>
      </c>
      <c r="F163" s="166">
        <f t="shared" si="53"/>
        <v>0</v>
      </c>
      <c r="G163" s="626"/>
      <c r="H163" s="372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'[52]Sch C'!D160</f>
        <v>6432.14</v>
      </c>
      <c r="D164" s="480">
        <f>'[52]Sch C'!F160</f>
        <v>0</v>
      </c>
      <c r="E164" s="480">
        <f>+'[52]Sch C'!H160</f>
        <v>0</v>
      </c>
      <c r="F164" s="166">
        <f t="shared" si="53"/>
        <v>6432.14</v>
      </c>
      <c r="G164" s="626"/>
      <c r="H164" s="372"/>
      <c r="I164" s="166">
        <f t="shared" si="54"/>
        <v>6432.14</v>
      </c>
      <c r="J164" s="167">
        <f>IF($I$213=0,0,I164/$I$213)</f>
        <v>2.1220804810868172E-3</v>
      </c>
      <c r="K164" s="458"/>
      <c r="L164" s="163"/>
      <c r="M164" s="163"/>
      <c r="O164" s="329">
        <f t="shared" si="43"/>
        <v>0.55041417080266986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'[52]Sch C'!D161</f>
        <v>4220.53</v>
      </c>
      <c r="D165" s="480">
        <f>'[52]Sch C'!F161</f>
        <v>0</v>
      </c>
      <c r="E165" s="480">
        <f>+'[52]Sch C'!H161</f>
        <v>0</v>
      </c>
      <c r="F165" s="166">
        <f t="shared" si="53"/>
        <v>4220.53</v>
      </c>
      <c r="G165" s="626"/>
      <c r="H165" s="372"/>
      <c r="I165" s="166">
        <f t="shared" si="54"/>
        <v>4220.53</v>
      </c>
      <c r="J165" s="167">
        <f t="shared" si="55"/>
        <v>1.3924299428870242E-3</v>
      </c>
      <c r="K165" s="458"/>
      <c r="L165" s="163"/>
      <c r="M165" s="163"/>
      <c r="O165" s="329">
        <f t="shared" si="43"/>
        <v>0.36116121855211364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969662.7300000001</v>
      </c>
      <c r="D166" s="480">
        <f t="shared" si="56"/>
        <v>20708</v>
      </c>
      <c r="E166" s="480">
        <f t="shared" si="56"/>
        <v>0</v>
      </c>
      <c r="F166" s="166">
        <f t="shared" ref="F166:I166" si="57">SUM(F128:F165)</f>
        <v>990370.7300000001</v>
      </c>
      <c r="G166" s="166">
        <f t="shared" si="57"/>
        <v>-14037</v>
      </c>
      <c r="H166" s="166">
        <f t="shared" si="57"/>
        <v>0</v>
      </c>
      <c r="I166" s="166">
        <f t="shared" si="57"/>
        <v>976333.7300000001</v>
      </c>
      <c r="J166" s="167">
        <f t="shared" si="55"/>
        <v>0.32211033209160356</v>
      </c>
      <c r="K166" s="458"/>
      <c r="L166" s="163"/>
      <c r="M166" s="163"/>
      <c r="O166" s="329">
        <f>I166/I$233</f>
        <v>83.547298476809871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375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387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'[52]Sch C'!D175</f>
        <v>0</v>
      </c>
      <c r="D169" s="480">
        <f>'[52]Sch C'!F175</f>
        <v>0</v>
      </c>
      <c r="E169" s="480">
        <f>+'[52]Sch C'!H175</f>
        <v>0</v>
      </c>
      <c r="F169" s="166">
        <f t="shared" ref="F169:F201" si="58">C169+D169+E169</f>
        <v>0</v>
      </c>
      <c r="G169" s="626"/>
      <c r="H169" s="372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'[52]Sch C'!D176</f>
        <v>0</v>
      </c>
      <c r="D170" s="480">
        <f>'[52]Sch C'!F176</f>
        <v>0</v>
      </c>
      <c r="E170" s="480">
        <f>+'[52]Sch C'!H176</f>
        <v>0</v>
      </c>
      <c r="F170" s="166">
        <f t="shared" si="58"/>
        <v>0</v>
      </c>
      <c r="G170" s="626"/>
      <c r="H170" s="372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'[52]Sch C'!D177</f>
        <v>160817.72</v>
      </c>
      <c r="D171" s="480">
        <f>'[52]Sch C'!F177</f>
        <v>6411</v>
      </c>
      <c r="E171" s="480">
        <f>+'[52]Sch C'!H177</f>
        <v>0</v>
      </c>
      <c r="F171" s="166">
        <f t="shared" si="58"/>
        <v>167228.72</v>
      </c>
      <c r="G171" s="626"/>
      <c r="H171" s="372"/>
      <c r="I171" s="166">
        <f t="shared" si="59"/>
        <v>167228.72</v>
      </c>
      <c r="J171" s="167">
        <f t="shared" si="60"/>
        <v>5.5171809473850482E-2</v>
      </c>
      <c r="K171" s="468"/>
      <c r="L171" s="176">
        <v>4661.96</v>
      </c>
      <c r="M171" s="176">
        <v>4862.6499999999996</v>
      </c>
      <c r="N171" s="208"/>
      <c r="O171" s="329">
        <f t="shared" si="61"/>
        <v>14.310176279308575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'[52]Sch C'!D178</f>
        <v>34392.839999999997</v>
      </c>
      <c r="D172" s="480">
        <f>'[52]Sch C'!F178</f>
        <v>0</v>
      </c>
      <c r="E172" s="480">
        <f>+'[52]Sch C'!H178</f>
        <v>0</v>
      </c>
      <c r="F172" s="166">
        <f t="shared" si="58"/>
        <v>34392.839999999997</v>
      </c>
      <c r="G172" s="626">
        <v>-3078</v>
      </c>
      <c r="H172" s="372"/>
      <c r="I172" s="166">
        <f t="shared" si="59"/>
        <v>31314.839999999997</v>
      </c>
      <c r="J172" s="167">
        <f t="shared" si="60"/>
        <v>1.0331337740216584E-2</v>
      </c>
      <c r="K172" s="469"/>
      <c r="L172" s="212"/>
      <c r="M172" s="212"/>
      <c r="N172" s="208"/>
      <c r="O172" s="329">
        <f t="shared" si="61"/>
        <v>2.6796885161731985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'[52]Sch C'!D179</f>
        <v>0</v>
      </c>
      <c r="D173" s="480">
        <f>'[52]Sch C'!F179</f>
        <v>0</v>
      </c>
      <c r="E173" s="480">
        <f>+'[52]Sch C'!H179</f>
        <v>0</v>
      </c>
      <c r="F173" s="166">
        <f t="shared" si="58"/>
        <v>0</v>
      </c>
      <c r="G173" s="626"/>
      <c r="H173" s="372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'[52]Sch C'!D180</f>
        <v>0</v>
      </c>
      <c r="D174" s="480">
        <f>'[52]Sch C'!F180</f>
        <v>0</v>
      </c>
      <c r="E174" s="480">
        <f>+'[52]Sch C'!H180</f>
        <v>0</v>
      </c>
      <c r="F174" s="166">
        <f t="shared" si="58"/>
        <v>0</v>
      </c>
      <c r="G174" s="626"/>
      <c r="H174" s="372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'[52]Sch C'!D181</f>
        <v>0</v>
      </c>
      <c r="D175" s="480">
        <f>'[52]Sch C'!F181</f>
        <v>0</v>
      </c>
      <c r="E175" s="480">
        <f>+'[52]Sch C'!H181</f>
        <v>0</v>
      </c>
      <c r="F175" s="166">
        <f t="shared" si="58"/>
        <v>0</v>
      </c>
      <c r="G175" s="626"/>
      <c r="H175" s="372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'[52]Sch C'!D182</f>
        <v>0</v>
      </c>
      <c r="D176" s="480">
        <f>'[52]Sch C'!F182</f>
        <v>0</v>
      </c>
      <c r="E176" s="480">
        <f>+'[52]Sch C'!H182</f>
        <v>0</v>
      </c>
      <c r="F176" s="166">
        <f t="shared" si="58"/>
        <v>0</v>
      </c>
      <c r="G176" s="626"/>
      <c r="H176" s="372"/>
      <c r="I176" s="166">
        <f t="shared" si="59"/>
        <v>0</v>
      </c>
      <c r="J176" s="167">
        <f>IF($I$213=0,0,I176/$I$213)</f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'[52]Sch C'!D183</f>
        <v>21177.29</v>
      </c>
      <c r="D177" s="480">
        <f>'[52]Sch C'!F183</f>
        <v>0</v>
      </c>
      <c r="E177" s="480">
        <f>+'[52]Sch C'!H183</f>
        <v>0</v>
      </c>
      <c r="F177" s="166">
        <f t="shared" si="58"/>
        <v>21177.29</v>
      </c>
      <c r="G177" s="626"/>
      <c r="H177" s="372"/>
      <c r="I177" s="166">
        <f t="shared" si="59"/>
        <v>21177.29</v>
      </c>
      <c r="J177" s="167">
        <f t="shared" si="60"/>
        <v>6.9867748138745488E-3</v>
      </c>
      <c r="K177" s="468"/>
      <c r="L177" s="176">
        <v>776.29</v>
      </c>
      <c r="M177" s="176">
        <v>776.29</v>
      </c>
      <c r="N177" s="208"/>
      <c r="O177" s="329">
        <f t="shared" si="61"/>
        <v>1.8121932226595927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'[52]Sch C'!D184</f>
        <v>2247.02</v>
      </c>
      <c r="D178" s="480">
        <f>'[52]Sch C'!F184</f>
        <v>0</v>
      </c>
      <c r="E178" s="480">
        <f>+'[52]Sch C'!H184</f>
        <v>0</v>
      </c>
      <c r="F178" s="166">
        <f t="shared" si="58"/>
        <v>2247.02</v>
      </c>
      <c r="G178" s="626">
        <v>-408</v>
      </c>
      <c r="H178" s="372"/>
      <c r="I178" s="166">
        <f t="shared" si="59"/>
        <v>1839.02</v>
      </c>
      <c r="J178" s="167">
        <f t="shared" si="60"/>
        <v>6.0672629114544741E-4</v>
      </c>
      <c r="K178" s="469"/>
      <c r="L178" s="212"/>
      <c r="M178" s="212"/>
      <c r="N178" s="208"/>
      <c r="O178" s="329">
        <f t="shared" si="61"/>
        <v>0.15736950196816704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'[52]Sch C'!D185</f>
        <v>0</v>
      </c>
      <c r="D179" s="480">
        <f>'[52]Sch C'!F185</f>
        <v>0</v>
      </c>
      <c r="E179" s="480">
        <f>+'[52]Sch C'!H185</f>
        <v>0</v>
      </c>
      <c r="F179" s="166">
        <f t="shared" si="58"/>
        <v>0</v>
      </c>
      <c r="G179" s="626"/>
      <c r="H179" s="372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'[52]Sch C'!D186</f>
        <v>0</v>
      </c>
      <c r="D180" s="480">
        <f>'[52]Sch C'!F186</f>
        <v>0</v>
      </c>
      <c r="E180" s="480">
        <f>+'[52]Sch C'!H186</f>
        <v>0</v>
      </c>
      <c r="F180" s="166">
        <f t="shared" si="58"/>
        <v>0</v>
      </c>
      <c r="G180" s="626"/>
      <c r="H180" s="372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'[52]Sch C'!D187</f>
        <v>0</v>
      </c>
      <c r="D181" s="480">
        <f>'[52]Sch C'!F187</f>
        <v>0</v>
      </c>
      <c r="E181" s="480">
        <f>+'[52]Sch C'!H187</f>
        <v>0</v>
      </c>
      <c r="F181" s="166">
        <f t="shared" si="58"/>
        <v>0</v>
      </c>
      <c r="G181" s="626"/>
      <c r="H181" s="372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'[52]Sch C'!D188</f>
        <v>0</v>
      </c>
      <c r="D182" s="480">
        <f>'[52]Sch C'!F188</f>
        <v>0</v>
      </c>
      <c r="E182" s="480">
        <f>+'[52]Sch C'!H188</f>
        <v>0</v>
      </c>
      <c r="F182" s="166">
        <f t="shared" si="58"/>
        <v>0</v>
      </c>
      <c r="G182" s="626"/>
      <c r="H182" s="372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'[52]Sch C'!D189</f>
        <v>0</v>
      </c>
      <c r="D183" s="480">
        <f>'[52]Sch C'!F189</f>
        <v>0</v>
      </c>
      <c r="E183" s="480">
        <f>+'[52]Sch C'!H189</f>
        <v>0</v>
      </c>
      <c r="F183" s="166">
        <f t="shared" si="58"/>
        <v>0</v>
      </c>
      <c r="G183" s="626"/>
      <c r="H183" s="372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'[52]Sch C'!D190</f>
        <v>0</v>
      </c>
      <c r="D184" s="480">
        <f>'[52]Sch C'!F190</f>
        <v>0</v>
      </c>
      <c r="E184" s="480">
        <f>+'[52]Sch C'!H190</f>
        <v>0</v>
      </c>
      <c r="F184" s="166">
        <f t="shared" si="58"/>
        <v>0</v>
      </c>
      <c r="G184" s="626"/>
      <c r="H184" s="372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'[52]Sch C'!D191</f>
        <v>0</v>
      </c>
      <c r="D185" s="480">
        <f>'[52]Sch C'!F191</f>
        <v>0</v>
      </c>
      <c r="E185" s="480">
        <f>+'[52]Sch C'!H191</f>
        <v>0</v>
      </c>
      <c r="F185" s="166">
        <f t="shared" si="58"/>
        <v>0</v>
      </c>
      <c r="G185" s="626"/>
      <c r="H185" s="372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'[52]Sch C'!D192</f>
        <v>16588.7</v>
      </c>
      <c r="D186" s="480">
        <f>'[52]Sch C'!F192</f>
        <v>0</v>
      </c>
      <c r="E186" s="480">
        <f>+'[52]Sch C'!H192</f>
        <v>0</v>
      </c>
      <c r="F186" s="166">
        <f t="shared" si="58"/>
        <v>16588.7</v>
      </c>
      <c r="G186" s="626"/>
      <c r="H186" s="372"/>
      <c r="I186" s="166">
        <f t="shared" si="59"/>
        <v>16588.7</v>
      </c>
      <c r="J186" s="167">
        <f t="shared" si="60"/>
        <v>5.4729151536821157E-3</v>
      </c>
      <c r="K186" s="458"/>
      <c r="L186" s="213"/>
      <c r="M186" s="208"/>
      <c r="N186" s="210"/>
      <c r="O186" s="329">
        <f t="shared" si="61"/>
        <v>1.4195361971589937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'[52]Sch C'!D193</f>
        <v>0</v>
      </c>
      <c r="D187" s="480">
        <f>'[52]Sch C'!F193</f>
        <v>0</v>
      </c>
      <c r="E187" s="480">
        <f>+'[52]Sch C'!H193</f>
        <v>0</v>
      </c>
      <c r="F187" s="166">
        <f t="shared" si="58"/>
        <v>0</v>
      </c>
      <c r="G187" s="626"/>
      <c r="H187" s="372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'[52]Sch C'!D194</f>
        <v>79721.440000000002</v>
      </c>
      <c r="D188" s="480">
        <f>'[52]Sch C'!F194</f>
        <v>0</v>
      </c>
      <c r="E188" s="480">
        <f>+'[52]Sch C'!H194</f>
        <v>0</v>
      </c>
      <c r="F188" s="166">
        <f t="shared" si="58"/>
        <v>79721.440000000002</v>
      </c>
      <c r="G188" s="626"/>
      <c r="H188" s="372"/>
      <c r="I188" s="166">
        <f t="shared" si="59"/>
        <v>79721.440000000002</v>
      </c>
      <c r="J188" s="167">
        <f t="shared" si="60"/>
        <v>2.6301559317448597E-2</v>
      </c>
      <c r="K188" s="458"/>
      <c r="L188" s="213"/>
      <c r="M188" s="208"/>
      <c r="O188" s="329">
        <f t="shared" si="61"/>
        <v>6.8219613212390895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'[52]Sch C'!D195</f>
        <v>2561</v>
      </c>
      <c r="D189" s="480">
        <f>'[52]Sch C'!F195</f>
        <v>0</v>
      </c>
      <c r="E189" s="480">
        <f>+'[52]Sch C'!H195</f>
        <v>0</v>
      </c>
      <c r="F189" s="166">
        <f t="shared" si="58"/>
        <v>2561</v>
      </c>
      <c r="G189" s="626"/>
      <c r="H189" s="372"/>
      <c r="I189" s="166">
        <f t="shared" si="59"/>
        <v>2561</v>
      </c>
      <c r="J189" s="167">
        <f t="shared" si="60"/>
        <v>8.4492068146267631E-4</v>
      </c>
      <c r="K189" s="458"/>
      <c r="L189" s="213"/>
      <c r="M189" s="208"/>
      <c r="O189" s="329">
        <f t="shared" si="61"/>
        <v>0.21915112099948655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'[52]Sch C'!D196</f>
        <v>0</v>
      </c>
      <c r="D190" s="480">
        <f>'[52]Sch C'!F196</f>
        <v>0</v>
      </c>
      <c r="E190" s="480">
        <f>+'[52]Sch C'!H196</f>
        <v>0</v>
      </c>
      <c r="F190" s="166">
        <f t="shared" si="58"/>
        <v>0</v>
      </c>
      <c r="G190" s="626"/>
      <c r="H190" s="372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'[52]Sch C'!D197</f>
        <v>17547.900000000001</v>
      </c>
      <c r="D191" s="480">
        <f>'[52]Sch C'!F197</f>
        <v>0</v>
      </c>
      <c r="E191" s="480">
        <f>+'[52]Sch C'!H197</f>
        <v>0</v>
      </c>
      <c r="F191" s="166">
        <f t="shared" si="58"/>
        <v>17547.900000000001</v>
      </c>
      <c r="G191" s="626"/>
      <c r="H191" s="372"/>
      <c r="I191" s="166">
        <f t="shared" si="59"/>
        <v>17547.900000000001</v>
      </c>
      <c r="J191" s="167">
        <f t="shared" si="60"/>
        <v>5.7893727552670434E-3</v>
      </c>
      <c r="K191" s="458"/>
      <c r="L191" s="213"/>
      <c r="M191" s="208"/>
      <c r="O191" s="329">
        <f t="shared" si="61"/>
        <v>1.5016173198699299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'[52]Sch C'!D198</f>
        <v>0</v>
      </c>
      <c r="D192" s="480">
        <f>'[52]Sch C'!F198</f>
        <v>0</v>
      </c>
      <c r="E192" s="480">
        <f>+'[52]Sch C'!H198</f>
        <v>0</v>
      </c>
      <c r="F192" s="166">
        <f t="shared" si="58"/>
        <v>0</v>
      </c>
      <c r="G192" s="626"/>
      <c r="H192" s="372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'[52]Sch C'!D199</f>
        <v>0</v>
      </c>
      <c r="D193" s="480">
        <f>'[52]Sch C'!F199</f>
        <v>0</v>
      </c>
      <c r="E193" s="480">
        <f>+'[52]Sch C'!H199</f>
        <v>0</v>
      </c>
      <c r="F193" s="166">
        <f t="shared" si="58"/>
        <v>0</v>
      </c>
      <c r="G193" s="626"/>
      <c r="H193" s="372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'[52]Sch C'!D200</f>
        <v>0</v>
      </c>
      <c r="D194" s="480">
        <f>'[52]Sch C'!F200</f>
        <v>0</v>
      </c>
      <c r="E194" s="480">
        <f>+'[52]Sch C'!H200</f>
        <v>0</v>
      </c>
      <c r="F194" s="166">
        <f t="shared" si="58"/>
        <v>0</v>
      </c>
      <c r="G194" s="626"/>
      <c r="H194" s="372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'[52]Sch C'!D201</f>
        <v>0</v>
      </c>
      <c r="D195" s="480">
        <f>'[52]Sch C'!F201</f>
        <v>0</v>
      </c>
      <c r="E195" s="480">
        <f>+'[52]Sch C'!H201</f>
        <v>0</v>
      </c>
      <c r="F195" s="166">
        <f t="shared" si="58"/>
        <v>0</v>
      </c>
      <c r="G195" s="626"/>
      <c r="H195" s="372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'[52]Sch C'!D202</f>
        <v>0</v>
      </c>
      <c r="D196" s="480">
        <f>'[52]Sch C'!F202</f>
        <v>0</v>
      </c>
      <c r="E196" s="480">
        <f>+'[52]Sch C'!H202</f>
        <v>0</v>
      </c>
      <c r="F196" s="166">
        <f t="shared" si="58"/>
        <v>0</v>
      </c>
      <c r="G196" s="626">
        <f>840+1100</f>
        <v>1940</v>
      </c>
      <c r="H196" s="372"/>
      <c r="I196" s="166">
        <f t="shared" si="59"/>
        <v>1940</v>
      </c>
      <c r="J196" s="167">
        <f t="shared" si="60"/>
        <v>6.4004143773431943E-4</v>
      </c>
      <c r="K196" s="458"/>
      <c r="L196" s="213"/>
      <c r="M196" s="208"/>
      <c r="O196" s="329">
        <f t="shared" si="61"/>
        <v>0.16601061098750641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'[52]Sch C'!D203</f>
        <v>7136.39</v>
      </c>
      <c r="D197" s="480">
        <f>'[52]Sch C'!F203</f>
        <v>0</v>
      </c>
      <c r="E197" s="480">
        <f>+'[52]Sch C'!H203</f>
        <v>0</v>
      </c>
      <c r="F197" s="166">
        <f t="shared" si="58"/>
        <v>7136.39</v>
      </c>
      <c r="G197" s="626"/>
      <c r="H197" s="372"/>
      <c r="I197" s="166">
        <f t="shared" si="59"/>
        <v>7136.39</v>
      </c>
      <c r="J197" s="167">
        <f t="shared" si="60"/>
        <v>2.3544254205323813E-3</v>
      </c>
      <c r="K197" s="458"/>
      <c r="L197" s="213"/>
      <c r="M197" s="208"/>
      <c r="O197" s="329">
        <f t="shared" si="61"/>
        <v>0.61067858976553147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'[52]Sch C'!D204</f>
        <v>0</v>
      </c>
      <c r="D198" s="480">
        <f>'[52]Sch C'!F204</f>
        <v>0</v>
      </c>
      <c r="E198" s="480">
        <f>+'[52]Sch C'!H204</f>
        <v>0</v>
      </c>
      <c r="F198" s="166">
        <f t="shared" si="58"/>
        <v>0</v>
      </c>
      <c r="G198" s="626"/>
      <c r="H198" s="372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'[52]Sch C'!D205</f>
        <v>89475.54</v>
      </c>
      <c r="D199" s="480">
        <f>'[52]Sch C'!F205</f>
        <v>0</v>
      </c>
      <c r="E199" s="480">
        <f>+'[52]Sch C'!H205</f>
        <v>0</v>
      </c>
      <c r="F199" s="166">
        <f t="shared" si="58"/>
        <v>89475.54</v>
      </c>
      <c r="G199" s="626"/>
      <c r="H199" s="372"/>
      <c r="I199" s="166">
        <f t="shared" si="59"/>
        <v>89475.54</v>
      </c>
      <c r="J199" s="167">
        <f t="shared" si="60"/>
        <v>2.951961508435804E-2</v>
      </c>
      <c r="K199" s="458"/>
      <c r="L199" s="213"/>
      <c r="M199" s="208"/>
      <c r="O199" s="329">
        <f t="shared" si="61"/>
        <v>7.6566438473386951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'[52]Sch C'!D206</f>
        <v>16055.78</v>
      </c>
      <c r="D200" s="480">
        <f>'[52]Sch C'!F206</f>
        <v>0</v>
      </c>
      <c r="E200" s="480">
        <f>+'[52]Sch C'!H206</f>
        <v>0</v>
      </c>
      <c r="F200" s="166">
        <f t="shared" si="58"/>
        <v>16055.78</v>
      </c>
      <c r="G200" s="626"/>
      <c r="H200" s="372"/>
      <c r="I200" s="166">
        <f t="shared" si="59"/>
        <v>16055.78</v>
      </c>
      <c r="J200" s="167">
        <f t="shared" si="60"/>
        <v>5.2970951108999645E-3</v>
      </c>
      <c r="K200" s="458"/>
      <c r="L200" s="213"/>
      <c r="M200" s="208"/>
      <c r="O200" s="329">
        <f t="shared" si="61"/>
        <v>1.3739329111757659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'[52]Sch C'!D207</f>
        <v>4158.01</v>
      </c>
      <c r="D201" s="480">
        <f>'[52]Sch C'!F207</f>
        <v>0</v>
      </c>
      <c r="E201" s="480">
        <f>+'[52]Sch C'!H207</f>
        <v>0</v>
      </c>
      <c r="F201" s="166">
        <f t="shared" si="58"/>
        <v>4158.01</v>
      </c>
      <c r="G201" s="626"/>
      <c r="H201" s="372"/>
      <c r="I201" s="166">
        <f t="shared" si="59"/>
        <v>4158.01</v>
      </c>
      <c r="J201" s="167">
        <f t="shared" si="60"/>
        <v>1.3718034528421017E-3</v>
      </c>
      <c r="K201" s="458"/>
      <c r="L201" s="213"/>
      <c r="M201" s="208"/>
      <c r="O201" s="329">
        <f t="shared" si="61"/>
        <v>0.35581122710936164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451879.63000000006</v>
      </c>
      <c r="D202" s="480">
        <f t="shared" si="62"/>
        <v>6411</v>
      </c>
      <c r="E202" s="480">
        <f t="shared" si="62"/>
        <v>0</v>
      </c>
      <c r="F202" s="166">
        <f t="shared" ref="F202:I202" si="63">SUM(F169:F201)</f>
        <v>458290.63000000006</v>
      </c>
      <c r="G202" s="166">
        <f t="shared" si="63"/>
        <v>-1546</v>
      </c>
      <c r="H202" s="166">
        <f t="shared" si="63"/>
        <v>0</v>
      </c>
      <c r="I202" s="166">
        <f t="shared" si="63"/>
        <v>456744.63000000006</v>
      </c>
      <c r="J202" s="167">
        <f>IF($I$213=0,0,I202/$I$213)</f>
        <v>0.15068839673331433</v>
      </c>
      <c r="K202" s="458"/>
      <c r="L202" s="163"/>
      <c r="M202" s="163"/>
      <c r="O202" s="329">
        <f>I202/I$233</f>
        <v>39.084770665753901</v>
      </c>
      <c r="P202" s="324">
        <f>SUMMARY!L204</f>
        <v>35.511780513975516</v>
      </c>
    </row>
    <row r="203" spans="1:17" s="162" customFormat="1" ht="15.5">
      <c r="A203" s="158"/>
      <c r="C203" s="160"/>
      <c r="D203" s="160"/>
      <c r="E203" s="160"/>
      <c r="F203" s="160"/>
      <c r="G203" s="160"/>
      <c r="H203"/>
      <c r="I203" s="160"/>
      <c r="J203" s="190"/>
      <c r="K203" s="460"/>
      <c r="L203" s="163"/>
      <c r="M203" s="163"/>
      <c r="O203" s="324"/>
      <c r="P203" s="324"/>
    </row>
    <row r="204" spans="1:17" s="162" customFormat="1" ht="15.5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'[52]Sch C'!D211</f>
        <v>78870.66</v>
      </c>
      <c r="D205" s="480">
        <f>'[52]Sch C'!F211</f>
        <v>0</v>
      </c>
      <c r="E205" s="480">
        <f>+'[52]Sch C'!H211</f>
        <v>0</v>
      </c>
      <c r="F205" s="166">
        <f t="shared" ref="F205:F210" si="64">C205+D205+E205</f>
        <v>78870.66</v>
      </c>
      <c r="G205" s="626">
        <v>-17133</v>
      </c>
      <c r="H205" s="372"/>
      <c r="I205" s="166">
        <f t="shared" ref="I205:I210" si="65">F205+G205+H205</f>
        <v>61737.66</v>
      </c>
      <c r="J205" s="167">
        <f t="shared" ref="J205:J211" si="66">IF($I$213=0,0,I205/$I$213)</f>
        <v>2.0368381788016796E-2</v>
      </c>
      <c r="K205" s="458"/>
      <c r="L205" s="176">
        <v>5029.71</v>
      </c>
      <c r="M205" s="176">
        <v>5327.71</v>
      </c>
      <c r="O205" s="329">
        <f t="shared" ref="O205:O210" si="67">I205/I$233</f>
        <v>5.2830446688345027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'[52]Sch C'!D212</f>
        <v>13142.69</v>
      </c>
      <c r="D206" s="480">
        <f>'[52]Sch C'!F212</f>
        <v>0</v>
      </c>
      <c r="E206" s="480">
        <f>+'[52]Sch C'!H212</f>
        <v>0</v>
      </c>
      <c r="F206" s="166">
        <f t="shared" si="64"/>
        <v>13142.69</v>
      </c>
      <c r="G206" s="626">
        <f>-1518-2525</f>
        <v>-4043</v>
      </c>
      <c r="H206" s="372"/>
      <c r="I206" s="166">
        <f t="shared" si="65"/>
        <v>9099.69</v>
      </c>
      <c r="J206" s="167">
        <f t="shared" si="66"/>
        <v>3.00215395388485E-3</v>
      </c>
      <c r="K206" s="458"/>
      <c r="L206" s="163"/>
      <c r="M206" s="163"/>
      <c r="O206" s="329">
        <f t="shared" si="67"/>
        <v>0.7786830395344857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'[52]Sch C'!D213</f>
        <v>6612.25</v>
      </c>
      <c r="D207" s="480">
        <f>'[52]Sch C'!F213</f>
        <v>0</v>
      </c>
      <c r="E207" s="480">
        <f>+'[52]Sch C'!H213</f>
        <v>0</v>
      </c>
      <c r="F207" s="166">
        <f t="shared" si="64"/>
        <v>6612.25</v>
      </c>
      <c r="G207" s="626"/>
      <c r="H207" s="372"/>
      <c r="I207" s="166">
        <f t="shared" si="65"/>
        <v>6612.25</v>
      </c>
      <c r="J207" s="167">
        <f t="shared" si="66"/>
        <v>2.181502060133378E-3</v>
      </c>
      <c r="K207" s="458"/>
      <c r="L207" s="163"/>
      <c r="M207" s="163"/>
      <c r="O207" s="329">
        <f t="shared" si="67"/>
        <v>0.56582663015574186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'[52]Sch C'!D214</f>
        <v>0</v>
      </c>
      <c r="D208" s="480">
        <f>'[52]Sch C'!F214</f>
        <v>0</v>
      </c>
      <c r="E208" s="480">
        <f>+'[52]Sch C'!H214</f>
        <v>0</v>
      </c>
      <c r="F208" s="166">
        <f t="shared" si="64"/>
        <v>0</v>
      </c>
      <c r="G208" s="626"/>
      <c r="H208" s="372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'[52]Sch C'!D215</f>
        <v>0</v>
      </c>
      <c r="D209" s="480">
        <f>'[52]Sch C'!F215</f>
        <v>0</v>
      </c>
      <c r="E209" s="480">
        <f>+'[52]Sch C'!H215</f>
        <v>0</v>
      </c>
      <c r="F209" s="166">
        <f t="shared" si="64"/>
        <v>0</v>
      </c>
      <c r="G209" s="626"/>
      <c r="H209" s="372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'[52]Sch C'!D216</f>
        <v>11148.78</v>
      </c>
      <c r="D210" s="480">
        <f>'[52]Sch C'!F216</f>
        <v>0</v>
      </c>
      <c r="E210" s="480">
        <f>+'[52]Sch C'!H216</f>
        <v>0</v>
      </c>
      <c r="F210" s="166">
        <f t="shared" si="64"/>
        <v>11148.78</v>
      </c>
      <c r="G210" s="626">
        <f>-1089-840-1100-215</f>
        <v>-3244</v>
      </c>
      <c r="H210" s="372"/>
      <c r="I210" s="166">
        <f t="shared" si="65"/>
        <v>7904.7800000000007</v>
      </c>
      <c r="J210" s="167">
        <f t="shared" si="66"/>
        <v>2.6079313176152028E-3</v>
      </c>
      <c r="K210" s="458"/>
      <c r="L210" s="163"/>
      <c r="M210" s="163"/>
      <c r="O210" s="329">
        <f t="shared" si="67"/>
        <v>0.67643162758856756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109774.38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109774.38</v>
      </c>
      <c r="G211" s="166">
        <f t="shared" si="69"/>
        <v>-24420</v>
      </c>
      <c r="H211" s="166">
        <f t="shared" si="69"/>
        <v>0</v>
      </c>
      <c r="I211" s="166">
        <f t="shared" si="69"/>
        <v>85354.38</v>
      </c>
      <c r="J211" s="167">
        <f t="shared" si="66"/>
        <v>2.8159969119650227E-2</v>
      </c>
      <c r="K211" s="458"/>
      <c r="L211" s="163"/>
      <c r="M211" s="163"/>
      <c r="O211" s="329">
        <f>I211/I$233</f>
        <v>7.3039859661132986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77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3482984.6199999996</v>
      </c>
      <c r="D213" s="480">
        <f t="shared" si="70"/>
        <v>-195381.77999999997</v>
      </c>
      <c r="E213" s="480">
        <f t="shared" si="70"/>
        <v>-256309.09000000003</v>
      </c>
      <c r="F213" s="166">
        <f t="shared" ref="F213:I213" si="71">SUM(F30:F211)/2</f>
        <v>3031293.7499999995</v>
      </c>
      <c r="G213" s="166">
        <f t="shared" si="71"/>
        <v>-240</v>
      </c>
      <c r="H213" s="166">
        <f t="shared" si="71"/>
        <v>0</v>
      </c>
      <c r="I213" s="166">
        <f t="shared" si="71"/>
        <v>3031053.7499999995</v>
      </c>
      <c r="J213" s="167">
        <f>IF($I$213=0,0,I213/$I$213)</f>
        <v>1</v>
      </c>
      <c r="K213" s="458"/>
      <c r="L213" s="176">
        <f>SUM(L30:L205)</f>
        <v>82741.080000000016</v>
      </c>
      <c r="M213" s="176">
        <f>SUM(M30:M205)</f>
        <v>86154.77</v>
      </c>
      <c r="O213" s="329">
        <f>I213/I$233</f>
        <v>259.37478606880023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'[52]Sch C'!D221</f>
        <v>3482984.62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378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377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150318.64999999991</v>
      </c>
      <c r="D220" s="480">
        <f t="shared" si="72"/>
        <v>432254.61999999994</v>
      </c>
      <c r="E220" s="480">
        <f t="shared" si="72"/>
        <v>256309.09000000003</v>
      </c>
      <c r="F220" s="166">
        <f t="shared" ref="F220:I220" si="73">F26-F213</f>
        <v>838882.36000000034</v>
      </c>
      <c r="G220" s="166">
        <f t="shared" si="73"/>
        <v>240</v>
      </c>
      <c r="H220" s="166">
        <f t="shared" si="73"/>
        <v>0</v>
      </c>
      <c r="I220" s="166">
        <f t="shared" si="73"/>
        <v>839122.36000000034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75"/>
      <c r="I221" s="188"/>
      <c r="K221" s="460"/>
      <c r="L221" s="163"/>
      <c r="M221" s="163"/>
    </row>
    <row r="222" spans="1:16" s="162" customFormat="1" ht="15">
      <c r="A222" s="158"/>
      <c r="B222" s="218"/>
      <c r="C222" s="188"/>
      <c r="D222" s="188"/>
      <c r="E222" s="188"/>
      <c r="F222" s="188"/>
      <c r="G222" s="188"/>
      <c r="H222" s="406"/>
      <c r="I222" s="188"/>
      <c r="K222" s="460"/>
      <c r="L222" s="163"/>
      <c r="M222" s="163"/>
    </row>
    <row r="223" spans="1:16" ht="15">
      <c r="A223" s="158"/>
      <c r="B223" s="222" t="s">
        <v>151</v>
      </c>
      <c r="C223" s="160"/>
      <c r="D223" s="160"/>
      <c r="E223" s="160"/>
      <c r="F223" s="160"/>
      <c r="G223" s="160"/>
      <c r="H223" s="406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'[52]Sch D'!C9</f>
        <v>5547</v>
      </c>
      <c r="D224" s="480"/>
      <c r="E224" s="480"/>
      <c r="F224" s="224">
        <f>C224+D224+E224</f>
        <v>5547</v>
      </c>
      <c r="G224" s="627"/>
      <c r="H224" s="379"/>
      <c r="I224" s="224">
        <f>F224+G224+H224</f>
        <v>5547</v>
      </c>
      <c r="J224" s="167">
        <f t="shared" ref="J224:J233" si="74">IF($I$233=0,0,I224/$I$233)</f>
        <v>0.4746705459524217</v>
      </c>
      <c r="K224" s="458"/>
      <c r="L224" s="163"/>
      <c r="M224" s="163"/>
    </row>
    <row r="225" spans="1:13">
      <c r="A225" s="158"/>
      <c r="B225" s="165" t="s">
        <v>201</v>
      </c>
      <c r="C225" s="504">
        <f>'[52]Sch D'!D9</f>
        <v>0</v>
      </c>
      <c r="D225" s="480"/>
      <c r="E225" s="480"/>
      <c r="F225" s="224">
        <f t="shared" ref="F225:F232" si="75">C225+D225+E225</f>
        <v>0</v>
      </c>
      <c r="G225" s="627"/>
      <c r="H225" s="379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'[52]Sch D'!E9</f>
        <v>3577</v>
      </c>
      <c r="D226" s="480"/>
      <c r="E226" s="480"/>
      <c r="F226" s="224">
        <f t="shared" si="75"/>
        <v>3577</v>
      </c>
      <c r="G226" s="627"/>
      <c r="H226" s="379"/>
      <c r="I226" s="224">
        <f t="shared" si="76"/>
        <v>3577</v>
      </c>
      <c r="J226" s="167">
        <f t="shared" si="74"/>
        <v>0.30609276056820128</v>
      </c>
      <c r="K226" s="458"/>
      <c r="L226" s="163"/>
      <c r="M226" s="163"/>
    </row>
    <row r="227" spans="1:13">
      <c r="A227" s="158"/>
      <c r="B227" s="194" t="s">
        <v>315</v>
      </c>
      <c r="C227" s="504">
        <f>'[52]Sch D'!F9</f>
        <v>155</v>
      </c>
      <c r="D227" s="480"/>
      <c r="E227" s="480"/>
      <c r="F227" s="224">
        <f t="shared" si="75"/>
        <v>155</v>
      </c>
      <c r="G227" s="627"/>
      <c r="H227" s="379"/>
      <c r="I227" s="224">
        <f t="shared" si="76"/>
        <v>155</v>
      </c>
      <c r="J227" s="167">
        <f t="shared" si="74"/>
        <v>1.326373438302242E-2</v>
      </c>
      <c r="K227" s="458"/>
      <c r="L227" s="163"/>
      <c r="M227" s="163"/>
    </row>
    <row r="228" spans="1:13">
      <c r="A228" s="158"/>
      <c r="B228" s="165" t="s">
        <v>65</v>
      </c>
      <c r="C228" s="504">
        <f>'[52]Sch D'!G9</f>
        <v>0</v>
      </c>
      <c r="D228" s="480"/>
      <c r="E228" s="480"/>
      <c r="F228" s="224">
        <f t="shared" si="75"/>
        <v>0</v>
      </c>
      <c r="G228" s="627"/>
      <c r="H228" s="379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'[52]Sch D'!H9</f>
        <v>2005</v>
      </c>
      <c r="D229" s="480"/>
      <c r="E229" s="480"/>
      <c r="F229" s="224">
        <f t="shared" si="75"/>
        <v>2005</v>
      </c>
      <c r="G229" s="627"/>
      <c r="H229" s="379"/>
      <c r="I229" s="224">
        <f t="shared" si="76"/>
        <v>2005</v>
      </c>
      <c r="J229" s="167">
        <f t="shared" si="74"/>
        <v>0.17157282218038677</v>
      </c>
      <c r="K229" s="458"/>
      <c r="L229" s="163"/>
      <c r="M229" s="163"/>
    </row>
    <row r="230" spans="1:13">
      <c r="A230" s="158"/>
      <c r="B230" s="165" t="s">
        <v>219</v>
      </c>
      <c r="C230" s="504">
        <f>'[52]Sch D'!I9</f>
        <v>386</v>
      </c>
      <c r="D230" s="480"/>
      <c r="E230" s="480"/>
      <c r="F230" s="224">
        <f t="shared" si="75"/>
        <v>386</v>
      </c>
      <c r="G230" s="627"/>
      <c r="H230" s="379"/>
      <c r="I230" s="224">
        <f t="shared" si="76"/>
        <v>386</v>
      </c>
      <c r="J230" s="167">
        <f t="shared" si="74"/>
        <v>3.3030977237720346E-2</v>
      </c>
      <c r="K230" s="458"/>
      <c r="L230" s="163"/>
      <c r="M230" s="163"/>
    </row>
    <row r="231" spans="1:13">
      <c r="A231" s="158"/>
      <c r="B231" s="165" t="s">
        <v>218</v>
      </c>
      <c r="C231" s="504">
        <f>'[52]Sch D'!J9</f>
        <v>16</v>
      </c>
      <c r="D231" s="480"/>
      <c r="E231" s="480"/>
      <c r="F231" s="224">
        <f t="shared" si="75"/>
        <v>16</v>
      </c>
      <c r="G231" s="627"/>
      <c r="H231" s="379"/>
      <c r="I231" s="224">
        <f t="shared" si="76"/>
        <v>16</v>
      </c>
      <c r="J231" s="167">
        <f>IF($I$233=0,0,I231/$I$233)</f>
        <v>1.3691596782474755E-3</v>
      </c>
      <c r="K231" s="458"/>
      <c r="L231" s="163"/>
      <c r="M231" s="163"/>
    </row>
    <row r="232" spans="1:13">
      <c r="A232" s="158"/>
      <c r="B232" s="165" t="s">
        <v>170</v>
      </c>
      <c r="C232" s="504">
        <f>'[52]Sch D'!K9</f>
        <v>0</v>
      </c>
      <c r="D232" s="480"/>
      <c r="E232" s="480"/>
      <c r="F232" s="224">
        <f t="shared" si="75"/>
        <v>0</v>
      </c>
      <c r="G232" s="627"/>
      <c r="H232" s="379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11686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11686</v>
      </c>
      <c r="G233" s="226">
        <f t="shared" si="78"/>
        <v>0</v>
      </c>
      <c r="H233" s="226">
        <f t="shared" si="78"/>
        <v>0</v>
      </c>
      <c r="I233" s="226">
        <f t="shared" si="78"/>
        <v>11686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383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78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'[52]Sch D'!N22</f>
        <v>58</v>
      </c>
      <c r="D236" s="480"/>
      <c r="E236" s="480"/>
      <c r="F236" s="224">
        <f>C236+E236</f>
        <v>58</v>
      </c>
      <c r="G236" s="627"/>
      <c r="H236" s="384"/>
      <c r="I236" s="224">
        <f>F236+G236+H236</f>
        <v>58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'[52]Sch D'!N24</f>
        <v>58</v>
      </c>
      <c r="D237" s="480"/>
      <c r="E237" s="480"/>
      <c r="F237" s="224">
        <f>C237+E237</f>
        <v>58</v>
      </c>
      <c r="G237" s="627"/>
      <c r="H237" s="384"/>
      <c r="I237" s="224">
        <f>F237+G237+H237</f>
        <v>58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381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381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'[52]Sch D'!N28</f>
        <v>21170</v>
      </c>
      <c r="D240" s="427"/>
      <c r="E240" s="427"/>
      <c r="F240" s="223">
        <f>F236*F238</f>
        <v>21170</v>
      </c>
      <c r="G240"/>
      <c r="H240" s="648"/>
      <c r="I240" s="223">
        <f>I236*I238</f>
        <v>21170</v>
      </c>
      <c r="J240" s="363"/>
      <c r="K240" s="460"/>
      <c r="L240" s="163"/>
      <c r="M240" s="163"/>
    </row>
    <row r="241" spans="1:13" ht="26.5">
      <c r="A241" s="158"/>
      <c r="B241" s="231" t="s">
        <v>317</v>
      </c>
      <c r="C241" s="505">
        <f>'[52]Sch D'!N30</f>
        <v>0.55200755786490319</v>
      </c>
      <c r="D241" s="228"/>
      <c r="E241" s="228"/>
      <c r="F241" s="232">
        <f>F233/F240</f>
        <v>0.55200755786490319</v>
      </c>
      <c r="G241"/>
      <c r="H241" s="649"/>
      <c r="I241" s="232">
        <f>I233/I240</f>
        <v>0.55200755786490319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'[52]Sch D'!N32</f>
        <v>0.26202172886159658</v>
      </c>
      <c r="D242" s="228"/>
      <c r="E242" s="228"/>
      <c r="F242" s="232">
        <f>(F224+F225)/F240</f>
        <v>0.26202172886159658</v>
      </c>
      <c r="G242"/>
      <c r="H242" s="649"/>
      <c r="I242" s="232">
        <f>(I224+I225)/I240</f>
        <v>0.26202172886159658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'[52]Sch D'!N34</f>
        <v>0.47467054595242164</v>
      </c>
      <c r="D243" s="228"/>
      <c r="E243" s="228"/>
      <c r="F243" s="232">
        <f>(F242/F241)</f>
        <v>0.47467054595242164</v>
      </c>
      <c r="G243"/>
      <c r="H243" s="649"/>
      <c r="I243" s="232">
        <f>(I242/I241)</f>
        <v>0.47467054595242164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367" t="s">
        <v>321</v>
      </c>
      <c r="I246" s="480">
        <f>'[52]Sch B'!C90</f>
        <v>151.62916006339145</v>
      </c>
      <c r="K246" s="460"/>
    </row>
    <row r="247" spans="1:13">
      <c r="H247" s="367" t="s">
        <v>322</v>
      </c>
      <c r="I247" s="480">
        <f>'[52]Sch B'!E90</f>
        <v>149.90359504132232</v>
      </c>
      <c r="K247" s="460"/>
    </row>
    <row r="248" spans="1:13">
      <c r="H248" s="367" t="s">
        <v>323</v>
      </c>
      <c r="I248" s="480">
        <f>'[52]Sch B'!G90</f>
        <v>153.58474747474747</v>
      </c>
      <c r="K248" s="460"/>
    </row>
    <row r="249" spans="1:13">
      <c r="H249" s="367" t="s">
        <v>324</v>
      </c>
      <c r="I249" s="480">
        <f>'[52]Sch B'!I90</f>
        <v>155.79207419898819</v>
      </c>
      <c r="K249" s="460"/>
    </row>
    <row r="250" spans="1:13">
      <c r="H250" s="367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8"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432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'[6]Sch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'[6]Sch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'[6]Sch B'!E10</f>
        <v>4012602.16</v>
      </c>
      <c r="D12" s="480">
        <f>'[6]Sch B'!G10</f>
        <v>0</v>
      </c>
      <c r="E12" s="480"/>
      <c r="F12" s="166">
        <f>C12+D12+E12</f>
        <v>4012602.16</v>
      </c>
      <c r="G12" s="626"/>
      <c r="H12" s="607"/>
      <c r="I12" s="166">
        <f>F12+G12+H12</f>
        <v>4012602.16</v>
      </c>
      <c r="J12" s="167">
        <f>IF($I$26=0,0,I12/$I$26)</f>
        <v>0.40853830132582147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'[6]Sch B'!E12</f>
        <v>326631.92</v>
      </c>
      <c r="D13" s="480">
        <f>'[6]Sch B'!G12</f>
        <v>0</v>
      </c>
      <c r="E13" s="480"/>
      <c r="F13" s="166">
        <f t="shared" ref="F13:F25" si="0">C13+D13+E13</f>
        <v>326631.92</v>
      </c>
      <c r="G13" s="626">
        <v>1432841</v>
      </c>
      <c r="H13" s="607"/>
      <c r="I13" s="166">
        <f t="shared" ref="I13:I25" si="1">F13+G13+H13</f>
        <v>1759472.92</v>
      </c>
      <c r="J13" s="167">
        <f>IF($I$26=0,0,I13/$I$26)</f>
        <v>0.17913863605296543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'[6]Sch B'!E13</f>
        <v>0</v>
      </c>
      <c r="D14" s="480">
        <f>'[6]Sch B'!G13</f>
        <v>0</v>
      </c>
      <c r="E14" s="480"/>
      <c r="F14" s="166">
        <f t="shared" si="0"/>
        <v>0</v>
      </c>
      <c r="G14" s="626"/>
      <c r="H14" s="607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'[6]Sch B'!E14</f>
        <v>118237.43</v>
      </c>
      <c r="D15" s="480">
        <f>'[6]Sch B'!G14</f>
        <v>0</v>
      </c>
      <c r="E15" s="480"/>
      <c r="F15" s="166">
        <f t="shared" si="0"/>
        <v>118237.43</v>
      </c>
      <c r="G15" s="626"/>
      <c r="H15" s="607"/>
      <c r="I15" s="166">
        <f t="shared" si="1"/>
        <v>118237.43</v>
      </c>
      <c r="J15" s="167">
        <f>IF($I$26=0,0,I15/$I$26)</f>
        <v>1.2038202861688814E-2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'[6]Sch B'!E15</f>
        <v>4457471.51</v>
      </c>
      <c r="D16" s="480">
        <f>'[6]Sch B'!G15</f>
        <v>0</v>
      </c>
      <c r="E16" s="480"/>
      <c r="F16" s="166">
        <f t="shared" si="0"/>
        <v>4457471.51</v>
      </c>
      <c r="G16" s="626"/>
      <c r="H16" s="607"/>
      <c r="I16" s="166">
        <f>SUM(I12:I15)</f>
        <v>5890312.5099999998</v>
      </c>
      <c r="J16" s="167">
        <f t="shared" ref="J16:J26" si="2">IF($I$26=0,0,I16/$I$26)</f>
        <v>0.59971514024047567</v>
      </c>
      <c r="K16" s="458"/>
      <c r="L16" s="333" t="s">
        <v>325</v>
      </c>
      <c r="M16" s="334">
        <f>I26</f>
        <v>9821850.5999999996</v>
      </c>
      <c r="O16" s="324">
        <f>IFERROR(I16/I224,0)</f>
        <v>400.67427453914701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'[6]Sch B'!E20</f>
        <v>0</v>
      </c>
      <c r="D17" s="480">
        <f>'[6]Sch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9155789.7681202292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'[6]Sch B'!E26</f>
        <v>2377030.23</v>
      </c>
      <c r="D18" s="480">
        <f>'[6]Sch B'!G26</f>
        <v>0</v>
      </c>
      <c r="E18" s="480"/>
      <c r="F18" s="166">
        <f t="shared" si="0"/>
        <v>2377030.23</v>
      </c>
      <c r="G18" s="626"/>
      <c r="H18" s="607"/>
      <c r="I18" s="166">
        <f t="shared" si="1"/>
        <v>2377030.23</v>
      </c>
      <c r="J18" s="167">
        <f t="shared" si="2"/>
        <v>0.24201449673852707</v>
      </c>
      <c r="K18" s="458"/>
      <c r="L18" s="335" t="s">
        <v>327</v>
      </c>
      <c r="M18" s="336">
        <f>I233</f>
        <v>27639</v>
      </c>
      <c r="O18" s="324">
        <f t="shared" si="3"/>
        <v>493.67190654205609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'[6]Sch B'!E32</f>
        <v>0</v>
      </c>
      <c r="D19" s="480">
        <f>'[6]Sch B'!G32</f>
        <v>0</v>
      </c>
      <c r="E19" s="480"/>
      <c r="F19" s="166">
        <f t="shared" si="0"/>
        <v>0</v>
      </c>
      <c r="G19" s="626"/>
      <c r="H19" s="607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180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'[6]Sch B'!E37</f>
        <v>0</v>
      </c>
      <c r="D20" s="480">
        <f>'[6]Sch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65700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'[6]Sch B'!E42</f>
        <v>1554507.8599999999</v>
      </c>
      <c r="D21" s="480">
        <f>'[6]Sch B'!G42</f>
        <v>0</v>
      </c>
      <c r="E21" s="480"/>
      <c r="F21" s="166">
        <f t="shared" si="0"/>
        <v>1554507.8599999999</v>
      </c>
      <c r="G21" s="626"/>
      <c r="H21" s="607"/>
      <c r="I21" s="166">
        <f t="shared" si="1"/>
        <v>1554507.8599999999</v>
      </c>
      <c r="J21" s="167">
        <f t="shared" si="2"/>
        <v>0.15827036302099728</v>
      </c>
      <c r="K21" s="458"/>
      <c r="L21" s="337"/>
      <c r="M21" s="336"/>
      <c r="O21" s="324">
        <f t="shared" si="3"/>
        <v>289.31841801600592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'[6]Sch B'!E47</f>
        <v>0</v>
      </c>
      <c r="D22" s="480">
        <f>'[6]Sch B'!G47</f>
        <v>0</v>
      </c>
      <c r="E22" s="480"/>
      <c r="F22" s="166">
        <f t="shared" si="0"/>
        <v>0</v>
      </c>
      <c r="G22" s="626"/>
      <c r="H22" s="607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201475.7360714071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'[6]Sch B'!E52</f>
        <v>0</v>
      </c>
      <c r="D23" s="480">
        <f>'[6]Sch B'!G52</f>
        <v>0</v>
      </c>
      <c r="E23" s="480"/>
      <c r="F23" s="166">
        <f t="shared" si="0"/>
        <v>0</v>
      </c>
      <c r="G23" s="626"/>
      <c r="H23" s="607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212152.78605268805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'[6]Sch B'!E57</f>
        <v>0</v>
      </c>
      <c r="D24" s="480">
        <f>'[6]Sch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'[6]Sch B'!E72</f>
        <v>20234.12</v>
      </c>
      <c r="D25" s="480">
        <f>'[6]Sch B'!G72</f>
        <v>-20234.12</v>
      </c>
      <c r="E25" s="480"/>
      <c r="F25" s="166">
        <f t="shared" si="0"/>
        <v>0</v>
      </c>
      <c r="G25" s="626"/>
      <c r="H25" s="607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8409243.7199999988</v>
      </c>
      <c r="D26" s="480">
        <f t="shared" ref="D26:F26" si="4">SUM(D16:D25)</f>
        <v>-20234.12</v>
      </c>
      <c r="E26" s="480">
        <f t="shared" si="4"/>
        <v>0</v>
      </c>
      <c r="F26" s="166">
        <f t="shared" si="4"/>
        <v>8389009.5999999996</v>
      </c>
      <c r="G26" s="166">
        <f>SUM(G12:G25)</f>
        <v>1432841</v>
      </c>
      <c r="H26" s="166">
        <f>SUM(H12:H25)</f>
        <v>0</v>
      </c>
      <c r="I26" s="166">
        <f>SUM(I16:I25)</f>
        <v>9821850.5999999996</v>
      </c>
      <c r="J26" s="167">
        <f t="shared" si="2"/>
        <v>1</v>
      </c>
      <c r="K26" s="458"/>
      <c r="L26" s="163"/>
      <c r="M26" s="163"/>
      <c r="O26" s="324">
        <f>IFERROR(I26/I233,0)</f>
        <v>355.36201020297403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'[6]Sch C'!D10</f>
        <v>105450.53</v>
      </c>
      <c r="D30" s="480">
        <f>'[6]Sch C'!F10</f>
        <v>-171.85582975388218</v>
      </c>
      <c r="E30" s="480">
        <f>+'[6]Sch C'!H10</f>
        <v>25272.269152673111</v>
      </c>
      <c r="F30" s="166">
        <f t="shared" ref="F30:F65" si="5">C30+D30+E30</f>
        <v>130550.94332291922</v>
      </c>
      <c r="G30" s="626"/>
      <c r="H30" s="607"/>
      <c r="I30" s="166">
        <f t="shared" ref="I30:I65" si="6">F30+G30+H30</f>
        <v>130550.94332291922</v>
      </c>
      <c r="J30" s="167">
        <f>IF($I$213=0,0,I30/$I$213)</f>
        <v>1.425884021250551E-2</v>
      </c>
      <c r="K30" s="458"/>
      <c r="L30" s="176">
        <v>3142.9677609786299</v>
      </c>
      <c r="M30" s="176">
        <v>3206.8260211905299</v>
      </c>
      <c r="O30" s="324">
        <f>I30/I$233</f>
        <v>4.7234322270313402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'[6]Sch C'!D11</f>
        <v>0</v>
      </c>
      <c r="D31" s="480">
        <f>'[6]Sch C'!F11</f>
        <v>0</v>
      </c>
      <c r="E31" s="480">
        <f>+'[6]Sch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'[6]Sch C'!D12</f>
        <v>97294.390000000014</v>
      </c>
      <c r="D32" s="480">
        <f>'[6]Sch C'!F12</f>
        <v>5656.2444384671817</v>
      </c>
      <c r="E32" s="480">
        <f>+'[6]Sch C'!H12</f>
        <v>195104.31974413357</v>
      </c>
      <c r="F32" s="166">
        <f t="shared" si="5"/>
        <v>298054.95418260078</v>
      </c>
      <c r="G32" s="626"/>
      <c r="H32" s="607"/>
      <c r="I32" s="166">
        <f t="shared" si="6"/>
        <v>298054.95418260078</v>
      </c>
      <c r="J32" s="167">
        <f t="shared" si="7"/>
        <v>3.2553713194726872E-2</v>
      </c>
      <c r="K32" s="458"/>
      <c r="L32" s="176">
        <v>17488.40468863475</v>
      </c>
      <c r="M32" s="176">
        <v>18666.72980564566</v>
      </c>
      <c r="O32" s="324">
        <f t="shared" si="8"/>
        <v>10.783854487593645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'[6]Sch C'!D13</f>
        <v>642667.93999999994</v>
      </c>
      <c r="D33" s="480">
        <f>'[6]Sch C'!F13</f>
        <v>-605284.8121290463</v>
      </c>
      <c r="E33" s="480">
        <f>+'[6]Sch C'!H13</f>
        <v>41140.380625723163</v>
      </c>
      <c r="F33" s="166">
        <f t="shared" si="5"/>
        <v>78523.508496676804</v>
      </c>
      <c r="G33" s="626"/>
      <c r="H33" s="607"/>
      <c r="I33" s="166">
        <f t="shared" si="6"/>
        <v>78523.508496676804</v>
      </c>
      <c r="J33" s="167">
        <f t="shared" si="7"/>
        <v>8.5763774054849699E-3</v>
      </c>
      <c r="K33" s="458"/>
      <c r="L33" s="163"/>
      <c r="M33" s="163"/>
      <c r="O33" s="324">
        <f t="shared" si="8"/>
        <v>2.8410401424319551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'[6]Sch C'!D14</f>
        <v>0</v>
      </c>
      <c r="D34" s="480">
        <f>'[6]Sch C'!F14</f>
        <v>0</v>
      </c>
      <c r="E34" s="480">
        <f>+'[6]Sch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'[6]Sch C'!D15</f>
        <v>751641</v>
      </c>
      <c r="D35" s="480">
        <f>'[6]Sch C'!F15</f>
        <v>0</v>
      </c>
      <c r="E35" s="480">
        <f>+'[6]Sch C'!H15</f>
        <v>-751641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'[6]Sch C'!D16</f>
        <v>0</v>
      </c>
      <c r="D36" s="480">
        <f>'[6]Sch C'!F16</f>
        <v>0</v>
      </c>
      <c r="E36" s="480">
        <f>+'[6]Sch C'!H16</f>
        <v>0</v>
      </c>
      <c r="F36" s="166">
        <f t="shared" si="5"/>
        <v>0</v>
      </c>
      <c r="G36" s="626"/>
      <c r="H36" s="607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'[6]Sch C'!D17</f>
        <v>21857.09</v>
      </c>
      <c r="D37" s="480">
        <f>'[6]Sch C'!F17</f>
        <v>-21857.09</v>
      </c>
      <c r="E37" s="480">
        <f>+'[6]Sch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'[6]Sch C'!D18</f>
        <v>41915.75</v>
      </c>
      <c r="D38" s="480">
        <f>'[6]Sch C'!F18</f>
        <v>0</v>
      </c>
      <c r="E38" s="480">
        <f>+'[6]Sch C'!H18</f>
        <v>0</v>
      </c>
      <c r="F38" s="166">
        <f t="shared" si="5"/>
        <v>41915.75</v>
      </c>
      <c r="G38" s="626"/>
      <c r="H38" s="607"/>
      <c r="I38" s="166">
        <f t="shared" si="6"/>
        <v>41915.75</v>
      </c>
      <c r="J38" s="167">
        <f t="shared" si="7"/>
        <v>4.5780594641816139E-3</v>
      </c>
      <c r="K38" s="458"/>
      <c r="L38" s="163"/>
      <c r="M38" s="163"/>
      <c r="O38" s="324">
        <f t="shared" si="8"/>
        <v>1.5165436520858209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'[6]Sch C'!D19</f>
        <v>26228.829999999998</v>
      </c>
      <c r="D39" s="480">
        <f>'[6]Sch C'!F19</f>
        <v>0</v>
      </c>
      <c r="E39" s="480">
        <f>+'[6]Sch C'!H19</f>
        <v>979.1830659425865</v>
      </c>
      <c r="F39" s="166">
        <f t="shared" si="5"/>
        <v>27208.013065942585</v>
      </c>
      <c r="G39" s="626"/>
      <c r="H39" s="607"/>
      <c r="I39" s="166">
        <f t="shared" si="6"/>
        <v>27208.013065942585</v>
      </c>
      <c r="J39" s="167">
        <f t="shared" si="7"/>
        <v>2.9716729801593784E-3</v>
      </c>
      <c r="K39" s="458"/>
      <c r="L39" s="163"/>
      <c r="M39" s="163"/>
      <c r="O39" s="324">
        <f t="shared" si="8"/>
        <v>0.98440656557554851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'[6]Sch C'!D20</f>
        <v>105538.78</v>
      </c>
      <c r="D40" s="480">
        <f>'[6]Sch C'!F20</f>
        <v>0</v>
      </c>
      <c r="E40" s="480">
        <f>+'[6]Sch C'!H20</f>
        <v>1.1603848536364914</v>
      </c>
      <c r="F40" s="166">
        <f t="shared" si="5"/>
        <v>105539.94038485363</v>
      </c>
      <c r="G40" s="626"/>
      <c r="H40" s="607"/>
      <c r="I40" s="166">
        <f t="shared" si="6"/>
        <v>105539.94038485363</v>
      </c>
      <c r="J40" s="167">
        <f t="shared" si="7"/>
        <v>1.152712579228673E-2</v>
      </c>
      <c r="K40" s="458"/>
      <c r="L40" s="163"/>
      <c r="M40" s="163"/>
      <c r="O40" s="324">
        <f t="shared" si="8"/>
        <v>3.8185151555719683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'[6]Sch C'!D21</f>
        <v>80553.739999999991</v>
      </c>
      <c r="D41" s="480">
        <f>'[6]Sch C'!F21</f>
        <v>0</v>
      </c>
      <c r="E41" s="480">
        <f>+'[6]Sch C'!H21</f>
        <v>0</v>
      </c>
      <c r="F41" s="166">
        <f t="shared" si="5"/>
        <v>80553.739999999991</v>
      </c>
      <c r="G41" s="626"/>
      <c r="H41" s="607"/>
      <c r="I41" s="166">
        <f t="shared" si="6"/>
        <v>80553.739999999991</v>
      </c>
      <c r="J41" s="167">
        <f t="shared" si="7"/>
        <v>8.7981203195034094E-3</v>
      </c>
      <c r="K41" s="458"/>
      <c r="L41" s="163"/>
      <c r="M41" s="163"/>
      <c r="O41" s="324">
        <f t="shared" si="8"/>
        <v>2.9144954593147361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'[6]Sch C'!D22</f>
        <v>0</v>
      </c>
      <c r="D42" s="480">
        <f>'[6]Sch C'!F22</f>
        <v>0</v>
      </c>
      <c r="E42" s="480">
        <f>+'[6]Sch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'[6]Sch C'!D23</f>
        <v>25685.81</v>
      </c>
      <c r="D43" s="480">
        <f>'[6]Sch C'!F23</f>
        <v>0</v>
      </c>
      <c r="E43" s="480">
        <f>+'[6]Sch C'!H23</f>
        <v>1290.2818085026113</v>
      </c>
      <c r="F43" s="166">
        <f t="shared" si="5"/>
        <v>26976.091808502613</v>
      </c>
      <c r="G43" s="626"/>
      <c r="H43" s="607"/>
      <c r="I43" s="166">
        <f t="shared" si="6"/>
        <v>26976.091808502613</v>
      </c>
      <c r="J43" s="167">
        <f t="shared" si="7"/>
        <v>2.9463424228493465E-3</v>
      </c>
      <c r="K43" s="458"/>
      <c r="L43" s="163"/>
      <c r="M43" s="163"/>
      <c r="O43" s="324">
        <f t="shared" si="8"/>
        <v>0.97601547843636216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'[6]Sch C'!D24</f>
        <v>17550.419999999998</v>
      </c>
      <c r="D44" s="480">
        <f>'[6]Sch C'!F24</f>
        <v>0</v>
      </c>
      <c r="E44" s="480">
        <f>+'[6]Sch C'!H24</f>
        <v>0</v>
      </c>
      <c r="F44" s="166">
        <f t="shared" si="5"/>
        <v>17550.419999999998</v>
      </c>
      <c r="G44" s="626"/>
      <c r="H44" s="607"/>
      <c r="I44" s="166">
        <f t="shared" si="6"/>
        <v>17550.419999999998</v>
      </c>
      <c r="J44" s="167">
        <f t="shared" si="7"/>
        <v>1.9168657695821326E-3</v>
      </c>
      <c r="K44" s="458"/>
      <c r="L44" s="163"/>
      <c r="M44" s="163"/>
      <c r="O44" s="324">
        <f t="shared" si="8"/>
        <v>0.63498751763812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'[6]Sch C'!D25</f>
        <v>0</v>
      </c>
      <c r="D45" s="480">
        <f>'[6]Sch C'!F25</f>
        <v>0</v>
      </c>
      <c r="E45" s="480">
        <f>+'[6]Sch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'[6]Sch C'!D26</f>
        <v>476261.6</v>
      </c>
      <c r="D46" s="480">
        <f>'[6]Sch C'!F26</f>
        <v>0</v>
      </c>
      <c r="E46" s="480">
        <f>+'[6]Sch C'!H26</f>
        <v>0</v>
      </c>
      <c r="F46" s="166">
        <f t="shared" si="5"/>
        <v>476261.6</v>
      </c>
      <c r="G46" s="626"/>
      <c r="H46" s="607"/>
      <c r="I46" s="166">
        <f t="shared" si="6"/>
        <v>476261.6</v>
      </c>
      <c r="J46" s="167">
        <f t="shared" si="7"/>
        <v>5.2017533392728937E-2</v>
      </c>
      <c r="K46" s="458"/>
      <c r="L46" s="163"/>
      <c r="M46" s="163"/>
      <c r="O46" s="324">
        <f t="shared" si="8"/>
        <v>17.23150620500018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'[6]Sch C'!D27</f>
        <v>31136</v>
      </c>
      <c r="D47" s="480">
        <f>'[6]Sch C'!F27</f>
        <v>0</v>
      </c>
      <c r="E47" s="480">
        <f>+'[6]Sch C'!H27</f>
        <v>6324.678870721048</v>
      </c>
      <c r="F47" s="166">
        <f t="shared" si="5"/>
        <v>37460.678870721051</v>
      </c>
      <c r="G47" s="626"/>
      <c r="H47" s="607"/>
      <c r="I47" s="166">
        <f t="shared" si="6"/>
        <v>37460.678870721051</v>
      </c>
      <c r="J47" s="167">
        <f t="shared" si="7"/>
        <v>4.0914743369442922E-3</v>
      </c>
      <c r="K47" s="458"/>
      <c r="L47" s="163"/>
      <c r="M47" s="163"/>
      <c r="O47" s="324">
        <f t="shared" si="8"/>
        <v>1.3553557969073067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'[6]Sch C'!D28</f>
        <v>0</v>
      </c>
      <c r="D48" s="480">
        <f>'[6]Sch C'!F28</f>
        <v>0</v>
      </c>
      <c r="E48" s="480">
        <f>+'[6]Sch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'[6]Sch C'!D29</f>
        <v>107857</v>
      </c>
      <c r="D49" s="480">
        <f>'[6]Sch C'!F29</f>
        <v>-107857</v>
      </c>
      <c r="E49" s="480">
        <f>+'[6]Sch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'[6]Sch C'!D30</f>
        <v>5450</v>
      </c>
      <c r="D50" s="480">
        <f>'[6]Sch C'!F30</f>
        <v>-5450</v>
      </c>
      <c r="E50" s="480">
        <f>+'[6]Sch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'[6]Sch C'!D31</f>
        <v>84430</v>
      </c>
      <c r="D51" s="480">
        <f>'[6]Sch C'!F31</f>
        <v>0</v>
      </c>
      <c r="E51" s="480">
        <f>+'[6]Sch C'!H31</f>
        <v>0</v>
      </c>
      <c r="F51" s="166">
        <f t="shared" si="5"/>
        <v>84430</v>
      </c>
      <c r="G51" s="626"/>
      <c r="H51" s="607"/>
      <c r="I51" s="166">
        <f t="shared" si="6"/>
        <v>84430</v>
      </c>
      <c r="J51" s="167">
        <f t="shared" si="7"/>
        <v>9.2214874017726902E-3</v>
      </c>
      <c r="K51" s="458"/>
      <c r="L51" s="163"/>
      <c r="M51" s="163"/>
      <c r="O51" s="324">
        <f t="shared" si="8"/>
        <v>3.0547414884764281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'[6]Sch C'!D32</f>
        <v>84541.13</v>
      </c>
      <c r="D52" s="480">
        <f>'[6]Sch C'!F32</f>
        <v>0</v>
      </c>
      <c r="E52" s="480">
        <f>+'[6]Sch C'!H32</f>
        <v>1443.6103134362734</v>
      </c>
      <c r="F52" s="166">
        <f t="shared" si="5"/>
        <v>85984.740313436283</v>
      </c>
      <c r="G52" s="626"/>
      <c r="H52" s="607"/>
      <c r="I52" s="166">
        <f t="shared" si="6"/>
        <v>85984.740313436283</v>
      </c>
      <c r="J52" s="167">
        <f t="shared" si="7"/>
        <v>9.3912969269815127E-3</v>
      </c>
      <c r="K52" s="458"/>
      <c r="L52" s="163"/>
      <c r="M52" s="163"/>
      <c r="O52" s="324">
        <f t="shared" si="8"/>
        <v>3.1109931731768978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'[6]Sch C'!D33</f>
        <v>0</v>
      </c>
      <c r="D53" s="480">
        <f>'[6]Sch C'!F33</f>
        <v>0</v>
      </c>
      <c r="E53" s="480">
        <f>+'[6]Sch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'[6]Sch C'!D34</f>
        <v>0</v>
      </c>
      <c r="D54" s="480">
        <f>'[6]Sch C'!F34</f>
        <v>0</v>
      </c>
      <c r="E54" s="480">
        <f>+'[6]Sch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'[6]Sch C'!D35</f>
        <v>3350.01</v>
      </c>
      <c r="D55" s="480">
        <f>'[6]Sch C'!F35</f>
        <v>-3350.01</v>
      </c>
      <c r="E55" s="480">
        <f>+'[6]Sch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'[6]Sch C'!D36</f>
        <v>36159.619999999995</v>
      </c>
      <c r="D56" s="480">
        <f>'[6]Sch C'!F36</f>
        <v>-58.930396069939846</v>
      </c>
      <c r="E56" s="480">
        <f>+'[6]Sch C'!H36</f>
        <v>0</v>
      </c>
      <c r="F56" s="166">
        <f t="shared" si="5"/>
        <v>36100.689603930055</v>
      </c>
      <c r="G56" s="626"/>
      <c r="H56" s="607"/>
      <c r="I56" s="166">
        <f t="shared" si="6"/>
        <v>36100.689603930055</v>
      </c>
      <c r="J56" s="167">
        <f t="shared" si="7"/>
        <v>3.942935619779076E-3</v>
      </c>
      <c r="K56" s="458"/>
      <c r="L56" s="176">
        <v>2120.2344505483748</v>
      </c>
      <c r="M56" s="176">
        <v>2174.4730062600775</v>
      </c>
      <c r="O56" s="324">
        <f t="shared" si="8"/>
        <v>1.3061503529045932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'[6]Sch C'!D37</f>
        <v>0</v>
      </c>
      <c r="D57" s="480">
        <f>'[6]Sch C'!F37</f>
        <v>6481.1186799389352</v>
      </c>
      <c r="E57" s="480">
        <f>+'[6]Sch C'!H37</f>
        <v>0</v>
      </c>
      <c r="F57" s="166">
        <f t="shared" si="5"/>
        <v>6481.1186799389352</v>
      </c>
      <c r="G57" s="626"/>
      <c r="H57" s="607"/>
      <c r="I57" s="166">
        <f t="shared" si="6"/>
        <v>6481.1186799389352</v>
      </c>
      <c r="J57" s="167">
        <f t="shared" si="7"/>
        <v>7.0787106782483169E-4</v>
      </c>
      <c r="K57" s="458"/>
      <c r="L57" s="163"/>
      <c r="M57" s="163"/>
      <c r="O57" s="324">
        <f t="shared" si="8"/>
        <v>0.23449179347801785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'[6]Sch C'!D38</f>
        <v>0</v>
      </c>
      <c r="D58" s="480">
        <f>'[6]Sch C'!F38</f>
        <v>0</v>
      </c>
      <c r="E58" s="480">
        <f>+'[6]Sch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'[6]Sch C'!D39</f>
        <v>0</v>
      </c>
      <c r="D59" s="480">
        <f>'[6]Sch C'!F39</f>
        <v>0</v>
      </c>
      <c r="E59" s="480">
        <f>+'[6]Sch C'!H39</f>
        <v>0</v>
      </c>
      <c r="F59" s="166">
        <f t="shared" si="5"/>
        <v>0</v>
      </c>
      <c r="G59" s="626"/>
      <c r="H59" s="607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'[6]Sch C'!D40</f>
        <v>0</v>
      </c>
      <c r="D60" s="480">
        <f>'[6]Sch C'!F40</f>
        <v>0</v>
      </c>
      <c r="E60" s="480">
        <f>+'[6]Sch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'[6]Sch C'!D41</f>
        <v>48462.439999999995</v>
      </c>
      <c r="D61" s="480">
        <f>'[6]Sch C'!F41</f>
        <v>0</v>
      </c>
      <c r="E61" s="480">
        <f>+'[6]Sch C'!H41</f>
        <v>22911.942747241523</v>
      </c>
      <c r="F61" s="166">
        <f t="shared" si="5"/>
        <v>71374.382747241514</v>
      </c>
      <c r="G61" s="626"/>
      <c r="H61" s="607"/>
      <c r="I61" s="166">
        <f t="shared" si="6"/>
        <v>71374.382747241514</v>
      </c>
      <c r="J61" s="167">
        <f t="shared" si="7"/>
        <v>7.7955462668836874E-3</v>
      </c>
      <c r="K61" s="458"/>
      <c r="L61" s="163"/>
      <c r="M61" s="163"/>
      <c r="O61" s="324">
        <f t="shared" si="8"/>
        <v>2.5823793461138793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'[6]Sch C'!D42</f>
        <v>14675.89</v>
      </c>
      <c r="D62" s="480">
        <f>'[6]Sch C'!F42</f>
        <v>0</v>
      </c>
      <c r="E62" s="480">
        <f>+'[6]Sch C'!H42</f>
        <v>0</v>
      </c>
      <c r="F62" s="166">
        <f t="shared" si="5"/>
        <v>14675.89</v>
      </c>
      <c r="G62" s="626"/>
      <c r="H62" s="607"/>
      <c r="I62" s="166">
        <f t="shared" si="6"/>
        <v>14675.89</v>
      </c>
      <c r="J62" s="167">
        <f t="shared" si="7"/>
        <v>1.6029081457396874E-3</v>
      </c>
      <c r="K62" s="458"/>
      <c r="L62" s="163"/>
      <c r="M62" s="163"/>
      <c r="O62" s="324">
        <f t="shared" si="8"/>
        <v>0.5309848402619487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'[6]Sch C'!D43</f>
        <v>19753.5</v>
      </c>
      <c r="D63" s="480">
        <f>'[6]Sch C'!F43</f>
        <v>-19753.5</v>
      </c>
      <c r="E63" s="480">
        <f>+'[6]Sch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'[6]Sch C'!D44</f>
        <v>0</v>
      </c>
      <c r="D64" s="480">
        <f>'[6]Sch C'!F44</f>
        <v>0</v>
      </c>
      <c r="E64" s="480">
        <f>+'[6]Sch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'[6]Sch C'!D45</f>
        <v>63281.780000000006</v>
      </c>
      <c r="D65" s="480">
        <f>'[6]Sch C'!F45</f>
        <v>-54634.94</v>
      </c>
      <c r="E65" s="480">
        <f>+'[6]Sch C'!H45</f>
        <v>0</v>
      </c>
      <c r="F65" s="166">
        <f t="shared" si="5"/>
        <v>8646.8400000000038</v>
      </c>
      <c r="G65" s="626"/>
      <c r="H65" s="607"/>
      <c r="I65" s="166">
        <f t="shared" si="6"/>
        <v>8646.8400000000038</v>
      </c>
      <c r="J65" s="167">
        <f t="shared" si="7"/>
        <v>9.4441224831391928E-4</v>
      </c>
      <c r="K65" s="458"/>
      <c r="L65" s="163"/>
      <c r="M65" s="163"/>
      <c r="O65" s="324">
        <f t="shared" si="8"/>
        <v>0.31284923477694576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2891743.2499999995</v>
      </c>
      <c r="D66" s="480">
        <f t="shared" si="9"/>
        <v>-806280.77523646387</v>
      </c>
      <c r="E66" s="480">
        <f t="shared" si="9"/>
        <v>-457173.17328677245</v>
      </c>
      <c r="F66" s="166">
        <f t="shared" ref="F66:I66" si="10">SUM(F30:F65)</f>
        <v>1628289.3014767633</v>
      </c>
      <c r="G66" s="166">
        <f t="shared" si="10"/>
        <v>0</v>
      </c>
      <c r="H66" s="166">
        <f t="shared" si="10"/>
        <v>0</v>
      </c>
      <c r="I66" s="166">
        <f t="shared" si="10"/>
        <v>1628289.3014767633</v>
      </c>
      <c r="J66" s="178">
        <f t="shared" si="7"/>
        <v>0.17784258296824859</v>
      </c>
      <c r="K66" s="465"/>
      <c r="L66" s="163"/>
      <c r="M66" s="163"/>
      <c r="O66" s="329">
        <f>I66/I$233</f>
        <v>58.912742916775692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'[6]Sch C'!D57</f>
        <v>335356.03000000003</v>
      </c>
      <c r="D69" s="480">
        <f>'[6]Sch C'!F57</f>
        <v>0</v>
      </c>
      <c r="E69" s="480">
        <f>+'[6]Sch C'!H57</f>
        <v>-335356</v>
      </c>
      <c r="F69" s="166">
        <f>C69+D69+E69</f>
        <v>3.0000000027939677E-2</v>
      </c>
      <c r="G69" s="626"/>
      <c r="H69" s="607"/>
      <c r="I69" s="166">
        <f>F69+G69+H69</f>
        <v>3.0000000027939677E-2</v>
      </c>
      <c r="J69" s="167">
        <f t="shared" ref="J69:J84" si="11">IF($I$213=0,0,I69/$I$213)</f>
        <v>3.2766152115459685E-9</v>
      </c>
      <c r="K69" s="458"/>
      <c r="L69" s="182"/>
      <c r="M69" s="163"/>
      <c r="O69" s="324">
        <f t="shared" ref="O69:O84" si="12">I69/I$233</f>
        <v>1.0854227731806388E-6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'[6]Sch C'!D58</f>
        <v>76448</v>
      </c>
      <c r="D70" s="480">
        <f>'[6]Sch C'!F58</f>
        <v>0</v>
      </c>
      <c r="E70" s="480">
        <f>+'[6]Sch C'!H58</f>
        <v>261923</v>
      </c>
      <c r="F70" s="166">
        <f t="shared" ref="F70:F83" si="13">C70+D70+E70</f>
        <v>338371</v>
      </c>
      <c r="G70" s="626"/>
      <c r="H70" s="607"/>
      <c r="I70" s="166">
        <f t="shared" ref="I70:I83" si="14">F70+G70+H70</f>
        <v>338371</v>
      </c>
      <c r="J70" s="167">
        <f t="shared" si="11"/>
        <v>3.6957052157115089E-2</v>
      </c>
      <c r="K70" s="458"/>
      <c r="L70" s="182"/>
      <c r="M70" s="163"/>
      <c r="O70" s="324">
        <f t="shared" si="12"/>
        <v>12.242519628061796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'[6]Sch C'!D59</f>
        <v>0</v>
      </c>
      <c r="D71" s="480">
        <f>'[6]Sch C'!F59</f>
        <v>0</v>
      </c>
      <c r="E71" s="480">
        <f>+'[6]Sch C'!H59</f>
        <v>1012283</v>
      </c>
      <c r="F71" s="166">
        <f t="shared" si="13"/>
        <v>1012283</v>
      </c>
      <c r="G71" s="626"/>
      <c r="H71" s="607"/>
      <c r="I71" s="166">
        <f t="shared" si="14"/>
        <v>1012283</v>
      </c>
      <c r="J71" s="167">
        <f t="shared" si="11"/>
        <v>0.11056206243667731</v>
      </c>
      <c r="K71" s="458"/>
      <c r="L71" s="182"/>
      <c r="M71" s="163"/>
      <c r="O71" s="324">
        <f t="shared" si="12"/>
        <v>36.625167336010712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'[6]Sch C'!D60</f>
        <v>0</v>
      </c>
      <c r="D72" s="480">
        <f>'[6]Sch C'!F60</f>
        <v>0</v>
      </c>
      <c r="E72" s="480">
        <f>+'[6]Sch C'!H60</f>
        <v>47166.87310885061</v>
      </c>
      <c r="F72" s="166">
        <f t="shared" si="13"/>
        <v>47166.87310885061</v>
      </c>
      <c r="G72" s="626"/>
      <c r="H72" s="607"/>
      <c r="I72" s="166">
        <f t="shared" si="14"/>
        <v>47166.87310885061</v>
      </c>
      <c r="J72" s="167">
        <f t="shared" si="11"/>
        <v>5.1515897921861542E-3</v>
      </c>
      <c r="K72" s="458"/>
      <c r="L72" s="185"/>
      <c r="M72" s="163"/>
      <c r="O72" s="324">
        <f t="shared" si="12"/>
        <v>1.7065332721462647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'[6]Sch C'!D61</f>
        <v>0</v>
      </c>
      <c r="D73" s="480">
        <f>'[6]Sch C'!F61</f>
        <v>0</v>
      </c>
      <c r="E73" s="480">
        <f>+'[6]Sch C'!H61</f>
        <v>0</v>
      </c>
      <c r="F73" s="166">
        <f t="shared" si="13"/>
        <v>0</v>
      </c>
      <c r="G73" s="626"/>
      <c r="H73" s="607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'[6]Sch C'!D62</f>
        <v>0</v>
      </c>
      <c r="D74" s="480">
        <f>'[6]Sch C'!F62</f>
        <v>0</v>
      </c>
      <c r="E74" s="480">
        <f>+'[6]Sch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'[6]Sch C'!D63</f>
        <v>0</v>
      </c>
      <c r="D75" s="480">
        <f>'[6]Sch C'!F63</f>
        <v>0</v>
      </c>
      <c r="E75" s="480">
        <f>+'[6]Sch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'[6]Sch C'!D64</f>
        <v>0</v>
      </c>
      <c r="D76" s="480">
        <f>'[6]Sch C'!F64</f>
        <v>0</v>
      </c>
      <c r="E76" s="480">
        <f>+'[6]Sch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'[6]Sch C'!D65</f>
        <v>0</v>
      </c>
      <c r="D77" s="480">
        <f>'[6]Sch C'!F65</f>
        <v>0</v>
      </c>
      <c r="E77" s="480">
        <f>+'[6]Sch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'[6]Sch C'!D66</f>
        <v>7116.3900000000012</v>
      </c>
      <c r="D78" s="480">
        <f>'[6]Sch C'!F66</f>
        <v>0</v>
      </c>
      <c r="E78" s="480">
        <f>+'[6]Sch C'!H66</f>
        <v>3663.2851786956853</v>
      </c>
      <c r="F78" s="166">
        <f t="shared" si="13"/>
        <v>10779.675178695687</v>
      </c>
      <c r="G78" s="626">
        <f>35385.01+8500</f>
        <v>43885.01</v>
      </c>
      <c r="H78" s="607"/>
      <c r="I78" s="166">
        <f t="shared" si="14"/>
        <v>54664.68517869569</v>
      </c>
      <c r="J78" s="167">
        <f t="shared" si="11"/>
        <v>5.9705046274690591E-3</v>
      </c>
      <c r="K78" s="458" t="s">
        <v>627</v>
      </c>
      <c r="L78" s="187"/>
      <c r="M78" s="163"/>
      <c r="O78" s="324">
        <f t="shared" si="12"/>
        <v>1.9778098042149026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'[6]Sch C'!D67</f>
        <v>0</v>
      </c>
      <c r="D79" s="480">
        <f>'[6]Sch C'!F67</f>
        <v>0</v>
      </c>
      <c r="E79" s="480">
        <f>+'[6]Sch C'!H67</f>
        <v>0</v>
      </c>
      <c r="F79" s="166">
        <f t="shared" si="13"/>
        <v>0</v>
      </c>
      <c r="G79" s="626">
        <v>422</v>
      </c>
      <c r="H79" s="607"/>
      <c r="I79" s="166">
        <f t="shared" si="14"/>
        <v>422</v>
      </c>
      <c r="J79" s="167">
        <f t="shared" si="11"/>
        <v>4.6091053932820981E-5</v>
      </c>
      <c r="K79" s="458"/>
      <c r="L79" s="187"/>
      <c r="M79" s="163"/>
      <c r="O79" s="324">
        <f t="shared" si="12"/>
        <v>1.5268280328521292E-2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'[6]Sch C'!D68</f>
        <v>0</v>
      </c>
      <c r="D80" s="480">
        <f>'[6]Sch C'!F68</f>
        <v>0</v>
      </c>
      <c r="E80" s="480">
        <f>+'[6]Sch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'[6]Sch C'!D69</f>
        <v>0</v>
      </c>
      <c r="D81" s="480">
        <f>'[6]Sch C'!F69</f>
        <v>0</v>
      </c>
      <c r="E81" s="480">
        <f>+'[6]Sch C'!H69</f>
        <v>0</v>
      </c>
      <c r="F81" s="166">
        <f t="shared" si="13"/>
        <v>0</v>
      </c>
      <c r="G81" s="626"/>
      <c r="H81" s="607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'[6]Sch C'!D70</f>
        <v>0</v>
      </c>
      <c r="D82" s="480">
        <f>'[6]Sch C'!F70</f>
        <v>0</v>
      </c>
      <c r="E82" s="480">
        <f>+'[6]Sch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'[6]Sch C'!D71</f>
        <v>4680</v>
      </c>
      <c r="D83" s="480">
        <f>'[6]Sch C'!F71</f>
        <v>0</v>
      </c>
      <c r="E83" s="480">
        <f>+'[6]Sch C'!H71</f>
        <v>104.37553843445309</v>
      </c>
      <c r="F83" s="166">
        <f t="shared" si="13"/>
        <v>4784.3755384344531</v>
      </c>
      <c r="G83" s="626"/>
      <c r="H83" s="607"/>
      <c r="I83" s="166">
        <f t="shared" si="14"/>
        <v>4784.3755384344531</v>
      </c>
      <c r="J83" s="167">
        <f t="shared" si="11"/>
        <v>5.2255192174609428E-4</v>
      </c>
      <c r="K83" s="458"/>
      <c r="L83" s="187"/>
      <c r="M83" s="163"/>
      <c r="O83" s="324">
        <f t="shared" si="12"/>
        <v>0.17310233866762376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423600.42000000004</v>
      </c>
      <c r="D84" s="480">
        <f t="shared" si="15"/>
        <v>0</v>
      </c>
      <c r="E84" s="480">
        <f t="shared" si="15"/>
        <v>989784.53382598073</v>
      </c>
      <c r="F84" s="166">
        <f t="shared" ref="F84:I84" si="16">SUM(F69:F83)</f>
        <v>1413384.9538259807</v>
      </c>
      <c r="G84" s="166">
        <f t="shared" si="16"/>
        <v>44307.01</v>
      </c>
      <c r="H84" s="166">
        <f t="shared" si="16"/>
        <v>0</v>
      </c>
      <c r="I84" s="166">
        <f t="shared" si="16"/>
        <v>1457691.9638259807</v>
      </c>
      <c r="J84" s="167">
        <f t="shared" si="11"/>
        <v>0.15920985526574172</v>
      </c>
      <c r="K84" s="458"/>
      <c r="L84" s="187"/>
      <c r="M84" s="163"/>
      <c r="O84" s="324">
        <f t="shared" si="12"/>
        <v>52.740401744852591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'[6]Sch C'!D75</f>
        <v>47743.29</v>
      </c>
      <c r="D87" s="480">
        <f>'[6]Sch C'!F75</f>
        <v>-77.808643713125264</v>
      </c>
      <c r="E87" s="480">
        <f>+'[6]Sch C'!H75</f>
        <v>0</v>
      </c>
      <c r="F87" s="166">
        <f t="shared" ref="F87:F97" si="17">C87+D87+E87</f>
        <v>47665.481356286873</v>
      </c>
      <c r="G87" s="626"/>
      <c r="H87" s="607"/>
      <c r="I87" s="166">
        <f t="shared" ref="I87:I97" si="18">F87+G87+H87</f>
        <v>47665.481356286873</v>
      </c>
      <c r="J87" s="167">
        <f t="shared" ref="J87:J98" si="19">IF($I$213=0,0,I87/$I$213)</f>
        <v>5.2060480377405004E-3</v>
      </c>
      <c r="K87" s="458"/>
      <c r="L87" s="176">
        <v>2004.0053884475201</v>
      </c>
      <c r="M87" s="176">
        <v>2131.9206260080005</v>
      </c>
      <c r="O87" s="324">
        <f t="shared" ref="O87:O97" si="20">I87/I$233</f>
        <v>1.7245732970182306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'[6]Sch C'!D76</f>
        <v>0</v>
      </c>
      <c r="D88" s="480">
        <f>'[6]Sch C'!F76</f>
        <v>8557.3335300742019</v>
      </c>
      <c r="E88" s="480">
        <f>+'[6]Sch C'!H76</f>
        <v>0</v>
      </c>
      <c r="F88" s="166">
        <f t="shared" si="17"/>
        <v>8557.3335300742019</v>
      </c>
      <c r="G88" s="626"/>
      <c r="H88" s="607"/>
      <c r="I88" s="166">
        <f t="shared" si="18"/>
        <v>8557.3335300742019</v>
      </c>
      <c r="J88" s="167">
        <f t="shared" si="19"/>
        <v>9.3463630629333507E-4</v>
      </c>
      <c r="K88" s="458"/>
      <c r="L88" s="163"/>
      <c r="M88" s="163"/>
      <c r="O88" s="324">
        <f t="shared" si="20"/>
        <v>0.309610822753146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'[6]Sch C'!D77</f>
        <v>12308.93</v>
      </c>
      <c r="D89" s="480">
        <f>'[6]Sch C'!F77</f>
        <v>0</v>
      </c>
      <c r="E89" s="480">
        <f>+'[6]Sch C'!H77</f>
        <v>0</v>
      </c>
      <c r="F89" s="166">
        <f t="shared" si="17"/>
        <v>12308.93</v>
      </c>
      <c r="G89" s="626"/>
      <c r="H89" s="607"/>
      <c r="I89" s="166">
        <f t="shared" si="18"/>
        <v>12308.93</v>
      </c>
      <c r="J89" s="167">
        <f t="shared" si="19"/>
        <v>1.3443875746097587E-3</v>
      </c>
      <c r="K89" s="458"/>
      <c r="L89" s="163"/>
      <c r="M89" s="163"/>
      <c r="O89" s="324">
        <f t="shared" si="20"/>
        <v>0.44534643076811753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'[6]Sch C'!D78</f>
        <v>0</v>
      </c>
      <c r="D90" s="480">
        <f>'[6]Sch C'!F78</f>
        <v>0</v>
      </c>
      <c r="E90" s="480">
        <f>+'[6]Sch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'[6]Sch C'!D79</f>
        <v>0</v>
      </c>
      <c r="D91" s="480">
        <f>'[6]Sch C'!F79</f>
        <v>0</v>
      </c>
      <c r="E91" s="480">
        <f>+'[6]Sch C'!H79</f>
        <v>0</v>
      </c>
      <c r="F91" s="166">
        <f t="shared" si="17"/>
        <v>0</v>
      </c>
      <c r="G91" s="626">
        <f>23233.83-5058</f>
        <v>18175.830000000002</v>
      </c>
      <c r="H91" s="607"/>
      <c r="I91" s="166">
        <f t="shared" si="18"/>
        <v>18175.830000000002</v>
      </c>
      <c r="J91" s="167">
        <f t="shared" si="19"/>
        <v>1.9851733668336154E-3</v>
      </c>
      <c r="K91" s="694" t="s">
        <v>719</v>
      </c>
      <c r="L91" s="163"/>
      <c r="M91" s="163"/>
      <c r="O91" s="324">
        <f t="shared" si="20"/>
        <v>0.6576153261695431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'[6]Sch C'!D80</f>
        <v>13457.45</v>
      </c>
      <c r="D92" s="480">
        <f>'[6]Sch C'!F80</f>
        <v>0</v>
      </c>
      <c r="E92" s="480">
        <f>+'[6]Sch C'!H80</f>
        <v>0</v>
      </c>
      <c r="F92" s="166">
        <f t="shared" si="17"/>
        <v>13457.45</v>
      </c>
      <c r="G92" s="626"/>
      <c r="H92" s="607"/>
      <c r="I92" s="166">
        <f t="shared" si="18"/>
        <v>13457.45</v>
      </c>
      <c r="J92" s="167">
        <f t="shared" si="19"/>
        <v>1.4698295112517577E-3</v>
      </c>
      <c r="K92" s="458"/>
      <c r="L92" s="163"/>
      <c r="M92" s="163"/>
      <c r="O92" s="324">
        <f t="shared" si="20"/>
        <v>0.48690075617786466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'[6]Sch C'!D81</f>
        <v>68182.51999999999</v>
      </c>
      <c r="D93" s="480">
        <f>'[6]Sch C'!F81</f>
        <v>0</v>
      </c>
      <c r="E93" s="480">
        <f>+'[6]Sch C'!H81</f>
        <v>4980.6223865205156</v>
      </c>
      <c r="F93" s="166">
        <f t="shared" si="17"/>
        <v>73163.1423865205</v>
      </c>
      <c r="G93" s="626">
        <v>-28364.94</v>
      </c>
      <c r="H93" s="607"/>
      <c r="I93" s="166">
        <f t="shared" si="18"/>
        <v>44798.202386520497</v>
      </c>
      <c r="J93" s="167">
        <f t="shared" si="19"/>
        <v>4.8928823750960804E-3</v>
      </c>
      <c r="K93" s="458" t="s">
        <v>622</v>
      </c>
      <c r="L93" s="163"/>
      <c r="M93" s="163"/>
      <c r="O93" s="324">
        <f t="shared" si="20"/>
        <v>1.620832967419968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'[6]Sch C'!D82</f>
        <v>8108.9500000000007</v>
      </c>
      <c r="D94" s="480">
        <f>'[6]Sch C'!F82</f>
        <v>0</v>
      </c>
      <c r="E94" s="480">
        <f>+'[6]Sch C'!H82</f>
        <v>0</v>
      </c>
      <c r="F94" s="166">
        <f t="shared" si="17"/>
        <v>8108.9500000000007</v>
      </c>
      <c r="G94" s="626">
        <v>3096.67</v>
      </c>
      <c r="H94" s="607"/>
      <c r="I94" s="166">
        <f t="shared" si="18"/>
        <v>11205.62</v>
      </c>
      <c r="J94" s="167">
        <f t="shared" si="19"/>
        <v>1.2238834970869608E-3</v>
      </c>
      <c r="K94" s="458" t="s">
        <v>628</v>
      </c>
      <c r="L94" s="163"/>
      <c r="M94" s="163"/>
      <c r="O94" s="324">
        <f t="shared" si="20"/>
        <v>0.40542783747603028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'[6]Sch C'!D83</f>
        <v>7491.02</v>
      </c>
      <c r="D95" s="480">
        <f>'[6]Sch C'!F83</f>
        <v>0</v>
      </c>
      <c r="E95" s="480">
        <f>+'[6]Sch C'!H83</f>
        <v>0</v>
      </c>
      <c r="F95" s="166">
        <f t="shared" si="17"/>
        <v>7491.02</v>
      </c>
      <c r="G95" s="626"/>
      <c r="H95" s="607"/>
      <c r="I95" s="166">
        <f t="shared" si="18"/>
        <v>7491.02</v>
      </c>
      <c r="J95" s="167">
        <f t="shared" si="19"/>
        <v>8.181730019711864E-4</v>
      </c>
      <c r="K95" s="458"/>
      <c r="L95" s="163"/>
      <c r="M95" s="163"/>
      <c r="O95" s="324">
        <f t="shared" si="20"/>
        <v>0.27103078982597056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'[6]Sch C'!D84</f>
        <v>125824.45</v>
      </c>
      <c r="D96" s="480">
        <f>'[6]Sch C'!F84</f>
        <v>0</v>
      </c>
      <c r="E96" s="480">
        <f>+'[6]Sch C'!H84</f>
        <v>1408.9529486291942</v>
      </c>
      <c r="F96" s="166">
        <f t="shared" si="17"/>
        <v>127233.4029486292</v>
      </c>
      <c r="G96" s="626"/>
      <c r="H96" s="607"/>
      <c r="I96" s="166">
        <f t="shared" si="18"/>
        <v>127233.4029486292</v>
      </c>
      <c r="J96" s="167">
        <f t="shared" si="19"/>
        <v>1.3896496770999082E-2</v>
      </c>
      <c r="K96" s="458"/>
      <c r="L96" s="163"/>
      <c r="M96" s="163"/>
      <c r="O96" s="324">
        <f t="shared" si="20"/>
        <v>4.603401098036441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'[6]Sch C'!D85</f>
        <v>0</v>
      </c>
      <c r="D97" s="480">
        <f>'[6]Sch C'!F85</f>
        <v>0</v>
      </c>
      <c r="E97" s="480">
        <f>+'[6]Sch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283116.61</v>
      </c>
      <c r="D98" s="480">
        <f t="shared" si="21"/>
        <v>8479.5248863610759</v>
      </c>
      <c r="E98" s="480">
        <f t="shared" si="21"/>
        <v>6389.5753351497096</v>
      </c>
      <c r="F98" s="166">
        <f t="shared" ref="F98:I98" si="22">SUM(F87:F97)</f>
        <v>297985.71022151079</v>
      </c>
      <c r="G98" s="166">
        <f t="shared" si="22"/>
        <v>-7092.4399999999969</v>
      </c>
      <c r="H98" s="166">
        <f t="shared" si="22"/>
        <v>0</v>
      </c>
      <c r="I98" s="166">
        <f t="shared" si="22"/>
        <v>290893.27022151079</v>
      </c>
      <c r="J98" s="167">
        <f t="shared" si="19"/>
        <v>3.1771510441882277E-2</v>
      </c>
      <c r="K98" s="458"/>
      <c r="L98" s="163"/>
      <c r="M98" s="163"/>
      <c r="O98" s="329">
        <f>I98/I$233</f>
        <v>10.524739325645312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'[6]Sch C'!D89</f>
        <v>330794.2</v>
      </c>
      <c r="D101" s="480">
        <f>'[6]Sch C'!F89</f>
        <v>-539.1050354964708</v>
      </c>
      <c r="E101" s="480">
        <f>+'[6]Sch C'!H89</f>
        <v>0</v>
      </c>
      <c r="F101" s="166">
        <f t="shared" ref="F101:F106" si="23">C101+D101+E101</f>
        <v>330255.09496450354</v>
      </c>
      <c r="G101" s="626"/>
      <c r="H101" s="607"/>
      <c r="I101" s="166">
        <f t="shared" ref="I101:I106" si="24">F101+G101+H101</f>
        <v>330255.09496450354</v>
      </c>
      <c r="J101" s="167">
        <f t="shared" ref="J101:J107" si="25">IF($I$213=0,0,I101/$I$213)</f>
        <v>3.6070628894781631E-2</v>
      </c>
      <c r="K101" s="458"/>
      <c r="L101" s="176">
        <v>23003.379734283604</v>
      </c>
      <c r="M101" s="176">
        <v>24426.977711864107</v>
      </c>
      <c r="O101" s="329">
        <f t="shared" ref="O101:O106" si="26">I101/I$233</f>
        <v>11.948880023318628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'[6]Sch C'!D90</f>
        <v>0</v>
      </c>
      <c r="D102" s="480">
        <f>'[6]Sch C'!F90</f>
        <v>59290.348428314668</v>
      </c>
      <c r="E102" s="480">
        <f>+'[6]Sch C'!H90</f>
        <v>0</v>
      </c>
      <c r="F102" s="166">
        <f t="shared" si="23"/>
        <v>59290.348428314668</v>
      </c>
      <c r="G102" s="626"/>
      <c r="H102" s="607"/>
      <c r="I102" s="166">
        <f t="shared" si="24"/>
        <v>59290.348428314668</v>
      </c>
      <c r="J102" s="167">
        <f t="shared" si="25"/>
        <v>6.475721912571562E-3</v>
      </c>
      <c r="K102" s="458"/>
      <c r="L102" s="163"/>
      <c r="M102" s="163"/>
      <c r="O102" s="329">
        <f t="shared" si="26"/>
        <v>2.1451698117990761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'[6]Sch C'!D91</f>
        <v>32834.910000000003</v>
      </c>
      <c r="D103" s="480">
        <f>'[6]Sch C'!F91</f>
        <v>0</v>
      </c>
      <c r="E103" s="480">
        <f>+'[6]Sch C'!H91</f>
        <v>0</v>
      </c>
      <c r="F103" s="166">
        <f t="shared" si="23"/>
        <v>32834.910000000003</v>
      </c>
      <c r="G103" s="626"/>
      <c r="H103" s="607"/>
      <c r="I103" s="166">
        <f t="shared" si="24"/>
        <v>32834.910000000003</v>
      </c>
      <c r="J103" s="167">
        <f t="shared" si="25"/>
        <v>3.5862455158514766E-3</v>
      </c>
      <c r="K103" s="458"/>
      <c r="L103" s="163"/>
      <c r="M103" s="163"/>
      <c r="O103" s="329">
        <f t="shared" si="26"/>
        <v>1.1879919678714861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'[6]Sch C'!D92</f>
        <v>228037.09999999998</v>
      </c>
      <c r="D104" s="480">
        <f>'[6]Sch C'!F92</f>
        <v>0</v>
      </c>
      <c r="E104" s="480">
        <f>+'[6]Sch C'!H92</f>
        <v>54</v>
      </c>
      <c r="F104" s="166">
        <f t="shared" si="23"/>
        <v>228091.09999999998</v>
      </c>
      <c r="G104" s="626"/>
      <c r="H104" s="607"/>
      <c r="I104" s="166">
        <f t="shared" si="24"/>
        <v>228091.09999999998</v>
      </c>
      <c r="J104" s="167">
        <f t="shared" si="25"/>
        <v>2.4912225572740435E-2</v>
      </c>
      <c r="K104" s="458"/>
      <c r="L104" s="163"/>
      <c r="M104" s="163"/>
      <c r="O104" s="329">
        <f t="shared" si="26"/>
        <v>8.2525091356416649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'[6]Sch C'!D93</f>
        <v>20339.060000000001</v>
      </c>
      <c r="D105" s="480">
        <f>'[6]Sch C'!F93</f>
        <v>0</v>
      </c>
      <c r="E105" s="480">
        <f>+'[6]Sch C'!H93</f>
        <v>0</v>
      </c>
      <c r="F105" s="166">
        <f t="shared" si="23"/>
        <v>20339.060000000001</v>
      </c>
      <c r="G105" s="626"/>
      <c r="H105" s="607"/>
      <c r="I105" s="166">
        <f t="shared" si="24"/>
        <v>20339.060000000001</v>
      </c>
      <c r="J105" s="167">
        <f t="shared" si="25"/>
        <v>2.2214424440826588E-3</v>
      </c>
      <c r="K105" s="458"/>
      <c r="L105" s="163"/>
      <c r="M105" s="163"/>
      <c r="O105" s="329">
        <f t="shared" si="26"/>
        <v>0.73588262961756945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'[6]Sch C'!D94</f>
        <v>0</v>
      </c>
      <c r="D106" s="480">
        <f>'[6]Sch C'!F94</f>
        <v>0</v>
      </c>
      <c r="E106" s="480">
        <f>+'[6]Sch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612005.27</v>
      </c>
      <c r="D107" s="480">
        <f t="shared" si="27"/>
        <v>58751.2433928182</v>
      </c>
      <c r="E107" s="480">
        <f t="shared" si="27"/>
        <v>54</v>
      </c>
      <c r="F107" s="166">
        <f t="shared" ref="F107:I107" si="28">SUM(F101:F106)</f>
        <v>670810.51339281828</v>
      </c>
      <c r="G107" s="166">
        <f t="shared" si="28"/>
        <v>0</v>
      </c>
      <c r="H107" s="166">
        <f t="shared" si="28"/>
        <v>0</v>
      </c>
      <c r="I107" s="166">
        <f t="shared" si="28"/>
        <v>670810.51339281828</v>
      </c>
      <c r="J107" s="167">
        <f t="shared" si="25"/>
        <v>7.3266264340027767E-2</v>
      </c>
      <c r="K107" s="458"/>
      <c r="L107" s="163"/>
      <c r="M107" s="163"/>
      <c r="O107" s="329">
        <f>I107/I$233</f>
        <v>24.270433568248428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'[6]Sch C'!D98</f>
        <v>59634.420000000006</v>
      </c>
      <c r="D110" s="480">
        <f>'[6]Sch C'!F98</f>
        <v>-97.187967959871884</v>
      </c>
      <c r="E110" s="480">
        <f>+'[6]Sch C'!H98</f>
        <v>0</v>
      </c>
      <c r="F110" s="166">
        <f t="shared" ref="F110:F115" si="29">C110+D110+E110</f>
        <v>59537.232032040134</v>
      </c>
      <c r="G110" s="626"/>
      <c r="H110" s="607"/>
      <c r="I110" s="166">
        <f t="shared" ref="I110:I115" si="30">F110+G110+H110</f>
        <v>59537.232032040134</v>
      </c>
      <c r="J110" s="167">
        <f t="shared" ref="J110:J116" si="31">IF($I$213=0,0,I110/$I$213)</f>
        <v>6.5026866649280542E-3</v>
      </c>
      <c r="K110" s="458"/>
      <c r="L110" s="176">
        <v>4913.220296596357</v>
      </c>
      <c r="M110" s="176">
        <v>5197.7328101218882</v>
      </c>
      <c r="O110" s="329">
        <f t="shared" ref="O110:O115" si="32">I110/I$233</f>
        <v>2.1541022479843748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'[6]Sch C'!D99</f>
        <v>0</v>
      </c>
      <c r="D111" s="480">
        <f>'[6]Sch C'!F99</f>
        <v>10688.656391558428</v>
      </c>
      <c r="E111" s="480">
        <f>+'[6]Sch C'!H99</f>
        <v>0</v>
      </c>
      <c r="F111" s="166">
        <f t="shared" si="29"/>
        <v>10688.656391558428</v>
      </c>
      <c r="G111" s="626"/>
      <c r="H111" s="607"/>
      <c r="I111" s="166">
        <f t="shared" si="30"/>
        <v>10688.656391558428</v>
      </c>
      <c r="J111" s="167">
        <f t="shared" si="31"/>
        <v>1.1674204696983678E-3</v>
      </c>
      <c r="K111" s="458"/>
      <c r="L111" s="163"/>
      <c r="M111" s="163"/>
      <c r="O111" s="329">
        <f t="shared" si="32"/>
        <v>0.38672370170984582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'[6]Sch C'!D100</f>
        <v>4031.8999999999996</v>
      </c>
      <c r="D112" s="480">
        <f>'[6]Sch C'!F100</f>
        <v>0</v>
      </c>
      <c r="E112" s="480">
        <f>+'[6]Sch C'!H100</f>
        <v>0</v>
      </c>
      <c r="F112" s="166">
        <f t="shared" si="29"/>
        <v>4031.8999999999996</v>
      </c>
      <c r="G112" s="626"/>
      <c r="H112" s="607"/>
      <c r="I112" s="166">
        <f t="shared" si="30"/>
        <v>4031.8999999999996</v>
      </c>
      <c r="J112" s="167">
        <f t="shared" si="31"/>
        <v>4.4036616197094998E-4</v>
      </c>
      <c r="K112" s="458"/>
      <c r="L112" s="163"/>
      <c r="M112" s="163"/>
      <c r="O112" s="329">
        <f t="shared" si="32"/>
        <v>0.1458772025037085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'[6]Sch C'!D101</f>
        <v>0</v>
      </c>
      <c r="D113" s="480">
        <f>'[6]Sch C'!F101</f>
        <v>0</v>
      </c>
      <c r="E113" s="480">
        <f>+'[6]Sch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'[6]Sch C'!D102</f>
        <v>9149.68</v>
      </c>
      <c r="D114" s="480">
        <f>'[6]Sch C'!F102</f>
        <v>0</v>
      </c>
      <c r="E114" s="480">
        <f>+'[6]Sch C'!H102</f>
        <v>6.2912400130783617</v>
      </c>
      <c r="F114" s="166">
        <f t="shared" si="29"/>
        <v>9155.9712400130793</v>
      </c>
      <c r="G114" s="626"/>
      <c r="H114" s="607"/>
      <c r="I114" s="166">
        <f t="shared" si="30"/>
        <v>9155.9712400130793</v>
      </c>
      <c r="J114" s="167">
        <f t="shared" si="31"/>
        <v>1.0000198204521342E-3</v>
      </c>
      <c r="K114" s="458"/>
      <c r="L114" s="163"/>
      <c r="M114" s="163"/>
      <c r="O114" s="329">
        <f t="shared" si="32"/>
        <v>0.33126998950805309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'[6]Sch C'!D103</f>
        <v>0</v>
      </c>
      <c r="D115" s="480">
        <f>'[6]Sch C'!F103</f>
        <v>0</v>
      </c>
      <c r="E115" s="480">
        <f>+'[6]Sch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72816</v>
      </c>
      <c r="D116" s="480">
        <f t="shared" si="33"/>
        <v>10591.468423598557</v>
      </c>
      <c r="E116" s="480">
        <f t="shared" si="33"/>
        <v>6.2912400130783617</v>
      </c>
      <c r="F116" s="166">
        <f t="shared" ref="F116:I116" si="34">SUM(F110:F115)</f>
        <v>83413.759663611636</v>
      </c>
      <c r="G116" s="166">
        <f t="shared" si="34"/>
        <v>0</v>
      </c>
      <c r="H116" s="166">
        <f t="shared" si="34"/>
        <v>0</v>
      </c>
      <c r="I116" s="166">
        <f t="shared" si="34"/>
        <v>83413.759663611636</v>
      </c>
      <c r="J116" s="167">
        <f t="shared" si="31"/>
        <v>9.1104931170495063E-3</v>
      </c>
      <c r="K116" s="458"/>
      <c r="L116" s="163"/>
      <c r="M116" s="163"/>
      <c r="O116" s="329">
        <f>I116/I$233</f>
        <v>3.0179731417059821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'[6]Sch C'!D115</f>
        <v>126194.54</v>
      </c>
      <c r="D119" s="480">
        <f>'[6]Sch C'!F115</f>
        <v>-205.66295287571788</v>
      </c>
      <c r="E119" s="480">
        <f>+'[6]Sch C'!H115</f>
        <v>0</v>
      </c>
      <c r="F119" s="166">
        <f t="shared" ref="F119:F123" si="35">C119+D119+E119</f>
        <v>125988.87704712428</v>
      </c>
      <c r="G119" s="626"/>
      <c r="H119" s="607"/>
      <c r="I119" s="166">
        <f t="shared" ref="I119:I123" si="36">F119+G119+H119</f>
        <v>125988.87704712428</v>
      </c>
      <c r="J119" s="167">
        <f t="shared" ref="J119:J124" si="37">IF($I$213=0,0,I119/$I$213)</f>
        <v>1.3760569021124542E-2</v>
      </c>
      <c r="K119" s="458"/>
      <c r="L119" s="176">
        <v>9840.2833622145336</v>
      </c>
      <c r="M119" s="176">
        <v>10502.417197539777</v>
      </c>
      <c r="O119" s="329">
        <f t="shared" ref="O119:O124" si="38">I119/I$233</f>
        <v>4.5583732062348234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'[6]Sch C'!D116</f>
        <v>0</v>
      </c>
      <c r="D120" s="480">
        <f>'[6]Sch C'!F116</f>
        <v>22618.650043897058</v>
      </c>
      <c r="E120" s="480">
        <f>+'[6]Sch C'!H116</f>
        <v>0</v>
      </c>
      <c r="F120" s="166">
        <f t="shared" si="35"/>
        <v>22618.650043897058</v>
      </c>
      <c r="G120" s="626"/>
      <c r="H120" s="607"/>
      <c r="I120" s="166">
        <f t="shared" si="36"/>
        <v>22618.650043897058</v>
      </c>
      <c r="J120" s="167">
        <f t="shared" si="37"/>
        <v>2.4704204243148412E-3</v>
      </c>
      <c r="K120" s="458"/>
      <c r="L120" s="163"/>
      <c r="M120" s="163"/>
      <c r="O120" s="329">
        <f t="shared" si="38"/>
        <v>0.81835992777948041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'[6]Sch C'!D117</f>
        <v>35448.340000000004</v>
      </c>
      <c r="D121" s="480">
        <f>'[6]Sch C'!F117</f>
        <v>0</v>
      </c>
      <c r="E121" s="480">
        <f>+'[6]Sch C'!H117</f>
        <v>239.37667021570914</v>
      </c>
      <c r="F121" s="166">
        <f t="shared" si="35"/>
        <v>35687.716670215712</v>
      </c>
      <c r="G121" s="626"/>
      <c r="H121" s="607"/>
      <c r="I121" s="166">
        <f t="shared" si="36"/>
        <v>35687.716670215712</v>
      </c>
      <c r="J121" s="167">
        <f t="shared" si="37"/>
        <v>3.8978305066022438E-3</v>
      </c>
      <c r="K121" s="458"/>
      <c r="L121" s="163"/>
      <c r="M121" s="163"/>
      <c r="O121" s="329">
        <f t="shared" si="38"/>
        <v>1.2912086786864834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'[6]Sch C'!D118</f>
        <v>0</v>
      </c>
      <c r="D122" s="480">
        <f>'[6]Sch C'!F118</f>
        <v>0</v>
      </c>
      <c r="E122" s="480">
        <f>+'[6]Sch C'!H118</f>
        <v>0</v>
      </c>
      <c r="F122" s="166">
        <f t="shared" si="35"/>
        <v>0</v>
      </c>
      <c r="G122" s="626"/>
      <c r="H122" s="607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'[6]Sch C'!D119</f>
        <v>0</v>
      </c>
      <c r="D123" s="480">
        <f>'[6]Sch C'!F119</f>
        <v>0</v>
      </c>
      <c r="E123" s="480">
        <f>+'[6]Sch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161642.88</v>
      </c>
      <c r="D124" s="480">
        <f t="shared" si="39"/>
        <v>22412.987091021339</v>
      </c>
      <c r="E124" s="480">
        <f t="shared" si="39"/>
        <v>239.37667021570914</v>
      </c>
      <c r="F124" s="166">
        <f t="shared" ref="F124:I124" si="40">SUM(F119:F123)</f>
        <v>184295.24376123704</v>
      </c>
      <c r="G124" s="166">
        <f t="shared" si="40"/>
        <v>0</v>
      </c>
      <c r="H124" s="166">
        <f t="shared" si="40"/>
        <v>0</v>
      </c>
      <c r="I124" s="166">
        <f t="shared" si="40"/>
        <v>184295.24376123704</v>
      </c>
      <c r="J124" s="167">
        <f t="shared" si="37"/>
        <v>2.0128819952041625E-2</v>
      </c>
      <c r="K124" s="458"/>
      <c r="L124" s="163"/>
      <c r="M124" s="163"/>
      <c r="O124" s="329">
        <f t="shared" si="38"/>
        <v>6.6679418127007866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'[6]Sch C'!D124</f>
        <v>0</v>
      </c>
      <c r="D128" s="480">
        <f>'[6]Sch C'!F124</f>
        <v>0</v>
      </c>
      <c r="E128" s="480">
        <f>+'[6]Sch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'[6]Sch C'!D125</f>
        <v>188702.27999999997</v>
      </c>
      <c r="D129" s="480">
        <f>'[6]Sch C'!F125</f>
        <v>-307.53365493610511</v>
      </c>
      <c r="E129" s="480">
        <f>+'[6]Sch C'!H125</f>
        <v>0</v>
      </c>
      <c r="F129" s="166">
        <f t="shared" si="41"/>
        <v>188394.74634506388</v>
      </c>
      <c r="G129" s="626"/>
      <c r="H129" s="607"/>
      <c r="I129" s="166">
        <f t="shared" si="42"/>
        <v>188394.74634506388</v>
      </c>
      <c r="J129" s="167">
        <f>IF($I$213=0,0,I129/$I$213)</f>
        <v>2.0576569702489261E-2</v>
      </c>
      <c r="K129" s="458"/>
      <c r="L129" s="176">
        <v>3420.4912904612106</v>
      </c>
      <c r="M129" s="176">
        <v>3516.3929154274124</v>
      </c>
      <c r="O129" s="329">
        <f t="shared" si="43"/>
        <v>6.8162649280026004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'[6]Sch C'!D126</f>
        <v>0</v>
      </c>
      <c r="D130" s="480">
        <f>'[6]Sch C'!F126</f>
        <v>0</v>
      </c>
      <c r="E130" s="480">
        <f>+'[6]Sch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'[6]Sch C'!D127</f>
        <v>0</v>
      </c>
      <c r="D131" s="480">
        <f>'[6]Sch C'!F127</f>
        <v>0</v>
      </c>
      <c r="E131" s="480">
        <f>+'[6]Sch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'[6]Sch C'!D128</f>
        <v>65558.100000000006</v>
      </c>
      <c r="D132" s="480">
        <f>'[6]Sch C'!F128</f>
        <v>-106.84196345516693</v>
      </c>
      <c r="E132" s="480">
        <f>+'[6]Sch C'!H128</f>
        <v>0</v>
      </c>
      <c r="F132" s="166">
        <f t="shared" si="41"/>
        <v>65451.258036544838</v>
      </c>
      <c r="G132" s="626"/>
      <c r="H132" s="607"/>
      <c r="I132" s="166">
        <f t="shared" si="42"/>
        <v>65451.258036544838</v>
      </c>
      <c r="J132" s="167">
        <f>IF($I$213=0,0,I132/$I$213)</f>
        <v>7.1486195832544336E-3</v>
      </c>
      <c r="K132" s="458"/>
      <c r="L132" s="176">
        <v>4482.2027687046057</v>
      </c>
      <c r="M132" s="176">
        <v>4667.1629929977807</v>
      </c>
      <c r="O132" s="329">
        <f t="shared" si="43"/>
        <v>2.3680761980008262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'[6]Sch C'!D130</f>
        <v>0</v>
      </c>
      <c r="D134" s="480">
        <f>'[6]Sch C'!F130</f>
        <v>0</v>
      </c>
      <c r="E134" s="480">
        <f>+'[6]Sch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'[6]Sch C'!D131</f>
        <v>0</v>
      </c>
      <c r="D135" s="480">
        <f>'[6]Sch C'!F131</f>
        <v>33822.309854336607</v>
      </c>
      <c r="E135" s="480">
        <f>+'[6]Sch C'!H131</f>
        <v>0</v>
      </c>
      <c r="F135" s="166">
        <f t="shared" si="44"/>
        <v>33822.309854336607</v>
      </c>
      <c r="G135" s="626"/>
      <c r="H135" s="607"/>
      <c r="I135" s="166">
        <f t="shared" si="45"/>
        <v>33822.309854336607</v>
      </c>
      <c r="J135" s="167">
        <f>IF($I$213=0,0,I135/$I$213)</f>
        <v>3.6940898285042919E-3</v>
      </c>
      <c r="K135" s="458"/>
      <c r="L135" s="196"/>
      <c r="M135" s="196"/>
      <c r="O135" s="329">
        <f t="shared" si="43"/>
        <v>1.2237168441092878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'[6]Sch C'!D132</f>
        <v>0</v>
      </c>
      <c r="D136" s="480">
        <f>'[6]Sch C'!F132</f>
        <v>0</v>
      </c>
      <c r="E136" s="480">
        <f>+'[6]Sch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'[6]Sch C'!D133</f>
        <v>0</v>
      </c>
      <c r="D137" s="480">
        <f>'[6]Sch C'!F133</f>
        <v>0</v>
      </c>
      <c r="E137" s="480">
        <f>+'[6]Sch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'[6]Sch C'!D134</f>
        <v>0</v>
      </c>
      <c r="D138" s="480">
        <f>'[6]Sch C'!F134</f>
        <v>11750.395234554586</v>
      </c>
      <c r="E138" s="480">
        <f>+'[6]Sch C'!H134</f>
        <v>0</v>
      </c>
      <c r="F138" s="166">
        <f t="shared" si="44"/>
        <v>11750.395234554586</v>
      </c>
      <c r="G138" s="626"/>
      <c r="H138" s="607"/>
      <c r="I138" s="166">
        <f t="shared" si="45"/>
        <v>11750.395234554586</v>
      </c>
      <c r="J138" s="167">
        <f>IF($I$213=0,0,I138/$I$213)</f>
        <v>1.2833841243787157E-3</v>
      </c>
      <c r="K138" s="458"/>
      <c r="L138" s="163"/>
      <c r="M138" s="163"/>
      <c r="O138" s="329">
        <f t="shared" si="43"/>
        <v>0.42513821898601922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'[6]Sch C'!D136</f>
        <v>878028.66999999993</v>
      </c>
      <c r="D140" s="480">
        <f>'[6]Sch C'!F136</f>
        <v>-1430.9491439307853</v>
      </c>
      <c r="E140" s="480">
        <f>+'[6]Sch C'!H136</f>
        <v>0</v>
      </c>
      <c r="F140" s="166">
        <f t="shared" ref="F140:F143" si="46">C140+D140+E140</f>
        <v>876597.72085606912</v>
      </c>
      <c r="G140" s="626"/>
      <c r="H140" s="607"/>
      <c r="I140" s="166">
        <f t="shared" ref="I140:I143" si="47">F140+G140+H140</f>
        <v>876597.72085606912</v>
      </c>
      <c r="J140" s="167">
        <f>IF($I$213=0,0,I140/$I$213)</f>
        <v>9.5742447462950311E-2</v>
      </c>
      <c r="K140" s="458"/>
      <c r="L140" s="176">
        <v>30120.749391982405</v>
      </c>
      <c r="M140" s="176">
        <v>31764.535359309775</v>
      </c>
      <c r="O140" s="329">
        <f t="shared" si="43"/>
        <v>31.715970941642937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'[6]Sch C'!D137</f>
        <v>542606.83000000007</v>
      </c>
      <c r="D141" s="480">
        <f>'[6]Sch C'!F137</f>
        <v>-884.30230744002608</v>
      </c>
      <c r="E141" s="480">
        <f>+'[6]Sch C'!H137</f>
        <v>0</v>
      </c>
      <c r="F141" s="166">
        <f t="shared" si="46"/>
        <v>541722.52769256011</v>
      </c>
      <c r="G141" s="626"/>
      <c r="H141" s="607"/>
      <c r="I141" s="166">
        <f t="shared" si="47"/>
        <v>541722.52769256011</v>
      </c>
      <c r="J141" s="167">
        <f>IF($I$213=0,0,I141/$I$213)</f>
        <v>5.9167209100715393E-2</v>
      </c>
      <c r="K141" s="458"/>
      <c r="L141" s="176">
        <v>19288.596268316374</v>
      </c>
      <c r="M141" s="176">
        <v>20174.012908084052</v>
      </c>
      <c r="O141" s="329">
        <f t="shared" si="43"/>
        <v>19.599932258495606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'[6]Sch C'!D138</f>
        <v>899465.78</v>
      </c>
      <c r="D142" s="480">
        <f>'[6]Sch C'!F138</f>
        <v>646.66566006939865</v>
      </c>
      <c r="E142" s="480">
        <f>+'[6]Sch C'!H138</f>
        <v>0</v>
      </c>
      <c r="F142" s="166">
        <f t="shared" si="46"/>
        <v>900112.44566006947</v>
      </c>
      <c r="G142" s="626"/>
      <c r="H142" s="607"/>
      <c r="I142" s="166">
        <f t="shared" si="47"/>
        <v>900112.44566006947</v>
      </c>
      <c r="J142" s="167">
        <f>IF($I$213=0,0,I142/$I$213)</f>
        <v>9.831073762682857E-2</v>
      </c>
      <c r="K142" s="458"/>
      <c r="L142" s="176">
        <v>63509.040106591725</v>
      </c>
      <c r="M142" s="176">
        <v>66391.301582828892</v>
      </c>
      <c r="O142" s="329">
        <f t="shared" si="43"/>
        <v>32.566751534428505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'[6]Sch C'!D139</f>
        <v>0</v>
      </c>
      <c r="D143" s="480">
        <f>'[6]Sch C'!F139</f>
        <v>0</v>
      </c>
      <c r="E143" s="480">
        <f>+'[6]Sch C'!H139</f>
        <v>0</v>
      </c>
      <c r="F143" s="166">
        <f t="shared" si="46"/>
        <v>0</v>
      </c>
      <c r="G143" s="626"/>
      <c r="H143" s="607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'[6]Sch C'!D141</f>
        <v>0</v>
      </c>
      <c r="D145" s="480">
        <f>'[6]Sch C'!F141</f>
        <v>157374.663081607</v>
      </c>
      <c r="E145" s="480">
        <f>+'[6]Sch C'!H141</f>
        <v>0</v>
      </c>
      <c r="F145" s="166">
        <f t="shared" ref="F145:F148" si="48">C145+D145+E145</f>
        <v>157374.663081607</v>
      </c>
      <c r="G145" s="626"/>
      <c r="H145" s="607"/>
      <c r="I145" s="166">
        <f t="shared" ref="I145:I148" si="49">F145+G145+H145</f>
        <v>157374.663081607</v>
      </c>
      <c r="J145" s="167">
        <f>IF($I$213=0,0,I145/$I$213)</f>
        <v>1.7188540482829098E-2</v>
      </c>
      <c r="K145" s="458"/>
      <c r="L145" s="163"/>
      <c r="M145" s="163"/>
      <c r="O145" s="329">
        <f t="shared" si="43"/>
        <v>5.6939347690439952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'[6]Sch C'!D142</f>
        <v>0</v>
      </c>
      <c r="D146" s="480">
        <f>'[6]Sch C'!F142</f>
        <v>97254.873302746288</v>
      </c>
      <c r="E146" s="480">
        <f>+'[6]Sch C'!H142</f>
        <v>0</v>
      </c>
      <c r="F146" s="166">
        <f t="shared" si="48"/>
        <v>97254.873302746288</v>
      </c>
      <c r="G146" s="626"/>
      <c r="H146" s="607"/>
      <c r="I146" s="166">
        <f t="shared" si="49"/>
        <v>97254.873302746288</v>
      </c>
      <c r="J146" s="167">
        <f>IF($I$213=0,0,I146/$I$213)</f>
        <v>1.062222656546576E-2</v>
      </c>
      <c r="K146" s="458"/>
      <c r="L146" s="163"/>
      <c r="M146" s="163"/>
      <c r="O146" s="329">
        <f t="shared" si="43"/>
        <v>3.5187551395761889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'[6]Sch C'!D143</f>
        <v>0</v>
      </c>
      <c r="D147" s="480">
        <f>'[6]Sch C'!F143</f>
        <v>161596.23679260444</v>
      </c>
      <c r="E147" s="480">
        <f>+'[6]Sch C'!H143</f>
        <v>0</v>
      </c>
      <c r="F147" s="166">
        <f t="shared" si="48"/>
        <v>161596.23679260444</v>
      </c>
      <c r="G147" s="626"/>
      <c r="H147" s="607"/>
      <c r="I147" s="166">
        <f t="shared" si="49"/>
        <v>161596.23679260444</v>
      </c>
      <c r="J147" s="167">
        <f>IF($I$213=0,0,I147/$I$213)</f>
        <v>1.764962290367024E-2</v>
      </c>
      <c r="K147" s="458"/>
      <c r="L147" s="163"/>
      <c r="M147" s="163"/>
      <c r="O147" s="329">
        <f t="shared" si="43"/>
        <v>5.8466745103876567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'[6]Sch C'!D144</f>
        <v>0</v>
      </c>
      <c r="D148" s="480">
        <f>'[6]Sch C'!F144</f>
        <v>0</v>
      </c>
      <c r="E148" s="480">
        <f>+'[6]Sch C'!H144</f>
        <v>0</v>
      </c>
      <c r="F148" s="166">
        <f t="shared" si="48"/>
        <v>0</v>
      </c>
      <c r="G148" s="626"/>
      <c r="H148" s="607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'[6]Sch C'!D146</f>
        <v>76250</v>
      </c>
      <c r="D150" s="480">
        <f>'[6]Sch C'!F146</f>
        <v>0</v>
      </c>
      <c r="E150" s="480">
        <f>+'[6]Sch C'!H146</f>
        <v>734.40028168777928</v>
      </c>
      <c r="F150" s="166">
        <f t="shared" ref="F150:F158" si="50">C150+D150+E150</f>
        <v>76984.400281687776</v>
      </c>
      <c r="G150" s="626"/>
      <c r="H150" s="607"/>
      <c r="I150" s="166">
        <f t="shared" ref="I150:I158" si="51">F150+G150+H150</f>
        <v>76984.400281687776</v>
      </c>
      <c r="J150" s="167">
        <f t="shared" ref="J150:J158" si="52">IF($I$213=0,0,I150/$I$213)</f>
        <v>8.4082752259932465E-3</v>
      </c>
      <c r="K150" s="458"/>
      <c r="L150" s="176" t="s">
        <v>470</v>
      </c>
      <c r="M150" s="176" t="s">
        <v>470</v>
      </c>
      <c r="O150" s="329">
        <f t="shared" si="43"/>
        <v>2.7853540389192002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'[6]Sch C'!D147</f>
        <v>0</v>
      </c>
      <c r="D151" s="480">
        <f>'[6]Sch C'!F147</f>
        <v>0</v>
      </c>
      <c r="E151" s="480">
        <f>+'[6]Sch C'!H147</f>
        <v>0</v>
      </c>
      <c r="F151" s="166">
        <f t="shared" si="50"/>
        <v>0</v>
      </c>
      <c r="G151" s="626"/>
      <c r="H151" s="607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'[6]Sch C'!D148</f>
        <v>583.5</v>
      </c>
      <c r="D152" s="480">
        <f>'[6]Sch C'!F148</f>
        <v>0</v>
      </c>
      <c r="E152" s="480">
        <f>+'[6]Sch C'!H148</f>
        <v>0</v>
      </c>
      <c r="F152" s="166">
        <f t="shared" si="50"/>
        <v>583.5</v>
      </c>
      <c r="G152" s="626"/>
      <c r="H152" s="607"/>
      <c r="I152" s="166">
        <f t="shared" si="51"/>
        <v>583.5</v>
      </c>
      <c r="J152" s="167">
        <f t="shared" si="52"/>
        <v>6.3730165805215736E-5</v>
      </c>
      <c r="K152" s="458"/>
      <c r="L152" s="176" t="s">
        <v>470</v>
      </c>
      <c r="M152" s="176" t="s">
        <v>470</v>
      </c>
      <c r="O152" s="329">
        <f t="shared" si="43"/>
        <v>2.1111472918701836E-2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'[6]Sch C'!D149</f>
        <v>0</v>
      </c>
      <c r="D153" s="480">
        <f>'[6]Sch C'!F149</f>
        <v>0</v>
      </c>
      <c r="E153" s="480">
        <f>+'[6]Sch C'!H149</f>
        <v>0</v>
      </c>
      <c r="F153" s="166">
        <f t="shared" si="50"/>
        <v>0</v>
      </c>
      <c r="G153" s="626"/>
      <c r="H153" s="607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'[6]Sch C'!D150</f>
        <v>0</v>
      </c>
      <c r="D154" s="480">
        <f>'[6]Sch C'!F150</f>
        <v>0</v>
      </c>
      <c r="E154" s="480">
        <f>+'[6]Sch C'!H150</f>
        <v>0</v>
      </c>
      <c r="F154" s="166">
        <f t="shared" si="50"/>
        <v>0</v>
      </c>
      <c r="G154" s="626"/>
      <c r="H154" s="607"/>
      <c r="I154" s="166">
        <f t="shared" si="51"/>
        <v>0</v>
      </c>
      <c r="J154" s="167">
        <f t="shared" si="52"/>
        <v>0</v>
      </c>
      <c r="K154" s="458"/>
      <c r="L154" s="176">
        <v>0</v>
      </c>
      <c r="M154" s="176">
        <v>0</v>
      </c>
      <c r="O154" s="329">
        <f t="shared" si="43"/>
        <v>0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'[6]Sch C'!D151</f>
        <v>342145.74</v>
      </c>
      <c r="D155" s="480">
        <f>'[6]Sch C'!F151</f>
        <v>0</v>
      </c>
      <c r="E155" s="480">
        <f>+'[6]Sch C'!H151</f>
        <v>45.439548628867968</v>
      </c>
      <c r="F155" s="166">
        <f t="shared" si="50"/>
        <v>342191.17954862886</v>
      </c>
      <c r="G155" s="626">
        <f>-23233.83-35385.01-3096.67-8500</f>
        <v>-70215.510000000009</v>
      </c>
      <c r="H155" s="607"/>
      <c r="I155" s="166">
        <f t="shared" si="51"/>
        <v>271975.66954862885</v>
      </c>
      <c r="J155" s="167">
        <f t="shared" si="52"/>
        <v>2.9705320506115993E-2</v>
      </c>
      <c r="K155" s="458" t="s">
        <v>624</v>
      </c>
      <c r="L155" s="163"/>
      <c r="M155" s="163"/>
      <c r="O155" s="329">
        <f t="shared" si="43"/>
        <v>9.8402861734733111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'[6]Sch C'!D152</f>
        <v>0</v>
      </c>
      <c r="D156" s="480">
        <f>'[6]Sch C'!F152</f>
        <v>0</v>
      </c>
      <c r="E156" s="480">
        <f>+'[6]Sch C'!H152</f>
        <v>0</v>
      </c>
      <c r="F156" s="166">
        <f t="shared" si="50"/>
        <v>0</v>
      </c>
      <c r="G156" s="626"/>
      <c r="H156" s="607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'[6]Sch C'!D153</f>
        <v>24383.72</v>
      </c>
      <c r="D157" s="480">
        <f>'[6]Sch C'!F153</f>
        <v>0</v>
      </c>
      <c r="E157" s="480">
        <f>+'[6]Sch C'!H153</f>
        <v>0</v>
      </c>
      <c r="F157" s="166">
        <f t="shared" si="50"/>
        <v>24383.72</v>
      </c>
      <c r="G157" s="626"/>
      <c r="H157" s="607"/>
      <c r="I157" s="166">
        <f t="shared" si="51"/>
        <v>24383.72</v>
      </c>
      <c r="J157" s="167">
        <f t="shared" si="52"/>
        <v>2.6632022597222883E-3</v>
      </c>
      <c r="K157" s="458"/>
      <c r="L157" s="163"/>
      <c r="M157" s="163"/>
      <c r="O157" s="329">
        <f t="shared" si="43"/>
        <v>0.8822214986070408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'[6]Sch C'!D154</f>
        <v>297234.99</v>
      </c>
      <c r="D158" s="480">
        <f>'[6]Sch C'!F154</f>
        <v>0</v>
      </c>
      <c r="E158" s="480">
        <f>+'[6]Sch C'!H154</f>
        <v>0</v>
      </c>
      <c r="F158" s="166">
        <f t="shared" si="50"/>
        <v>297234.99</v>
      </c>
      <c r="G158" s="626"/>
      <c r="H158" s="607"/>
      <c r="I158" s="166">
        <f t="shared" si="51"/>
        <v>297234.99</v>
      </c>
      <c r="J158" s="167">
        <f t="shared" si="52"/>
        <v>3.2464156291022526E-2</v>
      </c>
      <c r="K158" s="458"/>
      <c r="L158" s="163"/>
      <c r="M158" s="163"/>
      <c r="O158" s="329">
        <f t="shared" si="43"/>
        <v>10.75418756105503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'[6]Sch C'!D156</f>
        <v>0</v>
      </c>
      <c r="D160" s="480">
        <f>'[6]Sch C'!F156</f>
        <v>0</v>
      </c>
      <c r="E160" s="480">
        <f>+'[6]Sch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'[6]Sch C'!D157</f>
        <v>0</v>
      </c>
      <c r="D161" s="480">
        <f>'[6]Sch C'!F157</f>
        <v>0</v>
      </c>
      <c r="E161" s="480">
        <f>+'[6]Sch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'[6]Sch C'!D158</f>
        <v>0</v>
      </c>
      <c r="D162" s="480">
        <f>'[6]Sch C'!F158</f>
        <v>0</v>
      </c>
      <c r="E162" s="480">
        <f>+'[6]Sch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'[6]Sch C'!D159</f>
        <v>0</v>
      </c>
      <c r="D163" s="480">
        <f>'[6]Sch C'!F159</f>
        <v>0</v>
      </c>
      <c r="E163" s="480">
        <f>+'[6]Sch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'[6]Sch C'!D160</f>
        <v>0</v>
      </c>
      <c r="D164" s="480">
        <f>'[6]Sch C'!F160</f>
        <v>0</v>
      </c>
      <c r="E164" s="480">
        <f>+'[6]Sch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'[6]Sch C'!D161</f>
        <v>959.39</v>
      </c>
      <c r="D165" s="480">
        <f>'[6]Sch C'!F161</f>
        <v>-959.39</v>
      </c>
      <c r="E165" s="480">
        <f>+'[6]Sch C'!H161</f>
        <v>0</v>
      </c>
      <c r="F165" s="166">
        <f t="shared" si="53"/>
        <v>0</v>
      </c>
      <c r="G165" s="626">
        <v>28364.94</v>
      </c>
      <c r="H165" s="607"/>
      <c r="I165" s="166">
        <f t="shared" si="54"/>
        <v>28364.94</v>
      </c>
      <c r="J165" s="167">
        <f t="shared" si="55"/>
        <v>3.0980331264010216E-3</v>
      </c>
      <c r="K165" s="458" t="s">
        <v>623</v>
      </c>
      <c r="L165" s="163"/>
      <c r="M165" s="163"/>
      <c r="O165" s="329">
        <f t="shared" si="43"/>
        <v>1.0262650602409638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3315919.0000000005</v>
      </c>
      <c r="D166" s="480">
        <f t="shared" si="56"/>
        <v>458756.12685615622</v>
      </c>
      <c r="E166" s="480">
        <f t="shared" si="56"/>
        <v>779.83983031664729</v>
      </c>
      <c r="F166" s="166">
        <f t="shared" ref="F166:I166" si="57">SUM(F128:F165)</f>
        <v>3775454.9666864723</v>
      </c>
      <c r="G166" s="166">
        <f t="shared" si="57"/>
        <v>-41850.570000000007</v>
      </c>
      <c r="H166" s="166">
        <f t="shared" si="57"/>
        <v>0</v>
      </c>
      <c r="I166" s="166">
        <f t="shared" si="57"/>
        <v>3733604.3966864725</v>
      </c>
      <c r="J166" s="167">
        <f t="shared" si="55"/>
        <v>0.40778616495614634</v>
      </c>
      <c r="K166" s="458"/>
      <c r="L166" s="163"/>
      <c r="M166" s="163"/>
      <c r="O166" s="329">
        <f>I166/I$233</f>
        <v>135.08464114788785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'[6]Sch C'!D175</f>
        <v>0</v>
      </c>
      <c r="D169" s="480">
        <f>'[6]Sch C'!F175</f>
        <v>0</v>
      </c>
      <c r="E169" s="480">
        <f>+'[6]Sch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'[6]Sch C'!D176</f>
        <v>0</v>
      </c>
      <c r="D170" s="480">
        <f>'[6]Sch C'!F176</f>
        <v>0</v>
      </c>
      <c r="E170" s="480">
        <f>+'[6]Sch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'[6]Sch C'!D177</f>
        <v>166211.96999999997</v>
      </c>
      <c r="D171" s="480">
        <f>'[6]Sch C'!F177</f>
        <v>-20004.495968991519</v>
      </c>
      <c r="E171" s="480">
        <f>+'[6]Sch C'!H177</f>
        <v>0</v>
      </c>
      <c r="F171" s="166">
        <f t="shared" si="58"/>
        <v>146207.47403100846</v>
      </c>
      <c r="G171" s="626"/>
      <c r="H171" s="607"/>
      <c r="I171" s="166">
        <f t="shared" si="59"/>
        <v>146207.47403100846</v>
      </c>
      <c r="J171" s="167">
        <f t="shared" si="60"/>
        <v>1.5968854433518326E-2</v>
      </c>
      <c r="K171" s="468"/>
      <c r="L171" s="176">
        <v>3570.7576320679586</v>
      </c>
      <c r="M171" s="176">
        <v>3881.258295726042</v>
      </c>
      <c r="N171" s="208"/>
      <c r="O171" s="329">
        <f t="shared" si="61"/>
        <v>5.2898973924891806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'[6]Sch C'!D178</f>
        <v>25564.59</v>
      </c>
      <c r="D172" s="480">
        <f>'[6]Sch C'!F178</f>
        <v>-12373.219696095939</v>
      </c>
      <c r="E172" s="480">
        <f>+'[6]Sch C'!H178</f>
        <v>0</v>
      </c>
      <c r="F172" s="166">
        <f t="shared" si="58"/>
        <v>13191.370303904061</v>
      </c>
      <c r="G172" s="626"/>
      <c r="H172" s="607"/>
      <c r="I172" s="166">
        <f t="shared" si="59"/>
        <v>13191.370303904061</v>
      </c>
      <c r="J172" s="167">
        <f t="shared" si="60"/>
        <v>1.4407681519551072E-3</v>
      </c>
      <c r="K172" s="469"/>
      <c r="L172" s="212"/>
      <c r="M172" s="212"/>
      <c r="N172" s="208"/>
      <c r="O172" s="329">
        <f t="shared" si="61"/>
        <v>0.47727379079937993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'[6]Sch C'!D179</f>
        <v>30505.19</v>
      </c>
      <c r="D173" s="480">
        <f>'[6]Sch C'!F179</f>
        <v>5209.7270888986377</v>
      </c>
      <c r="E173" s="480">
        <f>+'[6]Sch C'!H179</f>
        <v>0</v>
      </c>
      <c r="F173" s="166">
        <f t="shared" si="58"/>
        <v>35714.917088898634</v>
      </c>
      <c r="G173" s="626"/>
      <c r="H173" s="607"/>
      <c r="I173" s="166">
        <f t="shared" si="59"/>
        <v>35714.917088898634</v>
      </c>
      <c r="J173" s="167">
        <f t="shared" si="60"/>
        <v>3.9008013501200395E-3</v>
      </c>
      <c r="K173" s="468"/>
      <c r="L173" s="176">
        <v>900.21369863013706</v>
      </c>
      <c r="M173" s="176">
        <v>978.49315068493149</v>
      </c>
      <c r="N173" s="208"/>
      <c r="O173" s="329">
        <f t="shared" si="61"/>
        <v>1.2921928104815166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'[6]Sch C'!D180</f>
        <v>0</v>
      </c>
      <c r="D174" s="480">
        <f>'[6]Sch C'!F180</f>
        <v>3222.3477015733415</v>
      </c>
      <c r="E174" s="480">
        <f>+'[6]Sch C'!H180</f>
        <v>0</v>
      </c>
      <c r="F174" s="166">
        <f t="shared" si="58"/>
        <v>3222.3477015733415</v>
      </c>
      <c r="G174" s="626"/>
      <c r="H174" s="607"/>
      <c r="I174" s="166">
        <f t="shared" si="59"/>
        <v>3222.3477015733415</v>
      </c>
      <c r="J174" s="167">
        <f t="shared" si="60"/>
        <v>3.5194644953440428E-4</v>
      </c>
      <c r="K174" s="469"/>
      <c r="L174" s="212"/>
      <c r="M174" s="212"/>
      <c r="N174" s="208"/>
      <c r="O174" s="329">
        <f t="shared" si="61"/>
        <v>0.11658698583788638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'[6]Sch C'!D181</f>
        <v>0</v>
      </c>
      <c r="D175" s="480">
        <f>'[6]Sch C'!F181</f>
        <v>0</v>
      </c>
      <c r="E175" s="480">
        <f>+'[6]Sch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'[6]Sch C'!D182</f>
        <v>0</v>
      </c>
      <c r="D176" s="480">
        <f>'[6]Sch C'!F182</f>
        <v>0</v>
      </c>
      <c r="E176" s="480">
        <f>+'[6]Sch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'[6]Sch C'!D183</f>
        <v>86629.680000000008</v>
      </c>
      <c r="D177" s="480">
        <f>'[6]Sch C'!F183</f>
        <v>14794.768880092881</v>
      </c>
      <c r="E177" s="480">
        <f>+'[6]Sch C'!H183</f>
        <v>0</v>
      </c>
      <c r="F177" s="166">
        <f t="shared" si="58"/>
        <v>101424.44888009288</v>
      </c>
      <c r="G177" s="626"/>
      <c r="H177" s="607"/>
      <c r="I177" s="166">
        <f t="shared" si="59"/>
        <v>101424.44888009288</v>
      </c>
      <c r="J177" s="167">
        <f t="shared" si="60"/>
        <v>1.1077629723789112E-2</v>
      </c>
      <c r="K177" s="468"/>
      <c r="L177" s="176">
        <v>2345.0635838150292</v>
      </c>
      <c r="M177" s="176">
        <v>2548.9821563206838</v>
      </c>
      <c r="N177" s="208"/>
      <c r="O177" s="329">
        <f t="shared" si="61"/>
        <v>3.6696135489740178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'[6]Sch C'!D184</f>
        <v>0</v>
      </c>
      <c r="D178" s="480">
        <f>'[6]Sch C'!F184</f>
        <v>9150.8719945225985</v>
      </c>
      <c r="E178" s="480">
        <f>+'[6]Sch C'!H184</f>
        <v>0</v>
      </c>
      <c r="F178" s="166">
        <f t="shared" si="58"/>
        <v>9150.8719945225985</v>
      </c>
      <c r="G178" s="626"/>
      <c r="H178" s="607"/>
      <c r="I178" s="166">
        <f t="shared" si="59"/>
        <v>9150.8719945225985</v>
      </c>
      <c r="J178" s="167">
        <f t="shared" si="60"/>
        <v>9.9946287827460236E-4</v>
      </c>
      <c r="K178" s="469"/>
      <c r="L178" s="212"/>
      <c r="M178" s="212"/>
      <c r="N178" s="208"/>
      <c r="O178" s="329">
        <f t="shared" si="61"/>
        <v>0.33108549493551137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'[6]Sch C'!D185</f>
        <v>0</v>
      </c>
      <c r="D179" s="480">
        <f>'[6]Sch C'!F185</f>
        <v>0</v>
      </c>
      <c r="E179" s="480">
        <f>+'[6]Sch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'[6]Sch C'!D186</f>
        <v>0</v>
      </c>
      <c r="D180" s="480">
        <f>'[6]Sch C'!F186</f>
        <v>0</v>
      </c>
      <c r="E180" s="480">
        <f>+'[6]Sch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'[6]Sch C'!D187</f>
        <v>0</v>
      </c>
      <c r="D181" s="480">
        <f>'[6]Sch C'!F187</f>
        <v>0</v>
      </c>
      <c r="E181" s="480">
        <f>+'[6]Sch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'[6]Sch C'!D188</f>
        <v>126527.78</v>
      </c>
      <c r="D182" s="480">
        <f>'[6]Sch C'!F188</f>
        <v>0</v>
      </c>
      <c r="E182" s="480">
        <f>+'[6]Sch C'!H188</f>
        <v>0</v>
      </c>
      <c r="F182" s="166">
        <f t="shared" si="58"/>
        <v>126527.78</v>
      </c>
      <c r="G182" s="626"/>
      <c r="H182" s="607"/>
      <c r="I182" s="166">
        <f t="shared" si="59"/>
        <v>126527.78</v>
      </c>
      <c r="J182" s="167">
        <f t="shared" si="60"/>
        <v>1.3819428274834379E-2</v>
      </c>
      <c r="K182" s="458"/>
      <c r="L182" s="213"/>
      <c r="M182" s="208"/>
      <c r="N182" s="210"/>
      <c r="O182" s="329">
        <f t="shared" si="61"/>
        <v>4.577871124136184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'[6]Sch C'!D189</f>
        <v>27955.200000000001</v>
      </c>
      <c r="D183" s="480">
        <f>'[6]Sch C'!F189</f>
        <v>0</v>
      </c>
      <c r="E183" s="480">
        <f>+'[6]Sch C'!H189</f>
        <v>0</v>
      </c>
      <c r="F183" s="166">
        <f t="shared" si="58"/>
        <v>27955.200000000001</v>
      </c>
      <c r="G183" s="626"/>
      <c r="H183" s="607"/>
      <c r="I183" s="166">
        <f t="shared" si="59"/>
        <v>27955.200000000001</v>
      </c>
      <c r="J183" s="167">
        <f t="shared" si="60"/>
        <v>3.0532811158834054E-3</v>
      </c>
      <c r="K183" s="458"/>
      <c r="L183" s="213"/>
      <c r="M183" s="208"/>
      <c r="N183" s="210"/>
      <c r="O183" s="329">
        <f t="shared" si="61"/>
        <v>1.0114403560186693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'[6]Sch C'!D190</f>
        <v>0</v>
      </c>
      <c r="D184" s="480">
        <f>'[6]Sch C'!F190</f>
        <v>0</v>
      </c>
      <c r="E184" s="480">
        <f>+'[6]Sch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'[6]Sch C'!D191</f>
        <v>101509.42</v>
      </c>
      <c r="D185" s="480">
        <f>'[6]Sch C'!F191</f>
        <v>0</v>
      </c>
      <c r="E185" s="480">
        <f>+'[6]Sch C'!H191</f>
        <v>0</v>
      </c>
      <c r="F185" s="166">
        <f t="shared" si="58"/>
        <v>101509.42</v>
      </c>
      <c r="G185" s="626"/>
      <c r="H185" s="607"/>
      <c r="I185" s="166">
        <f t="shared" si="59"/>
        <v>101509.42</v>
      </c>
      <c r="J185" s="167">
        <f t="shared" si="60"/>
        <v>1.1086910312581461E-2</v>
      </c>
      <c r="K185" s="458"/>
      <c r="L185" s="213"/>
      <c r="M185" s="208"/>
      <c r="N185" s="210"/>
      <c r="O185" s="329">
        <f t="shared" si="61"/>
        <v>3.672687868591483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'[6]Sch C'!D192</f>
        <v>37955.93</v>
      </c>
      <c r="D186" s="480">
        <f>'[6]Sch C'!F192</f>
        <v>0</v>
      </c>
      <c r="E186" s="480">
        <f>+'[6]Sch C'!H192</f>
        <v>0</v>
      </c>
      <c r="F186" s="166">
        <f t="shared" si="58"/>
        <v>37955.93</v>
      </c>
      <c r="G186" s="626"/>
      <c r="H186" s="607"/>
      <c r="I186" s="166">
        <f t="shared" si="59"/>
        <v>37955.93</v>
      </c>
      <c r="J186" s="167">
        <f t="shared" si="60"/>
        <v>4.1455659163516061E-3</v>
      </c>
      <c r="K186" s="458"/>
      <c r="L186" s="213"/>
      <c r="M186" s="208"/>
      <c r="N186" s="210"/>
      <c r="O186" s="329">
        <f t="shared" si="61"/>
        <v>1.3732743586960454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'[6]Sch C'!D193</f>
        <v>0</v>
      </c>
      <c r="D187" s="480">
        <f>'[6]Sch C'!F193</f>
        <v>0</v>
      </c>
      <c r="E187" s="480">
        <f>+'[6]Sch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'[6]Sch C'!D194</f>
        <v>0</v>
      </c>
      <c r="D188" s="480">
        <f>'[6]Sch C'!F194</f>
        <v>0</v>
      </c>
      <c r="E188" s="480">
        <f>+'[6]Sch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'[6]Sch C'!D195</f>
        <v>0</v>
      </c>
      <c r="D189" s="480">
        <f>'[6]Sch C'!F195</f>
        <v>0</v>
      </c>
      <c r="E189" s="480">
        <f>+'[6]Sch C'!H195</f>
        <v>0</v>
      </c>
      <c r="F189" s="166">
        <f t="shared" si="58"/>
        <v>0</v>
      </c>
      <c r="G189" s="626"/>
      <c r="H189" s="607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'[6]Sch C'!D196</f>
        <v>0</v>
      </c>
      <c r="D190" s="480">
        <f>'[6]Sch C'!F196</f>
        <v>0</v>
      </c>
      <c r="E190" s="480">
        <f>+'[6]Sch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'[6]Sch C'!D197</f>
        <v>0</v>
      </c>
      <c r="D191" s="480">
        <f>'[6]Sch C'!F197</f>
        <v>0</v>
      </c>
      <c r="E191" s="480">
        <f>+'[6]Sch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'[6]Sch C'!D198</f>
        <v>0</v>
      </c>
      <c r="D192" s="480">
        <f>'[6]Sch C'!F198</f>
        <v>0</v>
      </c>
      <c r="E192" s="480">
        <f>+'[6]Sch C'!H198</f>
        <v>0</v>
      </c>
      <c r="F192" s="166">
        <f t="shared" si="58"/>
        <v>0</v>
      </c>
      <c r="G192" s="626"/>
      <c r="H192" s="607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'[6]Sch C'!D199</f>
        <v>0</v>
      </c>
      <c r="D193" s="480">
        <f>'[6]Sch C'!F199</f>
        <v>0</v>
      </c>
      <c r="E193" s="480">
        <f>+'[6]Sch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'[6]Sch C'!D200</f>
        <v>1868.5</v>
      </c>
      <c r="D194" s="480">
        <f>'[6]Sch C'!F200</f>
        <v>0</v>
      </c>
      <c r="E194" s="480">
        <f>+'[6]Sch C'!H200</f>
        <v>0</v>
      </c>
      <c r="F194" s="166">
        <f t="shared" si="58"/>
        <v>1868.5</v>
      </c>
      <c r="G194" s="626"/>
      <c r="H194" s="607"/>
      <c r="I194" s="166">
        <f t="shared" si="59"/>
        <v>1868.5</v>
      </c>
      <c r="J194" s="167">
        <f t="shared" si="60"/>
        <v>2.0407851723572512E-4</v>
      </c>
      <c r="K194" s="458"/>
      <c r="L194" s="213"/>
      <c r="M194" s="208"/>
      <c r="O194" s="329">
        <f t="shared" si="61"/>
        <v>6.7603748326639887E-2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'[6]Sch C'!D201</f>
        <v>0</v>
      </c>
      <c r="D195" s="480">
        <f>'[6]Sch C'!F201</f>
        <v>0</v>
      </c>
      <c r="E195" s="480">
        <f>+'[6]Sch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'[6]Sch C'!D202</f>
        <v>0</v>
      </c>
      <c r="D196" s="480">
        <f>'[6]Sch C'!F202</f>
        <v>0</v>
      </c>
      <c r="E196" s="480">
        <f>+'[6]Sch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'[6]Sch C'!D203</f>
        <v>0</v>
      </c>
      <c r="D197" s="480">
        <f>'[6]Sch C'!F203</f>
        <v>0</v>
      </c>
      <c r="E197" s="480">
        <f>+'[6]Sch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'[6]Sch C'!D204</f>
        <v>0</v>
      </c>
      <c r="D198" s="480">
        <f>'[6]Sch C'!F204</f>
        <v>0</v>
      </c>
      <c r="E198" s="480">
        <f>+'[6]Sch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'[6]Sch C'!D205</f>
        <v>250808.52</v>
      </c>
      <c r="D199" s="480">
        <f>'[6]Sch C'!F205</f>
        <v>0</v>
      </c>
      <c r="E199" s="480">
        <f>+'[6]Sch C'!H205</f>
        <v>0</v>
      </c>
      <c r="F199" s="166">
        <f t="shared" si="58"/>
        <v>250808.52</v>
      </c>
      <c r="G199" s="626"/>
      <c r="H199" s="607"/>
      <c r="I199" s="166">
        <f t="shared" si="59"/>
        <v>250808.52</v>
      </c>
      <c r="J199" s="167">
        <f t="shared" si="60"/>
        <v>2.739343370173225E-2</v>
      </c>
      <c r="K199" s="458"/>
      <c r="L199" s="213"/>
      <c r="M199" s="208"/>
      <c r="O199" s="329">
        <f t="shared" si="61"/>
        <v>9.0744426354064913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'[6]Sch C'!D206</f>
        <v>6668.5</v>
      </c>
      <c r="D200" s="480">
        <f>'[6]Sch C'!F206</f>
        <v>0</v>
      </c>
      <c r="E200" s="480">
        <f>+'[6]Sch C'!H206</f>
        <v>0</v>
      </c>
      <c r="F200" s="166">
        <f t="shared" si="58"/>
        <v>6668.5</v>
      </c>
      <c r="G200" s="626"/>
      <c r="H200" s="607"/>
      <c r="I200" s="166">
        <f t="shared" si="59"/>
        <v>6668.5</v>
      </c>
      <c r="J200" s="167">
        <f t="shared" si="60"/>
        <v>7.2833695059482638E-4</v>
      </c>
      <c r="K200" s="458"/>
      <c r="L200" s="213"/>
      <c r="M200" s="208"/>
      <c r="O200" s="329">
        <f t="shared" si="61"/>
        <v>0.24127139187380151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'[6]Sch C'!D207</f>
        <v>0</v>
      </c>
      <c r="D201" s="480">
        <f>'[6]Sch C'!F207</f>
        <v>0</v>
      </c>
      <c r="E201" s="480">
        <f>+'[6]Sch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 t="s">
        <v>564</v>
      </c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862205.28</v>
      </c>
      <c r="D202" s="480">
        <f t="shared" si="62"/>
        <v>-1.8189894035458565E-12</v>
      </c>
      <c r="E202" s="480">
        <f t="shared" si="62"/>
        <v>0</v>
      </c>
      <c r="F202" s="166">
        <f t="shared" ref="F202:I202" si="63">SUM(F169:F201)</f>
        <v>862205.28</v>
      </c>
      <c r="G202" s="166">
        <f t="shared" si="63"/>
        <v>0</v>
      </c>
      <c r="H202" s="166">
        <f t="shared" si="63"/>
        <v>0</v>
      </c>
      <c r="I202" s="166">
        <f t="shared" si="63"/>
        <v>862205.28</v>
      </c>
      <c r="J202" s="167">
        <f>IF($I$213=0,0,I202/$I$213)</f>
        <v>9.4170497776405251E-2</v>
      </c>
      <c r="K202" s="458"/>
      <c r="L202" s="163"/>
      <c r="M202" s="163"/>
      <c r="O202" s="329">
        <f>I202/I$233</f>
        <v>31.195241506566809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'[6]Sch C'!D211</f>
        <v>188210.50999999998</v>
      </c>
      <c r="D205" s="480">
        <f>'[6]Sch C'!F211</f>
        <v>-306.73220290548886</v>
      </c>
      <c r="E205" s="480">
        <f>+'[6]Sch C'!H211</f>
        <v>0</v>
      </c>
      <c r="F205" s="166">
        <f t="shared" ref="F205:F210" si="64">C205+D205+E205</f>
        <v>187903.77779709449</v>
      </c>
      <c r="G205" s="626"/>
      <c r="H205" s="607"/>
      <c r="I205" s="166">
        <f t="shared" ref="I205:I210" si="65">F205+G205+H205</f>
        <v>187903.77779709449</v>
      </c>
      <c r="J205" s="167">
        <f t="shared" ref="J205:J211" si="66">IF($I$213=0,0,I205/$I$213)</f>
        <v>2.0522945868783629E-2</v>
      </c>
      <c r="K205" s="458"/>
      <c r="L205" s="176">
        <v>11326.125649133886</v>
      </c>
      <c r="M205" s="176">
        <v>11923.569512678496</v>
      </c>
      <c r="O205" s="329">
        <f t="shared" ref="O205:O210" si="67">I205/I$233</f>
        <v>6.7985013132564305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'[6]Sch C'!D212</f>
        <v>0</v>
      </c>
      <c r="D206" s="480">
        <f>'[6]Sch C'!F212</f>
        <v>33734.166789414085</v>
      </c>
      <c r="E206" s="480">
        <f>+'[6]Sch C'!H212</f>
        <v>0</v>
      </c>
      <c r="F206" s="166">
        <f t="shared" si="64"/>
        <v>33734.166789414085</v>
      </c>
      <c r="G206" s="626"/>
      <c r="H206" s="607"/>
      <c r="I206" s="166">
        <f t="shared" si="65"/>
        <v>33734.166789414085</v>
      </c>
      <c r="J206" s="167">
        <f t="shared" si="66"/>
        <v>3.6844627982693437E-3</v>
      </c>
      <c r="K206" s="458"/>
      <c r="L206" s="163"/>
      <c r="M206" s="163"/>
      <c r="O206" s="329">
        <f t="shared" si="67"/>
        <v>1.2205277611134298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'[6]Sch C'!D213</f>
        <v>5455.34</v>
      </c>
      <c r="D207" s="480">
        <f>'[6]Sch C'!F213</f>
        <v>0</v>
      </c>
      <c r="E207" s="480">
        <f>+'[6]Sch C'!H213</f>
        <v>87.820320084506335</v>
      </c>
      <c r="F207" s="166">
        <f t="shared" si="64"/>
        <v>5543.1603200845066</v>
      </c>
      <c r="G207" s="626"/>
      <c r="H207" s="607"/>
      <c r="I207" s="166">
        <f t="shared" si="65"/>
        <v>5543.1603200845066</v>
      </c>
      <c r="J207" s="167">
        <f t="shared" si="66"/>
        <v>6.0542678026371611E-4</v>
      </c>
      <c r="K207" s="458"/>
      <c r="L207" s="163"/>
      <c r="M207" s="163"/>
      <c r="O207" s="329">
        <f t="shared" si="67"/>
        <v>0.20055574804025134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'[6]Sch C'!D214</f>
        <v>0</v>
      </c>
      <c r="D208" s="480">
        <f>'[6]Sch C'!F214</f>
        <v>0</v>
      </c>
      <c r="E208" s="480">
        <f>+'[6]Sch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'[6]Sch C'!D215</f>
        <v>0</v>
      </c>
      <c r="D209" s="480">
        <f>'[6]Sch C'!F215</f>
        <v>0</v>
      </c>
      <c r="E209" s="480">
        <f>+'[6]Sch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'[6]Sch C'!D216</f>
        <v>11845.35</v>
      </c>
      <c r="D210" s="480">
        <f>'[6]Sch C'!F216</f>
        <v>0</v>
      </c>
      <c r="E210" s="480">
        <f>+'[6]Sch C'!H216</f>
        <v>5559.5841852432486</v>
      </c>
      <c r="F210" s="166">
        <f t="shared" si="64"/>
        <v>17404.934185243248</v>
      </c>
      <c r="G210" s="626"/>
      <c r="H210" s="607"/>
      <c r="I210" s="166">
        <f t="shared" si="65"/>
        <v>17404.934185243248</v>
      </c>
      <c r="J210" s="167">
        <f t="shared" si="66"/>
        <v>1.9009757351403937E-3</v>
      </c>
      <c r="K210" s="458"/>
      <c r="L210" s="163"/>
      <c r="M210" s="163"/>
      <c r="O210" s="329">
        <f t="shared" si="67"/>
        <v>0.62972373042596508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205511.19999999998</v>
      </c>
      <c r="D211" s="480">
        <f t="shared" si="68"/>
        <v>33427.434586508592</v>
      </c>
      <c r="E211" s="480">
        <f t="shared" si="68"/>
        <v>5647.404505327755</v>
      </c>
      <c r="F211" s="166">
        <f t="shared" ref="F211:I211" si="69">SUM(F205:F210)</f>
        <v>244586.03909183631</v>
      </c>
      <c r="G211" s="166">
        <f t="shared" si="69"/>
        <v>0</v>
      </c>
      <c r="H211" s="166">
        <f t="shared" si="69"/>
        <v>0</v>
      </c>
      <c r="I211" s="166">
        <f t="shared" si="69"/>
        <v>244586.03909183631</v>
      </c>
      <c r="J211" s="167">
        <f t="shared" si="66"/>
        <v>2.6713811182457081E-2</v>
      </c>
      <c r="K211" s="458"/>
      <c r="L211" s="163"/>
      <c r="M211" s="163"/>
      <c r="O211" s="329">
        <f>I211/I$233</f>
        <v>8.8493085528360762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8828559.9099999983</v>
      </c>
      <c r="D213" s="480">
        <f t="shared" si="70"/>
        <v>-213861.98999999987</v>
      </c>
      <c r="E213" s="480">
        <f t="shared" si="70"/>
        <v>545727.84812023106</v>
      </c>
      <c r="F213" s="166">
        <f t="shared" ref="F213:I213" si="71">SUM(F30:F211)/2</f>
        <v>9160425.7681202311</v>
      </c>
      <c r="G213" s="166">
        <f t="shared" si="71"/>
        <v>-4636.0000000000091</v>
      </c>
      <c r="H213" s="166">
        <f t="shared" si="71"/>
        <v>0</v>
      </c>
      <c r="I213" s="166">
        <f t="shared" si="71"/>
        <v>9155789.7681202292</v>
      </c>
      <c r="J213" s="167">
        <f>IF($I$213=0,0,I213/$I$213)</f>
        <v>1</v>
      </c>
      <c r="K213" s="458"/>
      <c r="L213" s="176">
        <f>SUM(L30:L205)</f>
        <v>201475.7360714071</v>
      </c>
      <c r="M213" s="176">
        <f>SUM(M30:M205)</f>
        <v>212152.78605268805</v>
      </c>
      <c r="O213" s="329">
        <f>I213/I$233</f>
        <v>331.2634237172195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 s="60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604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'[6]Sch C'!D221</f>
        <v>8828559.9100000001</v>
      </c>
      <c r="D216" s="188"/>
      <c r="E216" s="188"/>
      <c r="F216" s="160"/>
      <c r="G216" s="160"/>
      <c r="H216" s="605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605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606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-419316.18999999948</v>
      </c>
      <c r="D220" s="480">
        <f t="shared" si="72"/>
        <v>193627.86999999988</v>
      </c>
      <c r="E220" s="480">
        <f t="shared" si="72"/>
        <v>-545727.84812023106</v>
      </c>
      <c r="F220" s="166">
        <f t="shared" ref="F220:I220" si="73">F26-F213</f>
        <v>-771416.16812023148</v>
      </c>
      <c r="G220" s="166">
        <f t="shared" si="73"/>
        <v>1437477</v>
      </c>
      <c r="H220" s="166">
        <f t="shared" si="73"/>
        <v>0</v>
      </c>
      <c r="I220" s="166">
        <f t="shared" si="73"/>
        <v>666060.83187977038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'[6]Sch D'!C9</f>
        <v>14701</v>
      </c>
      <c r="D224" s="480"/>
      <c r="E224" s="480"/>
      <c r="F224" s="224">
        <f>C224+D224+E224</f>
        <v>14701</v>
      </c>
      <c r="G224" s="627"/>
      <c r="H224" s="223"/>
      <c r="I224" s="224">
        <f>F224+G224+H224</f>
        <v>14701</v>
      </c>
      <c r="J224" s="167">
        <f t="shared" ref="J224:J233" si="74">IF($I$233=0,0,I224/$I$233)</f>
        <v>0.53189333912225478</v>
      </c>
      <c r="K224" s="458"/>
      <c r="L224" s="163"/>
      <c r="M224" s="163"/>
    </row>
    <row r="225" spans="1:13">
      <c r="A225" s="158"/>
      <c r="B225" s="165" t="s">
        <v>201</v>
      </c>
      <c r="C225" s="504">
        <f>'[6]Sch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'[6]Sch D'!E9</f>
        <v>4815</v>
      </c>
      <c r="D226" s="480"/>
      <c r="E226" s="480"/>
      <c r="F226" s="224">
        <f t="shared" si="75"/>
        <v>4815</v>
      </c>
      <c r="G226" s="627"/>
      <c r="H226" s="223"/>
      <c r="I226" s="224">
        <f t="shared" si="76"/>
        <v>4815</v>
      </c>
      <c r="J226" s="167">
        <f t="shared" si="74"/>
        <v>0.17421035493324649</v>
      </c>
      <c r="K226" s="458"/>
      <c r="L226" s="163"/>
      <c r="M226" s="163"/>
    </row>
    <row r="227" spans="1:13">
      <c r="A227" s="158"/>
      <c r="B227" s="194" t="s">
        <v>315</v>
      </c>
      <c r="C227" s="504">
        <f>'[6]Sch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'[6]Sch D'!H9</f>
        <v>5373</v>
      </c>
      <c r="D229" s="480"/>
      <c r="E229" s="480"/>
      <c r="F229" s="224">
        <f t="shared" si="75"/>
        <v>5373</v>
      </c>
      <c r="G229" s="627"/>
      <c r="H229" s="223"/>
      <c r="I229" s="224">
        <f t="shared" si="76"/>
        <v>5373</v>
      </c>
      <c r="J229" s="167">
        <f t="shared" si="74"/>
        <v>0.19439921849560404</v>
      </c>
      <c r="K229" s="458"/>
      <c r="L229" s="163"/>
      <c r="M229" s="163"/>
    </row>
    <row r="230" spans="1:13">
      <c r="A230" s="158"/>
      <c r="B230" s="165" t="s">
        <v>219</v>
      </c>
      <c r="C230" s="504">
        <f>'[6]Sch D'!I9</f>
        <v>2750</v>
      </c>
      <c r="D230" s="480"/>
      <c r="E230" s="480"/>
      <c r="F230" s="224">
        <f t="shared" si="75"/>
        <v>2750</v>
      </c>
      <c r="G230" s="627"/>
      <c r="H230" s="223"/>
      <c r="I230" s="224">
        <f t="shared" si="76"/>
        <v>2750</v>
      </c>
      <c r="J230" s="167">
        <f t="shared" si="74"/>
        <v>9.9497087448894683E-2</v>
      </c>
      <c r="K230" s="458"/>
      <c r="L230" s="163"/>
      <c r="M230" s="163"/>
    </row>
    <row r="231" spans="1:13">
      <c r="A231" s="158"/>
      <c r="B231" s="165" t="s">
        <v>218</v>
      </c>
      <c r="C231" s="504">
        <f>'[6]Sch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27639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27639</v>
      </c>
      <c r="G233" s="226">
        <f t="shared" si="78"/>
        <v>0</v>
      </c>
      <c r="H233" s="226">
        <f t="shared" si="78"/>
        <v>0</v>
      </c>
      <c r="I233" s="226">
        <f t="shared" si="78"/>
        <v>27639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'[6]Sch D'!N22</f>
        <v>180</v>
      </c>
      <c r="D236" s="480"/>
      <c r="E236" s="480"/>
      <c r="F236" s="224">
        <f>C236+E236</f>
        <v>180</v>
      </c>
      <c r="G236" s="627"/>
      <c r="H236" s="441"/>
      <c r="I236" s="224">
        <f>F236+G236+H236</f>
        <v>180</v>
      </c>
      <c r="J236" s="261"/>
      <c r="K236" s="460"/>
      <c r="L236" s="163"/>
      <c r="M236" s="163"/>
    </row>
    <row r="237" spans="1:13">
      <c r="A237" s="158"/>
      <c r="B237" s="194" t="s">
        <v>271</v>
      </c>
      <c r="C237" s="504">
        <f>'[6]Sch D'!N24</f>
        <v>156</v>
      </c>
      <c r="D237" s="480"/>
      <c r="E237" s="480"/>
      <c r="F237" s="224">
        <f>C237+E237</f>
        <v>156</v>
      </c>
      <c r="G237" s="627"/>
      <c r="H237" s="224"/>
      <c r="I237" s="224">
        <f>F237+G237+H237</f>
        <v>156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513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'[6]Sch D'!N28</f>
        <v>65700</v>
      </c>
      <c r="D240" s="427"/>
      <c r="E240" s="427"/>
      <c r="F240" s="223">
        <f>F236*F238</f>
        <v>65700</v>
      </c>
      <c r="G240"/>
      <c r="H240" s="228"/>
      <c r="I240" s="223">
        <f>I236*I238</f>
        <v>65700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'[6]Sch D'!N30</f>
        <v>0.42068493150684932</v>
      </c>
      <c r="D241" s="228"/>
      <c r="E241" s="228"/>
      <c r="F241" s="232">
        <f>F233/F240</f>
        <v>0.42068493150684932</v>
      </c>
      <c r="G241"/>
      <c r="H241" s="233"/>
      <c r="I241" s="232">
        <f>I233/I240</f>
        <v>0.42068493150684932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'[6]Sch D'!N32</f>
        <v>0.22375951293759513</v>
      </c>
      <c r="D242" s="228"/>
      <c r="E242" s="228"/>
      <c r="F242" s="232">
        <f>(F224+F225)/F240</f>
        <v>0.22375951293759513</v>
      </c>
      <c r="G242"/>
      <c r="H242" s="233"/>
      <c r="I242" s="232">
        <f>(I224+I225)/I240</f>
        <v>0.22375951293759513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'[6]Sch D'!N34</f>
        <v>0.53189333912225478</v>
      </c>
      <c r="D243" s="228"/>
      <c r="E243" s="228"/>
      <c r="F243" s="232">
        <f>(F242/F241)</f>
        <v>0.53189333912225478</v>
      </c>
      <c r="G243"/>
      <c r="H243" s="233"/>
      <c r="I243" s="232">
        <f>(I242/I241)</f>
        <v>0.53189333912225478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'[6]Sch B'!C90</f>
        <v>215.92345854004253</v>
      </c>
      <c r="K246" s="460"/>
    </row>
    <row r="247" spans="1:13">
      <c r="H247" s="140" t="s">
        <v>322</v>
      </c>
      <c r="I247" s="480">
        <f>'[6]Sch B'!E90</f>
        <v>253.02336145360155</v>
      </c>
      <c r="K247" s="460"/>
    </row>
    <row r="248" spans="1:13">
      <c r="H248" s="140" t="s">
        <v>323</v>
      </c>
      <c r="I248" s="480">
        <f>'[6]Sch B'!G90</f>
        <v>249.57649938800489</v>
      </c>
      <c r="K248" s="460"/>
    </row>
    <row r="249" spans="1:13">
      <c r="H249" s="140" t="s">
        <v>324</v>
      </c>
      <c r="I249" s="480">
        <f>'[6]Sch B'!I90</f>
        <v>281.34598630989422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Ruler="0">
      <pageMargins left="0.75" right="0.75" top="1" bottom="1" header="0.5" footer="0.5"/>
      <headerFooter alignWithMargins="0"/>
    </customSheetView>
    <customSheetView guid="{00D6F160-3E2B-11D5-8BE5-C1A1C12816BD}" showPageBreaks="1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3">
    <tabColor rgb="FFE28CAB"/>
  </sheetPr>
  <dimension ref="A1:Q277"/>
  <sheetViews>
    <sheetView showGridLines="0" topLeftCell="A43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59"/>
    </row>
    <row r="2" spans="1:16" ht="23">
      <c r="B2" s="141" t="s">
        <v>178</v>
      </c>
      <c r="C2" s="234" t="s">
        <v>340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'[53]Sch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'[53]Sch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'[53]Sch B'!E10</f>
        <v>2098888.16</v>
      </c>
      <c r="D12" s="480">
        <f>'[53]Sch B'!G10</f>
        <v>0</v>
      </c>
      <c r="E12" s="480"/>
      <c r="F12" s="166">
        <f>C12+D12+E12</f>
        <v>2098888.16</v>
      </c>
      <c r="G12" s="626"/>
      <c r="H12" s="166"/>
      <c r="I12" s="166">
        <f>F12+G12+H12</f>
        <v>2098888.16</v>
      </c>
      <c r="J12" s="167">
        <f>IF($I$26=0,0,I12/$I$26)</f>
        <v>0.48452920724902537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'[53]Sch B'!E12</f>
        <v>0</v>
      </c>
      <c r="D13" s="480">
        <f>'[53]Sch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'[53]Sch B'!E13</f>
        <v>347.33</v>
      </c>
      <c r="D14" s="480">
        <f>'[53]Sch B'!G13</f>
        <v>0</v>
      </c>
      <c r="E14" s="480"/>
      <c r="F14" s="166">
        <f t="shared" si="0"/>
        <v>347.33</v>
      </c>
      <c r="G14" s="626"/>
      <c r="H14" s="166"/>
      <c r="I14" s="166">
        <f t="shared" si="1"/>
        <v>347.33</v>
      </c>
      <c r="J14" s="167">
        <f>IF($I$26=0,0,I14/$I$26)</f>
        <v>8.0181275382392911E-5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'[53]Sch B'!E14</f>
        <v>20327.48</v>
      </c>
      <c r="D15" s="480">
        <f>'[53]Sch B'!G14</f>
        <v>0</v>
      </c>
      <c r="E15" s="480"/>
      <c r="F15" s="166">
        <f t="shared" si="0"/>
        <v>20327.48</v>
      </c>
      <c r="G15" s="626"/>
      <c r="H15" s="166"/>
      <c r="I15" s="166">
        <f t="shared" si="1"/>
        <v>20327.48</v>
      </c>
      <c r="J15" s="167">
        <f>IF($I$26=0,0,I15/$I$26)</f>
        <v>4.6926072372386043E-3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'[53]Sch B'!E15</f>
        <v>2119562.9700000002</v>
      </c>
      <c r="D16" s="480">
        <f>'[53]Sch B'!G15</f>
        <v>0</v>
      </c>
      <c r="E16" s="480"/>
      <c r="F16" s="166">
        <f t="shared" si="0"/>
        <v>2119562.9700000002</v>
      </c>
      <c r="G16" s="626"/>
      <c r="H16" s="166"/>
      <c r="I16" s="166">
        <f>SUM(I12:I15)</f>
        <v>2119562.9700000002</v>
      </c>
      <c r="J16" s="167">
        <f t="shared" ref="J16:J26" si="2">IF($I$26=0,0,I16/$I$26)</f>
        <v>0.4893019957616464</v>
      </c>
      <c r="K16" s="458"/>
      <c r="L16" s="333" t="s">
        <v>325</v>
      </c>
      <c r="M16" s="334">
        <f>I26</f>
        <v>4331809.37</v>
      </c>
      <c r="O16" s="324">
        <f>IFERROR(I16/I224,0)</f>
        <v>193.86837738955458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'[53]Sch B'!E20</f>
        <v>0</v>
      </c>
      <c r="D17" s="480">
        <f>'[53]Sch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4710413.79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'[53]Sch B'!E26</f>
        <v>1076564.3700000001</v>
      </c>
      <c r="D18" s="480">
        <f>'[53]Sch B'!G26</f>
        <v>0</v>
      </c>
      <c r="E18" s="480"/>
      <c r="F18" s="166">
        <f t="shared" si="0"/>
        <v>1076564.3700000001</v>
      </c>
      <c r="G18" s="626"/>
      <c r="H18" s="166"/>
      <c r="I18" s="166">
        <f t="shared" si="1"/>
        <v>1076564.3700000001</v>
      </c>
      <c r="J18" s="167">
        <f t="shared" si="2"/>
        <v>0.24852533388374845</v>
      </c>
      <c r="K18" s="458"/>
      <c r="L18" s="335" t="s">
        <v>327</v>
      </c>
      <c r="M18" s="336">
        <f>I233</f>
        <v>16758</v>
      </c>
      <c r="O18" s="324">
        <f t="shared" si="3"/>
        <v>585.40748776508974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'[53]Sch B'!E32</f>
        <v>660093.26</v>
      </c>
      <c r="D19" s="480">
        <f>'[53]Sch B'!G32</f>
        <v>0</v>
      </c>
      <c r="E19" s="480"/>
      <c r="F19" s="166">
        <f t="shared" si="0"/>
        <v>660093.26</v>
      </c>
      <c r="G19" s="626"/>
      <c r="H19" s="166"/>
      <c r="I19" s="166">
        <f t="shared" si="1"/>
        <v>660093.26</v>
      </c>
      <c r="J19" s="170">
        <f t="shared" si="2"/>
        <v>0.15238280441689889</v>
      </c>
      <c r="K19" s="464"/>
      <c r="L19" s="335" t="s">
        <v>328</v>
      </c>
      <c r="M19" s="336">
        <f>I236</f>
        <v>76</v>
      </c>
      <c r="O19" s="324">
        <f t="shared" si="3"/>
        <v>366.92232351306279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'[53]Sch B'!E37</f>
        <v>0</v>
      </c>
      <c r="D20" s="480">
        <f>'[53]Sch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27740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'[53]Sch B'!E42</f>
        <v>166709.41999999998</v>
      </c>
      <c r="D21" s="480">
        <f>'[53]Sch B'!G42</f>
        <v>0</v>
      </c>
      <c r="E21" s="480"/>
      <c r="F21" s="166">
        <f t="shared" si="0"/>
        <v>166709.41999999998</v>
      </c>
      <c r="G21" s="626"/>
      <c r="H21" s="166"/>
      <c r="I21" s="166">
        <f t="shared" si="1"/>
        <v>166709.41999999998</v>
      </c>
      <c r="J21" s="167">
        <f t="shared" si="2"/>
        <v>3.8484939146802753E-2</v>
      </c>
      <c r="K21" s="458"/>
      <c r="L21" s="337"/>
      <c r="M21" s="336"/>
      <c r="O21" s="324">
        <f t="shared" si="3"/>
        <v>287.43003448275857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'[53]Sch B'!E47</f>
        <v>268930.81</v>
      </c>
      <c r="D22" s="480">
        <f>'[53]Sch B'!G47</f>
        <v>0</v>
      </c>
      <c r="E22" s="480"/>
      <c r="F22" s="166">
        <f t="shared" si="0"/>
        <v>268930.81</v>
      </c>
      <c r="G22" s="626"/>
      <c r="H22" s="166"/>
      <c r="I22" s="166">
        <f t="shared" si="1"/>
        <v>268930.81</v>
      </c>
      <c r="J22" s="167">
        <f t="shared" si="2"/>
        <v>6.2082789668096591E-2</v>
      </c>
      <c r="K22" s="458"/>
      <c r="L22" s="335" t="s">
        <v>148</v>
      </c>
      <c r="M22" s="336">
        <f>L213</f>
        <v>109455.18000000001</v>
      </c>
      <c r="O22" s="324">
        <f t="shared" si="3"/>
        <v>181.09818855218856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'[53]Sch B'!E52</f>
        <v>24101.63</v>
      </c>
      <c r="D23" s="480">
        <f>'[53]Sch B'!G52</f>
        <v>0</v>
      </c>
      <c r="E23" s="480"/>
      <c r="F23" s="166">
        <f t="shared" si="0"/>
        <v>24101.63</v>
      </c>
      <c r="G23" s="626"/>
      <c r="H23" s="166"/>
      <c r="I23" s="166">
        <f t="shared" si="1"/>
        <v>24101.63</v>
      </c>
      <c r="J23" s="167">
        <f t="shared" si="2"/>
        <v>5.5638713390566402E-3</v>
      </c>
      <c r="K23" s="458"/>
      <c r="L23" s="338" t="s">
        <v>233</v>
      </c>
      <c r="M23" s="339">
        <f>M213</f>
        <v>116033.42</v>
      </c>
      <c r="O23" s="324">
        <f t="shared" si="3"/>
        <v>197.5543442622951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'[53]Sch B'!E57</f>
        <v>0</v>
      </c>
      <c r="D24" s="480">
        <f>'[53]Sch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'[53]Sch B'!E72</f>
        <v>15846.91</v>
      </c>
      <c r="D25" s="480">
        <f>'[53]Sch B'!G72</f>
        <v>0</v>
      </c>
      <c r="E25" s="480"/>
      <c r="F25" s="166">
        <f t="shared" si="0"/>
        <v>15846.91</v>
      </c>
      <c r="G25" s="626"/>
      <c r="H25" s="166"/>
      <c r="I25" s="166">
        <f t="shared" si="1"/>
        <v>15846.91</v>
      </c>
      <c r="J25" s="167">
        <f t="shared" si="2"/>
        <v>3.6582657837503129E-3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4331809.37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4331809.37</v>
      </c>
      <c r="G26" s="166">
        <f>SUM(G12:G25)</f>
        <v>0</v>
      </c>
      <c r="H26" s="166">
        <f>SUM(H12:H25)</f>
        <v>0</v>
      </c>
      <c r="I26" s="166">
        <f>SUM(I16:I25)</f>
        <v>4331809.37</v>
      </c>
      <c r="J26" s="167">
        <f t="shared" si="2"/>
        <v>1</v>
      </c>
      <c r="K26" s="458"/>
      <c r="L26" s="163"/>
      <c r="M26" s="163"/>
      <c r="O26" s="324">
        <f>IFERROR(I26/I233,0)</f>
        <v>258.49202589807851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'[53]Sch C'!D10</f>
        <v>95594.76</v>
      </c>
      <c r="D30" s="480">
        <f>'[53]Sch C'!F10</f>
        <v>0</v>
      </c>
      <c r="E30" s="480">
        <f>+'[53]Sch C'!H10</f>
        <v>0</v>
      </c>
      <c r="F30" s="166">
        <f t="shared" ref="F30:F65" si="5">C30+D30+E30</f>
        <v>95594.76</v>
      </c>
      <c r="G30" s="626"/>
      <c r="H30" s="166"/>
      <c r="I30" s="166">
        <f t="shared" ref="I30:I65" si="6">F30+G30+H30</f>
        <v>95594.76</v>
      </c>
      <c r="J30" s="167">
        <f>IF($I$213=0,0,I30/$I$213)</f>
        <v>2.0294344459279447E-2</v>
      </c>
      <c r="K30" s="458"/>
      <c r="L30" s="176">
        <v>2142.29</v>
      </c>
      <c r="M30" s="176">
        <v>2198.29</v>
      </c>
      <c r="O30" s="324">
        <f>I30/I$233</f>
        <v>5.7044253490870025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'[53]Sch C'!D11</f>
        <v>0</v>
      </c>
      <c r="D31" s="480">
        <f>'[53]Sch C'!F11</f>
        <v>0</v>
      </c>
      <c r="E31" s="480">
        <f>+'[53]Sch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'[53]Sch C'!D12</f>
        <v>99633.26</v>
      </c>
      <c r="D32" s="480">
        <f>'[53]Sch C'!F12</f>
        <v>0</v>
      </c>
      <c r="E32" s="480">
        <f>+'[53]Sch C'!H12</f>
        <v>0</v>
      </c>
      <c r="F32" s="166">
        <f t="shared" si="5"/>
        <v>99633.26</v>
      </c>
      <c r="G32" s="626"/>
      <c r="H32" s="166"/>
      <c r="I32" s="166">
        <f t="shared" si="6"/>
        <v>99633.26</v>
      </c>
      <c r="J32" s="167">
        <f t="shared" si="7"/>
        <v>2.1151700135456676E-2</v>
      </c>
      <c r="K32" s="458"/>
      <c r="L32" s="176">
        <v>4563.6499999999996</v>
      </c>
      <c r="M32" s="176">
        <v>4881.7</v>
      </c>
      <c r="O32" s="324">
        <f t="shared" si="8"/>
        <v>5.945414727294426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'[53]Sch C'!D13</f>
        <v>321021.93</v>
      </c>
      <c r="D33" s="480">
        <f>'[53]Sch C'!F13</f>
        <v>-289755.85537484474</v>
      </c>
      <c r="E33" s="480">
        <f>+'[53]Sch C'!H13</f>
        <v>0</v>
      </c>
      <c r="F33" s="166">
        <f t="shared" si="5"/>
        <v>31266.074625155248</v>
      </c>
      <c r="G33" s="626"/>
      <c r="H33" s="166"/>
      <c r="I33" s="166">
        <f t="shared" si="6"/>
        <v>31266.074625155248</v>
      </c>
      <c r="J33" s="167">
        <f t="shared" si="7"/>
        <v>6.6376492637508283E-3</v>
      </c>
      <c r="K33" s="458"/>
      <c r="L33" s="163"/>
      <c r="M33" s="163"/>
      <c r="O33" s="324">
        <f t="shared" si="8"/>
        <v>1.8657402210976994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'[53]Sch C'!D14</f>
        <v>0</v>
      </c>
      <c r="D34" s="480">
        <f>'[53]Sch C'!F14</f>
        <v>0</v>
      </c>
      <c r="E34" s="480">
        <f>+'[53]Sch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'[53]Sch C'!D15</f>
        <v>120000</v>
      </c>
      <c r="D35" s="480">
        <f>'[53]Sch C'!F15</f>
        <v>0</v>
      </c>
      <c r="E35" s="480">
        <f>+'[53]Sch C'!H15</f>
        <v>-120000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'[53]Sch C'!D16</f>
        <v>0</v>
      </c>
      <c r="D36" s="480">
        <f>'[53]Sch C'!F16</f>
        <v>0</v>
      </c>
      <c r="E36" s="480">
        <f>+'[53]Sch C'!H16</f>
        <v>213948</v>
      </c>
      <c r="F36" s="166">
        <f t="shared" si="5"/>
        <v>213948</v>
      </c>
      <c r="G36" s="626"/>
      <c r="H36" s="166"/>
      <c r="I36" s="166">
        <f t="shared" si="6"/>
        <v>213948</v>
      </c>
      <c r="J36" s="167">
        <f t="shared" si="7"/>
        <v>4.5420213496784961E-2</v>
      </c>
      <c r="K36" s="458"/>
      <c r="L36" s="163"/>
      <c r="M36" s="163"/>
      <c r="O36" s="324">
        <f t="shared" si="8"/>
        <v>12.766917293233083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'[53]Sch C'!D17</f>
        <v>21734.83</v>
      </c>
      <c r="D37" s="480">
        <f>'[53]Sch C'!F17</f>
        <v>-21735</v>
      </c>
      <c r="E37" s="480">
        <f>+'[53]Sch C'!H17</f>
        <v>0</v>
      </c>
      <c r="F37" s="166">
        <f t="shared" si="5"/>
        <v>-0.16999999999825377</v>
      </c>
      <c r="G37" s="626"/>
      <c r="H37" s="166"/>
      <c r="I37" s="166">
        <f t="shared" si="6"/>
        <v>-0.16999999999825377</v>
      </c>
      <c r="J37" s="167">
        <f t="shared" si="7"/>
        <v>-3.6090247603969792E-8</v>
      </c>
      <c r="K37" s="458"/>
      <c r="L37" s="163"/>
      <c r="M37" s="163"/>
      <c r="O37" s="324">
        <f t="shared" si="8"/>
        <v>-1.014440864054504E-5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'[53]Sch C'!D18</f>
        <v>15242.01</v>
      </c>
      <c r="D38" s="480">
        <f>'[53]Sch C'!F18</f>
        <v>0</v>
      </c>
      <c r="E38" s="480">
        <f>+'[53]Sch C'!H18</f>
        <v>0</v>
      </c>
      <c r="F38" s="166">
        <f t="shared" si="5"/>
        <v>15242.01</v>
      </c>
      <c r="G38" s="626"/>
      <c r="H38" s="166"/>
      <c r="I38" s="166">
        <f t="shared" si="6"/>
        <v>15242.01</v>
      </c>
      <c r="J38" s="167">
        <f t="shared" si="7"/>
        <v>3.2358112640460831E-3</v>
      </c>
      <c r="K38" s="458"/>
      <c r="L38" s="163"/>
      <c r="M38" s="163"/>
      <c r="O38" s="324">
        <f t="shared" si="8"/>
        <v>0.90953634085213031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'[53]Sch C'!D19</f>
        <v>15551.44</v>
      </c>
      <c r="D39" s="480">
        <f>'[53]Sch C'!F19</f>
        <v>0</v>
      </c>
      <c r="E39" s="480">
        <f>+'[53]Sch C'!H19</f>
        <v>0</v>
      </c>
      <c r="F39" s="166">
        <f t="shared" si="5"/>
        <v>15551.44</v>
      </c>
      <c r="G39" s="626"/>
      <c r="H39" s="166"/>
      <c r="I39" s="166">
        <f t="shared" si="6"/>
        <v>15551.44</v>
      </c>
      <c r="J39" s="167">
        <f t="shared" si="7"/>
        <v>3.3015018835532068E-3</v>
      </c>
      <c r="K39" s="458"/>
      <c r="L39" s="163"/>
      <c r="M39" s="163"/>
      <c r="O39" s="324">
        <f t="shared" si="8"/>
        <v>0.92800095476787214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'[53]Sch C'!D20</f>
        <v>11010.7</v>
      </c>
      <c r="D40" s="480">
        <f>'[53]Sch C'!F20</f>
        <v>0</v>
      </c>
      <c r="E40" s="480">
        <f>+'[53]Sch C'!H20</f>
        <v>0</v>
      </c>
      <c r="F40" s="166">
        <f t="shared" si="5"/>
        <v>11010.7</v>
      </c>
      <c r="G40" s="626"/>
      <c r="H40" s="166"/>
      <c r="I40" s="166">
        <f t="shared" si="6"/>
        <v>11010.7</v>
      </c>
      <c r="J40" s="167">
        <f t="shared" si="7"/>
        <v>2.3375228782183061E-3</v>
      </c>
      <c r="K40" s="458"/>
      <c r="L40" s="163"/>
      <c r="M40" s="163"/>
      <c r="O40" s="324">
        <f t="shared" si="8"/>
        <v>0.6570414130564507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'[53]Sch C'!D21</f>
        <v>45461.599999999999</v>
      </c>
      <c r="D41" s="480">
        <f>'[53]Sch C'!F21</f>
        <v>0</v>
      </c>
      <c r="E41" s="480">
        <f>+'[53]Sch C'!H21</f>
        <v>0</v>
      </c>
      <c r="F41" s="166">
        <f t="shared" si="5"/>
        <v>45461.599999999999</v>
      </c>
      <c r="G41" s="626"/>
      <c r="H41" s="166"/>
      <c r="I41" s="166">
        <f t="shared" si="6"/>
        <v>45461.599999999999</v>
      </c>
      <c r="J41" s="167">
        <f t="shared" si="7"/>
        <v>9.6512964734675674E-3</v>
      </c>
      <c r="K41" s="458"/>
      <c r="L41" s="163"/>
      <c r="M41" s="163"/>
      <c r="O41" s="324">
        <f t="shared" si="8"/>
        <v>2.7128296932808209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'[53]Sch C'!D22</f>
        <v>0</v>
      </c>
      <c r="D42" s="480">
        <f>'[53]Sch C'!F22</f>
        <v>0</v>
      </c>
      <c r="E42" s="480">
        <f>+'[53]Sch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'[53]Sch C'!D23</f>
        <v>6472.26</v>
      </c>
      <c r="D43" s="480">
        <f>'[53]Sch C'!F23</f>
        <v>0</v>
      </c>
      <c r="E43" s="480">
        <f>+'[53]Sch C'!H23</f>
        <v>0</v>
      </c>
      <c r="F43" s="166">
        <f t="shared" si="5"/>
        <v>6472.26</v>
      </c>
      <c r="G43" s="626"/>
      <c r="H43" s="166"/>
      <c r="I43" s="166">
        <f t="shared" si="6"/>
        <v>6472.26</v>
      </c>
      <c r="J43" s="167">
        <f t="shared" si="7"/>
        <v>1.3740321527039349E-3</v>
      </c>
      <c r="K43" s="458"/>
      <c r="L43" s="163"/>
      <c r="M43" s="163"/>
      <c r="O43" s="324">
        <f t="shared" si="8"/>
        <v>0.38621911922663804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'[53]Sch C'!D24</f>
        <v>28651.5</v>
      </c>
      <c r="D44" s="480">
        <f>'[53]Sch C'!F24</f>
        <v>0</v>
      </c>
      <c r="E44" s="480">
        <f>+'[53]Sch C'!H24</f>
        <v>-28651.5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'[53]Sch C'!D25</f>
        <v>0</v>
      </c>
      <c r="D45" s="480">
        <f>'[53]Sch C'!F25</f>
        <v>0</v>
      </c>
      <c r="E45" s="480">
        <f>+'[53]Sch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'[53]Sch C'!D26</f>
        <v>273196.96000000002</v>
      </c>
      <c r="D46" s="480">
        <f>'[53]Sch C'!F26</f>
        <v>0</v>
      </c>
      <c r="E46" s="480">
        <f>+'[53]Sch C'!H26</f>
        <v>0</v>
      </c>
      <c r="F46" s="166">
        <f t="shared" si="5"/>
        <v>273196.96000000002</v>
      </c>
      <c r="G46" s="626"/>
      <c r="H46" s="166"/>
      <c r="I46" s="166">
        <f t="shared" si="6"/>
        <v>273196.96000000002</v>
      </c>
      <c r="J46" s="167">
        <f t="shared" si="7"/>
        <v>5.7998505477371239E-2</v>
      </c>
      <c r="K46" s="458"/>
      <c r="L46" s="163"/>
      <c r="M46" s="163"/>
      <c r="O46" s="324">
        <f t="shared" si="8"/>
        <v>16.302480009547679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'[53]Sch C'!D27</f>
        <v>0</v>
      </c>
      <c r="D47" s="480">
        <f>'[53]Sch C'!F27</f>
        <v>0</v>
      </c>
      <c r="E47" s="480">
        <f>+'[53]Sch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'[53]Sch C'!D28</f>
        <v>0</v>
      </c>
      <c r="D48" s="480">
        <f>'[53]Sch C'!F28</f>
        <v>0</v>
      </c>
      <c r="E48" s="480">
        <f>+'[53]Sch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'[53]Sch C'!D29</f>
        <v>83855.16</v>
      </c>
      <c r="D49" s="480">
        <f>'[53]Sch C'!F29</f>
        <v>-83855.16</v>
      </c>
      <c r="E49" s="480">
        <f>+'[53]Sch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'[53]Sch C'!D30</f>
        <v>50</v>
      </c>
      <c r="D50" s="480">
        <f>'[53]Sch C'!F30</f>
        <v>-50</v>
      </c>
      <c r="E50" s="480">
        <f>+'[53]Sch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'[53]Sch C'!D31</f>
        <v>52076.27</v>
      </c>
      <c r="D51" s="480">
        <f>'[53]Sch C'!F31</f>
        <v>0</v>
      </c>
      <c r="E51" s="480">
        <f>+'[53]Sch C'!H31</f>
        <v>0</v>
      </c>
      <c r="F51" s="166">
        <f t="shared" si="5"/>
        <v>52076.27</v>
      </c>
      <c r="G51" s="626"/>
      <c r="H51" s="166"/>
      <c r="I51" s="166">
        <f t="shared" si="6"/>
        <v>52076.27</v>
      </c>
      <c r="J51" s="167">
        <f t="shared" si="7"/>
        <v>1.1055561638885231E-2</v>
      </c>
      <c r="K51" s="458"/>
      <c r="L51" s="163"/>
      <c r="M51" s="163"/>
      <c r="O51" s="324">
        <f t="shared" si="8"/>
        <v>3.107546843298723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'[53]Sch C'!D32</f>
        <v>10461.040000000001</v>
      </c>
      <c r="D52" s="480">
        <f>'[53]Sch C'!F32</f>
        <v>0</v>
      </c>
      <c r="E52" s="480">
        <f>+'[53]Sch C'!H32</f>
        <v>0</v>
      </c>
      <c r="F52" s="166">
        <f t="shared" si="5"/>
        <v>10461.040000000001</v>
      </c>
      <c r="G52" s="626"/>
      <c r="H52" s="166"/>
      <c r="I52" s="166">
        <f t="shared" si="6"/>
        <v>10461.040000000001</v>
      </c>
      <c r="J52" s="167">
        <f t="shared" si="7"/>
        <v>2.2208324929347662E-3</v>
      </c>
      <c r="K52" s="458"/>
      <c r="L52" s="163"/>
      <c r="M52" s="163"/>
      <c r="O52" s="324">
        <f t="shared" si="8"/>
        <v>0.62424155627163147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'[53]Sch C'!D33</f>
        <v>0</v>
      </c>
      <c r="D53" s="480">
        <f>'[53]Sch C'!F33</f>
        <v>0</v>
      </c>
      <c r="E53" s="480">
        <f>+'[53]Sch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'[53]Sch C'!D34</f>
        <v>0</v>
      </c>
      <c r="D54" s="480">
        <f>'[53]Sch C'!F34</f>
        <v>0</v>
      </c>
      <c r="E54" s="480">
        <f>+'[53]Sch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'[53]Sch C'!D35</f>
        <v>0</v>
      </c>
      <c r="D55" s="480">
        <f>'[53]Sch C'!F35</f>
        <v>0</v>
      </c>
      <c r="E55" s="480">
        <f>+'[53]Sch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'[53]Sch C'!D36</f>
        <v>10562.72</v>
      </c>
      <c r="D56" s="480">
        <f>'[53]Sch C'!F36</f>
        <v>0</v>
      </c>
      <c r="E56" s="480">
        <f>+'[53]Sch C'!H36</f>
        <v>0</v>
      </c>
      <c r="F56" s="166">
        <f t="shared" si="5"/>
        <v>10562.72</v>
      </c>
      <c r="G56" s="626"/>
      <c r="H56" s="166"/>
      <c r="I56" s="166">
        <f t="shared" si="6"/>
        <v>10562.72</v>
      </c>
      <c r="J56" s="167">
        <f t="shared" si="7"/>
        <v>2.2424187069136443E-3</v>
      </c>
      <c r="K56" s="458"/>
      <c r="L56" s="176">
        <v>814.77</v>
      </c>
      <c r="M56" s="176">
        <v>830.77</v>
      </c>
      <c r="O56" s="324">
        <f t="shared" si="8"/>
        <v>0.63030910609857971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'[53]Sch C'!D37</f>
        <v>0</v>
      </c>
      <c r="D57" s="480">
        <f>'[53]Sch C'!F37</f>
        <v>1691.6362301098973</v>
      </c>
      <c r="E57" s="480">
        <f>+'[53]Sch C'!H37</f>
        <v>0</v>
      </c>
      <c r="F57" s="166">
        <f t="shared" si="5"/>
        <v>1691.6362301098973</v>
      </c>
      <c r="G57" s="626"/>
      <c r="H57" s="166"/>
      <c r="I57" s="166">
        <f t="shared" si="6"/>
        <v>1691.6362301098973</v>
      </c>
      <c r="J57" s="167">
        <f t="shared" si="7"/>
        <v>3.5912688471258431E-4</v>
      </c>
      <c r="K57" s="458"/>
      <c r="L57" s="163"/>
      <c r="M57" s="163"/>
      <c r="O57" s="324">
        <f t="shared" si="8"/>
        <v>0.10094499523271853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'[53]Sch C'!D38</f>
        <v>74.3</v>
      </c>
      <c r="D58" s="480">
        <f>'[53]Sch C'!F38</f>
        <v>0</v>
      </c>
      <c r="E58" s="480">
        <f>+'[53]Sch C'!H38</f>
        <v>0</v>
      </c>
      <c r="F58" s="166">
        <f t="shared" si="5"/>
        <v>74.3</v>
      </c>
      <c r="G58" s="626"/>
      <c r="H58" s="166"/>
      <c r="I58" s="166">
        <f t="shared" si="6"/>
        <v>74.3</v>
      </c>
      <c r="J58" s="167">
        <f t="shared" si="7"/>
        <v>1.5773561158838235E-5</v>
      </c>
      <c r="K58" s="458"/>
      <c r="L58" s="163"/>
      <c r="M58" s="163"/>
      <c r="O58" s="324">
        <f t="shared" si="8"/>
        <v>4.4337033058837565E-3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'[53]Sch C'!D39</f>
        <v>14047.08</v>
      </c>
      <c r="D59" s="480">
        <f>'[53]Sch C'!F39</f>
        <v>0</v>
      </c>
      <c r="E59" s="480">
        <f>+'[53]Sch C'!H39</f>
        <v>0</v>
      </c>
      <c r="F59" s="166">
        <f t="shared" si="5"/>
        <v>14047.08</v>
      </c>
      <c r="G59" s="626"/>
      <c r="H59" s="166"/>
      <c r="I59" s="166">
        <f t="shared" si="6"/>
        <v>14047.08</v>
      </c>
      <c r="J59" s="167">
        <f t="shared" si="7"/>
        <v>2.9821329136351733E-3</v>
      </c>
      <c r="K59" s="458"/>
      <c r="L59" s="163"/>
      <c r="M59" s="163"/>
      <c r="O59" s="324">
        <f t="shared" si="8"/>
        <v>0.83823129251700679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'[53]Sch C'!D40</f>
        <v>1535.77</v>
      </c>
      <c r="D60" s="480">
        <f>'[53]Sch C'!F40</f>
        <v>-1536</v>
      </c>
      <c r="E60" s="480">
        <f>+'[53]Sch C'!H40</f>
        <v>0</v>
      </c>
      <c r="F60" s="166">
        <f t="shared" si="5"/>
        <v>-0.23000000000001819</v>
      </c>
      <c r="G60" s="626"/>
      <c r="H60" s="166"/>
      <c r="I60" s="166">
        <f t="shared" si="6"/>
        <v>-0.23000000000001819</v>
      </c>
      <c r="J60" s="167">
        <f t="shared" si="7"/>
        <v>-4.8827982052935139E-8</v>
      </c>
      <c r="K60" s="458"/>
      <c r="L60" s="163"/>
      <c r="M60" s="163"/>
      <c r="O60" s="324">
        <f t="shared" si="8"/>
        <v>-1.3724788160879471E-5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'[53]Sch C'!D41</f>
        <v>4164.42</v>
      </c>
      <c r="D61" s="480">
        <f>'[53]Sch C'!F41</f>
        <v>0</v>
      </c>
      <c r="E61" s="480">
        <f>+'[53]Sch C'!H41</f>
        <v>0</v>
      </c>
      <c r="F61" s="166">
        <f t="shared" si="5"/>
        <v>4164.42</v>
      </c>
      <c r="G61" s="626"/>
      <c r="H61" s="166"/>
      <c r="I61" s="166">
        <f t="shared" si="6"/>
        <v>4164.42</v>
      </c>
      <c r="J61" s="167">
        <f t="shared" si="7"/>
        <v>8.8408793487333942E-4</v>
      </c>
      <c r="K61" s="458"/>
      <c r="L61" s="163"/>
      <c r="M61" s="163"/>
      <c r="O61" s="324">
        <f t="shared" si="8"/>
        <v>0.24850340136054422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'[53]Sch C'!D42</f>
        <v>3391</v>
      </c>
      <c r="D62" s="480">
        <f>'[53]Sch C'!F42</f>
        <v>0</v>
      </c>
      <c r="E62" s="480">
        <f>+'[53]Sch C'!H42</f>
        <v>0</v>
      </c>
      <c r="F62" s="166">
        <f t="shared" si="5"/>
        <v>3391</v>
      </c>
      <c r="G62" s="626"/>
      <c r="H62" s="166"/>
      <c r="I62" s="166">
        <f t="shared" si="6"/>
        <v>3391</v>
      </c>
      <c r="J62" s="167">
        <f t="shared" si="7"/>
        <v>7.1989429191952154E-4</v>
      </c>
      <c r="K62" s="458"/>
      <c r="L62" s="163"/>
      <c r="M62" s="163"/>
      <c r="O62" s="324">
        <f t="shared" si="8"/>
        <v>0.20235111588495047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'[53]Sch C'!D43</f>
        <v>10828.1</v>
      </c>
      <c r="D63" s="480">
        <f>'[53]Sch C'!F43</f>
        <v>0</v>
      </c>
      <c r="E63" s="480">
        <f>+'[53]Sch C'!H43</f>
        <v>0</v>
      </c>
      <c r="F63" s="166">
        <f t="shared" si="5"/>
        <v>10828.1</v>
      </c>
      <c r="G63" s="166">
        <v>-10828.1</v>
      </c>
      <c r="H63" s="166"/>
      <c r="I63" s="166">
        <f t="shared" si="6"/>
        <v>0</v>
      </c>
      <c r="J63" s="167">
        <f t="shared" si="7"/>
        <v>0</v>
      </c>
      <c r="K63" s="458" t="s">
        <v>605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'[53]Sch C'!D44</f>
        <v>0</v>
      </c>
      <c r="D64" s="480">
        <f>'[53]Sch C'!F44</f>
        <v>0</v>
      </c>
      <c r="E64" s="480">
        <f>+'[53]Sch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'[53]Sch C'!D45</f>
        <v>460.2</v>
      </c>
      <c r="D65" s="480">
        <f>'[53]Sch C'!F45</f>
        <v>0</v>
      </c>
      <c r="E65" s="480">
        <f>+'[53]Sch C'!H45</f>
        <v>0</v>
      </c>
      <c r="F65" s="166">
        <f t="shared" si="5"/>
        <v>460.2</v>
      </c>
      <c r="G65" s="626"/>
      <c r="H65" s="166"/>
      <c r="I65" s="166">
        <f t="shared" si="6"/>
        <v>460.2</v>
      </c>
      <c r="J65" s="167">
        <f t="shared" si="7"/>
        <v>9.7698423220691184E-5</v>
      </c>
      <c r="K65" s="458"/>
      <c r="L65" s="163"/>
      <c r="M65" s="163"/>
      <c r="O65" s="324">
        <f t="shared" si="8"/>
        <v>2.7461510920157535E-2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1245077.3099999998</v>
      </c>
      <c r="D66" s="480">
        <f t="shared" si="9"/>
        <v>-395240.37914473488</v>
      </c>
      <c r="E66" s="480">
        <f t="shared" si="9"/>
        <v>65296.5</v>
      </c>
      <c r="F66" s="166">
        <f t="shared" ref="F66:I66" si="10">SUM(F30:F65)</f>
        <v>915133.43085526512</v>
      </c>
      <c r="G66" s="166">
        <f t="shared" si="10"/>
        <v>-10828.1</v>
      </c>
      <c r="H66" s="166">
        <f t="shared" si="10"/>
        <v>0</v>
      </c>
      <c r="I66" s="166">
        <f t="shared" si="10"/>
        <v>904305.33085526514</v>
      </c>
      <c r="J66" s="178">
        <f t="shared" si="7"/>
        <v>0.19198001941465637</v>
      </c>
      <c r="K66" s="465"/>
      <c r="L66" s="163"/>
      <c r="M66" s="163"/>
      <c r="O66" s="329">
        <f>I66/I$233</f>
        <v>53.962604777137194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'[53]Sch C'!D57</f>
        <v>600000</v>
      </c>
      <c r="D69" s="480">
        <f>'[53]Sch C'!F57</f>
        <v>0</v>
      </c>
      <c r="E69" s="480">
        <f>+'[53]Sch C'!H57</f>
        <v>-600000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'[53]Sch C'!D58</f>
        <v>0</v>
      </c>
      <c r="D70" s="480">
        <f>'[53]Sch C'!F58</f>
        <v>0</v>
      </c>
      <c r="E70" s="480">
        <f>+'[53]Sch C'!H58</f>
        <v>222960.84</v>
      </c>
      <c r="F70" s="166">
        <f t="shared" ref="F70:F83" si="13">C70+D70+E70</f>
        <v>222960.84</v>
      </c>
      <c r="G70" s="626"/>
      <c r="H70" s="166"/>
      <c r="I70" s="166">
        <f t="shared" ref="I70:I83" si="14">F70+G70+H70</f>
        <v>222960.84</v>
      </c>
      <c r="J70" s="167">
        <f t="shared" si="11"/>
        <v>4.7333599539245576E-2</v>
      </c>
      <c r="K70" s="458"/>
      <c r="L70" s="182"/>
      <c r="M70" s="163"/>
      <c r="O70" s="324">
        <f t="shared" si="12"/>
        <v>13.304740422484784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'[53]Sch C'!D59</f>
        <v>0</v>
      </c>
      <c r="D71" s="480">
        <f>'[53]Sch C'!F59</f>
        <v>0</v>
      </c>
      <c r="E71" s="480">
        <f>+'[53]Sch C'!H59</f>
        <v>364064.69</v>
      </c>
      <c r="F71" s="166">
        <f t="shared" si="13"/>
        <v>364064.69</v>
      </c>
      <c r="G71" s="626"/>
      <c r="H71" s="166"/>
      <c r="I71" s="166">
        <f t="shared" si="14"/>
        <v>364064.69</v>
      </c>
      <c r="J71" s="167">
        <f t="shared" si="11"/>
        <v>7.7289322388808646E-2</v>
      </c>
      <c r="K71" s="458"/>
      <c r="L71" s="182"/>
      <c r="M71" s="163"/>
      <c r="O71" s="324">
        <f t="shared" si="12"/>
        <v>21.72482933524287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'[53]Sch C'!D60</f>
        <v>127</v>
      </c>
      <c r="D72" s="480">
        <f>'[53]Sch C'!F60</f>
        <v>0</v>
      </c>
      <c r="E72" s="480">
        <f>+'[53]Sch C'!H60</f>
        <v>29159.64</v>
      </c>
      <c r="F72" s="166">
        <f t="shared" si="13"/>
        <v>29286.639999999999</v>
      </c>
      <c r="G72" s="626"/>
      <c r="H72" s="166"/>
      <c r="I72" s="166">
        <f t="shared" si="14"/>
        <v>29286.639999999999</v>
      </c>
      <c r="J72" s="167">
        <f t="shared" si="11"/>
        <v>6.2174240535246049E-3</v>
      </c>
      <c r="K72" s="458"/>
      <c r="L72" s="185"/>
      <c r="M72" s="163"/>
      <c r="O72" s="324">
        <f t="shared" si="12"/>
        <v>1.7476214345387278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'[53]Sch C'!D61</f>
        <v>0</v>
      </c>
      <c r="D73" s="480">
        <f>'[53]Sch C'!F61</f>
        <v>0</v>
      </c>
      <c r="E73" s="480">
        <f>+'[53]Sch C'!H61</f>
        <v>6640</v>
      </c>
      <c r="F73" s="166">
        <f t="shared" si="13"/>
        <v>6640</v>
      </c>
      <c r="G73" s="626"/>
      <c r="H73" s="166"/>
      <c r="I73" s="166">
        <f t="shared" si="14"/>
        <v>6640</v>
      </c>
      <c r="J73" s="167">
        <f t="shared" si="11"/>
        <v>1.4096426123107117E-3</v>
      </c>
      <c r="K73" s="458"/>
      <c r="L73" s="185"/>
      <c r="M73" s="163"/>
      <c r="O73" s="324">
        <f t="shared" si="12"/>
        <v>0.39622866690535863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'[53]Sch C'!D62</f>
        <v>0</v>
      </c>
      <c r="D74" s="480">
        <f>'[53]Sch C'!F62</f>
        <v>0</v>
      </c>
      <c r="E74" s="480">
        <f>+'[53]Sch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'[53]Sch C'!D63</f>
        <v>0</v>
      </c>
      <c r="D75" s="480">
        <f>'[53]Sch C'!F63</f>
        <v>0</v>
      </c>
      <c r="E75" s="480">
        <f>+'[53]Sch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'[53]Sch C'!D64</f>
        <v>0</v>
      </c>
      <c r="D76" s="480">
        <f>'[53]Sch C'!F64</f>
        <v>0</v>
      </c>
      <c r="E76" s="480">
        <f>+'[53]Sch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'[53]Sch C'!D65</f>
        <v>10328.48</v>
      </c>
      <c r="D77" s="480">
        <f>'[53]Sch C'!F65</f>
        <v>0</v>
      </c>
      <c r="E77" s="480">
        <f>+'[53]Sch C'!H65</f>
        <v>0</v>
      </c>
      <c r="F77" s="166">
        <f t="shared" si="13"/>
        <v>10328.48</v>
      </c>
      <c r="G77" s="626"/>
      <c r="H77" s="166"/>
      <c r="I77" s="166">
        <f t="shared" si="14"/>
        <v>10328.48</v>
      </c>
      <c r="J77" s="167">
        <f t="shared" si="11"/>
        <v>2.1926905916263462E-3</v>
      </c>
      <c r="K77" s="458"/>
      <c r="L77" s="187"/>
      <c r="M77" s="163"/>
      <c r="O77" s="324">
        <f t="shared" si="12"/>
        <v>0.61633130445160522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'[53]Sch C'!D66</f>
        <v>8777.59</v>
      </c>
      <c r="D78" s="480">
        <f>'[53]Sch C'!F66</f>
        <v>0</v>
      </c>
      <c r="E78" s="480">
        <f>+'[53]Sch C'!H66</f>
        <v>0</v>
      </c>
      <c r="F78" s="166">
        <f t="shared" si="13"/>
        <v>8777.59</v>
      </c>
      <c r="G78" s="626"/>
      <c r="H78" s="166"/>
      <c r="I78" s="166">
        <f t="shared" si="14"/>
        <v>8777.59</v>
      </c>
      <c r="J78" s="167">
        <f t="shared" si="11"/>
        <v>1.8634435086434308E-3</v>
      </c>
      <c r="K78" s="458"/>
      <c r="L78" s="187"/>
      <c r="M78" s="163"/>
      <c r="O78" s="324">
        <f t="shared" si="12"/>
        <v>0.52378505788280227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'[53]Sch C'!D67</f>
        <v>116751.93</v>
      </c>
      <c r="D79" s="480">
        <f>'[53]Sch C'!F67</f>
        <v>0</v>
      </c>
      <c r="E79" s="480">
        <f>+'[53]Sch C'!H67</f>
        <v>0</v>
      </c>
      <c r="F79" s="166">
        <f t="shared" si="13"/>
        <v>116751.93</v>
      </c>
      <c r="G79" s="626"/>
      <c r="H79" s="166"/>
      <c r="I79" s="166">
        <f t="shared" si="14"/>
        <v>116751.93</v>
      </c>
      <c r="J79" s="167">
        <f t="shared" si="11"/>
        <v>2.4785918011674297E-2</v>
      </c>
      <c r="K79" s="458"/>
      <c r="L79" s="187"/>
      <c r="M79" s="163"/>
      <c r="O79" s="324">
        <f t="shared" si="12"/>
        <v>6.9669369853204435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'[53]Sch C'!D68</f>
        <v>0</v>
      </c>
      <c r="D80" s="480">
        <f>'[53]Sch C'!F68</f>
        <v>0</v>
      </c>
      <c r="E80" s="480">
        <f>+'[53]Sch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'[53]Sch C'!D69</f>
        <v>4526.33</v>
      </c>
      <c r="D81" s="480">
        <f>'[53]Sch C'!F69</f>
        <v>0</v>
      </c>
      <c r="E81" s="480">
        <f>+'[53]Sch C'!H69</f>
        <v>0</v>
      </c>
      <c r="F81" s="166">
        <f t="shared" si="13"/>
        <v>4526.33</v>
      </c>
      <c r="G81" s="626"/>
      <c r="H81" s="166"/>
      <c r="I81" s="166">
        <f t="shared" si="14"/>
        <v>4526.33</v>
      </c>
      <c r="J81" s="167">
        <f t="shared" si="11"/>
        <v>9.6091982611149753E-4</v>
      </c>
      <c r="K81" s="458"/>
      <c r="L81" s="187"/>
      <c r="M81" s="163"/>
      <c r="O81" s="324">
        <f t="shared" si="12"/>
        <v>0.27009965389664636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'[53]Sch C'!D70</f>
        <v>0</v>
      </c>
      <c r="D82" s="480">
        <f>'[53]Sch C'!F70</f>
        <v>0</v>
      </c>
      <c r="E82" s="480">
        <f>+'[53]Sch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'[53]Sch C'!D71</f>
        <v>0</v>
      </c>
      <c r="D83" s="480">
        <f>'[53]Sch C'!F71</f>
        <v>0</v>
      </c>
      <c r="E83" s="480">
        <f>+'[53]Sch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740511.33</v>
      </c>
      <c r="D84" s="480">
        <f t="shared" si="15"/>
        <v>0</v>
      </c>
      <c r="E84" s="480">
        <f t="shared" si="15"/>
        <v>22825.169999999969</v>
      </c>
      <c r="F84" s="166">
        <f t="shared" ref="F84:I84" si="16">SUM(F69:F83)</f>
        <v>763336.49999999988</v>
      </c>
      <c r="G84" s="166">
        <f t="shared" si="16"/>
        <v>0</v>
      </c>
      <c r="H84" s="166">
        <f t="shared" si="16"/>
        <v>0</v>
      </c>
      <c r="I84" s="166">
        <f t="shared" si="16"/>
        <v>763336.49999999988</v>
      </c>
      <c r="J84" s="167">
        <f t="shared" si="11"/>
        <v>0.16205296053194509</v>
      </c>
      <c r="K84" s="458"/>
      <c r="L84" s="187"/>
      <c r="M84" s="163"/>
      <c r="O84" s="324">
        <f t="shared" si="12"/>
        <v>45.550572860723229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'[53]Sch C'!D75</f>
        <v>42267.01</v>
      </c>
      <c r="D87" s="480">
        <f>'[53]Sch C'!F75</f>
        <v>0</v>
      </c>
      <c r="E87" s="480">
        <f>+'[53]Sch C'!H75</f>
        <v>0</v>
      </c>
      <c r="F87" s="166">
        <f t="shared" ref="F87:F97" si="17">C87+D87+E87</f>
        <v>42267.01</v>
      </c>
      <c r="G87" s="626"/>
      <c r="H87" s="166"/>
      <c r="I87" s="166">
        <f t="shared" ref="I87:I97" si="18">F87+G87+H87</f>
        <v>42267.01</v>
      </c>
      <c r="J87" s="167">
        <f t="shared" ref="J87:J98" si="19">IF($I$213=0,0,I87/$I$213)</f>
        <v>8.9730991552655088E-3</v>
      </c>
      <c r="K87" s="458"/>
      <c r="L87" s="176">
        <v>2114.04</v>
      </c>
      <c r="M87" s="176">
        <v>2254.6999999999998</v>
      </c>
      <c r="O87" s="324">
        <f t="shared" ref="O87:O97" si="20">I87/I$233</f>
        <v>2.522198949755341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'[53]Sch C'!D76</f>
        <v>0</v>
      </c>
      <c r="D88" s="480">
        <f>'[53]Sch C'!F76</f>
        <v>6769.1281653226952</v>
      </c>
      <c r="E88" s="480">
        <f>+'[53]Sch C'!H76</f>
        <v>0</v>
      </c>
      <c r="F88" s="166">
        <f t="shared" si="17"/>
        <v>6769.1281653226952</v>
      </c>
      <c r="G88" s="626"/>
      <c r="H88" s="166"/>
      <c r="I88" s="166">
        <f t="shared" si="18"/>
        <v>6769.1281653226952</v>
      </c>
      <c r="J88" s="167">
        <f t="shared" si="19"/>
        <v>1.4370559503059485E-3</v>
      </c>
      <c r="K88" s="458"/>
      <c r="L88" s="163"/>
      <c r="M88" s="163"/>
      <c r="O88" s="324">
        <f t="shared" si="20"/>
        <v>0.40393413088212765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'[53]Sch C'!D77</f>
        <v>8519.18</v>
      </c>
      <c r="D89" s="480">
        <f>'[53]Sch C'!F77</f>
        <v>0</v>
      </c>
      <c r="E89" s="480">
        <f>+'[53]Sch C'!H77</f>
        <v>0</v>
      </c>
      <c r="F89" s="166">
        <f t="shared" si="17"/>
        <v>8519.18</v>
      </c>
      <c r="G89" s="626"/>
      <c r="H89" s="166"/>
      <c r="I89" s="166">
        <f t="shared" si="18"/>
        <v>8519.18</v>
      </c>
      <c r="J89" s="167">
        <f t="shared" si="19"/>
        <v>1.8085842093290916E-3</v>
      </c>
      <c r="K89" s="458"/>
      <c r="L89" s="163"/>
      <c r="M89" s="163"/>
      <c r="O89" s="324">
        <f t="shared" si="20"/>
        <v>0.50836496001909537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'[53]Sch C'!D78</f>
        <v>0</v>
      </c>
      <c r="D90" s="480">
        <f>'[53]Sch C'!F78</f>
        <v>0</v>
      </c>
      <c r="E90" s="480">
        <f>+'[53]Sch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'[53]Sch C'!D79</f>
        <v>1042.23</v>
      </c>
      <c r="D91" s="480">
        <f>'[53]Sch C'!F79</f>
        <v>0</v>
      </c>
      <c r="E91" s="480">
        <f>+'[53]Sch C'!H79</f>
        <v>0</v>
      </c>
      <c r="F91" s="166">
        <f t="shared" si="17"/>
        <v>1042.23</v>
      </c>
      <c r="G91" s="626"/>
      <c r="H91" s="166"/>
      <c r="I91" s="166">
        <f t="shared" si="18"/>
        <v>1042.23</v>
      </c>
      <c r="J91" s="167">
        <f t="shared" si="19"/>
        <v>2.2126081623924593E-4</v>
      </c>
      <c r="K91" s="458"/>
      <c r="L91" s="163"/>
      <c r="M91" s="163"/>
      <c r="O91" s="324">
        <f t="shared" si="20"/>
        <v>6.2192982456140349E-2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'[53]Sch C'!D80</f>
        <v>7090.92</v>
      </c>
      <c r="D92" s="480">
        <f>'[53]Sch C'!F80</f>
        <v>0</v>
      </c>
      <c r="E92" s="480">
        <f>+'[53]Sch C'!H80</f>
        <v>0</v>
      </c>
      <c r="F92" s="166">
        <f t="shared" si="17"/>
        <v>7090.92</v>
      </c>
      <c r="G92" s="626"/>
      <c r="H92" s="166"/>
      <c r="I92" s="166">
        <f t="shared" si="18"/>
        <v>7090.92</v>
      </c>
      <c r="J92" s="167">
        <f t="shared" si="19"/>
        <v>1.5053709326033541E-3</v>
      </c>
      <c r="K92" s="458"/>
      <c r="L92" s="163"/>
      <c r="M92" s="163"/>
      <c r="O92" s="324">
        <f t="shared" si="20"/>
        <v>0.42313641245972072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'[53]Sch C'!D81</f>
        <v>12630.05</v>
      </c>
      <c r="D93" s="480">
        <f>'[53]Sch C'!F81</f>
        <v>0</v>
      </c>
      <c r="E93" s="480">
        <f>+'[53]Sch C'!H81</f>
        <v>0</v>
      </c>
      <c r="F93" s="166">
        <f t="shared" si="17"/>
        <v>12630.05</v>
      </c>
      <c r="G93" s="626"/>
      <c r="H93" s="166"/>
      <c r="I93" s="166">
        <f t="shared" si="18"/>
        <v>12630.05</v>
      </c>
      <c r="J93" s="167">
        <f t="shared" si="19"/>
        <v>2.6813037162070636E-3</v>
      </c>
      <c r="K93" s="458"/>
      <c r="L93" s="163"/>
      <c r="M93" s="163"/>
      <c r="O93" s="324">
        <f t="shared" si="20"/>
        <v>0.753672872657835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'[53]Sch C'!D82</f>
        <v>12778.67</v>
      </c>
      <c r="D94" s="480">
        <f>'[53]Sch C'!F82</f>
        <v>0</v>
      </c>
      <c r="E94" s="480">
        <f>+'[53]Sch C'!H82</f>
        <v>0</v>
      </c>
      <c r="F94" s="166">
        <f t="shared" si="17"/>
        <v>12778.67</v>
      </c>
      <c r="G94" s="626"/>
      <c r="H94" s="166"/>
      <c r="I94" s="166">
        <f t="shared" si="18"/>
        <v>12778.67</v>
      </c>
      <c r="J94" s="167">
        <f t="shared" si="19"/>
        <v>2.7128550844362233E-3</v>
      </c>
      <c r="K94" s="458"/>
      <c r="L94" s="163"/>
      <c r="M94" s="163"/>
      <c r="O94" s="324">
        <f t="shared" si="20"/>
        <v>0.76254147272944262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'[53]Sch C'!D83</f>
        <v>6934.97</v>
      </c>
      <c r="D95" s="480">
        <f>'[53]Sch C'!F83</f>
        <v>0</v>
      </c>
      <c r="E95" s="480">
        <f>+'[53]Sch C'!H83</f>
        <v>0</v>
      </c>
      <c r="F95" s="166">
        <f t="shared" si="17"/>
        <v>6934.97</v>
      </c>
      <c r="G95" s="626"/>
      <c r="H95" s="166"/>
      <c r="I95" s="166">
        <f t="shared" si="18"/>
        <v>6934.97</v>
      </c>
      <c r="J95" s="167">
        <f t="shared" si="19"/>
        <v>1.4722634378157254E-3</v>
      </c>
      <c r="K95" s="458"/>
      <c r="L95" s="163"/>
      <c r="M95" s="163"/>
      <c r="O95" s="324">
        <f t="shared" si="20"/>
        <v>0.41383040935672516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'[53]Sch C'!D84</f>
        <v>72204.98</v>
      </c>
      <c r="D96" s="480">
        <f>'[53]Sch C'!F84</f>
        <v>0</v>
      </c>
      <c r="E96" s="480">
        <f>+'[53]Sch C'!H84</f>
        <v>0</v>
      </c>
      <c r="F96" s="166">
        <f t="shared" si="17"/>
        <v>72204.98</v>
      </c>
      <c r="G96" s="626"/>
      <c r="H96" s="166"/>
      <c r="I96" s="166">
        <f t="shared" si="18"/>
        <v>72204.98</v>
      </c>
      <c r="J96" s="167">
        <f t="shared" si="19"/>
        <v>1.532879768509679E-2</v>
      </c>
      <c r="K96" s="458"/>
      <c r="L96" s="163"/>
      <c r="M96" s="163"/>
      <c r="O96" s="324">
        <f t="shared" si="20"/>
        <v>4.3086871941759162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'[53]Sch C'!D85</f>
        <v>0</v>
      </c>
      <c r="D97" s="480">
        <f>'[53]Sch C'!F85</f>
        <v>0</v>
      </c>
      <c r="E97" s="480">
        <f>+'[53]Sch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163468.01</v>
      </c>
      <c r="D98" s="480">
        <f t="shared" si="21"/>
        <v>6769.1281653226952</v>
      </c>
      <c r="E98" s="480">
        <f t="shared" si="21"/>
        <v>0</v>
      </c>
      <c r="F98" s="166">
        <f t="shared" ref="F98:I98" si="22">SUM(F87:F97)</f>
        <v>170237.13816532271</v>
      </c>
      <c r="G98" s="166">
        <f t="shared" si="22"/>
        <v>0</v>
      </c>
      <c r="H98" s="166">
        <f t="shared" si="22"/>
        <v>0</v>
      </c>
      <c r="I98" s="166">
        <f t="shared" si="22"/>
        <v>170237.13816532271</v>
      </c>
      <c r="J98" s="167">
        <f t="shared" si="19"/>
        <v>3.6140590987298958E-2</v>
      </c>
      <c r="K98" s="458"/>
      <c r="L98" s="163"/>
      <c r="M98" s="163"/>
      <c r="O98" s="329">
        <f>I98/I$233</f>
        <v>10.158559384492344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'[53]Sch C'!D89</f>
        <v>148321.38</v>
      </c>
      <c r="D101" s="480">
        <f>'[53]Sch C'!F89</f>
        <v>0</v>
      </c>
      <c r="E101" s="480">
        <f>+'[53]Sch C'!H89</f>
        <v>0</v>
      </c>
      <c r="F101" s="166">
        <f t="shared" ref="F101:F106" si="23">C101+D101+E101</f>
        <v>148321.38</v>
      </c>
      <c r="G101" s="626"/>
      <c r="H101" s="166"/>
      <c r="I101" s="166">
        <f t="shared" ref="I101:I106" si="24">F101+G101+H101</f>
        <v>148321.38</v>
      </c>
      <c r="J101" s="167">
        <f t="shared" ref="J101:J107" si="25">IF($I$213=0,0,I101/$I$213)</f>
        <v>3.1487972524808699E-2</v>
      </c>
      <c r="K101" s="458"/>
      <c r="L101" s="176">
        <v>11975.78</v>
      </c>
      <c r="M101" s="176">
        <v>12666.2</v>
      </c>
      <c r="O101" s="329">
        <f t="shared" ref="O101:O106" si="26">I101/I$233</f>
        <v>8.8507805227354108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'[53]Sch C'!D90</f>
        <v>0</v>
      </c>
      <c r="D102" s="480">
        <f>'[53]Sch C'!F90</f>
        <v>23753.902414141201</v>
      </c>
      <c r="E102" s="480">
        <f>+'[53]Sch C'!H90</f>
        <v>0</v>
      </c>
      <c r="F102" s="166">
        <f t="shared" si="23"/>
        <v>23753.902414141201</v>
      </c>
      <c r="G102" s="626"/>
      <c r="H102" s="166"/>
      <c r="I102" s="166">
        <f t="shared" si="24"/>
        <v>23753.902414141201</v>
      </c>
      <c r="J102" s="167">
        <f t="shared" si="25"/>
        <v>5.0428483511511628E-3</v>
      </c>
      <c r="K102" s="458"/>
      <c r="L102" s="163"/>
      <c r="M102" s="163"/>
      <c r="O102" s="329">
        <f t="shared" si="26"/>
        <v>1.4174664288185463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'[53]Sch C'!D91</f>
        <v>10448.75</v>
      </c>
      <c r="D103" s="480">
        <f>'[53]Sch C'!F91</f>
        <v>0</v>
      </c>
      <c r="E103" s="480">
        <f>+'[53]Sch C'!H91</f>
        <v>0</v>
      </c>
      <c r="F103" s="166">
        <f t="shared" si="23"/>
        <v>10448.75</v>
      </c>
      <c r="G103" s="626"/>
      <c r="H103" s="166"/>
      <c r="I103" s="166">
        <f t="shared" si="24"/>
        <v>10448.75</v>
      </c>
      <c r="J103" s="167">
        <f t="shared" si="25"/>
        <v>2.2182233803285465E-3</v>
      </c>
      <c r="K103" s="458"/>
      <c r="L103" s="163"/>
      <c r="M103" s="163"/>
      <c r="O103" s="329">
        <f t="shared" si="26"/>
        <v>0.62350817519990454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'[53]Sch C'!D92</f>
        <v>127996.44</v>
      </c>
      <c r="D104" s="480">
        <f>'[53]Sch C'!F92</f>
        <v>0</v>
      </c>
      <c r="E104" s="480">
        <f>+'[53]Sch C'!H92</f>
        <v>0</v>
      </c>
      <c r="F104" s="166">
        <f t="shared" si="23"/>
        <v>127996.44</v>
      </c>
      <c r="G104" s="626"/>
      <c r="H104" s="166"/>
      <c r="I104" s="166">
        <f t="shared" si="24"/>
        <v>127996.44</v>
      </c>
      <c r="J104" s="167">
        <f t="shared" si="25"/>
        <v>2.7173077718083024E-2</v>
      </c>
      <c r="K104" s="458"/>
      <c r="L104" s="163"/>
      <c r="M104" s="163"/>
      <c r="O104" s="329">
        <f t="shared" si="26"/>
        <v>7.6379305406373073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'[53]Sch C'!D93</f>
        <v>14034.97</v>
      </c>
      <c r="D105" s="480">
        <f>'[53]Sch C'!F93</f>
        <v>0</v>
      </c>
      <c r="E105" s="480">
        <f>+'[53]Sch C'!H93</f>
        <v>0</v>
      </c>
      <c r="F105" s="166">
        <f t="shared" si="23"/>
        <v>14034.97</v>
      </c>
      <c r="G105" s="626"/>
      <c r="H105" s="166"/>
      <c r="I105" s="166">
        <f t="shared" si="24"/>
        <v>14034.97</v>
      </c>
      <c r="J105" s="167">
        <f t="shared" si="25"/>
        <v>2.9795620142322992E-3</v>
      </c>
      <c r="K105" s="458"/>
      <c r="L105" s="163"/>
      <c r="M105" s="163"/>
      <c r="O105" s="329">
        <f t="shared" si="26"/>
        <v>0.83750865258384055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'[53]Sch C'!D94</f>
        <v>0</v>
      </c>
      <c r="D106" s="480">
        <f>'[53]Sch C'!F94</f>
        <v>0</v>
      </c>
      <c r="E106" s="480">
        <f>+'[53]Sch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300801.53999999998</v>
      </c>
      <c r="D107" s="480">
        <f t="shared" si="27"/>
        <v>23753.902414141201</v>
      </c>
      <c r="E107" s="480">
        <f t="shared" si="27"/>
        <v>0</v>
      </c>
      <c r="F107" s="166">
        <f t="shared" ref="F107:I107" si="28">SUM(F101:F106)</f>
        <v>324555.44241414114</v>
      </c>
      <c r="G107" s="166">
        <f t="shared" si="28"/>
        <v>0</v>
      </c>
      <c r="H107" s="166">
        <f t="shared" si="28"/>
        <v>0</v>
      </c>
      <c r="I107" s="166">
        <f t="shared" si="28"/>
        <v>324555.44241414114</v>
      </c>
      <c r="J107" s="167">
        <f t="shared" si="25"/>
        <v>6.8901683988603718E-2</v>
      </c>
      <c r="K107" s="458"/>
      <c r="L107" s="163"/>
      <c r="M107" s="163"/>
      <c r="O107" s="329">
        <f>I107/I$233</f>
        <v>19.367194319975006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'[53]Sch C'!D98</f>
        <v>0</v>
      </c>
      <c r="D110" s="480">
        <f>'[53]Sch C'!F98</f>
        <v>0</v>
      </c>
      <c r="E110" s="480">
        <f>+'[53]Sch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'[53]Sch C'!D99</f>
        <v>0</v>
      </c>
      <c r="D111" s="480">
        <f>'[53]Sch C'!F99</f>
        <v>0</v>
      </c>
      <c r="E111" s="480">
        <f>+'[53]Sch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'[53]Sch C'!D100</f>
        <v>4066.54</v>
      </c>
      <c r="D112" s="480">
        <f>'[53]Sch C'!F100</f>
        <v>0</v>
      </c>
      <c r="E112" s="480">
        <f>+'[53]Sch C'!H100</f>
        <v>0</v>
      </c>
      <c r="F112" s="166">
        <f t="shared" si="29"/>
        <v>4066.54</v>
      </c>
      <c r="G112" s="626"/>
      <c r="H112" s="166"/>
      <c r="I112" s="166">
        <f t="shared" si="30"/>
        <v>4066.54</v>
      </c>
      <c r="J112" s="167">
        <f t="shared" si="31"/>
        <v>8.6330844407620498E-4</v>
      </c>
      <c r="K112" s="458"/>
      <c r="L112" s="163"/>
      <c r="M112" s="163"/>
      <c r="O112" s="329">
        <f t="shared" si="32"/>
        <v>0.2426626089032104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'[53]Sch C'!D101</f>
        <v>3062.01</v>
      </c>
      <c r="D113" s="480">
        <f>'[53]Sch C'!F101</f>
        <v>0</v>
      </c>
      <c r="E113" s="480">
        <f>+'[53]Sch C'!H101</f>
        <v>0</v>
      </c>
      <c r="F113" s="166">
        <f t="shared" si="29"/>
        <v>3062.01</v>
      </c>
      <c r="G113" s="626"/>
      <c r="H113" s="166"/>
      <c r="I113" s="166">
        <f t="shared" si="30"/>
        <v>3062.01</v>
      </c>
      <c r="J113" s="167">
        <f t="shared" si="31"/>
        <v>6.5005117098215705E-4</v>
      </c>
      <c r="K113" s="458"/>
      <c r="L113" s="163"/>
      <c r="M113" s="163"/>
      <c r="O113" s="329">
        <f t="shared" si="32"/>
        <v>0.18271929824561406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'[53]Sch C'!D102</f>
        <v>1687.86</v>
      </c>
      <c r="D114" s="480">
        <f>'[53]Sch C'!F102</f>
        <v>0</v>
      </c>
      <c r="E114" s="480">
        <f>+'[53]Sch C'!H102</f>
        <v>0</v>
      </c>
      <c r="F114" s="166">
        <f t="shared" si="29"/>
        <v>1687.86</v>
      </c>
      <c r="G114" s="626"/>
      <c r="H114" s="166"/>
      <c r="I114" s="166">
        <f t="shared" si="30"/>
        <v>1687.86</v>
      </c>
      <c r="J114" s="167">
        <f t="shared" si="31"/>
        <v>3.5832520777330686E-4</v>
      </c>
      <c r="K114" s="458"/>
      <c r="L114" s="163"/>
      <c r="M114" s="163"/>
      <c r="O114" s="329">
        <f t="shared" si="32"/>
        <v>0.10071965628356605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'[53]Sch C'!D103</f>
        <v>0</v>
      </c>
      <c r="D115" s="480">
        <f>'[53]Sch C'!F103</f>
        <v>0</v>
      </c>
      <c r="E115" s="480">
        <f>+'[53]Sch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8816.41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8816.41</v>
      </c>
      <c r="G116" s="166">
        <f t="shared" si="34"/>
        <v>0</v>
      </c>
      <c r="H116" s="166">
        <f t="shared" si="34"/>
        <v>0</v>
      </c>
      <c r="I116" s="166">
        <f t="shared" si="34"/>
        <v>8816.41</v>
      </c>
      <c r="J116" s="167">
        <f t="shared" si="31"/>
        <v>1.8716848228316689E-3</v>
      </c>
      <c r="K116" s="458"/>
      <c r="L116" s="163"/>
      <c r="M116" s="163"/>
      <c r="O116" s="329">
        <f>I116/I$233</f>
        <v>0.52610156343239045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'[53]Sch C'!D115</f>
        <v>120583.3</v>
      </c>
      <c r="D119" s="480">
        <f>'[53]Sch C'!F115</f>
        <v>0</v>
      </c>
      <c r="E119" s="480">
        <f>+'[53]Sch C'!H115</f>
        <v>0</v>
      </c>
      <c r="F119" s="166">
        <f t="shared" ref="F119:F123" si="35">C119+D119+E119</f>
        <v>120583.3</v>
      </c>
      <c r="G119" s="626"/>
      <c r="H119" s="166"/>
      <c r="I119" s="166">
        <f t="shared" ref="I119:I123" si="36">F119+G119+H119</f>
        <v>120583.3</v>
      </c>
      <c r="J119" s="167">
        <f t="shared" ref="J119:J124" si="37">IF($I$213=0,0,I119/$I$213)</f>
        <v>2.5599300905579252E-2</v>
      </c>
      <c r="K119" s="458"/>
      <c r="L119" s="176">
        <v>11761.91</v>
      </c>
      <c r="M119" s="176">
        <v>12497.84</v>
      </c>
      <c r="O119" s="329">
        <f t="shared" ref="O119:O124" si="38">I119/I$233</f>
        <v>7.1955662966941167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'[53]Sch C'!D116</f>
        <v>0</v>
      </c>
      <c r="D120" s="480">
        <f>'[53]Sch C'!F116</f>
        <v>19311.6052518869</v>
      </c>
      <c r="E120" s="480">
        <f>+'[53]Sch C'!H116</f>
        <v>0</v>
      </c>
      <c r="F120" s="166">
        <f t="shared" si="35"/>
        <v>19311.6052518869</v>
      </c>
      <c r="G120" s="626"/>
      <c r="H120" s="166"/>
      <c r="I120" s="166">
        <f t="shared" si="36"/>
        <v>19311.6052518869</v>
      </c>
      <c r="J120" s="167">
        <f t="shared" si="37"/>
        <v>4.0997683245757692E-3</v>
      </c>
      <c r="K120" s="458"/>
      <c r="L120" s="163"/>
      <c r="M120" s="163"/>
      <c r="O120" s="329">
        <f t="shared" si="38"/>
        <v>1.1523812657767574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'[53]Sch C'!D117</f>
        <v>22133.18</v>
      </c>
      <c r="D121" s="480">
        <f>'[53]Sch C'!F117</f>
        <v>0</v>
      </c>
      <c r="E121" s="480">
        <f>+'[53]Sch C'!H117</f>
        <v>0</v>
      </c>
      <c r="F121" s="166">
        <f t="shared" si="35"/>
        <v>22133.18</v>
      </c>
      <c r="G121" s="626"/>
      <c r="H121" s="166"/>
      <c r="I121" s="166">
        <f t="shared" si="36"/>
        <v>22133.18</v>
      </c>
      <c r="J121" s="167">
        <f t="shared" si="37"/>
        <v>4.6987761557143373E-3</v>
      </c>
      <c r="K121" s="458"/>
      <c r="L121" s="163"/>
      <c r="M121" s="163"/>
      <c r="O121" s="329">
        <f t="shared" si="38"/>
        <v>1.3207530731590882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'[53]Sch C'!D118</f>
        <v>0</v>
      </c>
      <c r="D122" s="480">
        <f>'[53]Sch C'!F118</f>
        <v>0</v>
      </c>
      <c r="E122" s="480">
        <f>+'[53]Sch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'[53]Sch C'!D119</f>
        <v>0</v>
      </c>
      <c r="D123" s="480">
        <f>'[53]Sch C'!F119</f>
        <v>0</v>
      </c>
      <c r="E123" s="480">
        <f>+'[53]Sch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142716.48000000001</v>
      </c>
      <c r="D124" s="480">
        <f t="shared" si="39"/>
        <v>19311.6052518869</v>
      </c>
      <c r="E124" s="480">
        <f t="shared" si="39"/>
        <v>0</v>
      </c>
      <c r="F124" s="166">
        <f t="shared" ref="F124:I124" si="40">SUM(F119:F123)</f>
        <v>162028.08525188689</v>
      </c>
      <c r="G124" s="166">
        <f t="shared" si="40"/>
        <v>0</v>
      </c>
      <c r="H124" s="166">
        <f t="shared" si="40"/>
        <v>0</v>
      </c>
      <c r="I124" s="166">
        <f t="shared" si="40"/>
        <v>162028.08525188689</v>
      </c>
      <c r="J124" s="167">
        <f t="shared" si="37"/>
        <v>3.4397845385869361E-2</v>
      </c>
      <c r="K124" s="458"/>
      <c r="L124" s="163"/>
      <c r="M124" s="163"/>
      <c r="O124" s="329">
        <f t="shared" si="38"/>
        <v>9.6687006356299605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'[53]Sch C'!D124</f>
        <v>0</v>
      </c>
      <c r="D128" s="480">
        <f>'[53]Sch C'!F124</f>
        <v>0</v>
      </c>
      <c r="E128" s="480">
        <f>+'[53]Sch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'[53]Sch C'!D125</f>
        <v>205099.22</v>
      </c>
      <c r="D129" s="480">
        <f>'[53]Sch C'!F125</f>
        <v>0</v>
      </c>
      <c r="E129" s="480">
        <f>+'[53]Sch C'!H125</f>
        <v>0</v>
      </c>
      <c r="F129" s="166">
        <f t="shared" si="41"/>
        <v>205099.22</v>
      </c>
      <c r="G129" s="626"/>
      <c r="H129" s="166"/>
      <c r="I129" s="166">
        <f t="shared" si="42"/>
        <v>205099.22</v>
      </c>
      <c r="J129" s="167">
        <f>IF($I$213=0,0,I129/$I$213)</f>
        <v>4.354165666621828E-2</v>
      </c>
      <c r="K129" s="458"/>
      <c r="L129" s="176">
        <v>5499.41</v>
      </c>
      <c r="M129" s="176">
        <v>6131.94</v>
      </c>
      <c r="O129" s="329">
        <f t="shared" si="43"/>
        <v>12.238884115049528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'[53]Sch C'!D126</f>
        <v>0</v>
      </c>
      <c r="D130" s="480">
        <f>'[53]Sch C'!F126</f>
        <v>0</v>
      </c>
      <c r="E130" s="480">
        <f>+'[53]Sch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'[53]Sch C'!D127</f>
        <v>0</v>
      </c>
      <c r="D131" s="480">
        <f>'[53]Sch C'!F127</f>
        <v>0</v>
      </c>
      <c r="E131" s="480">
        <f>+'[53]Sch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7" t="s">
        <v>377</v>
      </c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'[53]Sch C'!D128</f>
        <v>56445.02</v>
      </c>
      <c r="D132" s="480">
        <f>'[53]Sch C'!F128</f>
        <v>0</v>
      </c>
      <c r="E132" s="480">
        <f>+'[53]Sch C'!H128</f>
        <v>0</v>
      </c>
      <c r="F132" s="166">
        <f t="shared" si="41"/>
        <v>56445.02</v>
      </c>
      <c r="G132" s="626"/>
      <c r="H132" s="166"/>
      <c r="I132" s="166">
        <f t="shared" si="42"/>
        <v>56445.02</v>
      </c>
      <c r="J132" s="167">
        <f>IF($I$213=0,0,I132/$I$213)</f>
        <v>1.1983027928423247E-2</v>
      </c>
      <c r="K132" s="457" t="s">
        <v>377</v>
      </c>
      <c r="L132" s="176">
        <v>2029.52</v>
      </c>
      <c r="M132" s="176">
        <v>2072.52</v>
      </c>
      <c r="O132" s="329">
        <f t="shared" si="43"/>
        <v>3.3682432271154075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'[53]Sch C'!D130</f>
        <v>0</v>
      </c>
      <c r="D134" s="480">
        <f>'[53]Sch C'!F130</f>
        <v>0</v>
      </c>
      <c r="E134" s="480">
        <f>+'[53]Sch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'[53]Sch C'!D131</f>
        <v>0</v>
      </c>
      <c r="D135" s="480">
        <f>'[53]Sch C'!F131</f>
        <v>32846.962839049076</v>
      </c>
      <c r="E135" s="480">
        <f>+'[53]Sch C'!H131</f>
        <v>0</v>
      </c>
      <c r="F135" s="166">
        <f t="shared" si="44"/>
        <v>32846.962839049076</v>
      </c>
      <c r="G135" s="626"/>
      <c r="H135" s="166"/>
      <c r="I135" s="166">
        <f t="shared" si="45"/>
        <v>32846.962839049076</v>
      </c>
      <c r="J135" s="167">
        <f>IF($I$213=0,0,I135/$I$213)</f>
        <v>6.9732648347756035E-3</v>
      </c>
      <c r="K135" s="458"/>
      <c r="L135" s="196"/>
      <c r="M135" s="196"/>
      <c r="O135" s="329">
        <f t="shared" si="43"/>
        <v>1.9600765508443176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'[53]Sch C'!D132</f>
        <v>0</v>
      </c>
      <c r="D136" s="480">
        <f>'[53]Sch C'!F132</f>
        <v>0</v>
      </c>
      <c r="E136" s="480">
        <f>+'[53]Sch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'[53]Sch C'!D133</f>
        <v>0</v>
      </c>
      <c r="D137" s="480">
        <f>'[53]Sch C'!F133</f>
        <v>0</v>
      </c>
      <c r="E137" s="480">
        <f>+'[53]Sch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7" t="s">
        <v>377</v>
      </c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'[53]Sch C'!D134</f>
        <v>0</v>
      </c>
      <c r="D138" s="480">
        <f>'[53]Sch C'!F134</f>
        <v>9039.7587781629882</v>
      </c>
      <c r="E138" s="480">
        <f>+'[53]Sch C'!H134</f>
        <v>0</v>
      </c>
      <c r="F138" s="166">
        <f t="shared" si="44"/>
        <v>9039.7587781629882</v>
      </c>
      <c r="G138" s="626"/>
      <c r="H138" s="166"/>
      <c r="I138" s="166">
        <f t="shared" si="45"/>
        <v>9039.7587781629882</v>
      </c>
      <c r="J138" s="167">
        <f>IF($I$213=0,0,I138/$I$213)</f>
        <v>1.919100779925958E-3</v>
      </c>
      <c r="K138" s="457" t="s">
        <v>377</v>
      </c>
      <c r="L138" s="163"/>
      <c r="M138" s="163"/>
      <c r="O138" s="329">
        <f t="shared" si="43"/>
        <v>0.5394294532857733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'[53]Sch C'!D136</f>
        <v>325650.09999999998</v>
      </c>
      <c r="D140" s="480">
        <f>'[53]Sch C'!F136</f>
        <v>0</v>
      </c>
      <c r="E140" s="480">
        <f>+'[53]Sch C'!H136</f>
        <v>0</v>
      </c>
      <c r="F140" s="166">
        <f t="shared" ref="F140:F143" si="46">C140+D140+E140</f>
        <v>325650.09999999998</v>
      </c>
      <c r="G140" s="626"/>
      <c r="H140" s="166"/>
      <c r="I140" s="166">
        <f t="shared" ref="I140:I143" si="47">F140+G140+H140</f>
        <v>325650.09999999998</v>
      </c>
      <c r="J140" s="167">
        <f>IF($I$213=0,0,I140/$I$213)</f>
        <v>6.9134074949283808E-2</v>
      </c>
      <c r="K140" s="458"/>
      <c r="L140" s="176">
        <v>10563.38</v>
      </c>
      <c r="M140" s="176">
        <v>11354.87</v>
      </c>
      <c r="O140" s="329">
        <f t="shared" si="43"/>
        <v>19.432515813342878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'[53]Sch C'!D137</f>
        <v>300613.67</v>
      </c>
      <c r="D141" s="480">
        <f>'[53]Sch C'!F137</f>
        <v>0</v>
      </c>
      <c r="E141" s="480">
        <f>+'[53]Sch C'!H137</f>
        <v>0</v>
      </c>
      <c r="F141" s="166">
        <f t="shared" si="46"/>
        <v>300613.67</v>
      </c>
      <c r="G141" s="626"/>
      <c r="H141" s="166"/>
      <c r="I141" s="166">
        <f t="shared" si="47"/>
        <v>300613.67</v>
      </c>
      <c r="J141" s="167">
        <f>IF($I$213=0,0,I141/$I$213)</f>
        <v>6.3818951667938287E-2</v>
      </c>
      <c r="K141" s="458"/>
      <c r="L141" s="176">
        <v>11783.58</v>
      </c>
      <c r="M141" s="176">
        <v>12641.66</v>
      </c>
      <c r="O141" s="329">
        <f t="shared" si="43"/>
        <v>17.938517126148703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'[53]Sch C'!D138</f>
        <v>529644.4</v>
      </c>
      <c r="D142" s="480">
        <f>'[53]Sch C'!F138</f>
        <v>0</v>
      </c>
      <c r="E142" s="480">
        <f>+'[53]Sch C'!H138</f>
        <v>0</v>
      </c>
      <c r="F142" s="166">
        <f t="shared" si="46"/>
        <v>529644.4</v>
      </c>
      <c r="G142" s="626"/>
      <c r="H142" s="166"/>
      <c r="I142" s="166">
        <f t="shared" si="47"/>
        <v>529644.4</v>
      </c>
      <c r="J142" s="167">
        <f>IF($I$213=0,0,I142/$I$213)</f>
        <v>0.1124411619897198</v>
      </c>
      <c r="K142" s="458"/>
      <c r="L142" s="176">
        <v>42670.65</v>
      </c>
      <c r="M142" s="176">
        <v>44689.01</v>
      </c>
      <c r="O142" s="329">
        <f t="shared" si="43"/>
        <v>31.605466046067551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'[53]Sch C'!D139</f>
        <v>0</v>
      </c>
      <c r="D143" s="480">
        <f>'[53]Sch C'!F139</f>
        <v>0</v>
      </c>
      <c r="E143" s="480">
        <f>+'[53]Sch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'[53]Sch C'!D141</f>
        <v>0</v>
      </c>
      <c r="D145" s="480">
        <f>'[53]Sch C'!F141</f>
        <v>52153.375976917981</v>
      </c>
      <c r="E145" s="480">
        <f>+'[53]Sch C'!H141</f>
        <v>0</v>
      </c>
      <c r="F145" s="166">
        <f t="shared" ref="F145:F148" si="48">C145+D145+E145</f>
        <v>52153.375976917981</v>
      </c>
      <c r="G145" s="626"/>
      <c r="H145" s="166"/>
      <c r="I145" s="166">
        <f t="shared" ref="I145:I148" si="49">F145+G145+H145</f>
        <v>52153.375976917981</v>
      </c>
      <c r="J145" s="167">
        <f>IF($I$213=0,0,I145/$I$213)</f>
        <v>1.1071930896524905E-2</v>
      </c>
      <c r="K145" s="458"/>
      <c r="L145" s="163"/>
      <c r="M145" s="163"/>
      <c r="O145" s="329">
        <f t="shared" si="43"/>
        <v>3.1121479876427962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'[53]Sch C'!D142</f>
        <v>0</v>
      </c>
      <c r="D146" s="480">
        <f>'[53]Sch C'!F142</f>
        <v>48143.752313637087</v>
      </c>
      <c r="E146" s="480">
        <f>+'[53]Sch C'!H142</f>
        <v>0</v>
      </c>
      <c r="F146" s="166">
        <f t="shared" si="48"/>
        <v>48143.752313637087</v>
      </c>
      <c r="G146" s="626"/>
      <c r="H146" s="166"/>
      <c r="I146" s="166">
        <f t="shared" si="49"/>
        <v>48143.752313637087</v>
      </c>
      <c r="J146" s="167">
        <f>IF($I$213=0,0,I146/$I$213)</f>
        <v>1.022070553883061E-2</v>
      </c>
      <c r="K146" s="458"/>
      <c r="L146" s="163"/>
      <c r="M146" s="163"/>
      <c r="O146" s="329">
        <f t="shared" si="43"/>
        <v>2.8728817468455117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'[53]Sch C'!D143</f>
        <v>0</v>
      </c>
      <c r="D147" s="480">
        <f>'[53]Sch C'!F143</f>
        <v>84823.384139200745</v>
      </c>
      <c r="E147" s="480">
        <f>+'[53]Sch C'!H143</f>
        <v>0</v>
      </c>
      <c r="F147" s="166">
        <f t="shared" si="48"/>
        <v>84823.384139200745</v>
      </c>
      <c r="G147" s="626"/>
      <c r="H147" s="166"/>
      <c r="I147" s="166">
        <f t="shared" si="49"/>
        <v>84823.384139200745</v>
      </c>
      <c r="J147" s="167">
        <f>IF($I$213=0,0,I147/$I$213)</f>
        <v>1.8007629036599086E-2</v>
      </c>
      <c r="K147" s="458"/>
      <c r="L147" s="163"/>
      <c r="M147" s="163"/>
      <c r="O147" s="329">
        <f t="shared" si="43"/>
        <v>5.0616651234753993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'[53]Sch C'!D144</f>
        <v>0</v>
      </c>
      <c r="D148" s="480">
        <f>'[53]Sch C'!F144</f>
        <v>0</v>
      </c>
      <c r="E148" s="480">
        <f>+'[53]Sch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'[53]Sch C'!D146</f>
        <v>30000</v>
      </c>
      <c r="D150" s="480">
        <f>'[53]Sch C'!F146</f>
        <v>0</v>
      </c>
      <c r="E150" s="480">
        <f>+'[53]Sch C'!H146</f>
        <v>0</v>
      </c>
      <c r="F150" s="166">
        <f t="shared" ref="F150:F158" si="50">C150+D150+E150</f>
        <v>30000</v>
      </c>
      <c r="G150" s="626"/>
      <c r="H150" s="166"/>
      <c r="I150" s="166">
        <f t="shared" ref="I150:I158" si="51">F150+G150+H150</f>
        <v>30000</v>
      </c>
      <c r="J150" s="167">
        <f t="shared" ref="J150:J158" si="52">IF($I$213=0,0,I150/$I$213)</f>
        <v>6.3688672242953838E-3</v>
      </c>
      <c r="K150" s="458"/>
      <c r="L150" s="176">
        <v>0</v>
      </c>
      <c r="M150" s="176">
        <v>0</v>
      </c>
      <c r="O150" s="329">
        <f t="shared" si="43"/>
        <v>1.7901897601145722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'[53]Sch C'!D147</f>
        <v>0</v>
      </c>
      <c r="D151" s="480">
        <f>'[53]Sch C'!F147</f>
        <v>0</v>
      </c>
      <c r="E151" s="480">
        <f>+'[53]Sch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'[53]Sch C'!D148</f>
        <v>0</v>
      </c>
      <c r="D152" s="480">
        <f>'[53]Sch C'!F148</f>
        <v>0</v>
      </c>
      <c r="E152" s="480">
        <f>+'[53]Sch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'[53]Sch C'!D149</f>
        <v>0</v>
      </c>
      <c r="D153" s="480">
        <f>'[53]Sch C'!F149</f>
        <v>0</v>
      </c>
      <c r="E153" s="480">
        <f>+'[53]Sch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'[53]Sch C'!D150</f>
        <v>12096.3</v>
      </c>
      <c r="D154" s="480">
        <f>'[53]Sch C'!F150</f>
        <v>0</v>
      </c>
      <c r="E154" s="480">
        <f>+'[53]Sch C'!H150</f>
        <v>0</v>
      </c>
      <c r="F154" s="166">
        <f t="shared" si="50"/>
        <v>12096.3</v>
      </c>
      <c r="G154" s="626"/>
      <c r="H154" s="166"/>
      <c r="I154" s="166">
        <f t="shared" si="51"/>
        <v>12096.3</v>
      </c>
      <c r="J154" s="167">
        <f t="shared" si="52"/>
        <v>2.5679909535081418E-3</v>
      </c>
      <c r="K154" s="458"/>
      <c r="L154" s="176">
        <v>0</v>
      </c>
      <c r="M154" s="176">
        <v>0</v>
      </c>
      <c r="O154" s="329">
        <f t="shared" si="43"/>
        <v>0.72182241317579654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'[53]Sch C'!D151</f>
        <v>90457.39</v>
      </c>
      <c r="D155" s="480">
        <f>'[53]Sch C'!F151</f>
        <v>0</v>
      </c>
      <c r="E155" s="480">
        <f>+'[53]Sch C'!H151</f>
        <v>0</v>
      </c>
      <c r="F155" s="166">
        <f t="shared" si="50"/>
        <v>90457.39</v>
      </c>
      <c r="G155" s="626"/>
      <c r="H155" s="166"/>
      <c r="I155" s="166">
        <f t="shared" si="51"/>
        <v>90457.39</v>
      </c>
      <c r="J155" s="167">
        <f t="shared" si="52"/>
        <v>1.9203703545543502E-2</v>
      </c>
      <c r="K155" s="457" t="s">
        <v>374</v>
      </c>
      <c r="L155" s="163"/>
      <c r="M155" s="163"/>
      <c r="O155" s="329">
        <f t="shared" si="43"/>
        <v>5.3978631101563428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'[53]Sch C'!D152</f>
        <v>378.61</v>
      </c>
      <c r="D156" s="480">
        <f>'[53]Sch C'!F152</f>
        <v>0</v>
      </c>
      <c r="E156" s="480">
        <f>+'[53]Sch C'!H152</f>
        <v>0</v>
      </c>
      <c r="F156" s="166">
        <f t="shared" si="50"/>
        <v>378.61</v>
      </c>
      <c r="G156" s="626"/>
      <c r="H156" s="166"/>
      <c r="I156" s="166">
        <f t="shared" si="51"/>
        <v>378.61</v>
      </c>
      <c r="J156" s="167">
        <f t="shared" si="52"/>
        <v>8.0377227326349185E-5</v>
      </c>
      <c r="K156" s="458"/>
      <c r="L156" s="163"/>
      <c r="M156" s="163"/>
      <c r="O156" s="329">
        <f t="shared" si="43"/>
        <v>2.2592791502565938E-2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'[53]Sch C'!D153</f>
        <v>4264.3599999999997</v>
      </c>
      <c r="D157" s="480">
        <f>'[53]Sch C'!F153</f>
        <v>0</v>
      </c>
      <c r="E157" s="480">
        <f>+'[53]Sch C'!H153</f>
        <v>0</v>
      </c>
      <c r="F157" s="166">
        <f t="shared" si="50"/>
        <v>4264.3599999999997</v>
      </c>
      <c r="G157" s="626"/>
      <c r="H157" s="166"/>
      <c r="I157" s="166">
        <f t="shared" si="51"/>
        <v>4264.3599999999997</v>
      </c>
      <c r="J157" s="167">
        <f t="shared" si="52"/>
        <v>9.0530475455320876E-4</v>
      </c>
      <c r="K157" s="458"/>
      <c r="L157" s="163"/>
      <c r="M157" s="163"/>
      <c r="O157" s="329">
        <f t="shared" si="43"/>
        <v>0.25446712018140588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'[53]Sch C'!D154</f>
        <v>0</v>
      </c>
      <c r="D158" s="480">
        <f>'[53]Sch C'!F154</f>
        <v>0</v>
      </c>
      <c r="E158" s="480">
        <f>+'[53]Sch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'[53]Sch C'!D156</f>
        <v>0</v>
      </c>
      <c r="D160" s="480">
        <f>'[53]Sch C'!F156</f>
        <v>0</v>
      </c>
      <c r="E160" s="480">
        <f>+'[53]Sch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'[53]Sch C'!D157</f>
        <v>0</v>
      </c>
      <c r="D161" s="480">
        <f>'[53]Sch C'!F157</f>
        <v>0</v>
      </c>
      <c r="E161" s="480">
        <f>+'[53]Sch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'[53]Sch C'!D158</f>
        <v>0</v>
      </c>
      <c r="D162" s="480">
        <f>'[53]Sch C'!F158</f>
        <v>0</v>
      </c>
      <c r="E162" s="480">
        <f>+'[53]Sch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'[53]Sch C'!D159</f>
        <v>0</v>
      </c>
      <c r="D163" s="480">
        <f>'[53]Sch C'!F159</f>
        <v>0</v>
      </c>
      <c r="E163" s="480">
        <f>+'[53]Sch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'[53]Sch C'!D160</f>
        <v>0</v>
      </c>
      <c r="D164" s="480">
        <f>'[53]Sch C'!F160</f>
        <v>0</v>
      </c>
      <c r="E164" s="480">
        <f>+'[53]Sch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'[53]Sch C'!D161</f>
        <v>0</v>
      </c>
      <c r="D165" s="480">
        <f>'[53]Sch C'!F161</f>
        <v>0</v>
      </c>
      <c r="E165" s="480">
        <f>+'[53]Sch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1554649.0700000003</v>
      </c>
      <c r="D166" s="480">
        <f t="shared" si="56"/>
        <v>227007.23404696787</v>
      </c>
      <c r="E166" s="480">
        <f t="shared" si="56"/>
        <v>0</v>
      </c>
      <c r="F166" s="166">
        <f t="shared" ref="F166:I166" si="57">SUM(F128:F165)</f>
        <v>1781656.3040469682</v>
      </c>
      <c r="G166" s="166">
        <f t="shared" si="57"/>
        <v>0</v>
      </c>
      <c r="H166" s="166">
        <f t="shared" si="57"/>
        <v>0</v>
      </c>
      <c r="I166" s="166">
        <f t="shared" si="57"/>
        <v>1781656.3040469682</v>
      </c>
      <c r="J166" s="167">
        <f t="shared" si="55"/>
        <v>0.37823774799346627</v>
      </c>
      <c r="K166" s="458"/>
      <c r="L166" s="163"/>
      <c r="M166" s="163"/>
      <c r="O166" s="329">
        <f>I166/I$233</f>
        <v>106.31676238494858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'[53]Sch C'!D175</f>
        <v>0</v>
      </c>
      <c r="D169" s="480">
        <f>'[53]Sch C'!F175</f>
        <v>0</v>
      </c>
      <c r="E169" s="480">
        <f>+'[53]Sch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'[53]Sch C'!D176</f>
        <v>0</v>
      </c>
      <c r="D170" s="480">
        <f>'[53]Sch C'!F176</f>
        <v>0</v>
      </c>
      <c r="E170" s="480">
        <f>+'[53]Sch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'[53]Sch C'!D177</f>
        <v>0</v>
      </c>
      <c r="D171" s="480">
        <f>'[53]Sch C'!F177</f>
        <v>0</v>
      </c>
      <c r="E171" s="480">
        <f>+'[53]Sch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'[53]Sch C'!D178</f>
        <v>0</v>
      </c>
      <c r="D172" s="480">
        <f>'[53]Sch C'!F178</f>
        <v>0</v>
      </c>
      <c r="E172" s="480">
        <f>+'[53]Sch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'[53]Sch C'!D179</f>
        <v>0</v>
      </c>
      <c r="D173" s="480">
        <f>'[53]Sch C'!F179</f>
        <v>0</v>
      </c>
      <c r="E173" s="480">
        <f>+'[53]Sch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'[53]Sch C'!D180</f>
        <v>0</v>
      </c>
      <c r="D174" s="480">
        <f>'[53]Sch C'!F180</f>
        <v>0</v>
      </c>
      <c r="E174" s="480">
        <f>+'[53]Sch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'[53]Sch C'!D181</f>
        <v>0</v>
      </c>
      <c r="D175" s="480">
        <f>'[53]Sch C'!F181</f>
        <v>0</v>
      </c>
      <c r="E175" s="480">
        <f>+'[53]Sch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'[53]Sch C'!D182</f>
        <v>0</v>
      </c>
      <c r="D176" s="480">
        <f>'[53]Sch C'!F182</f>
        <v>0</v>
      </c>
      <c r="E176" s="480">
        <f>+'[53]Sch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'[53]Sch C'!D183</f>
        <v>0</v>
      </c>
      <c r="D177" s="480">
        <f>'[53]Sch C'!F183</f>
        <v>0</v>
      </c>
      <c r="E177" s="480">
        <f>+'[53]Sch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'[53]Sch C'!D184</f>
        <v>0</v>
      </c>
      <c r="D178" s="480">
        <f>'[53]Sch C'!F184</f>
        <v>0</v>
      </c>
      <c r="E178" s="480">
        <f>+'[53]Sch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'[53]Sch C'!D185</f>
        <v>0</v>
      </c>
      <c r="D179" s="480">
        <f>'[53]Sch C'!F185</f>
        <v>0</v>
      </c>
      <c r="E179" s="480">
        <f>+'[53]Sch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'[53]Sch C'!D186</f>
        <v>0</v>
      </c>
      <c r="D180" s="480">
        <f>'[53]Sch C'!F186</f>
        <v>0</v>
      </c>
      <c r="E180" s="480">
        <f>+'[53]Sch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'[53]Sch C'!D187</f>
        <v>0</v>
      </c>
      <c r="D181" s="480">
        <f>'[53]Sch C'!F187</f>
        <v>0</v>
      </c>
      <c r="E181" s="480">
        <f>+'[53]Sch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'[53]Sch C'!D188</f>
        <v>0</v>
      </c>
      <c r="D182" s="480">
        <f>'[53]Sch C'!F188</f>
        <v>0</v>
      </c>
      <c r="E182" s="480">
        <f>+'[53]Sch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'[53]Sch C'!D189</f>
        <v>0</v>
      </c>
      <c r="D183" s="480">
        <f>'[53]Sch C'!F189</f>
        <v>0</v>
      </c>
      <c r="E183" s="480">
        <f>+'[53]Sch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'[53]Sch C'!D190</f>
        <v>0</v>
      </c>
      <c r="D184" s="480">
        <f>'[53]Sch C'!F190</f>
        <v>0</v>
      </c>
      <c r="E184" s="480">
        <f>+'[53]Sch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'[53]Sch C'!D191</f>
        <v>0</v>
      </c>
      <c r="D185" s="480">
        <f>'[53]Sch C'!F191</f>
        <v>0</v>
      </c>
      <c r="E185" s="480">
        <f>+'[53]Sch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'[53]Sch C'!D192</f>
        <v>0</v>
      </c>
      <c r="D186" s="480">
        <f>'[53]Sch C'!F192</f>
        <v>0</v>
      </c>
      <c r="E186" s="480">
        <f>+'[53]Sch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'[53]Sch C'!D193</f>
        <v>0</v>
      </c>
      <c r="D187" s="480">
        <f>'[53]Sch C'!F193</f>
        <v>0</v>
      </c>
      <c r="E187" s="480">
        <f>+'[53]Sch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'[53]Sch C'!D194</f>
        <v>239627.29</v>
      </c>
      <c r="D188" s="480">
        <f>'[53]Sch C'!F194</f>
        <v>0</v>
      </c>
      <c r="E188" s="480">
        <f>+'[53]Sch C'!H194</f>
        <v>0</v>
      </c>
      <c r="F188" s="166">
        <f t="shared" si="58"/>
        <v>239627.29</v>
      </c>
      <c r="G188" s="626"/>
      <c r="H188" s="166"/>
      <c r="I188" s="166">
        <f t="shared" si="59"/>
        <v>239627.29</v>
      </c>
      <c r="J188" s="167">
        <f t="shared" si="60"/>
        <v>5.0871813110924168E-2</v>
      </c>
      <c r="K188" s="458"/>
      <c r="L188" s="213"/>
      <c r="M188" s="208"/>
      <c r="O188" s="329">
        <f t="shared" si="61"/>
        <v>14.299277360066835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'[53]Sch C'!D195</f>
        <v>1018.23</v>
      </c>
      <c r="D189" s="480">
        <f>'[53]Sch C'!F195</f>
        <v>0</v>
      </c>
      <c r="E189" s="480">
        <f>+'[53]Sch C'!H195</f>
        <v>0</v>
      </c>
      <c r="F189" s="166">
        <f t="shared" si="58"/>
        <v>1018.23</v>
      </c>
      <c r="G189" s="626"/>
      <c r="H189" s="166"/>
      <c r="I189" s="166">
        <f t="shared" si="59"/>
        <v>1018.23</v>
      </c>
      <c r="J189" s="167">
        <f t="shared" si="60"/>
        <v>2.1616572245980963E-4</v>
      </c>
      <c r="K189" s="458"/>
      <c r="L189" s="213"/>
      <c r="M189" s="208"/>
      <c r="O189" s="329">
        <f t="shared" si="61"/>
        <v>6.0760830648048693E-2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'[53]Sch C'!D196</f>
        <v>0</v>
      </c>
      <c r="D190" s="480">
        <f>'[53]Sch C'!F196</f>
        <v>0</v>
      </c>
      <c r="E190" s="480">
        <f>+'[53]Sch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'[53]Sch C'!D197</f>
        <v>150314.23000000001</v>
      </c>
      <c r="D191" s="480">
        <f>'[53]Sch C'!F197</f>
        <v>0</v>
      </c>
      <c r="E191" s="480">
        <f>+'[53]Sch C'!H197</f>
        <v>0</v>
      </c>
      <c r="F191" s="166">
        <f t="shared" si="58"/>
        <v>150314.23000000001</v>
      </c>
      <c r="G191" s="626"/>
      <c r="H191" s="166"/>
      <c r="I191" s="166">
        <f t="shared" si="59"/>
        <v>150314.23000000001</v>
      </c>
      <c r="J191" s="167">
        <f t="shared" si="60"/>
        <v>3.1911045759739937E-2</v>
      </c>
      <c r="K191" s="458"/>
      <c r="L191" s="213"/>
      <c r="M191" s="208"/>
      <c r="O191" s="329">
        <f t="shared" si="61"/>
        <v>8.9696998448502221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'[53]Sch C'!D198</f>
        <v>3233.93</v>
      </c>
      <c r="D192" s="480">
        <f>'[53]Sch C'!F198</f>
        <v>0</v>
      </c>
      <c r="E192" s="480">
        <f>+'[53]Sch C'!H198</f>
        <v>0</v>
      </c>
      <c r="F192" s="166">
        <f t="shared" si="58"/>
        <v>3233.93</v>
      </c>
      <c r="G192" s="626"/>
      <c r="H192" s="166"/>
      <c r="I192" s="166">
        <f t="shared" si="59"/>
        <v>3233.93</v>
      </c>
      <c r="J192" s="167">
        <f t="shared" si="60"/>
        <v>6.8654902608885238E-4</v>
      </c>
      <c r="K192" s="458"/>
      <c r="L192" s="213"/>
      <c r="M192" s="208"/>
      <c r="O192" s="329">
        <f t="shared" si="61"/>
        <v>0.19297827903091061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'[53]Sch C'!D199</f>
        <v>0</v>
      </c>
      <c r="D193" s="480">
        <f>'[53]Sch C'!F199</f>
        <v>0</v>
      </c>
      <c r="E193" s="480">
        <f>+'[53]Sch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'[53]Sch C'!D200</f>
        <v>0</v>
      </c>
      <c r="D194" s="480">
        <f>'[53]Sch C'!F200</f>
        <v>0</v>
      </c>
      <c r="E194" s="480">
        <f>+'[53]Sch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'[53]Sch C'!D201</f>
        <v>0</v>
      </c>
      <c r="D195" s="480">
        <f>'[53]Sch C'!F201</f>
        <v>0</v>
      </c>
      <c r="E195" s="480">
        <f>+'[53]Sch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'[53]Sch C'!D202</f>
        <v>0</v>
      </c>
      <c r="D196" s="480">
        <f>'[53]Sch C'!F202</f>
        <v>0</v>
      </c>
      <c r="E196" s="480">
        <f>+'[53]Sch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'[53]Sch C'!D203</f>
        <v>0</v>
      </c>
      <c r="D197" s="480">
        <f>'[53]Sch C'!F203</f>
        <v>0</v>
      </c>
      <c r="E197" s="480">
        <f>+'[53]Sch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'[53]Sch C'!D204</f>
        <v>0</v>
      </c>
      <c r="D198" s="480">
        <f>'[53]Sch C'!F204</f>
        <v>0</v>
      </c>
      <c r="E198" s="480">
        <f>+'[53]Sch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'[53]Sch C'!D205</f>
        <v>105555.69</v>
      </c>
      <c r="D199" s="480">
        <f>'[53]Sch C'!F205</f>
        <v>0</v>
      </c>
      <c r="E199" s="480">
        <f>+'[53]Sch C'!H205</f>
        <v>0</v>
      </c>
      <c r="F199" s="166">
        <f t="shared" si="58"/>
        <v>105555.69</v>
      </c>
      <c r="G199" s="626"/>
      <c r="H199" s="166"/>
      <c r="I199" s="166">
        <f t="shared" si="59"/>
        <v>105555.69</v>
      </c>
      <c r="J199" s="167">
        <f t="shared" si="60"/>
        <v>2.2409005812629466E-2</v>
      </c>
      <c r="K199" s="458"/>
      <c r="L199" s="213"/>
      <c r="M199" s="208"/>
      <c r="O199" s="329">
        <f t="shared" si="61"/>
        <v>6.2988238453276049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'[53]Sch C'!D206</f>
        <v>3810.2</v>
      </c>
      <c r="D200" s="480">
        <f>'[53]Sch C'!F206</f>
        <v>0</v>
      </c>
      <c r="E200" s="480">
        <f>+'[53]Sch C'!H206</f>
        <v>0</v>
      </c>
      <c r="F200" s="166">
        <f t="shared" si="58"/>
        <v>3810.2</v>
      </c>
      <c r="G200" s="626"/>
      <c r="H200" s="166"/>
      <c r="I200" s="166">
        <f t="shared" si="59"/>
        <v>3810.2</v>
      </c>
      <c r="J200" s="167">
        <f t="shared" si="60"/>
        <v>8.0888859660034238E-4</v>
      </c>
      <c r="K200" s="458"/>
      <c r="L200" s="213"/>
      <c r="M200" s="208"/>
      <c r="O200" s="329">
        <f t="shared" si="61"/>
        <v>0.22736603413295142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'[53]Sch C'!D207</f>
        <v>0</v>
      </c>
      <c r="D201" s="480">
        <f>'[53]Sch C'!F207</f>
        <v>0</v>
      </c>
      <c r="E201" s="480">
        <f>+'[53]Sch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503559.57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503559.57</v>
      </c>
      <c r="G202" s="166">
        <f t="shared" si="63"/>
        <v>0</v>
      </c>
      <c r="H202" s="166">
        <f t="shared" si="63"/>
        <v>0</v>
      </c>
      <c r="I202" s="166">
        <f t="shared" si="63"/>
        <v>503559.57</v>
      </c>
      <c r="J202" s="167">
        <f>IF($I$213=0,0,I202/$I$213)</f>
        <v>0.10690346802844257</v>
      </c>
      <c r="K202" s="458"/>
      <c r="L202" s="163"/>
      <c r="M202" s="163"/>
      <c r="O202" s="329">
        <f>I202/I$233</f>
        <v>30.04890619405657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'[53]Sch C'!D211</f>
        <v>70073.3</v>
      </c>
      <c r="D205" s="480">
        <f>'[53]Sch C'!F211</f>
        <v>0</v>
      </c>
      <c r="E205" s="480">
        <f>+'[53]Sch C'!H211</f>
        <v>0</v>
      </c>
      <c r="F205" s="166">
        <f t="shared" ref="F205:F210" si="64">C205+D205+E205</f>
        <v>70073.3</v>
      </c>
      <c r="G205" s="626"/>
      <c r="H205" s="166"/>
      <c r="I205" s="166">
        <f t="shared" ref="I205:I210" si="65">F205+G205+H205</f>
        <v>70073.3</v>
      </c>
      <c r="J205" s="167">
        <f t="shared" ref="J205:J211" si="66">IF($I$213=0,0,I205/$I$213)</f>
        <v>1.4876251455607259E-2</v>
      </c>
      <c r="K205" s="458"/>
      <c r="L205" s="176">
        <v>3536.2</v>
      </c>
      <c r="M205" s="176">
        <v>3813.92</v>
      </c>
      <c r="O205" s="329">
        <f t="shared" ref="O205:O210" si="67">I205/I$233</f>
        <v>4.1814834705812149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'[53]Sch C'!D212</f>
        <v>0</v>
      </c>
      <c r="D206" s="480">
        <f>'[53]Sch C'!F212</f>
        <v>11222.349266416213</v>
      </c>
      <c r="E206" s="480">
        <f>+'[53]Sch C'!H212</f>
        <v>0</v>
      </c>
      <c r="F206" s="166">
        <f t="shared" si="64"/>
        <v>11222.349266416213</v>
      </c>
      <c r="G206" s="626"/>
      <c r="H206" s="166"/>
      <c r="I206" s="166">
        <f t="shared" si="65"/>
        <v>11222.349266416213</v>
      </c>
      <c r="J206" s="167">
        <f t="shared" si="66"/>
        <v>2.3824550807491187E-3</v>
      </c>
      <c r="K206" s="458"/>
      <c r="L206" s="163"/>
      <c r="M206" s="163"/>
      <c r="O206" s="329">
        <f t="shared" si="67"/>
        <v>0.66967115803891952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'[53]Sch C'!D213</f>
        <v>7487.4</v>
      </c>
      <c r="D207" s="480">
        <f>'[53]Sch C'!F213</f>
        <v>0</v>
      </c>
      <c r="E207" s="480">
        <f>+'[53]Sch C'!H213</f>
        <v>0</v>
      </c>
      <c r="F207" s="166">
        <f t="shared" si="64"/>
        <v>7487.4</v>
      </c>
      <c r="G207" s="626"/>
      <c r="H207" s="166"/>
      <c r="I207" s="166">
        <f t="shared" si="65"/>
        <v>7487.4</v>
      </c>
      <c r="J207" s="167">
        <f t="shared" si="66"/>
        <v>1.5895418818396418E-3</v>
      </c>
      <c r="K207" s="458"/>
      <c r="L207" s="163"/>
      <c r="M207" s="163"/>
      <c r="O207" s="329">
        <f t="shared" si="67"/>
        <v>0.44679556032939488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'[53]Sch C'!D214</f>
        <v>0</v>
      </c>
      <c r="D208" s="480">
        <f>'[53]Sch C'!F214</f>
        <v>0</v>
      </c>
      <c r="E208" s="480">
        <f>+'[53]Sch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'[53]Sch C'!D215</f>
        <v>0</v>
      </c>
      <c r="D209" s="480">
        <f>'[53]Sch C'!F215</f>
        <v>0</v>
      </c>
      <c r="E209" s="480">
        <f>+'[53]Sch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'[53]Sch C'!D216</f>
        <v>3135.96</v>
      </c>
      <c r="D210" s="480">
        <f>'[53]Sch C'!F216</f>
        <v>0</v>
      </c>
      <c r="E210" s="480">
        <f>+'[53]Sch C'!H216</f>
        <v>0</v>
      </c>
      <c r="F210" s="166">
        <f t="shared" si="64"/>
        <v>3135.96</v>
      </c>
      <c r="G210" s="626"/>
      <c r="H210" s="166"/>
      <c r="I210" s="166">
        <f t="shared" si="65"/>
        <v>3135.96</v>
      </c>
      <c r="J210" s="167">
        <f t="shared" si="66"/>
        <v>6.6575042869004505E-4</v>
      </c>
      <c r="K210" s="457" t="s">
        <v>374</v>
      </c>
      <c r="L210" s="163"/>
      <c r="M210" s="163"/>
      <c r="O210" s="329">
        <f t="shared" si="67"/>
        <v>0.18713211600429647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80696.66</v>
      </c>
      <c r="D211" s="480">
        <f t="shared" si="68"/>
        <v>11222.349266416213</v>
      </c>
      <c r="E211" s="480">
        <f t="shared" si="68"/>
        <v>0</v>
      </c>
      <c r="F211" s="166">
        <f t="shared" ref="F211:I211" si="69">SUM(F205:F210)</f>
        <v>91919.009266416222</v>
      </c>
      <c r="G211" s="166">
        <f t="shared" si="69"/>
        <v>0</v>
      </c>
      <c r="H211" s="166">
        <f t="shared" si="69"/>
        <v>0</v>
      </c>
      <c r="I211" s="166">
        <f t="shared" si="69"/>
        <v>91919.009266416222</v>
      </c>
      <c r="J211" s="167">
        <f t="shared" si="66"/>
        <v>1.9513998846886066E-2</v>
      </c>
      <c r="K211" s="458"/>
      <c r="L211" s="163"/>
      <c r="M211" s="163"/>
      <c r="O211" s="329">
        <f>I211/I$233</f>
        <v>5.485082304953826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4740296.3800000008</v>
      </c>
      <c r="D213" s="480">
        <f t="shared" si="70"/>
        <v>-107176.15999999997</v>
      </c>
      <c r="E213" s="480">
        <f t="shared" si="70"/>
        <v>88121.669999999984</v>
      </c>
      <c r="F213" s="166">
        <f t="shared" ref="F213:I213" si="71">SUM(F30:F211)/2</f>
        <v>4721241.8900000006</v>
      </c>
      <c r="G213" s="166">
        <f t="shared" si="71"/>
        <v>-10828.1</v>
      </c>
      <c r="H213" s="166">
        <f t="shared" si="71"/>
        <v>0</v>
      </c>
      <c r="I213" s="166">
        <f t="shared" si="71"/>
        <v>4710413.79</v>
      </c>
      <c r="J213" s="167">
        <f>IF($I$213=0,0,I213/$I$213)</f>
        <v>1</v>
      </c>
      <c r="K213" s="458"/>
      <c r="L213" s="176">
        <f>SUM(L30:L205)</f>
        <v>109455.18000000001</v>
      </c>
      <c r="M213" s="176">
        <f>SUM(M30:M205)</f>
        <v>116033.42</v>
      </c>
      <c r="O213" s="329">
        <f>I213/I$233</f>
        <v>281.0844844253491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'[53]Sch C'!D221</f>
        <v>4740296.38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-408487.01000000071</v>
      </c>
      <c r="D220" s="480">
        <f t="shared" si="72"/>
        <v>107176.15999999997</v>
      </c>
      <c r="E220" s="480">
        <f t="shared" si="72"/>
        <v>-88121.669999999984</v>
      </c>
      <c r="F220" s="166">
        <f t="shared" ref="F220:I220" si="73">F26-F213</f>
        <v>-389432.52000000048</v>
      </c>
      <c r="G220" s="166">
        <f t="shared" si="73"/>
        <v>10828.1</v>
      </c>
      <c r="H220" s="166">
        <f t="shared" si="73"/>
        <v>0</v>
      </c>
      <c r="I220" s="166">
        <f t="shared" si="73"/>
        <v>-378604.41999999993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'[53]Sch D'!C9</f>
        <v>10933</v>
      </c>
      <c r="D224" s="480"/>
      <c r="E224" s="480"/>
      <c r="F224" s="224">
        <f>C224+D224+E224</f>
        <v>10933</v>
      </c>
      <c r="G224" s="627"/>
      <c r="H224" s="223"/>
      <c r="I224" s="224">
        <f>F224+G224+H224</f>
        <v>10933</v>
      </c>
      <c r="J224" s="167">
        <f t="shared" ref="J224:J233" si="74">IF($I$233=0,0,I224/$I$233)</f>
        <v>0.65240482157775392</v>
      </c>
      <c r="K224" s="458"/>
      <c r="L224" s="163"/>
      <c r="M224" s="163"/>
    </row>
    <row r="225" spans="1:13">
      <c r="A225" s="158"/>
      <c r="B225" s="165" t="s">
        <v>201</v>
      </c>
      <c r="C225" s="504">
        <f>'[53]Sch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'[53]Sch D'!E9</f>
        <v>1839</v>
      </c>
      <c r="D226" s="480"/>
      <c r="E226" s="480"/>
      <c r="F226" s="224">
        <f t="shared" si="75"/>
        <v>1839</v>
      </c>
      <c r="G226" s="627"/>
      <c r="H226" s="223"/>
      <c r="I226" s="224">
        <f t="shared" si="76"/>
        <v>1839</v>
      </c>
      <c r="J226" s="167">
        <f t="shared" si="74"/>
        <v>0.10973863229502327</v>
      </c>
      <c r="K226" s="458"/>
      <c r="L226" s="163"/>
      <c r="M226" s="163"/>
    </row>
    <row r="227" spans="1:13">
      <c r="A227" s="158"/>
      <c r="B227" s="194" t="s">
        <v>315</v>
      </c>
      <c r="C227" s="504">
        <f>'[53]Sch D'!F9</f>
        <v>1799</v>
      </c>
      <c r="D227" s="480"/>
      <c r="E227" s="480"/>
      <c r="F227" s="224">
        <f t="shared" si="75"/>
        <v>1799</v>
      </c>
      <c r="G227" s="627"/>
      <c r="H227" s="223"/>
      <c r="I227" s="224">
        <f t="shared" si="76"/>
        <v>1799</v>
      </c>
      <c r="J227" s="167">
        <f t="shared" si="74"/>
        <v>0.1073517126148705</v>
      </c>
      <c r="K227" s="458"/>
      <c r="L227" s="163"/>
      <c r="M227" s="163"/>
    </row>
    <row r="228" spans="1:13">
      <c r="A228" s="158"/>
      <c r="B228" s="165" t="s">
        <v>65</v>
      </c>
      <c r="C228" s="504">
        <f>'[53]Sch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'[53]Sch D'!H9</f>
        <v>580</v>
      </c>
      <c r="D229" s="480"/>
      <c r="E229" s="480"/>
      <c r="F229" s="224">
        <f t="shared" si="75"/>
        <v>580</v>
      </c>
      <c r="G229" s="627"/>
      <c r="H229" s="223"/>
      <c r="I229" s="224">
        <f t="shared" si="76"/>
        <v>580</v>
      </c>
      <c r="J229" s="167">
        <f t="shared" si="74"/>
        <v>3.4610335362215063E-2</v>
      </c>
      <c r="K229" s="458"/>
      <c r="L229" s="163"/>
      <c r="M229" s="163"/>
    </row>
    <row r="230" spans="1:13">
      <c r="A230" s="158"/>
      <c r="B230" s="165" t="s">
        <v>219</v>
      </c>
      <c r="C230" s="504">
        <f>'[53]Sch D'!I9</f>
        <v>1485</v>
      </c>
      <c r="D230" s="480"/>
      <c r="E230" s="480"/>
      <c r="F230" s="224">
        <f t="shared" si="75"/>
        <v>1485</v>
      </c>
      <c r="G230" s="627"/>
      <c r="H230" s="223"/>
      <c r="I230" s="224">
        <f t="shared" si="76"/>
        <v>1485</v>
      </c>
      <c r="J230" s="167">
        <f t="shared" si="74"/>
        <v>8.861439312567132E-2</v>
      </c>
      <c r="K230" s="571"/>
      <c r="L230" s="163"/>
      <c r="M230" s="163"/>
    </row>
    <row r="231" spans="1:13">
      <c r="A231" s="158"/>
      <c r="B231" s="165" t="s">
        <v>218</v>
      </c>
      <c r="C231" s="504">
        <f>'[53]Sch D'!J9</f>
        <v>122</v>
      </c>
      <c r="D231" s="480"/>
      <c r="E231" s="480"/>
      <c r="F231" s="224">
        <f t="shared" si="75"/>
        <v>122</v>
      </c>
      <c r="G231" s="627"/>
      <c r="H231" s="223"/>
      <c r="I231" s="224">
        <f t="shared" si="76"/>
        <v>122</v>
      </c>
      <c r="J231" s="167">
        <f>IF($I$233=0,0,I231/$I$233)</f>
        <v>7.2801050244659269E-3</v>
      </c>
      <c r="K231" s="571"/>
      <c r="L231" s="163"/>
      <c r="M231" s="163"/>
    </row>
    <row r="232" spans="1:13">
      <c r="A232" s="158"/>
      <c r="B232" s="165" t="s">
        <v>170</v>
      </c>
      <c r="C232" s="504">
        <f>'[53]Sch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16758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16758</v>
      </c>
      <c r="G233" s="226">
        <f t="shared" si="78"/>
        <v>0</v>
      </c>
      <c r="H233" s="226">
        <f t="shared" si="78"/>
        <v>0</v>
      </c>
      <c r="I233" s="226">
        <f t="shared" si="78"/>
        <v>16758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L235" s="163"/>
      <c r="M235" s="163"/>
    </row>
    <row r="236" spans="1:13">
      <c r="A236" s="158"/>
      <c r="B236" s="194" t="s">
        <v>203</v>
      </c>
      <c r="C236" s="504">
        <f>'[53]Sch D'!N22</f>
        <v>76</v>
      </c>
      <c r="D236" s="480"/>
      <c r="E236" s="480"/>
      <c r="F236" s="224">
        <f>C236+E236</f>
        <v>76</v>
      </c>
      <c r="G236" s="627"/>
      <c r="H236" s="224"/>
      <c r="I236" s="224">
        <f>F236+G236+H236</f>
        <v>76</v>
      </c>
      <c r="J236" s="162"/>
      <c r="L236" s="163"/>
      <c r="M236" s="163"/>
    </row>
    <row r="237" spans="1:13">
      <c r="A237" s="158"/>
      <c r="B237" s="194" t="s">
        <v>271</v>
      </c>
      <c r="C237" s="504">
        <f>'[53]Sch D'!N24</f>
        <v>52</v>
      </c>
      <c r="D237" s="480"/>
      <c r="E237" s="480"/>
      <c r="F237" s="224">
        <f>C237+E237</f>
        <v>52</v>
      </c>
      <c r="G237" s="627"/>
      <c r="H237" s="441"/>
      <c r="I237" s="224">
        <f>F237+G237+H237</f>
        <v>52</v>
      </c>
      <c r="J237" s="162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442"/>
      <c r="L238" s="566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'[53]Sch D'!N28</f>
        <v>27740</v>
      </c>
      <c r="D240" s="427"/>
      <c r="E240" s="427"/>
      <c r="F240" s="223">
        <f>F236*F238</f>
        <v>27740</v>
      </c>
      <c r="G240"/>
      <c r="H240" s="228"/>
      <c r="I240" s="223">
        <f>I236*I238</f>
        <v>27740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'[53]Sch D'!N30</f>
        <v>0.60410958904109591</v>
      </c>
      <c r="D241" s="228"/>
      <c r="E241" s="228"/>
      <c r="F241" s="232">
        <f>F233/F240</f>
        <v>0.60410958904109591</v>
      </c>
      <c r="G241"/>
      <c r="H241" s="233"/>
      <c r="I241" s="232">
        <f>I233/I240</f>
        <v>0.60410958904109591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'[53]Sch D'!N32</f>
        <v>0.39412400865176639</v>
      </c>
      <c r="D242" s="228"/>
      <c r="E242" s="228"/>
      <c r="F242" s="232">
        <f>(F224+F225)/F240</f>
        <v>0.39412400865176639</v>
      </c>
      <c r="G242"/>
      <c r="H242" s="233"/>
      <c r="I242" s="232">
        <f>(I224+I225)/I240</f>
        <v>0.39412400865176639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'[53]Sch D'!N34</f>
        <v>0.65240482157775392</v>
      </c>
      <c r="D243" s="228"/>
      <c r="E243" s="228"/>
      <c r="F243" s="232">
        <f>(F242/F241)</f>
        <v>0.65240482157775392</v>
      </c>
      <c r="G243"/>
      <c r="H243" s="233"/>
      <c r="I243" s="232">
        <f>(I242/I241)</f>
        <v>0.65240482157775392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>
        <f>'[53]Sch B'!C90</f>
        <v>312.16221621621617</v>
      </c>
    </row>
    <row r="247" spans="1:13">
      <c r="H247" s="140" t="s">
        <v>322</v>
      </c>
      <c r="I247" s="480">
        <f>'[53]Sch B'!E90</f>
        <v>136.86927601809955</v>
      </c>
    </row>
    <row r="248" spans="1:13">
      <c r="B248" s="407"/>
      <c r="H248" s="140" t="s">
        <v>323</v>
      </c>
      <c r="I248" s="480">
        <f>'[53]Sch B'!G90</f>
        <v>664.74536585365854</v>
      </c>
    </row>
    <row r="249" spans="1:13" ht="16.5">
      <c r="B249" s="470"/>
      <c r="H249" s="140" t="s">
        <v>324</v>
      </c>
      <c r="I249" s="480">
        <f>'[53]Sch B'!I90</f>
        <v>263.06717391304346</v>
      </c>
    </row>
    <row r="250" spans="1:13" ht="16.5">
      <c r="B250" s="470"/>
      <c r="H250" s="140"/>
    </row>
    <row r="251" spans="1:13" ht="16.5">
      <c r="B251" s="470"/>
    </row>
    <row r="252" spans="1:13" ht="16.5">
      <c r="B252" s="47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">
      <selection activeCell="B14" sqref="B1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74">
    <tabColor rgb="FFE28CAB"/>
  </sheetPr>
  <dimension ref="A1:Q277"/>
  <sheetViews>
    <sheetView showGridLines="0" topLeftCell="A6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416</v>
      </c>
      <c r="D2" s="234"/>
      <c r="E2" s="234"/>
      <c r="F2" s="142"/>
      <c r="G2" s="142"/>
      <c r="H2" s="486" t="s">
        <v>385</v>
      </c>
    </row>
    <row r="3" spans="1:16">
      <c r="A3" s="143"/>
      <c r="B3" s="138" t="s">
        <v>71</v>
      </c>
      <c r="C3" s="557">
        <f>'[54]Sch A Pg 1'!B39</f>
        <v>42917</v>
      </c>
      <c r="D3" s="620"/>
      <c r="E3" s="142"/>
      <c r="F3" s="144"/>
      <c r="G3" s="144"/>
      <c r="H3" s="411"/>
    </row>
    <row r="4" spans="1:16">
      <c r="A4" s="143"/>
      <c r="B4" s="145" t="s">
        <v>72</v>
      </c>
      <c r="C4" s="557">
        <f>'[54]Sch A Pg 1'!G39</f>
        <v>43281</v>
      </c>
      <c r="D4" s="620"/>
      <c r="E4" s="142"/>
      <c r="F4" s="146"/>
      <c r="G4" s="146"/>
      <c r="H4" s="411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'[54]Sch B'!E10</f>
        <v>2034801</v>
      </c>
      <c r="D12" s="480">
        <f>'[54]Sch B'!G10</f>
        <v>0</v>
      </c>
      <c r="E12" s="480"/>
      <c r="F12" s="166">
        <f>C12+D12+E12</f>
        <v>2034801</v>
      </c>
      <c r="G12" s="626"/>
      <c r="H12" s="166"/>
      <c r="I12" s="166">
        <f>F12+G12+H12</f>
        <v>2034801</v>
      </c>
      <c r="J12" s="167">
        <f>IF($I$26=0,0,I12/$I$26)</f>
        <v>0.61523680921197843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'[54]Sch B'!E12</f>
        <v>1168392</v>
      </c>
      <c r="D13" s="480">
        <f>'[54]Sch B'!G12</f>
        <v>0</v>
      </c>
      <c r="E13" s="480"/>
      <c r="F13" s="166">
        <f t="shared" ref="F13:F25" si="0">C13+D13+E13</f>
        <v>1168392</v>
      </c>
      <c r="G13" s="626">
        <v>6173</v>
      </c>
      <c r="H13" s="166"/>
      <c r="I13" s="166">
        <f t="shared" ref="I13:I25" si="1">F13+G13+H13</f>
        <v>1174565</v>
      </c>
      <c r="J13" s="167">
        <f>IF($I$26=0,0,I13/$I$26)</f>
        <v>0.35513822865826555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'[54]Sch B'!E13</f>
        <v>393</v>
      </c>
      <c r="D14" s="480">
        <f>'[54]Sch B'!G13</f>
        <v>0</v>
      </c>
      <c r="E14" s="480"/>
      <c r="F14" s="166">
        <f t="shared" si="0"/>
        <v>393</v>
      </c>
      <c r="G14" s="626"/>
      <c r="H14" s="166"/>
      <c r="I14" s="166">
        <f t="shared" si="1"/>
        <v>393</v>
      </c>
      <c r="J14" s="167">
        <f>IF($I$26=0,0,I14/$I$26)</f>
        <v>1.1882639433551857E-4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'[54]Sch B'!E14</f>
        <v>34514</v>
      </c>
      <c r="D15" s="480">
        <f>'[54]Sch B'!G14</f>
        <v>0</v>
      </c>
      <c r="E15" s="480"/>
      <c r="F15" s="166">
        <f t="shared" si="0"/>
        <v>34514</v>
      </c>
      <c r="G15" s="626"/>
      <c r="H15" s="166"/>
      <c r="I15" s="166">
        <f t="shared" si="1"/>
        <v>34514</v>
      </c>
      <c r="J15" s="167">
        <f>IF($I$26=0,0,I15/$I$26)</f>
        <v>1.0435557694900987E-2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'[54]Sch B'!E15</f>
        <v>3238100</v>
      </c>
      <c r="D16" s="480">
        <f>'[54]Sch B'!G15</f>
        <v>0</v>
      </c>
      <c r="E16" s="480"/>
      <c r="F16" s="166">
        <f t="shared" si="0"/>
        <v>3238100</v>
      </c>
      <c r="G16" s="626"/>
      <c r="H16" s="166"/>
      <c r="I16" s="166">
        <f>SUM(I12:I15)</f>
        <v>3244273</v>
      </c>
      <c r="J16" s="167">
        <f t="shared" ref="J16:J26" si="2">IF($I$26=0,0,I16/$I$26)</f>
        <v>0.98092942195948052</v>
      </c>
      <c r="K16" s="458"/>
      <c r="L16" s="333" t="s">
        <v>325</v>
      </c>
      <c r="M16" s="334">
        <f>I26</f>
        <v>3307346</v>
      </c>
      <c r="O16" s="324">
        <f>IFERROR(I16/I224,0)</f>
        <v>311.47014208909371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'[54]Sch B'!E20</f>
        <v>0</v>
      </c>
      <c r="D17" s="480">
        <f>'[54]Sch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2094785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'[54]Sch B'!E26</f>
        <v>0</v>
      </c>
      <c r="D18" s="480">
        <f>'[54]Sch B'!G26</f>
        <v>0</v>
      </c>
      <c r="E18" s="480"/>
      <c r="F18" s="166">
        <f t="shared" si="0"/>
        <v>0</v>
      </c>
      <c r="G18" s="626"/>
      <c r="H18" s="166"/>
      <c r="I18" s="166">
        <f t="shared" si="1"/>
        <v>0</v>
      </c>
      <c r="J18" s="167">
        <f t="shared" si="2"/>
        <v>0</v>
      </c>
      <c r="K18" s="458"/>
      <c r="L18" s="335" t="s">
        <v>327</v>
      </c>
      <c r="M18" s="336">
        <f>I233</f>
        <v>10754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'[54]Sch B'!E32</f>
        <v>0</v>
      </c>
      <c r="D19" s="480">
        <f>'[54]Sch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34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'[54]Sch B'!E37</f>
        <v>0</v>
      </c>
      <c r="D20" s="480">
        <f>'[54]Sch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12410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'[54]Sch B'!E42</f>
        <v>4312</v>
      </c>
      <c r="D21" s="480">
        <f>'[54]Sch B'!G42</f>
        <v>0</v>
      </c>
      <c r="E21" s="480"/>
      <c r="F21" s="166">
        <f t="shared" si="0"/>
        <v>4312</v>
      </c>
      <c r="G21" s="626"/>
      <c r="H21" s="166"/>
      <c r="I21" s="166">
        <f t="shared" si="1"/>
        <v>4312</v>
      </c>
      <c r="J21" s="167">
        <f t="shared" si="2"/>
        <v>1.3037644080782598E-3</v>
      </c>
      <c r="K21" s="458"/>
      <c r="L21" s="337"/>
      <c r="M21" s="336"/>
      <c r="O21" s="324">
        <f t="shared" si="3"/>
        <v>196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'[54]Sch B'!E47</f>
        <v>58663</v>
      </c>
      <c r="D22" s="480">
        <f>'[54]Sch B'!G47</f>
        <v>0</v>
      </c>
      <c r="E22" s="480"/>
      <c r="F22" s="166">
        <f t="shared" si="0"/>
        <v>58663</v>
      </c>
      <c r="G22" s="626"/>
      <c r="H22" s="166"/>
      <c r="I22" s="166">
        <f t="shared" si="1"/>
        <v>58663</v>
      </c>
      <c r="J22" s="167">
        <f t="shared" si="2"/>
        <v>1.7737182623166734E-2</v>
      </c>
      <c r="K22" s="458"/>
      <c r="L22" s="335" t="s">
        <v>148</v>
      </c>
      <c r="M22" s="336">
        <f>L213</f>
        <v>65810</v>
      </c>
      <c r="O22" s="324">
        <f t="shared" si="3"/>
        <v>185.64240506329114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'[54]Sch B'!E52</f>
        <v>0</v>
      </c>
      <c r="D23" s="480">
        <f>'[54]Sch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70434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'[54]Sch B'!E57</f>
        <v>0</v>
      </c>
      <c r="D24" s="480">
        <f>'[54]Sch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'[54]Sch B'!E72</f>
        <v>67963</v>
      </c>
      <c r="D25" s="480">
        <f>'[54]Sch B'!G72</f>
        <v>0</v>
      </c>
      <c r="E25" s="480"/>
      <c r="F25" s="166">
        <f t="shared" si="0"/>
        <v>67963</v>
      </c>
      <c r="G25" s="626">
        <v>-67865</v>
      </c>
      <c r="H25" s="166"/>
      <c r="I25" s="166">
        <f t="shared" si="1"/>
        <v>98</v>
      </c>
      <c r="J25" s="167">
        <f t="shared" si="2"/>
        <v>2.9631009274505902E-5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3369038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3369038</v>
      </c>
      <c r="G26" s="166">
        <f>SUM(G12:G25)</f>
        <v>-61692</v>
      </c>
      <c r="H26" s="166">
        <f>SUM(H12:H25)</f>
        <v>0</v>
      </c>
      <c r="I26" s="166">
        <f>SUM(I16:I25)</f>
        <v>3307346</v>
      </c>
      <c r="J26" s="167">
        <f t="shared" si="2"/>
        <v>1</v>
      </c>
      <c r="K26" s="458"/>
      <c r="L26" s="163"/>
      <c r="M26" s="163"/>
      <c r="O26" s="324">
        <f>IFERROR(I26/I233,0)</f>
        <v>307.54565742979355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'[54]Sch C'!D10</f>
        <v>77612</v>
      </c>
      <c r="D30" s="480">
        <f>'[54]Sch C'!F10</f>
        <v>0</v>
      </c>
      <c r="E30" s="480">
        <f>+'[54]Sch C'!H10</f>
        <v>0</v>
      </c>
      <c r="F30" s="166">
        <f t="shared" ref="F30:F65" si="5">C30+D30+E30</f>
        <v>77612</v>
      </c>
      <c r="G30" s="626">
        <v>1507</v>
      </c>
      <c r="H30" s="166"/>
      <c r="I30" s="166">
        <f t="shared" ref="I30:I65" si="6">F30+G30+H30</f>
        <v>79119</v>
      </c>
      <c r="J30" s="167">
        <f>IF($I$213=0,0,I30/$I$213)</f>
        <v>3.7769508565318161E-2</v>
      </c>
      <c r="K30" s="458"/>
      <c r="L30" s="176">
        <v>3199</v>
      </c>
      <c r="M30" s="176">
        <v>3287</v>
      </c>
      <c r="O30" s="324">
        <f>I30/I$233</f>
        <v>7.3571694253301096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'[54]Sch C'!D11</f>
        <v>0</v>
      </c>
      <c r="D31" s="480">
        <f>'[54]Sch C'!F11</f>
        <v>0</v>
      </c>
      <c r="E31" s="480">
        <f>+'[54]Sch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'[54]Sch C'!D12</f>
        <v>42350</v>
      </c>
      <c r="D32" s="480">
        <f>'[54]Sch C'!F12</f>
        <v>0</v>
      </c>
      <c r="E32" s="480">
        <f>+'[54]Sch C'!H12</f>
        <v>0</v>
      </c>
      <c r="F32" s="166">
        <f t="shared" si="5"/>
        <v>42350</v>
      </c>
      <c r="G32" s="626">
        <v>-19521</v>
      </c>
      <c r="H32" s="166"/>
      <c r="I32" s="166">
        <f t="shared" si="6"/>
        <v>22829</v>
      </c>
      <c r="J32" s="167">
        <f t="shared" si="7"/>
        <v>1.0898015786822991E-2</v>
      </c>
      <c r="K32" s="458"/>
      <c r="L32" s="176">
        <v>1773</v>
      </c>
      <c r="M32" s="176">
        <v>1883</v>
      </c>
      <c r="O32" s="324">
        <f t="shared" si="8"/>
        <v>2.1228380137623208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'[54]Sch C'!D13</f>
        <v>23390</v>
      </c>
      <c r="D33" s="480">
        <f>'[54]Sch C'!F13</f>
        <v>0</v>
      </c>
      <c r="E33" s="480">
        <f>+'[54]Sch C'!H13</f>
        <v>0</v>
      </c>
      <c r="F33" s="166">
        <f t="shared" si="5"/>
        <v>23390</v>
      </c>
      <c r="G33" s="626">
        <f>-1507-6832</f>
        <v>-8339</v>
      </c>
      <c r="H33" s="166"/>
      <c r="I33" s="166">
        <f t="shared" si="6"/>
        <v>15051</v>
      </c>
      <c r="J33" s="167">
        <f t="shared" si="7"/>
        <v>7.184985571311614E-3</v>
      </c>
      <c r="K33" s="458"/>
      <c r="L33" s="163"/>
      <c r="M33" s="163"/>
      <c r="O33" s="324">
        <f t="shared" si="8"/>
        <v>1.3995722521852334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'[54]Sch C'!D14</f>
        <v>0</v>
      </c>
      <c r="D34" s="480">
        <f>'[54]Sch C'!F14</f>
        <v>0</v>
      </c>
      <c r="E34" s="480">
        <f>+'[54]Sch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'[54]Sch C'!D15</f>
        <v>620467</v>
      </c>
      <c r="D35" s="480">
        <f>'[54]Sch C'!F15</f>
        <v>0</v>
      </c>
      <c r="E35" s="480">
        <f>+'[54]Sch C'!H15</f>
        <v>-620467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'[54]Sch C'!D16</f>
        <v>107513</v>
      </c>
      <c r="D36" s="480">
        <f>'[54]Sch C'!F16</f>
        <v>0</v>
      </c>
      <c r="E36" s="480">
        <f>+'[54]Sch C'!H16</f>
        <v>-15167</v>
      </c>
      <c r="F36" s="166">
        <f t="shared" si="5"/>
        <v>92346</v>
      </c>
      <c r="G36" s="626"/>
      <c r="H36" s="166">
        <v>-21526</v>
      </c>
      <c r="I36" s="166">
        <f t="shared" si="6"/>
        <v>70820</v>
      </c>
      <c r="J36" s="167">
        <f t="shared" si="7"/>
        <v>3.380776547473846E-2</v>
      </c>
      <c r="K36" s="458"/>
      <c r="L36" s="163"/>
      <c r="M36" s="163"/>
      <c r="O36" s="324">
        <f t="shared" si="8"/>
        <v>6.5854565742979361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'[54]Sch C'!D17</f>
        <v>50</v>
      </c>
      <c r="D37" s="480">
        <f>'[54]Sch C'!F17</f>
        <v>-50</v>
      </c>
      <c r="E37" s="480">
        <f>+'[54]Sch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'[54]Sch C'!D18</f>
        <v>7137</v>
      </c>
      <c r="D38" s="480">
        <f>'[54]Sch C'!F18</f>
        <v>0</v>
      </c>
      <c r="E38" s="480">
        <f>+'[54]Sch C'!H18</f>
        <v>0</v>
      </c>
      <c r="F38" s="166">
        <f t="shared" si="5"/>
        <v>7137</v>
      </c>
      <c r="G38" s="626"/>
      <c r="H38" s="166"/>
      <c r="I38" s="166">
        <f t="shared" si="6"/>
        <v>7137</v>
      </c>
      <c r="J38" s="167">
        <f t="shared" si="7"/>
        <v>3.4070322252641679E-3</v>
      </c>
      <c r="K38" s="458"/>
      <c r="L38" s="163"/>
      <c r="M38" s="163"/>
      <c r="O38" s="324">
        <f t="shared" si="8"/>
        <v>0.66366003347591596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'[54]Sch C'!D19</f>
        <v>16725</v>
      </c>
      <c r="D39" s="480">
        <f>'[54]Sch C'!F19</f>
        <v>0</v>
      </c>
      <c r="E39" s="480">
        <f>+'[54]Sch C'!H19</f>
        <v>0</v>
      </c>
      <c r="F39" s="166">
        <f t="shared" si="5"/>
        <v>16725</v>
      </c>
      <c r="G39" s="626"/>
      <c r="H39" s="166"/>
      <c r="I39" s="166">
        <f t="shared" si="6"/>
        <v>16725</v>
      </c>
      <c r="J39" s="167">
        <f t="shared" si="7"/>
        <v>7.9841129280570564E-3</v>
      </c>
      <c r="K39" s="458"/>
      <c r="L39" s="163"/>
      <c r="M39" s="163"/>
      <c r="O39" s="324">
        <f t="shared" si="8"/>
        <v>1.5552352612981217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'[54]Sch C'!D20</f>
        <v>6723</v>
      </c>
      <c r="D40" s="480">
        <f>'[54]Sch C'!F20</f>
        <v>0</v>
      </c>
      <c r="E40" s="480">
        <f>+'[54]Sch C'!H20</f>
        <v>0</v>
      </c>
      <c r="F40" s="166">
        <f t="shared" si="5"/>
        <v>6723</v>
      </c>
      <c r="G40" s="626"/>
      <c r="H40" s="166"/>
      <c r="I40" s="166">
        <f t="shared" si="6"/>
        <v>6723</v>
      </c>
      <c r="J40" s="167">
        <f t="shared" si="7"/>
        <v>3.2093985778970159E-3</v>
      </c>
      <c r="K40" s="458"/>
      <c r="L40" s="163"/>
      <c r="M40" s="163"/>
      <c r="O40" s="324">
        <f t="shared" si="8"/>
        <v>0.62516273014692203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'[54]Sch C'!D21</f>
        <v>9000</v>
      </c>
      <c r="D41" s="480">
        <f>'[54]Sch C'!F21</f>
        <v>0</v>
      </c>
      <c r="E41" s="480">
        <f>+'[54]Sch C'!H21</f>
        <v>0</v>
      </c>
      <c r="F41" s="166">
        <f t="shared" si="5"/>
        <v>9000</v>
      </c>
      <c r="G41" s="626">
        <f>19521+6832</f>
        <v>26353</v>
      </c>
      <c r="H41" s="166"/>
      <c r="I41" s="166">
        <f t="shared" si="6"/>
        <v>35353</v>
      </c>
      <c r="J41" s="167">
        <f t="shared" si="7"/>
        <v>1.6876672307659258E-2</v>
      </c>
      <c r="K41" s="458"/>
      <c r="L41" s="163"/>
      <c r="M41" s="163"/>
      <c r="O41" s="324">
        <f t="shared" si="8"/>
        <v>3.2874279337920775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'[54]Sch C'!D22</f>
        <v>0</v>
      </c>
      <c r="D42" s="480">
        <f>'[54]Sch C'!F22</f>
        <v>0</v>
      </c>
      <c r="E42" s="480">
        <f>+'[54]Sch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'[54]Sch C'!D23</f>
        <v>10009</v>
      </c>
      <c r="D43" s="480">
        <f>'[54]Sch C'!F23</f>
        <v>0</v>
      </c>
      <c r="E43" s="480">
        <f>+'[54]Sch C'!H23</f>
        <v>0</v>
      </c>
      <c r="F43" s="166">
        <f t="shared" si="5"/>
        <v>10009</v>
      </c>
      <c r="G43" s="626"/>
      <c r="H43" s="166"/>
      <c r="I43" s="166">
        <f t="shared" si="6"/>
        <v>10009</v>
      </c>
      <c r="J43" s="167">
        <f t="shared" si="7"/>
        <v>4.778055981878809E-3</v>
      </c>
      <c r="K43" s="458"/>
      <c r="L43" s="163"/>
      <c r="M43" s="163"/>
      <c r="O43" s="324">
        <f t="shared" si="8"/>
        <v>0.93072345173888782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'[54]Sch C'!D24</f>
        <v>0</v>
      </c>
      <c r="D44" s="480">
        <f>'[54]Sch C'!F24</f>
        <v>0</v>
      </c>
      <c r="E44" s="480">
        <f>+'[54]Sch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'[54]Sch C'!D25</f>
        <v>0</v>
      </c>
      <c r="D45" s="480">
        <f>'[54]Sch C'!F25</f>
        <v>0</v>
      </c>
      <c r="E45" s="480">
        <f>+'[54]Sch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'[54]Sch C'!D26</f>
        <v>225820</v>
      </c>
      <c r="D46" s="480">
        <f>'[54]Sch C'!F26</f>
        <v>0</v>
      </c>
      <c r="E46" s="480">
        <f>+'[54]Sch C'!H26</f>
        <v>0</v>
      </c>
      <c r="F46" s="166">
        <f t="shared" si="5"/>
        <v>225820</v>
      </c>
      <c r="G46" s="626"/>
      <c r="H46" s="166"/>
      <c r="I46" s="166">
        <f t="shared" si="6"/>
        <v>225820</v>
      </c>
      <c r="J46" s="167">
        <f t="shared" si="7"/>
        <v>0.10780103924746454</v>
      </c>
      <c r="K46" s="458"/>
      <c r="L46" s="163"/>
      <c r="M46" s="163"/>
      <c r="O46" s="324">
        <f t="shared" si="8"/>
        <v>20.998698158824624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'[54]Sch C'!D27</f>
        <v>0</v>
      </c>
      <c r="D47" s="480">
        <f>'[54]Sch C'!F27</f>
        <v>0</v>
      </c>
      <c r="E47" s="480">
        <f>+'[54]Sch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'[54]Sch C'!D28</f>
        <v>23954</v>
      </c>
      <c r="D48" s="480">
        <f>'[54]Sch C'!F28</f>
        <v>-23954</v>
      </c>
      <c r="E48" s="480">
        <f>+'[54]Sch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'[54]Sch C'!D29</f>
        <v>0</v>
      </c>
      <c r="D49" s="480">
        <f>'[54]Sch C'!F29</f>
        <v>0</v>
      </c>
      <c r="E49" s="480">
        <f>+'[54]Sch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'[54]Sch C'!D30</f>
        <v>0</v>
      </c>
      <c r="D50" s="480">
        <f>'[54]Sch C'!F30</f>
        <v>0</v>
      </c>
      <c r="E50" s="480">
        <f>+'[54]Sch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'[54]Sch C'!D31</f>
        <v>17352</v>
      </c>
      <c r="D51" s="480">
        <f>'[54]Sch C'!F31</f>
        <v>0</v>
      </c>
      <c r="E51" s="480">
        <f>+'[54]Sch C'!H31</f>
        <v>0</v>
      </c>
      <c r="F51" s="166">
        <f t="shared" si="5"/>
        <v>17352</v>
      </c>
      <c r="G51" s="626"/>
      <c r="H51" s="166"/>
      <c r="I51" s="166">
        <f t="shared" si="6"/>
        <v>17352</v>
      </c>
      <c r="J51" s="167">
        <f t="shared" si="7"/>
        <v>8.283427654866728E-3</v>
      </c>
      <c r="K51" s="458"/>
      <c r="L51" s="163"/>
      <c r="M51" s="163"/>
      <c r="O51" s="324">
        <f t="shared" si="8"/>
        <v>1.6135391482239168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'[54]Sch C'!D32</f>
        <v>23911</v>
      </c>
      <c r="D52" s="480">
        <f>'[54]Sch C'!F32</f>
        <v>0</v>
      </c>
      <c r="E52" s="480">
        <f>+'[54]Sch C'!H32</f>
        <v>0</v>
      </c>
      <c r="F52" s="166">
        <f t="shared" si="5"/>
        <v>23911</v>
      </c>
      <c r="G52" s="626"/>
      <c r="H52" s="166"/>
      <c r="I52" s="166">
        <f t="shared" si="6"/>
        <v>23911</v>
      </c>
      <c r="J52" s="167">
        <f t="shared" si="7"/>
        <v>1.1414536575352602E-2</v>
      </c>
      <c r="K52" s="458"/>
      <c r="L52" s="163"/>
      <c r="M52" s="163"/>
      <c r="O52" s="324">
        <f t="shared" si="8"/>
        <v>2.2234517388878556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'[54]Sch C'!D33</f>
        <v>0</v>
      </c>
      <c r="D53" s="480">
        <f>'[54]Sch C'!F33</f>
        <v>0</v>
      </c>
      <c r="E53" s="480">
        <f>+'[54]Sch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'[54]Sch C'!D34</f>
        <v>0</v>
      </c>
      <c r="D54" s="480">
        <f>'[54]Sch C'!F34</f>
        <v>0</v>
      </c>
      <c r="E54" s="480">
        <f>+'[54]Sch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'[54]Sch C'!D35</f>
        <v>93106</v>
      </c>
      <c r="D55" s="480">
        <f>'[54]Sch C'!F35</f>
        <v>-93106</v>
      </c>
      <c r="E55" s="480">
        <f>+'[54]Sch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'[54]Sch C'!D36</f>
        <v>0</v>
      </c>
      <c r="D56" s="480">
        <f>'[54]Sch C'!F36</f>
        <v>0</v>
      </c>
      <c r="E56" s="480">
        <f>+'[54]Sch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'[54]Sch C'!D37</f>
        <v>0</v>
      </c>
      <c r="D57" s="480">
        <f>'[54]Sch C'!F37</f>
        <v>0</v>
      </c>
      <c r="E57" s="480">
        <f>+'[54]Sch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'[54]Sch C'!D38</f>
        <v>0</v>
      </c>
      <c r="D58" s="480">
        <f>'[54]Sch C'!F38</f>
        <v>0</v>
      </c>
      <c r="E58" s="480">
        <f>+'[54]Sch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'[54]Sch C'!D39</f>
        <v>1082</v>
      </c>
      <c r="D59" s="480">
        <f>'[54]Sch C'!F39</f>
        <v>0</v>
      </c>
      <c r="E59" s="480">
        <f>+'[54]Sch C'!H39</f>
        <v>0</v>
      </c>
      <c r="F59" s="166">
        <f t="shared" si="5"/>
        <v>1082</v>
      </c>
      <c r="G59" s="626"/>
      <c r="H59" s="166"/>
      <c r="I59" s="166">
        <f t="shared" si="6"/>
        <v>1082</v>
      </c>
      <c r="J59" s="167">
        <f t="shared" si="7"/>
        <v>5.1652078852961044E-4</v>
      </c>
      <c r="K59" s="458"/>
      <c r="L59" s="163"/>
      <c r="M59" s="163"/>
      <c r="O59" s="324">
        <f t="shared" si="8"/>
        <v>0.10061372512553468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'[54]Sch C'!D40</f>
        <v>0</v>
      </c>
      <c r="D60" s="480">
        <f>'[54]Sch C'!F40</f>
        <v>0</v>
      </c>
      <c r="E60" s="480">
        <f>+'[54]Sch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'[54]Sch C'!D41</f>
        <v>4629</v>
      </c>
      <c r="D61" s="480">
        <f>'[54]Sch C'!F41</f>
        <v>0</v>
      </c>
      <c r="E61" s="480">
        <f>+'[54]Sch C'!H41</f>
        <v>0</v>
      </c>
      <c r="F61" s="166">
        <f t="shared" si="5"/>
        <v>4629</v>
      </c>
      <c r="G61" s="626"/>
      <c r="H61" s="166"/>
      <c r="I61" s="166">
        <f t="shared" si="6"/>
        <v>4629</v>
      </c>
      <c r="J61" s="167">
        <f t="shared" si="7"/>
        <v>2.2097733180254774E-3</v>
      </c>
      <c r="K61" s="458"/>
      <c r="L61" s="163"/>
      <c r="M61" s="163"/>
      <c r="O61" s="324">
        <f t="shared" si="8"/>
        <v>0.43044448577273575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'[54]Sch C'!D42</f>
        <v>797</v>
      </c>
      <c r="D62" s="480">
        <f>'[54]Sch C'!F42</f>
        <v>0</v>
      </c>
      <c r="E62" s="480">
        <f>+'[54]Sch C'!H42</f>
        <v>0</v>
      </c>
      <c r="F62" s="166">
        <f t="shared" si="5"/>
        <v>797</v>
      </c>
      <c r="G62" s="626"/>
      <c r="H62" s="166"/>
      <c r="I62" s="166">
        <f t="shared" si="6"/>
        <v>797</v>
      </c>
      <c r="J62" s="167">
        <f t="shared" si="7"/>
        <v>3.8046863997975925E-4</v>
      </c>
      <c r="K62" s="458"/>
      <c r="L62" s="163"/>
      <c r="M62" s="163"/>
      <c r="O62" s="324">
        <f t="shared" si="8"/>
        <v>7.411195834108239E-2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'[54]Sch C'!D43</f>
        <v>2744</v>
      </c>
      <c r="D63" s="480">
        <f>'[54]Sch C'!F43</f>
        <v>-2744</v>
      </c>
      <c r="E63" s="480">
        <f>+'[54]Sch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'[54]Sch C'!D44</f>
        <v>0</v>
      </c>
      <c r="D64" s="480">
        <f>'[54]Sch C'!F44</f>
        <v>0</v>
      </c>
      <c r="E64" s="480">
        <f>+'[54]Sch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'[54]Sch C'!D45</f>
        <v>7011</v>
      </c>
      <c r="D65" s="480">
        <f>'[54]Sch C'!F45</f>
        <v>0</v>
      </c>
      <c r="E65" s="480">
        <f>+'[54]Sch C'!H45</f>
        <v>0</v>
      </c>
      <c r="F65" s="166">
        <f t="shared" si="5"/>
        <v>7011</v>
      </c>
      <c r="G65" s="626"/>
      <c r="H65" s="166"/>
      <c r="I65" s="166">
        <f t="shared" si="6"/>
        <v>7011</v>
      </c>
      <c r="J65" s="167">
        <f t="shared" si="7"/>
        <v>3.3468828543263391E-3</v>
      </c>
      <c r="K65" s="458"/>
      <c r="L65" s="163"/>
      <c r="M65" s="163"/>
      <c r="O65" s="324">
        <f t="shared" si="8"/>
        <v>0.65194346289752647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1321382</v>
      </c>
      <c r="D66" s="480">
        <f t="shared" si="9"/>
        <v>-119854</v>
      </c>
      <c r="E66" s="480">
        <f t="shared" si="9"/>
        <v>-635634</v>
      </c>
      <c r="F66" s="166">
        <f t="shared" ref="F66:I66" si="10">SUM(F30:F65)</f>
        <v>565894</v>
      </c>
      <c r="G66" s="166">
        <f t="shared" si="10"/>
        <v>0</v>
      </c>
      <c r="H66" s="166">
        <f t="shared" si="10"/>
        <v>-21526</v>
      </c>
      <c r="I66" s="166">
        <f t="shared" si="10"/>
        <v>544368</v>
      </c>
      <c r="J66" s="178">
        <f t="shared" si="7"/>
        <v>0.2598681964974926</v>
      </c>
      <c r="K66" s="465"/>
      <c r="L66" s="163"/>
      <c r="M66" s="163"/>
      <c r="O66" s="329">
        <f>I66/I$233</f>
        <v>50.620048354100803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205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'[54]Sch C'!D57</f>
        <v>355292</v>
      </c>
      <c r="D69" s="480">
        <f>'[54]Sch C'!F57</f>
        <v>0</v>
      </c>
      <c r="E69" s="480">
        <f>+'[54]Sch C'!H57</f>
        <v>-355292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'[54]Sch C'!D58</f>
        <v>0</v>
      </c>
      <c r="D70" s="480">
        <f>'[54]Sch C'!F58</f>
        <v>0</v>
      </c>
      <c r="E70" s="480">
        <f>+'[54]Sch C'!H58</f>
        <v>63247</v>
      </c>
      <c r="F70" s="166">
        <f t="shared" ref="F70:F83" si="13">C70+D70+E70</f>
        <v>63247</v>
      </c>
      <c r="G70" s="626"/>
      <c r="H70" s="166"/>
      <c r="I70" s="166">
        <f t="shared" ref="I70:I83" si="14">F70+G70+H70</f>
        <v>63247</v>
      </c>
      <c r="J70" s="167">
        <f t="shared" si="11"/>
        <v>3.0192597330991007E-2</v>
      </c>
      <c r="K70" s="458"/>
      <c r="L70" s="182"/>
      <c r="M70" s="163"/>
      <c r="O70" s="324">
        <f t="shared" si="12"/>
        <v>5.8812534870745772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'[54]Sch C'!D59</f>
        <v>0</v>
      </c>
      <c r="D71" s="480">
        <f>'[54]Sch C'!F59</f>
        <v>0</v>
      </c>
      <c r="E71" s="480">
        <f>+'[54]Sch C'!H59</f>
        <v>100679</v>
      </c>
      <c r="F71" s="166">
        <f t="shared" si="13"/>
        <v>100679</v>
      </c>
      <c r="G71" s="626"/>
      <c r="H71" s="166"/>
      <c r="I71" s="166">
        <f t="shared" si="14"/>
        <v>100679</v>
      </c>
      <c r="J71" s="167">
        <f t="shared" si="11"/>
        <v>4.8061734259124446E-2</v>
      </c>
      <c r="K71" s="458"/>
      <c r="L71" s="182"/>
      <c r="M71" s="163"/>
      <c r="O71" s="324">
        <f t="shared" si="12"/>
        <v>9.3620048354100796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'[54]Sch C'!D60</f>
        <v>4920</v>
      </c>
      <c r="D72" s="480">
        <f>'[54]Sch C'!F60</f>
        <v>0</v>
      </c>
      <c r="E72" s="480">
        <f>+'[54]Sch C'!H60</f>
        <v>0</v>
      </c>
      <c r="F72" s="166">
        <f t="shared" si="13"/>
        <v>4920</v>
      </c>
      <c r="G72" s="626"/>
      <c r="H72" s="166"/>
      <c r="I72" s="166">
        <f t="shared" si="14"/>
        <v>4920</v>
      </c>
      <c r="J72" s="167">
        <f t="shared" si="11"/>
        <v>2.3486897223342728E-3</v>
      </c>
      <c r="K72" s="458"/>
      <c r="L72" s="185"/>
      <c r="M72" s="163"/>
      <c r="O72" s="324">
        <f t="shared" si="12"/>
        <v>0.45750418448949226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'[54]Sch C'!D61</f>
        <v>5079</v>
      </c>
      <c r="D73" s="480">
        <f>'[54]Sch C'!F61</f>
        <v>0</v>
      </c>
      <c r="E73" s="480">
        <f>+'[54]Sch C'!H61</f>
        <v>0</v>
      </c>
      <c r="F73" s="166">
        <f t="shared" si="13"/>
        <v>5079</v>
      </c>
      <c r="G73" s="626"/>
      <c r="H73" s="166"/>
      <c r="I73" s="166">
        <f t="shared" si="14"/>
        <v>5079</v>
      </c>
      <c r="J73" s="167">
        <f t="shared" si="11"/>
        <v>2.424592499946295E-3</v>
      </c>
      <c r="K73" s="458"/>
      <c r="L73" s="185"/>
      <c r="M73" s="163"/>
      <c r="O73" s="324">
        <f t="shared" si="12"/>
        <v>0.47228938069555515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'[54]Sch C'!D62</f>
        <v>0</v>
      </c>
      <c r="D74" s="480">
        <f>'[54]Sch C'!F62</f>
        <v>0</v>
      </c>
      <c r="E74" s="480">
        <f>+'[54]Sch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'[54]Sch C'!D63</f>
        <v>0</v>
      </c>
      <c r="D75" s="480">
        <f>'[54]Sch C'!F63</f>
        <v>0</v>
      </c>
      <c r="E75" s="480">
        <f>+'[54]Sch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'[54]Sch C'!D64</f>
        <v>0</v>
      </c>
      <c r="D76" s="480">
        <f>'[54]Sch C'!F64</f>
        <v>0</v>
      </c>
      <c r="E76" s="480">
        <f>+'[54]Sch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'[54]Sch C'!D65</f>
        <v>0</v>
      </c>
      <c r="D77" s="480">
        <f>'[54]Sch C'!F65</f>
        <v>0</v>
      </c>
      <c r="E77" s="480">
        <f>+'[54]Sch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'[54]Sch C'!D66</f>
        <v>0</v>
      </c>
      <c r="D78" s="480">
        <f>'[54]Sch C'!F66</f>
        <v>0</v>
      </c>
      <c r="E78" s="480">
        <f>+'[54]Sch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'[54]Sch C'!D67</f>
        <v>0</v>
      </c>
      <c r="D79" s="480">
        <f>'[54]Sch C'!F67</f>
        <v>0</v>
      </c>
      <c r="E79" s="480">
        <f>+'[54]Sch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'[54]Sch C'!D68</f>
        <v>0</v>
      </c>
      <c r="D80" s="480">
        <f>'[54]Sch C'!F68</f>
        <v>0</v>
      </c>
      <c r="E80" s="480">
        <f>+'[54]Sch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'[54]Sch C'!D69</f>
        <v>1533</v>
      </c>
      <c r="D81" s="480">
        <f>'[54]Sch C'!F69</f>
        <v>0</v>
      </c>
      <c r="E81" s="480">
        <f>+'[54]Sch C'!H69</f>
        <v>0</v>
      </c>
      <c r="F81" s="166">
        <f t="shared" si="13"/>
        <v>1533</v>
      </c>
      <c r="G81" s="626"/>
      <c r="H81" s="166"/>
      <c r="I81" s="166">
        <f t="shared" si="14"/>
        <v>1533</v>
      </c>
      <c r="J81" s="167">
        <f t="shared" si="11"/>
        <v>7.318173464102521E-4</v>
      </c>
      <c r="K81" s="458"/>
      <c r="L81" s="187"/>
      <c r="M81" s="163"/>
      <c r="O81" s="324">
        <f t="shared" si="12"/>
        <v>0.14255160870373815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'[54]Sch C'!D70</f>
        <v>0</v>
      </c>
      <c r="D82" s="480">
        <f>'[54]Sch C'!F70</f>
        <v>0</v>
      </c>
      <c r="E82" s="480">
        <f>+'[54]Sch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'[54]Sch C'!D71</f>
        <v>0</v>
      </c>
      <c r="D83" s="480">
        <f>'[54]Sch C'!F71</f>
        <v>0</v>
      </c>
      <c r="E83" s="480">
        <f>+'[54]Sch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366824</v>
      </c>
      <c r="D84" s="480">
        <f t="shared" si="15"/>
        <v>0</v>
      </c>
      <c r="E84" s="480">
        <f t="shared" si="15"/>
        <v>-191366</v>
      </c>
      <c r="F84" s="166">
        <f t="shared" ref="F84:I84" si="16">SUM(F69:F83)</f>
        <v>175458</v>
      </c>
      <c r="G84" s="166">
        <f t="shared" si="16"/>
        <v>0</v>
      </c>
      <c r="H84" s="166">
        <f t="shared" si="16"/>
        <v>0</v>
      </c>
      <c r="I84" s="166">
        <f t="shared" si="16"/>
        <v>175458</v>
      </c>
      <c r="J84" s="167">
        <f t="shared" si="11"/>
        <v>8.3759431158806269E-2</v>
      </c>
      <c r="K84" s="458"/>
      <c r="L84" s="187"/>
      <c r="M84" s="163"/>
      <c r="O84" s="324">
        <f t="shared" si="12"/>
        <v>16.315603496373441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'[54]Sch C'!D75</f>
        <v>34249</v>
      </c>
      <c r="D87" s="480">
        <f>'[54]Sch C'!F75</f>
        <v>0</v>
      </c>
      <c r="E87" s="480">
        <f>+'[54]Sch C'!H75</f>
        <v>0</v>
      </c>
      <c r="F87" s="166">
        <f t="shared" ref="F87:F97" si="17">C87+D87+E87</f>
        <v>34249</v>
      </c>
      <c r="G87" s="626"/>
      <c r="H87" s="166"/>
      <c r="I87" s="166">
        <f t="shared" ref="I87:I97" si="18">F87+G87+H87</f>
        <v>34249</v>
      </c>
      <c r="J87" s="167">
        <f t="shared" ref="J87:J98" si="19">IF($I$213=0,0,I87/$I$213)</f>
        <v>1.634964924801352E-2</v>
      </c>
      <c r="K87" s="458"/>
      <c r="L87" s="176">
        <v>1926</v>
      </c>
      <c r="M87" s="176">
        <v>2038</v>
      </c>
      <c r="O87" s="324">
        <f t="shared" ref="O87:O97" si="20">I87/I$233</f>
        <v>3.1847684582480937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'[54]Sch C'!D76</f>
        <v>6967</v>
      </c>
      <c r="D88" s="480">
        <f>'[54]Sch C'!F76</f>
        <v>0</v>
      </c>
      <c r="E88" s="480">
        <f>+'[54]Sch C'!H76</f>
        <v>0</v>
      </c>
      <c r="F88" s="166">
        <f t="shared" si="17"/>
        <v>6967</v>
      </c>
      <c r="G88" s="626"/>
      <c r="H88" s="166"/>
      <c r="I88" s="166">
        <f t="shared" si="18"/>
        <v>6967</v>
      </c>
      <c r="J88" s="167">
        <f t="shared" si="19"/>
        <v>3.325878312094081E-3</v>
      </c>
      <c r="K88" s="458"/>
      <c r="L88" s="163"/>
      <c r="M88" s="163"/>
      <c r="O88" s="324">
        <f t="shared" si="20"/>
        <v>0.64785196206062856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'[54]Sch C'!D77</f>
        <v>7919</v>
      </c>
      <c r="D89" s="480">
        <f>'[54]Sch C'!F77</f>
        <v>0</v>
      </c>
      <c r="E89" s="480">
        <f>+'[54]Sch C'!H77</f>
        <v>0</v>
      </c>
      <c r="F89" s="166">
        <f t="shared" si="17"/>
        <v>7919</v>
      </c>
      <c r="G89" s="626"/>
      <c r="H89" s="166"/>
      <c r="I89" s="166">
        <f t="shared" si="18"/>
        <v>7919</v>
      </c>
      <c r="J89" s="167">
        <f t="shared" si="19"/>
        <v>3.7803402258465668E-3</v>
      </c>
      <c r="K89" s="458"/>
      <c r="L89" s="163"/>
      <c r="M89" s="163"/>
      <c r="O89" s="324">
        <f t="shared" si="20"/>
        <v>0.7363771619862377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'[54]Sch C'!D78</f>
        <v>26043</v>
      </c>
      <c r="D90" s="480">
        <f>'[54]Sch C'!F78</f>
        <v>0</v>
      </c>
      <c r="E90" s="480">
        <f>+'[54]Sch C'!H78</f>
        <v>0</v>
      </c>
      <c r="F90" s="166">
        <f t="shared" si="17"/>
        <v>26043</v>
      </c>
      <c r="G90" s="626">
        <f>8061-25531</f>
        <v>-17470</v>
      </c>
      <c r="H90" s="166"/>
      <c r="I90" s="166">
        <f t="shared" si="18"/>
        <v>8573</v>
      </c>
      <c r="J90" s="167">
        <f t="shared" si="19"/>
        <v>4.0925441035714882E-3</v>
      </c>
      <c r="K90" s="458"/>
      <c r="L90" s="163"/>
      <c r="M90" s="163"/>
      <c r="O90" s="324">
        <f t="shared" si="20"/>
        <v>0.79719174260740189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'[54]Sch C'!D79</f>
        <v>512</v>
      </c>
      <c r="D91" s="480">
        <f>'[54]Sch C'!F79</f>
        <v>0</v>
      </c>
      <c r="E91" s="480">
        <f>+'[54]Sch C'!H79</f>
        <v>0</v>
      </c>
      <c r="F91" s="166">
        <f t="shared" si="17"/>
        <v>512</v>
      </c>
      <c r="G91" s="626">
        <f>309+706</f>
        <v>1015</v>
      </c>
      <c r="H91" s="166"/>
      <c r="I91" s="166">
        <f t="shared" si="18"/>
        <v>1527</v>
      </c>
      <c r="J91" s="167">
        <f t="shared" si="19"/>
        <v>7.2895309065130792E-4</v>
      </c>
      <c r="K91" s="458"/>
      <c r="L91" s="163"/>
      <c r="M91" s="163"/>
      <c r="O91" s="324">
        <f t="shared" si="20"/>
        <v>0.14199367677143387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'[54]Sch C'!D80</f>
        <v>821</v>
      </c>
      <c r="D92" s="480">
        <f>'[54]Sch C'!F80</f>
        <v>0</v>
      </c>
      <c r="E92" s="480">
        <f>+'[54]Sch C'!H80</f>
        <v>0</v>
      </c>
      <c r="F92" s="166">
        <f t="shared" si="17"/>
        <v>821</v>
      </c>
      <c r="G92" s="626">
        <v>25222</v>
      </c>
      <c r="H92" s="166"/>
      <c r="I92" s="166">
        <f t="shared" si="18"/>
        <v>26043</v>
      </c>
      <c r="J92" s="167">
        <f t="shared" si="19"/>
        <v>1.2432302121697453E-2</v>
      </c>
      <c r="K92" s="458"/>
      <c r="L92" s="163"/>
      <c r="M92" s="163"/>
      <c r="O92" s="324">
        <f t="shared" si="20"/>
        <v>2.4217035521666355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'[54]Sch C'!D81</f>
        <v>68552</v>
      </c>
      <c r="D93" s="480">
        <f>'[54]Sch C'!F81</f>
        <v>0</v>
      </c>
      <c r="E93" s="480">
        <f>+'[54]Sch C'!H81</f>
        <v>0</v>
      </c>
      <c r="F93" s="166">
        <f t="shared" si="17"/>
        <v>68552</v>
      </c>
      <c r="G93" s="626">
        <v>-67865</v>
      </c>
      <c r="H93" s="166"/>
      <c r="I93" s="166">
        <f t="shared" si="18"/>
        <v>687</v>
      </c>
      <c r="J93" s="167">
        <f t="shared" si="19"/>
        <v>3.2795728439911497E-4</v>
      </c>
      <c r="K93" s="458"/>
      <c r="L93" s="163"/>
      <c r="M93" s="163"/>
      <c r="O93" s="324">
        <f t="shared" si="20"/>
        <v>6.3883206248837643E-2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'[54]Sch C'!D82</f>
        <v>449</v>
      </c>
      <c r="D94" s="480">
        <f>'[54]Sch C'!F82</f>
        <v>0</v>
      </c>
      <c r="E94" s="480">
        <f>+'[54]Sch C'!H82</f>
        <v>0</v>
      </c>
      <c r="F94" s="166">
        <f t="shared" si="17"/>
        <v>449</v>
      </c>
      <c r="G94" s="626"/>
      <c r="H94" s="166"/>
      <c r="I94" s="166">
        <f t="shared" si="18"/>
        <v>449</v>
      </c>
      <c r="J94" s="167">
        <f t="shared" si="19"/>
        <v>2.1434180596099361E-4</v>
      </c>
      <c r="K94" s="458"/>
      <c r="L94" s="163"/>
      <c r="M94" s="163"/>
      <c r="O94" s="324">
        <f t="shared" si="20"/>
        <v>4.1751906267435371E-2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'[54]Sch C'!D83</f>
        <v>58</v>
      </c>
      <c r="D95" s="480">
        <f>'[54]Sch C'!F83</f>
        <v>0</v>
      </c>
      <c r="E95" s="480">
        <f>+'[54]Sch C'!H83</f>
        <v>0</v>
      </c>
      <c r="F95" s="166">
        <f t="shared" si="17"/>
        <v>58</v>
      </c>
      <c r="G95" s="626"/>
      <c r="H95" s="166"/>
      <c r="I95" s="166">
        <f t="shared" si="18"/>
        <v>58</v>
      </c>
      <c r="J95" s="167">
        <f t="shared" si="19"/>
        <v>2.7687805669794274E-5</v>
      </c>
      <c r="K95" s="458"/>
      <c r="L95" s="163"/>
      <c r="M95" s="163"/>
      <c r="O95" s="324">
        <f t="shared" si="20"/>
        <v>5.3933420122745023E-3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'[54]Sch C'!D84</f>
        <v>30462</v>
      </c>
      <c r="D96" s="480">
        <f>'[54]Sch C'!F84</f>
        <v>0</v>
      </c>
      <c r="E96" s="480">
        <f>+'[54]Sch C'!H84</f>
        <v>0</v>
      </c>
      <c r="F96" s="166">
        <f t="shared" si="17"/>
        <v>30462</v>
      </c>
      <c r="G96" s="626"/>
      <c r="H96" s="166"/>
      <c r="I96" s="166">
        <f t="shared" si="18"/>
        <v>30462</v>
      </c>
      <c r="J96" s="167">
        <f t="shared" si="19"/>
        <v>1.4541826488159883E-2</v>
      </c>
      <c r="K96" s="458"/>
      <c r="L96" s="163"/>
      <c r="M96" s="163"/>
      <c r="O96" s="324">
        <f t="shared" si="20"/>
        <v>2.8326204203087224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'[54]Sch C'!D85</f>
        <v>0</v>
      </c>
      <c r="D97" s="480">
        <f>'[54]Sch C'!F85</f>
        <v>0</v>
      </c>
      <c r="E97" s="480">
        <f>+'[54]Sch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176032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176032</v>
      </c>
      <c r="G98" s="166">
        <f t="shared" si="22"/>
        <v>-59098</v>
      </c>
      <c r="H98" s="166">
        <f t="shared" si="22"/>
        <v>0</v>
      </c>
      <c r="I98" s="166">
        <f t="shared" si="22"/>
        <v>116934</v>
      </c>
      <c r="J98" s="167">
        <f t="shared" si="19"/>
        <v>5.5821480486064202E-2</v>
      </c>
      <c r="K98" s="458"/>
      <c r="L98" s="163"/>
      <c r="M98" s="163"/>
      <c r="O98" s="329">
        <f>I98/I$233</f>
        <v>10.873535428677702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'[54]Sch C'!D89</f>
        <v>93119</v>
      </c>
      <c r="D101" s="480">
        <f>'[54]Sch C'!F89</f>
        <v>0</v>
      </c>
      <c r="E101" s="480">
        <f>+'[54]Sch C'!H89</f>
        <v>0</v>
      </c>
      <c r="F101" s="166">
        <f t="shared" ref="F101:F106" si="23">C101+D101+E101</f>
        <v>93119</v>
      </c>
      <c r="G101" s="626"/>
      <c r="H101" s="166"/>
      <c r="I101" s="166">
        <f t="shared" ref="I101:I106" si="24">F101+G101+H101</f>
        <v>93119</v>
      </c>
      <c r="J101" s="167">
        <f t="shared" ref="J101:J107" si="25">IF($I$213=0,0,I101/$I$213)</f>
        <v>4.4452772002854711E-2</v>
      </c>
      <c r="K101" s="458"/>
      <c r="L101" s="176">
        <v>7796</v>
      </c>
      <c r="M101" s="176">
        <v>8574</v>
      </c>
      <c r="O101" s="329">
        <f t="shared" ref="O101:O106" si="26">I101/I$233</f>
        <v>8.6590106007067131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'[54]Sch C'!D90</f>
        <v>16490</v>
      </c>
      <c r="D102" s="480">
        <f>'[54]Sch C'!F90</f>
        <v>0</v>
      </c>
      <c r="E102" s="480">
        <f>+'[54]Sch C'!H90</f>
        <v>0</v>
      </c>
      <c r="F102" s="166">
        <f t="shared" si="23"/>
        <v>16490</v>
      </c>
      <c r="G102" s="626"/>
      <c r="H102" s="166"/>
      <c r="I102" s="166">
        <f t="shared" si="24"/>
        <v>16490</v>
      </c>
      <c r="J102" s="167">
        <f t="shared" si="25"/>
        <v>7.8719295774984065E-3</v>
      </c>
      <c r="K102" s="458"/>
      <c r="L102" s="163"/>
      <c r="M102" s="163"/>
      <c r="O102" s="329">
        <f t="shared" si="26"/>
        <v>1.5333829272828714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'[54]Sch C'!D91</f>
        <v>5803</v>
      </c>
      <c r="D103" s="480">
        <f>'[54]Sch C'!F91</f>
        <v>0</v>
      </c>
      <c r="E103" s="480">
        <f>+'[54]Sch C'!H91</f>
        <v>0</v>
      </c>
      <c r="F103" s="166">
        <f t="shared" si="23"/>
        <v>5803</v>
      </c>
      <c r="G103" s="626"/>
      <c r="H103" s="166"/>
      <c r="I103" s="166">
        <f t="shared" si="24"/>
        <v>5803</v>
      </c>
      <c r="J103" s="167">
        <f t="shared" si="25"/>
        <v>2.7702126948588998E-3</v>
      </c>
      <c r="K103" s="458"/>
      <c r="L103" s="163"/>
      <c r="M103" s="163"/>
      <c r="O103" s="329">
        <f t="shared" si="26"/>
        <v>0.53961316719360242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'[54]Sch C'!D92</f>
        <v>92431</v>
      </c>
      <c r="D104" s="480">
        <f>'[54]Sch C'!F92</f>
        <v>0</v>
      </c>
      <c r="E104" s="480">
        <f>+'[54]Sch C'!H92</f>
        <v>0</v>
      </c>
      <c r="F104" s="166">
        <f t="shared" si="23"/>
        <v>92431</v>
      </c>
      <c r="G104" s="626"/>
      <c r="H104" s="166"/>
      <c r="I104" s="166">
        <f t="shared" si="24"/>
        <v>92431</v>
      </c>
      <c r="J104" s="167">
        <f t="shared" si="25"/>
        <v>4.4124337342495767E-2</v>
      </c>
      <c r="K104" s="458"/>
      <c r="L104" s="163"/>
      <c r="M104" s="163"/>
      <c r="O104" s="329">
        <f t="shared" si="26"/>
        <v>8.5950344058024921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'[54]Sch C'!D93</f>
        <v>15853</v>
      </c>
      <c r="D105" s="480">
        <f>'[54]Sch C'!F93</f>
        <v>0</v>
      </c>
      <c r="E105" s="480">
        <f>+'[54]Sch C'!H93</f>
        <v>0</v>
      </c>
      <c r="F105" s="166">
        <f t="shared" si="23"/>
        <v>15853</v>
      </c>
      <c r="G105" s="626"/>
      <c r="H105" s="166"/>
      <c r="I105" s="166">
        <f t="shared" si="24"/>
        <v>15853</v>
      </c>
      <c r="J105" s="167">
        <f t="shared" si="25"/>
        <v>7.5678410910904942E-3</v>
      </c>
      <c r="K105" s="458"/>
      <c r="L105" s="163"/>
      <c r="M105" s="163"/>
      <c r="O105" s="329">
        <f t="shared" si="26"/>
        <v>1.4741491538032361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'[54]Sch C'!D94</f>
        <v>0</v>
      </c>
      <c r="D106" s="480">
        <f>'[54]Sch C'!F94</f>
        <v>0</v>
      </c>
      <c r="E106" s="480">
        <f>+'[54]Sch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223696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223696</v>
      </c>
      <c r="G107" s="166">
        <f t="shared" si="28"/>
        <v>0</v>
      </c>
      <c r="H107" s="166">
        <f t="shared" si="28"/>
        <v>0</v>
      </c>
      <c r="I107" s="166">
        <f t="shared" si="28"/>
        <v>223696</v>
      </c>
      <c r="J107" s="167">
        <f t="shared" si="25"/>
        <v>0.10678709270879828</v>
      </c>
      <c r="K107" s="458"/>
      <c r="L107" s="163"/>
      <c r="M107" s="163"/>
      <c r="O107" s="329">
        <f>I107/I$233</f>
        <v>20.801190254788917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'[54]Sch C'!D98</f>
        <v>19357</v>
      </c>
      <c r="D110" s="480">
        <f>'[54]Sch C'!F98</f>
        <v>0</v>
      </c>
      <c r="E110" s="480">
        <f>+'[54]Sch C'!H98</f>
        <v>0</v>
      </c>
      <c r="F110" s="166">
        <f t="shared" ref="F110:F115" si="29">C110+D110+E110</f>
        <v>19357</v>
      </c>
      <c r="G110" s="626"/>
      <c r="H110" s="166"/>
      <c r="I110" s="166">
        <f t="shared" ref="I110:I115" si="30">F110+G110+H110</f>
        <v>19357</v>
      </c>
      <c r="J110" s="167">
        <f t="shared" ref="J110:J116" si="31">IF($I$213=0,0,I110/$I$213)</f>
        <v>9.2405664543139272E-3</v>
      </c>
      <c r="K110" s="458"/>
      <c r="L110" s="176">
        <v>2435</v>
      </c>
      <c r="M110" s="176">
        <v>2582</v>
      </c>
      <c r="O110" s="329">
        <f t="shared" ref="O110:O115" si="32">I110/I$233</f>
        <v>1.7999814022689231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'[54]Sch C'!D99</f>
        <v>1657</v>
      </c>
      <c r="D111" s="480">
        <f>'[54]Sch C'!F99</f>
        <v>0</v>
      </c>
      <c r="E111" s="480">
        <f>+'[54]Sch C'!H99</f>
        <v>0</v>
      </c>
      <c r="F111" s="166">
        <f t="shared" si="29"/>
        <v>1657</v>
      </c>
      <c r="G111" s="626"/>
      <c r="H111" s="166"/>
      <c r="I111" s="166">
        <f t="shared" si="30"/>
        <v>1657</v>
      </c>
      <c r="J111" s="167">
        <f t="shared" si="31"/>
        <v>7.9101196542843294E-4</v>
      </c>
      <c r="K111" s="458"/>
      <c r="L111" s="163"/>
      <c r="M111" s="163"/>
      <c r="O111" s="329">
        <f t="shared" si="32"/>
        <v>0.15408220197135949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'[54]Sch C'!D100</f>
        <v>5217</v>
      </c>
      <c r="D112" s="480">
        <f>'[54]Sch C'!F100</f>
        <v>0</v>
      </c>
      <c r="E112" s="480">
        <f>+'[54]Sch C'!H100</f>
        <v>0</v>
      </c>
      <c r="F112" s="166">
        <f t="shared" si="29"/>
        <v>5217</v>
      </c>
      <c r="G112" s="626"/>
      <c r="H112" s="166"/>
      <c r="I112" s="166">
        <f t="shared" si="30"/>
        <v>5217</v>
      </c>
      <c r="J112" s="167">
        <f t="shared" si="31"/>
        <v>2.4904703824020127E-3</v>
      </c>
      <c r="K112" s="458"/>
      <c r="L112" s="163"/>
      <c r="M112" s="163"/>
      <c r="O112" s="329">
        <f t="shared" si="32"/>
        <v>0.48512181513855307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'[54]Sch C'!D101</f>
        <v>0</v>
      </c>
      <c r="D113" s="480">
        <f>'[54]Sch C'!F101</f>
        <v>0</v>
      </c>
      <c r="E113" s="480">
        <f>+'[54]Sch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'[54]Sch C'!D102</f>
        <v>984</v>
      </c>
      <c r="D114" s="480">
        <f>'[54]Sch C'!F102</f>
        <v>0</v>
      </c>
      <c r="E114" s="480">
        <f>+'[54]Sch C'!H102</f>
        <v>0</v>
      </c>
      <c r="F114" s="166">
        <f t="shared" si="29"/>
        <v>984</v>
      </c>
      <c r="G114" s="626"/>
      <c r="H114" s="166"/>
      <c r="I114" s="166">
        <f t="shared" si="30"/>
        <v>984</v>
      </c>
      <c r="J114" s="167">
        <f t="shared" si="31"/>
        <v>4.6973794446685457E-4</v>
      </c>
      <c r="K114" s="458"/>
      <c r="L114" s="163"/>
      <c r="M114" s="163"/>
      <c r="O114" s="329">
        <f t="shared" si="32"/>
        <v>9.1500836897898452E-2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'[54]Sch C'!D103</f>
        <v>0</v>
      </c>
      <c r="D115" s="480">
        <f>'[54]Sch C'!F103</f>
        <v>0</v>
      </c>
      <c r="E115" s="480">
        <f>+'[54]Sch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27215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27215</v>
      </c>
      <c r="G116" s="166">
        <f t="shared" si="34"/>
        <v>0</v>
      </c>
      <c r="H116" s="166">
        <f t="shared" si="34"/>
        <v>0</v>
      </c>
      <c r="I116" s="166">
        <f t="shared" si="34"/>
        <v>27215</v>
      </c>
      <c r="J116" s="167">
        <f t="shared" si="31"/>
        <v>1.2991786746611228E-2</v>
      </c>
      <c r="K116" s="458"/>
      <c r="L116" s="163"/>
      <c r="M116" s="163"/>
      <c r="O116" s="329">
        <f>I116/I$233</f>
        <v>2.5306862562767343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'[54]Sch C'!D115</f>
        <v>37487</v>
      </c>
      <c r="D119" s="480">
        <f>'[54]Sch C'!F115</f>
        <v>0</v>
      </c>
      <c r="E119" s="480">
        <f>+'[54]Sch C'!H115</f>
        <v>0</v>
      </c>
      <c r="F119" s="166">
        <f t="shared" ref="F119:F123" si="35">C119+D119+E119</f>
        <v>37487</v>
      </c>
      <c r="G119" s="626"/>
      <c r="H119" s="166"/>
      <c r="I119" s="166">
        <f t="shared" ref="I119:I123" si="36">F119+G119+H119</f>
        <v>37487</v>
      </c>
      <c r="J119" s="167">
        <f t="shared" ref="J119:J124" si="37">IF($I$213=0,0,I119/$I$213)</f>
        <v>1.7895392605923759E-2</v>
      </c>
      <c r="K119" s="458"/>
      <c r="L119" s="176">
        <v>4458</v>
      </c>
      <c r="M119" s="176">
        <v>4680</v>
      </c>
      <c r="O119" s="329">
        <f t="shared" ref="O119:O124" si="38">I119/I$233</f>
        <v>3.4858657243816253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'[54]Sch C'!D116</f>
        <v>3429</v>
      </c>
      <c r="D120" s="480">
        <f>'[54]Sch C'!F116</f>
        <v>0</v>
      </c>
      <c r="E120" s="480">
        <f>+'[54]Sch C'!H116</f>
        <v>0</v>
      </c>
      <c r="F120" s="166">
        <f t="shared" si="35"/>
        <v>3429</v>
      </c>
      <c r="G120" s="626"/>
      <c r="H120" s="166"/>
      <c r="I120" s="166">
        <f t="shared" si="36"/>
        <v>3429</v>
      </c>
      <c r="J120" s="167">
        <f t="shared" si="37"/>
        <v>1.6369221662366304E-3</v>
      </c>
      <c r="K120" s="458"/>
      <c r="L120" s="163"/>
      <c r="M120" s="163"/>
      <c r="O120" s="329">
        <f t="shared" si="38"/>
        <v>0.31885809931188397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'[54]Sch C'!D117</f>
        <v>7022</v>
      </c>
      <c r="D121" s="480">
        <f>'[54]Sch C'!F117</f>
        <v>0</v>
      </c>
      <c r="E121" s="480">
        <f>+'[54]Sch C'!H117</f>
        <v>0</v>
      </c>
      <c r="F121" s="166">
        <f t="shared" si="35"/>
        <v>7022</v>
      </c>
      <c r="G121" s="626">
        <v>-706</v>
      </c>
      <c r="H121" s="166"/>
      <c r="I121" s="166">
        <f t="shared" si="36"/>
        <v>6316</v>
      </c>
      <c r="J121" s="167">
        <f t="shared" si="37"/>
        <v>3.0151065622486318E-3</v>
      </c>
      <c r="K121" s="458"/>
      <c r="L121" s="163"/>
      <c r="M121" s="163"/>
      <c r="O121" s="329">
        <f t="shared" si="38"/>
        <v>0.58731634740561656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'[54]Sch C'!D118</f>
        <v>888</v>
      </c>
      <c r="D122" s="480">
        <f>'[54]Sch C'!F118</f>
        <v>0</v>
      </c>
      <c r="E122" s="480">
        <f>+'[54]Sch C'!H118</f>
        <v>0</v>
      </c>
      <c r="F122" s="166">
        <f t="shared" si="35"/>
        <v>888</v>
      </c>
      <c r="G122" s="626"/>
      <c r="H122" s="166"/>
      <c r="I122" s="166">
        <f t="shared" si="36"/>
        <v>888</v>
      </c>
      <c r="J122" s="167">
        <f t="shared" si="37"/>
        <v>4.2390985232374683E-4</v>
      </c>
      <c r="K122" s="458"/>
      <c r="L122" s="163"/>
      <c r="M122" s="163"/>
      <c r="O122" s="329">
        <f t="shared" si="38"/>
        <v>8.2573925981030319E-2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'[54]Sch C'!D119</f>
        <v>0</v>
      </c>
      <c r="D123" s="480">
        <f>'[54]Sch C'!F119</f>
        <v>0</v>
      </c>
      <c r="E123" s="480">
        <f>+'[54]Sch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48826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48826</v>
      </c>
      <c r="G124" s="166">
        <f t="shared" si="40"/>
        <v>-706</v>
      </c>
      <c r="H124" s="166">
        <f t="shared" si="40"/>
        <v>0</v>
      </c>
      <c r="I124" s="166">
        <f t="shared" si="40"/>
        <v>48120</v>
      </c>
      <c r="J124" s="167">
        <f t="shared" si="37"/>
        <v>2.2971331186732766E-2</v>
      </c>
      <c r="K124" s="458"/>
      <c r="L124" s="163"/>
      <c r="M124" s="163"/>
      <c r="O124" s="329">
        <f t="shared" si="38"/>
        <v>4.4746140970801562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'[54]Sch C'!D124</f>
        <v>0</v>
      </c>
      <c r="D128" s="480">
        <f>'[54]Sch C'!F124</f>
        <v>0</v>
      </c>
      <c r="E128" s="480">
        <f>+'[54]Sch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'[54]Sch C'!D125</f>
        <v>92046</v>
      </c>
      <c r="D129" s="480">
        <f>'[54]Sch C'!F125</f>
        <v>0</v>
      </c>
      <c r="E129" s="480">
        <f>+'[54]Sch C'!H125</f>
        <v>0</v>
      </c>
      <c r="F129" s="166">
        <f t="shared" si="41"/>
        <v>92046</v>
      </c>
      <c r="G129" s="626"/>
      <c r="H129" s="166"/>
      <c r="I129" s="166">
        <f t="shared" si="42"/>
        <v>92046</v>
      </c>
      <c r="J129" s="167">
        <f>IF($I$213=0,0,I129/$I$213)</f>
        <v>4.3940547597963515E-2</v>
      </c>
      <c r="K129" s="458"/>
      <c r="L129" s="176">
        <v>2072</v>
      </c>
      <c r="M129" s="176">
        <v>2133</v>
      </c>
      <c r="O129" s="329">
        <f t="shared" si="43"/>
        <v>8.5592337734796349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'[54]Sch C'!D126</f>
        <v>0</v>
      </c>
      <c r="D130" s="480">
        <f>'[54]Sch C'!F126</f>
        <v>0</v>
      </c>
      <c r="E130" s="480">
        <f>+'[54]Sch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'[54]Sch C'!D127</f>
        <v>0</v>
      </c>
      <c r="D131" s="480">
        <f>'[54]Sch C'!F127</f>
        <v>0</v>
      </c>
      <c r="E131" s="480">
        <f>+'[54]Sch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'[54]Sch C'!D128</f>
        <v>0</v>
      </c>
      <c r="D132" s="480">
        <f>'[54]Sch C'!F128</f>
        <v>0</v>
      </c>
      <c r="E132" s="480">
        <f>+'[54]Sch C'!H128</f>
        <v>0</v>
      </c>
      <c r="F132" s="166">
        <f t="shared" si="41"/>
        <v>0</v>
      </c>
      <c r="G132" s="626"/>
      <c r="H132" s="166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'[54]Sch C'!D130</f>
        <v>0</v>
      </c>
      <c r="D134" s="480">
        <f>'[54]Sch C'!F130</f>
        <v>0</v>
      </c>
      <c r="E134" s="480">
        <f>+'[54]Sch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'[54]Sch C'!D131</f>
        <v>75444</v>
      </c>
      <c r="D135" s="480">
        <f>'[54]Sch C'!F131</f>
        <v>-52738</v>
      </c>
      <c r="E135" s="480">
        <f>+'[54]Sch C'!H131</f>
        <v>0</v>
      </c>
      <c r="F135" s="166">
        <f t="shared" si="44"/>
        <v>22706</v>
      </c>
      <c r="G135" s="626"/>
      <c r="H135" s="166"/>
      <c r="I135" s="166">
        <f t="shared" si="45"/>
        <v>22706</v>
      </c>
      <c r="J135" s="167">
        <f>IF($I$213=0,0,I135/$I$213)</f>
        <v>1.0839298543764635E-2</v>
      </c>
      <c r="K135" s="458"/>
      <c r="L135" s="196"/>
      <c r="M135" s="196"/>
      <c r="O135" s="329">
        <f t="shared" si="43"/>
        <v>2.1114004091500838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'[54]Sch C'!D132</f>
        <v>0</v>
      </c>
      <c r="D136" s="480">
        <f>'[54]Sch C'!F132</f>
        <v>0</v>
      </c>
      <c r="E136" s="480">
        <f>+'[54]Sch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'[54]Sch C'!D133</f>
        <v>0</v>
      </c>
      <c r="D137" s="480">
        <f>'[54]Sch C'!F133</f>
        <v>0</v>
      </c>
      <c r="E137" s="480">
        <f>+'[54]Sch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'[54]Sch C'!D134</f>
        <v>0</v>
      </c>
      <c r="D138" s="480">
        <f>'[54]Sch C'!F134</f>
        <v>0</v>
      </c>
      <c r="E138" s="480">
        <f>+'[54]Sch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'[54]Sch C'!D136</f>
        <v>111919</v>
      </c>
      <c r="D140" s="480">
        <f>'[54]Sch C'!F136</f>
        <v>0</v>
      </c>
      <c r="E140" s="480">
        <f>+'[54]Sch C'!H136</f>
        <v>0</v>
      </c>
      <c r="F140" s="166">
        <f t="shared" ref="F140:F143" si="46">C140+D140+E140</f>
        <v>111919</v>
      </c>
      <c r="G140" s="626"/>
      <c r="H140" s="166"/>
      <c r="I140" s="166">
        <f t="shared" ref="I140:I143" si="47">F140+G140+H140</f>
        <v>111919</v>
      </c>
      <c r="J140" s="167">
        <f>IF($I$213=0,0,I140/$I$213)</f>
        <v>5.3427440047546647E-2</v>
      </c>
      <c r="K140" s="458"/>
      <c r="L140" s="176">
        <v>5336</v>
      </c>
      <c r="M140" s="176">
        <v>5624</v>
      </c>
      <c r="O140" s="329">
        <f t="shared" si="43"/>
        <v>10.407197321926725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'[54]Sch C'!D137</f>
        <v>101869</v>
      </c>
      <c r="D141" s="480">
        <f>'[54]Sch C'!F137</f>
        <v>0</v>
      </c>
      <c r="E141" s="480">
        <f>+'[54]Sch C'!H137</f>
        <v>0</v>
      </c>
      <c r="F141" s="166">
        <f t="shared" si="46"/>
        <v>101869</v>
      </c>
      <c r="G141" s="626"/>
      <c r="H141" s="166"/>
      <c r="I141" s="166">
        <f t="shared" si="47"/>
        <v>101869</v>
      </c>
      <c r="J141" s="167">
        <f>IF($I$213=0,0,I141/$I$213)</f>
        <v>4.8629811651315052E-2</v>
      </c>
      <c r="K141" s="458"/>
      <c r="L141" s="176">
        <v>4622</v>
      </c>
      <c r="M141" s="176">
        <v>4834</v>
      </c>
      <c r="O141" s="329">
        <f t="shared" si="43"/>
        <v>9.4726613353170919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'[54]Sch C'!D138</f>
        <v>305479</v>
      </c>
      <c r="D142" s="480">
        <f>'[54]Sch C'!F138</f>
        <v>0</v>
      </c>
      <c r="E142" s="480">
        <f>+'[54]Sch C'!H138</f>
        <v>0</v>
      </c>
      <c r="F142" s="166">
        <f t="shared" si="46"/>
        <v>305479</v>
      </c>
      <c r="G142" s="626"/>
      <c r="H142" s="166"/>
      <c r="I142" s="166">
        <f t="shared" si="47"/>
        <v>305479</v>
      </c>
      <c r="J142" s="167">
        <f>IF($I$213=0,0,I142/$I$213)</f>
        <v>0.14582833083108768</v>
      </c>
      <c r="K142" s="458"/>
      <c r="L142" s="176">
        <v>28348</v>
      </c>
      <c r="M142" s="176">
        <v>30668</v>
      </c>
      <c r="O142" s="329">
        <f t="shared" si="43"/>
        <v>28.406081458062115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'[54]Sch C'!D139</f>
        <v>0</v>
      </c>
      <c r="D143" s="480">
        <f>'[54]Sch C'!F139</f>
        <v>0</v>
      </c>
      <c r="E143" s="480">
        <f>+'[54]Sch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 ht="15.5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'[54]Sch C'!D141</f>
        <v>0</v>
      </c>
      <c r="D145" s="480">
        <f>'[54]Sch C'!F141</f>
        <v>27609</v>
      </c>
      <c r="E145" s="480">
        <f>+'[54]Sch C'!H141</f>
        <v>0</v>
      </c>
      <c r="F145" s="166">
        <f t="shared" ref="F145:F148" si="48">C145+D145+E145</f>
        <v>27609</v>
      </c>
      <c r="G145" s="626"/>
      <c r="H145" s="166"/>
      <c r="I145" s="166">
        <f t="shared" ref="I145:I148" si="49">F145+G145+H145</f>
        <v>27609</v>
      </c>
      <c r="J145" s="167">
        <f>IF($I$213=0,0,I145/$I$213)</f>
        <v>1.3179872874781898E-2</v>
      </c>
      <c r="K145" s="520"/>
      <c r="L145" s="446"/>
      <c r="M145" s="163"/>
      <c r="O145" s="329">
        <f t="shared" si="43"/>
        <v>2.5673237864980472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'[54]Sch C'!D142</f>
        <v>0</v>
      </c>
      <c r="D146" s="480">
        <f>'[54]Sch C'!F142</f>
        <v>25129</v>
      </c>
      <c r="E146" s="480">
        <f>+'[54]Sch C'!H142</f>
        <v>0</v>
      </c>
      <c r="F146" s="166">
        <f t="shared" si="48"/>
        <v>25129</v>
      </c>
      <c r="G146" s="626"/>
      <c r="H146" s="166"/>
      <c r="I146" s="166">
        <f t="shared" si="49"/>
        <v>25129</v>
      </c>
      <c r="J146" s="167">
        <f>IF($I$213=0,0,I146/$I$213)</f>
        <v>1.1995980494418282E-2</v>
      </c>
      <c r="K146" s="520"/>
      <c r="L146" s="446"/>
      <c r="M146" s="163"/>
      <c r="O146" s="329">
        <f t="shared" si="43"/>
        <v>2.3367119211456204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'[54]Sch C'!D143</f>
        <v>26038</v>
      </c>
      <c r="D147" s="480">
        <f>'[54]Sch C'!F143</f>
        <v>0</v>
      </c>
      <c r="E147" s="480">
        <f>+'[54]Sch C'!H143</f>
        <v>0</v>
      </c>
      <c r="F147" s="166">
        <f t="shared" si="48"/>
        <v>26038</v>
      </c>
      <c r="G147" s="626"/>
      <c r="H147" s="166"/>
      <c r="I147" s="166">
        <f t="shared" si="49"/>
        <v>26038</v>
      </c>
      <c r="J147" s="167">
        <f>IF($I$213=0,0,I147/$I$213)</f>
        <v>1.2429915241898333E-2</v>
      </c>
      <c r="K147" s="520"/>
      <c r="L147" s="446"/>
      <c r="M147" s="163"/>
      <c r="O147" s="329">
        <f t="shared" si="43"/>
        <v>2.4212386088897153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'[54]Sch C'!D144</f>
        <v>0</v>
      </c>
      <c r="D148" s="480">
        <f>'[54]Sch C'!F144</f>
        <v>0</v>
      </c>
      <c r="E148" s="480">
        <f>+'[54]Sch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'[54]Sch C'!D146</f>
        <v>12000</v>
      </c>
      <c r="D150" s="480">
        <f>'[54]Sch C'!F146</f>
        <v>0</v>
      </c>
      <c r="E150" s="480">
        <f>+'[54]Sch C'!H146</f>
        <v>0</v>
      </c>
      <c r="F150" s="166">
        <f t="shared" ref="F150:F158" si="50">C150+D150+E150</f>
        <v>12000</v>
      </c>
      <c r="G150" s="626"/>
      <c r="H150" s="166"/>
      <c r="I150" s="166">
        <f t="shared" ref="I150:I158" si="51">F150+G150+H150</f>
        <v>12000</v>
      </c>
      <c r="J150" s="167">
        <f t="shared" ref="J150:J158" si="52">IF($I$213=0,0,I150/$I$213)</f>
        <v>5.7285115178884703E-3</v>
      </c>
      <c r="K150" s="458"/>
      <c r="L150" s="176">
        <v>0</v>
      </c>
      <c r="M150" s="176">
        <v>0</v>
      </c>
      <c r="O150" s="329">
        <f t="shared" si="43"/>
        <v>1.1158638646085177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'[54]Sch C'!D147</f>
        <v>21147</v>
      </c>
      <c r="D151" s="480">
        <f>'[54]Sch C'!F147</f>
        <v>0</v>
      </c>
      <c r="E151" s="480">
        <f>+'[54]Sch C'!H147</f>
        <v>0</v>
      </c>
      <c r="F151" s="166">
        <f t="shared" si="50"/>
        <v>21147</v>
      </c>
      <c r="G151" s="626">
        <v>-2058</v>
      </c>
      <c r="H151" s="166"/>
      <c r="I151" s="166">
        <f t="shared" si="51"/>
        <v>19089</v>
      </c>
      <c r="J151" s="167">
        <f t="shared" si="52"/>
        <v>9.1126296970810844E-3</v>
      </c>
      <c r="K151" s="458"/>
      <c r="L151" s="176">
        <v>0</v>
      </c>
      <c r="M151" s="176">
        <v>0</v>
      </c>
      <c r="O151" s="329">
        <f t="shared" si="43"/>
        <v>1.7750604426259997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'[54]Sch C'!D148</f>
        <v>39939</v>
      </c>
      <c r="D152" s="480">
        <f>'[54]Sch C'!F148</f>
        <v>0</v>
      </c>
      <c r="E152" s="480">
        <f>+'[54]Sch C'!H148</f>
        <v>0</v>
      </c>
      <c r="F152" s="166">
        <f t="shared" si="50"/>
        <v>39939</v>
      </c>
      <c r="G152" s="626"/>
      <c r="H152" s="166"/>
      <c r="I152" s="166">
        <f t="shared" si="51"/>
        <v>39939</v>
      </c>
      <c r="J152" s="167">
        <f t="shared" si="52"/>
        <v>1.9065918459412301E-2</v>
      </c>
      <c r="K152" s="458"/>
      <c r="L152" s="176">
        <v>0</v>
      </c>
      <c r="M152" s="176">
        <v>0</v>
      </c>
      <c r="O152" s="329">
        <f t="shared" si="43"/>
        <v>3.7138739073832991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'[54]Sch C'!D149</f>
        <v>0</v>
      </c>
      <c r="D153" s="480">
        <f>'[54]Sch C'!F149</f>
        <v>0</v>
      </c>
      <c r="E153" s="480">
        <f>+'[54]Sch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'[54]Sch C'!D150</f>
        <v>2941</v>
      </c>
      <c r="D154" s="480">
        <f>'[54]Sch C'!F150</f>
        <v>0</v>
      </c>
      <c r="E154" s="480">
        <f>+'[54]Sch C'!H150</f>
        <v>0</v>
      </c>
      <c r="F154" s="166">
        <f t="shared" si="50"/>
        <v>2941</v>
      </c>
      <c r="G154" s="626"/>
      <c r="H154" s="166"/>
      <c r="I154" s="166">
        <f t="shared" si="51"/>
        <v>2941</v>
      </c>
      <c r="J154" s="167">
        <f t="shared" si="52"/>
        <v>1.4039626978424994E-3</v>
      </c>
      <c r="K154" s="458"/>
      <c r="L154" s="176">
        <v>0</v>
      </c>
      <c r="M154" s="176">
        <v>0</v>
      </c>
      <c r="O154" s="329">
        <f t="shared" si="43"/>
        <v>0.27347963548447091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'[54]Sch C'!D151</f>
        <v>30032</v>
      </c>
      <c r="D155" s="480">
        <f>'[54]Sch C'!F151</f>
        <v>0</v>
      </c>
      <c r="E155" s="480">
        <f>+'[54]Sch C'!H151</f>
        <v>0</v>
      </c>
      <c r="F155" s="166">
        <f t="shared" si="50"/>
        <v>30032</v>
      </c>
      <c r="G155" s="626"/>
      <c r="H155" s="166"/>
      <c r="I155" s="166">
        <f t="shared" si="51"/>
        <v>30032</v>
      </c>
      <c r="J155" s="167">
        <f t="shared" si="52"/>
        <v>1.4336554825435546E-2</v>
      </c>
      <c r="K155" s="458"/>
      <c r="L155" s="163"/>
      <c r="M155" s="163"/>
      <c r="O155" s="329">
        <f t="shared" si="43"/>
        <v>2.7926352984935838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'[54]Sch C'!D152</f>
        <v>213</v>
      </c>
      <c r="D156" s="480">
        <f>'[54]Sch C'!F152</f>
        <v>0</v>
      </c>
      <c r="E156" s="480">
        <f>+'[54]Sch C'!H152</f>
        <v>0</v>
      </c>
      <c r="F156" s="166">
        <f t="shared" si="50"/>
        <v>213</v>
      </c>
      <c r="G156" s="626"/>
      <c r="H156" s="166"/>
      <c r="I156" s="166">
        <f t="shared" si="51"/>
        <v>213</v>
      </c>
      <c r="J156" s="167">
        <f t="shared" si="52"/>
        <v>1.0168107944252036E-4</v>
      </c>
      <c r="K156" s="458"/>
      <c r="L156" s="163"/>
      <c r="M156" s="163"/>
      <c r="O156" s="329">
        <f t="shared" si="43"/>
        <v>1.9806583596801191E-2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'[54]Sch C'!D153</f>
        <v>0</v>
      </c>
      <c r="D157" s="480">
        <f>'[54]Sch C'!F153</f>
        <v>0</v>
      </c>
      <c r="E157" s="480">
        <f>+'[54]Sch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'[54]Sch C'!D154</f>
        <v>0</v>
      </c>
      <c r="D158" s="480">
        <f>'[54]Sch C'!F154</f>
        <v>0</v>
      </c>
      <c r="E158" s="480">
        <f>+'[54]Sch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'[54]Sch C'!D156</f>
        <v>0</v>
      </c>
      <c r="D160" s="480">
        <f>'[54]Sch C'!F156</f>
        <v>0</v>
      </c>
      <c r="E160" s="480">
        <f>+'[54]Sch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'[54]Sch C'!D157</f>
        <v>0</v>
      </c>
      <c r="D161" s="480">
        <f>'[54]Sch C'!F157</f>
        <v>0</v>
      </c>
      <c r="E161" s="480">
        <f>+'[54]Sch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'[54]Sch C'!D158</f>
        <v>0</v>
      </c>
      <c r="D162" s="480">
        <f>'[54]Sch C'!F158</f>
        <v>0</v>
      </c>
      <c r="E162" s="480">
        <f>+'[54]Sch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'[54]Sch C'!D159</f>
        <v>0</v>
      </c>
      <c r="D163" s="480">
        <f>'[54]Sch C'!F159</f>
        <v>0</v>
      </c>
      <c r="E163" s="480">
        <f>+'[54]Sch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'[54]Sch C'!D160</f>
        <v>0</v>
      </c>
      <c r="D164" s="480">
        <f>'[54]Sch C'!F160</f>
        <v>0</v>
      </c>
      <c r="E164" s="480">
        <f>+'[54]Sch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'[54]Sch C'!D161</f>
        <v>20570</v>
      </c>
      <c r="D165" s="480">
        <f>'[54]Sch C'!F161</f>
        <v>0</v>
      </c>
      <c r="E165" s="480">
        <f>+'[54]Sch C'!H161</f>
        <v>0</v>
      </c>
      <c r="F165" s="166">
        <f t="shared" si="53"/>
        <v>20570</v>
      </c>
      <c r="G165" s="626">
        <v>-8061</v>
      </c>
      <c r="H165" s="166"/>
      <c r="I165" s="166">
        <f t="shared" si="54"/>
        <v>12509</v>
      </c>
      <c r="J165" s="167">
        <f t="shared" si="55"/>
        <v>5.9714958814389065E-3</v>
      </c>
      <c r="K165" s="458"/>
      <c r="L165" s="163"/>
      <c r="M165" s="163"/>
      <c r="O165" s="329">
        <f t="shared" si="43"/>
        <v>1.1631950901989958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839637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839637</v>
      </c>
      <c r="G166" s="166">
        <f t="shared" si="57"/>
        <v>-10119</v>
      </c>
      <c r="H166" s="166">
        <f t="shared" si="57"/>
        <v>0</v>
      </c>
      <c r="I166" s="166">
        <f t="shared" si="57"/>
        <v>829518</v>
      </c>
      <c r="J166" s="167">
        <f t="shared" si="55"/>
        <v>0.39599195144131738</v>
      </c>
      <c r="K166" s="458"/>
      <c r="L166" s="163"/>
      <c r="M166" s="163"/>
      <c r="O166" s="329">
        <f>I166/I$233</f>
        <v>77.135763436860699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'[54]Sch C'!D175</f>
        <v>0</v>
      </c>
      <c r="D169" s="480">
        <f>'[54]Sch C'!F175</f>
        <v>0</v>
      </c>
      <c r="E169" s="480">
        <f>+'[54]Sch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'[54]Sch C'!D176</f>
        <v>0</v>
      </c>
      <c r="D170" s="480">
        <f>'[54]Sch C'!F176</f>
        <v>0</v>
      </c>
      <c r="E170" s="480">
        <f>+'[54]Sch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'[54]Sch C'!D177</f>
        <v>0</v>
      </c>
      <c r="D171" s="480">
        <f>'[54]Sch C'!F177</f>
        <v>0</v>
      </c>
      <c r="E171" s="480">
        <f>+'[54]Sch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'[54]Sch C'!D178</f>
        <v>0</v>
      </c>
      <c r="D172" s="480">
        <f>'[54]Sch C'!F178</f>
        <v>0</v>
      </c>
      <c r="E172" s="480">
        <f>+'[54]Sch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'[54]Sch C'!D179</f>
        <v>0</v>
      </c>
      <c r="D173" s="480">
        <f>'[54]Sch C'!F179</f>
        <v>0</v>
      </c>
      <c r="E173" s="480">
        <f>+'[54]Sch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'[54]Sch C'!D180</f>
        <v>0</v>
      </c>
      <c r="D174" s="480">
        <f>'[54]Sch C'!F180</f>
        <v>0</v>
      </c>
      <c r="E174" s="480">
        <f>+'[54]Sch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'[54]Sch C'!D181</f>
        <v>0</v>
      </c>
      <c r="D175" s="480">
        <f>'[54]Sch C'!F181</f>
        <v>0</v>
      </c>
      <c r="E175" s="480">
        <f>+'[54]Sch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'[54]Sch C'!D182</f>
        <v>0</v>
      </c>
      <c r="D176" s="480">
        <f>'[54]Sch C'!F182</f>
        <v>0</v>
      </c>
      <c r="E176" s="480">
        <f>+'[54]Sch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'[54]Sch C'!D183</f>
        <v>0</v>
      </c>
      <c r="D177" s="480">
        <f>'[54]Sch C'!F183</f>
        <v>0</v>
      </c>
      <c r="E177" s="480">
        <f>+'[54]Sch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'[54]Sch C'!D184</f>
        <v>0</v>
      </c>
      <c r="D178" s="480">
        <f>'[54]Sch C'!F184</f>
        <v>0</v>
      </c>
      <c r="E178" s="480">
        <f>+'[54]Sch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'[54]Sch C'!D185</f>
        <v>0</v>
      </c>
      <c r="D179" s="480">
        <f>'[54]Sch C'!F185</f>
        <v>0</v>
      </c>
      <c r="E179" s="480">
        <f>+'[54]Sch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'[54]Sch C'!D186</f>
        <v>0</v>
      </c>
      <c r="D180" s="480">
        <f>'[54]Sch C'!F186</f>
        <v>0</v>
      </c>
      <c r="E180" s="480">
        <f>+'[54]Sch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'[54]Sch C'!D187</f>
        <v>0</v>
      </c>
      <c r="D181" s="480">
        <f>'[54]Sch C'!F187</f>
        <v>0</v>
      </c>
      <c r="E181" s="480">
        <f>+'[54]Sch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'[54]Sch C'!D188</f>
        <v>0</v>
      </c>
      <c r="D182" s="480">
        <f>'[54]Sch C'!F188</f>
        <v>0</v>
      </c>
      <c r="E182" s="480">
        <f>+'[54]Sch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'[54]Sch C'!D189</f>
        <v>0</v>
      </c>
      <c r="D183" s="480">
        <f>'[54]Sch C'!F189</f>
        <v>0</v>
      </c>
      <c r="E183" s="480">
        <f>+'[54]Sch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'[54]Sch C'!D190</f>
        <v>0</v>
      </c>
      <c r="D184" s="480">
        <f>'[54]Sch C'!F190</f>
        <v>0</v>
      </c>
      <c r="E184" s="480">
        <f>+'[54]Sch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'[54]Sch C'!D191</f>
        <v>0</v>
      </c>
      <c r="D185" s="480">
        <f>'[54]Sch C'!F191</f>
        <v>0</v>
      </c>
      <c r="E185" s="480">
        <f>+'[54]Sch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'[54]Sch C'!D192</f>
        <v>0</v>
      </c>
      <c r="D186" s="480">
        <f>'[54]Sch C'!F192</f>
        <v>0</v>
      </c>
      <c r="E186" s="480">
        <f>+'[54]Sch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'[54]Sch C'!D193</f>
        <v>0</v>
      </c>
      <c r="D187" s="480">
        <f>'[54]Sch C'!F193</f>
        <v>0</v>
      </c>
      <c r="E187" s="480">
        <f>+'[54]Sch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'[54]Sch C'!D194</f>
        <v>3460</v>
      </c>
      <c r="D188" s="480">
        <f>'[54]Sch C'!F194</f>
        <v>0</v>
      </c>
      <c r="E188" s="480">
        <f>+'[54]Sch C'!H194</f>
        <v>0</v>
      </c>
      <c r="F188" s="166">
        <f t="shared" si="58"/>
        <v>3460</v>
      </c>
      <c r="G188" s="626"/>
      <c r="H188" s="166"/>
      <c r="I188" s="166">
        <f t="shared" si="59"/>
        <v>3460</v>
      </c>
      <c r="J188" s="167">
        <f t="shared" si="60"/>
        <v>1.6517208209911756E-3</v>
      </c>
      <c r="K188" s="458"/>
      <c r="L188" s="213"/>
      <c r="M188" s="208"/>
      <c r="O188" s="329">
        <f t="shared" si="61"/>
        <v>0.32174074762878929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'[54]Sch C'!D195</f>
        <v>1719</v>
      </c>
      <c r="D189" s="480">
        <f>'[54]Sch C'!F195</f>
        <v>0</v>
      </c>
      <c r="E189" s="480">
        <f>+'[54]Sch C'!H195</f>
        <v>0</v>
      </c>
      <c r="F189" s="166">
        <f t="shared" si="58"/>
        <v>1719</v>
      </c>
      <c r="G189" s="626"/>
      <c r="H189" s="166"/>
      <c r="I189" s="166">
        <f t="shared" si="59"/>
        <v>1719</v>
      </c>
      <c r="J189" s="167">
        <f t="shared" si="60"/>
        <v>8.2060927493752341E-4</v>
      </c>
      <c r="K189" s="458"/>
      <c r="L189" s="213"/>
      <c r="M189" s="208"/>
      <c r="O189" s="329">
        <f t="shared" si="61"/>
        <v>0.15984749860517017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'[54]Sch C'!D196</f>
        <v>0</v>
      </c>
      <c r="D190" s="480">
        <f>'[54]Sch C'!F196</f>
        <v>0</v>
      </c>
      <c r="E190" s="480">
        <f>+'[54]Sch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'[54]Sch C'!D197</f>
        <v>2286</v>
      </c>
      <c r="D191" s="480">
        <f>'[54]Sch C'!F197</f>
        <v>0</v>
      </c>
      <c r="E191" s="480">
        <f>+'[54]Sch C'!H197</f>
        <v>0</v>
      </c>
      <c r="F191" s="166">
        <f t="shared" si="58"/>
        <v>2286</v>
      </c>
      <c r="G191" s="626"/>
      <c r="H191" s="166"/>
      <c r="I191" s="166">
        <f t="shared" si="59"/>
        <v>2286</v>
      </c>
      <c r="J191" s="167">
        <f t="shared" si="60"/>
        <v>1.0912814441577537E-3</v>
      </c>
      <c r="K191" s="458"/>
      <c r="L191" s="213"/>
      <c r="M191" s="208"/>
      <c r="O191" s="329">
        <f t="shared" si="61"/>
        <v>0.21257206620792263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'[54]Sch C'!D198</f>
        <v>258</v>
      </c>
      <c r="D192" s="480">
        <f>'[54]Sch C'!F198</f>
        <v>0</v>
      </c>
      <c r="E192" s="480">
        <f>+'[54]Sch C'!H198</f>
        <v>0</v>
      </c>
      <c r="F192" s="166">
        <f t="shared" si="58"/>
        <v>258</v>
      </c>
      <c r="G192" s="626"/>
      <c r="H192" s="166"/>
      <c r="I192" s="166">
        <f t="shared" si="59"/>
        <v>258</v>
      </c>
      <c r="J192" s="167">
        <f t="shared" si="60"/>
        <v>1.2316299763460211E-4</v>
      </c>
      <c r="K192" s="458"/>
      <c r="L192" s="213"/>
      <c r="M192" s="208"/>
      <c r="O192" s="329">
        <f t="shared" si="61"/>
        <v>2.3991073089083131E-2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'[54]Sch C'!D199</f>
        <v>0</v>
      </c>
      <c r="D193" s="480">
        <f>'[54]Sch C'!F199</f>
        <v>0</v>
      </c>
      <c r="E193" s="480">
        <f>+'[54]Sch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'[54]Sch C'!D200</f>
        <v>0</v>
      </c>
      <c r="D194" s="480">
        <f>'[54]Sch C'!F200</f>
        <v>0</v>
      </c>
      <c r="E194" s="480">
        <f>+'[54]Sch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'[54]Sch C'!D201</f>
        <v>0</v>
      </c>
      <c r="D195" s="480">
        <f>'[54]Sch C'!F201</f>
        <v>0</v>
      </c>
      <c r="E195" s="480">
        <f>+'[54]Sch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'[54]Sch C'!D202</f>
        <v>0</v>
      </c>
      <c r="D196" s="480">
        <f>'[54]Sch C'!F202</f>
        <v>0</v>
      </c>
      <c r="E196" s="480">
        <f>+'[54]Sch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'[54]Sch C'!D203</f>
        <v>0</v>
      </c>
      <c r="D197" s="480">
        <f>'[54]Sch C'!F203</f>
        <v>0</v>
      </c>
      <c r="E197" s="480">
        <f>+'[54]Sch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'[54]Sch C'!D204</f>
        <v>0</v>
      </c>
      <c r="D198" s="480">
        <f>'[54]Sch C'!F204</f>
        <v>0</v>
      </c>
      <c r="E198" s="480">
        <f>+'[54]Sch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'[54]Sch C'!D205</f>
        <v>5550</v>
      </c>
      <c r="D199" s="480">
        <f>'[54]Sch C'!F205</f>
        <v>0</v>
      </c>
      <c r="E199" s="480">
        <f>+'[54]Sch C'!H205</f>
        <v>0</v>
      </c>
      <c r="F199" s="166">
        <f t="shared" si="58"/>
        <v>5550</v>
      </c>
      <c r="G199" s="626">
        <v>2058</v>
      </c>
      <c r="H199" s="166"/>
      <c r="I199" s="166">
        <f t="shared" si="59"/>
        <v>7608</v>
      </c>
      <c r="J199" s="167">
        <f t="shared" si="60"/>
        <v>3.6318763023412905E-3</v>
      </c>
      <c r="K199" s="458"/>
      <c r="L199" s="213"/>
      <c r="M199" s="208"/>
      <c r="O199" s="329">
        <f t="shared" si="61"/>
        <v>0.70745769016180027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'[54]Sch C'!D206</f>
        <v>0</v>
      </c>
      <c r="D200" s="480">
        <f>'[54]Sch C'!F206</f>
        <v>0</v>
      </c>
      <c r="E200" s="480">
        <f>+'[54]Sch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'[54]Sch C'!D207</f>
        <v>0</v>
      </c>
      <c r="D201" s="480">
        <f>'[54]Sch C'!F207</f>
        <v>0</v>
      </c>
      <c r="E201" s="480">
        <f>+'[54]Sch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13273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13273</v>
      </c>
      <c r="G202" s="166">
        <f t="shared" si="63"/>
        <v>2058</v>
      </c>
      <c r="H202" s="166">
        <f t="shared" si="63"/>
        <v>0</v>
      </c>
      <c r="I202" s="166">
        <f t="shared" si="63"/>
        <v>15331</v>
      </c>
      <c r="J202" s="167">
        <f>IF($I$213=0,0,I202/$I$213)</f>
        <v>7.3186508400623455E-3</v>
      </c>
      <c r="K202" s="458"/>
      <c r="L202" s="163"/>
      <c r="M202" s="163"/>
      <c r="O202" s="329">
        <f>I202/I$233</f>
        <v>1.4256090756927655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'[54]Sch C'!D211</f>
        <v>80159</v>
      </c>
      <c r="D205" s="480">
        <f>'[54]Sch C'!F211</f>
        <v>0</v>
      </c>
      <c r="E205" s="480">
        <f>+'[54]Sch C'!H211</f>
        <v>0</v>
      </c>
      <c r="F205" s="166">
        <f t="shared" ref="F205:F210" si="64">C205+D205+E205</f>
        <v>80159</v>
      </c>
      <c r="G205" s="626"/>
      <c r="H205" s="166"/>
      <c r="I205" s="166">
        <f t="shared" ref="I205:I210" si="65">F205+G205+H205</f>
        <v>80159</v>
      </c>
      <c r="J205" s="167">
        <f t="shared" ref="J205:J211" si="66">IF($I$213=0,0,I205/$I$213)</f>
        <v>3.8265979563535162E-2</v>
      </c>
      <c r="K205" s="458"/>
      <c r="L205" s="176">
        <v>3845</v>
      </c>
      <c r="M205" s="176">
        <v>4131</v>
      </c>
      <c r="O205" s="329">
        <f t="shared" ref="O205:O210" si="67">I205/I$233</f>
        <v>7.4538776269295148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'[54]Sch C'!D212</f>
        <v>15417</v>
      </c>
      <c r="D206" s="480">
        <f>'[54]Sch C'!F212</f>
        <v>0</v>
      </c>
      <c r="E206" s="480">
        <f>+'[54]Sch C'!H212</f>
        <v>0</v>
      </c>
      <c r="F206" s="166">
        <f t="shared" si="64"/>
        <v>15417</v>
      </c>
      <c r="G206" s="626"/>
      <c r="H206" s="166"/>
      <c r="I206" s="166">
        <f t="shared" si="65"/>
        <v>15417</v>
      </c>
      <c r="J206" s="167">
        <f t="shared" si="66"/>
        <v>7.3597051726072126E-3</v>
      </c>
      <c r="K206" s="458"/>
      <c r="L206" s="163"/>
      <c r="M206" s="163"/>
      <c r="O206" s="329">
        <f t="shared" si="67"/>
        <v>1.4336061000557931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'[54]Sch C'!D213</f>
        <v>13768</v>
      </c>
      <c r="D207" s="480">
        <f>'[54]Sch C'!F213</f>
        <v>0</v>
      </c>
      <c r="E207" s="480">
        <f>+'[54]Sch C'!H213</f>
        <v>0</v>
      </c>
      <c r="F207" s="166">
        <f t="shared" si="64"/>
        <v>13768</v>
      </c>
      <c r="G207" s="626"/>
      <c r="H207" s="166"/>
      <c r="I207" s="166">
        <f t="shared" si="65"/>
        <v>13768</v>
      </c>
      <c r="J207" s="167">
        <f t="shared" si="66"/>
        <v>6.5725122148573723E-3</v>
      </c>
      <c r="K207" s="458"/>
      <c r="L207" s="163"/>
      <c r="M207" s="163"/>
      <c r="O207" s="329">
        <f t="shared" si="67"/>
        <v>1.280267807327506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'[54]Sch C'!D214</f>
        <v>0</v>
      </c>
      <c r="D208" s="480">
        <f>'[54]Sch C'!F214</f>
        <v>0</v>
      </c>
      <c r="E208" s="480">
        <f>+'[54]Sch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'[54]Sch C'!D215</f>
        <v>0</v>
      </c>
      <c r="D209" s="480">
        <f>'[54]Sch C'!F215</f>
        <v>0</v>
      </c>
      <c r="E209" s="480">
        <f>+'[54]Sch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'[54]Sch C'!D216</f>
        <v>4801</v>
      </c>
      <c r="D210" s="480">
        <f>'[54]Sch C'!F216</f>
        <v>0</v>
      </c>
      <c r="E210" s="480">
        <f>+'[54]Sch C'!H216</f>
        <v>0</v>
      </c>
      <c r="F210" s="166">
        <f t="shared" si="64"/>
        <v>4801</v>
      </c>
      <c r="G210" s="626"/>
      <c r="H210" s="166"/>
      <c r="I210" s="166">
        <f t="shared" si="65"/>
        <v>4801</v>
      </c>
      <c r="J210" s="167">
        <f t="shared" si="66"/>
        <v>2.2918819831152125E-3</v>
      </c>
      <c r="K210" s="458"/>
      <c r="L210" s="163"/>
      <c r="M210" s="163"/>
      <c r="O210" s="329">
        <f t="shared" si="67"/>
        <v>0.44643853449879117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114145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114145</v>
      </c>
      <c r="G211" s="166">
        <f t="shared" si="69"/>
        <v>0</v>
      </c>
      <c r="H211" s="166">
        <f t="shared" si="69"/>
        <v>0</v>
      </c>
      <c r="I211" s="166">
        <f t="shared" si="69"/>
        <v>114145</v>
      </c>
      <c r="J211" s="167">
        <f t="shared" si="66"/>
        <v>5.4490078934114956E-2</v>
      </c>
      <c r="K211" s="458"/>
      <c r="L211" s="163"/>
      <c r="M211" s="163"/>
      <c r="O211" s="329">
        <f>I211/I$233</f>
        <v>10.614190068811604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3131030</v>
      </c>
      <c r="D213" s="480">
        <f t="shared" si="70"/>
        <v>-119854</v>
      </c>
      <c r="E213" s="480">
        <f t="shared" si="70"/>
        <v>-827000</v>
      </c>
      <c r="F213" s="166">
        <f t="shared" ref="F213:I213" si="71">SUM(F30:F211)/2</f>
        <v>2184176</v>
      </c>
      <c r="G213" s="166">
        <f t="shared" si="71"/>
        <v>-67865</v>
      </c>
      <c r="H213" s="166">
        <f t="shared" si="71"/>
        <v>-21526</v>
      </c>
      <c r="I213" s="166">
        <f t="shared" si="71"/>
        <v>2094785</v>
      </c>
      <c r="J213" s="167">
        <f>IF($I$213=0,0,I213/$I$213)</f>
        <v>1</v>
      </c>
      <c r="K213" s="458"/>
      <c r="L213" s="176">
        <f>SUM(L30:L205)</f>
        <v>65810</v>
      </c>
      <c r="M213" s="176">
        <f>SUM(M30:M205)</f>
        <v>70434</v>
      </c>
      <c r="O213" s="329">
        <f>I213/I$233</f>
        <v>194.79124046866283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'[54]Sch C'!D221</f>
        <v>3131030</v>
      </c>
      <c r="D216" s="188"/>
      <c r="E216" s="188"/>
      <c r="F216" s="160"/>
      <c r="G216" s="160"/>
      <c r="H216" s="411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11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238008</v>
      </c>
      <c r="D220" s="480">
        <f t="shared" si="72"/>
        <v>119854</v>
      </c>
      <c r="E220" s="480">
        <f t="shared" si="72"/>
        <v>827000</v>
      </c>
      <c r="F220" s="166">
        <f t="shared" ref="F220:I220" si="73">F26-F213</f>
        <v>1184862</v>
      </c>
      <c r="G220" s="166">
        <f t="shared" si="73"/>
        <v>6173</v>
      </c>
      <c r="H220" s="166">
        <f t="shared" si="73"/>
        <v>21526</v>
      </c>
      <c r="I220" s="166">
        <f t="shared" si="73"/>
        <v>1212561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'[54]Sch D'!C9</f>
        <v>10416</v>
      </c>
      <c r="D224" s="480"/>
      <c r="E224" s="480"/>
      <c r="F224" s="224">
        <f>C224+D224+E224</f>
        <v>10416</v>
      </c>
      <c r="G224" s="627"/>
      <c r="H224" s="223"/>
      <c r="I224" s="224">
        <f>F224+G224+H224</f>
        <v>10416</v>
      </c>
      <c r="J224" s="167">
        <f t="shared" ref="J224:J233" si="74">IF($I$233=0,0,I224/$I$233)</f>
        <v>0.9685698344801934</v>
      </c>
      <c r="K224" s="458"/>
      <c r="L224" s="163"/>
      <c r="M224" s="163"/>
    </row>
    <row r="225" spans="1:13">
      <c r="A225" s="158"/>
      <c r="B225" s="165" t="s">
        <v>201</v>
      </c>
      <c r="C225" s="504">
        <f>'[54]Sch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'[54]Sch D'!E9</f>
        <v>0</v>
      </c>
      <c r="D226" s="480"/>
      <c r="E226" s="480"/>
      <c r="F226" s="224">
        <f t="shared" si="75"/>
        <v>0</v>
      </c>
      <c r="G226" s="627"/>
      <c r="H226" s="223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'[54]Sch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'[54]Sch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'[54]Sch D'!H9</f>
        <v>22</v>
      </c>
      <c r="D229" s="480"/>
      <c r="E229" s="480"/>
      <c r="F229" s="224">
        <f t="shared" si="75"/>
        <v>22</v>
      </c>
      <c r="G229" s="627"/>
      <c r="H229" s="223"/>
      <c r="I229" s="224">
        <f t="shared" si="76"/>
        <v>22</v>
      </c>
      <c r="J229" s="167">
        <f t="shared" si="74"/>
        <v>2.0457504184489494E-3</v>
      </c>
      <c r="K229" s="458"/>
      <c r="L229" s="163"/>
      <c r="M229" s="163"/>
    </row>
    <row r="230" spans="1:13">
      <c r="A230" s="158"/>
      <c r="B230" s="165" t="s">
        <v>219</v>
      </c>
      <c r="C230" s="504">
        <f>'[54]Sch D'!I9</f>
        <v>316</v>
      </c>
      <c r="D230" s="480"/>
      <c r="E230" s="480"/>
      <c r="F230" s="224">
        <f t="shared" si="75"/>
        <v>316</v>
      </c>
      <c r="G230" s="627"/>
      <c r="H230" s="223"/>
      <c r="I230" s="224">
        <f t="shared" si="76"/>
        <v>316</v>
      </c>
      <c r="J230" s="167">
        <f t="shared" si="74"/>
        <v>2.9384415101357635E-2</v>
      </c>
      <c r="K230" s="458"/>
      <c r="L230" s="163"/>
      <c r="M230" s="163"/>
    </row>
    <row r="231" spans="1:13">
      <c r="A231" s="158"/>
      <c r="B231" s="165" t="s">
        <v>218</v>
      </c>
      <c r="C231" s="504">
        <f>'[54]Sch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'[54]Sch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10754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10754</v>
      </c>
      <c r="G233" s="226">
        <f t="shared" si="78"/>
        <v>0</v>
      </c>
      <c r="H233" s="226">
        <f t="shared" si="78"/>
        <v>0</v>
      </c>
      <c r="I233" s="226">
        <f t="shared" si="78"/>
        <v>10754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'[54]Sch D'!N22</f>
        <v>34</v>
      </c>
      <c r="D236" s="480"/>
      <c r="E236" s="480"/>
      <c r="F236" s="224">
        <f>C236+E236</f>
        <v>34</v>
      </c>
      <c r="G236" s="627"/>
      <c r="H236" s="224"/>
      <c r="I236" s="224">
        <f>F236+G236+H236</f>
        <v>34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'[54]Sch D'!N24</f>
        <v>34</v>
      </c>
      <c r="D237" s="480"/>
      <c r="E237" s="480"/>
      <c r="F237" s="224">
        <f>C237+E237</f>
        <v>34</v>
      </c>
      <c r="G237" s="627"/>
      <c r="H237" s="224"/>
      <c r="I237" s="224">
        <f>F237+G237+H237</f>
        <v>34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'[54]Sch D'!N28</f>
        <v>12410</v>
      </c>
      <c r="D240" s="427"/>
      <c r="E240" s="427"/>
      <c r="F240" s="223">
        <f>F236*F238</f>
        <v>12410</v>
      </c>
      <c r="G240"/>
      <c r="H240" s="228"/>
      <c r="I240" s="223">
        <f>I236*I238</f>
        <v>12410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'[54]Sch D'!N30</f>
        <v>0.86655922643029815</v>
      </c>
      <c r="D241" s="228"/>
      <c r="E241" s="228"/>
      <c r="F241" s="232">
        <f>F233/F240</f>
        <v>0.86655922643029815</v>
      </c>
      <c r="G241"/>
      <c r="H241" s="233"/>
      <c r="I241" s="232">
        <f>I233/I240</f>
        <v>0.86655922643029815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'[54]Sch D'!N32</f>
        <v>0.83932312651087837</v>
      </c>
      <c r="D242" s="228"/>
      <c r="E242" s="228"/>
      <c r="F242" s="232">
        <f>(F224+F225)/F240</f>
        <v>0.83932312651087837</v>
      </c>
      <c r="G242"/>
      <c r="H242" s="233"/>
      <c r="I242" s="232">
        <f>(I224+I225)/I240</f>
        <v>0.83932312651087837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'[54]Sch D'!N34</f>
        <v>0.96856983448019351</v>
      </c>
      <c r="D243" s="228"/>
      <c r="E243" s="228"/>
      <c r="F243" s="232">
        <f>(F242/F241)</f>
        <v>0.96856983448019351</v>
      </c>
      <c r="G243"/>
      <c r="H243" s="233"/>
      <c r="I243" s="232">
        <f>(I242/I241)</f>
        <v>0.96856983448019351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 t="str">
        <f>'[54]Sch B'!C90</f>
        <v/>
      </c>
      <c r="K246" s="460"/>
    </row>
    <row r="247" spans="1:13">
      <c r="H247" s="140" t="s">
        <v>322</v>
      </c>
      <c r="I247" s="480">
        <f>'[54]Sch B'!E90</f>
        <v>230</v>
      </c>
      <c r="K247" s="460"/>
    </row>
    <row r="248" spans="1:13">
      <c r="H248" s="140" t="s">
        <v>323</v>
      </c>
      <c r="I248" s="480" t="str">
        <f>'[54]Sch B'!G90</f>
        <v/>
      </c>
      <c r="K248" s="460"/>
    </row>
    <row r="249" spans="1:13">
      <c r="H249" s="140" t="s">
        <v>324</v>
      </c>
      <c r="I249" s="480">
        <f>'[54]Sch B'!I90</f>
        <v>192.6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honeticPr fontId="0" type="noConversion"/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3">
    <tabColor rgb="FFE28CAB"/>
  </sheetPr>
  <dimension ref="A1:P277"/>
  <sheetViews>
    <sheetView showGridLines="0" topLeftCell="A6" zoomScaleNormal="100" workbookViewId="0">
      <selection activeCell="R1" sqref="R1:AF1048576"/>
    </sheetView>
  </sheetViews>
  <sheetFormatPr defaultColWidth="8.75" defaultRowHeight="13"/>
  <cols>
    <col min="1" max="1" width="8.58203125" style="239" customWidth="1"/>
    <col min="2" max="2" width="33.58203125" style="237" customWidth="1"/>
    <col min="3" max="4" width="24.25" style="237" customWidth="1"/>
    <col min="5" max="5" width="13.08203125" style="237" customWidth="1"/>
    <col min="6" max="6" width="12.83203125" style="237" customWidth="1"/>
    <col min="7" max="7" width="20.58203125" style="237" customWidth="1"/>
    <col min="8" max="8" width="13.75" style="237" customWidth="1"/>
    <col min="9" max="9" width="13.5" style="237" bestFit="1" customWidth="1"/>
    <col min="10" max="10" width="12.58203125" style="237" customWidth="1"/>
    <col min="11" max="11" width="2.5" style="319" customWidth="1"/>
    <col min="12" max="12" width="14.75" style="238" customWidth="1"/>
    <col min="13" max="13" width="13" style="238" customWidth="1"/>
    <col min="14" max="14" width="2.75" style="237" customWidth="1"/>
    <col min="15" max="15" width="8.75" style="237"/>
    <col min="16" max="16" width="10.25" style="237" customWidth="1"/>
    <col min="17" max="16384" width="8.75" style="237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24"/>
      <c r="D1" s="424"/>
      <c r="E1" s="424"/>
      <c r="F1" s="424"/>
      <c r="G1" s="424"/>
      <c r="H1" s="424"/>
      <c r="I1" s="424"/>
      <c r="J1" s="424"/>
      <c r="K1" s="425"/>
    </row>
    <row r="2" spans="1:16" ht="23">
      <c r="B2" s="240" t="s">
        <v>178</v>
      </c>
      <c r="C2" s="234" t="s">
        <v>444</v>
      </c>
      <c r="D2" s="234"/>
      <c r="E2" s="234" t="s">
        <v>443</v>
      </c>
      <c r="F2" s="241"/>
      <c r="G2" s="241"/>
    </row>
    <row r="3" spans="1:16" ht="15.5">
      <c r="A3" s="242"/>
      <c r="B3" s="237" t="s">
        <v>71</v>
      </c>
      <c r="C3" s="557">
        <f>'[55]Sch A Pg 1'!B39</f>
        <v>42917</v>
      </c>
      <c r="D3" s="620"/>
      <c r="E3" s="241"/>
      <c r="F3" s="361"/>
      <c r="G3" s="361"/>
      <c r="H3" s="524"/>
    </row>
    <row r="4" spans="1:16" ht="15.5">
      <c r="A4" s="242"/>
      <c r="B4" s="244" t="s">
        <v>72</v>
      </c>
      <c r="C4" s="557">
        <f>'[55]Sch A Pg 1'!G39</f>
        <v>43281</v>
      </c>
      <c r="D4" s="624"/>
      <c r="E4" s="552"/>
      <c r="F4" s="553"/>
      <c r="G4" s="553"/>
      <c r="H4" s="554"/>
      <c r="I4" s="246"/>
    </row>
    <row r="5" spans="1:16">
      <c r="A5" s="242"/>
      <c r="B5" s="244"/>
      <c r="C5" s="555"/>
      <c r="D5" s="555"/>
      <c r="E5" s="552"/>
      <c r="F5" s="319"/>
      <c r="G5" s="319"/>
      <c r="H5" s="536"/>
    </row>
    <row r="6" spans="1:16">
      <c r="A6" s="242"/>
      <c r="B6" s="244"/>
      <c r="C6" s="556" t="s">
        <v>33</v>
      </c>
      <c r="D6" s="633">
        <v>2</v>
      </c>
      <c r="E6" s="636">
        <v>3</v>
      </c>
      <c r="F6" s="320">
        <v>4</v>
      </c>
      <c r="G6" s="320">
        <v>5</v>
      </c>
      <c r="H6" s="633">
        <v>6</v>
      </c>
      <c r="I6" s="637">
        <v>7</v>
      </c>
      <c r="J6" s="245">
        <v>8</v>
      </c>
      <c r="K6" s="320"/>
      <c r="L6" s="249">
        <v>9</v>
      </c>
      <c r="M6" s="249">
        <v>10</v>
      </c>
      <c r="O6" s="243">
        <v>11</v>
      </c>
      <c r="P6" s="243">
        <v>12</v>
      </c>
    </row>
    <row r="7" spans="1:16">
      <c r="B7" s="244"/>
      <c r="C7" s="250" t="s">
        <v>1</v>
      </c>
      <c r="D7" s="625" t="s">
        <v>517</v>
      </c>
      <c r="E7" s="625" t="s">
        <v>518</v>
      </c>
      <c r="F7" s="250" t="s">
        <v>3</v>
      </c>
      <c r="G7" s="625" t="s">
        <v>519</v>
      </c>
      <c r="H7" s="250" t="s">
        <v>518</v>
      </c>
      <c r="I7" s="250" t="s">
        <v>4</v>
      </c>
      <c r="J7" s="251" t="s">
        <v>5</v>
      </c>
      <c r="K7" s="580"/>
      <c r="L7" s="252" t="s">
        <v>272</v>
      </c>
      <c r="M7" s="253" t="s">
        <v>273</v>
      </c>
      <c r="O7" s="253" t="s">
        <v>332</v>
      </c>
      <c r="P7" s="253" t="s">
        <v>334</v>
      </c>
    </row>
    <row r="8" spans="1:16">
      <c r="B8" s="244"/>
      <c r="C8" s="254"/>
      <c r="D8" s="254" t="s">
        <v>518</v>
      </c>
      <c r="E8" s="254" t="s">
        <v>2</v>
      </c>
      <c r="F8" s="254" t="s">
        <v>707</v>
      </c>
      <c r="G8" s="254" t="s">
        <v>518</v>
      </c>
      <c r="H8" s="254" t="s">
        <v>520</v>
      </c>
      <c r="I8" s="254" t="s">
        <v>706</v>
      </c>
      <c r="J8" s="255" t="s">
        <v>7</v>
      </c>
      <c r="K8" s="580"/>
      <c r="L8" s="256"/>
      <c r="M8" s="256"/>
      <c r="O8" s="256" t="s">
        <v>333</v>
      </c>
      <c r="P8" s="256" t="s">
        <v>332</v>
      </c>
    </row>
    <row r="9" spans="1:16" ht="15.5">
      <c r="A9" s="242"/>
      <c r="C9" s="247"/>
      <c r="D9" s="247"/>
      <c r="E9" s="241"/>
      <c r="H9"/>
      <c r="I9" s="241"/>
      <c r="K9" s="581"/>
    </row>
    <row r="10" spans="1:16" s="261" customFormat="1" ht="15.5">
      <c r="A10" s="257" t="s">
        <v>228</v>
      </c>
      <c r="B10" s="258" t="s">
        <v>229</v>
      </c>
      <c r="C10" s="259"/>
      <c r="D10" s="259"/>
      <c r="E10" s="259"/>
      <c r="F10" s="259"/>
      <c r="G10" s="259"/>
      <c r="H10"/>
      <c r="I10" s="259"/>
      <c r="J10" s="260"/>
      <c r="K10" s="582"/>
      <c r="L10" s="262"/>
      <c r="M10" s="262"/>
    </row>
    <row r="11" spans="1:16" s="261" customFormat="1" ht="15.5">
      <c r="A11" s="257"/>
      <c r="B11" s="615" t="s">
        <v>511</v>
      </c>
      <c r="C11" s="259"/>
      <c r="D11" s="259"/>
      <c r="E11" s="259"/>
      <c r="F11" s="259"/>
      <c r="G11" s="259"/>
      <c r="H11"/>
      <c r="I11" s="259"/>
      <c r="J11" s="260"/>
      <c r="K11" s="582"/>
      <c r="L11" s="262"/>
      <c r="M11" s="262"/>
    </row>
    <row r="12" spans="1:16" s="261" customFormat="1">
      <c r="A12" s="257"/>
      <c r="B12" s="160" t="s">
        <v>512</v>
      </c>
      <c r="C12" s="480">
        <f>'[55]Sch B'!E10</f>
        <v>1774738</v>
      </c>
      <c r="D12" s="480">
        <f>'[55]Sch B'!G10</f>
        <v>0</v>
      </c>
      <c r="E12" s="480"/>
      <c r="F12" s="236">
        <f>C12+D12+E12</f>
        <v>1774738</v>
      </c>
      <c r="G12" s="628"/>
      <c r="H12" s="609"/>
      <c r="I12" s="236">
        <f>F12+G12+H12</f>
        <v>1774738</v>
      </c>
      <c r="J12" s="265">
        <f>IF($I$26=0,0,I12/$I$26)</f>
        <v>0.33429203215846021</v>
      </c>
      <c r="K12" s="582"/>
      <c r="L12" s="262"/>
      <c r="M12" s="262"/>
    </row>
    <row r="13" spans="1:16" s="261" customFormat="1">
      <c r="A13" s="257"/>
      <c r="B13" s="160" t="s">
        <v>513</v>
      </c>
      <c r="C13" s="480">
        <f>'[55]Sch B'!E12</f>
        <v>506386</v>
      </c>
      <c r="D13" s="480">
        <f>'[55]Sch B'!G12</f>
        <v>468780.96210649551</v>
      </c>
      <c r="E13" s="480"/>
      <c r="F13" s="236">
        <f t="shared" ref="F13:F25" si="0">C13+D13+E13</f>
        <v>975166.96210649551</v>
      </c>
      <c r="G13" s="628">
        <v>83767</v>
      </c>
      <c r="H13" s="609"/>
      <c r="I13" s="236">
        <f t="shared" ref="I13:I25" si="1">F13+G13+H13</f>
        <v>1058933.9621064956</v>
      </c>
      <c r="J13" s="265">
        <f>IF($I$26=0,0,I13/$I$26)</f>
        <v>0.19946222265719801</v>
      </c>
      <c r="K13" s="582"/>
      <c r="L13" s="262"/>
      <c r="M13" s="262"/>
    </row>
    <row r="14" spans="1:16" s="261" customFormat="1">
      <c r="A14" s="257"/>
      <c r="B14" s="160" t="s">
        <v>514</v>
      </c>
      <c r="C14" s="480">
        <f>'[55]Sch B'!E13</f>
        <v>675</v>
      </c>
      <c r="D14" s="480">
        <f>'[55]Sch B'!G13</f>
        <v>0</v>
      </c>
      <c r="E14" s="480"/>
      <c r="F14" s="236">
        <f t="shared" si="0"/>
        <v>675</v>
      </c>
      <c r="G14" s="628"/>
      <c r="H14" s="609"/>
      <c r="I14" s="236">
        <f t="shared" si="1"/>
        <v>675</v>
      </c>
      <c r="J14" s="265">
        <f>IF($I$26=0,0,I14/$I$26)</f>
        <v>1.2714390614668793E-4</v>
      </c>
      <c r="K14" s="582"/>
      <c r="L14" s="262"/>
      <c r="M14" s="262"/>
    </row>
    <row r="15" spans="1:16" s="261" customFormat="1" ht="13.5" thickBot="1">
      <c r="A15" s="257"/>
      <c r="B15" s="160" t="s">
        <v>515</v>
      </c>
      <c r="C15" s="480">
        <f>'[55]Sch B'!E14</f>
        <v>78824</v>
      </c>
      <c r="D15" s="480">
        <f>'[55]Sch B'!G14</f>
        <v>0</v>
      </c>
      <c r="E15" s="480"/>
      <c r="F15" s="236">
        <f t="shared" si="0"/>
        <v>78824</v>
      </c>
      <c r="G15" s="628"/>
      <c r="H15" s="609"/>
      <c r="I15" s="236">
        <f t="shared" si="1"/>
        <v>78824</v>
      </c>
      <c r="J15" s="265">
        <f>IF($I$26=0,0,I15/$I$26)</f>
        <v>1.4847394456454116E-2</v>
      </c>
      <c r="K15" s="582"/>
      <c r="L15" s="262"/>
      <c r="M15" s="262"/>
    </row>
    <row r="16" spans="1:16" s="261" customFormat="1">
      <c r="A16" s="263" t="s">
        <v>9</v>
      </c>
      <c r="B16" s="264" t="s">
        <v>197</v>
      </c>
      <c r="C16" s="480">
        <f>'[55]Sch B'!E15</f>
        <v>2360623</v>
      </c>
      <c r="D16" s="480">
        <f>'[55]Sch B'!G15</f>
        <v>468780.96210649551</v>
      </c>
      <c r="E16" s="480"/>
      <c r="F16" s="236">
        <f t="shared" si="0"/>
        <v>2829403.9621064956</v>
      </c>
      <c r="G16" s="628"/>
      <c r="H16" s="609"/>
      <c r="I16" s="236">
        <f>SUM(I12:I15)</f>
        <v>2913170.9621064956</v>
      </c>
      <c r="J16" s="265">
        <f t="shared" ref="J16:J26" si="2">IF($I$26=0,0,I16/$I$26)</f>
        <v>0.54872879317825907</v>
      </c>
      <c r="K16" s="579"/>
      <c r="L16" s="333" t="s">
        <v>325</v>
      </c>
      <c r="M16" s="334">
        <f>I26</f>
        <v>5308944.9621064961</v>
      </c>
      <c r="O16" s="325">
        <f>IFERROR(I16/I224,0)</f>
        <v>295.39352688161586</v>
      </c>
      <c r="P16" s="325">
        <f>SUMMARY!L18</f>
        <v>284.96439647002933</v>
      </c>
    </row>
    <row r="17" spans="1:16" s="261" customFormat="1">
      <c r="A17" s="263" t="s">
        <v>11</v>
      </c>
      <c r="B17" s="264" t="s">
        <v>196</v>
      </c>
      <c r="C17" s="480">
        <f>'[55]Sch B'!E20</f>
        <v>0</v>
      </c>
      <c r="D17" s="480">
        <f>'[55]Sch B'!G20</f>
        <v>0</v>
      </c>
      <c r="E17" s="480"/>
      <c r="F17" s="236">
        <f t="shared" si="0"/>
        <v>0</v>
      </c>
      <c r="G17" s="628"/>
      <c r="H17" s="609"/>
      <c r="I17" s="236">
        <f t="shared" si="1"/>
        <v>0</v>
      </c>
      <c r="J17" s="265">
        <f t="shared" si="2"/>
        <v>0</v>
      </c>
      <c r="K17" s="579"/>
      <c r="L17" s="335" t="s">
        <v>326</v>
      </c>
      <c r="M17" s="336">
        <f>I213</f>
        <v>3748733</v>
      </c>
      <c r="O17" s="325">
        <f t="shared" ref="O17:O24" si="3">IFERROR(I17/I225,0)</f>
        <v>0</v>
      </c>
      <c r="P17" s="325">
        <f>SUMMARY!L19</f>
        <v>273.55163068176057</v>
      </c>
    </row>
    <row r="18" spans="1:16" s="261" customFormat="1">
      <c r="A18" s="263" t="s">
        <v>12</v>
      </c>
      <c r="B18" s="264" t="s">
        <v>162</v>
      </c>
      <c r="C18" s="480">
        <f>'[55]Sch B'!E26</f>
        <v>1910783</v>
      </c>
      <c r="D18" s="480">
        <f>'[55]Sch B'!G26</f>
        <v>0</v>
      </c>
      <c r="E18" s="480"/>
      <c r="F18" s="236">
        <f t="shared" si="0"/>
        <v>1910783</v>
      </c>
      <c r="G18" s="628"/>
      <c r="H18" s="609"/>
      <c r="I18" s="236">
        <f t="shared" si="1"/>
        <v>1910783</v>
      </c>
      <c r="J18" s="265">
        <f t="shared" si="2"/>
        <v>0.3599176509906471</v>
      </c>
      <c r="K18" s="579"/>
      <c r="L18" s="335" t="s">
        <v>327</v>
      </c>
      <c r="M18" s="336">
        <f>I233</f>
        <v>16076</v>
      </c>
      <c r="O18" s="325">
        <f t="shared" si="3"/>
        <v>552.08985842242123</v>
      </c>
      <c r="P18" s="325">
        <f>SUMMARY!L20</f>
        <v>561.11364502829144</v>
      </c>
    </row>
    <row r="19" spans="1:16" s="261" customFormat="1">
      <c r="A19" s="266" t="s">
        <v>14</v>
      </c>
      <c r="B19" s="267" t="s">
        <v>287</v>
      </c>
      <c r="C19" s="480">
        <f>'[55]Sch B'!E32</f>
        <v>12897.783251231533</v>
      </c>
      <c r="D19" s="480">
        <f>'[55]Sch B'!G32</f>
        <v>0</v>
      </c>
      <c r="E19" s="480"/>
      <c r="F19" s="236">
        <f t="shared" si="0"/>
        <v>12897.783251231533</v>
      </c>
      <c r="G19" s="628"/>
      <c r="H19" s="609"/>
      <c r="I19" s="236">
        <f t="shared" si="1"/>
        <v>12897.783251231533</v>
      </c>
      <c r="J19" s="268">
        <f t="shared" si="2"/>
        <v>2.4294437676961561E-3</v>
      </c>
      <c r="K19" s="583"/>
      <c r="L19" s="335" t="s">
        <v>328</v>
      </c>
      <c r="M19" s="336">
        <f>I236</f>
        <v>100</v>
      </c>
      <c r="O19" s="325">
        <f t="shared" si="3"/>
        <v>429.9261083743844</v>
      </c>
      <c r="P19" s="325">
        <f>SUMMARY!L21</f>
        <v>411.84844994976652</v>
      </c>
    </row>
    <row r="20" spans="1:16" s="261" customFormat="1">
      <c r="A20" s="263" t="s">
        <v>15</v>
      </c>
      <c r="B20" s="264" t="s">
        <v>163</v>
      </c>
      <c r="C20" s="480">
        <f>'[55]Sch B'!E37</f>
        <v>0</v>
      </c>
      <c r="D20" s="480">
        <f>'[55]Sch B'!G37</f>
        <v>0</v>
      </c>
      <c r="E20" s="480"/>
      <c r="F20" s="236">
        <f t="shared" si="0"/>
        <v>0</v>
      </c>
      <c r="G20" s="628"/>
      <c r="H20" s="609"/>
      <c r="I20" s="236">
        <f t="shared" si="1"/>
        <v>0</v>
      </c>
      <c r="J20" s="265">
        <f t="shared" si="2"/>
        <v>0</v>
      </c>
      <c r="K20" s="579"/>
      <c r="L20" s="335" t="s">
        <v>329</v>
      </c>
      <c r="M20" s="336">
        <f>I240</f>
        <v>36500</v>
      </c>
      <c r="O20" s="325">
        <f t="shared" si="3"/>
        <v>0</v>
      </c>
      <c r="P20" s="325">
        <f>SUMMARY!L22</f>
        <v>340.77076510151483</v>
      </c>
    </row>
    <row r="21" spans="1:16" s="261" customFormat="1">
      <c r="A21" s="263" t="s">
        <v>17</v>
      </c>
      <c r="B21" s="264" t="s">
        <v>164</v>
      </c>
      <c r="C21" s="480">
        <f>'[55]Sch B'!E42</f>
        <v>311718</v>
      </c>
      <c r="D21" s="480">
        <f>'[55]Sch B'!G42</f>
        <v>0</v>
      </c>
      <c r="E21" s="480"/>
      <c r="F21" s="236">
        <f t="shared" si="0"/>
        <v>311718</v>
      </c>
      <c r="G21" s="628"/>
      <c r="H21" s="609"/>
      <c r="I21" s="236">
        <f t="shared" si="1"/>
        <v>311718</v>
      </c>
      <c r="J21" s="265">
        <f t="shared" si="2"/>
        <v>5.8715620942567798E-2</v>
      </c>
      <c r="K21" s="579"/>
      <c r="L21" s="337"/>
      <c r="M21" s="336"/>
      <c r="O21" s="325">
        <f t="shared" si="3"/>
        <v>147.73364928909953</v>
      </c>
      <c r="P21" s="325">
        <f>SUMMARY!L23</f>
        <v>225.41338272883894</v>
      </c>
    </row>
    <row r="22" spans="1:16" s="261" customFormat="1">
      <c r="A22" s="263" t="s">
        <v>199</v>
      </c>
      <c r="B22" s="264" t="s">
        <v>212</v>
      </c>
      <c r="C22" s="480">
        <f>'[55]Sch B'!E47</f>
        <v>71805.600000000006</v>
      </c>
      <c r="D22" s="480">
        <f>'[55]Sch B'!G47</f>
        <v>0</v>
      </c>
      <c r="E22" s="480"/>
      <c r="F22" s="236">
        <f t="shared" si="0"/>
        <v>71805.600000000006</v>
      </c>
      <c r="G22" s="628"/>
      <c r="H22" s="609"/>
      <c r="I22" s="236">
        <f t="shared" si="1"/>
        <v>71805.600000000006</v>
      </c>
      <c r="J22" s="265">
        <f t="shared" si="2"/>
        <v>1.3525399210676466E-2</v>
      </c>
      <c r="K22" s="579"/>
      <c r="L22" s="335" t="s">
        <v>148</v>
      </c>
      <c r="M22" s="336">
        <f>L213</f>
        <v>101666</v>
      </c>
      <c r="O22" s="325">
        <f t="shared" si="3"/>
        <v>181.32727272727274</v>
      </c>
      <c r="P22" s="325">
        <f>SUMMARY!L24</f>
        <v>188.3985734235572</v>
      </c>
    </row>
    <row r="23" spans="1:16" s="261" customFormat="1" ht="13.5" thickBot="1">
      <c r="A23" s="263" t="s">
        <v>200</v>
      </c>
      <c r="B23" s="264" t="s">
        <v>213</v>
      </c>
      <c r="C23" s="480">
        <f>'[55]Sch B'!E52</f>
        <v>7978.4</v>
      </c>
      <c r="D23" s="480">
        <f>'[55]Sch B'!G52</f>
        <v>0</v>
      </c>
      <c r="E23" s="480"/>
      <c r="F23" s="236">
        <f t="shared" si="0"/>
        <v>7978.4</v>
      </c>
      <c r="G23" s="628"/>
      <c r="H23" s="609"/>
      <c r="I23" s="236">
        <f t="shared" si="1"/>
        <v>7978.4</v>
      </c>
      <c r="J23" s="265">
        <f t="shared" si="2"/>
        <v>1.5028221345196073E-3</v>
      </c>
      <c r="K23" s="579"/>
      <c r="L23" s="338" t="s">
        <v>233</v>
      </c>
      <c r="M23" s="339">
        <f>M213</f>
        <v>106894</v>
      </c>
      <c r="O23" s="325">
        <f t="shared" si="3"/>
        <v>181.32727272727271</v>
      </c>
      <c r="P23" s="325">
        <f>SUMMARY!L25</f>
        <v>202.2975348857334</v>
      </c>
    </row>
    <row r="24" spans="1:16" s="261" customFormat="1">
      <c r="A24" s="263" t="s">
        <v>211</v>
      </c>
      <c r="B24" s="171" t="s">
        <v>165</v>
      </c>
      <c r="C24" s="480">
        <f>'[55]Sch B'!E57</f>
        <v>74377.216748768464</v>
      </c>
      <c r="D24" s="480">
        <f>'[55]Sch B'!G57</f>
        <v>0</v>
      </c>
      <c r="E24" s="480"/>
      <c r="F24" s="236">
        <f t="shared" si="0"/>
        <v>74377.216748768464</v>
      </c>
      <c r="G24" s="628"/>
      <c r="H24" s="609"/>
      <c r="I24" s="236">
        <f t="shared" si="1"/>
        <v>74377.216748768464</v>
      </c>
      <c r="J24" s="265">
        <f t="shared" si="2"/>
        <v>1.4009792393714493E-2</v>
      </c>
      <c r="K24" s="579"/>
      <c r="L24" s="262"/>
      <c r="M24" s="262"/>
      <c r="O24" s="325">
        <f t="shared" si="3"/>
        <v>429.92610837438417</v>
      </c>
      <c r="P24" s="325">
        <f>SUMMARY!L26</f>
        <v>387.88037830590139</v>
      </c>
    </row>
    <row r="25" spans="1:16" s="261" customFormat="1">
      <c r="A25" s="263" t="s">
        <v>173</v>
      </c>
      <c r="B25" s="23" t="s">
        <v>171</v>
      </c>
      <c r="C25" s="480">
        <f>'[55]Sch B'!E72</f>
        <v>6214</v>
      </c>
      <c r="D25" s="480">
        <f>'[55]Sch B'!G72</f>
        <v>0</v>
      </c>
      <c r="E25" s="480"/>
      <c r="F25" s="236">
        <f t="shared" si="0"/>
        <v>6214</v>
      </c>
      <c r="G25" s="628"/>
      <c r="H25" s="609"/>
      <c r="I25" s="236">
        <f t="shared" si="1"/>
        <v>6214</v>
      </c>
      <c r="J25" s="265">
        <f t="shared" si="2"/>
        <v>1.1704773819192871E-3</v>
      </c>
      <c r="K25" s="579"/>
      <c r="L25" s="262"/>
      <c r="M25" s="262"/>
      <c r="O25" s="330" t="s">
        <v>184</v>
      </c>
      <c r="P25" s="330" t="s">
        <v>184</v>
      </c>
    </row>
    <row r="26" spans="1:16" s="261" customFormat="1">
      <c r="A26" s="263"/>
      <c r="B26" s="269" t="s">
        <v>69</v>
      </c>
      <c r="C26" s="480">
        <f>SUM(C16:C25)</f>
        <v>4756397</v>
      </c>
      <c r="D26" s="480">
        <f t="shared" ref="D26:F26" si="4">SUM(D16:D25)</f>
        <v>468780.96210649551</v>
      </c>
      <c r="E26" s="480">
        <f t="shared" si="4"/>
        <v>0</v>
      </c>
      <c r="F26" s="236">
        <f t="shared" si="4"/>
        <v>5225177.9621064961</v>
      </c>
      <c r="G26" s="236">
        <f>SUM(G12:G25)</f>
        <v>83767</v>
      </c>
      <c r="H26" s="236">
        <f>SUM(H12:H25)</f>
        <v>0</v>
      </c>
      <c r="I26" s="236">
        <f>SUM(I16:I25)</f>
        <v>5308944.9621064961</v>
      </c>
      <c r="J26" s="265">
        <f t="shared" si="2"/>
        <v>1</v>
      </c>
      <c r="K26" s="579"/>
      <c r="L26" s="262"/>
      <c r="M26" s="262"/>
      <c r="O26" s="325">
        <f>IFERROR(I26/I233,0)</f>
        <v>330.24041814546507</v>
      </c>
      <c r="P26" s="325">
        <f>SUMMARY!L28</f>
        <v>316.15377811906774</v>
      </c>
    </row>
    <row r="27" spans="1:16" ht="12" customHeight="1">
      <c r="A27" s="242"/>
      <c r="B27" s="270"/>
      <c r="C27" s="148"/>
      <c r="D27" s="142"/>
      <c r="E27" s="142"/>
      <c r="H27" s="241"/>
      <c r="I27" s="241"/>
      <c r="K27" s="581"/>
      <c r="O27" s="331"/>
      <c r="P27" s="331"/>
    </row>
    <row r="28" spans="1:16" ht="26.5">
      <c r="A28" s="271" t="s">
        <v>215</v>
      </c>
      <c r="B28" s="270" t="s">
        <v>206</v>
      </c>
      <c r="C28" s="148"/>
      <c r="D28" s="142"/>
      <c r="E28" s="142"/>
      <c r="H28"/>
      <c r="I28" s="241"/>
      <c r="K28" s="581"/>
      <c r="O28" s="331"/>
      <c r="P28" s="331"/>
    </row>
    <row r="29" spans="1:16" ht="15.5">
      <c r="A29" s="272" t="s">
        <v>153</v>
      </c>
      <c r="B29" s="244" t="s">
        <v>8</v>
      </c>
      <c r="C29" s="138"/>
      <c r="D29" s="138"/>
      <c r="E29" s="138"/>
      <c r="H29"/>
      <c r="K29" s="581"/>
      <c r="O29" s="331"/>
      <c r="P29" s="331"/>
    </row>
    <row r="30" spans="1:16" s="261" customFormat="1">
      <c r="A30" s="263" t="s">
        <v>75</v>
      </c>
      <c r="B30" s="264" t="s">
        <v>10</v>
      </c>
      <c r="C30" s="480">
        <f>'[55]Sch C'!D10</f>
        <v>236049</v>
      </c>
      <c r="D30" s="480">
        <f>'[55]Sch C'!F10</f>
        <v>-136626</v>
      </c>
      <c r="E30" s="480">
        <f>+'[55]Sch C'!H10</f>
        <v>0</v>
      </c>
      <c r="F30" s="236">
        <f t="shared" ref="F30:F65" si="5">C30+D30+E30</f>
        <v>99423</v>
      </c>
      <c r="G30" s="628">
        <v>136626</v>
      </c>
      <c r="H30" s="609"/>
      <c r="I30" s="236">
        <f t="shared" ref="I30:I65" si="6">F30+G30+H30</f>
        <v>236049</v>
      </c>
      <c r="J30" s="265">
        <f>IF($I$213=0,0,I30/$I$213)</f>
        <v>6.2967674678351321E-2</v>
      </c>
      <c r="K30" s="579"/>
      <c r="L30" s="176">
        <v>2080</v>
      </c>
      <c r="M30" s="176">
        <v>2080</v>
      </c>
      <c r="O30" s="325">
        <f>I30/I$233</f>
        <v>14.68331674545907</v>
      </c>
      <c r="P30" s="325">
        <f>SUMMARY!L32</f>
        <v>5.7025515464403815</v>
      </c>
    </row>
    <row r="31" spans="1:16" s="261" customFormat="1">
      <c r="A31" s="263" t="s">
        <v>76</v>
      </c>
      <c r="B31" s="264" t="s">
        <v>167</v>
      </c>
      <c r="C31" s="480">
        <f>'[55]Sch C'!D11</f>
        <v>0</v>
      </c>
      <c r="D31" s="480">
        <f>'[55]Sch C'!F11</f>
        <v>0</v>
      </c>
      <c r="E31" s="480">
        <f>+'[55]Sch C'!H11</f>
        <v>0</v>
      </c>
      <c r="F31" s="236">
        <f t="shared" si="5"/>
        <v>0</v>
      </c>
      <c r="G31" s="628"/>
      <c r="H31" s="609"/>
      <c r="I31" s="236">
        <f t="shared" si="6"/>
        <v>0</v>
      </c>
      <c r="J31" s="273">
        <f t="shared" ref="J31:J66" si="7">IF($I$213=0,0,I31/$I$213)</f>
        <v>0</v>
      </c>
      <c r="K31" s="579"/>
      <c r="L31" s="176">
        <v>0</v>
      </c>
      <c r="M31" s="176">
        <v>0</v>
      </c>
      <c r="O31" s="325">
        <f t="shared" ref="O31:O65" si="8">I31/I$233</f>
        <v>0</v>
      </c>
      <c r="P31" s="325">
        <f>SUMMARY!L33</f>
        <v>7.4306926374758907E-3</v>
      </c>
    </row>
    <row r="32" spans="1:16" s="261" customFormat="1">
      <c r="A32" s="263" t="s">
        <v>77</v>
      </c>
      <c r="B32" s="264" t="s">
        <v>13</v>
      </c>
      <c r="C32" s="480">
        <f>'[55]Sch C'!D12</f>
        <v>67686</v>
      </c>
      <c r="D32" s="480">
        <f>'[55]Sch C'!F12</f>
        <v>0</v>
      </c>
      <c r="E32" s="480">
        <f>+'[55]Sch C'!H12</f>
        <v>0</v>
      </c>
      <c r="F32" s="236">
        <f t="shared" si="5"/>
        <v>67686</v>
      </c>
      <c r="G32" s="628"/>
      <c r="H32" s="609"/>
      <c r="I32" s="236">
        <f t="shared" si="6"/>
        <v>67686</v>
      </c>
      <c r="J32" s="265">
        <f t="shared" si="7"/>
        <v>1.8055700419315007E-2</v>
      </c>
      <c r="K32" s="579"/>
      <c r="L32" s="176">
        <v>4082</v>
      </c>
      <c r="M32" s="176">
        <v>4530</v>
      </c>
      <c r="O32" s="325">
        <f t="shared" si="8"/>
        <v>4.210375715352078</v>
      </c>
      <c r="P32" s="325">
        <f>SUMMARY!L34</f>
        <v>6.6325016080849428</v>
      </c>
    </row>
    <row r="33" spans="1:16" s="261" customFormat="1">
      <c r="A33" s="263" t="s">
        <v>78</v>
      </c>
      <c r="B33" s="264" t="s">
        <v>37</v>
      </c>
      <c r="C33" s="480">
        <f>'[55]Sch C'!D13</f>
        <v>130076</v>
      </c>
      <c r="D33" s="480">
        <f>'[55]Sch C'!F13</f>
        <v>-104668</v>
      </c>
      <c r="E33" s="480">
        <f>+'[55]Sch C'!H13</f>
        <v>0</v>
      </c>
      <c r="F33" s="236">
        <f t="shared" si="5"/>
        <v>25408</v>
      </c>
      <c r="G33" s="628"/>
      <c r="H33" s="609"/>
      <c r="I33" s="236">
        <f t="shared" si="6"/>
        <v>25408</v>
      </c>
      <c r="J33" s="265">
        <f t="shared" si="7"/>
        <v>6.7777566447116931E-3</v>
      </c>
      <c r="K33" s="579"/>
      <c r="L33" s="163"/>
      <c r="M33" s="163"/>
      <c r="O33" s="325">
        <f t="shared" si="8"/>
        <v>1.5804926598656381</v>
      </c>
      <c r="P33" s="325">
        <f>SUMMARY!L35</f>
        <v>2.633715227073087</v>
      </c>
    </row>
    <row r="34" spans="1:16" s="261" customFormat="1">
      <c r="A34" s="263" t="s">
        <v>166</v>
      </c>
      <c r="B34" s="264" t="s">
        <v>16</v>
      </c>
      <c r="C34" s="480">
        <f>'[55]Sch C'!D14</f>
        <v>0</v>
      </c>
      <c r="D34" s="480">
        <f>'[55]Sch C'!F14</f>
        <v>0</v>
      </c>
      <c r="E34" s="480">
        <f>+'[55]Sch C'!H14</f>
        <v>0</v>
      </c>
      <c r="F34" s="236">
        <f t="shared" si="5"/>
        <v>0</v>
      </c>
      <c r="G34" s="628"/>
      <c r="H34" s="609"/>
      <c r="I34" s="236">
        <f t="shared" si="6"/>
        <v>0</v>
      </c>
      <c r="J34" s="265">
        <f t="shared" si="7"/>
        <v>0</v>
      </c>
      <c r="K34" s="579"/>
      <c r="L34" s="163"/>
      <c r="M34" s="163"/>
      <c r="O34" s="325">
        <f t="shared" si="8"/>
        <v>0</v>
      </c>
      <c r="P34" s="325">
        <f>SUMMARY!L36</f>
        <v>6.5625298170003482E-2</v>
      </c>
    </row>
    <row r="35" spans="1:16" s="261" customFormat="1">
      <c r="A35" s="263" t="s">
        <v>80</v>
      </c>
      <c r="B35" s="264" t="s">
        <v>18</v>
      </c>
      <c r="C35" s="480">
        <f>'[55]Sch C'!D15</f>
        <v>0</v>
      </c>
      <c r="D35" s="480">
        <f>'[55]Sch C'!F15</f>
        <v>0</v>
      </c>
      <c r="E35" s="480">
        <f>+'[55]Sch C'!H15</f>
        <v>0</v>
      </c>
      <c r="F35" s="236">
        <f t="shared" si="5"/>
        <v>0</v>
      </c>
      <c r="G35" s="628"/>
      <c r="H35" s="609"/>
      <c r="I35" s="236">
        <f t="shared" si="6"/>
        <v>0</v>
      </c>
      <c r="J35" s="265">
        <f t="shared" si="7"/>
        <v>0</v>
      </c>
      <c r="K35" s="579"/>
      <c r="L35" s="163"/>
      <c r="M35" s="163"/>
      <c r="O35" s="325">
        <f t="shared" si="8"/>
        <v>0</v>
      </c>
      <c r="P35" s="325">
        <f>SUMMARY!L37</f>
        <v>2.0746895801227896</v>
      </c>
    </row>
    <row r="36" spans="1:16" s="261" customFormat="1">
      <c r="A36" s="263" t="s">
        <v>81</v>
      </c>
      <c r="B36" s="264" t="s">
        <v>140</v>
      </c>
      <c r="C36" s="480">
        <f>'[55]Sch C'!D16</f>
        <v>237821</v>
      </c>
      <c r="D36" s="480">
        <f>'[55]Sch C'!F16</f>
        <v>0</v>
      </c>
      <c r="E36" s="480">
        <f>+'[55]Sch C'!H16</f>
        <v>-37734</v>
      </c>
      <c r="F36" s="236">
        <f t="shared" si="5"/>
        <v>200087</v>
      </c>
      <c r="G36" s="628"/>
      <c r="H36" s="609">
        <v>64823</v>
      </c>
      <c r="I36" s="236">
        <f t="shared" si="6"/>
        <v>264910</v>
      </c>
      <c r="J36" s="265">
        <f t="shared" si="7"/>
        <v>7.0666542535838109E-2</v>
      </c>
      <c r="K36" s="579" t="s">
        <v>374</v>
      </c>
      <c r="L36" s="163"/>
      <c r="M36" s="163"/>
      <c r="O36" s="325">
        <f t="shared" si="8"/>
        <v>16.478601642199553</v>
      </c>
      <c r="P36" s="325">
        <f>SUMMARY!L38</f>
        <v>11.005418746452923</v>
      </c>
    </row>
    <row r="37" spans="1:16" s="261" customFormat="1">
      <c r="A37" s="263" t="s">
        <v>82</v>
      </c>
      <c r="B37" s="264" t="s">
        <v>19</v>
      </c>
      <c r="C37" s="480">
        <f>'[55]Sch C'!D17</f>
        <v>0</v>
      </c>
      <c r="D37" s="480">
        <f>'[55]Sch C'!F17</f>
        <v>0</v>
      </c>
      <c r="E37" s="480">
        <f>+'[55]Sch C'!H17</f>
        <v>0</v>
      </c>
      <c r="F37" s="236">
        <f t="shared" si="5"/>
        <v>0</v>
      </c>
      <c r="G37" s="628">
        <v>219</v>
      </c>
      <c r="H37" s="609"/>
      <c r="I37" s="236">
        <f t="shared" si="6"/>
        <v>219</v>
      </c>
      <c r="J37" s="265">
        <f t="shared" si="7"/>
        <v>5.8419738082173366E-5</v>
      </c>
      <c r="K37" s="579"/>
      <c r="L37" s="163"/>
      <c r="M37" s="163"/>
      <c r="O37" s="325">
        <f t="shared" si="8"/>
        <v>1.3622791739238617E-2</v>
      </c>
      <c r="P37" s="325">
        <f>SUMMARY!L39</f>
        <v>2.8419922440799456E-2</v>
      </c>
    </row>
    <row r="38" spans="1:16" s="261" customFormat="1">
      <c r="A38" s="263" t="s">
        <v>83</v>
      </c>
      <c r="B38" s="264" t="s">
        <v>20</v>
      </c>
      <c r="C38" s="480">
        <f>'[55]Sch C'!D18</f>
        <v>3036</v>
      </c>
      <c r="D38" s="480">
        <f>'[55]Sch C'!F18</f>
        <v>0</v>
      </c>
      <c r="E38" s="480">
        <f>+'[55]Sch C'!H18</f>
        <v>0</v>
      </c>
      <c r="F38" s="236">
        <f t="shared" si="5"/>
        <v>3036</v>
      </c>
      <c r="G38" s="628"/>
      <c r="H38" s="609"/>
      <c r="I38" s="236">
        <f t="shared" si="6"/>
        <v>3036</v>
      </c>
      <c r="J38" s="265">
        <f t="shared" si="7"/>
        <v>8.0987362930355405E-4</v>
      </c>
      <c r="K38" s="579"/>
      <c r="L38" s="163"/>
      <c r="M38" s="163"/>
      <c r="O38" s="325">
        <f t="shared" si="8"/>
        <v>0.1888529484946504</v>
      </c>
      <c r="P38" s="325">
        <f>SUMMARY!L40</f>
        <v>0.80988262736368721</v>
      </c>
    </row>
    <row r="39" spans="1:16" s="261" customFormat="1">
      <c r="A39" s="263" t="s">
        <v>84</v>
      </c>
      <c r="B39" s="264" t="s">
        <v>21</v>
      </c>
      <c r="C39" s="480">
        <f>'[55]Sch C'!D19</f>
        <v>14611</v>
      </c>
      <c r="D39" s="480">
        <f>'[55]Sch C'!F19</f>
        <v>-1655</v>
      </c>
      <c r="E39" s="480">
        <f>+'[55]Sch C'!H19</f>
        <v>0</v>
      </c>
      <c r="F39" s="236">
        <f t="shared" si="5"/>
        <v>12956</v>
      </c>
      <c r="G39" s="628"/>
      <c r="H39" s="609"/>
      <c r="I39" s="236">
        <f t="shared" si="6"/>
        <v>12956</v>
      </c>
      <c r="J39" s="265">
        <f t="shared" si="7"/>
        <v>3.4561010346695802E-3</v>
      </c>
      <c r="K39" s="579"/>
      <c r="L39" s="163"/>
      <c r="M39" s="163"/>
      <c r="O39" s="325">
        <f t="shared" si="8"/>
        <v>0.80592187111221691</v>
      </c>
      <c r="P39" s="325">
        <f>SUMMARY!L41</f>
        <v>0.82657763931017914</v>
      </c>
    </row>
    <row r="40" spans="1:16" s="261" customFormat="1">
      <c r="A40" s="263" t="s">
        <v>85</v>
      </c>
      <c r="B40" s="264" t="s">
        <v>22</v>
      </c>
      <c r="C40" s="480">
        <f>'[55]Sch C'!D20</f>
        <v>17646</v>
      </c>
      <c r="D40" s="480">
        <f>'[55]Sch C'!F20</f>
        <v>1318</v>
      </c>
      <c r="E40" s="480">
        <f>+'[55]Sch C'!H20</f>
        <v>0</v>
      </c>
      <c r="F40" s="236">
        <f t="shared" si="5"/>
        <v>18964</v>
      </c>
      <c r="G40" s="628"/>
      <c r="H40" s="609"/>
      <c r="I40" s="236">
        <f t="shared" si="6"/>
        <v>18964</v>
      </c>
      <c r="J40" s="265">
        <f t="shared" si="7"/>
        <v>5.0587758584033594E-3</v>
      </c>
      <c r="K40" s="579"/>
      <c r="L40" s="163"/>
      <c r="M40" s="163"/>
      <c r="O40" s="325">
        <f t="shared" si="8"/>
        <v>1.1796466782781787</v>
      </c>
      <c r="P40" s="325">
        <f>SUMMARY!L42</f>
        <v>0.90392603551804096</v>
      </c>
    </row>
    <row r="41" spans="1:16" s="261" customFormat="1">
      <c r="A41" s="263" t="s">
        <v>86</v>
      </c>
      <c r="B41" s="264" t="s">
        <v>23</v>
      </c>
      <c r="C41" s="480">
        <f>'[55]Sch C'!D21</f>
        <v>1416</v>
      </c>
      <c r="D41" s="480">
        <f>'[55]Sch C'!F21</f>
        <v>0</v>
      </c>
      <c r="E41" s="480">
        <f>+'[55]Sch C'!H21</f>
        <v>0</v>
      </c>
      <c r="F41" s="236">
        <f t="shared" si="5"/>
        <v>1416</v>
      </c>
      <c r="G41" s="628"/>
      <c r="H41" s="609"/>
      <c r="I41" s="236">
        <f t="shared" si="6"/>
        <v>1416</v>
      </c>
      <c r="J41" s="265">
        <f t="shared" si="7"/>
        <v>3.7772762157240857E-4</v>
      </c>
      <c r="K41" s="579"/>
      <c r="L41" s="163"/>
      <c r="M41" s="163"/>
      <c r="O41" s="325">
        <f t="shared" si="8"/>
        <v>8.8081612341378457E-2</v>
      </c>
      <c r="P41" s="325">
        <f>SUMMARY!L43</f>
        <v>1.1753464048909035</v>
      </c>
    </row>
    <row r="42" spans="1:16" s="261" customFormat="1">
      <c r="A42" s="257">
        <v>130</v>
      </c>
      <c r="B42" s="264" t="s">
        <v>24</v>
      </c>
      <c r="C42" s="480">
        <f>'[55]Sch C'!D22</f>
        <v>0</v>
      </c>
      <c r="D42" s="480">
        <f>'[55]Sch C'!F22</f>
        <v>0</v>
      </c>
      <c r="E42" s="480">
        <f>+'[55]Sch C'!H22</f>
        <v>0</v>
      </c>
      <c r="F42" s="236">
        <f t="shared" si="5"/>
        <v>0</v>
      </c>
      <c r="G42" s="628"/>
      <c r="H42" s="609"/>
      <c r="I42" s="236">
        <f t="shared" si="6"/>
        <v>0</v>
      </c>
      <c r="J42" s="265">
        <f t="shared" si="7"/>
        <v>0</v>
      </c>
      <c r="K42" s="579"/>
      <c r="L42" s="163"/>
      <c r="M42" s="163"/>
      <c r="O42" s="325">
        <f t="shared" si="8"/>
        <v>0</v>
      </c>
      <c r="P42" s="325">
        <f>SUMMARY!L44</f>
        <v>5.0122283354925422E-3</v>
      </c>
    </row>
    <row r="43" spans="1:16" s="261" customFormat="1">
      <c r="A43" s="257">
        <v>140</v>
      </c>
      <c r="B43" s="264" t="s">
        <v>141</v>
      </c>
      <c r="C43" s="480">
        <f>'[55]Sch C'!D23</f>
        <v>11657</v>
      </c>
      <c r="D43" s="480">
        <f>'[55]Sch C'!F23</f>
        <v>0</v>
      </c>
      <c r="E43" s="480">
        <f>+'[55]Sch C'!H23</f>
        <v>0</v>
      </c>
      <c r="F43" s="236">
        <f t="shared" si="5"/>
        <v>11657</v>
      </c>
      <c r="G43" s="628"/>
      <c r="H43" s="609"/>
      <c r="I43" s="236">
        <f t="shared" si="6"/>
        <v>11657</v>
      </c>
      <c r="J43" s="265">
        <f t="shared" si="7"/>
        <v>3.1095839580999769E-3</v>
      </c>
      <c r="K43" s="579"/>
      <c r="L43" s="163"/>
      <c r="M43" s="163"/>
      <c r="O43" s="325">
        <f t="shared" si="8"/>
        <v>0.72511818860413035</v>
      </c>
      <c r="P43" s="325">
        <f>SUMMARY!L45</f>
        <v>0.72348899540311395</v>
      </c>
    </row>
    <row r="44" spans="1:16" s="261" customFormat="1">
      <c r="A44" s="257">
        <v>150</v>
      </c>
      <c r="B44" s="264" t="s">
        <v>25</v>
      </c>
      <c r="C44" s="480">
        <f>'[55]Sch C'!D24</f>
        <v>72473</v>
      </c>
      <c r="D44" s="480">
        <f>'[55]Sch C'!F24</f>
        <v>0</v>
      </c>
      <c r="E44" s="480">
        <f>+'[55]Sch C'!H24</f>
        <v>-12700</v>
      </c>
      <c r="F44" s="236">
        <f t="shared" si="5"/>
        <v>59773</v>
      </c>
      <c r="G44" s="628"/>
      <c r="H44" s="609"/>
      <c r="I44" s="236">
        <f t="shared" si="6"/>
        <v>59773</v>
      </c>
      <c r="J44" s="265">
        <f t="shared" si="7"/>
        <v>1.5944853901304786E-2</v>
      </c>
      <c r="K44" s="579"/>
      <c r="L44" s="163"/>
      <c r="M44" s="163"/>
      <c r="O44" s="325">
        <f t="shared" si="8"/>
        <v>3.7181512814132871</v>
      </c>
      <c r="P44" s="325">
        <f>SUMMARY!L46</f>
        <v>1.4239131804333707</v>
      </c>
    </row>
    <row r="45" spans="1:16" s="261" customFormat="1">
      <c r="A45" s="257">
        <v>160</v>
      </c>
      <c r="B45" s="264" t="s">
        <v>26</v>
      </c>
      <c r="C45" s="480">
        <f>'[55]Sch C'!D25</f>
        <v>0</v>
      </c>
      <c r="D45" s="480">
        <f>'[55]Sch C'!F25</f>
        <v>0</v>
      </c>
      <c r="E45" s="480">
        <f>+'[55]Sch C'!H25</f>
        <v>0</v>
      </c>
      <c r="F45" s="236">
        <f t="shared" si="5"/>
        <v>0</v>
      </c>
      <c r="G45" s="628"/>
      <c r="H45" s="609"/>
      <c r="I45" s="236">
        <f t="shared" si="6"/>
        <v>0</v>
      </c>
      <c r="J45" s="265">
        <f t="shared" si="7"/>
        <v>0</v>
      </c>
      <c r="K45" s="579"/>
      <c r="L45" s="163"/>
      <c r="M45" s="163"/>
      <c r="O45" s="325">
        <f t="shared" si="8"/>
        <v>0</v>
      </c>
      <c r="P45" s="325">
        <f>SUMMARY!L47</f>
        <v>0.42470123769493451</v>
      </c>
    </row>
    <row r="46" spans="1:16" s="261" customFormat="1">
      <c r="A46" s="257">
        <v>170</v>
      </c>
      <c r="B46" s="264" t="s">
        <v>27</v>
      </c>
      <c r="C46" s="480">
        <f>'[55]Sch C'!D26</f>
        <v>259502</v>
      </c>
      <c r="D46" s="480">
        <f>'[55]Sch C'!F26</f>
        <v>0</v>
      </c>
      <c r="E46" s="480">
        <f>+'[55]Sch C'!H26</f>
        <v>0</v>
      </c>
      <c r="F46" s="236">
        <f t="shared" si="5"/>
        <v>259502</v>
      </c>
      <c r="G46" s="628"/>
      <c r="H46" s="609"/>
      <c r="I46" s="236">
        <f t="shared" si="6"/>
        <v>259502</v>
      </c>
      <c r="J46" s="265">
        <f t="shared" si="7"/>
        <v>6.9223921789041784E-2</v>
      </c>
      <c r="K46" s="579"/>
      <c r="L46" s="163"/>
      <c r="M46" s="163"/>
      <c r="O46" s="325">
        <f t="shared" si="8"/>
        <v>16.142199552127394</v>
      </c>
      <c r="P46" s="325">
        <f>SUMMARY!L48</f>
        <v>15.367126265775411</v>
      </c>
    </row>
    <row r="47" spans="1:16" s="261" customFormat="1">
      <c r="A47" s="257">
        <v>180</v>
      </c>
      <c r="B47" s="264" t="s">
        <v>28</v>
      </c>
      <c r="C47" s="480">
        <f>'[55]Sch C'!D27</f>
        <v>0</v>
      </c>
      <c r="D47" s="480">
        <f>'[55]Sch C'!F27</f>
        <v>0</v>
      </c>
      <c r="E47" s="480">
        <f>+'[55]Sch C'!H27</f>
        <v>0</v>
      </c>
      <c r="F47" s="236">
        <f t="shared" si="5"/>
        <v>0</v>
      </c>
      <c r="G47" s="628"/>
      <c r="H47" s="609"/>
      <c r="I47" s="236">
        <f t="shared" si="6"/>
        <v>0</v>
      </c>
      <c r="J47" s="265">
        <f t="shared" si="7"/>
        <v>0</v>
      </c>
      <c r="K47" s="579"/>
      <c r="L47" s="163"/>
      <c r="M47" s="163"/>
      <c r="O47" s="325">
        <f t="shared" si="8"/>
        <v>0</v>
      </c>
      <c r="P47" s="325">
        <f>SUMMARY!L49</f>
        <v>0.48664573766381269</v>
      </c>
    </row>
    <row r="48" spans="1:16" s="261" customFormat="1">
      <c r="A48" s="257">
        <v>190</v>
      </c>
      <c r="B48" s="264" t="s">
        <v>29</v>
      </c>
      <c r="C48" s="480">
        <f>'[55]Sch C'!D28</f>
        <v>0</v>
      </c>
      <c r="D48" s="480">
        <f>'[55]Sch C'!F28</f>
        <v>0</v>
      </c>
      <c r="E48" s="480">
        <f>+'[55]Sch C'!H28</f>
        <v>0</v>
      </c>
      <c r="F48" s="236">
        <f t="shared" si="5"/>
        <v>0</v>
      </c>
      <c r="G48" s="628"/>
      <c r="H48" s="609"/>
      <c r="I48" s="236">
        <f t="shared" si="6"/>
        <v>0</v>
      </c>
      <c r="J48" s="265">
        <f t="shared" si="7"/>
        <v>0</v>
      </c>
      <c r="K48" s="579"/>
      <c r="L48" s="163"/>
      <c r="M48" s="163"/>
      <c r="O48" s="325">
        <f t="shared" si="8"/>
        <v>0</v>
      </c>
      <c r="P48" s="325">
        <f>SUMMARY!L50</f>
        <v>0</v>
      </c>
    </row>
    <row r="49" spans="1:16" s="261" customFormat="1">
      <c r="A49" s="257">
        <v>200</v>
      </c>
      <c r="B49" s="264" t="s">
        <v>30</v>
      </c>
      <c r="C49" s="480">
        <f>'[55]Sch C'!D29</f>
        <v>51123</v>
      </c>
      <c r="D49" s="480">
        <f>'[55]Sch C'!F29</f>
        <v>-51123</v>
      </c>
      <c r="E49" s="480">
        <f>+'[55]Sch C'!H29</f>
        <v>0</v>
      </c>
      <c r="F49" s="236">
        <f t="shared" si="5"/>
        <v>0</v>
      </c>
      <c r="G49" s="628"/>
      <c r="H49" s="609"/>
      <c r="I49" s="236">
        <f t="shared" si="6"/>
        <v>0</v>
      </c>
      <c r="J49" s="265">
        <f t="shared" si="7"/>
        <v>0</v>
      </c>
      <c r="K49" s="579"/>
      <c r="L49" s="163"/>
      <c r="M49" s="163"/>
      <c r="O49" s="325">
        <f t="shared" si="8"/>
        <v>0</v>
      </c>
      <c r="P49" s="325">
        <f>SUMMARY!L51</f>
        <v>0</v>
      </c>
    </row>
    <row r="50" spans="1:16" s="261" customFormat="1">
      <c r="A50" s="257">
        <v>210</v>
      </c>
      <c r="B50" s="264" t="s">
        <v>31</v>
      </c>
      <c r="C50" s="480">
        <f>'[55]Sch C'!D30</f>
        <v>0</v>
      </c>
      <c r="D50" s="480">
        <f>'[55]Sch C'!F30</f>
        <v>0</v>
      </c>
      <c r="E50" s="480">
        <f>+'[55]Sch C'!H30</f>
        <v>0</v>
      </c>
      <c r="F50" s="236">
        <f t="shared" si="5"/>
        <v>0</v>
      </c>
      <c r="G50" s="628"/>
      <c r="H50" s="609"/>
      <c r="I50" s="236">
        <f t="shared" si="6"/>
        <v>0</v>
      </c>
      <c r="J50" s="265">
        <f t="shared" si="7"/>
        <v>0</v>
      </c>
      <c r="K50" s="579"/>
      <c r="L50" s="163"/>
      <c r="M50" s="163"/>
      <c r="O50" s="325">
        <f t="shared" si="8"/>
        <v>0</v>
      </c>
      <c r="P50" s="325">
        <f>SUMMARY!L52</f>
        <v>0</v>
      </c>
    </row>
    <row r="51" spans="1:16" s="261" customFormat="1">
      <c r="A51" s="257">
        <v>220</v>
      </c>
      <c r="B51" s="264" t="s">
        <v>179</v>
      </c>
      <c r="C51" s="480">
        <f>'[55]Sch C'!D31</f>
        <v>24061</v>
      </c>
      <c r="D51" s="480">
        <f>'[55]Sch C'!F31</f>
        <v>0</v>
      </c>
      <c r="E51" s="480">
        <f>+'[55]Sch C'!H31</f>
        <v>-14097</v>
      </c>
      <c r="F51" s="236">
        <f t="shared" si="5"/>
        <v>9964</v>
      </c>
      <c r="G51" s="628"/>
      <c r="H51" s="609"/>
      <c r="I51" s="236">
        <f t="shared" si="6"/>
        <v>9964</v>
      </c>
      <c r="J51" s="265">
        <f t="shared" si="7"/>
        <v>2.6579647043414403E-3</v>
      </c>
      <c r="K51" s="579"/>
      <c r="L51" s="163"/>
      <c r="M51" s="163"/>
      <c r="O51" s="325">
        <f t="shared" si="8"/>
        <v>0.61980592187111216</v>
      </c>
      <c r="P51" s="325">
        <f>SUMMARY!L53</f>
        <v>1.4965630085043737</v>
      </c>
    </row>
    <row r="52" spans="1:16" s="261" customFormat="1">
      <c r="A52" s="257">
        <v>230</v>
      </c>
      <c r="B52" s="264" t="s">
        <v>180</v>
      </c>
      <c r="C52" s="480">
        <f>'[55]Sch C'!D32</f>
        <v>64413</v>
      </c>
      <c r="D52" s="480">
        <f>'[55]Sch C'!F32</f>
        <v>0</v>
      </c>
      <c r="E52" s="480">
        <f>+'[55]Sch C'!H32</f>
        <v>-28986</v>
      </c>
      <c r="F52" s="236">
        <f t="shared" si="5"/>
        <v>35427</v>
      </c>
      <c r="G52" s="628"/>
      <c r="H52" s="609"/>
      <c r="I52" s="236">
        <f t="shared" si="6"/>
        <v>35427</v>
      </c>
      <c r="J52" s="265">
        <f t="shared" si="7"/>
        <v>9.450392972772401E-3</v>
      </c>
      <c r="K52" s="579"/>
      <c r="L52" s="163"/>
      <c r="M52" s="163"/>
      <c r="O52" s="325">
        <f t="shared" si="8"/>
        <v>2.2037198308036827</v>
      </c>
      <c r="P52" s="325">
        <f>SUMMARY!L54</f>
        <v>2.4668444148593718</v>
      </c>
    </row>
    <row r="53" spans="1:16" s="261" customFormat="1">
      <c r="A53" s="257">
        <v>240</v>
      </c>
      <c r="B53" s="264" t="s">
        <v>185</v>
      </c>
      <c r="C53" s="480">
        <f>'[55]Sch C'!D33</f>
        <v>0</v>
      </c>
      <c r="D53" s="480">
        <f>'[55]Sch C'!F33</f>
        <v>0</v>
      </c>
      <c r="E53" s="480">
        <f>+'[55]Sch C'!H33</f>
        <v>0</v>
      </c>
      <c r="F53" s="236">
        <f t="shared" si="5"/>
        <v>0</v>
      </c>
      <c r="G53" s="628"/>
      <c r="H53" s="609"/>
      <c r="I53" s="236">
        <f t="shared" si="6"/>
        <v>0</v>
      </c>
      <c r="J53" s="265">
        <f t="shared" si="7"/>
        <v>0</v>
      </c>
      <c r="K53" s="579"/>
      <c r="L53" s="163"/>
      <c r="M53" s="163"/>
      <c r="O53" s="325">
        <f t="shared" si="8"/>
        <v>0</v>
      </c>
      <c r="P53" s="325">
        <f>SUMMARY!L55</f>
        <v>0</v>
      </c>
    </row>
    <row r="54" spans="1:16" s="261" customFormat="1">
      <c r="A54" s="257">
        <v>250</v>
      </c>
      <c r="B54" s="264" t="s">
        <v>186</v>
      </c>
      <c r="C54" s="480">
        <f>'[55]Sch C'!D34</f>
        <v>0</v>
      </c>
      <c r="D54" s="480">
        <f>'[55]Sch C'!F34</f>
        <v>0</v>
      </c>
      <c r="E54" s="480">
        <f>+'[55]Sch C'!H34</f>
        <v>0</v>
      </c>
      <c r="F54" s="236">
        <f t="shared" si="5"/>
        <v>0</v>
      </c>
      <c r="G54" s="628"/>
      <c r="H54" s="609"/>
      <c r="I54" s="236">
        <f t="shared" si="6"/>
        <v>0</v>
      </c>
      <c r="J54" s="265">
        <f t="shared" si="7"/>
        <v>0</v>
      </c>
      <c r="K54" s="579"/>
      <c r="L54" s="163"/>
      <c r="M54" s="163"/>
      <c r="O54" s="325">
        <f t="shared" si="8"/>
        <v>0</v>
      </c>
      <c r="P54" s="325">
        <f>SUMMARY!L56</f>
        <v>1.6479117061408751E-2</v>
      </c>
    </row>
    <row r="55" spans="1:16" s="261" customFormat="1">
      <c r="A55" s="257">
        <v>270</v>
      </c>
      <c r="B55" s="264" t="s">
        <v>187</v>
      </c>
      <c r="C55" s="480">
        <f>'[55]Sch C'!D35</f>
        <v>34</v>
      </c>
      <c r="D55" s="480">
        <f>'[55]Sch C'!F35</f>
        <v>-34</v>
      </c>
      <c r="E55" s="480">
        <f>+'[55]Sch C'!H35</f>
        <v>0</v>
      </c>
      <c r="F55" s="236">
        <f t="shared" si="5"/>
        <v>0</v>
      </c>
      <c r="G55" s="628"/>
      <c r="H55" s="609"/>
      <c r="I55" s="236">
        <f t="shared" si="6"/>
        <v>0</v>
      </c>
      <c r="J55" s="265">
        <f t="shared" si="7"/>
        <v>0</v>
      </c>
      <c r="K55" s="579"/>
      <c r="L55" s="163"/>
      <c r="M55" s="163"/>
      <c r="O55" s="325">
        <f t="shared" si="8"/>
        <v>0</v>
      </c>
      <c r="P55" s="325">
        <f>SUMMARY!L57</f>
        <v>0</v>
      </c>
    </row>
    <row r="56" spans="1:16" s="261" customFormat="1">
      <c r="A56" s="257">
        <v>280</v>
      </c>
      <c r="B56" s="264" t="s">
        <v>188</v>
      </c>
      <c r="C56" s="480">
        <f>'[55]Sch C'!D36</f>
        <v>0</v>
      </c>
      <c r="D56" s="480">
        <f>'[55]Sch C'!F36</f>
        <v>0</v>
      </c>
      <c r="E56" s="480">
        <f>+'[55]Sch C'!H36</f>
        <v>0</v>
      </c>
      <c r="F56" s="236">
        <f t="shared" si="5"/>
        <v>0</v>
      </c>
      <c r="G56" s="628"/>
      <c r="H56" s="609"/>
      <c r="I56" s="236">
        <f t="shared" si="6"/>
        <v>0</v>
      </c>
      <c r="J56" s="265">
        <f t="shared" si="7"/>
        <v>0</v>
      </c>
      <c r="K56" s="579"/>
      <c r="L56" s="176">
        <v>0</v>
      </c>
      <c r="M56" s="176">
        <v>0</v>
      </c>
      <c r="O56" s="325">
        <f t="shared" si="8"/>
        <v>0</v>
      </c>
      <c r="P56" s="325">
        <f>SUMMARY!L58</f>
        <v>1.001605250150277</v>
      </c>
    </row>
    <row r="57" spans="1:16" s="261" customFormat="1">
      <c r="A57" s="257">
        <v>290</v>
      </c>
      <c r="B57" s="264" t="s">
        <v>189</v>
      </c>
      <c r="C57" s="480">
        <f>'[55]Sch C'!D37</f>
        <v>0</v>
      </c>
      <c r="D57" s="480">
        <f>'[55]Sch C'!F37</f>
        <v>0</v>
      </c>
      <c r="E57" s="480">
        <f>+'[55]Sch C'!H37</f>
        <v>0</v>
      </c>
      <c r="F57" s="236">
        <f t="shared" si="5"/>
        <v>0</v>
      </c>
      <c r="G57" s="628"/>
      <c r="H57" s="609"/>
      <c r="I57" s="236">
        <f t="shared" si="6"/>
        <v>0</v>
      </c>
      <c r="J57" s="265">
        <f t="shared" si="7"/>
        <v>0</v>
      </c>
      <c r="K57" s="579"/>
      <c r="L57" s="163"/>
      <c r="M57" s="163"/>
      <c r="O57" s="325">
        <f t="shared" si="8"/>
        <v>0</v>
      </c>
      <c r="P57" s="325">
        <f>SUMMARY!L59</f>
        <v>0.15575226114614515</v>
      </c>
    </row>
    <row r="58" spans="1:16" s="261" customFormat="1">
      <c r="A58" s="257">
        <v>300</v>
      </c>
      <c r="B58" s="264" t="s">
        <v>190</v>
      </c>
      <c r="C58" s="480">
        <f>'[55]Sch C'!D38</f>
        <v>845</v>
      </c>
      <c r="D58" s="480">
        <f>'[55]Sch C'!F38</f>
        <v>-845</v>
      </c>
      <c r="E58" s="480">
        <f>+'[55]Sch C'!H38</f>
        <v>0</v>
      </c>
      <c r="F58" s="236">
        <f t="shared" si="5"/>
        <v>0</v>
      </c>
      <c r="G58" s="628"/>
      <c r="H58" s="609"/>
      <c r="I58" s="236">
        <f t="shared" si="6"/>
        <v>0</v>
      </c>
      <c r="J58" s="265">
        <f t="shared" si="7"/>
        <v>0</v>
      </c>
      <c r="K58" s="579"/>
      <c r="L58" s="163"/>
      <c r="M58" s="163"/>
      <c r="O58" s="325">
        <f t="shared" si="8"/>
        <v>0</v>
      </c>
      <c r="P58" s="325">
        <f>SUMMARY!L60</f>
        <v>2.203221905251131E-3</v>
      </c>
    </row>
    <row r="59" spans="1:16" s="261" customFormat="1">
      <c r="A59" s="257">
        <v>310</v>
      </c>
      <c r="B59" s="264" t="s">
        <v>191</v>
      </c>
      <c r="C59" s="480">
        <f>'[55]Sch C'!D39</f>
        <v>3330</v>
      </c>
      <c r="D59" s="480">
        <f>'[55]Sch C'!F39</f>
        <v>0</v>
      </c>
      <c r="E59" s="480">
        <f>+'[55]Sch C'!H39</f>
        <v>0</v>
      </c>
      <c r="F59" s="236">
        <f t="shared" si="5"/>
        <v>3330</v>
      </c>
      <c r="G59" s="628"/>
      <c r="H59" s="609"/>
      <c r="I59" s="236">
        <f t="shared" si="6"/>
        <v>3330</v>
      </c>
      <c r="J59" s="265">
        <f t="shared" si="7"/>
        <v>8.883001270029101E-4</v>
      </c>
      <c r="K59" s="579"/>
      <c r="L59" s="163"/>
      <c r="M59" s="163"/>
      <c r="O59" s="325">
        <f t="shared" si="8"/>
        <v>0.20714107987061459</v>
      </c>
      <c r="P59" s="325">
        <f>SUMMARY!L61</f>
        <v>0.34455056155574998</v>
      </c>
    </row>
    <row r="60" spans="1:16" s="261" customFormat="1">
      <c r="A60" s="257">
        <v>320</v>
      </c>
      <c r="B60" s="264" t="s">
        <v>192</v>
      </c>
      <c r="C60" s="480">
        <f>'[55]Sch C'!D40</f>
        <v>4287</v>
      </c>
      <c r="D60" s="480">
        <f>'[55]Sch C'!F40</f>
        <v>0</v>
      </c>
      <c r="E60" s="480">
        <f>+'[55]Sch C'!H40</f>
        <v>0</v>
      </c>
      <c r="F60" s="236">
        <f t="shared" si="5"/>
        <v>4287</v>
      </c>
      <c r="G60" s="628"/>
      <c r="H60" s="609"/>
      <c r="I60" s="236">
        <f t="shared" si="6"/>
        <v>4287</v>
      </c>
      <c r="J60" s="265">
        <f t="shared" si="7"/>
        <v>1.1435863797181608E-3</v>
      </c>
      <c r="K60" s="579"/>
      <c r="L60" s="163"/>
      <c r="M60" s="163"/>
      <c r="O60" s="325">
        <f t="shared" si="8"/>
        <v>0.26667081363523265</v>
      </c>
      <c r="P60" s="325">
        <f>SUMMARY!L62</f>
        <v>0.15992401847550186</v>
      </c>
    </row>
    <row r="61" spans="1:16" s="261" customFormat="1">
      <c r="A61" s="257">
        <v>330</v>
      </c>
      <c r="B61" s="264" t="s">
        <v>40</v>
      </c>
      <c r="C61" s="480">
        <f>'[55]Sch C'!D41</f>
        <v>6567</v>
      </c>
      <c r="D61" s="480">
        <f>'[55]Sch C'!F41</f>
        <v>0</v>
      </c>
      <c r="E61" s="480">
        <f>+'[55]Sch C'!H41</f>
        <v>0</v>
      </c>
      <c r="F61" s="236">
        <f t="shared" si="5"/>
        <v>6567</v>
      </c>
      <c r="G61" s="628"/>
      <c r="H61" s="609"/>
      <c r="I61" s="236">
        <f t="shared" si="6"/>
        <v>6567</v>
      </c>
      <c r="J61" s="265">
        <f t="shared" si="7"/>
        <v>1.7517918720805136E-3</v>
      </c>
      <c r="K61" s="579"/>
      <c r="L61" s="163"/>
      <c r="M61" s="163"/>
      <c r="O61" s="325">
        <f t="shared" si="8"/>
        <v>0.40849713859168946</v>
      </c>
      <c r="P61" s="325">
        <f>SUMMARY!L63</f>
        <v>2.4880217241389828</v>
      </c>
    </row>
    <row r="62" spans="1:16" s="261" customFormat="1">
      <c r="A62" s="257">
        <v>340</v>
      </c>
      <c r="B62" s="264" t="s">
        <v>193</v>
      </c>
      <c r="C62" s="480">
        <f>'[55]Sch C'!D42</f>
        <v>15985</v>
      </c>
      <c r="D62" s="480">
        <f>'[55]Sch C'!F42</f>
        <v>0</v>
      </c>
      <c r="E62" s="480">
        <f>+'[55]Sch C'!H42</f>
        <v>0</v>
      </c>
      <c r="F62" s="236">
        <f t="shared" si="5"/>
        <v>15985</v>
      </c>
      <c r="G62" s="628"/>
      <c r="H62" s="609"/>
      <c r="I62" s="236">
        <f t="shared" si="6"/>
        <v>15985</v>
      </c>
      <c r="J62" s="265">
        <f t="shared" si="7"/>
        <v>4.2641073664088638E-3</v>
      </c>
      <c r="K62" s="579"/>
      <c r="L62" s="163"/>
      <c r="M62" s="163"/>
      <c r="O62" s="325">
        <f t="shared" si="8"/>
        <v>0.9943393879074397</v>
      </c>
      <c r="P62" s="325">
        <f>SUMMARY!L64</f>
        <v>0.18301067435151055</v>
      </c>
    </row>
    <row r="63" spans="1:16" s="261" customFormat="1">
      <c r="A63" s="257">
        <v>350</v>
      </c>
      <c r="B63" s="264" t="s">
        <v>194</v>
      </c>
      <c r="C63" s="480">
        <f>'[55]Sch C'!D43</f>
        <v>0</v>
      </c>
      <c r="D63" s="480">
        <f>'[55]Sch C'!F43</f>
        <v>0</v>
      </c>
      <c r="E63" s="480">
        <f>+'[55]Sch C'!H43</f>
        <v>0</v>
      </c>
      <c r="F63" s="236">
        <f t="shared" si="5"/>
        <v>0</v>
      </c>
      <c r="G63" s="628"/>
      <c r="H63" s="609"/>
      <c r="I63" s="236">
        <f t="shared" si="6"/>
        <v>0</v>
      </c>
      <c r="J63" s="265">
        <f t="shared" si="7"/>
        <v>0</v>
      </c>
      <c r="K63" s="579"/>
      <c r="L63" s="163"/>
      <c r="M63" s="163"/>
      <c r="O63" s="325">
        <f t="shared" si="8"/>
        <v>0</v>
      </c>
      <c r="P63" s="325">
        <f>SUMMARY!L65</f>
        <v>5.2846978346530885E-3</v>
      </c>
    </row>
    <row r="64" spans="1:16" s="261" customFormat="1">
      <c r="A64" s="257">
        <v>360</v>
      </c>
      <c r="B64" s="264" t="s">
        <v>195</v>
      </c>
      <c r="C64" s="480">
        <f>'[55]Sch C'!D44</f>
        <v>10</v>
      </c>
      <c r="D64" s="480">
        <f>'[55]Sch C'!F44</f>
        <v>0</v>
      </c>
      <c r="E64" s="480">
        <f>+'[55]Sch C'!H44</f>
        <v>0</v>
      </c>
      <c r="F64" s="236">
        <f t="shared" si="5"/>
        <v>10</v>
      </c>
      <c r="G64" s="628"/>
      <c r="H64" s="609"/>
      <c r="I64" s="236">
        <f t="shared" si="6"/>
        <v>10</v>
      </c>
      <c r="J64" s="265">
        <f t="shared" si="7"/>
        <v>2.6675679489576879E-6</v>
      </c>
      <c r="K64" s="579"/>
      <c r="L64" s="163"/>
      <c r="M64" s="163"/>
      <c r="O64" s="325">
        <f t="shared" si="8"/>
        <v>6.2204528489674053E-4</v>
      </c>
      <c r="P64" s="325">
        <f>SUMMARY!L66</f>
        <v>6.2782191322027911E-3</v>
      </c>
    </row>
    <row r="65" spans="1:16" s="261" customFormat="1">
      <c r="A65" s="257">
        <v>490</v>
      </c>
      <c r="B65" s="264" t="s">
        <v>32</v>
      </c>
      <c r="C65" s="480">
        <f>'[55]Sch C'!D45</f>
        <v>-1740</v>
      </c>
      <c r="D65" s="480">
        <f>'[55]Sch C'!F45</f>
        <v>-6214</v>
      </c>
      <c r="E65" s="480">
        <f>+'[55]Sch C'!H45</f>
        <v>0</v>
      </c>
      <c r="F65" s="236">
        <f t="shared" si="5"/>
        <v>-7954</v>
      </c>
      <c r="G65" s="628">
        <v>3473</v>
      </c>
      <c r="H65" s="609"/>
      <c r="I65" s="236">
        <f t="shared" si="6"/>
        <v>-4481</v>
      </c>
      <c r="J65" s="265">
        <f t="shared" si="7"/>
        <v>-1.19533719792794E-3</v>
      </c>
      <c r="K65" s="579"/>
      <c r="L65" s="163"/>
      <c r="M65" s="163"/>
      <c r="O65" s="325">
        <f t="shared" si="8"/>
        <v>-0.2787384921622294</v>
      </c>
      <c r="P65" s="325">
        <f>SUMMARY!L67</f>
        <v>0.59230987926739842</v>
      </c>
    </row>
    <row r="66" spans="1:16" s="261" customFormat="1">
      <c r="A66" s="257"/>
      <c r="B66" s="264" t="s">
        <v>168</v>
      </c>
      <c r="C66" s="480">
        <f t="shared" ref="C66:E66" si="9">SUM(C30:C65)</f>
        <v>1220888</v>
      </c>
      <c r="D66" s="480">
        <f t="shared" si="9"/>
        <v>-299847</v>
      </c>
      <c r="E66" s="480">
        <f t="shared" si="9"/>
        <v>-93517</v>
      </c>
      <c r="F66" s="236">
        <f t="shared" ref="F66:I66" si="10">SUM(F30:F65)</f>
        <v>827524</v>
      </c>
      <c r="G66" s="236">
        <f t="shared" si="10"/>
        <v>140318</v>
      </c>
      <c r="H66" s="236">
        <f t="shared" si="10"/>
        <v>64823</v>
      </c>
      <c r="I66" s="236">
        <f t="shared" si="10"/>
        <v>1032665</v>
      </c>
      <c r="J66" s="274">
        <f t="shared" si="7"/>
        <v>0.27547040560103908</v>
      </c>
      <c r="K66" s="584"/>
      <c r="L66" s="163"/>
      <c r="M66" s="163"/>
      <c r="O66" s="332">
        <f>I66/I$233</f>
        <v>64.236439412789252</v>
      </c>
      <c r="P66" s="325">
        <f>SUMMARY!L68</f>
        <v>59.215800022194173</v>
      </c>
    </row>
    <row r="67" spans="1:16" s="261" customFormat="1">
      <c r="A67" s="257"/>
      <c r="C67" s="160"/>
      <c r="D67" s="160"/>
      <c r="E67" s="160"/>
      <c r="F67" s="259"/>
      <c r="G67" s="259"/>
      <c r="H67" s="259"/>
      <c r="I67" s="259"/>
      <c r="J67" s="179"/>
      <c r="K67" s="466"/>
      <c r="L67" s="163"/>
      <c r="M67" s="163"/>
      <c r="O67" s="325"/>
      <c r="P67" s="325"/>
    </row>
    <row r="68" spans="1:16" s="261" customFormat="1">
      <c r="A68" s="263" t="s">
        <v>154</v>
      </c>
      <c r="B68" s="264" t="s">
        <v>169</v>
      </c>
      <c r="C68" s="160"/>
      <c r="D68" s="160"/>
      <c r="E68" s="160"/>
      <c r="F68" s="259"/>
      <c r="G68" s="259"/>
      <c r="H68" s="259"/>
      <c r="I68" s="259"/>
      <c r="J68" s="179"/>
      <c r="K68" s="466"/>
      <c r="L68" s="163"/>
      <c r="M68" s="163"/>
      <c r="O68" s="325"/>
      <c r="P68" s="325"/>
    </row>
    <row r="69" spans="1:16" s="261" customFormat="1">
      <c r="A69" s="275">
        <v>230</v>
      </c>
      <c r="B69" s="276" t="s">
        <v>234</v>
      </c>
      <c r="C69" s="480">
        <f>'[55]Sch C'!D57</f>
        <v>340562</v>
      </c>
      <c r="D69" s="480">
        <f>'[55]Sch C'!F57+340562</f>
        <v>0</v>
      </c>
      <c r="E69" s="480">
        <f>+'[55]Sch C'!H57</f>
        <v>0</v>
      </c>
      <c r="F69" s="236">
        <f>C69+D69+E69</f>
        <v>340562</v>
      </c>
      <c r="G69" s="628"/>
      <c r="H69" s="480">
        <v>-340562</v>
      </c>
      <c r="I69" s="236">
        <f>F69+G69+H69</f>
        <v>0</v>
      </c>
      <c r="J69" s="265">
        <f t="shared" ref="J69:J84" si="11">IF($I$213=0,0,I69/$I$213)</f>
        <v>0</v>
      </c>
      <c r="K69" s="579"/>
      <c r="L69" s="182"/>
      <c r="M69" s="163"/>
      <c r="O69" s="325">
        <f t="shared" ref="O69:O84" si="12">I69/I$233</f>
        <v>0</v>
      </c>
      <c r="P69" s="325">
        <f>SUMMARY!L71</f>
        <v>5.5678350677000719</v>
      </c>
    </row>
    <row r="70" spans="1:16" s="261" customFormat="1">
      <c r="A70" s="277">
        <v>240</v>
      </c>
      <c r="B70" s="276" t="s">
        <v>235</v>
      </c>
      <c r="C70" s="480">
        <f>'[55]Sch C'!D58</f>
        <v>7639</v>
      </c>
      <c r="D70" s="480">
        <f>'[55]Sch C'!F58-106880</f>
        <v>0</v>
      </c>
      <c r="E70" s="480">
        <f>+'[55]Sch C'!H58</f>
        <v>0</v>
      </c>
      <c r="F70" s="236">
        <f t="shared" ref="F70:F83" si="13">C70+D70+E70</f>
        <v>7639</v>
      </c>
      <c r="G70" s="628"/>
      <c r="H70" s="480">
        <v>106880</v>
      </c>
      <c r="I70" s="236">
        <f t="shared" ref="I70:I83" si="14">F70+G70+H70</f>
        <v>114519</v>
      </c>
      <c r="J70" s="265">
        <f t="shared" si="11"/>
        <v>3.0548721394668545E-2</v>
      </c>
      <c r="K70" s="579"/>
      <c r="L70" s="182"/>
      <c r="M70" s="163"/>
      <c r="O70" s="325">
        <f t="shared" si="12"/>
        <v>7.1236003981089819</v>
      </c>
      <c r="P70" s="325">
        <f>SUMMARY!L72</f>
        <v>7.239229297174937</v>
      </c>
    </row>
    <row r="71" spans="1:16" s="261" customFormat="1">
      <c r="A71" s="278">
        <v>250</v>
      </c>
      <c r="B71" s="276" t="s">
        <v>288</v>
      </c>
      <c r="C71" s="480">
        <f>'[55]Sch C'!D59</f>
        <v>0</v>
      </c>
      <c r="D71" s="480">
        <f>'[55]Sch C'!F59</f>
        <v>0</v>
      </c>
      <c r="E71" s="480">
        <f>+'[55]Sch C'!H59</f>
        <v>0</v>
      </c>
      <c r="F71" s="236">
        <f t="shared" si="13"/>
        <v>0</v>
      </c>
      <c r="G71" s="628"/>
      <c r="H71" s="609"/>
      <c r="I71" s="236">
        <f t="shared" si="14"/>
        <v>0</v>
      </c>
      <c r="J71" s="265">
        <f t="shared" si="11"/>
        <v>0</v>
      </c>
      <c r="K71" s="579"/>
      <c r="L71" s="182"/>
      <c r="M71" s="163"/>
      <c r="O71" s="325">
        <f t="shared" si="12"/>
        <v>0</v>
      </c>
      <c r="P71" s="325">
        <f>SUMMARY!L73</f>
        <v>5.8636471293295891</v>
      </c>
    </row>
    <row r="72" spans="1:16" s="261" customFormat="1">
      <c r="A72" s="278">
        <v>260</v>
      </c>
      <c r="B72" s="279" t="s">
        <v>289</v>
      </c>
      <c r="C72" s="480">
        <f>'[55]Sch C'!D60</f>
        <v>12809</v>
      </c>
      <c r="D72" s="480">
        <f>'[55]Sch C'!F60</f>
        <v>0</v>
      </c>
      <c r="E72" s="480">
        <f>+'[55]Sch C'!H60</f>
        <v>0</v>
      </c>
      <c r="F72" s="236">
        <f t="shared" si="13"/>
        <v>12809</v>
      </c>
      <c r="G72" s="628"/>
      <c r="H72" s="609"/>
      <c r="I72" s="236">
        <f t="shared" si="14"/>
        <v>12809</v>
      </c>
      <c r="J72" s="265">
        <f t="shared" si="11"/>
        <v>3.4168877858199022E-3</v>
      </c>
      <c r="K72" s="579"/>
      <c r="L72" s="185"/>
      <c r="M72" s="163"/>
      <c r="O72" s="325">
        <f t="shared" si="12"/>
        <v>0.79677780542423493</v>
      </c>
      <c r="P72" s="325">
        <f>SUMMARY!L74</f>
        <v>1.2959622397945991</v>
      </c>
    </row>
    <row r="73" spans="1:16" s="261" customFormat="1">
      <c r="A73" s="278">
        <v>270</v>
      </c>
      <c r="B73" s="279" t="s">
        <v>290</v>
      </c>
      <c r="C73" s="480">
        <f>'[55]Sch C'!D61</f>
        <v>6149</v>
      </c>
      <c r="D73" s="480">
        <f>'[55]Sch C'!F61</f>
        <v>0</v>
      </c>
      <c r="E73" s="480">
        <f>+'[55]Sch C'!H61</f>
        <v>0</v>
      </c>
      <c r="F73" s="236">
        <f t="shared" si="13"/>
        <v>6149</v>
      </c>
      <c r="G73" s="628"/>
      <c r="H73" s="609"/>
      <c r="I73" s="236">
        <f t="shared" si="14"/>
        <v>6149</v>
      </c>
      <c r="J73" s="265">
        <f t="shared" si="11"/>
        <v>1.6402875318140822E-3</v>
      </c>
      <c r="K73" s="579"/>
      <c r="L73" s="185"/>
      <c r="M73" s="163"/>
      <c r="O73" s="325">
        <f t="shared" si="12"/>
        <v>0.3824956456830057</v>
      </c>
      <c r="P73" s="325">
        <f>SUMMARY!L75</f>
        <v>0.50050008022994208</v>
      </c>
    </row>
    <row r="74" spans="1:16" s="261" customFormat="1">
      <c r="A74" s="278">
        <v>280</v>
      </c>
      <c r="B74" s="280" t="s">
        <v>239</v>
      </c>
      <c r="C74" s="480">
        <f>'[55]Sch C'!D62</f>
        <v>5518</v>
      </c>
      <c r="D74" s="480">
        <f>'[55]Sch C'!F62</f>
        <v>0</v>
      </c>
      <c r="E74" s="480">
        <f>+'[55]Sch C'!H62</f>
        <v>0</v>
      </c>
      <c r="F74" s="236">
        <f t="shared" si="13"/>
        <v>5518</v>
      </c>
      <c r="G74" s="628"/>
      <c r="H74" s="609"/>
      <c r="I74" s="236">
        <f t="shared" si="14"/>
        <v>5518</v>
      </c>
      <c r="J74" s="265">
        <f t="shared" si="11"/>
        <v>1.4719639942348522E-3</v>
      </c>
      <c r="K74" s="579"/>
      <c r="L74" s="187"/>
      <c r="M74" s="163"/>
      <c r="O74" s="325">
        <f t="shared" si="12"/>
        <v>0.34324458820602138</v>
      </c>
      <c r="P74" s="325">
        <f>SUMMARY!L76</f>
        <v>0.18067081385468792</v>
      </c>
    </row>
    <row r="75" spans="1:16" s="261" customFormat="1">
      <c r="A75" s="278">
        <v>290</v>
      </c>
      <c r="B75" s="280" t="s">
        <v>240</v>
      </c>
      <c r="C75" s="480">
        <f>'[55]Sch C'!D63</f>
        <v>0</v>
      </c>
      <c r="D75" s="480">
        <f>'[55]Sch C'!F63</f>
        <v>0</v>
      </c>
      <c r="E75" s="480">
        <f>+'[55]Sch C'!H63</f>
        <v>0</v>
      </c>
      <c r="F75" s="236">
        <f t="shared" si="13"/>
        <v>0</v>
      </c>
      <c r="G75" s="628"/>
      <c r="H75" s="609"/>
      <c r="I75" s="236">
        <f t="shared" si="14"/>
        <v>0</v>
      </c>
      <c r="J75" s="265">
        <f t="shared" si="11"/>
        <v>0</v>
      </c>
      <c r="K75" s="579"/>
      <c r="L75" s="187"/>
      <c r="M75" s="163"/>
      <c r="O75" s="325">
        <f t="shared" si="12"/>
        <v>0</v>
      </c>
      <c r="P75" s="325">
        <f>SUMMARY!L77</f>
        <v>1.4662156559309312E-3</v>
      </c>
    </row>
    <row r="76" spans="1:16" s="261" customFormat="1">
      <c r="A76" s="278">
        <v>300</v>
      </c>
      <c r="B76" s="280" t="s">
        <v>241</v>
      </c>
      <c r="C76" s="480">
        <f>'[55]Sch C'!D64</f>
        <v>0</v>
      </c>
      <c r="D76" s="480">
        <f>'[55]Sch C'!F64</f>
        <v>0</v>
      </c>
      <c r="E76" s="480">
        <f>+'[55]Sch C'!H64</f>
        <v>0</v>
      </c>
      <c r="F76" s="236">
        <f t="shared" si="13"/>
        <v>0</v>
      </c>
      <c r="G76" s="628"/>
      <c r="H76" s="609"/>
      <c r="I76" s="236">
        <f t="shared" si="14"/>
        <v>0</v>
      </c>
      <c r="J76" s="265">
        <f t="shared" si="11"/>
        <v>0</v>
      </c>
      <c r="K76" s="579"/>
      <c r="L76" s="187"/>
      <c r="M76" s="163"/>
      <c r="O76" s="325">
        <f t="shared" si="12"/>
        <v>0</v>
      </c>
      <c r="P76" s="325">
        <f>SUMMARY!L78</f>
        <v>0</v>
      </c>
    </row>
    <row r="77" spans="1:16" s="261" customFormat="1">
      <c r="A77" s="278">
        <v>310</v>
      </c>
      <c r="B77" s="280" t="s">
        <v>291</v>
      </c>
      <c r="C77" s="480">
        <f>'[55]Sch C'!D65</f>
        <v>5869</v>
      </c>
      <c r="D77" s="480">
        <f>'[55]Sch C'!F65</f>
        <v>0</v>
      </c>
      <c r="E77" s="480">
        <f>+'[55]Sch C'!H65</f>
        <v>0</v>
      </c>
      <c r="F77" s="236">
        <f t="shared" si="13"/>
        <v>5869</v>
      </c>
      <c r="G77" s="628"/>
      <c r="H77" s="609"/>
      <c r="I77" s="236">
        <f t="shared" si="14"/>
        <v>5869</v>
      </c>
      <c r="J77" s="265">
        <f t="shared" si="11"/>
        <v>1.565595629243267E-3</v>
      </c>
      <c r="K77" s="579"/>
      <c r="L77" s="187"/>
      <c r="M77" s="163"/>
      <c r="O77" s="325">
        <f t="shared" si="12"/>
        <v>0.36507837770589702</v>
      </c>
      <c r="P77" s="325">
        <f>SUMMARY!L79</f>
        <v>0.14437446490936168</v>
      </c>
    </row>
    <row r="78" spans="1:16" s="261" customFormat="1">
      <c r="A78" s="278">
        <v>320</v>
      </c>
      <c r="B78" s="280" t="s">
        <v>243</v>
      </c>
      <c r="C78" s="480">
        <f>'[55]Sch C'!D66</f>
        <v>4719</v>
      </c>
      <c r="D78" s="480">
        <f>'[55]Sch C'!F66</f>
        <v>0</v>
      </c>
      <c r="E78" s="480">
        <f>+'[55]Sch C'!H66</f>
        <v>0</v>
      </c>
      <c r="F78" s="236">
        <f t="shared" si="13"/>
        <v>4719</v>
      </c>
      <c r="G78" s="628">
        <v>607</v>
      </c>
      <c r="H78" s="609"/>
      <c r="I78" s="236">
        <f t="shared" si="14"/>
        <v>5326</v>
      </c>
      <c r="J78" s="265">
        <f t="shared" si="11"/>
        <v>1.4207466896148646E-3</v>
      </c>
      <c r="K78" s="579"/>
      <c r="L78" s="187"/>
      <c r="M78" s="163"/>
      <c r="O78" s="325">
        <f t="shared" si="12"/>
        <v>0.33130131873600399</v>
      </c>
      <c r="P78" s="325">
        <f>SUMMARY!L80</f>
        <v>1.1839694573213462</v>
      </c>
    </row>
    <row r="79" spans="1:16" s="261" customFormat="1">
      <c r="A79" s="278">
        <v>330</v>
      </c>
      <c r="B79" s="280" t="s">
        <v>244</v>
      </c>
      <c r="C79" s="480">
        <f>'[55]Sch C'!D67</f>
        <v>43909</v>
      </c>
      <c r="D79" s="480">
        <f>'[55]Sch C'!F67</f>
        <v>-4690</v>
      </c>
      <c r="E79" s="480">
        <f>+'[55]Sch C'!H67</f>
        <v>0</v>
      </c>
      <c r="F79" s="236">
        <f t="shared" si="13"/>
        <v>39219</v>
      </c>
      <c r="G79" s="628"/>
      <c r="H79" s="609"/>
      <c r="I79" s="236">
        <f t="shared" si="14"/>
        <v>39219</v>
      </c>
      <c r="J79" s="265">
        <f t="shared" si="11"/>
        <v>1.0461934739017156E-2</v>
      </c>
      <c r="K79" s="579"/>
      <c r="L79" s="187"/>
      <c r="M79" s="163"/>
      <c r="O79" s="325">
        <f t="shared" si="12"/>
        <v>2.4395994028365267</v>
      </c>
      <c r="P79" s="325">
        <f>SUMMARY!L81</f>
        <v>2.3883190965570051</v>
      </c>
    </row>
    <row r="80" spans="1:16" s="261" customFormat="1">
      <c r="A80" s="278">
        <v>340</v>
      </c>
      <c r="B80" s="280" t="s">
        <v>245</v>
      </c>
      <c r="C80" s="480">
        <f>'[55]Sch C'!D68</f>
        <v>0</v>
      </c>
      <c r="D80" s="480">
        <f>'[55]Sch C'!F68</f>
        <v>0</v>
      </c>
      <c r="E80" s="480">
        <f>+'[55]Sch C'!H68</f>
        <v>0</v>
      </c>
      <c r="F80" s="236">
        <f t="shared" si="13"/>
        <v>0</v>
      </c>
      <c r="G80" s="628"/>
      <c r="H80" s="609"/>
      <c r="I80" s="236">
        <f t="shared" si="14"/>
        <v>0</v>
      </c>
      <c r="J80" s="265">
        <f t="shared" si="11"/>
        <v>0</v>
      </c>
      <c r="K80" s="579"/>
      <c r="L80" s="187"/>
      <c r="M80" s="163"/>
      <c r="O80" s="325">
        <f t="shared" si="12"/>
        <v>0</v>
      </c>
      <c r="P80" s="325">
        <f>SUMMARY!L82</f>
        <v>0.12636843743302953</v>
      </c>
    </row>
    <row r="81" spans="1:16" s="261" customFormat="1">
      <c r="A81" s="261">
        <v>350</v>
      </c>
      <c r="B81" s="187" t="s">
        <v>292</v>
      </c>
      <c r="C81" s="480">
        <f>'[55]Sch C'!D69</f>
        <v>4019</v>
      </c>
      <c r="D81" s="480">
        <f>'[55]Sch C'!F69</f>
        <v>0</v>
      </c>
      <c r="E81" s="480">
        <f>+'[55]Sch C'!H69</f>
        <v>0</v>
      </c>
      <c r="F81" s="236">
        <f t="shared" si="13"/>
        <v>4019</v>
      </c>
      <c r="G81" s="628"/>
      <c r="H81" s="609"/>
      <c r="I81" s="236">
        <f t="shared" si="14"/>
        <v>4019</v>
      </c>
      <c r="J81" s="265">
        <f t="shared" si="11"/>
        <v>1.0720955586860947E-3</v>
      </c>
      <c r="K81" s="579"/>
      <c r="L81" s="187"/>
      <c r="M81" s="163"/>
      <c r="O81" s="325">
        <f t="shared" si="12"/>
        <v>0.25</v>
      </c>
      <c r="P81" s="325">
        <f>SUMMARY!L83</f>
        <v>0.19472433207226941</v>
      </c>
    </row>
    <row r="82" spans="1:16" s="261" customFormat="1">
      <c r="A82" s="278">
        <v>360</v>
      </c>
      <c r="B82" s="280" t="s">
        <v>181</v>
      </c>
      <c r="C82" s="480">
        <f>'[55]Sch C'!D70</f>
        <v>0</v>
      </c>
      <c r="D82" s="480">
        <f>'[55]Sch C'!F70</f>
        <v>0</v>
      </c>
      <c r="E82" s="480">
        <f>+'[55]Sch C'!H70</f>
        <v>0</v>
      </c>
      <c r="F82" s="236">
        <f t="shared" si="13"/>
        <v>0</v>
      </c>
      <c r="G82" s="628"/>
      <c r="H82" s="609"/>
      <c r="I82" s="236">
        <f t="shared" si="14"/>
        <v>0</v>
      </c>
      <c r="J82" s="265">
        <f t="shared" si="11"/>
        <v>0</v>
      </c>
      <c r="K82" s="579"/>
      <c r="L82" s="187"/>
      <c r="M82" s="163"/>
      <c r="O82" s="325">
        <f t="shared" si="12"/>
        <v>0</v>
      </c>
      <c r="P82" s="325">
        <f>SUMMARY!L84</f>
        <v>1.2406564424643622E-2</v>
      </c>
    </row>
    <row r="83" spans="1:16" s="261" customFormat="1">
      <c r="A83" s="278">
        <v>490</v>
      </c>
      <c r="B83" s="280" t="s">
        <v>293</v>
      </c>
      <c r="C83" s="480">
        <f>'[55]Sch C'!D71</f>
        <v>0</v>
      </c>
      <c r="D83" s="480">
        <f>'[55]Sch C'!F71</f>
        <v>0</v>
      </c>
      <c r="E83" s="480">
        <f>+'[55]Sch C'!H71</f>
        <v>0</v>
      </c>
      <c r="F83" s="236">
        <f t="shared" si="13"/>
        <v>0</v>
      </c>
      <c r="G83" s="628"/>
      <c r="H83" s="609"/>
      <c r="I83" s="236">
        <f t="shared" si="14"/>
        <v>0</v>
      </c>
      <c r="J83" s="265">
        <f t="shared" si="11"/>
        <v>0</v>
      </c>
      <c r="K83" s="579"/>
      <c r="L83" s="187"/>
      <c r="M83" s="163"/>
      <c r="O83" s="325">
        <f t="shared" si="12"/>
        <v>0</v>
      </c>
      <c r="P83" s="325">
        <f>SUMMARY!L85</f>
        <v>4.4804703255419236E-3</v>
      </c>
    </row>
    <row r="84" spans="1:16" s="261" customFormat="1">
      <c r="A84" s="257"/>
      <c r="B84" s="264" t="s">
        <v>142</v>
      </c>
      <c r="C84" s="480">
        <f t="shared" ref="C84:E84" si="15">SUM(C69:C83)</f>
        <v>431193</v>
      </c>
      <c r="D84" s="480">
        <f t="shared" si="15"/>
        <v>-4690</v>
      </c>
      <c r="E84" s="480">
        <f t="shared" si="15"/>
        <v>0</v>
      </c>
      <c r="F84" s="236">
        <f t="shared" ref="F84:I84" si="16">SUM(F69:F83)</f>
        <v>426503</v>
      </c>
      <c r="G84" s="236">
        <f t="shared" si="16"/>
        <v>607</v>
      </c>
      <c r="H84" s="236">
        <f t="shared" si="16"/>
        <v>-233682</v>
      </c>
      <c r="I84" s="236">
        <f t="shared" si="16"/>
        <v>193428</v>
      </c>
      <c r="J84" s="265">
        <f t="shared" si="11"/>
        <v>5.1598233323098763E-2</v>
      </c>
      <c r="K84" s="579"/>
      <c r="L84" s="187"/>
      <c r="M84" s="163"/>
      <c r="O84" s="325">
        <f t="shared" si="12"/>
        <v>12.032097536700672</v>
      </c>
      <c r="P84" s="325">
        <f>SUMMARY!L86</f>
        <v>24.703953666782958</v>
      </c>
    </row>
    <row r="85" spans="1:16" s="261" customFormat="1">
      <c r="A85" s="257"/>
      <c r="B85" s="264"/>
      <c r="C85" s="188"/>
      <c r="D85" s="188"/>
      <c r="E85" s="188"/>
      <c r="F85" s="281"/>
      <c r="G85" s="281"/>
      <c r="H85" s="281"/>
      <c r="I85" s="281"/>
      <c r="J85" s="282"/>
      <c r="K85" s="579"/>
      <c r="L85" s="163"/>
      <c r="M85" s="163"/>
      <c r="O85" s="325"/>
      <c r="P85" s="325"/>
    </row>
    <row r="86" spans="1:16" s="261" customFormat="1">
      <c r="A86" s="263" t="s">
        <v>155</v>
      </c>
      <c r="B86" s="264" t="s">
        <v>35</v>
      </c>
      <c r="C86" s="160"/>
      <c r="D86" s="160"/>
      <c r="E86" s="160"/>
      <c r="F86" s="259"/>
      <c r="G86" s="259"/>
      <c r="H86" s="259"/>
      <c r="I86" s="259"/>
      <c r="J86" s="283"/>
      <c r="K86" s="581"/>
      <c r="L86" s="163"/>
      <c r="M86" s="163"/>
      <c r="O86" s="325"/>
      <c r="P86" s="325"/>
    </row>
    <row r="87" spans="1:16" s="261" customFormat="1">
      <c r="A87" s="263" t="s">
        <v>77</v>
      </c>
      <c r="B87" s="284" t="s">
        <v>36</v>
      </c>
      <c r="C87" s="480">
        <f>'[55]Sch C'!D75</f>
        <v>28115</v>
      </c>
      <c r="D87" s="480">
        <f>'[55]Sch C'!F75</f>
        <v>0</v>
      </c>
      <c r="E87" s="480">
        <f>+'[55]Sch C'!H75</f>
        <v>0</v>
      </c>
      <c r="F87" s="236">
        <f t="shared" ref="F87:F97" si="17">C87+D87+E87</f>
        <v>28115</v>
      </c>
      <c r="G87" s="628"/>
      <c r="H87" s="609"/>
      <c r="I87" s="236">
        <f t="shared" ref="I87:I97" si="18">F87+G87+H87</f>
        <v>28115</v>
      </c>
      <c r="J87" s="265">
        <f t="shared" ref="J87:J98" si="19">IF($I$213=0,0,I87/$I$213)</f>
        <v>7.4998672884945394E-3</v>
      </c>
      <c r="K87" s="579"/>
      <c r="L87" s="176">
        <v>2056</v>
      </c>
      <c r="M87" s="176">
        <v>2130</v>
      </c>
      <c r="O87" s="325">
        <f t="shared" ref="O87:O97" si="20">I87/I$233</f>
        <v>1.7488803184871859</v>
      </c>
      <c r="P87" s="325">
        <f>SUMMARY!L89</f>
        <v>2.4551177909052431</v>
      </c>
    </row>
    <row r="88" spans="1:16" s="261" customFormat="1">
      <c r="A88" s="263" t="s">
        <v>78</v>
      </c>
      <c r="B88" s="285" t="s">
        <v>37</v>
      </c>
      <c r="C88" s="480">
        <f>'[55]Sch C'!D76</f>
        <v>3324</v>
      </c>
      <c r="D88" s="480">
        <f>'[55]Sch C'!F76</f>
        <v>2037</v>
      </c>
      <c r="E88" s="480">
        <f>+'[55]Sch C'!H76</f>
        <v>0</v>
      </c>
      <c r="F88" s="236">
        <f t="shared" si="17"/>
        <v>5361</v>
      </c>
      <c r="G88" s="628"/>
      <c r="H88" s="609"/>
      <c r="I88" s="236">
        <f t="shared" si="18"/>
        <v>5361</v>
      </c>
      <c r="J88" s="265">
        <f t="shared" si="19"/>
        <v>1.4300831774362165E-3</v>
      </c>
      <c r="K88" s="579"/>
      <c r="L88" s="163"/>
      <c r="M88" s="163"/>
      <c r="O88" s="325">
        <f t="shared" si="20"/>
        <v>0.33347847723314256</v>
      </c>
      <c r="P88" s="325">
        <f>SUMMARY!L90</f>
        <v>0.50076580891723654</v>
      </c>
    </row>
    <row r="89" spans="1:16" s="261" customFormat="1">
      <c r="A89" s="263" t="s">
        <v>85</v>
      </c>
      <c r="B89" s="285" t="s">
        <v>39</v>
      </c>
      <c r="C89" s="480">
        <f>'[55]Sch C'!D77</f>
        <v>11196</v>
      </c>
      <c r="D89" s="480">
        <f>'[55]Sch C'!F77</f>
        <v>0</v>
      </c>
      <c r="E89" s="480">
        <f>+'[55]Sch C'!H77</f>
        <v>0</v>
      </c>
      <c r="F89" s="236">
        <f t="shared" si="17"/>
        <v>11196</v>
      </c>
      <c r="G89" s="628"/>
      <c r="H89" s="609"/>
      <c r="I89" s="236">
        <f t="shared" si="18"/>
        <v>11196</v>
      </c>
      <c r="J89" s="265">
        <f t="shared" si="19"/>
        <v>2.9866090756530271E-3</v>
      </c>
      <c r="K89" s="579"/>
      <c r="L89" s="163"/>
      <c r="M89" s="163"/>
      <c r="O89" s="325">
        <f t="shared" si="20"/>
        <v>0.6964419009703906</v>
      </c>
      <c r="P89" s="325">
        <f>SUMMARY!L91</f>
        <v>0.61766396792525358</v>
      </c>
    </row>
    <row r="90" spans="1:16" s="261" customFormat="1">
      <c r="A90" s="263">
        <v>230</v>
      </c>
      <c r="B90" s="285" t="s">
        <v>38</v>
      </c>
      <c r="C90" s="480">
        <f>'[55]Sch C'!D78</f>
        <v>0</v>
      </c>
      <c r="D90" s="480">
        <f>'[55]Sch C'!F78</f>
        <v>0</v>
      </c>
      <c r="E90" s="480">
        <f>+'[55]Sch C'!H78</f>
        <v>0</v>
      </c>
      <c r="F90" s="236">
        <f t="shared" si="17"/>
        <v>0</v>
      </c>
      <c r="G90" s="628"/>
      <c r="H90" s="609"/>
      <c r="I90" s="236">
        <f t="shared" si="18"/>
        <v>0</v>
      </c>
      <c r="J90" s="265">
        <f t="shared" si="19"/>
        <v>0</v>
      </c>
      <c r="K90" s="579"/>
      <c r="L90" s="163"/>
      <c r="M90" s="163"/>
      <c r="O90" s="325">
        <f t="shared" si="20"/>
        <v>0</v>
      </c>
      <c r="P90" s="325">
        <f>SUMMARY!L92</f>
        <v>0.24523901522861224</v>
      </c>
    </row>
    <row r="91" spans="1:16" s="261" customFormat="1">
      <c r="A91" s="263">
        <v>240</v>
      </c>
      <c r="B91" s="286" t="s">
        <v>248</v>
      </c>
      <c r="C91" s="480">
        <f>'[55]Sch C'!D79</f>
        <v>8135</v>
      </c>
      <c r="D91" s="480">
        <f>'[55]Sch C'!F79</f>
        <v>13791</v>
      </c>
      <c r="E91" s="480">
        <f>+'[55]Sch C'!H79</f>
        <v>0</v>
      </c>
      <c r="F91" s="236">
        <f t="shared" si="17"/>
        <v>21926</v>
      </c>
      <c r="G91" s="628"/>
      <c r="H91" s="609"/>
      <c r="I91" s="236">
        <f t="shared" si="18"/>
        <v>21926</v>
      </c>
      <c r="J91" s="265">
        <f t="shared" si="19"/>
        <v>5.8489094848846266E-3</v>
      </c>
      <c r="K91" s="579"/>
      <c r="L91" s="163"/>
      <c r="M91" s="163"/>
      <c r="O91" s="325">
        <f t="shared" si="20"/>
        <v>1.3638964916645933</v>
      </c>
      <c r="P91" s="325">
        <f>SUMMARY!L93</f>
        <v>0.6231522775072933</v>
      </c>
    </row>
    <row r="92" spans="1:16" s="261" customFormat="1">
      <c r="A92" s="263">
        <v>310</v>
      </c>
      <c r="B92" s="285" t="s">
        <v>46</v>
      </c>
      <c r="C92" s="480">
        <f>'[55]Sch C'!D80</f>
        <v>7166</v>
      </c>
      <c r="D92" s="480">
        <f>'[55]Sch C'!F80</f>
        <v>0</v>
      </c>
      <c r="E92" s="480">
        <f>+'[55]Sch C'!H80</f>
        <v>0</v>
      </c>
      <c r="F92" s="236">
        <f t="shared" si="17"/>
        <v>7166</v>
      </c>
      <c r="G92" s="628"/>
      <c r="H92" s="609"/>
      <c r="I92" s="236">
        <f t="shared" si="18"/>
        <v>7166</v>
      </c>
      <c r="J92" s="265">
        <f t="shared" si="19"/>
        <v>1.9115791922230791E-3</v>
      </c>
      <c r="K92" s="579"/>
      <c r="L92" s="163"/>
      <c r="M92" s="163"/>
      <c r="O92" s="325">
        <f t="shared" si="20"/>
        <v>0.44575765115700422</v>
      </c>
      <c r="P92" s="325">
        <f>SUMMARY!L94</f>
        <v>1.1835704208895077</v>
      </c>
    </row>
    <row r="93" spans="1:16" s="261" customFormat="1">
      <c r="A93" s="263">
        <v>320</v>
      </c>
      <c r="B93" s="287" t="s">
        <v>294</v>
      </c>
      <c r="C93" s="480">
        <f>'[55]Sch C'!D81</f>
        <v>9340</v>
      </c>
      <c r="D93" s="480">
        <f>'[55]Sch C'!F81</f>
        <v>0</v>
      </c>
      <c r="E93" s="480">
        <f>+'[55]Sch C'!H81</f>
        <v>0</v>
      </c>
      <c r="F93" s="236">
        <f t="shared" si="17"/>
        <v>9340</v>
      </c>
      <c r="G93" s="628"/>
      <c r="H93" s="609"/>
      <c r="I93" s="236">
        <f t="shared" si="18"/>
        <v>9340</v>
      </c>
      <c r="J93" s="265">
        <f t="shared" si="19"/>
        <v>2.4915084643264804E-3</v>
      </c>
      <c r="K93" s="579"/>
      <c r="L93" s="163"/>
      <c r="M93" s="163"/>
      <c r="O93" s="325">
        <f t="shared" si="20"/>
        <v>0.58099029609355557</v>
      </c>
      <c r="P93" s="325">
        <f>SUMMARY!L95</f>
        <v>0.70603607941087931</v>
      </c>
    </row>
    <row r="94" spans="1:16" s="261" customFormat="1">
      <c r="A94" s="263">
        <v>330</v>
      </c>
      <c r="B94" s="287" t="s">
        <v>295</v>
      </c>
      <c r="C94" s="480">
        <f>'[55]Sch C'!D82</f>
        <v>692</v>
      </c>
      <c r="D94" s="480">
        <f>'[55]Sch C'!F82</f>
        <v>0</v>
      </c>
      <c r="E94" s="480">
        <f>+'[55]Sch C'!H82</f>
        <v>0</v>
      </c>
      <c r="F94" s="236">
        <f t="shared" si="17"/>
        <v>692</v>
      </c>
      <c r="G94" s="628"/>
      <c r="H94" s="609"/>
      <c r="I94" s="236">
        <f t="shared" si="18"/>
        <v>692</v>
      </c>
      <c r="J94" s="265">
        <f t="shared" si="19"/>
        <v>1.8459570206787201E-4</v>
      </c>
      <c r="K94" s="579"/>
      <c r="L94" s="163"/>
      <c r="M94" s="163"/>
      <c r="O94" s="325">
        <f t="shared" si="20"/>
        <v>4.3045533714854443E-2</v>
      </c>
      <c r="P94" s="325">
        <f>SUMMARY!L96</f>
        <v>0.41394888006539005</v>
      </c>
    </row>
    <row r="95" spans="1:16" s="261" customFormat="1">
      <c r="A95" s="257">
        <v>340</v>
      </c>
      <c r="B95" s="287" t="s">
        <v>330</v>
      </c>
      <c r="C95" s="480">
        <f>'[55]Sch C'!D83</f>
        <v>1971</v>
      </c>
      <c r="D95" s="480">
        <f>'[55]Sch C'!F83</f>
        <v>0</v>
      </c>
      <c r="E95" s="480">
        <f>+'[55]Sch C'!H83</f>
        <v>0</v>
      </c>
      <c r="F95" s="236">
        <f t="shared" si="17"/>
        <v>1971</v>
      </c>
      <c r="G95" s="628"/>
      <c r="H95" s="609"/>
      <c r="I95" s="236">
        <f t="shared" si="18"/>
        <v>1971</v>
      </c>
      <c r="J95" s="265">
        <f t="shared" si="19"/>
        <v>5.2577764273956031E-4</v>
      </c>
      <c r="K95" s="579"/>
      <c r="L95" s="163"/>
      <c r="M95" s="163"/>
      <c r="O95" s="325">
        <f t="shared" si="20"/>
        <v>0.12260512565314755</v>
      </c>
      <c r="P95" s="325">
        <f>SUMMARY!L97</f>
        <v>0.21173503442349134</v>
      </c>
    </row>
    <row r="96" spans="1:16" s="261" customFormat="1">
      <c r="A96" s="257">
        <v>350</v>
      </c>
      <c r="B96" s="285" t="s">
        <v>41</v>
      </c>
      <c r="C96" s="480">
        <f>'[55]Sch C'!D84</f>
        <v>82078</v>
      </c>
      <c r="D96" s="480">
        <f>'[55]Sch C'!F84</f>
        <v>0</v>
      </c>
      <c r="E96" s="480">
        <f>+'[55]Sch C'!H84</f>
        <v>0</v>
      </c>
      <c r="F96" s="236">
        <f t="shared" si="17"/>
        <v>82078</v>
      </c>
      <c r="G96" s="628"/>
      <c r="H96" s="609"/>
      <c r="I96" s="236">
        <f t="shared" si="18"/>
        <v>82078</v>
      </c>
      <c r="J96" s="265">
        <f t="shared" si="19"/>
        <v>2.1894864211454909E-2</v>
      </c>
      <c r="K96" s="579"/>
      <c r="L96" s="163"/>
      <c r="M96" s="163"/>
      <c r="O96" s="325">
        <f t="shared" si="20"/>
        <v>5.1056232893754663</v>
      </c>
      <c r="P96" s="325">
        <f>SUMMARY!L98</f>
        <v>4.6189606641285916</v>
      </c>
    </row>
    <row r="97" spans="1:16" s="261" customFormat="1">
      <c r="A97" s="257">
        <v>490</v>
      </c>
      <c r="B97" s="284" t="s">
        <v>293</v>
      </c>
      <c r="C97" s="480">
        <f>'[55]Sch C'!D85</f>
        <v>77</v>
      </c>
      <c r="D97" s="480">
        <f>'[55]Sch C'!F85</f>
        <v>0</v>
      </c>
      <c r="E97" s="480">
        <f>+'[55]Sch C'!H85</f>
        <v>0</v>
      </c>
      <c r="F97" s="236">
        <f t="shared" si="17"/>
        <v>77</v>
      </c>
      <c r="G97" s="628"/>
      <c r="H97" s="609"/>
      <c r="I97" s="236">
        <f t="shared" si="18"/>
        <v>77</v>
      </c>
      <c r="J97" s="265">
        <f t="shared" si="19"/>
        <v>2.0540273206974195E-5</v>
      </c>
      <c r="K97" s="579"/>
      <c r="L97" s="163"/>
      <c r="M97" s="163"/>
      <c r="O97" s="325">
        <f t="shared" si="20"/>
        <v>4.7897486937049016E-3</v>
      </c>
      <c r="P97" s="325">
        <f>SUMMARY!L99</f>
        <v>9.3095120404143514E-2</v>
      </c>
    </row>
    <row r="98" spans="1:16" s="261" customFormat="1">
      <c r="A98" s="257"/>
      <c r="B98" s="264" t="s">
        <v>42</v>
      </c>
      <c r="C98" s="480">
        <f t="shared" ref="C98:E98" si="21">SUM(C87:C97)</f>
        <v>152094</v>
      </c>
      <c r="D98" s="480">
        <f t="shared" si="21"/>
        <v>15828</v>
      </c>
      <c r="E98" s="480">
        <f t="shared" si="21"/>
        <v>0</v>
      </c>
      <c r="F98" s="236">
        <f t="shared" ref="F98:I98" si="22">SUM(F87:F97)</f>
        <v>167922</v>
      </c>
      <c r="G98" s="236">
        <f t="shared" si="22"/>
        <v>0</v>
      </c>
      <c r="H98" s="236">
        <f t="shared" si="22"/>
        <v>0</v>
      </c>
      <c r="I98" s="236">
        <f t="shared" si="22"/>
        <v>167922</v>
      </c>
      <c r="J98" s="265">
        <f t="shared" si="19"/>
        <v>4.4794334512487287E-2</v>
      </c>
      <c r="K98" s="579"/>
      <c r="L98" s="163"/>
      <c r="M98" s="163"/>
      <c r="O98" s="332">
        <f>I98/I$233</f>
        <v>10.445508833043046</v>
      </c>
      <c r="P98" s="325">
        <f>SUMMARY!L100</f>
        <v>11.669285059805642</v>
      </c>
    </row>
    <row r="99" spans="1:16" s="261" customFormat="1">
      <c r="A99" s="257"/>
      <c r="C99" s="160"/>
      <c r="D99" s="160"/>
      <c r="E99" s="160"/>
      <c r="F99" s="259"/>
      <c r="G99" s="259"/>
      <c r="H99" s="259"/>
      <c r="I99" s="259"/>
      <c r="J99" s="283"/>
      <c r="K99" s="581"/>
      <c r="L99" s="163"/>
      <c r="M99" s="163"/>
      <c r="O99" s="325"/>
      <c r="P99" s="325"/>
    </row>
    <row r="100" spans="1:16" s="261" customFormat="1">
      <c r="A100" s="263" t="s">
        <v>156</v>
      </c>
      <c r="B100" s="264" t="s">
        <v>43</v>
      </c>
      <c r="C100" s="160"/>
      <c r="D100" s="160"/>
      <c r="E100" s="160"/>
      <c r="F100" s="259"/>
      <c r="G100" s="259"/>
      <c r="H100" s="259"/>
      <c r="I100" s="259"/>
      <c r="J100" s="283"/>
      <c r="K100" s="581"/>
      <c r="L100" s="163"/>
      <c r="M100" s="163"/>
      <c r="O100" s="325"/>
      <c r="P100" s="325"/>
    </row>
    <row r="101" spans="1:16" s="261" customFormat="1">
      <c r="A101" s="263" t="s">
        <v>77</v>
      </c>
      <c r="B101" s="264" t="s">
        <v>36</v>
      </c>
      <c r="C101" s="480">
        <f>'[55]Sch C'!D89</f>
        <v>101563</v>
      </c>
      <c r="D101" s="480">
        <f>'[55]Sch C'!F89</f>
        <v>0</v>
      </c>
      <c r="E101" s="480">
        <f>+'[55]Sch C'!H89</f>
        <v>0</v>
      </c>
      <c r="F101" s="236">
        <f t="shared" ref="F101:F106" si="23">C101+D101+E101</f>
        <v>101563</v>
      </c>
      <c r="G101" s="628"/>
      <c r="H101" s="609"/>
      <c r="I101" s="236">
        <f t="shared" ref="I101:I106" si="24">F101+G101+H101</f>
        <v>101563</v>
      </c>
      <c r="J101" s="265">
        <f t="shared" ref="J101:J107" si="25">IF($I$213=0,0,I101/$I$213)</f>
        <v>2.7092620359998966E-2</v>
      </c>
      <c r="K101" s="579"/>
      <c r="L101" s="176">
        <v>10152</v>
      </c>
      <c r="M101" s="176">
        <v>10684</v>
      </c>
      <c r="O101" s="332">
        <f t="shared" ref="O101:O106" si="26">I101/I$233</f>
        <v>6.3176785269967652</v>
      </c>
      <c r="P101" s="325">
        <f>SUMMARY!L103</f>
        <v>8.3473223649132038</v>
      </c>
    </row>
    <row r="102" spans="1:16" s="261" customFormat="1">
      <c r="A102" s="263" t="s">
        <v>78</v>
      </c>
      <c r="B102" s="264" t="s">
        <v>37</v>
      </c>
      <c r="C102" s="480">
        <f>'[55]Sch C'!D90</f>
        <v>14092</v>
      </c>
      <c r="D102" s="480">
        <f>'[55]Sch C'!F90</f>
        <v>7358</v>
      </c>
      <c r="E102" s="480">
        <f>+'[55]Sch C'!H90</f>
        <v>0</v>
      </c>
      <c r="F102" s="236">
        <f t="shared" si="23"/>
        <v>21450</v>
      </c>
      <c r="G102" s="628"/>
      <c r="H102" s="609"/>
      <c r="I102" s="236">
        <f t="shared" si="24"/>
        <v>21450</v>
      </c>
      <c r="J102" s="265">
        <f t="shared" si="25"/>
        <v>5.7219332505142407E-3</v>
      </c>
      <c r="K102" s="579"/>
      <c r="L102" s="163"/>
      <c r="M102" s="163"/>
      <c r="O102" s="332">
        <f t="shared" si="26"/>
        <v>1.3342871361035082</v>
      </c>
      <c r="P102" s="325">
        <f>SUMMARY!L104</f>
        <v>1.5609428437092472</v>
      </c>
    </row>
    <row r="103" spans="1:16" s="261" customFormat="1">
      <c r="A103" s="263">
        <v>310</v>
      </c>
      <c r="B103" s="264" t="s">
        <v>46</v>
      </c>
      <c r="C103" s="480">
        <f>'[55]Sch C'!D91</f>
        <v>18301</v>
      </c>
      <c r="D103" s="480">
        <f>'[55]Sch C'!F91</f>
        <v>0</v>
      </c>
      <c r="E103" s="480">
        <f>+'[55]Sch C'!H91</f>
        <v>0</v>
      </c>
      <c r="F103" s="236">
        <f t="shared" si="23"/>
        <v>18301</v>
      </c>
      <c r="G103" s="628"/>
      <c r="H103" s="609"/>
      <c r="I103" s="236">
        <f t="shared" si="24"/>
        <v>18301</v>
      </c>
      <c r="J103" s="265">
        <f t="shared" si="25"/>
        <v>4.8819161033874644E-3</v>
      </c>
      <c r="K103" s="579"/>
      <c r="L103" s="163"/>
      <c r="M103" s="163"/>
      <c r="O103" s="332">
        <f t="shared" si="26"/>
        <v>1.1384050758895248</v>
      </c>
      <c r="P103" s="325">
        <f>SUMMARY!L105</f>
        <v>3.2648403854914108</v>
      </c>
    </row>
    <row r="104" spans="1:16" s="261" customFormat="1">
      <c r="A104" s="263">
        <v>380</v>
      </c>
      <c r="B104" s="264" t="s">
        <v>44</v>
      </c>
      <c r="C104" s="480">
        <f>'[55]Sch C'!D92</f>
        <v>118964</v>
      </c>
      <c r="D104" s="480">
        <f>'[55]Sch C'!F92</f>
        <v>0</v>
      </c>
      <c r="E104" s="480">
        <f>+'[55]Sch C'!H92</f>
        <v>0</v>
      </c>
      <c r="F104" s="236">
        <f t="shared" si="23"/>
        <v>118964</v>
      </c>
      <c r="G104" s="628"/>
      <c r="H104" s="609"/>
      <c r="I104" s="236">
        <f t="shared" si="24"/>
        <v>118964</v>
      </c>
      <c r="J104" s="265">
        <f t="shared" si="25"/>
        <v>3.1734455347980237E-2</v>
      </c>
      <c r="K104" s="579"/>
      <c r="L104" s="163"/>
      <c r="M104" s="163"/>
      <c r="O104" s="332">
        <f t="shared" si="26"/>
        <v>7.4000995272455832</v>
      </c>
      <c r="P104" s="325">
        <f>SUMMARY!L106</f>
        <v>6.7215221396948683</v>
      </c>
    </row>
    <row r="105" spans="1:16" s="261" customFormat="1">
      <c r="A105" s="263">
        <v>390</v>
      </c>
      <c r="B105" s="264" t="s">
        <v>526</v>
      </c>
      <c r="C105" s="480">
        <f>'[55]Sch C'!D93</f>
        <v>14778</v>
      </c>
      <c r="D105" s="480">
        <f>'[55]Sch C'!F93</f>
        <v>0</v>
      </c>
      <c r="E105" s="480">
        <f>+'[55]Sch C'!H93</f>
        <v>0</v>
      </c>
      <c r="F105" s="236">
        <f t="shared" si="23"/>
        <v>14778</v>
      </c>
      <c r="G105" s="628"/>
      <c r="H105" s="609"/>
      <c r="I105" s="236">
        <f t="shared" si="24"/>
        <v>14778</v>
      </c>
      <c r="J105" s="265">
        <f t="shared" si="25"/>
        <v>3.942131914969671E-3</v>
      </c>
      <c r="K105" s="579"/>
      <c r="L105" s="163"/>
      <c r="M105" s="163"/>
      <c r="O105" s="332">
        <f t="shared" si="26"/>
        <v>0.91925852202040303</v>
      </c>
      <c r="P105" s="325">
        <f>SUMMARY!L107</f>
        <v>0.67646258646257007</v>
      </c>
    </row>
    <row r="106" spans="1:16" s="261" customFormat="1">
      <c r="A106" s="263">
        <v>490</v>
      </c>
      <c r="B106" s="23" t="s">
        <v>293</v>
      </c>
      <c r="C106" s="480">
        <f>'[55]Sch C'!D94</f>
        <v>0</v>
      </c>
      <c r="D106" s="480">
        <f>'[55]Sch C'!F94</f>
        <v>0</v>
      </c>
      <c r="E106" s="480">
        <f>+'[55]Sch C'!H94</f>
        <v>0</v>
      </c>
      <c r="F106" s="236">
        <f t="shared" si="23"/>
        <v>0</v>
      </c>
      <c r="G106" s="628"/>
      <c r="H106" s="609"/>
      <c r="I106" s="236">
        <f t="shared" si="24"/>
        <v>0</v>
      </c>
      <c r="J106" s="265">
        <f t="shared" si="25"/>
        <v>0</v>
      </c>
      <c r="K106" s="579"/>
      <c r="L106" s="163"/>
      <c r="M106" s="163"/>
      <c r="O106" s="332">
        <f t="shared" si="26"/>
        <v>0</v>
      </c>
      <c r="P106" s="325">
        <f>SUMMARY!L108</f>
        <v>5.9815901897626589E-2</v>
      </c>
    </row>
    <row r="107" spans="1:16" s="261" customFormat="1">
      <c r="A107" s="263"/>
      <c r="B107" s="264" t="s">
        <v>47</v>
      </c>
      <c r="C107" s="480">
        <f t="shared" ref="C107:E107" si="27">SUM(C101:C106)</f>
        <v>267698</v>
      </c>
      <c r="D107" s="480">
        <f t="shared" si="27"/>
        <v>7358</v>
      </c>
      <c r="E107" s="480">
        <f t="shared" si="27"/>
        <v>0</v>
      </c>
      <c r="F107" s="236">
        <f t="shared" ref="F107:I107" si="28">SUM(F101:F106)</f>
        <v>275056</v>
      </c>
      <c r="G107" s="236">
        <f t="shared" si="28"/>
        <v>0</v>
      </c>
      <c r="H107" s="236">
        <f t="shared" si="28"/>
        <v>0</v>
      </c>
      <c r="I107" s="236">
        <f t="shared" si="28"/>
        <v>275056</v>
      </c>
      <c r="J107" s="265">
        <f t="shared" si="25"/>
        <v>7.3373056976850579E-2</v>
      </c>
      <c r="K107" s="579"/>
      <c r="L107" s="163"/>
      <c r="M107" s="163"/>
      <c r="O107" s="332">
        <f>I107/I$233</f>
        <v>17.109728788255786</v>
      </c>
      <c r="P107" s="325">
        <f>SUMMARY!L109</f>
        <v>20.630906222168928</v>
      </c>
    </row>
    <row r="108" spans="1:16" s="261" customFormat="1">
      <c r="A108" s="257"/>
      <c r="C108" s="160"/>
      <c r="D108" s="160"/>
      <c r="E108" s="160"/>
      <c r="F108" s="259"/>
      <c r="G108" s="259"/>
      <c r="H108" s="259"/>
      <c r="I108" s="259"/>
      <c r="J108" s="283"/>
      <c r="K108" s="581"/>
      <c r="L108" s="163"/>
      <c r="M108" s="163"/>
      <c r="O108" s="325"/>
      <c r="P108" s="325"/>
    </row>
    <row r="109" spans="1:16" s="261" customFormat="1">
      <c r="A109" s="263" t="s">
        <v>157</v>
      </c>
      <c r="B109" s="264" t="s">
        <v>48</v>
      </c>
      <c r="C109" s="160"/>
      <c r="D109" s="160"/>
      <c r="E109" s="160"/>
      <c r="F109" s="259"/>
      <c r="G109" s="259"/>
      <c r="H109" s="259"/>
      <c r="I109" s="259"/>
      <c r="J109" s="283"/>
      <c r="K109" s="581"/>
      <c r="L109" s="163"/>
      <c r="M109" s="163"/>
      <c r="O109" s="325"/>
      <c r="P109" s="325"/>
    </row>
    <row r="110" spans="1:16" s="261" customFormat="1">
      <c r="A110" s="263" t="s">
        <v>77</v>
      </c>
      <c r="B110" s="264" t="s">
        <v>36</v>
      </c>
      <c r="C110" s="480">
        <f>'[55]Sch C'!D98</f>
        <v>160</v>
      </c>
      <c r="D110" s="480">
        <f>'[55]Sch C'!F98</f>
        <v>0</v>
      </c>
      <c r="E110" s="480">
        <f>+'[55]Sch C'!H98</f>
        <v>0</v>
      </c>
      <c r="F110" s="236">
        <f t="shared" ref="F110:F115" si="29">C110+D110+E110</f>
        <v>160</v>
      </c>
      <c r="G110" s="628"/>
      <c r="H110" s="609"/>
      <c r="I110" s="236">
        <f t="shared" ref="I110:I115" si="30">F110+G110+H110</f>
        <v>160</v>
      </c>
      <c r="J110" s="265">
        <f t="shared" ref="J110:J116" si="31">IF($I$213=0,0,I110/$I$213)</f>
        <v>4.2681087183323007E-5</v>
      </c>
      <c r="K110" s="579"/>
      <c r="L110" s="176">
        <v>18</v>
      </c>
      <c r="M110" s="176">
        <v>19</v>
      </c>
      <c r="O110" s="332">
        <f t="shared" ref="O110:O115" si="32">I110/I$233</f>
        <v>9.9527245583478485E-3</v>
      </c>
      <c r="P110" s="325">
        <f>SUMMARY!L112</f>
        <v>1.0420421927982051</v>
      </c>
    </row>
    <row r="111" spans="1:16" s="261" customFormat="1">
      <c r="A111" s="263" t="s">
        <v>78</v>
      </c>
      <c r="B111" s="264" t="s">
        <v>37</v>
      </c>
      <c r="C111" s="480">
        <f>'[55]Sch C'!D99</f>
        <v>19</v>
      </c>
      <c r="D111" s="480">
        <f>'[55]Sch C'!F99</f>
        <v>12</v>
      </c>
      <c r="E111" s="480">
        <f>+'[55]Sch C'!H99</f>
        <v>0</v>
      </c>
      <c r="F111" s="236">
        <f t="shared" si="29"/>
        <v>31</v>
      </c>
      <c r="G111" s="628"/>
      <c r="H111" s="609"/>
      <c r="I111" s="236">
        <f t="shared" si="30"/>
        <v>31</v>
      </c>
      <c r="J111" s="265">
        <f t="shared" si="31"/>
        <v>8.2694606417688324E-6</v>
      </c>
      <c r="K111" s="579"/>
      <c r="L111" s="163"/>
      <c r="M111" s="163"/>
      <c r="O111" s="332">
        <f t="shared" si="32"/>
        <v>1.9283403831798955E-3</v>
      </c>
      <c r="P111" s="325">
        <f>SUMMARY!L113</f>
        <v>0.20078964936815169</v>
      </c>
    </row>
    <row r="112" spans="1:16" s="261" customFormat="1">
      <c r="A112" s="263">
        <v>110</v>
      </c>
      <c r="B112" s="264" t="s">
        <v>39</v>
      </c>
      <c r="C112" s="480">
        <f>'[55]Sch C'!D100</f>
        <v>988</v>
      </c>
      <c r="D112" s="480">
        <f>'[55]Sch C'!F100</f>
        <v>1685</v>
      </c>
      <c r="E112" s="480">
        <f>+'[55]Sch C'!H100</f>
        <v>0</v>
      </c>
      <c r="F112" s="236">
        <f t="shared" si="29"/>
        <v>2673</v>
      </c>
      <c r="G112" s="628"/>
      <c r="H112" s="609"/>
      <c r="I112" s="236">
        <f t="shared" si="30"/>
        <v>2673</v>
      </c>
      <c r="J112" s="265">
        <f t="shared" si="31"/>
        <v>7.1304091275638996E-4</v>
      </c>
      <c r="K112" s="579"/>
      <c r="L112" s="163"/>
      <c r="M112" s="163"/>
      <c r="O112" s="332">
        <f t="shared" si="32"/>
        <v>0.16627270465289873</v>
      </c>
      <c r="P112" s="325">
        <f>SUMMARY!L114</f>
        <v>0.2184369107272279</v>
      </c>
    </row>
    <row r="113" spans="1:16" s="261" customFormat="1">
      <c r="A113" s="263">
        <v>310</v>
      </c>
      <c r="B113" s="264" t="s">
        <v>46</v>
      </c>
      <c r="C113" s="480">
        <f>'[55]Sch C'!D101</f>
        <v>567</v>
      </c>
      <c r="D113" s="480">
        <f>'[55]Sch C'!F101</f>
        <v>0</v>
      </c>
      <c r="E113" s="480">
        <f>+'[55]Sch C'!H101</f>
        <v>0</v>
      </c>
      <c r="F113" s="236">
        <f t="shared" si="29"/>
        <v>567</v>
      </c>
      <c r="G113" s="628"/>
      <c r="H113" s="609"/>
      <c r="I113" s="236">
        <f t="shared" si="30"/>
        <v>567</v>
      </c>
      <c r="J113" s="265">
        <f t="shared" si="31"/>
        <v>1.5125110270590089E-4</v>
      </c>
      <c r="K113" s="579"/>
      <c r="L113" s="163"/>
      <c r="M113" s="163"/>
      <c r="O113" s="332">
        <f t="shared" si="32"/>
        <v>3.5269967653645186E-2</v>
      </c>
      <c r="P113" s="325">
        <f>SUMMARY!L115</f>
        <v>0.64566906925728618</v>
      </c>
    </row>
    <row r="114" spans="1:16" s="261" customFormat="1">
      <c r="A114" s="263">
        <v>410</v>
      </c>
      <c r="B114" s="264" t="s">
        <v>49</v>
      </c>
      <c r="C114" s="480">
        <f>'[55]Sch C'!D102</f>
        <v>1634</v>
      </c>
      <c r="D114" s="480">
        <f>'[55]Sch C'!F102</f>
        <v>0</v>
      </c>
      <c r="E114" s="480">
        <f>+'[55]Sch C'!H102</f>
        <v>0</v>
      </c>
      <c r="F114" s="236">
        <f t="shared" si="29"/>
        <v>1634</v>
      </c>
      <c r="G114" s="628"/>
      <c r="H114" s="609"/>
      <c r="I114" s="236">
        <f t="shared" si="30"/>
        <v>1634</v>
      </c>
      <c r="J114" s="265">
        <f t="shared" si="31"/>
        <v>4.358806028596862E-4</v>
      </c>
      <c r="K114" s="579"/>
      <c r="L114" s="163"/>
      <c r="M114" s="163"/>
      <c r="O114" s="332">
        <f t="shared" si="32"/>
        <v>0.10164219955212739</v>
      </c>
      <c r="P114" s="325">
        <f>SUMMARY!L116</f>
        <v>0.18302825246264015</v>
      </c>
    </row>
    <row r="115" spans="1:16" s="261" customFormat="1">
      <c r="A115" s="263">
        <v>490</v>
      </c>
      <c r="B115" s="23" t="s">
        <v>293</v>
      </c>
      <c r="C115" s="480">
        <f>'[55]Sch C'!D103</f>
        <v>0</v>
      </c>
      <c r="D115" s="480">
        <f>'[55]Sch C'!F103</f>
        <v>0</v>
      </c>
      <c r="E115" s="480">
        <f>+'[55]Sch C'!H103</f>
        <v>0</v>
      </c>
      <c r="F115" s="236">
        <f t="shared" si="29"/>
        <v>0</v>
      </c>
      <c r="G115" s="628"/>
      <c r="H115" s="609"/>
      <c r="I115" s="236">
        <f t="shared" si="30"/>
        <v>0</v>
      </c>
      <c r="J115" s="265">
        <f t="shared" si="31"/>
        <v>0</v>
      </c>
      <c r="K115" s="579"/>
      <c r="L115" s="163"/>
      <c r="M115" s="163"/>
      <c r="O115" s="332">
        <f t="shared" si="32"/>
        <v>0</v>
      </c>
      <c r="P115" s="325">
        <f>SUMMARY!L117</f>
        <v>6.0532522203232677E-3</v>
      </c>
    </row>
    <row r="116" spans="1:16" s="261" customFormat="1">
      <c r="A116" s="257"/>
      <c r="B116" s="264" t="s">
        <v>50</v>
      </c>
      <c r="C116" s="480">
        <f t="shared" ref="C116:E116" si="33">SUM(C110:C115)</f>
        <v>3368</v>
      </c>
      <c r="D116" s="480">
        <f t="shared" si="33"/>
        <v>1697</v>
      </c>
      <c r="E116" s="480">
        <f t="shared" si="33"/>
        <v>0</v>
      </c>
      <c r="F116" s="236">
        <f t="shared" ref="F116:I116" si="34">SUM(F110:F115)</f>
        <v>5065</v>
      </c>
      <c r="G116" s="236">
        <f t="shared" si="34"/>
        <v>0</v>
      </c>
      <c r="H116" s="236">
        <f t="shared" si="34"/>
        <v>0</v>
      </c>
      <c r="I116" s="236">
        <f t="shared" si="34"/>
        <v>5065</v>
      </c>
      <c r="J116" s="265">
        <f t="shared" si="31"/>
        <v>1.3511231661470688E-3</v>
      </c>
      <c r="K116" s="579"/>
      <c r="L116" s="163"/>
      <c r="M116" s="163"/>
      <c r="O116" s="332">
        <f>I116/I$233</f>
        <v>0.31506593680019906</v>
      </c>
      <c r="P116" s="325">
        <f>SUMMARY!L118</f>
        <v>2.2960193268338349</v>
      </c>
    </row>
    <row r="117" spans="1:16" s="261" customFormat="1">
      <c r="A117" s="257"/>
      <c r="C117" s="160"/>
      <c r="D117" s="160"/>
      <c r="E117" s="160"/>
      <c r="F117" s="259"/>
      <c r="G117" s="259"/>
      <c r="H117" s="259"/>
      <c r="I117" s="259"/>
      <c r="J117" s="283"/>
      <c r="K117" s="581"/>
      <c r="L117" s="163"/>
      <c r="M117" s="163"/>
      <c r="O117" s="325"/>
      <c r="P117" s="325"/>
    </row>
    <row r="118" spans="1:16" s="261" customFormat="1">
      <c r="A118" s="263" t="s">
        <v>158</v>
      </c>
      <c r="B118" s="264" t="s">
        <v>51</v>
      </c>
      <c r="C118" s="160"/>
      <c r="D118" s="160"/>
      <c r="E118" s="160"/>
      <c r="F118" s="259"/>
      <c r="G118" s="259"/>
      <c r="H118" s="259"/>
      <c r="I118" s="259"/>
      <c r="J118" s="283"/>
      <c r="K118" s="581"/>
      <c r="L118" s="163"/>
      <c r="M118" s="163"/>
      <c r="O118" s="325"/>
      <c r="P118" s="325"/>
    </row>
    <row r="119" spans="1:16" s="261" customFormat="1">
      <c r="A119" s="263" t="s">
        <v>77</v>
      </c>
      <c r="B119" s="264" t="s">
        <v>36</v>
      </c>
      <c r="C119" s="480">
        <f>'[55]Sch C'!D115</f>
        <v>60219</v>
      </c>
      <c r="D119" s="480">
        <f>'[55]Sch C'!F115</f>
        <v>0</v>
      </c>
      <c r="E119" s="480">
        <f>+'[55]Sch C'!H115</f>
        <v>0</v>
      </c>
      <c r="F119" s="236">
        <f t="shared" ref="F119:F123" si="35">C119+D119+E119</f>
        <v>60219</v>
      </c>
      <c r="G119" s="628"/>
      <c r="H119" s="609"/>
      <c r="I119" s="236">
        <f t="shared" ref="I119:I123" si="36">F119+G119+H119</f>
        <v>60219</v>
      </c>
      <c r="J119" s="265">
        <f t="shared" ref="J119:J124" si="37">IF($I$213=0,0,I119/$I$213)</f>
        <v>1.6063827431828302E-2</v>
      </c>
      <c r="K119" s="579"/>
      <c r="L119" s="176">
        <v>6550</v>
      </c>
      <c r="M119" s="176">
        <v>7039</v>
      </c>
      <c r="O119" s="332">
        <f t="shared" ref="O119:O124" si="38">I119/I$233</f>
        <v>3.7458945011196816</v>
      </c>
      <c r="P119" s="325">
        <f>SUMMARY!L121</f>
        <v>3.6316697482212446</v>
      </c>
    </row>
    <row r="120" spans="1:16" s="261" customFormat="1">
      <c r="A120" s="263" t="s">
        <v>78</v>
      </c>
      <c r="B120" s="264" t="s">
        <v>143</v>
      </c>
      <c r="C120" s="480">
        <f>'[55]Sch C'!D116</f>
        <v>9908</v>
      </c>
      <c r="D120" s="480">
        <f>'[55]Sch C'!F116</f>
        <v>4362</v>
      </c>
      <c r="E120" s="480">
        <f>+'[55]Sch C'!H116</f>
        <v>0</v>
      </c>
      <c r="F120" s="236">
        <f t="shared" si="35"/>
        <v>14270</v>
      </c>
      <c r="G120" s="628"/>
      <c r="H120" s="609"/>
      <c r="I120" s="236">
        <f t="shared" si="36"/>
        <v>14270</v>
      </c>
      <c r="J120" s="265">
        <f t="shared" si="37"/>
        <v>3.8066194631626205E-3</v>
      </c>
      <c r="K120" s="579"/>
      <c r="L120" s="163"/>
      <c r="M120" s="163"/>
      <c r="O120" s="332">
        <f t="shared" si="38"/>
        <v>0.88765862154764863</v>
      </c>
      <c r="P120" s="325">
        <f>SUMMARY!L122</f>
        <v>0.73639428778580995</v>
      </c>
    </row>
    <row r="121" spans="1:16" s="261" customFormat="1">
      <c r="A121" s="263" t="s">
        <v>85</v>
      </c>
      <c r="B121" s="264" t="s">
        <v>39</v>
      </c>
      <c r="C121" s="480">
        <f>'[55]Sch C'!D117</f>
        <v>17432</v>
      </c>
      <c r="D121" s="480">
        <f>'[55]Sch C'!F117</f>
        <v>0</v>
      </c>
      <c r="E121" s="480">
        <f>+'[55]Sch C'!H117</f>
        <v>0</v>
      </c>
      <c r="F121" s="236">
        <f t="shared" si="35"/>
        <v>17432</v>
      </c>
      <c r="G121" s="628"/>
      <c r="H121" s="609"/>
      <c r="I121" s="236">
        <f t="shared" si="36"/>
        <v>17432</v>
      </c>
      <c r="J121" s="265">
        <f t="shared" si="37"/>
        <v>4.650104448623041E-3</v>
      </c>
      <c r="K121" s="579"/>
      <c r="L121" s="163"/>
      <c r="M121" s="163"/>
      <c r="O121" s="332">
        <f t="shared" si="38"/>
        <v>1.0843493406319979</v>
      </c>
      <c r="P121" s="325">
        <f>SUMMARY!L123</f>
        <v>0.93523261358838172</v>
      </c>
    </row>
    <row r="122" spans="1:16" s="261" customFormat="1">
      <c r="A122" s="263">
        <v>310</v>
      </c>
      <c r="B122" s="264" t="s">
        <v>52</v>
      </c>
      <c r="C122" s="480">
        <f>'[55]Sch C'!D118</f>
        <v>1845</v>
      </c>
      <c r="D122" s="480">
        <f>'[55]Sch C'!F118</f>
        <v>0</v>
      </c>
      <c r="E122" s="480">
        <f>+'[55]Sch C'!H118</f>
        <v>0</v>
      </c>
      <c r="F122" s="236">
        <f t="shared" si="35"/>
        <v>1845</v>
      </c>
      <c r="G122" s="628"/>
      <c r="H122" s="609"/>
      <c r="I122" s="236">
        <f t="shared" si="36"/>
        <v>1845</v>
      </c>
      <c r="J122" s="265">
        <f t="shared" si="37"/>
        <v>4.9216628658269338E-4</v>
      </c>
      <c r="K122" s="579"/>
      <c r="L122" s="163"/>
      <c r="M122" s="163"/>
      <c r="O122" s="332">
        <f t="shared" si="38"/>
        <v>0.11476735506344862</v>
      </c>
      <c r="P122" s="325">
        <f>SUMMARY!L124</f>
        <v>1.1004196025979425</v>
      </c>
    </row>
    <row r="123" spans="1:16" s="261" customFormat="1">
      <c r="A123" s="263">
        <v>490</v>
      </c>
      <c r="B123" s="23" t="s">
        <v>293</v>
      </c>
      <c r="C123" s="480">
        <f>'[55]Sch C'!D119</f>
        <v>0</v>
      </c>
      <c r="D123" s="480">
        <f>'[55]Sch C'!F119</f>
        <v>0</v>
      </c>
      <c r="E123" s="480">
        <f>+'[55]Sch C'!H119</f>
        <v>0</v>
      </c>
      <c r="F123" s="236">
        <f t="shared" si="35"/>
        <v>0</v>
      </c>
      <c r="G123" s="628"/>
      <c r="H123" s="609"/>
      <c r="I123" s="236">
        <f t="shared" si="36"/>
        <v>0</v>
      </c>
      <c r="J123" s="265">
        <f t="shared" si="37"/>
        <v>0</v>
      </c>
      <c r="K123" s="579"/>
      <c r="L123" s="163"/>
      <c r="M123" s="163"/>
      <c r="O123" s="332">
        <f t="shared" si="38"/>
        <v>0</v>
      </c>
      <c r="P123" s="325">
        <f>SUMMARY!L125</f>
        <v>1.509992127773452E-2</v>
      </c>
    </row>
    <row r="124" spans="1:16" s="261" customFormat="1">
      <c r="A124" s="257"/>
      <c r="B124" s="264" t="s">
        <v>53</v>
      </c>
      <c r="C124" s="480">
        <f t="shared" ref="C124:E124" si="39">SUM(C119:C123)</f>
        <v>89404</v>
      </c>
      <c r="D124" s="480">
        <f t="shared" si="39"/>
        <v>4362</v>
      </c>
      <c r="E124" s="480">
        <f t="shared" si="39"/>
        <v>0</v>
      </c>
      <c r="F124" s="236">
        <f t="shared" ref="F124:I124" si="40">SUM(F119:F123)</f>
        <v>93766</v>
      </c>
      <c r="G124" s="236">
        <f t="shared" si="40"/>
        <v>0</v>
      </c>
      <c r="H124" s="236">
        <f t="shared" si="40"/>
        <v>0</v>
      </c>
      <c r="I124" s="236">
        <f t="shared" si="40"/>
        <v>93766</v>
      </c>
      <c r="J124" s="265">
        <f t="shared" si="37"/>
        <v>2.5012717630196656E-2</v>
      </c>
      <c r="K124" s="579"/>
      <c r="L124" s="163"/>
      <c r="M124" s="163"/>
      <c r="O124" s="332">
        <f t="shared" si="38"/>
        <v>5.8326698183627768</v>
      </c>
      <c r="P124" s="325">
        <f>SUMMARY!L126</f>
        <v>6.4188161734711136</v>
      </c>
    </row>
    <row r="125" spans="1:16" s="261" customFormat="1">
      <c r="A125" s="257"/>
      <c r="B125" s="264"/>
      <c r="C125" s="188"/>
      <c r="D125" s="188"/>
      <c r="E125" s="188"/>
      <c r="F125" s="281"/>
      <c r="G125" s="281"/>
      <c r="H125" s="281"/>
      <c r="I125" s="281"/>
      <c r="J125" s="282"/>
      <c r="K125" s="579"/>
      <c r="L125" s="195"/>
      <c r="M125" s="195"/>
      <c r="O125" s="325"/>
      <c r="P125" s="325"/>
    </row>
    <row r="126" spans="1:16" s="261" customFormat="1">
      <c r="A126" s="263" t="s">
        <v>159</v>
      </c>
      <c r="B126" s="264" t="s">
        <v>54</v>
      </c>
      <c r="C126" s="160"/>
      <c r="D126" s="160"/>
      <c r="E126" s="160"/>
      <c r="F126" s="259"/>
      <c r="G126" s="259"/>
      <c r="H126" s="259"/>
      <c r="I126" s="259"/>
      <c r="J126" s="283"/>
      <c r="K126" s="581"/>
      <c r="L126" s="196"/>
      <c r="M126" s="196"/>
      <c r="O126" s="325"/>
      <c r="P126" s="325"/>
    </row>
    <row r="127" spans="1:16" s="261" customFormat="1">
      <c r="A127" s="263" t="s">
        <v>77</v>
      </c>
      <c r="B127" s="264" t="s">
        <v>55</v>
      </c>
      <c r="C127" s="160"/>
      <c r="D127" s="160"/>
      <c r="E127" s="160"/>
      <c r="F127" s="259"/>
      <c r="G127" s="259"/>
      <c r="H127" s="259"/>
      <c r="I127" s="259"/>
      <c r="J127" s="283"/>
      <c r="K127" s="581"/>
      <c r="L127" s="196"/>
      <c r="M127" s="196"/>
      <c r="O127" s="325"/>
      <c r="P127" s="325"/>
    </row>
    <row r="128" spans="1:16" s="261" customFormat="1">
      <c r="B128" s="323" t="s">
        <v>672</v>
      </c>
      <c r="C128" s="480">
        <f>'[55]Sch C'!D124</f>
        <v>0</v>
      </c>
      <c r="D128" s="480">
        <f>'[55]Sch C'!F124</f>
        <v>0</v>
      </c>
      <c r="E128" s="480">
        <f>+'[55]Sch C'!H124</f>
        <v>0</v>
      </c>
      <c r="F128" s="236">
        <f t="shared" ref="F128:F132" si="41">C128+D128+E128</f>
        <v>0</v>
      </c>
      <c r="G128" s="628"/>
      <c r="H128" s="609"/>
      <c r="I128" s="236">
        <f t="shared" ref="I128:I132" si="42">F128+G128+H128</f>
        <v>0</v>
      </c>
      <c r="J128" s="265">
        <f>IF($I$213=0,0,I128/$I$213)</f>
        <v>0</v>
      </c>
      <c r="K128" s="579"/>
      <c r="L128" s="176">
        <v>0</v>
      </c>
      <c r="M128" s="176">
        <v>0</v>
      </c>
      <c r="O128" s="332">
        <f t="shared" ref="O128:O165" si="43">I128/I$233</f>
        <v>0</v>
      </c>
      <c r="P128" s="325">
        <f>SUMMARY!L130</f>
        <v>0.80275923694324991</v>
      </c>
    </row>
    <row r="129" spans="1:16" s="261" customFormat="1">
      <c r="B129" s="323" t="s">
        <v>673</v>
      </c>
      <c r="C129" s="480">
        <f>'[55]Sch C'!D125</f>
        <v>100207</v>
      </c>
      <c r="D129" s="480">
        <f>'[55]Sch C'!F125</f>
        <v>0</v>
      </c>
      <c r="E129" s="480">
        <f>+'[55]Sch C'!H125</f>
        <v>34191</v>
      </c>
      <c r="F129" s="236">
        <f t="shared" si="41"/>
        <v>134398</v>
      </c>
      <c r="G129" s="628"/>
      <c r="H129" s="609"/>
      <c r="I129" s="236">
        <f t="shared" si="42"/>
        <v>134398</v>
      </c>
      <c r="J129" s="265">
        <f>IF($I$213=0,0,I129/$I$213)</f>
        <v>3.5851579720401532E-2</v>
      </c>
      <c r="K129" s="579"/>
      <c r="L129" s="176">
        <v>2298</v>
      </c>
      <c r="M129" s="176">
        <v>2353</v>
      </c>
      <c r="O129" s="332">
        <f t="shared" si="43"/>
        <v>8.3601642199552124</v>
      </c>
      <c r="P129" s="325">
        <f>SUMMARY!L131</f>
        <v>9.5410604060393975</v>
      </c>
    </row>
    <row r="130" spans="1:16" s="261" customFormat="1">
      <c r="A130" s="257" t="s">
        <v>182</v>
      </c>
      <c r="B130" s="323" t="s">
        <v>674</v>
      </c>
      <c r="C130" s="480">
        <f>'[55]Sch C'!D126</f>
        <v>54421</v>
      </c>
      <c r="D130" s="480">
        <f>'[55]Sch C'!F126</f>
        <v>0</v>
      </c>
      <c r="E130" s="480">
        <f>+'[55]Sch C'!H126</f>
        <v>0</v>
      </c>
      <c r="F130" s="236">
        <f t="shared" si="41"/>
        <v>54421</v>
      </c>
      <c r="G130" s="628"/>
      <c r="H130" s="609"/>
      <c r="I130" s="236">
        <f t="shared" si="42"/>
        <v>54421</v>
      </c>
      <c r="J130" s="265">
        <f>IF($I$213=0,0,I130/$I$213)</f>
        <v>1.4517171535022633E-2</v>
      </c>
      <c r="K130" s="579"/>
      <c r="L130" s="176">
        <v>1936</v>
      </c>
      <c r="M130" s="176">
        <v>2129</v>
      </c>
      <c r="O130" s="332">
        <f t="shared" si="43"/>
        <v>3.3852326449365515</v>
      </c>
      <c r="P130" s="325">
        <f>SUMMARY!L132</f>
        <v>0.73740366987881678</v>
      </c>
    </row>
    <row r="131" spans="1:16" s="261" customFormat="1">
      <c r="A131" s="263"/>
      <c r="B131" s="257" t="s">
        <v>676</v>
      </c>
      <c r="C131" s="480">
        <f>'[55]Sch C'!D127</f>
        <v>0</v>
      </c>
      <c r="D131" s="480">
        <f>'[55]Sch C'!F127</f>
        <v>0</v>
      </c>
      <c r="E131" s="480">
        <f>+'[55]Sch C'!H127</f>
        <v>0</v>
      </c>
      <c r="F131" s="236">
        <f t="shared" si="41"/>
        <v>0</v>
      </c>
      <c r="G131" s="628"/>
      <c r="H131" s="609"/>
      <c r="I131" s="236">
        <f t="shared" si="42"/>
        <v>0</v>
      </c>
      <c r="J131" s="265">
        <f>IF($I$213=0,0,I131/$I$213)</f>
        <v>0</v>
      </c>
      <c r="K131" s="579"/>
      <c r="L131" s="176">
        <v>0</v>
      </c>
      <c r="M131" s="176">
        <v>0</v>
      </c>
      <c r="O131" s="332">
        <f t="shared" si="43"/>
        <v>0</v>
      </c>
      <c r="P131" s="325">
        <f>SUMMARY!L133</f>
        <v>7.3626382620363751E-2</v>
      </c>
    </row>
    <row r="132" spans="1:16" s="261" customFormat="1">
      <c r="A132" s="263"/>
      <c r="B132" s="257" t="s">
        <v>678</v>
      </c>
      <c r="C132" s="480">
        <f>'[55]Sch C'!D128</f>
        <v>31473</v>
      </c>
      <c r="D132" s="480">
        <f>'[55]Sch C'!F128</f>
        <v>0</v>
      </c>
      <c r="E132" s="480">
        <f>+'[55]Sch C'!H128</f>
        <v>0</v>
      </c>
      <c r="F132" s="236">
        <f t="shared" si="41"/>
        <v>31473</v>
      </c>
      <c r="G132" s="628"/>
      <c r="H132" s="609"/>
      <c r="I132" s="236">
        <f t="shared" si="42"/>
        <v>31473</v>
      </c>
      <c r="J132" s="265">
        <f>IF($I$213=0,0,I132/$I$213)</f>
        <v>8.3956366057545313E-3</v>
      </c>
      <c r="K132" s="579"/>
      <c r="L132" s="176">
        <v>1992</v>
      </c>
      <c r="M132" s="176">
        <v>2121</v>
      </c>
      <c r="O132" s="332">
        <f t="shared" si="43"/>
        <v>1.9577631251555114</v>
      </c>
      <c r="P132" s="325">
        <f>SUMMARY!L134</f>
        <v>2.9246178488865282</v>
      </c>
    </row>
    <row r="133" spans="1:16" s="261" customFormat="1">
      <c r="A133" s="263" t="s">
        <v>87</v>
      </c>
      <c r="B133" s="264" t="s">
        <v>144</v>
      </c>
      <c r="C133" s="483"/>
      <c r="D133" s="483"/>
      <c r="E133" s="483"/>
      <c r="F133" s="288"/>
      <c r="G133" s="281"/>
      <c r="H133" s="288"/>
      <c r="I133" s="288"/>
      <c r="J133" s="289"/>
      <c r="K133" s="585"/>
      <c r="L133" s="199"/>
      <c r="M133" s="199"/>
      <c r="O133" s="332"/>
      <c r="P133" s="325"/>
    </row>
    <row r="134" spans="1:16" s="261" customFormat="1">
      <c r="A134" s="263"/>
      <c r="B134" s="257" t="s">
        <v>680</v>
      </c>
      <c r="C134" s="480">
        <f>'[55]Sch C'!D130</f>
        <v>0</v>
      </c>
      <c r="D134" s="480">
        <f>'[55]Sch C'!F130</f>
        <v>0</v>
      </c>
      <c r="E134" s="480">
        <f>+'[55]Sch C'!H130</f>
        <v>0</v>
      </c>
      <c r="F134" s="236">
        <f t="shared" ref="F134:F138" si="44">C134+D134+E134</f>
        <v>0</v>
      </c>
      <c r="G134" s="628"/>
      <c r="H134" s="609"/>
      <c r="I134" s="236">
        <f t="shared" ref="I134:I138" si="45">F134+G134+H134</f>
        <v>0</v>
      </c>
      <c r="J134" s="265">
        <f>IF($I$213=0,0,I134/$I$213)</f>
        <v>0</v>
      </c>
      <c r="K134" s="579"/>
      <c r="L134" s="196"/>
      <c r="M134" s="196"/>
      <c r="O134" s="332">
        <f t="shared" si="43"/>
        <v>0</v>
      </c>
      <c r="P134" s="325">
        <f>SUMMARY!L136</f>
        <v>0.14277129220841339</v>
      </c>
    </row>
    <row r="135" spans="1:16" s="261" customFormat="1">
      <c r="A135" s="263"/>
      <c r="B135" s="323" t="s">
        <v>673</v>
      </c>
      <c r="C135" s="480">
        <f>'[55]Sch C'!D131</f>
        <v>0</v>
      </c>
      <c r="D135" s="480">
        <f>'[55]Sch C'!F131</f>
        <v>7259</v>
      </c>
      <c r="E135" s="480">
        <f>+'[55]Sch C'!H131</f>
        <v>3542</v>
      </c>
      <c r="F135" s="236">
        <f t="shared" si="44"/>
        <v>10801</v>
      </c>
      <c r="G135" s="628">
        <f>21619</f>
        <v>21619</v>
      </c>
      <c r="H135" s="609"/>
      <c r="I135" s="236">
        <f t="shared" si="45"/>
        <v>32420</v>
      </c>
      <c r="J135" s="265">
        <f>IF($I$213=0,0,I135/$I$213)</f>
        <v>8.6482552905208232E-3</v>
      </c>
      <c r="K135" s="579"/>
      <c r="L135" s="196"/>
      <c r="M135" s="196"/>
      <c r="O135" s="332">
        <f t="shared" si="43"/>
        <v>2.0166708136352325</v>
      </c>
      <c r="P135" s="325">
        <f>SUMMARY!L137</f>
        <v>1.7172183827658836</v>
      </c>
    </row>
    <row r="136" spans="1:16" s="261" customFormat="1">
      <c r="B136" s="323" t="s">
        <v>674</v>
      </c>
      <c r="C136" s="480">
        <f>'[55]Sch C'!D132</f>
        <v>0</v>
      </c>
      <c r="D136" s="480">
        <f>'[55]Sch C'!F132</f>
        <v>3942</v>
      </c>
      <c r="E136" s="480">
        <f>+'[55]Sch C'!H132</f>
        <v>0</v>
      </c>
      <c r="F136" s="236">
        <f t="shared" si="44"/>
        <v>3942</v>
      </c>
      <c r="G136" s="628">
        <v>8754</v>
      </c>
      <c r="H136" s="609"/>
      <c r="I136" s="236">
        <f t="shared" si="45"/>
        <v>12696</v>
      </c>
      <c r="J136" s="265">
        <f>IF($I$213=0,0,I136/$I$213)</f>
        <v>3.3867442679966805E-3</v>
      </c>
      <c r="K136" s="579"/>
      <c r="L136" s="163"/>
      <c r="M136" s="163"/>
      <c r="O136" s="332">
        <f t="shared" si="43"/>
        <v>0.78974869370490175</v>
      </c>
      <c r="P136" s="325">
        <f>SUMMARY!L138</f>
        <v>0.13474113570830348</v>
      </c>
    </row>
    <row r="137" spans="1:16" s="261" customFormat="1">
      <c r="B137" s="323" t="s">
        <v>683</v>
      </c>
      <c r="C137" s="480">
        <f>'[55]Sch C'!D133</f>
        <v>0</v>
      </c>
      <c r="D137" s="480">
        <f>'[55]Sch C'!F133</f>
        <v>0</v>
      </c>
      <c r="E137" s="480">
        <f>+'[55]Sch C'!H133</f>
        <v>0</v>
      </c>
      <c r="F137" s="236">
        <f t="shared" si="44"/>
        <v>0</v>
      </c>
      <c r="G137" s="628"/>
      <c r="H137" s="609"/>
      <c r="I137" s="236">
        <f t="shared" si="45"/>
        <v>0</v>
      </c>
      <c r="J137" s="265">
        <f>IF($I$213=0,0,I137/$I$213)</f>
        <v>0</v>
      </c>
      <c r="K137" s="579"/>
      <c r="L137" s="163"/>
      <c r="M137" s="163"/>
      <c r="O137" s="332">
        <f t="shared" si="43"/>
        <v>0</v>
      </c>
      <c r="P137" s="325">
        <f>SUMMARY!L139</f>
        <v>2.1178039395593925E-2</v>
      </c>
    </row>
    <row r="138" spans="1:16" s="261" customFormat="1">
      <c r="B138" s="323" t="s">
        <v>684</v>
      </c>
      <c r="C138" s="480">
        <f>'[55]Sch C'!D134</f>
        <v>0</v>
      </c>
      <c r="D138" s="480">
        <f>'[55]Sch C'!F134</f>
        <v>2280</v>
      </c>
      <c r="E138" s="480">
        <f>+'[55]Sch C'!H134</f>
        <v>0</v>
      </c>
      <c r="F138" s="236">
        <f t="shared" si="44"/>
        <v>2280</v>
      </c>
      <c r="G138" s="628">
        <v>5063</v>
      </c>
      <c r="H138" s="609"/>
      <c r="I138" s="236">
        <f t="shared" si="45"/>
        <v>7343</v>
      </c>
      <c r="J138" s="265">
        <f>IF($I$213=0,0,I138/$I$213)</f>
        <v>1.9587951449196303E-3</v>
      </c>
      <c r="K138" s="579"/>
      <c r="L138" s="163"/>
      <c r="M138" s="163"/>
      <c r="O138" s="332">
        <f t="shared" si="43"/>
        <v>0.45676785269967651</v>
      </c>
      <c r="P138" s="325">
        <f>SUMMARY!L140</f>
        <v>0.57311755736724024</v>
      </c>
    </row>
    <row r="139" spans="1:16" s="261" customFormat="1">
      <c r="A139" s="263" t="s">
        <v>78</v>
      </c>
      <c r="B139" s="264" t="s">
        <v>56</v>
      </c>
      <c r="C139" s="188"/>
      <c r="D139" s="188"/>
      <c r="E139" s="188"/>
      <c r="F139" s="281"/>
      <c r="G139" s="281"/>
      <c r="H139" s="281"/>
      <c r="I139" s="281"/>
      <c r="J139" s="282"/>
      <c r="K139" s="579"/>
      <c r="L139" s="196"/>
      <c r="M139" s="196"/>
      <c r="O139" s="332"/>
      <c r="P139" s="325"/>
    </row>
    <row r="140" spans="1:16" s="261" customFormat="1">
      <c r="A140" s="263"/>
      <c r="B140" s="323" t="s">
        <v>686</v>
      </c>
      <c r="C140" s="480">
        <f>'[55]Sch C'!D136</f>
        <v>236515</v>
      </c>
      <c r="D140" s="480">
        <f>'[55]Sch C'!F136</f>
        <v>0</v>
      </c>
      <c r="E140" s="480">
        <f>+'[55]Sch C'!H136</f>
        <v>0</v>
      </c>
      <c r="F140" s="236">
        <f t="shared" ref="F140:F143" si="46">C140+D140+E140</f>
        <v>236515</v>
      </c>
      <c r="G140" s="628"/>
      <c r="H140" s="609"/>
      <c r="I140" s="236">
        <f t="shared" ref="I140:I143" si="47">F140+G140+H140</f>
        <v>236515</v>
      </c>
      <c r="J140" s="265">
        <f>IF($I$213=0,0,I140/$I$213)</f>
        <v>6.3091983344772756E-2</v>
      </c>
      <c r="K140" s="579"/>
      <c r="L140" s="176">
        <v>8745</v>
      </c>
      <c r="M140" s="176">
        <v>9655</v>
      </c>
      <c r="O140" s="332">
        <f t="shared" si="43"/>
        <v>14.712304055735258</v>
      </c>
      <c r="P140" s="325">
        <f>SUMMARY!L142</f>
        <v>23.522763912591504</v>
      </c>
    </row>
    <row r="141" spans="1:16" s="261" customFormat="1">
      <c r="A141" s="263"/>
      <c r="B141" s="323" t="s">
        <v>688</v>
      </c>
      <c r="C141" s="480">
        <f>'[55]Sch C'!D137</f>
        <v>102452</v>
      </c>
      <c r="D141" s="480">
        <f>'[55]Sch C'!F137</f>
        <v>0</v>
      </c>
      <c r="E141" s="480">
        <f>+'[55]Sch C'!H137</f>
        <v>0</v>
      </c>
      <c r="F141" s="236">
        <f t="shared" si="46"/>
        <v>102452</v>
      </c>
      <c r="G141" s="628"/>
      <c r="H141" s="609"/>
      <c r="I141" s="236">
        <f t="shared" si="47"/>
        <v>102452</v>
      </c>
      <c r="J141" s="265">
        <f>IF($I$213=0,0,I141/$I$213)</f>
        <v>2.7329767150661304E-2</v>
      </c>
      <c r="K141" s="579"/>
      <c r="L141" s="176">
        <v>5416</v>
      </c>
      <c r="M141" s="176">
        <v>5681</v>
      </c>
      <c r="O141" s="332">
        <f t="shared" si="43"/>
        <v>6.3729783528240853</v>
      </c>
      <c r="P141" s="325">
        <f>SUMMARY!L143</f>
        <v>13.698966340347111</v>
      </c>
    </row>
    <row r="142" spans="1:16" s="261" customFormat="1">
      <c r="A142" s="263"/>
      <c r="B142" s="323" t="s">
        <v>690</v>
      </c>
      <c r="C142" s="480">
        <f>'[55]Sch C'!D138</f>
        <v>323100</v>
      </c>
      <c r="D142" s="480">
        <f>'[55]Sch C'!F138</f>
        <v>0</v>
      </c>
      <c r="E142" s="480">
        <f>+'[55]Sch C'!H138</f>
        <v>0</v>
      </c>
      <c r="F142" s="236">
        <f t="shared" si="46"/>
        <v>323100</v>
      </c>
      <c r="G142" s="628"/>
      <c r="H142" s="609"/>
      <c r="I142" s="236">
        <f t="shared" si="47"/>
        <v>323100</v>
      </c>
      <c r="J142" s="265">
        <f>IF($I$213=0,0,I142/$I$213)</f>
        <v>8.6189120430822899E-2</v>
      </c>
      <c r="K142" s="579"/>
      <c r="L142" s="176">
        <v>29719</v>
      </c>
      <c r="M142" s="176">
        <v>30766</v>
      </c>
      <c r="O142" s="332">
        <f t="shared" si="43"/>
        <v>20.098283155013686</v>
      </c>
      <c r="P142" s="325">
        <f>SUMMARY!L144</f>
        <v>32.258417105951196</v>
      </c>
    </row>
    <row r="143" spans="1:16" s="261" customFormat="1">
      <c r="A143" s="263"/>
      <c r="B143" s="323" t="s">
        <v>692</v>
      </c>
      <c r="C143" s="480">
        <f>'[55]Sch C'!D139</f>
        <v>104896</v>
      </c>
      <c r="D143" s="480">
        <f>'[55]Sch C'!F139</f>
        <v>0</v>
      </c>
      <c r="E143" s="480">
        <f>+'[55]Sch C'!H139</f>
        <v>0</v>
      </c>
      <c r="F143" s="236">
        <f t="shared" si="46"/>
        <v>104896</v>
      </c>
      <c r="G143" s="628"/>
      <c r="H143" s="609"/>
      <c r="I143" s="236">
        <f t="shared" si="47"/>
        <v>104896</v>
      </c>
      <c r="J143" s="265">
        <f>IF($I$213=0,0,I143/$I$213)</f>
        <v>2.7981720757386561E-2</v>
      </c>
      <c r="K143" s="579"/>
      <c r="L143" s="176">
        <v>9701</v>
      </c>
      <c r="M143" s="176">
        <v>9902</v>
      </c>
      <c r="O143" s="332">
        <f t="shared" si="43"/>
        <v>6.5250062204528492</v>
      </c>
      <c r="P143" s="325">
        <f>SUMMARY!L145</f>
        <v>1.9999236429814966</v>
      </c>
    </row>
    <row r="144" spans="1:16" s="261" customFormat="1">
      <c r="A144" s="263" t="s">
        <v>88</v>
      </c>
      <c r="B144" s="264" t="s">
        <v>145</v>
      </c>
      <c r="C144" s="188"/>
      <c r="D144" s="188"/>
      <c r="E144" s="188"/>
      <c r="F144" s="281"/>
      <c r="G144" s="281"/>
      <c r="H144" s="281"/>
      <c r="I144" s="281"/>
      <c r="J144" s="282"/>
      <c r="K144" s="579"/>
      <c r="L144" s="365"/>
      <c r="M144" s="365"/>
      <c r="O144" s="332"/>
      <c r="P144" s="325"/>
    </row>
    <row r="145" spans="1:16" s="261" customFormat="1">
      <c r="A145" s="263"/>
      <c r="B145" s="323" t="s">
        <v>681</v>
      </c>
      <c r="C145" s="480">
        <f>'[55]Sch C'!D141</f>
        <v>0</v>
      </c>
      <c r="D145" s="480">
        <f>'[55]Sch C'!F141</f>
        <v>17134</v>
      </c>
      <c r="E145" s="480">
        <f>+'[55]Sch C'!H141</f>
        <v>0</v>
      </c>
      <c r="F145" s="236">
        <f t="shared" ref="F145:F148" si="48">C145+D145+E145</f>
        <v>17134</v>
      </c>
      <c r="G145" s="628">
        <v>38046</v>
      </c>
      <c r="H145" s="609"/>
      <c r="I145" s="236">
        <f t="shared" ref="I145:I148" si="49">F145+G145+H145</f>
        <v>55180</v>
      </c>
      <c r="J145" s="265">
        <f>IF($I$213=0,0,I145/$I$213)</f>
        <v>1.4719639942348522E-2</v>
      </c>
      <c r="K145" s="579"/>
      <c r="L145" s="163"/>
      <c r="M145" s="163"/>
      <c r="O145" s="332">
        <f t="shared" si="43"/>
        <v>3.4324458820602142</v>
      </c>
      <c r="P145" s="325">
        <f>SUMMARY!L147</f>
        <v>4.4613578559170044</v>
      </c>
    </row>
    <row r="146" spans="1:16" s="261" customFormat="1">
      <c r="A146" s="263"/>
      <c r="B146" s="323" t="s">
        <v>688</v>
      </c>
      <c r="C146" s="480">
        <f>'[55]Sch C'!D142</f>
        <v>0</v>
      </c>
      <c r="D146" s="480">
        <f>'[55]Sch C'!F142</f>
        <v>7422</v>
      </c>
      <c r="E146" s="480">
        <f>+'[55]Sch C'!H142</f>
        <v>0</v>
      </c>
      <c r="F146" s="236">
        <f t="shared" si="48"/>
        <v>7422</v>
      </c>
      <c r="G146" s="628">
        <v>16480</v>
      </c>
      <c r="H146" s="609"/>
      <c r="I146" s="236">
        <f t="shared" si="49"/>
        <v>23902</v>
      </c>
      <c r="J146" s="265">
        <f>IF($I$213=0,0,I146/$I$213)</f>
        <v>6.3760209115986651E-3</v>
      </c>
      <c r="K146" s="579"/>
      <c r="L146" s="163"/>
      <c r="M146" s="163"/>
      <c r="O146" s="332">
        <f t="shared" si="43"/>
        <v>1.4868126399601891</v>
      </c>
      <c r="P146" s="325">
        <f>SUMMARY!L148</f>
        <v>2.5881018642050413</v>
      </c>
    </row>
    <row r="147" spans="1:16" s="261" customFormat="1">
      <c r="A147" s="263"/>
      <c r="B147" s="323" t="s">
        <v>690</v>
      </c>
      <c r="C147" s="480">
        <f>'[55]Sch C'!D143</f>
        <v>0</v>
      </c>
      <c r="D147" s="480">
        <f>'[55]Sch C'!F143</f>
        <v>23406</v>
      </c>
      <c r="E147" s="480">
        <f>+'[55]Sch C'!H143</f>
        <v>0</v>
      </c>
      <c r="F147" s="236">
        <f t="shared" si="48"/>
        <v>23406</v>
      </c>
      <c r="G147" s="628">
        <v>51974</v>
      </c>
      <c r="H147" s="609"/>
      <c r="I147" s="236">
        <f t="shared" si="49"/>
        <v>75380</v>
      </c>
      <c r="J147" s="265">
        <f>IF($I$213=0,0,I147/$I$213)</f>
        <v>2.0108127199243053E-2</v>
      </c>
      <c r="K147" s="579"/>
      <c r="L147" s="163"/>
      <c r="M147" s="163"/>
      <c r="O147" s="332">
        <f t="shared" si="43"/>
        <v>4.6889773575516296</v>
      </c>
      <c r="P147" s="325">
        <f>SUMMARY!L149</f>
        <v>5.926405773153995</v>
      </c>
    </row>
    <row r="148" spans="1:16" s="261" customFormat="1">
      <c r="A148" s="263"/>
      <c r="B148" s="323" t="s">
        <v>692</v>
      </c>
      <c r="C148" s="480">
        <f>'[55]Sch C'!D144</f>
        <v>158810</v>
      </c>
      <c r="D148" s="480">
        <f>'[55]Sch C'!F144</f>
        <v>7599</v>
      </c>
      <c r="E148" s="480">
        <f>+'[55]Sch C'!H144</f>
        <v>0</v>
      </c>
      <c r="F148" s="236">
        <f t="shared" si="48"/>
        <v>166409</v>
      </c>
      <c r="G148" s="628">
        <v>-141936</v>
      </c>
      <c r="H148" s="609"/>
      <c r="I148" s="236">
        <f t="shared" si="49"/>
        <v>24473</v>
      </c>
      <c r="J148" s="265">
        <f>IF($I$213=0,0,I148/$I$213)</f>
        <v>6.5283390414841496E-3</v>
      </c>
      <c r="K148" s="579"/>
      <c r="L148" s="163"/>
      <c r="M148" s="163"/>
      <c r="O148" s="332">
        <f t="shared" si="43"/>
        <v>1.5223314257277929</v>
      </c>
      <c r="P148" s="325">
        <f>SUMMARY!L150</f>
        <v>0.58146571018408233</v>
      </c>
    </row>
    <row r="149" spans="1:16" s="261" customFormat="1">
      <c r="A149" s="263" t="s">
        <v>79</v>
      </c>
      <c r="B149" s="264" t="s">
        <v>90</v>
      </c>
      <c r="C149" s="188"/>
      <c r="D149" s="188"/>
      <c r="E149" s="188"/>
      <c r="F149" s="281"/>
      <c r="G149" s="281"/>
      <c r="H149" s="281"/>
      <c r="I149" s="281"/>
      <c r="J149" s="282"/>
      <c r="K149" s="579"/>
      <c r="L149" s="196"/>
      <c r="M149" s="196"/>
      <c r="O149" s="332"/>
      <c r="P149" s="325"/>
    </row>
    <row r="150" spans="1:16" s="261" customFormat="1">
      <c r="A150" s="263"/>
      <c r="B150" s="323" t="s">
        <v>694</v>
      </c>
      <c r="C150" s="480">
        <f>'[55]Sch C'!D146</f>
        <v>18000</v>
      </c>
      <c r="D150" s="480">
        <f>'[55]Sch C'!F146</f>
        <v>0</v>
      </c>
      <c r="E150" s="480">
        <f>+'[55]Sch C'!H146</f>
        <v>0</v>
      </c>
      <c r="F150" s="236">
        <f t="shared" ref="F150:F158" si="50">C150+D150+E150</f>
        <v>18000</v>
      </c>
      <c r="G150" s="628"/>
      <c r="H150" s="609"/>
      <c r="I150" s="236">
        <f t="shared" ref="I150:I158" si="51">F150+G150+H150</f>
        <v>18000</v>
      </c>
      <c r="J150" s="265">
        <f t="shared" ref="J150:J158" si="52">IF($I$213=0,0,I150/$I$213)</f>
        <v>4.8016223081238383E-3</v>
      </c>
      <c r="K150" s="579"/>
      <c r="L150" s="176">
        <v>84</v>
      </c>
      <c r="M150" s="176">
        <v>84</v>
      </c>
      <c r="O150" s="332">
        <f t="shared" si="43"/>
        <v>1.1196815128141329</v>
      </c>
      <c r="P150" s="325">
        <f>SUMMARY!L152</f>
        <v>1.8353464912966555</v>
      </c>
    </row>
    <row r="151" spans="1:16" s="261" customFormat="1">
      <c r="A151" s="263"/>
      <c r="B151" s="323" t="s">
        <v>696</v>
      </c>
      <c r="C151" s="480">
        <f>'[55]Sch C'!D147</f>
        <v>0</v>
      </c>
      <c r="D151" s="480">
        <f>'[55]Sch C'!F147</f>
        <v>0</v>
      </c>
      <c r="E151" s="480">
        <f>+'[55]Sch C'!H147</f>
        <v>0</v>
      </c>
      <c r="F151" s="236">
        <f t="shared" si="50"/>
        <v>0</v>
      </c>
      <c r="G151" s="628"/>
      <c r="H151" s="609"/>
      <c r="I151" s="236">
        <f t="shared" si="51"/>
        <v>0</v>
      </c>
      <c r="J151" s="265">
        <f t="shared" si="52"/>
        <v>0</v>
      </c>
      <c r="K151" s="579"/>
      <c r="L151" s="176">
        <v>0</v>
      </c>
      <c r="M151" s="176">
        <v>0</v>
      </c>
      <c r="O151" s="332">
        <f t="shared" si="43"/>
        <v>0</v>
      </c>
      <c r="P151" s="325">
        <f>SUMMARY!L153</f>
        <v>1.6124946612088766</v>
      </c>
    </row>
    <row r="152" spans="1:16" s="261" customFormat="1">
      <c r="A152" s="263"/>
      <c r="B152" s="323" t="s">
        <v>698</v>
      </c>
      <c r="C152" s="480">
        <f>'[55]Sch C'!D148</f>
        <v>0</v>
      </c>
      <c r="D152" s="480">
        <f>'[55]Sch C'!F148</f>
        <v>0</v>
      </c>
      <c r="E152" s="480">
        <f>+'[55]Sch C'!H148</f>
        <v>0</v>
      </c>
      <c r="F152" s="236">
        <f t="shared" si="50"/>
        <v>0</v>
      </c>
      <c r="G152" s="628"/>
      <c r="H152" s="609"/>
      <c r="I152" s="236">
        <f t="shared" si="51"/>
        <v>0</v>
      </c>
      <c r="J152" s="265">
        <f t="shared" si="52"/>
        <v>0</v>
      </c>
      <c r="K152" s="579"/>
      <c r="L152" s="176">
        <v>0</v>
      </c>
      <c r="M152" s="176">
        <v>0</v>
      </c>
      <c r="O152" s="332">
        <f t="shared" si="43"/>
        <v>0</v>
      </c>
      <c r="P152" s="325">
        <f>SUMMARY!L154</f>
        <v>0.75115383579892336</v>
      </c>
    </row>
    <row r="153" spans="1:16" s="261" customFormat="1">
      <c r="A153" s="263"/>
      <c r="B153" s="323" t="s">
        <v>683</v>
      </c>
      <c r="C153" s="480">
        <f>'[55]Sch C'!D149</f>
        <v>0</v>
      </c>
      <c r="D153" s="480">
        <f>'[55]Sch C'!F149</f>
        <v>0</v>
      </c>
      <c r="E153" s="480">
        <f>+'[55]Sch C'!H149</f>
        <v>0</v>
      </c>
      <c r="F153" s="236">
        <f t="shared" si="50"/>
        <v>0</v>
      </c>
      <c r="G153" s="628"/>
      <c r="H153" s="609"/>
      <c r="I153" s="236">
        <f t="shared" si="51"/>
        <v>0</v>
      </c>
      <c r="J153" s="265">
        <f t="shared" si="52"/>
        <v>0</v>
      </c>
      <c r="K153" s="579"/>
      <c r="L153" s="176">
        <v>0</v>
      </c>
      <c r="M153" s="176">
        <v>0</v>
      </c>
      <c r="O153" s="332">
        <f t="shared" si="43"/>
        <v>0</v>
      </c>
      <c r="P153" s="325">
        <f>SUMMARY!L155</f>
        <v>2.153048452423644</v>
      </c>
    </row>
    <row r="154" spans="1:16" s="261" customFormat="1">
      <c r="A154" s="263"/>
      <c r="B154" s="323" t="s">
        <v>700</v>
      </c>
      <c r="C154" s="480">
        <f>'[55]Sch C'!D150</f>
        <v>9133</v>
      </c>
      <c r="D154" s="480">
        <f>'[55]Sch C'!F150</f>
        <v>0</v>
      </c>
      <c r="E154" s="480">
        <f>+'[55]Sch C'!H150</f>
        <v>0</v>
      </c>
      <c r="F154" s="236">
        <f t="shared" si="50"/>
        <v>9133</v>
      </c>
      <c r="G154" s="609">
        <v>-630</v>
      </c>
      <c r="H154" s="609"/>
      <c r="I154" s="236">
        <f t="shared" si="51"/>
        <v>8503</v>
      </c>
      <c r="J154" s="265">
        <f t="shared" si="52"/>
        <v>2.268233026998722E-3</v>
      </c>
      <c r="K154" s="579"/>
      <c r="L154" s="176">
        <v>141</v>
      </c>
      <c r="M154" s="176">
        <v>141</v>
      </c>
      <c r="O154" s="332">
        <f t="shared" si="43"/>
        <v>0.52892510574769847</v>
      </c>
      <c r="P154" s="325">
        <f>SUMMARY!L156</f>
        <v>0.8651921749421968</v>
      </c>
    </row>
    <row r="155" spans="1:16" s="261" customFormat="1">
      <c r="A155" s="263">
        <v>110</v>
      </c>
      <c r="B155" s="261" t="s">
        <v>57</v>
      </c>
      <c r="C155" s="480">
        <f>'[55]Sch C'!D151</f>
        <v>67531</v>
      </c>
      <c r="D155" s="480">
        <f>'[55]Sch C'!F151</f>
        <v>7697</v>
      </c>
      <c r="E155" s="480">
        <f>+'[55]Sch C'!H151</f>
        <v>0</v>
      </c>
      <c r="F155" s="236">
        <f t="shared" si="50"/>
        <v>75228</v>
      </c>
      <c r="G155" s="628"/>
      <c r="H155" s="609"/>
      <c r="I155" s="236">
        <f t="shared" si="51"/>
        <v>75228</v>
      </c>
      <c r="J155" s="265">
        <f t="shared" si="52"/>
        <v>2.0067580166418894E-2</v>
      </c>
      <c r="K155" s="579"/>
      <c r="L155" s="163"/>
      <c r="M155" s="163"/>
      <c r="O155" s="332">
        <f t="shared" si="43"/>
        <v>4.6795222692211995</v>
      </c>
      <c r="P155" s="325">
        <f>SUMMARY!L157</f>
        <v>5.7407714042076297</v>
      </c>
    </row>
    <row r="156" spans="1:16" s="261" customFormat="1">
      <c r="A156" s="263">
        <v>111</v>
      </c>
      <c r="B156" s="264" t="s">
        <v>89</v>
      </c>
      <c r="C156" s="480">
        <f>'[55]Sch C'!D152</f>
        <v>4810</v>
      </c>
      <c r="D156" s="480">
        <f>'[55]Sch C'!F152</f>
        <v>0</v>
      </c>
      <c r="E156" s="480">
        <f>+'[55]Sch C'!H152</f>
        <v>0</v>
      </c>
      <c r="F156" s="236">
        <f t="shared" si="50"/>
        <v>4810</v>
      </c>
      <c r="G156" s="628"/>
      <c r="H156" s="609"/>
      <c r="I156" s="236">
        <f t="shared" si="51"/>
        <v>4810</v>
      </c>
      <c r="J156" s="265">
        <f t="shared" si="52"/>
        <v>1.2831001834486479E-3</v>
      </c>
      <c r="K156" s="579"/>
      <c r="L156" s="163"/>
      <c r="M156" s="163"/>
      <c r="O156" s="332">
        <f t="shared" si="43"/>
        <v>0.29920378203533216</v>
      </c>
      <c r="P156" s="325">
        <f>SUMMARY!L158</f>
        <v>0.39306127844528371</v>
      </c>
    </row>
    <row r="157" spans="1:16" s="261" customFormat="1">
      <c r="A157" s="263">
        <v>230</v>
      </c>
      <c r="B157" s="264" t="s">
        <v>58</v>
      </c>
      <c r="C157" s="480">
        <f>'[55]Sch C'!D153</f>
        <v>497</v>
      </c>
      <c r="D157" s="480">
        <f>'[55]Sch C'!F153</f>
        <v>0</v>
      </c>
      <c r="E157" s="480">
        <f>+'[55]Sch C'!H153</f>
        <v>0</v>
      </c>
      <c r="F157" s="236">
        <f t="shared" si="50"/>
        <v>497</v>
      </c>
      <c r="G157" s="628"/>
      <c r="H157" s="609"/>
      <c r="I157" s="236">
        <f t="shared" si="51"/>
        <v>497</v>
      </c>
      <c r="J157" s="265">
        <f t="shared" si="52"/>
        <v>1.325781270631971E-4</v>
      </c>
      <c r="K157" s="579"/>
      <c r="L157" s="163"/>
      <c r="M157" s="163"/>
      <c r="O157" s="332">
        <f t="shared" si="43"/>
        <v>3.0915650659368001E-2</v>
      </c>
      <c r="P157" s="325">
        <f>SUMMARY!L159</f>
        <v>0.10204288586563798</v>
      </c>
    </row>
    <row r="158" spans="1:16" s="261" customFormat="1">
      <c r="A158" s="263">
        <v>430</v>
      </c>
      <c r="B158" s="264" t="s">
        <v>91</v>
      </c>
      <c r="C158" s="480">
        <f>'[55]Sch C'!D154</f>
        <v>0</v>
      </c>
      <c r="D158" s="480">
        <f>'[55]Sch C'!F154</f>
        <v>0</v>
      </c>
      <c r="E158" s="480">
        <f>+'[55]Sch C'!H154</f>
        <v>0</v>
      </c>
      <c r="F158" s="236">
        <f t="shared" si="50"/>
        <v>0</v>
      </c>
      <c r="G158" s="628"/>
      <c r="H158" s="609"/>
      <c r="I158" s="236">
        <f t="shared" si="51"/>
        <v>0</v>
      </c>
      <c r="J158" s="265">
        <f t="shared" si="52"/>
        <v>0</v>
      </c>
      <c r="K158" s="579"/>
      <c r="L158" s="163"/>
      <c r="M158" s="163"/>
      <c r="O158" s="332">
        <f t="shared" si="43"/>
        <v>0</v>
      </c>
      <c r="P158" s="325">
        <f>SUMMARY!L160</f>
        <v>1.5994484918386225</v>
      </c>
    </row>
    <row r="159" spans="1:16" s="261" customFormat="1">
      <c r="A159" s="263"/>
      <c r="B159" s="201" t="s">
        <v>283</v>
      </c>
      <c r="C159" s="479"/>
      <c r="D159" s="479"/>
      <c r="E159" s="479"/>
      <c r="F159" s="290"/>
      <c r="G159" s="629"/>
      <c r="H159" s="290"/>
      <c r="I159" s="290"/>
      <c r="J159" s="291"/>
      <c r="K159" s="579"/>
      <c r="L159" s="163"/>
      <c r="M159" s="163"/>
      <c r="O159" s="332"/>
      <c r="P159" s="325"/>
    </row>
    <row r="160" spans="1:16" s="261" customFormat="1">
      <c r="A160" s="263">
        <v>440.1</v>
      </c>
      <c r="B160" s="257" t="s">
        <v>207</v>
      </c>
      <c r="C160" s="480">
        <f>'[55]Sch C'!D156</f>
        <v>0</v>
      </c>
      <c r="D160" s="480">
        <f>'[55]Sch C'!F156</f>
        <v>0</v>
      </c>
      <c r="E160" s="480">
        <f>+'[55]Sch C'!H156</f>
        <v>0</v>
      </c>
      <c r="F160" s="236">
        <f t="shared" ref="F160:F165" si="53">C160+D160+E160</f>
        <v>0</v>
      </c>
      <c r="G160" s="628"/>
      <c r="H160" s="609"/>
      <c r="I160" s="236">
        <f t="shared" ref="I160:I165" si="54">F160+G160+H160</f>
        <v>0</v>
      </c>
      <c r="J160" s="265">
        <f t="shared" ref="J160:J166" si="55">IF($I$213=0,0,I160/$I$213)</f>
        <v>0</v>
      </c>
      <c r="K160" s="579"/>
      <c r="L160" s="163"/>
      <c r="M160" s="163"/>
      <c r="O160" s="332">
        <f t="shared" si="43"/>
        <v>0</v>
      </c>
      <c r="P160" s="325">
        <f>SUMMARY!L162</f>
        <v>0</v>
      </c>
    </row>
    <row r="161" spans="1:16" s="261" customFormat="1">
      <c r="A161" s="263">
        <v>440.2</v>
      </c>
      <c r="B161" s="257" t="s">
        <v>208</v>
      </c>
      <c r="C161" s="480">
        <f>'[55]Sch C'!D157</f>
        <v>0</v>
      </c>
      <c r="D161" s="480">
        <f>'[55]Sch C'!F157</f>
        <v>0</v>
      </c>
      <c r="E161" s="480">
        <f>+'[55]Sch C'!H157</f>
        <v>0</v>
      </c>
      <c r="F161" s="236">
        <f t="shared" si="53"/>
        <v>0</v>
      </c>
      <c r="G161" s="628"/>
      <c r="H161" s="609"/>
      <c r="I161" s="236">
        <f t="shared" si="54"/>
        <v>0</v>
      </c>
      <c r="J161" s="265">
        <f t="shared" si="55"/>
        <v>0</v>
      </c>
      <c r="K161" s="579"/>
      <c r="L161" s="163"/>
      <c r="M161" s="163"/>
      <c r="O161" s="332">
        <f t="shared" si="43"/>
        <v>0</v>
      </c>
      <c r="P161" s="325">
        <f>SUMMARY!L163</f>
        <v>1.902167931499783E-2</v>
      </c>
    </row>
    <row r="162" spans="1:16" s="261" customFormat="1">
      <c r="A162" s="263">
        <v>440.3</v>
      </c>
      <c r="B162" s="257" t="s">
        <v>209</v>
      </c>
      <c r="C162" s="480">
        <f>'[55]Sch C'!D158</f>
        <v>0</v>
      </c>
      <c r="D162" s="480">
        <f>'[55]Sch C'!F158</f>
        <v>0</v>
      </c>
      <c r="E162" s="480">
        <f>+'[55]Sch C'!H158</f>
        <v>0</v>
      </c>
      <c r="F162" s="236">
        <f t="shared" si="53"/>
        <v>0</v>
      </c>
      <c r="G162" s="628"/>
      <c r="H162" s="609"/>
      <c r="I162" s="236">
        <f t="shared" si="54"/>
        <v>0</v>
      </c>
      <c r="J162" s="265">
        <f t="shared" si="55"/>
        <v>0</v>
      </c>
      <c r="K162" s="579"/>
      <c r="L162" s="163"/>
      <c r="M162" s="163"/>
      <c r="O162" s="332">
        <f t="shared" si="43"/>
        <v>0</v>
      </c>
      <c r="P162" s="325">
        <f>SUMMARY!L164</f>
        <v>3.2668124805482774E-3</v>
      </c>
    </row>
    <row r="163" spans="1:16" s="261" customFormat="1">
      <c r="A163" s="263">
        <v>440.4</v>
      </c>
      <c r="B163" s="257" t="s">
        <v>210</v>
      </c>
      <c r="C163" s="480">
        <f>'[55]Sch C'!D159</f>
        <v>0</v>
      </c>
      <c r="D163" s="480">
        <f>'[55]Sch C'!F159</f>
        <v>0</v>
      </c>
      <c r="E163" s="480">
        <f>+'[55]Sch C'!H159</f>
        <v>0</v>
      </c>
      <c r="F163" s="236">
        <f t="shared" si="53"/>
        <v>0</v>
      </c>
      <c r="G163" s="628"/>
      <c r="H163" s="609"/>
      <c r="I163" s="236">
        <f t="shared" si="54"/>
        <v>0</v>
      </c>
      <c r="J163" s="265">
        <f t="shared" si="55"/>
        <v>0</v>
      </c>
      <c r="K163" s="579"/>
      <c r="L163" s="163"/>
      <c r="M163" s="163"/>
      <c r="O163" s="332">
        <f t="shared" si="43"/>
        <v>0</v>
      </c>
      <c r="P163" s="325">
        <f>SUMMARY!L165</f>
        <v>8.1576082215767929E-4</v>
      </c>
    </row>
    <row r="164" spans="1:16" s="261" customFormat="1">
      <c r="A164" s="263">
        <v>440.5</v>
      </c>
      <c r="B164" s="257" t="s">
        <v>282</v>
      </c>
      <c r="C164" s="480">
        <f>'[55]Sch C'!D160</f>
        <v>0</v>
      </c>
      <c r="D164" s="480">
        <f>'[55]Sch C'!F160</f>
        <v>0</v>
      </c>
      <c r="E164" s="480">
        <f>+'[55]Sch C'!H160</f>
        <v>0</v>
      </c>
      <c r="F164" s="236">
        <f t="shared" si="53"/>
        <v>0</v>
      </c>
      <c r="G164" s="628"/>
      <c r="H164" s="609"/>
      <c r="I164" s="236">
        <f t="shared" si="54"/>
        <v>0</v>
      </c>
      <c r="J164" s="265">
        <f t="shared" si="55"/>
        <v>0</v>
      </c>
      <c r="K164" s="579"/>
      <c r="L164" s="163"/>
      <c r="M164" s="163"/>
      <c r="O164" s="332">
        <f t="shared" si="43"/>
        <v>0</v>
      </c>
      <c r="P164" s="325">
        <f>SUMMARY!L166</f>
        <v>9.900111029624771E-3</v>
      </c>
    </row>
    <row r="165" spans="1:16" s="261" customFormat="1">
      <c r="A165" s="263">
        <v>490</v>
      </c>
      <c r="B165" s="23" t="s">
        <v>296</v>
      </c>
      <c r="C165" s="480">
        <f>'[55]Sch C'!D161</f>
        <v>2924</v>
      </c>
      <c r="D165" s="480">
        <f>'[55]Sch C'!F161</f>
        <v>0</v>
      </c>
      <c r="E165" s="480">
        <f>+'[55]Sch C'!H161</f>
        <v>0</v>
      </c>
      <c r="F165" s="236">
        <f t="shared" si="53"/>
        <v>2924</v>
      </c>
      <c r="G165" s="628">
        <v>-607</v>
      </c>
      <c r="H165" s="609"/>
      <c r="I165" s="236">
        <f t="shared" si="54"/>
        <v>2317</v>
      </c>
      <c r="J165" s="265">
        <f t="shared" si="55"/>
        <v>6.1807549377349631E-4</v>
      </c>
      <c r="K165" s="579"/>
      <c r="L165" s="163"/>
      <c r="M165" s="163"/>
      <c r="O165" s="332">
        <f t="shared" si="43"/>
        <v>0.14412789251057476</v>
      </c>
      <c r="P165" s="325">
        <f>SUMMARY!L167</f>
        <v>0.46627165535370629</v>
      </c>
    </row>
    <row r="166" spans="1:16" s="261" customFormat="1">
      <c r="A166" s="263"/>
      <c r="B166" s="264" t="s">
        <v>216</v>
      </c>
      <c r="C166" s="480">
        <f t="shared" ref="C166:E166" si="56">SUM(C128:C165)</f>
        <v>1214769</v>
      </c>
      <c r="D166" s="480">
        <f t="shared" si="56"/>
        <v>76739</v>
      </c>
      <c r="E166" s="480">
        <f t="shared" si="56"/>
        <v>37733</v>
      </c>
      <c r="F166" s="236">
        <f t="shared" ref="F166:I166" si="57">SUM(F128:F165)</f>
        <v>1329241</v>
      </c>
      <c r="G166" s="236">
        <f t="shared" si="57"/>
        <v>-1237</v>
      </c>
      <c r="H166" s="236">
        <f t="shared" si="57"/>
        <v>0</v>
      </c>
      <c r="I166" s="236">
        <f t="shared" si="57"/>
        <v>1328004</v>
      </c>
      <c r="J166" s="265">
        <f t="shared" si="55"/>
        <v>0.35425409064876051</v>
      </c>
      <c r="K166" s="579"/>
      <c r="L166" s="163"/>
      <c r="M166" s="163"/>
      <c r="O166" s="332">
        <f>I166/I$233</f>
        <v>82.607862652401096</v>
      </c>
      <c r="P166" s="325">
        <f>SUMMARY!L168</f>
        <v>117.25773185217372</v>
      </c>
    </row>
    <row r="167" spans="1:16" s="261" customFormat="1">
      <c r="A167" s="263"/>
      <c r="B167" s="165"/>
      <c r="C167" s="188"/>
      <c r="D167" s="188"/>
      <c r="E167" s="188"/>
      <c r="F167" s="281"/>
      <c r="G167" s="281"/>
      <c r="H167" s="281"/>
      <c r="I167" s="281"/>
      <c r="J167" s="282"/>
      <c r="K167" s="579"/>
      <c r="L167" s="163"/>
      <c r="M167" s="163"/>
      <c r="O167" s="325"/>
      <c r="P167" s="325"/>
    </row>
    <row r="168" spans="1:16" s="261" customFormat="1" ht="26">
      <c r="A168" s="263" t="s">
        <v>160</v>
      </c>
      <c r="B168" s="204" t="s">
        <v>92</v>
      </c>
      <c r="C168" s="205"/>
      <c r="D168" s="205"/>
      <c r="E168" s="205"/>
      <c r="F168" s="292"/>
      <c r="G168" s="292"/>
      <c r="H168" s="292"/>
      <c r="I168" s="292"/>
      <c r="J168" s="293"/>
      <c r="K168" s="579"/>
      <c r="L168" s="163"/>
      <c r="M168" s="163"/>
      <c r="O168" s="325"/>
      <c r="P168" s="325"/>
    </row>
    <row r="169" spans="1:16" s="295" customFormat="1">
      <c r="A169" s="294" t="s">
        <v>87</v>
      </c>
      <c r="B169" s="284" t="s">
        <v>94</v>
      </c>
      <c r="C169" s="480">
        <f>'[55]Sch C'!D175</f>
        <v>0</v>
      </c>
      <c r="D169" s="480">
        <f>'[55]Sch C'!F175</f>
        <v>0</v>
      </c>
      <c r="E169" s="480">
        <f>+'[55]Sch C'!H175</f>
        <v>0</v>
      </c>
      <c r="F169" s="236">
        <f t="shared" ref="F169:F201" si="58">C169+D169+E169</f>
        <v>0</v>
      </c>
      <c r="G169" s="628"/>
      <c r="H169" s="609"/>
      <c r="I169" s="236">
        <f t="shared" ref="I169:I201" si="59">F169+G169+H169</f>
        <v>0</v>
      </c>
      <c r="J169" s="265">
        <f t="shared" ref="J169:J201" si="60">IF($I$213=0,0,I169/$I$213)</f>
        <v>0</v>
      </c>
      <c r="K169" s="586"/>
      <c r="L169" s="176">
        <v>0</v>
      </c>
      <c r="M169" s="176">
        <v>0</v>
      </c>
      <c r="N169" s="210"/>
      <c r="O169" s="332">
        <f>I169/I$233</f>
        <v>0</v>
      </c>
      <c r="P169" s="325">
        <f>SUMMARY!L171</f>
        <v>0</v>
      </c>
    </row>
    <row r="170" spans="1:16" s="295" customFormat="1">
      <c r="A170" s="294" t="s">
        <v>115</v>
      </c>
      <c r="B170" s="284" t="s">
        <v>95</v>
      </c>
      <c r="C170" s="480">
        <f>'[55]Sch C'!D176</f>
        <v>0</v>
      </c>
      <c r="D170" s="480">
        <f>'[55]Sch C'!F176</f>
        <v>0</v>
      </c>
      <c r="E170" s="480">
        <f>+'[55]Sch C'!H176</f>
        <v>0</v>
      </c>
      <c r="F170" s="236">
        <f t="shared" si="58"/>
        <v>0</v>
      </c>
      <c r="G170" s="628"/>
      <c r="H170" s="609"/>
      <c r="I170" s="236">
        <f t="shared" si="59"/>
        <v>0</v>
      </c>
      <c r="J170" s="265">
        <f t="shared" si="60"/>
        <v>0</v>
      </c>
      <c r="K170" s="587"/>
      <c r="L170" s="212"/>
      <c r="M170" s="212"/>
      <c r="N170" s="210"/>
      <c r="O170" s="332">
        <f t="shared" ref="O170:O201" si="61">I170/I$233</f>
        <v>0</v>
      </c>
      <c r="P170" s="325">
        <f>SUMMARY!L172</f>
        <v>0</v>
      </c>
    </row>
    <row r="171" spans="1:16" s="295" customFormat="1">
      <c r="A171" s="294" t="s">
        <v>116</v>
      </c>
      <c r="B171" s="284" t="s">
        <v>96</v>
      </c>
      <c r="C171" s="480">
        <f>'[55]Sch C'!D177</f>
        <v>167532</v>
      </c>
      <c r="D171" s="480">
        <f>'[55]Sch C'!F177</f>
        <v>0</v>
      </c>
      <c r="E171" s="480">
        <f>+'[55]Sch C'!H177</f>
        <v>0</v>
      </c>
      <c r="F171" s="236">
        <f t="shared" si="58"/>
        <v>167532</v>
      </c>
      <c r="G171" s="628"/>
      <c r="H171" s="609"/>
      <c r="I171" s="236">
        <f t="shared" si="59"/>
        <v>167532</v>
      </c>
      <c r="J171" s="265">
        <f t="shared" si="60"/>
        <v>4.4690299362477939E-2</v>
      </c>
      <c r="K171" s="586"/>
      <c r="L171" s="176">
        <v>4888</v>
      </c>
      <c r="M171" s="176">
        <v>5215</v>
      </c>
      <c r="N171" s="210"/>
      <c r="O171" s="332">
        <f t="shared" si="61"/>
        <v>10.421249066932072</v>
      </c>
      <c r="P171" s="325">
        <f>SUMMARY!L173</f>
        <v>5.1847498620055372</v>
      </c>
    </row>
    <row r="172" spans="1:16" s="295" customFormat="1">
      <c r="A172" s="294" t="s">
        <v>149</v>
      </c>
      <c r="B172" s="284" t="s">
        <v>97</v>
      </c>
      <c r="C172" s="480">
        <f>'[55]Sch C'!D178</f>
        <v>24193</v>
      </c>
      <c r="D172" s="480">
        <f>'[55]Sch C'!F178</f>
        <v>12137</v>
      </c>
      <c r="E172" s="480">
        <f>+'[55]Sch C'!H178</f>
        <v>0</v>
      </c>
      <c r="F172" s="236">
        <f t="shared" si="58"/>
        <v>36330</v>
      </c>
      <c r="G172" s="628"/>
      <c r="H172" s="609"/>
      <c r="I172" s="236">
        <f t="shared" si="59"/>
        <v>36330</v>
      </c>
      <c r="J172" s="265">
        <f t="shared" si="60"/>
        <v>9.6912743585632795E-3</v>
      </c>
      <c r="K172" s="587"/>
      <c r="L172" s="212"/>
      <c r="M172" s="212"/>
      <c r="N172" s="210"/>
      <c r="O172" s="332">
        <f t="shared" si="61"/>
        <v>2.2598905200298582</v>
      </c>
      <c r="P172" s="325">
        <f>SUMMARY!L174</f>
        <v>0.98583410796026272</v>
      </c>
    </row>
    <row r="173" spans="1:16" s="295" customFormat="1">
      <c r="A173" s="294" t="s">
        <v>150</v>
      </c>
      <c r="B173" s="284" t="s">
        <v>297</v>
      </c>
      <c r="C173" s="480">
        <f>'[55]Sch C'!D179</f>
        <v>0</v>
      </c>
      <c r="D173" s="480">
        <f>'[55]Sch C'!F179</f>
        <v>0</v>
      </c>
      <c r="E173" s="480">
        <f>+'[55]Sch C'!H179</f>
        <v>0</v>
      </c>
      <c r="F173" s="236">
        <f t="shared" si="58"/>
        <v>0</v>
      </c>
      <c r="G173" s="628"/>
      <c r="H173" s="609"/>
      <c r="I173" s="236">
        <f t="shared" si="59"/>
        <v>0</v>
      </c>
      <c r="J173" s="265">
        <f t="shared" si="60"/>
        <v>0</v>
      </c>
      <c r="K173" s="586"/>
      <c r="L173" s="176">
        <v>0</v>
      </c>
      <c r="M173" s="176">
        <v>0</v>
      </c>
      <c r="N173" s="210"/>
      <c r="O173" s="332">
        <f t="shared" si="61"/>
        <v>0</v>
      </c>
      <c r="P173" s="325">
        <f>SUMMARY!L175</f>
        <v>0.88344885118675753</v>
      </c>
    </row>
    <row r="174" spans="1:16" s="295" customFormat="1">
      <c r="A174" s="294" t="s">
        <v>78</v>
      </c>
      <c r="B174" s="284" t="s">
        <v>298</v>
      </c>
      <c r="C174" s="480">
        <f>'[55]Sch C'!D180</f>
        <v>0</v>
      </c>
      <c r="D174" s="480">
        <f>'[55]Sch C'!F180</f>
        <v>0</v>
      </c>
      <c r="E174" s="480">
        <f>+'[55]Sch C'!H180</f>
        <v>0</v>
      </c>
      <c r="F174" s="236">
        <f t="shared" si="58"/>
        <v>0</v>
      </c>
      <c r="G174" s="628"/>
      <c r="H174" s="609"/>
      <c r="I174" s="236">
        <f t="shared" si="59"/>
        <v>0</v>
      </c>
      <c r="J174" s="265">
        <f t="shared" si="60"/>
        <v>0</v>
      </c>
      <c r="K174" s="587"/>
      <c r="L174" s="212"/>
      <c r="M174" s="212"/>
      <c r="N174" s="210"/>
      <c r="O174" s="332">
        <f t="shared" si="61"/>
        <v>0</v>
      </c>
      <c r="P174" s="325">
        <f>SUMMARY!L176</f>
        <v>0.17287917374835396</v>
      </c>
    </row>
    <row r="175" spans="1:16" s="295" customFormat="1">
      <c r="A175" s="294" t="s">
        <v>88</v>
      </c>
      <c r="B175" s="284" t="s">
        <v>299</v>
      </c>
      <c r="C175" s="480">
        <f>'[55]Sch C'!D181</f>
        <v>0</v>
      </c>
      <c r="D175" s="480">
        <f>'[55]Sch C'!F181</f>
        <v>0</v>
      </c>
      <c r="E175" s="480">
        <f>+'[55]Sch C'!H181</f>
        <v>0</v>
      </c>
      <c r="F175" s="236">
        <f t="shared" si="58"/>
        <v>0</v>
      </c>
      <c r="G175" s="628"/>
      <c r="H175" s="609"/>
      <c r="I175" s="236">
        <f t="shared" si="59"/>
        <v>0</v>
      </c>
      <c r="J175" s="265">
        <f t="shared" si="60"/>
        <v>0</v>
      </c>
      <c r="K175" s="586"/>
      <c r="L175" s="176">
        <v>0</v>
      </c>
      <c r="M175" s="176">
        <v>0</v>
      </c>
      <c r="N175" s="210"/>
      <c r="O175" s="332">
        <f t="shared" si="61"/>
        <v>0</v>
      </c>
      <c r="P175" s="325">
        <f>SUMMARY!L177</f>
        <v>0</v>
      </c>
    </row>
    <row r="176" spans="1:16" s="295" customFormat="1">
      <c r="A176" s="294" t="s">
        <v>117</v>
      </c>
      <c r="B176" s="284" t="s">
        <v>101</v>
      </c>
      <c r="C176" s="480">
        <f>'[55]Sch C'!D182</f>
        <v>0</v>
      </c>
      <c r="D176" s="480">
        <f>'[55]Sch C'!F182</f>
        <v>0</v>
      </c>
      <c r="E176" s="480">
        <f>+'[55]Sch C'!H182</f>
        <v>0</v>
      </c>
      <c r="F176" s="236">
        <f t="shared" si="58"/>
        <v>0</v>
      </c>
      <c r="G176" s="628"/>
      <c r="H176" s="609"/>
      <c r="I176" s="236">
        <f t="shared" si="59"/>
        <v>0</v>
      </c>
      <c r="J176" s="265">
        <f t="shared" si="60"/>
        <v>0</v>
      </c>
      <c r="K176" s="587"/>
      <c r="L176" s="212"/>
      <c r="M176" s="212"/>
      <c r="N176" s="210"/>
      <c r="O176" s="332">
        <f t="shared" si="61"/>
        <v>0</v>
      </c>
      <c r="P176" s="325">
        <f>SUMMARY!L178</f>
        <v>0</v>
      </c>
    </row>
    <row r="177" spans="1:16" s="295" customFormat="1">
      <c r="A177" s="294" t="s">
        <v>118</v>
      </c>
      <c r="B177" s="284" t="s">
        <v>300</v>
      </c>
      <c r="C177" s="480">
        <f>'[55]Sch C'!D183</f>
        <v>146621</v>
      </c>
      <c r="D177" s="480">
        <f>'[55]Sch C'!F183</f>
        <v>0</v>
      </c>
      <c r="E177" s="480">
        <f>+'[55]Sch C'!H183</f>
        <v>0</v>
      </c>
      <c r="F177" s="236">
        <f t="shared" si="58"/>
        <v>146621</v>
      </c>
      <c r="G177" s="628"/>
      <c r="H177" s="609"/>
      <c r="I177" s="236">
        <f t="shared" si="59"/>
        <v>146621</v>
      </c>
      <c r="J177" s="265">
        <f t="shared" si="60"/>
        <v>3.9112148024412513E-2</v>
      </c>
      <c r="K177" s="586"/>
      <c r="L177" s="176">
        <v>4081</v>
      </c>
      <c r="M177" s="176">
        <v>4330</v>
      </c>
      <c r="N177" s="210"/>
      <c r="O177" s="332">
        <f t="shared" si="61"/>
        <v>9.1204901716844979</v>
      </c>
      <c r="P177" s="325">
        <f>SUMMARY!L179</f>
        <v>3.4216730728324949</v>
      </c>
    </row>
    <row r="178" spans="1:16" s="295" customFormat="1" ht="13.5">
      <c r="A178" s="294" t="s">
        <v>119</v>
      </c>
      <c r="B178" s="296" t="s">
        <v>103</v>
      </c>
      <c r="C178" s="480">
        <f>'[55]Sch C'!D184</f>
        <v>21845</v>
      </c>
      <c r="D178" s="480">
        <f>'[55]Sch C'!F184</f>
        <v>10622</v>
      </c>
      <c r="E178" s="480">
        <f>+'[55]Sch C'!H184</f>
        <v>0</v>
      </c>
      <c r="F178" s="236">
        <f t="shared" si="58"/>
        <v>32467</v>
      </c>
      <c r="G178" s="628"/>
      <c r="H178" s="609"/>
      <c r="I178" s="236">
        <f t="shared" si="59"/>
        <v>32467</v>
      </c>
      <c r="J178" s="265">
        <f t="shared" si="60"/>
        <v>8.6607928598809256E-3</v>
      </c>
      <c r="K178" s="587"/>
      <c r="L178" s="212"/>
      <c r="M178" s="212"/>
      <c r="N178" s="210"/>
      <c r="O178" s="332">
        <f t="shared" si="61"/>
        <v>2.0195944264742471</v>
      </c>
      <c r="P178" s="325">
        <f>SUMMARY!L180</f>
        <v>0.66424056228476069</v>
      </c>
    </row>
    <row r="179" spans="1:16" s="295" customFormat="1">
      <c r="A179" s="294" t="s">
        <v>120</v>
      </c>
      <c r="B179" s="284" t="s">
        <v>301</v>
      </c>
      <c r="C179" s="480">
        <f>'[55]Sch C'!D185</f>
        <v>0</v>
      </c>
      <c r="D179" s="480">
        <f>'[55]Sch C'!F185</f>
        <v>0</v>
      </c>
      <c r="E179" s="480">
        <f>+'[55]Sch C'!H185</f>
        <v>0</v>
      </c>
      <c r="F179" s="236">
        <f t="shared" si="58"/>
        <v>0</v>
      </c>
      <c r="G179" s="628"/>
      <c r="H179" s="609"/>
      <c r="I179" s="236">
        <f t="shared" si="59"/>
        <v>0</v>
      </c>
      <c r="J179" s="265">
        <f t="shared" si="60"/>
        <v>0</v>
      </c>
      <c r="K179" s="586"/>
      <c r="L179" s="176">
        <v>0</v>
      </c>
      <c r="M179" s="176">
        <v>0</v>
      </c>
      <c r="N179" s="210"/>
      <c r="O179" s="332">
        <f t="shared" si="61"/>
        <v>0</v>
      </c>
      <c r="P179" s="325">
        <f>SUMMARY!L181</f>
        <v>0</v>
      </c>
    </row>
    <row r="180" spans="1:16" s="295" customFormat="1" ht="13.5">
      <c r="A180" s="294" t="s">
        <v>121</v>
      </c>
      <c r="B180" s="296" t="s">
        <v>302</v>
      </c>
      <c r="C180" s="480">
        <f>'[55]Sch C'!D186</f>
        <v>0</v>
      </c>
      <c r="D180" s="480">
        <f>'[55]Sch C'!F186</f>
        <v>0</v>
      </c>
      <c r="E180" s="480">
        <f>+'[55]Sch C'!H186</f>
        <v>0</v>
      </c>
      <c r="F180" s="236">
        <f t="shared" si="58"/>
        <v>0</v>
      </c>
      <c r="G180" s="628"/>
      <c r="H180" s="609"/>
      <c r="I180" s="236">
        <f t="shared" si="59"/>
        <v>0</v>
      </c>
      <c r="J180" s="265">
        <f t="shared" si="60"/>
        <v>0</v>
      </c>
      <c r="K180" s="579"/>
      <c r="L180" s="213"/>
      <c r="M180" s="208"/>
      <c r="N180" s="210"/>
      <c r="O180" s="332">
        <f t="shared" si="61"/>
        <v>0</v>
      </c>
      <c r="P180" s="325">
        <f>SUMMARY!L182</f>
        <v>0</v>
      </c>
    </row>
    <row r="181" spans="1:16" s="295" customFormat="1">
      <c r="A181" s="297" t="s">
        <v>274</v>
      </c>
      <c r="B181" s="284" t="s">
        <v>146</v>
      </c>
      <c r="C181" s="480">
        <f>'[55]Sch C'!D187</f>
        <v>0</v>
      </c>
      <c r="D181" s="480">
        <f>'[55]Sch C'!F187</f>
        <v>0</v>
      </c>
      <c r="E181" s="480">
        <f>+'[55]Sch C'!H187</f>
        <v>0</v>
      </c>
      <c r="F181" s="236">
        <f t="shared" si="58"/>
        <v>0</v>
      </c>
      <c r="G181" s="628"/>
      <c r="H181" s="609"/>
      <c r="I181" s="236">
        <f t="shared" si="59"/>
        <v>0</v>
      </c>
      <c r="J181" s="265">
        <f t="shared" si="60"/>
        <v>0</v>
      </c>
      <c r="K181" s="579"/>
      <c r="L181" s="213"/>
      <c r="M181" s="208"/>
      <c r="N181" s="210"/>
      <c r="O181" s="332">
        <f t="shared" si="61"/>
        <v>0</v>
      </c>
      <c r="P181" s="325">
        <f>SUMMARY!L183</f>
        <v>0</v>
      </c>
    </row>
    <row r="182" spans="1:16" s="295" customFormat="1">
      <c r="A182" s="297" t="s">
        <v>275</v>
      </c>
      <c r="B182" s="284" t="s">
        <v>303</v>
      </c>
      <c r="C182" s="480">
        <f>'[55]Sch C'!D188</f>
        <v>494</v>
      </c>
      <c r="D182" s="480">
        <f>'[55]Sch C'!F188</f>
        <v>0</v>
      </c>
      <c r="E182" s="480">
        <f>+'[55]Sch C'!H188</f>
        <v>0</v>
      </c>
      <c r="F182" s="236">
        <f t="shared" si="58"/>
        <v>494</v>
      </c>
      <c r="G182" s="628"/>
      <c r="H182" s="609"/>
      <c r="I182" s="236">
        <f t="shared" si="59"/>
        <v>494</v>
      </c>
      <c r="J182" s="265">
        <f t="shared" si="60"/>
        <v>1.3177785667850978E-4</v>
      </c>
      <c r="K182" s="579"/>
      <c r="L182" s="213"/>
      <c r="M182" s="208"/>
      <c r="N182" s="210"/>
      <c r="O182" s="332">
        <f t="shared" si="61"/>
        <v>3.0729037073898981E-2</v>
      </c>
      <c r="P182" s="325">
        <f>SUMMARY!L184</f>
        <v>0.18052498920395743</v>
      </c>
    </row>
    <row r="183" spans="1:16" s="295" customFormat="1">
      <c r="A183" s="297" t="s">
        <v>276</v>
      </c>
      <c r="B183" s="284" t="s">
        <v>304</v>
      </c>
      <c r="C183" s="480">
        <f>'[55]Sch C'!D189</f>
        <v>0</v>
      </c>
      <c r="D183" s="480">
        <f>'[55]Sch C'!F189</f>
        <v>0</v>
      </c>
      <c r="E183" s="480">
        <f>+'[55]Sch C'!H189</f>
        <v>0</v>
      </c>
      <c r="F183" s="236">
        <f t="shared" si="58"/>
        <v>0</v>
      </c>
      <c r="G183" s="628"/>
      <c r="H183" s="609"/>
      <c r="I183" s="236">
        <f t="shared" si="59"/>
        <v>0</v>
      </c>
      <c r="J183" s="265">
        <f t="shared" si="60"/>
        <v>0</v>
      </c>
      <c r="K183" s="579"/>
      <c r="L183" s="213"/>
      <c r="M183" s="208"/>
      <c r="N183" s="210"/>
      <c r="O183" s="332">
        <f t="shared" si="61"/>
        <v>0</v>
      </c>
      <c r="P183" s="325">
        <f>SUMMARY!L185</f>
        <v>4.1546736364409788E-2</v>
      </c>
    </row>
    <row r="184" spans="1:16" s="295" customFormat="1">
      <c r="A184" s="297" t="s">
        <v>277</v>
      </c>
      <c r="B184" s="284" t="s">
        <v>305</v>
      </c>
      <c r="C184" s="480">
        <f>'[55]Sch C'!D190</f>
        <v>0</v>
      </c>
      <c r="D184" s="480">
        <f>'[55]Sch C'!F190</f>
        <v>0</v>
      </c>
      <c r="E184" s="480">
        <f>+'[55]Sch C'!H190</f>
        <v>0</v>
      </c>
      <c r="F184" s="236">
        <f t="shared" si="58"/>
        <v>0</v>
      </c>
      <c r="G184" s="628"/>
      <c r="H184" s="609"/>
      <c r="I184" s="236">
        <f t="shared" si="59"/>
        <v>0</v>
      </c>
      <c r="J184" s="265">
        <f t="shared" si="60"/>
        <v>0</v>
      </c>
      <c r="K184" s="579"/>
      <c r="L184" s="213"/>
      <c r="M184" s="208"/>
      <c r="N184" s="210"/>
      <c r="O184" s="332">
        <f t="shared" si="61"/>
        <v>0</v>
      </c>
      <c r="P184" s="325">
        <f>SUMMARY!L186</f>
        <v>0</v>
      </c>
    </row>
    <row r="185" spans="1:16" s="295" customFormat="1">
      <c r="A185" s="297" t="s">
        <v>278</v>
      </c>
      <c r="B185" s="284" t="s">
        <v>306</v>
      </c>
      <c r="C185" s="480">
        <f>'[55]Sch C'!D191</f>
        <v>0</v>
      </c>
      <c r="D185" s="480">
        <f>'[55]Sch C'!F191</f>
        <v>0</v>
      </c>
      <c r="E185" s="480">
        <f>+'[55]Sch C'!H191</f>
        <v>0</v>
      </c>
      <c r="F185" s="236">
        <f t="shared" si="58"/>
        <v>0</v>
      </c>
      <c r="G185" s="628"/>
      <c r="H185" s="609"/>
      <c r="I185" s="236">
        <f t="shared" si="59"/>
        <v>0</v>
      </c>
      <c r="J185" s="265">
        <f t="shared" si="60"/>
        <v>0</v>
      </c>
      <c r="K185" s="579"/>
      <c r="L185" s="213"/>
      <c r="M185" s="208"/>
      <c r="N185" s="210"/>
      <c r="O185" s="332">
        <f t="shared" si="61"/>
        <v>0</v>
      </c>
      <c r="P185" s="325">
        <f>SUMMARY!L187</f>
        <v>8.8642067843300684E-2</v>
      </c>
    </row>
    <row r="186" spans="1:16" s="295" customFormat="1">
      <c r="A186" s="297" t="s">
        <v>279</v>
      </c>
      <c r="B186" s="284" t="s">
        <v>109</v>
      </c>
      <c r="C186" s="480">
        <f>'[55]Sch C'!D192</f>
        <v>0</v>
      </c>
      <c r="D186" s="480">
        <f>'[55]Sch C'!F192</f>
        <v>0</v>
      </c>
      <c r="E186" s="480">
        <f>+'[55]Sch C'!H192</f>
        <v>0</v>
      </c>
      <c r="F186" s="236">
        <f t="shared" si="58"/>
        <v>0</v>
      </c>
      <c r="G186" s="628"/>
      <c r="H186" s="609"/>
      <c r="I186" s="236">
        <f t="shared" si="59"/>
        <v>0</v>
      </c>
      <c r="J186" s="265">
        <f t="shared" si="60"/>
        <v>0</v>
      </c>
      <c r="K186" s="579"/>
      <c r="L186" s="213"/>
      <c r="M186" s="208"/>
      <c r="N186" s="210"/>
      <c r="O186" s="332">
        <f t="shared" si="61"/>
        <v>0</v>
      </c>
      <c r="P186" s="325">
        <f>SUMMARY!L188</f>
        <v>0.23792429524187983</v>
      </c>
    </row>
    <row r="187" spans="1:16" s="295" customFormat="1">
      <c r="A187" s="297" t="s">
        <v>124</v>
      </c>
      <c r="B187" s="284" t="s">
        <v>110</v>
      </c>
      <c r="C187" s="480">
        <f>'[55]Sch C'!D193</f>
        <v>0</v>
      </c>
      <c r="D187" s="480">
        <f>'[55]Sch C'!F193</f>
        <v>0</v>
      </c>
      <c r="E187" s="480">
        <f>+'[55]Sch C'!H193</f>
        <v>0</v>
      </c>
      <c r="F187" s="236">
        <f t="shared" si="58"/>
        <v>0</v>
      </c>
      <c r="G187" s="628"/>
      <c r="H187" s="609"/>
      <c r="I187" s="236">
        <f t="shared" si="59"/>
        <v>0</v>
      </c>
      <c r="J187" s="265">
        <f t="shared" si="60"/>
        <v>0</v>
      </c>
      <c r="K187" s="579"/>
      <c r="L187" s="213"/>
      <c r="M187" s="208"/>
      <c r="N187" s="210"/>
      <c r="O187" s="332">
        <f t="shared" si="61"/>
        <v>0</v>
      </c>
      <c r="P187" s="325">
        <f>SUMMARY!L189</f>
        <v>9.5641564925407693E-2</v>
      </c>
    </row>
    <row r="188" spans="1:16" s="295" customFormat="1">
      <c r="A188" s="297" t="s">
        <v>125</v>
      </c>
      <c r="B188" s="284" t="s">
        <v>111</v>
      </c>
      <c r="C188" s="480">
        <f>'[55]Sch C'!D194</f>
        <v>992</v>
      </c>
      <c r="D188" s="480">
        <f>'[55]Sch C'!F194</f>
        <v>0</v>
      </c>
      <c r="E188" s="480">
        <f>+'[55]Sch C'!H194</f>
        <v>0</v>
      </c>
      <c r="F188" s="236">
        <f t="shared" si="58"/>
        <v>992</v>
      </c>
      <c r="G188" s="628"/>
      <c r="H188" s="609"/>
      <c r="I188" s="236">
        <f t="shared" si="59"/>
        <v>992</v>
      </c>
      <c r="J188" s="265">
        <f t="shared" si="60"/>
        <v>2.6462274053660264E-4</v>
      </c>
      <c r="K188" s="579"/>
      <c r="L188" s="213"/>
      <c r="M188" s="208"/>
      <c r="N188" s="210"/>
      <c r="O188" s="332">
        <f t="shared" si="61"/>
        <v>6.1706892261756657E-2</v>
      </c>
      <c r="P188" s="325">
        <f>SUMMARY!L190</f>
        <v>6.5644691954713696</v>
      </c>
    </row>
    <row r="189" spans="1:16" s="295" customFormat="1">
      <c r="A189" s="297" t="s">
        <v>126</v>
      </c>
      <c r="B189" s="284" t="s">
        <v>307</v>
      </c>
      <c r="C189" s="480">
        <f>'[55]Sch C'!D195</f>
        <v>3689</v>
      </c>
      <c r="D189" s="480">
        <f>'[55]Sch C'!F195</f>
        <v>0</v>
      </c>
      <c r="E189" s="480">
        <f>+'[55]Sch C'!H195</f>
        <v>0</v>
      </c>
      <c r="F189" s="236">
        <f t="shared" si="58"/>
        <v>3689</v>
      </c>
      <c r="G189" s="628"/>
      <c r="H189" s="609"/>
      <c r="I189" s="236">
        <f t="shared" si="59"/>
        <v>3689</v>
      </c>
      <c r="J189" s="265">
        <f t="shared" si="60"/>
        <v>9.8406581637049107E-4</v>
      </c>
      <c r="K189" s="579"/>
      <c r="L189" s="213"/>
      <c r="M189" s="208"/>
      <c r="N189" s="210"/>
      <c r="O189" s="332">
        <f t="shared" si="61"/>
        <v>0.22947250559840757</v>
      </c>
      <c r="P189" s="325">
        <f>SUMMARY!L191</f>
        <v>1.502971695522523</v>
      </c>
    </row>
    <row r="190" spans="1:16" s="295" customFormat="1">
      <c r="A190" s="297" t="s">
        <v>127</v>
      </c>
      <c r="B190" s="284" t="s">
        <v>308</v>
      </c>
      <c r="C190" s="480">
        <f>'[55]Sch C'!D196</f>
        <v>0</v>
      </c>
      <c r="D190" s="480">
        <f>'[55]Sch C'!F196</f>
        <v>0</v>
      </c>
      <c r="E190" s="480">
        <f>+'[55]Sch C'!H196</f>
        <v>0</v>
      </c>
      <c r="F190" s="236">
        <f t="shared" si="58"/>
        <v>0</v>
      </c>
      <c r="G190" s="628"/>
      <c r="H190" s="609"/>
      <c r="I190" s="236">
        <f t="shared" si="59"/>
        <v>0</v>
      </c>
      <c r="J190" s="265">
        <f t="shared" si="60"/>
        <v>0</v>
      </c>
      <c r="K190" s="579"/>
      <c r="L190" s="213"/>
      <c r="M190" s="208"/>
      <c r="N190" s="210"/>
      <c r="O190" s="332">
        <f t="shared" si="61"/>
        <v>0</v>
      </c>
      <c r="P190" s="325">
        <f>SUMMARY!L192</f>
        <v>0</v>
      </c>
    </row>
    <row r="191" spans="1:16" s="295" customFormat="1">
      <c r="A191" s="297" t="s">
        <v>128</v>
      </c>
      <c r="B191" s="284" t="s">
        <v>309</v>
      </c>
      <c r="C191" s="480">
        <f>'[55]Sch C'!D197</f>
        <v>0</v>
      </c>
      <c r="D191" s="480">
        <f>'[55]Sch C'!F197</f>
        <v>0</v>
      </c>
      <c r="E191" s="480">
        <f>+'[55]Sch C'!H197</f>
        <v>0</v>
      </c>
      <c r="F191" s="236">
        <f t="shared" si="58"/>
        <v>0</v>
      </c>
      <c r="G191" s="628"/>
      <c r="H191" s="609"/>
      <c r="I191" s="236">
        <f t="shared" si="59"/>
        <v>0</v>
      </c>
      <c r="J191" s="265">
        <f t="shared" si="60"/>
        <v>0</v>
      </c>
      <c r="K191" s="579"/>
      <c r="L191" s="213"/>
      <c r="M191" s="208"/>
      <c r="N191" s="210"/>
      <c r="O191" s="332">
        <f t="shared" si="61"/>
        <v>0</v>
      </c>
      <c r="P191" s="325">
        <f>SUMMARY!L193</f>
        <v>4.8968748660590737</v>
      </c>
    </row>
    <row r="192" spans="1:16" s="295" customFormat="1">
      <c r="A192" s="297" t="s">
        <v>129</v>
      </c>
      <c r="B192" s="284" t="s">
        <v>114</v>
      </c>
      <c r="C192" s="480">
        <f>'[55]Sch C'!D198</f>
        <v>17123</v>
      </c>
      <c r="D192" s="480">
        <f>'[55]Sch C'!F198</f>
        <v>0</v>
      </c>
      <c r="E192" s="480">
        <f>+'[55]Sch C'!H198</f>
        <v>0</v>
      </c>
      <c r="F192" s="236">
        <f t="shared" si="58"/>
        <v>17123</v>
      </c>
      <c r="G192" s="628"/>
      <c r="H192" s="609"/>
      <c r="I192" s="236">
        <f t="shared" si="59"/>
        <v>17123</v>
      </c>
      <c r="J192" s="265">
        <f t="shared" si="60"/>
        <v>4.5676765990002493E-3</v>
      </c>
      <c r="K192" s="579"/>
      <c r="L192" s="213"/>
      <c r="M192" s="208"/>
      <c r="N192" s="210"/>
      <c r="O192" s="332">
        <f t="shared" si="61"/>
        <v>1.0651281413286888</v>
      </c>
      <c r="P192" s="325">
        <f>SUMMARY!L194</f>
        <v>1.2996922131725721</v>
      </c>
    </row>
    <row r="193" spans="1:16" s="295" customFormat="1">
      <c r="A193" s="297" t="s">
        <v>256</v>
      </c>
      <c r="B193" s="284" t="s">
        <v>310</v>
      </c>
      <c r="C193" s="480">
        <f>'[55]Sch C'!D199</f>
        <v>0</v>
      </c>
      <c r="D193" s="480">
        <f>'[55]Sch C'!F199</f>
        <v>0</v>
      </c>
      <c r="E193" s="480">
        <f>+'[55]Sch C'!H199</f>
        <v>0</v>
      </c>
      <c r="F193" s="236">
        <f t="shared" si="58"/>
        <v>0</v>
      </c>
      <c r="G193" s="628"/>
      <c r="H193" s="609"/>
      <c r="I193" s="236">
        <f t="shared" si="59"/>
        <v>0</v>
      </c>
      <c r="J193" s="265">
        <f t="shared" si="60"/>
        <v>0</v>
      </c>
      <c r="K193" s="579"/>
      <c r="L193" s="213"/>
      <c r="M193" s="208"/>
      <c r="N193" s="210"/>
      <c r="O193" s="332">
        <f t="shared" si="61"/>
        <v>0</v>
      </c>
      <c r="P193" s="325">
        <f>SUMMARY!L195</f>
        <v>2.1027298641690924E-3</v>
      </c>
    </row>
    <row r="194" spans="1:16" s="295" customFormat="1">
      <c r="A194" s="297" t="s">
        <v>258</v>
      </c>
      <c r="B194" s="284" t="s">
        <v>259</v>
      </c>
      <c r="C194" s="480">
        <f>'[55]Sch C'!D200</f>
        <v>0</v>
      </c>
      <c r="D194" s="480">
        <f>'[55]Sch C'!F200</f>
        <v>0</v>
      </c>
      <c r="E194" s="480">
        <f>+'[55]Sch C'!H200</f>
        <v>0</v>
      </c>
      <c r="F194" s="236">
        <f t="shared" si="58"/>
        <v>0</v>
      </c>
      <c r="G194" s="628"/>
      <c r="H194" s="609"/>
      <c r="I194" s="236">
        <f t="shared" si="59"/>
        <v>0</v>
      </c>
      <c r="J194" s="265">
        <f t="shared" si="60"/>
        <v>0</v>
      </c>
      <c r="K194" s="579"/>
      <c r="L194" s="213"/>
      <c r="M194" s="208"/>
      <c r="N194" s="210"/>
      <c r="O194" s="332">
        <f t="shared" si="61"/>
        <v>0</v>
      </c>
      <c r="P194" s="325">
        <f>SUMMARY!L196</f>
        <v>3.182328735996106E-3</v>
      </c>
    </row>
    <row r="195" spans="1:16" s="295" customFormat="1">
      <c r="A195" s="298" t="s">
        <v>260</v>
      </c>
      <c r="B195" s="299" t="s">
        <v>261</v>
      </c>
      <c r="C195" s="480">
        <f>'[55]Sch C'!D201</f>
        <v>0</v>
      </c>
      <c r="D195" s="480">
        <f>'[55]Sch C'!F201</f>
        <v>0</v>
      </c>
      <c r="E195" s="480">
        <f>+'[55]Sch C'!H201</f>
        <v>0</v>
      </c>
      <c r="F195" s="236">
        <f t="shared" si="58"/>
        <v>0</v>
      </c>
      <c r="G195" s="628"/>
      <c r="H195" s="609"/>
      <c r="I195" s="236">
        <f t="shared" si="59"/>
        <v>0</v>
      </c>
      <c r="J195" s="265">
        <f t="shared" si="60"/>
        <v>0</v>
      </c>
      <c r="K195" s="579"/>
      <c r="L195" s="213"/>
      <c r="M195" s="208"/>
      <c r="N195" s="210"/>
      <c r="O195" s="332">
        <f t="shared" si="61"/>
        <v>0</v>
      </c>
      <c r="P195" s="325">
        <f>SUMMARY!L197</f>
        <v>2.7229719324431581E-3</v>
      </c>
    </row>
    <row r="196" spans="1:16" s="295" customFormat="1">
      <c r="A196" s="298" t="s">
        <v>262</v>
      </c>
      <c r="B196" s="299" t="s">
        <v>263</v>
      </c>
      <c r="C196" s="480">
        <f>'[55]Sch C'!D202</f>
        <v>0</v>
      </c>
      <c r="D196" s="480">
        <f>'[55]Sch C'!F202</f>
        <v>0</v>
      </c>
      <c r="E196" s="480">
        <f>+'[55]Sch C'!H202</f>
        <v>0</v>
      </c>
      <c r="F196" s="236">
        <f t="shared" si="58"/>
        <v>0</v>
      </c>
      <c r="G196" s="628"/>
      <c r="H196" s="609"/>
      <c r="I196" s="236">
        <f t="shared" si="59"/>
        <v>0</v>
      </c>
      <c r="J196" s="265">
        <f t="shared" si="60"/>
        <v>0</v>
      </c>
      <c r="K196" s="579"/>
      <c r="L196" s="213"/>
      <c r="M196" s="208"/>
      <c r="N196" s="210"/>
      <c r="O196" s="332">
        <f t="shared" si="61"/>
        <v>0</v>
      </c>
      <c r="P196" s="325">
        <f>SUMMARY!L198</f>
        <v>1.5622492814304837E-3</v>
      </c>
    </row>
    <row r="197" spans="1:16" s="295" customFormat="1">
      <c r="A197" s="298" t="s">
        <v>264</v>
      </c>
      <c r="B197" s="299" t="s">
        <v>311</v>
      </c>
      <c r="C197" s="480">
        <f>'[55]Sch C'!D203</f>
        <v>0</v>
      </c>
      <c r="D197" s="480">
        <f>'[55]Sch C'!F203</f>
        <v>0</v>
      </c>
      <c r="E197" s="480">
        <f>+'[55]Sch C'!H203</f>
        <v>0</v>
      </c>
      <c r="F197" s="236">
        <f t="shared" si="58"/>
        <v>0</v>
      </c>
      <c r="G197" s="628"/>
      <c r="H197" s="609"/>
      <c r="I197" s="236">
        <f t="shared" si="59"/>
        <v>0</v>
      </c>
      <c r="J197" s="265">
        <f t="shared" si="60"/>
        <v>0</v>
      </c>
      <c r="K197" s="579"/>
      <c r="L197" s="213"/>
      <c r="M197" s="208"/>
      <c r="N197" s="210"/>
      <c r="O197" s="332">
        <f t="shared" si="61"/>
        <v>0</v>
      </c>
      <c r="P197" s="325">
        <f>SUMMARY!L199</f>
        <v>8.6370876638656183E-2</v>
      </c>
    </row>
    <row r="198" spans="1:16" s="295" customFormat="1">
      <c r="A198" s="298" t="s">
        <v>266</v>
      </c>
      <c r="B198" s="299" t="s">
        <v>312</v>
      </c>
      <c r="C198" s="480">
        <f>'[55]Sch C'!D204</f>
        <v>0</v>
      </c>
      <c r="D198" s="480">
        <f>'[55]Sch C'!F204</f>
        <v>0</v>
      </c>
      <c r="E198" s="480">
        <f>+'[55]Sch C'!H204</f>
        <v>0</v>
      </c>
      <c r="F198" s="236">
        <f t="shared" si="58"/>
        <v>0</v>
      </c>
      <c r="G198" s="628"/>
      <c r="H198" s="609"/>
      <c r="I198" s="236">
        <f t="shared" si="59"/>
        <v>0</v>
      </c>
      <c r="J198" s="265">
        <f t="shared" si="60"/>
        <v>0</v>
      </c>
      <c r="K198" s="579"/>
      <c r="L198" s="213"/>
      <c r="M198" s="208"/>
      <c r="N198" s="210"/>
      <c r="O198" s="332">
        <f t="shared" si="61"/>
        <v>0</v>
      </c>
      <c r="P198" s="325">
        <f>SUMMARY!L200</f>
        <v>2.6895338155745165E-2</v>
      </c>
    </row>
    <row r="199" spans="1:16" s="295" customFormat="1">
      <c r="A199" s="297" t="s">
        <v>130</v>
      </c>
      <c r="B199" s="284" t="s">
        <v>313</v>
      </c>
      <c r="C199" s="480">
        <f>'[55]Sch C'!D205</f>
        <v>115451</v>
      </c>
      <c r="D199" s="480">
        <f>'[55]Sch C'!F205</f>
        <v>0</v>
      </c>
      <c r="E199" s="480">
        <f>+'[55]Sch C'!H205</f>
        <v>0</v>
      </c>
      <c r="F199" s="236">
        <f t="shared" si="58"/>
        <v>115451</v>
      </c>
      <c r="G199" s="628"/>
      <c r="H199" s="609"/>
      <c r="I199" s="236">
        <f t="shared" si="59"/>
        <v>115451</v>
      </c>
      <c r="J199" s="265">
        <f t="shared" si="60"/>
        <v>3.0797338727511402E-2</v>
      </c>
      <c r="K199" s="579"/>
      <c r="L199" s="213"/>
      <c r="M199" s="208"/>
      <c r="N199" s="210"/>
      <c r="O199" s="332">
        <f t="shared" si="61"/>
        <v>7.1815750186613583</v>
      </c>
      <c r="P199" s="325">
        <f>SUMMARY!L201</f>
        <v>8.282884891032662</v>
      </c>
    </row>
    <row r="200" spans="1:16" s="295" customFormat="1">
      <c r="A200" s="297" t="s">
        <v>131</v>
      </c>
      <c r="B200" s="284" t="s">
        <v>59</v>
      </c>
      <c r="C200" s="480">
        <f>'[55]Sch C'!D206</f>
        <v>599</v>
      </c>
      <c r="D200" s="480">
        <f>'[55]Sch C'!F206</f>
        <v>0</v>
      </c>
      <c r="E200" s="480">
        <f>+'[55]Sch C'!H206</f>
        <v>0</v>
      </c>
      <c r="F200" s="236">
        <f t="shared" si="58"/>
        <v>599</v>
      </c>
      <c r="G200" s="628"/>
      <c r="H200" s="609"/>
      <c r="I200" s="236">
        <f t="shared" si="59"/>
        <v>599</v>
      </c>
      <c r="J200" s="265">
        <f t="shared" si="60"/>
        <v>1.597873201425655E-4</v>
      </c>
      <c r="K200" s="579"/>
      <c r="L200" s="213"/>
      <c r="M200" s="208"/>
      <c r="N200" s="210"/>
      <c r="O200" s="332">
        <f t="shared" si="61"/>
        <v>3.7260512565314756E-2</v>
      </c>
      <c r="P200" s="325">
        <f>SUMMARY!L202</f>
        <v>0.50085155199169495</v>
      </c>
    </row>
    <row r="201" spans="1:16" s="295" customFormat="1">
      <c r="A201" s="298" t="s">
        <v>135</v>
      </c>
      <c r="B201" s="280" t="s">
        <v>314</v>
      </c>
      <c r="C201" s="480">
        <f>'[55]Sch C'!D207</f>
        <v>7159</v>
      </c>
      <c r="D201" s="480">
        <f>'[55]Sch C'!F207</f>
        <v>-957</v>
      </c>
      <c r="E201" s="480">
        <f>+'[55]Sch C'!H207</f>
        <v>0</v>
      </c>
      <c r="F201" s="236">
        <f t="shared" si="58"/>
        <v>6202</v>
      </c>
      <c r="G201" s="628">
        <v>957</v>
      </c>
      <c r="H201" s="609">
        <v>-957</v>
      </c>
      <c r="I201" s="236">
        <f t="shared" si="59"/>
        <v>6202</v>
      </c>
      <c r="J201" s="265">
        <f t="shared" si="60"/>
        <v>1.6544256419435579E-3</v>
      </c>
      <c r="K201" s="684" t="s">
        <v>662</v>
      </c>
      <c r="L201" s="213"/>
      <c r="M201" s="208"/>
      <c r="N201" s="210"/>
      <c r="O201" s="332">
        <f t="shared" si="61"/>
        <v>0.38579248569295843</v>
      </c>
      <c r="P201" s="325">
        <f>SUMMARY!L203</f>
        <v>0.38409432252006021</v>
      </c>
    </row>
    <row r="202" spans="1:16" s="261" customFormat="1" ht="26">
      <c r="A202" s="257"/>
      <c r="B202" s="300" t="s">
        <v>122</v>
      </c>
      <c r="C202" s="480">
        <f t="shared" ref="C202:E202" si="62">SUM(C169:C201)</f>
        <v>505698</v>
      </c>
      <c r="D202" s="480">
        <f t="shared" si="62"/>
        <v>21802</v>
      </c>
      <c r="E202" s="480">
        <f t="shared" si="62"/>
        <v>0</v>
      </c>
      <c r="F202" s="236">
        <f t="shared" ref="F202:I202" si="63">SUM(F169:F201)</f>
        <v>527500</v>
      </c>
      <c r="G202" s="236">
        <f t="shared" si="63"/>
        <v>957</v>
      </c>
      <c r="H202" s="236">
        <f t="shared" si="63"/>
        <v>-957</v>
      </c>
      <c r="I202" s="236">
        <f t="shared" si="63"/>
        <v>527500</v>
      </c>
      <c r="J202" s="265">
        <f>IF($I$213=0,0,I202/$I$213)</f>
        <v>0.14071420930751805</v>
      </c>
      <c r="K202" s="579"/>
      <c r="L202" s="163"/>
      <c r="M202" s="163"/>
      <c r="O202" s="332">
        <f>I202/I$233</f>
        <v>32.812888778303062</v>
      </c>
      <c r="P202" s="325">
        <f>SUMMARY!L204</f>
        <v>35.511780513975516</v>
      </c>
    </row>
    <row r="203" spans="1:16" s="261" customFormat="1">
      <c r="A203" s="257"/>
      <c r="C203" s="160"/>
      <c r="D203" s="160"/>
      <c r="E203" s="160"/>
      <c r="F203" s="259"/>
      <c r="G203" s="259"/>
      <c r="H203" s="259"/>
      <c r="I203" s="259"/>
      <c r="J203" s="283"/>
      <c r="K203" s="581"/>
      <c r="L203" s="163"/>
      <c r="M203" s="163"/>
      <c r="O203" s="325"/>
      <c r="P203" s="325"/>
    </row>
    <row r="204" spans="1:16" s="261" customFormat="1">
      <c r="A204" s="263" t="s">
        <v>161</v>
      </c>
      <c r="B204" s="264" t="s">
        <v>60</v>
      </c>
      <c r="C204" s="160"/>
      <c r="D204" s="160"/>
      <c r="E204" s="160"/>
      <c r="F204" s="259"/>
      <c r="G204" s="259"/>
      <c r="H204" s="259"/>
      <c r="I204" s="259"/>
      <c r="J204" s="283"/>
      <c r="K204" s="581"/>
      <c r="L204" s="163"/>
      <c r="M204" s="163"/>
      <c r="O204" s="325"/>
      <c r="P204" s="325"/>
    </row>
    <row r="205" spans="1:16" s="261" customFormat="1">
      <c r="A205" s="263" t="s">
        <v>77</v>
      </c>
      <c r="B205" s="264" t="s">
        <v>61</v>
      </c>
      <c r="C205" s="480">
        <f>'[55]Sch C'!D211</f>
        <v>95368</v>
      </c>
      <c r="D205" s="480">
        <f>'[55]Sch C'!F211</f>
        <v>0</v>
      </c>
      <c r="E205" s="480">
        <f>+'[55]Sch C'!H211</f>
        <v>0</v>
      </c>
      <c r="F205" s="236">
        <f t="shared" ref="F205:F210" si="64">C205+D205+E205</f>
        <v>95368</v>
      </c>
      <c r="G205" s="628"/>
      <c r="H205" s="609"/>
      <c r="I205" s="236">
        <f t="shared" ref="I205:I210" si="65">F205+G205+H205</f>
        <v>95368</v>
      </c>
      <c r="J205" s="265">
        <f t="shared" ref="J205:J211" si="66">IF($I$213=0,0,I205/$I$213)</f>
        <v>2.5440062015619679E-2</v>
      </c>
      <c r="K205" s="579"/>
      <c r="L205" s="176">
        <v>7727</v>
      </c>
      <c r="M205" s="176">
        <v>8035</v>
      </c>
      <c r="O205" s="332">
        <f t="shared" ref="O205:O210" si="67">I205/I$233</f>
        <v>5.9323214730032348</v>
      </c>
      <c r="P205" s="325">
        <f>SUMMARY!L207</f>
        <v>5.7476972960172068</v>
      </c>
    </row>
    <row r="206" spans="1:16" s="261" customFormat="1">
      <c r="A206" s="263" t="s">
        <v>78</v>
      </c>
      <c r="B206" s="264" t="s">
        <v>37</v>
      </c>
      <c r="C206" s="480">
        <f>'[55]Sch C'!D212</f>
        <v>13933</v>
      </c>
      <c r="D206" s="480">
        <f>'[55]Sch C'!F212</f>
        <v>6909</v>
      </c>
      <c r="E206" s="480">
        <f>+'[55]Sch C'!H212</f>
        <v>0</v>
      </c>
      <c r="F206" s="236">
        <f t="shared" si="64"/>
        <v>20842</v>
      </c>
      <c r="G206" s="628"/>
      <c r="H206" s="609"/>
      <c r="I206" s="236">
        <f t="shared" si="65"/>
        <v>20842</v>
      </c>
      <c r="J206" s="265">
        <f t="shared" si="66"/>
        <v>5.5597451192176128E-3</v>
      </c>
      <c r="K206" s="579"/>
      <c r="L206" s="163"/>
      <c r="M206" s="163"/>
      <c r="O206" s="332">
        <f t="shared" si="67"/>
        <v>1.2964667827817866</v>
      </c>
      <c r="P206" s="325">
        <f>SUMMARY!L208</f>
        <v>1.2734909412462843</v>
      </c>
    </row>
    <row r="207" spans="1:16" s="261" customFormat="1">
      <c r="A207" s="263" t="s">
        <v>132</v>
      </c>
      <c r="B207" s="264" t="s">
        <v>46</v>
      </c>
      <c r="C207" s="480">
        <f>'[55]Sch C'!D213</f>
        <v>1717</v>
      </c>
      <c r="D207" s="480">
        <f>'[55]Sch C'!F213</f>
        <v>0</v>
      </c>
      <c r="E207" s="480">
        <f>+'[55]Sch C'!H213</f>
        <v>0</v>
      </c>
      <c r="F207" s="236">
        <f t="shared" si="64"/>
        <v>1717</v>
      </c>
      <c r="G207" s="628"/>
      <c r="H207" s="609"/>
      <c r="I207" s="236">
        <f t="shared" si="65"/>
        <v>1717</v>
      </c>
      <c r="J207" s="265">
        <f t="shared" si="66"/>
        <v>4.5802141683603501E-4</v>
      </c>
      <c r="K207" s="579"/>
      <c r="L207" s="163"/>
      <c r="M207" s="163"/>
      <c r="O207" s="332">
        <f t="shared" si="67"/>
        <v>0.10680517541677034</v>
      </c>
      <c r="P207" s="325">
        <f>SUMMARY!L209</f>
        <v>0.51656684080340909</v>
      </c>
    </row>
    <row r="208" spans="1:16" s="261" customFormat="1">
      <c r="A208" s="263" t="s">
        <v>133</v>
      </c>
      <c r="B208" s="264" t="s">
        <v>62</v>
      </c>
      <c r="C208" s="480">
        <f>'[55]Sch C'!D214</f>
        <v>0</v>
      </c>
      <c r="D208" s="480">
        <f>'[55]Sch C'!F214</f>
        <v>0</v>
      </c>
      <c r="E208" s="480">
        <f>+'[55]Sch C'!H214</f>
        <v>0</v>
      </c>
      <c r="F208" s="236">
        <f t="shared" si="64"/>
        <v>0</v>
      </c>
      <c r="G208" s="628"/>
      <c r="H208" s="609"/>
      <c r="I208" s="236">
        <f t="shared" si="65"/>
        <v>0</v>
      </c>
      <c r="J208" s="265">
        <f t="shared" si="66"/>
        <v>0</v>
      </c>
      <c r="K208" s="579"/>
      <c r="L208" s="163"/>
      <c r="M208" s="163"/>
      <c r="O208" s="332">
        <f t="shared" si="67"/>
        <v>0</v>
      </c>
      <c r="P208" s="325">
        <f>SUMMARY!L210</f>
        <v>1.8304832857876697E-2</v>
      </c>
    </row>
    <row r="209" spans="1:16" s="261" customFormat="1">
      <c r="A209" s="263" t="s">
        <v>134</v>
      </c>
      <c r="B209" s="23" t="s">
        <v>63</v>
      </c>
      <c r="C209" s="480">
        <f>'[55]Sch C'!D215</f>
        <v>0</v>
      </c>
      <c r="D209" s="480">
        <f>'[55]Sch C'!F215</f>
        <v>0</v>
      </c>
      <c r="E209" s="480">
        <f>+'[55]Sch C'!H215</f>
        <v>0</v>
      </c>
      <c r="F209" s="236">
        <f t="shared" si="64"/>
        <v>0</v>
      </c>
      <c r="G209" s="628"/>
      <c r="H209" s="609"/>
      <c r="I209" s="236">
        <f t="shared" si="65"/>
        <v>0</v>
      </c>
      <c r="J209" s="265">
        <f t="shared" si="66"/>
        <v>0</v>
      </c>
      <c r="K209" s="579"/>
      <c r="L209" s="163"/>
      <c r="M209" s="163"/>
      <c r="O209" s="332">
        <f t="shared" si="67"/>
        <v>0</v>
      </c>
      <c r="P209" s="325">
        <f>SUMMARY!L211</f>
        <v>0</v>
      </c>
    </row>
    <row r="210" spans="1:16" s="261" customFormat="1">
      <c r="A210" s="263" t="s">
        <v>135</v>
      </c>
      <c r="B210" s="264" t="s">
        <v>293</v>
      </c>
      <c r="C210" s="480">
        <f>'[55]Sch C'!D216</f>
        <v>11397</v>
      </c>
      <c r="D210" s="480">
        <f>'[55]Sch C'!F216</f>
        <v>0</v>
      </c>
      <c r="E210" s="480">
        <f>+'[55]Sch C'!H216</f>
        <v>0</v>
      </c>
      <c r="F210" s="236">
        <f t="shared" si="64"/>
        <v>11397</v>
      </c>
      <c r="G210" s="609">
        <f>-305-219-3473</f>
        <v>-3997</v>
      </c>
      <c r="H210" s="609"/>
      <c r="I210" s="236">
        <f t="shared" si="65"/>
        <v>7400</v>
      </c>
      <c r="J210" s="265">
        <f t="shared" si="66"/>
        <v>1.9740002822286888E-3</v>
      </c>
      <c r="K210" s="579"/>
      <c r="L210" s="163"/>
      <c r="M210" s="163"/>
      <c r="O210" s="332">
        <f t="shared" si="67"/>
        <v>0.46031351082358796</v>
      </c>
      <c r="P210" s="325">
        <f>SUMMARY!L212</f>
        <v>0.31711176711674705</v>
      </c>
    </row>
    <row r="211" spans="1:16" s="261" customFormat="1">
      <c r="A211" s="257"/>
      <c r="B211" s="264" t="s">
        <v>136</v>
      </c>
      <c r="C211" s="480">
        <f t="shared" ref="C211:E211" si="68">SUM(C205:C210)</f>
        <v>122415</v>
      </c>
      <c r="D211" s="480">
        <f t="shared" si="68"/>
        <v>6909</v>
      </c>
      <c r="E211" s="480">
        <f t="shared" si="68"/>
        <v>0</v>
      </c>
      <c r="F211" s="236">
        <f t="shared" ref="F211:I211" si="69">SUM(F205:F210)</f>
        <v>129324</v>
      </c>
      <c r="G211" s="236">
        <f t="shared" si="69"/>
        <v>-3997</v>
      </c>
      <c r="H211" s="236">
        <f t="shared" si="69"/>
        <v>0</v>
      </c>
      <c r="I211" s="236">
        <f t="shared" si="69"/>
        <v>125327</v>
      </c>
      <c r="J211" s="265">
        <f t="shared" si="66"/>
        <v>3.3431828833902014E-2</v>
      </c>
      <c r="K211" s="579"/>
      <c r="L211" s="163"/>
      <c r="M211" s="163"/>
      <c r="O211" s="332">
        <f>I211/I$233</f>
        <v>7.795906942025379</v>
      </c>
      <c r="P211" s="325">
        <f>SUMMARY!L213</f>
        <v>7.8731716780415235</v>
      </c>
    </row>
    <row r="212" spans="1:16" s="261" customFormat="1">
      <c r="A212" s="257"/>
      <c r="C212" s="160"/>
      <c r="D212" s="160"/>
      <c r="E212" s="160"/>
      <c r="F212" s="259"/>
      <c r="G212" s="259"/>
      <c r="H212" s="259"/>
      <c r="I212" s="259"/>
      <c r="J212" s="283"/>
      <c r="K212" s="581"/>
      <c r="L212" s="163"/>
      <c r="M212" s="163"/>
      <c r="O212" s="325"/>
      <c r="P212" s="325"/>
    </row>
    <row r="213" spans="1:16" s="261" customFormat="1">
      <c r="A213" s="217"/>
      <c r="B213" s="269" t="s">
        <v>137</v>
      </c>
      <c r="C213" s="480">
        <f t="shared" ref="C213:E213" si="70">SUM(C30:C211)/2</f>
        <v>4007527</v>
      </c>
      <c r="D213" s="480">
        <f t="shared" si="70"/>
        <v>-169842</v>
      </c>
      <c r="E213" s="480">
        <f t="shared" si="70"/>
        <v>-55784</v>
      </c>
      <c r="F213" s="236">
        <f t="shared" ref="F213:I213" si="71">SUM(F30:F211)/2</f>
        <v>3781901</v>
      </c>
      <c r="G213" s="236">
        <f t="shared" si="71"/>
        <v>136648</v>
      </c>
      <c r="H213" s="236">
        <f t="shared" si="71"/>
        <v>-169816</v>
      </c>
      <c r="I213" s="236">
        <f t="shared" si="71"/>
        <v>3748733</v>
      </c>
      <c r="J213" s="265">
        <f>IF($I$213=0,0,I213/$I$213)</f>
        <v>1</v>
      </c>
      <c r="K213" s="579"/>
      <c r="L213" s="176">
        <f>SUM(L30:L205)</f>
        <v>101666</v>
      </c>
      <c r="M213" s="176">
        <f>SUM(M30:M205)</f>
        <v>106894</v>
      </c>
      <c r="O213" s="332">
        <f>I213/I$233</f>
        <v>233.18816869868127</v>
      </c>
      <c r="P213" s="325">
        <f>SUMMARY!L215</f>
        <v>285.57746451544745</v>
      </c>
    </row>
    <row r="214" spans="1:16" s="261" customFormat="1" ht="15.5">
      <c r="A214" s="257"/>
      <c r="B214" s="264"/>
      <c r="C214" s="160"/>
      <c r="D214" s="160"/>
      <c r="E214" s="160"/>
      <c r="F214" s="259"/>
      <c r="G214" s="259"/>
      <c r="H214"/>
      <c r="I214"/>
      <c r="K214" s="581"/>
      <c r="L214" s="163"/>
      <c r="M214" s="163"/>
    </row>
    <row r="215" spans="1:16" s="261" customFormat="1" ht="15.5">
      <c r="A215" s="257"/>
      <c r="B215" s="264"/>
      <c r="C215" s="160"/>
      <c r="D215" s="160"/>
      <c r="E215" s="160"/>
      <c r="F215" s="259"/>
      <c r="G215" s="259"/>
      <c r="H215"/>
      <c r="I215"/>
      <c r="K215" s="581"/>
      <c r="L215" s="163"/>
      <c r="M215" s="163"/>
    </row>
    <row r="216" spans="1:16" s="261" customFormat="1" ht="15.5">
      <c r="A216" s="257"/>
      <c r="B216" s="218" t="s">
        <v>172</v>
      </c>
      <c r="C216" s="480">
        <f>'[55]Sch C'!D221</f>
        <v>4007527</v>
      </c>
      <c r="D216" s="188"/>
      <c r="E216" s="188"/>
      <c r="F216" s="259"/>
      <c r="G216" s="259"/>
      <c r="H216" s="524"/>
      <c r="I216"/>
      <c r="K216" s="581"/>
      <c r="L216" s="163"/>
      <c r="M216" s="163"/>
    </row>
    <row r="217" spans="1:16" s="261" customFormat="1" ht="15.5">
      <c r="A217" s="257"/>
      <c r="B217" s="264" t="s">
        <v>139</v>
      </c>
      <c r="C217" s="480">
        <f>C213-C216</f>
        <v>0</v>
      </c>
      <c r="D217" s="219"/>
      <c r="E217" s="219"/>
      <c r="F217" s="259"/>
      <c r="G217" s="259"/>
      <c r="H217" s="524"/>
      <c r="I217"/>
      <c r="K217" s="581"/>
      <c r="L217" s="163"/>
      <c r="M217" s="163"/>
    </row>
    <row r="218" spans="1:16" s="261" customFormat="1">
      <c r="A218" s="257"/>
      <c r="B218" s="301"/>
      <c r="C218" s="548"/>
      <c r="D218" s="221"/>
      <c r="E218" s="221"/>
      <c r="F218" s="302"/>
      <c r="G218" s="302"/>
      <c r="H218" s="411"/>
      <c r="I218" s="302"/>
      <c r="J218" s="260"/>
      <c r="K218" s="582"/>
      <c r="L218" s="163"/>
      <c r="M218" s="163"/>
    </row>
    <row r="219" spans="1:16" s="261" customFormat="1">
      <c r="A219" s="263"/>
      <c r="B219" s="269"/>
      <c r="C219" s="160"/>
      <c r="D219" s="160"/>
      <c r="E219" s="160"/>
      <c r="F219" s="259"/>
      <c r="G219" s="259"/>
      <c r="H219" s="259"/>
      <c r="I219" s="259"/>
      <c r="K219" s="581"/>
      <c r="L219" s="163"/>
      <c r="M219" s="163"/>
    </row>
    <row r="220" spans="1:16" s="261" customFormat="1">
      <c r="A220" s="257"/>
      <c r="B220" s="269" t="s">
        <v>70</v>
      </c>
      <c r="C220" s="480">
        <f t="shared" ref="C220:E220" si="72">C26-C213</f>
        <v>748870</v>
      </c>
      <c r="D220" s="480">
        <f t="shared" si="72"/>
        <v>638622.96210649551</v>
      </c>
      <c r="E220" s="480">
        <f t="shared" si="72"/>
        <v>55784</v>
      </c>
      <c r="F220" s="236">
        <f t="shared" ref="F220:I220" si="73">F26-F213</f>
        <v>1443276.9621064961</v>
      </c>
      <c r="G220" s="236">
        <f t="shared" si="73"/>
        <v>-52881</v>
      </c>
      <c r="H220" s="236">
        <f t="shared" si="73"/>
        <v>169816</v>
      </c>
      <c r="I220" s="236">
        <f t="shared" si="73"/>
        <v>1560211.9621064961</v>
      </c>
      <c r="K220" s="581"/>
      <c r="L220" s="163"/>
      <c r="M220" s="163"/>
      <c r="O220" s="322"/>
      <c r="P220" s="325"/>
    </row>
    <row r="221" spans="1:16" s="261" customFormat="1">
      <c r="A221" s="257"/>
      <c r="B221" s="269"/>
      <c r="C221" s="188"/>
      <c r="D221" s="188"/>
      <c r="E221" s="188"/>
      <c r="F221" s="281"/>
      <c r="G221" s="281"/>
      <c r="H221" s="281"/>
      <c r="I221" s="281"/>
      <c r="K221" s="581"/>
      <c r="L221" s="163"/>
      <c r="M221" s="163"/>
    </row>
    <row r="222" spans="1:16" s="261" customFormat="1" ht="15.5">
      <c r="A222" s="257"/>
      <c r="B222" s="269"/>
      <c r="C222" s="188"/>
      <c r="D222" s="188"/>
      <c r="E222" s="188"/>
      <c r="F222" s="281"/>
      <c r="G222" s="281"/>
      <c r="H222"/>
      <c r="I222" s="281"/>
      <c r="K222" s="581"/>
      <c r="L222" s="163"/>
      <c r="M222" s="163"/>
    </row>
    <row r="223" spans="1:16" ht="15.5">
      <c r="A223" s="257"/>
      <c r="B223" s="258" t="s">
        <v>151</v>
      </c>
      <c r="C223" s="160"/>
      <c r="D223" s="160"/>
      <c r="E223" s="160"/>
      <c r="F223" s="259"/>
      <c r="G223" s="259"/>
      <c r="H223"/>
      <c r="I223" s="259"/>
      <c r="J223" s="260"/>
      <c r="K223" s="582"/>
      <c r="L223" s="163"/>
      <c r="M223" s="163"/>
    </row>
    <row r="224" spans="1:16">
      <c r="A224" s="257"/>
      <c r="B224" s="264" t="s">
        <v>202</v>
      </c>
      <c r="C224" s="504">
        <f>'[55]Sch D'!C9</f>
        <v>9862</v>
      </c>
      <c r="D224" s="480"/>
      <c r="E224" s="480"/>
      <c r="F224" s="304">
        <f>C224+D224+E224</f>
        <v>9862</v>
      </c>
      <c r="G224" s="630"/>
      <c r="H224" s="303"/>
      <c r="I224" s="304">
        <f>F224+G224+H224</f>
        <v>9862</v>
      </c>
      <c r="J224" s="265">
        <f t="shared" ref="J224:J233" si="74">IF($I$233=0,0,I224/$I$233)</f>
        <v>0.61346105996516542</v>
      </c>
      <c r="K224" s="579"/>
      <c r="L224" s="163"/>
      <c r="M224" s="163"/>
    </row>
    <row r="225" spans="1:13">
      <c r="A225" s="257"/>
      <c r="B225" s="264" t="s">
        <v>201</v>
      </c>
      <c r="C225" s="504">
        <f>'[55]Sch D'!D9</f>
        <v>0</v>
      </c>
      <c r="D225" s="480"/>
      <c r="E225" s="480"/>
      <c r="F225" s="304">
        <f t="shared" ref="F225:F232" si="75">C225+D225+E225</f>
        <v>0</v>
      </c>
      <c r="G225" s="630"/>
      <c r="H225" s="303"/>
      <c r="I225" s="304">
        <f t="shared" ref="I225:I232" si="76">F225+G225+H225</f>
        <v>0</v>
      </c>
      <c r="J225" s="265">
        <f t="shared" si="74"/>
        <v>0</v>
      </c>
      <c r="K225" s="579"/>
      <c r="L225" s="163"/>
      <c r="M225" s="163"/>
    </row>
    <row r="226" spans="1:13">
      <c r="A226" s="257"/>
      <c r="B226" s="264" t="s">
        <v>64</v>
      </c>
      <c r="C226" s="504">
        <f>'[55]Sch D'!E9</f>
        <v>3461</v>
      </c>
      <c r="D226" s="480"/>
      <c r="E226" s="480"/>
      <c r="F226" s="304">
        <f t="shared" si="75"/>
        <v>3461</v>
      </c>
      <c r="G226" s="630"/>
      <c r="H226" s="303"/>
      <c r="I226" s="304">
        <f t="shared" si="76"/>
        <v>3461</v>
      </c>
      <c r="J226" s="265">
        <f t="shared" si="74"/>
        <v>0.21528987310276188</v>
      </c>
      <c r="K226" s="579"/>
      <c r="L226" s="163"/>
      <c r="M226" s="163"/>
    </row>
    <row r="227" spans="1:13">
      <c r="A227" s="257"/>
      <c r="B227" s="305" t="s">
        <v>315</v>
      </c>
      <c r="C227" s="504">
        <f>'[55]Sch D'!F9</f>
        <v>30</v>
      </c>
      <c r="D227" s="480"/>
      <c r="E227" s="480"/>
      <c r="F227" s="304">
        <f t="shared" si="75"/>
        <v>30</v>
      </c>
      <c r="G227" s="630"/>
      <c r="H227" s="303"/>
      <c r="I227" s="304">
        <f t="shared" si="76"/>
        <v>30</v>
      </c>
      <c r="J227" s="265">
        <f t="shared" si="74"/>
        <v>1.8661358546902215E-3</v>
      </c>
      <c r="K227" s="579"/>
      <c r="L227" s="163"/>
      <c r="M227" s="163"/>
    </row>
    <row r="228" spans="1:13">
      <c r="A228" s="257"/>
      <c r="B228" s="264" t="s">
        <v>65</v>
      </c>
      <c r="C228" s="504">
        <f>'[55]Sch D'!G9</f>
        <v>0</v>
      </c>
      <c r="D228" s="480"/>
      <c r="E228" s="480"/>
      <c r="F228" s="304">
        <f t="shared" si="75"/>
        <v>0</v>
      </c>
      <c r="G228" s="630"/>
      <c r="H228" s="303"/>
      <c r="I228" s="304">
        <f t="shared" si="76"/>
        <v>0</v>
      </c>
      <c r="J228" s="265">
        <f t="shared" si="74"/>
        <v>0</v>
      </c>
      <c r="K228" s="579"/>
      <c r="L228" s="163"/>
      <c r="M228" s="163"/>
    </row>
    <row r="229" spans="1:13">
      <c r="A229" s="257"/>
      <c r="B229" s="264" t="s">
        <v>66</v>
      </c>
      <c r="C229" s="504">
        <f>'[55]Sch D'!H9</f>
        <v>2110</v>
      </c>
      <c r="D229" s="480"/>
      <c r="E229" s="480"/>
      <c r="F229" s="304">
        <f t="shared" si="75"/>
        <v>2110</v>
      </c>
      <c r="G229" s="630"/>
      <c r="H229" s="303"/>
      <c r="I229" s="304">
        <f t="shared" si="76"/>
        <v>2110</v>
      </c>
      <c r="J229" s="265">
        <f t="shared" si="74"/>
        <v>0.13125155511321224</v>
      </c>
      <c r="K229" s="579"/>
      <c r="L229" s="163"/>
      <c r="M229" s="163"/>
    </row>
    <row r="230" spans="1:13">
      <c r="A230" s="257"/>
      <c r="B230" s="264" t="s">
        <v>219</v>
      </c>
      <c r="C230" s="504">
        <f>'[55]Sch D'!I9</f>
        <v>396</v>
      </c>
      <c r="D230" s="480"/>
      <c r="E230" s="480"/>
      <c r="F230" s="304">
        <f t="shared" si="75"/>
        <v>396</v>
      </c>
      <c r="G230" s="630"/>
      <c r="H230" s="303"/>
      <c r="I230" s="304">
        <f t="shared" si="76"/>
        <v>396</v>
      </c>
      <c r="J230" s="265">
        <f t="shared" si="74"/>
        <v>2.4632993281910924E-2</v>
      </c>
      <c r="K230" s="579"/>
      <c r="L230" s="163"/>
      <c r="M230" s="163"/>
    </row>
    <row r="231" spans="1:13">
      <c r="A231" s="257"/>
      <c r="B231" s="264" t="s">
        <v>218</v>
      </c>
      <c r="C231" s="504">
        <f>'[55]Sch D'!J9</f>
        <v>44</v>
      </c>
      <c r="D231" s="480"/>
      <c r="E231" s="480"/>
      <c r="F231" s="304">
        <f t="shared" si="75"/>
        <v>44</v>
      </c>
      <c r="G231" s="630"/>
      <c r="H231" s="303"/>
      <c r="I231" s="304">
        <f t="shared" si="76"/>
        <v>44</v>
      </c>
      <c r="J231" s="265">
        <f>IF($I$233=0,0,I231/$I$233)</f>
        <v>2.7369992535456579E-3</v>
      </c>
      <c r="K231" s="579"/>
      <c r="L231" s="163"/>
      <c r="M231" s="163"/>
    </row>
    <row r="232" spans="1:13">
      <c r="A232" s="257"/>
      <c r="B232" s="264" t="s">
        <v>170</v>
      </c>
      <c r="C232" s="504">
        <f>'[55]Sch D'!K9</f>
        <v>173</v>
      </c>
      <c r="D232" s="480"/>
      <c r="E232" s="480"/>
      <c r="F232" s="304">
        <f t="shared" si="75"/>
        <v>173</v>
      </c>
      <c r="G232" s="630"/>
      <c r="H232" s="303"/>
      <c r="I232" s="304">
        <f t="shared" si="76"/>
        <v>173</v>
      </c>
      <c r="J232" s="265">
        <f t="shared" si="74"/>
        <v>1.0761383428713611E-2</v>
      </c>
      <c r="K232" s="579"/>
      <c r="L232" s="163"/>
      <c r="M232" s="163"/>
    </row>
    <row r="233" spans="1:13" ht="13.5" thickBot="1">
      <c r="A233" s="257"/>
      <c r="B233" s="306" t="s">
        <v>67</v>
      </c>
      <c r="C233" s="504">
        <f t="shared" ref="C233:E233" si="77">SUM(C224:C232)</f>
        <v>16076</v>
      </c>
      <c r="D233" s="504">
        <f t="shared" si="77"/>
        <v>0</v>
      </c>
      <c r="E233" s="504">
        <f t="shared" si="77"/>
        <v>0</v>
      </c>
      <c r="F233" s="307">
        <f t="shared" ref="F233:I233" si="78">SUM(F224:F232)</f>
        <v>16076</v>
      </c>
      <c r="G233" s="307">
        <f t="shared" si="78"/>
        <v>0</v>
      </c>
      <c r="H233" s="307">
        <f t="shared" si="78"/>
        <v>0</v>
      </c>
      <c r="I233" s="307">
        <f t="shared" si="78"/>
        <v>16076</v>
      </c>
      <c r="J233" s="265">
        <f t="shared" si="74"/>
        <v>1</v>
      </c>
      <c r="K233" s="579"/>
      <c r="L233" s="163"/>
      <c r="M233" s="163"/>
    </row>
    <row r="234" spans="1:13" ht="13.5" thickTop="1">
      <c r="A234" s="257"/>
      <c r="B234" s="261"/>
      <c r="C234" s="549"/>
      <c r="D234" s="227"/>
      <c r="E234" s="227"/>
      <c r="F234" s="302"/>
      <c r="G234" s="302"/>
      <c r="H234" s="308"/>
      <c r="I234" s="302"/>
      <c r="J234" s="261"/>
      <c r="K234" s="581"/>
      <c r="L234" s="163"/>
      <c r="M234" s="163"/>
    </row>
    <row r="235" spans="1:13">
      <c r="A235" s="257"/>
      <c r="B235" s="258" t="s">
        <v>152</v>
      </c>
      <c r="C235" s="548"/>
      <c r="D235" s="221"/>
      <c r="E235" s="221"/>
      <c r="F235" s="302"/>
      <c r="G235" s="302"/>
      <c r="H235" s="302"/>
      <c r="I235" s="302"/>
      <c r="J235" s="261"/>
      <c r="K235" s="581"/>
      <c r="L235" s="163"/>
      <c r="M235" s="163"/>
    </row>
    <row r="236" spans="1:13">
      <c r="A236" s="257"/>
      <c r="B236" s="23" t="s">
        <v>203</v>
      </c>
      <c r="C236" s="504">
        <f>'[55]Sch D'!N22</f>
        <v>100</v>
      </c>
      <c r="D236" s="480"/>
      <c r="E236" s="480"/>
      <c r="F236" s="304">
        <f>C236+E236</f>
        <v>100</v>
      </c>
      <c r="G236" s="630"/>
      <c r="H236" s="304"/>
      <c r="I236" s="304">
        <f>F236+G236+H236</f>
        <v>100</v>
      </c>
      <c r="J236" s="261"/>
      <c r="K236" s="581"/>
      <c r="L236" s="163"/>
      <c r="M236" s="163"/>
    </row>
    <row r="237" spans="1:13">
      <c r="A237" s="257"/>
      <c r="B237" s="23" t="s">
        <v>271</v>
      </c>
      <c r="C237" s="504">
        <f>'[55]Sch D'!N24</f>
        <v>100</v>
      </c>
      <c r="D237" s="480"/>
      <c r="E237" s="480"/>
      <c r="F237" s="304">
        <f>C237+E237</f>
        <v>100</v>
      </c>
      <c r="G237" s="630"/>
      <c r="H237" s="304"/>
      <c r="I237" s="304">
        <f>F237+G237+H237</f>
        <v>100</v>
      </c>
      <c r="J237" s="261"/>
      <c r="K237" s="581"/>
      <c r="L237" s="163"/>
      <c r="M237" s="163"/>
    </row>
    <row r="238" spans="1:13">
      <c r="A238" s="257"/>
      <c r="B238" s="23" t="s">
        <v>68</v>
      </c>
      <c r="C238" s="504">
        <f>$C$4-$C$3+1</f>
        <v>365</v>
      </c>
      <c r="D238" s="427"/>
      <c r="E238" s="427"/>
      <c r="F238" s="304">
        <f>C238+E238</f>
        <v>365</v>
      </c>
      <c r="G238" s="630"/>
      <c r="H238" s="309"/>
      <c r="I238" s="304">
        <f>F238+G238+H238</f>
        <v>365</v>
      </c>
      <c r="J238" s="261"/>
      <c r="K238" s="581"/>
      <c r="L238" s="163"/>
      <c r="M238" s="163"/>
    </row>
    <row r="239" spans="1:13">
      <c r="A239" s="257"/>
      <c r="B239" s="310"/>
      <c r="C239" s="550"/>
      <c r="D239" s="228"/>
      <c r="E239" s="228"/>
      <c r="F239" s="311"/>
      <c r="G239" s="309"/>
      <c r="H239" s="309"/>
      <c r="I239" s="311"/>
      <c r="J239" s="261"/>
      <c r="K239" s="581"/>
      <c r="L239" s="163"/>
      <c r="M239" s="163"/>
    </row>
    <row r="240" spans="1:13" ht="26.5">
      <c r="A240" s="257"/>
      <c r="B240" s="312" t="s">
        <v>220</v>
      </c>
      <c r="C240" s="504">
        <f>'[55]Sch D'!N28</f>
        <v>36500</v>
      </c>
      <c r="D240" s="427"/>
      <c r="E240" s="427"/>
      <c r="F240" s="303">
        <f>F236*F238</f>
        <v>36500</v>
      </c>
      <c r="G240"/>
      <c r="H240" s="309"/>
      <c r="I240" s="303">
        <f>I236*I238</f>
        <v>36500</v>
      </c>
      <c r="J240" s="261"/>
      <c r="K240" s="581"/>
      <c r="L240" s="163"/>
      <c r="M240" s="163"/>
    </row>
    <row r="241" spans="1:13" ht="26.5">
      <c r="A241" s="257"/>
      <c r="B241" s="312" t="s">
        <v>221</v>
      </c>
      <c r="C241" s="505">
        <f>'[55]Sch D'!N30</f>
        <v>0.44043835616438354</v>
      </c>
      <c r="D241" s="228"/>
      <c r="E241" s="228"/>
      <c r="F241" s="313">
        <f>F233/F240</f>
        <v>0.44043835616438354</v>
      </c>
      <c r="G241"/>
      <c r="H241" s="314"/>
      <c r="I241" s="313">
        <f>I233/I240</f>
        <v>0.44043835616438354</v>
      </c>
      <c r="J241" s="261"/>
      <c r="K241" s="581"/>
      <c r="L241" s="163"/>
      <c r="M241" s="163"/>
    </row>
    <row r="242" spans="1:13" ht="26.5">
      <c r="A242" s="257"/>
      <c r="B242" s="312" t="s">
        <v>222</v>
      </c>
      <c r="C242" s="505">
        <f>'[55]Sch D'!N32</f>
        <v>0.2701917808219178</v>
      </c>
      <c r="D242" s="228"/>
      <c r="E242" s="228"/>
      <c r="F242" s="313">
        <f>(F224+F225)/F240</f>
        <v>0.2701917808219178</v>
      </c>
      <c r="G242"/>
      <c r="H242" s="314"/>
      <c r="I242" s="313">
        <f>(I224+I225)/I240</f>
        <v>0.2701917808219178</v>
      </c>
      <c r="J242" s="261"/>
      <c r="K242" s="581"/>
      <c r="L242" s="163"/>
      <c r="M242" s="163"/>
    </row>
    <row r="243" spans="1:13" ht="39.5">
      <c r="A243" s="257"/>
      <c r="B243" s="312" t="s">
        <v>223</v>
      </c>
      <c r="C243" s="505">
        <f>'[55]Sch D'!N34</f>
        <v>0.61346105996516553</v>
      </c>
      <c r="D243" s="228"/>
      <c r="E243" s="228"/>
      <c r="F243" s="313">
        <f>(F242/F241)</f>
        <v>0.61346105996516553</v>
      </c>
      <c r="G243"/>
      <c r="H243" s="314"/>
      <c r="I243" s="313">
        <f>(I242/I241)</f>
        <v>0.61346105996516553</v>
      </c>
      <c r="J243" s="261"/>
      <c r="K243" s="581"/>
      <c r="L243" s="163"/>
      <c r="M243" s="163"/>
    </row>
    <row r="244" spans="1:13">
      <c r="C244" s="138"/>
      <c r="D244" s="138"/>
      <c r="E244" s="138"/>
      <c r="K244" s="581"/>
      <c r="L244" s="139"/>
      <c r="M244" s="139"/>
    </row>
    <row r="245" spans="1:13">
      <c r="C245" s="138"/>
      <c r="D245" s="138"/>
      <c r="E245" s="138"/>
      <c r="K245" s="581"/>
      <c r="L245" s="139"/>
      <c r="M245" s="139"/>
    </row>
    <row r="246" spans="1:13" ht="15.5">
      <c r="B246" s="244" t="s">
        <v>320</v>
      </c>
      <c r="C246" s="138"/>
      <c r="D246" s="138"/>
      <c r="E246" s="138"/>
      <c r="F246"/>
      <c r="G246"/>
      <c r="H246" s="239" t="s">
        <v>321</v>
      </c>
      <c r="I246" s="480">
        <f>'[55]Sch B'!C90</f>
        <v>139.92739273927393</v>
      </c>
      <c r="K246" s="581"/>
      <c r="L246" s="139"/>
      <c r="M246" s="139"/>
    </row>
    <row r="247" spans="1:13" ht="15.5">
      <c r="C247" s="138"/>
      <c r="D247" s="138"/>
      <c r="E247" s="138"/>
      <c r="F247"/>
      <c r="G247"/>
      <c r="H247" s="239" t="s">
        <v>322</v>
      </c>
      <c r="I247" s="480">
        <f>'[55]Sch B'!E90</f>
        <v>152.03803131991052</v>
      </c>
      <c r="K247" s="581"/>
      <c r="L247" s="139"/>
      <c r="M247" s="139"/>
    </row>
    <row r="248" spans="1:13" ht="15.5">
      <c r="C248" s="138"/>
      <c r="D248" s="138"/>
      <c r="E248"/>
      <c r="F248"/>
      <c r="G248"/>
      <c r="H248" s="239" t="s">
        <v>323</v>
      </c>
      <c r="I248" s="480">
        <f>'[55]Sch B'!G90</f>
        <v>150.42687074829931</v>
      </c>
      <c r="K248" s="581"/>
      <c r="L248" s="139"/>
      <c r="M248" s="139"/>
    </row>
    <row r="249" spans="1:13" ht="15.5">
      <c r="C249" s="138"/>
      <c r="D249" s="138"/>
      <c r="E249"/>
      <c r="F249"/>
      <c r="G249"/>
      <c r="H249" s="239" t="s">
        <v>324</v>
      </c>
      <c r="I249" s="480">
        <f>'[55]Sch B'!I90</f>
        <v>146.25388601036269</v>
      </c>
      <c r="K249" s="581"/>
      <c r="L249" s="139"/>
      <c r="M249" s="139"/>
    </row>
    <row r="250" spans="1:13">
      <c r="C250" s="138"/>
      <c r="D250" s="138"/>
      <c r="E250" s="138"/>
      <c r="H250" s="239"/>
      <c r="K250" s="581"/>
      <c r="L250" s="139"/>
      <c r="M250" s="139"/>
    </row>
    <row r="251" spans="1:13">
      <c r="C251" s="138"/>
      <c r="D251" s="138"/>
      <c r="E251" s="138"/>
      <c r="K251" s="581"/>
      <c r="L251" s="139"/>
      <c r="M251" s="139"/>
    </row>
    <row r="252" spans="1:13">
      <c r="C252" s="138"/>
      <c r="D252" s="138"/>
      <c r="E252" s="138"/>
      <c r="L252" s="139"/>
      <c r="M252" s="139"/>
    </row>
    <row r="253" spans="1:13">
      <c r="C253" s="138"/>
      <c r="D253" s="138"/>
      <c r="E253" s="138"/>
      <c r="L253" s="139"/>
      <c r="M253" s="139"/>
    </row>
    <row r="254" spans="1:13">
      <c r="C254" s="138"/>
      <c r="D254" s="138"/>
      <c r="E254" s="138"/>
      <c r="L254" s="139"/>
      <c r="M254" s="139"/>
    </row>
    <row r="255" spans="1:13">
      <c r="C255" s="138"/>
      <c r="D255" s="138"/>
      <c r="E255" s="138"/>
      <c r="L255" s="139"/>
      <c r="M255" s="139"/>
    </row>
    <row r="256" spans="1:13">
      <c r="C256" s="138"/>
      <c r="D256" s="138"/>
      <c r="E256" s="138"/>
      <c r="L256" s="139"/>
      <c r="M256" s="139"/>
    </row>
    <row r="257" spans="12:13">
      <c r="L257" s="139"/>
      <c r="M257" s="139"/>
    </row>
    <row r="258" spans="12:13">
      <c r="L258" s="139"/>
      <c r="M258" s="139"/>
    </row>
    <row r="259" spans="12:13">
      <c r="L259" s="139"/>
      <c r="M259" s="139"/>
    </row>
    <row r="277" spans="2:2">
      <c r="B277" s="237">
        <v>0</v>
      </c>
    </row>
  </sheetData>
  <customSheetViews>
    <customSheetView guid="{8B6AA640-12E9-11D5-ABB1-E7A21A3D4A14}" showGridLines="0" showRuler="0">
      <pageMargins left="0" right="0" top="0" bottom="1" header="0.5" footer="0.5"/>
      <printOptions horizontalCentered="1"/>
      <pageSetup scale="75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20" sqref="F20"/>
      <pageMargins left="0" right="0" top="0" bottom="1" header="0.5" footer="0.5"/>
      <printOptions horizontalCentered="1"/>
      <pageSetup scale="75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5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546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'[56]Sch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'[56]Sch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'[56]Sch B'!E10</f>
        <v>1426120</v>
      </c>
      <c r="D12" s="480">
        <f>'[56]Sch B'!G10</f>
        <v>0</v>
      </c>
      <c r="E12" s="480"/>
      <c r="F12" s="166">
        <f>C12+D12+E12</f>
        <v>1426120</v>
      </c>
      <c r="G12" s="626"/>
      <c r="H12" s="166"/>
      <c r="I12" s="166">
        <f>F12+G12+H12</f>
        <v>1426120</v>
      </c>
      <c r="J12" s="167">
        <f>IF($I$26=0,0,I12/$I$26)</f>
        <v>0.42384179964847274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'[56]Sch B'!E12</f>
        <v>0</v>
      </c>
      <c r="D13" s="480">
        <f>'[56]Sch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'[56]Sch B'!E13</f>
        <v>48744</v>
      </c>
      <c r="D14" s="480">
        <f>'[56]Sch B'!G13</f>
        <v>0</v>
      </c>
      <c r="E14" s="480"/>
      <c r="F14" s="166">
        <f t="shared" si="0"/>
        <v>48744</v>
      </c>
      <c r="G14" s="626"/>
      <c r="H14" s="166"/>
      <c r="I14" s="166">
        <f t="shared" si="1"/>
        <v>48744</v>
      </c>
      <c r="J14" s="167">
        <f>IF($I$26=0,0,I14/$I$26)</f>
        <v>1.4486680421048127E-2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'[56]Sch B'!E14</f>
        <v>0</v>
      </c>
      <c r="D15" s="480">
        <f>'[56]Sch B'!G14</f>
        <v>0</v>
      </c>
      <c r="E15" s="480"/>
      <c r="F15" s="166">
        <f t="shared" si="0"/>
        <v>0</v>
      </c>
      <c r="G15" s="626">
        <v>50157.45</v>
      </c>
      <c r="H15" s="166"/>
      <c r="I15" s="166">
        <f t="shared" si="1"/>
        <v>50157.45</v>
      </c>
      <c r="J15" s="167">
        <f>IF($I$26=0,0,I15/$I$26)</f>
        <v>1.4906756706152558E-2</v>
      </c>
      <c r="K15" s="683" t="s">
        <v>647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'[56]Sch B'!E15</f>
        <v>1474864</v>
      </c>
      <c r="D16" s="480">
        <f>'[56]Sch B'!G15</f>
        <v>0</v>
      </c>
      <c r="E16" s="480"/>
      <c r="F16" s="166">
        <f t="shared" si="0"/>
        <v>1474864</v>
      </c>
      <c r="G16" s="626"/>
      <c r="H16" s="166"/>
      <c r="I16" s="166">
        <f>SUM(I12:I15)</f>
        <v>1525021.45</v>
      </c>
      <c r="J16" s="167">
        <f t="shared" ref="J16:J26" si="2">IF($I$26=0,0,I16/$I$26)</f>
        <v>0.4532352367756734</v>
      </c>
      <c r="K16" s="458"/>
      <c r="L16" s="333" t="s">
        <v>325</v>
      </c>
      <c r="M16" s="334">
        <f>I26</f>
        <v>3364746</v>
      </c>
      <c r="O16" s="324">
        <f>IFERROR(I16/I224,0)</f>
        <v>195.56571556809439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'[56]Sch B'!E20</f>
        <v>0</v>
      </c>
      <c r="D17" s="480">
        <f>'[56]Sch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3452672.9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'[56]Sch B'!E26</f>
        <v>850853</v>
      </c>
      <c r="D18" s="480">
        <f>'[56]Sch B'!G26</f>
        <v>0</v>
      </c>
      <c r="E18" s="480"/>
      <c r="F18" s="166">
        <f t="shared" si="0"/>
        <v>850853</v>
      </c>
      <c r="G18" s="626"/>
      <c r="H18" s="166"/>
      <c r="I18" s="166">
        <f t="shared" si="1"/>
        <v>850853</v>
      </c>
      <c r="J18" s="167">
        <f t="shared" si="2"/>
        <v>0.25287287658563234</v>
      </c>
      <c r="K18" s="458"/>
      <c r="L18" s="335" t="s">
        <v>327</v>
      </c>
      <c r="M18" s="336">
        <f>I233</f>
        <v>14164</v>
      </c>
      <c r="O18" s="324">
        <f t="shared" si="3"/>
        <v>539.19708491761719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'[56]Sch B'!E32</f>
        <v>86991</v>
      </c>
      <c r="D19" s="480">
        <f>'[56]Sch B'!G32</f>
        <v>-9184</v>
      </c>
      <c r="E19" s="480"/>
      <c r="F19" s="166">
        <f t="shared" si="0"/>
        <v>77807</v>
      </c>
      <c r="G19" s="626"/>
      <c r="H19" s="166"/>
      <c r="I19" s="166">
        <f t="shared" si="1"/>
        <v>77807</v>
      </c>
      <c r="J19" s="170">
        <f t="shared" si="2"/>
        <v>2.3124182330553331E-2</v>
      </c>
      <c r="K19" s="464"/>
      <c r="L19" s="335" t="s">
        <v>328</v>
      </c>
      <c r="M19" s="336">
        <f>I236</f>
        <v>72</v>
      </c>
      <c r="O19" s="324">
        <f t="shared" si="3"/>
        <v>313.73790322580646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'[56]Sch B'!E37</f>
        <v>369763</v>
      </c>
      <c r="D20" s="480">
        <f>'[56]Sch B'!G37</f>
        <v>0</v>
      </c>
      <c r="E20" s="480"/>
      <c r="F20" s="166">
        <f t="shared" si="0"/>
        <v>369763</v>
      </c>
      <c r="G20" s="626"/>
      <c r="H20" s="166"/>
      <c r="I20" s="166">
        <f t="shared" si="1"/>
        <v>369763</v>
      </c>
      <c r="J20" s="167">
        <f t="shared" si="2"/>
        <v>0.10989328763597608</v>
      </c>
      <c r="K20" s="458"/>
      <c r="L20" s="335" t="s">
        <v>329</v>
      </c>
      <c r="M20" s="336">
        <f>I240</f>
        <v>26280</v>
      </c>
      <c r="O20" s="324">
        <f t="shared" si="3"/>
        <v>215.22875436554133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'[56]Sch B'!E42</f>
        <v>258533</v>
      </c>
      <c r="D21" s="480">
        <f>'[56]Sch B'!G42</f>
        <v>0</v>
      </c>
      <c r="E21" s="480"/>
      <c r="F21" s="166">
        <f t="shared" si="0"/>
        <v>258533</v>
      </c>
      <c r="G21" s="626"/>
      <c r="H21" s="166"/>
      <c r="I21" s="166">
        <f t="shared" si="1"/>
        <v>258533</v>
      </c>
      <c r="J21" s="167">
        <f t="shared" si="2"/>
        <v>7.6835814649902245E-2</v>
      </c>
      <c r="K21" s="458"/>
      <c r="L21" s="337"/>
      <c r="M21" s="336"/>
      <c r="O21" s="324">
        <f t="shared" si="3"/>
        <v>196.75266362252663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'[56]Sch B'!E47</f>
        <v>281707</v>
      </c>
      <c r="D22" s="480">
        <f>'[56]Sch B'!G47</f>
        <v>0</v>
      </c>
      <c r="E22" s="480"/>
      <c r="F22" s="166">
        <f t="shared" si="0"/>
        <v>281707</v>
      </c>
      <c r="G22" s="626"/>
      <c r="H22" s="166"/>
      <c r="I22" s="166">
        <f t="shared" si="1"/>
        <v>281707</v>
      </c>
      <c r="J22" s="167">
        <f t="shared" si="2"/>
        <v>8.3723110154525784E-2</v>
      </c>
      <c r="K22" s="458"/>
      <c r="L22" s="335" t="s">
        <v>148</v>
      </c>
      <c r="M22" s="336">
        <f>L213</f>
        <v>65524</v>
      </c>
      <c r="O22" s="324">
        <f t="shared" si="3"/>
        <v>186.8083554376658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'[56]Sch B'!E52</f>
        <v>0</v>
      </c>
      <c r="D23" s="480">
        <f>'[56]Sch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69722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'[56]Sch B'!E57</f>
        <v>-9184</v>
      </c>
      <c r="D24" s="480">
        <f>'[56]Sch B'!G57</f>
        <v>9184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'[56]Sch B'!E72</f>
        <v>59725</v>
      </c>
      <c r="D25" s="480">
        <f>'[56]Sch B'!G72</f>
        <v>-8506</v>
      </c>
      <c r="E25" s="480"/>
      <c r="F25" s="166">
        <f t="shared" si="0"/>
        <v>51219</v>
      </c>
      <c r="G25" s="626">
        <v>-50157.45</v>
      </c>
      <c r="H25" s="166"/>
      <c r="I25" s="166">
        <f t="shared" si="1"/>
        <v>1061.5500000000029</v>
      </c>
      <c r="J25" s="167">
        <f t="shared" si="2"/>
        <v>3.154918677368226E-4</v>
      </c>
      <c r="K25" s="683" t="s">
        <v>647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3373252</v>
      </c>
      <c r="D26" s="480">
        <f t="shared" ref="D26:F26" si="4">SUM(D16:D25)</f>
        <v>-8506</v>
      </c>
      <c r="E26" s="480">
        <f t="shared" si="4"/>
        <v>0</v>
      </c>
      <c r="F26" s="166">
        <f t="shared" si="4"/>
        <v>3364746</v>
      </c>
      <c r="G26" s="166">
        <f>SUM(G12:G25)</f>
        <v>0</v>
      </c>
      <c r="H26" s="166">
        <f>SUM(H12:H25)</f>
        <v>0</v>
      </c>
      <c r="I26" s="166">
        <f>SUM(I16:I25)</f>
        <v>3364746</v>
      </c>
      <c r="J26" s="167">
        <f t="shared" si="2"/>
        <v>1</v>
      </c>
      <c r="K26" s="458"/>
      <c r="L26" s="163"/>
      <c r="M26" s="163"/>
      <c r="O26" s="324">
        <f>IFERROR(I26/I233,0)</f>
        <v>237.55619881389438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'[56]Sch C'!D10</f>
        <v>0</v>
      </c>
      <c r="D30" s="480">
        <f>'[56]Sch C'!F10</f>
        <v>95656</v>
      </c>
      <c r="E30" s="480">
        <f>+'[56]Sch C'!H10</f>
        <v>0</v>
      </c>
      <c r="F30" s="166">
        <f t="shared" ref="F30:F65" si="5">C30+D30+E30</f>
        <v>95656</v>
      </c>
      <c r="G30" s="626"/>
      <c r="H30" s="166"/>
      <c r="I30" s="166">
        <f t="shared" ref="I30:I65" si="6">F30+G30+H30</f>
        <v>95656</v>
      </c>
      <c r="J30" s="167">
        <f>IF($I$213=0,0,I30/$I$213)</f>
        <v>2.7704912330386119E-2</v>
      </c>
      <c r="K30" s="458"/>
      <c r="L30" s="176">
        <v>1944</v>
      </c>
      <c r="M30" s="176">
        <v>2080</v>
      </c>
      <c r="O30" s="324">
        <f>I30/I$233</f>
        <v>6.7534594747246537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'[56]Sch C'!D11</f>
        <v>0</v>
      </c>
      <c r="D31" s="480">
        <f>'[56]Sch C'!F11</f>
        <v>0</v>
      </c>
      <c r="E31" s="480">
        <f>+'[56]Sch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'[56]Sch C'!D12</f>
        <v>182562</v>
      </c>
      <c r="D32" s="480">
        <f>'[56]Sch C'!F12</f>
        <v>-95681</v>
      </c>
      <c r="E32" s="480">
        <f>+'[56]Sch C'!H12</f>
        <v>0</v>
      </c>
      <c r="F32" s="166">
        <f t="shared" si="5"/>
        <v>86881</v>
      </c>
      <c r="G32" s="626"/>
      <c r="H32" s="166"/>
      <c r="I32" s="166">
        <f t="shared" si="6"/>
        <v>86881</v>
      </c>
      <c r="J32" s="167">
        <f t="shared" si="7"/>
        <v>2.5163403112991096E-2</v>
      </c>
      <c r="K32" s="458"/>
      <c r="L32" s="176">
        <v>3836</v>
      </c>
      <c r="M32" s="176">
        <v>4177</v>
      </c>
      <c r="O32" s="324">
        <f t="shared" si="8"/>
        <v>6.1339310929116069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'[56]Sch C'!D13</f>
        <v>40994</v>
      </c>
      <c r="D33" s="480">
        <f>'[56]Sch C'!F13</f>
        <v>-6203</v>
      </c>
      <c r="E33" s="480">
        <f>+'[56]Sch C'!H13</f>
        <v>0</v>
      </c>
      <c r="F33" s="166">
        <f t="shared" si="5"/>
        <v>34791</v>
      </c>
      <c r="G33" s="626"/>
      <c r="H33" s="166"/>
      <c r="I33" s="166">
        <f t="shared" si="6"/>
        <v>34791</v>
      </c>
      <c r="J33" s="167">
        <f t="shared" si="7"/>
        <v>1.0076540989446176E-2</v>
      </c>
      <c r="K33" s="458"/>
      <c r="L33" s="163"/>
      <c r="M33" s="163"/>
      <c r="O33" s="324">
        <f t="shared" si="8"/>
        <v>2.4562976560293701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'[56]Sch C'!D14</f>
        <v>0</v>
      </c>
      <c r="D34" s="480">
        <f>'[56]Sch C'!F14</f>
        <v>0</v>
      </c>
      <c r="E34" s="480">
        <f>+'[56]Sch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'[56]Sch C'!D15</f>
        <v>0</v>
      </c>
      <c r="D35" s="480">
        <f>'[56]Sch C'!F15</f>
        <v>0</v>
      </c>
      <c r="E35" s="480">
        <f>+'[56]Sch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'[56]Sch C'!D16</f>
        <v>168633</v>
      </c>
      <c r="D36" s="480">
        <f>'[56]Sch C'!F16</f>
        <v>0</v>
      </c>
      <c r="E36" s="480">
        <f>+'[56]Sch C'!H16</f>
        <v>339</v>
      </c>
      <c r="F36" s="166">
        <f t="shared" si="5"/>
        <v>168972</v>
      </c>
      <c r="G36" s="626"/>
      <c r="H36" s="166"/>
      <c r="I36" s="166">
        <f t="shared" si="6"/>
        <v>168972</v>
      </c>
      <c r="J36" s="167">
        <f t="shared" si="7"/>
        <v>4.8939475268566568E-2</v>
      </c>
      <c r="K36" s="458"/>
      <c r="L36" s="163"/>
      <c r="M36" s="163"/>
      <c r="O36" s="324">
        <f t="shared" si="8"/>
        <v>11.929680881107032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'[56]Sch C'!D17</f>
        <v>196</v>
      </c>
      <c r="D37" s="480">
        <f>'[56]Sch C'!F17</f>
        <v>-196</v>
      </c>
      <c r="E37" s="480">
        <f>+'[56]Sch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'[56]Sch C'!D18</f>
        <v>9754</v>
      </c>
      <c r="D38" s="480">
        <f>'[56]Sch C'!F18</f>
        <v>0</v>
      </c>
      <c r="E38" s="480">
        <f>+'[56]Sch C'!H18</f>
        <v>0</v>
      </c>
      <c r="F38" s="166">
        <f t="shared" si="5"/>
        <v>9754</v>
      </c>
      <c r="G38" s="626"/>
      <c r="H38" s="166"/>
      <c r="I38" s="166">
        <f t="shared" si="6"/>
        <v>9754</v>
      </c>
      <c r="J38" s="167">
        <f t="shared" si="7"/>
        <v>2.825057653159093E-3</v>
      </c>
      <c r="K38" s="458"/>
      <c r="L38" s="163"/>
      <c r="M38" s="163"/>
      <c r="O38" s="324">
        <f t="shared" si="8"/>
        <v>0.6886472747811353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'[56]Sch C'!D19</f>
        <v>7439</v>
      </c>
      <c r="D39" s="480">
        <f>'[56]Sch C'!F19</f>
        <v>0</v>
      </c>
      <c r="E39" s="480">
        <f>+'[56]Sch C'!H19</f>
        <v>0</v>
      </c>
      <c r="F39" s="166">
        <f t="shared" si="5"/>
        <v>7439</v>
      </c>
      <c r="G39" s="626"/>
      <c r="H39" s="166"/>
      <c r="I39" s="166">
        <f t="shared" si="6"/>
        <v>7439</v>
      </c>
      <c r="J39" s="167">
        <f t="shared" si="7"/>
        <v>2.1545626288548793E-3</v>
      </c>
      <c r="K39" s="458"/>
      <c r="L39" s="163"/>
      <c r="M39" s="163"/>
      <c r="O39" s="324">
        <f t="shared" si="8"/>
        <v>0.52520474442247955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'[56]Sch C'!D20</f>
        <v>6706</v>
      </c>
      <c r="D40" s="480">
        <f>'[56]Sch C'!F20</f>
        <v>0</v>
      </c>
      <c r="E40" s="480">
        <f>+'[56]Sch C'!H20</f>
        <v>0</v>
      </c>
      <c r="F40" s="166">
        <f t="shared" si="5"/>
        <v>6706</v>
      </c>
      <c r="G40" s="626"/>
      <c r="H40" s="166"/>
      <c r="I40" s="166">
        <f t="shared" si="6"/>
        <v>6706</v>
      </c>
      <c r="J40" s="167">
        <f t="shared" si="7"/>
        <v>1.9422633403818822E-3</v>
      </c>
      <c r="K40" s="458"/>
      <c r="L40" s="163"/>
      <c r="M40" s="163"/>
      <c r="O40" s="324">
        <f t="shared" si="8"/>
        <v>0.47345382660265461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'[56]Sch C'!D21</f>
        <v>9975</v>
      </c>
      <c r="D41" s="480">
        <f>'[56]Sch C'!F21</f>
        <v>0</v>
      </c>
      <c r="E41" s="480">
        <f>+'[56]Sch C'!H21</f>
        <v>0</v>
      </c>
      <c r="F41" s="166">
        <f t="shared" si="5"/>
        <v>9975</v>
      </c>
      <c r="G41" s="626"/>
      <c r="H41" s="166"/>
      <c r="I41" s="166">
        <f t="shared" si="6"/>
        <v>9975</v>
      </c>
      <c r="J41" s="167">
        <f t="shared" si="7"/>
        <v>2.8890660334490417E-3</v>
      </c>
      <c r="K41" s="458"/>
      <c r="L41" s="163"/>
      <c r="M41" s="163"/>
      <c r="O41" s="324">
        <f t="shared" si="8"/>
        <v>0.70425021180457503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'[56]Sch C'!D22</f>
        <v>0</v>
      </c>
      <c r="D42" s="480">
        <f>'[56]Sch C'!F22</f>
        <v>0</v>
      </c>
      <c r="E42" s="480">
        <f>+'[56]Sch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'[56]Sch C'!D23</f>
        <v>1853</v>
      </c>
      <c r="D43" s="480">
        <f>'[56]Sch C'!F23</f>
        <v>0</v>
      </c>
      <c r="E43" s="480">
        <f>+'[56]Sch C'!H23</f>
        <v>0</v>
      </c>
      <c r="F43" s="166">
        <f t="shared" si="5"/>
        <v>1853</v>
      </c>
      <c r="G43" s="626"/>
      <c r="H43" s="166"/>
      <c r="I43" s="166">
        <f t="shared" si="6"/>
        <v>1853</v>
      </c>
      <c r="J43" s="167">
        <f t="shared" si="7"/>
        <v>5.36685650123416E-4</v>
      </c>
      <c r="K43" s="458"/>
      <c r="L43" s="163"/>
      <c r="M43" s="163"/>
      <c r="O43" s="324">
        <f t="shared" si="8"/>
        <v>0.13082462581191753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'[56]Sch C'!D24</f>
        <v>16527</v>
      </c>
      <c r="D44" s="480">
        <f>'[56]Sch C'!F24</f>
        <v>0</v>
      </c>
      <c r="E44" s="480">
        <f>+'[56]Sch C'!H24</f>
        <v>0</v>
      </c>
      <c r="F44" s="166">
        <f t="shared" si="5"/>
        <v>16527</v>
      </c>
      <c r="G44" s="626"/>
      <c r="H44" s="166"/>
      <c r="I44" s="166">
        <f t="shared" si="6"/>
        <v>16527</v>
      </c>
      <c r="J44" s="167">
        <f t="shared" si="7"/>
        <v>4.7867262491039916E-3</v>
      </c>
      <c r="K44" s="458"/>
      <c r="L44" s="163"/>
      <c r="M44" s="163"/>
      <c r="O44" s="324">
        <f t="shared" si="8"/>
        <v>1.1668314035583169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'[56]Sch C'!D25</f>
        <v>8471</v>
      </c>
      <c r="D45" s="480">
        <f>'[56]Sch C'!F25</f>
        <v>0</v>
      </c>
      <c r="E45" s="480">
        <f>+'[56]Sch C'!H25</f>
        <v>0</v>
      </c>
      <c r="F45" s="166">
        <f t="shared" si="5"/>
        <v>8471</v>
      </c>
      <c r="G45" s="626"/>
      <c r="H45" s="166"/>
      <c r="I45" s="166">
        <f t="shared" si="6"/>
        <v>8471</v>
      </c>
      <c r="J45" s="167">
        <f t="shared" si="7"/>
        <v>2.4534614906613367E-3</v>
      </c>
      <c r="K45" s="458"/>
      <c r="L45" s="163"/>
      <c r="M45" s="163"/>
      <c r="O45" s="324">
        <f t="shared" si="8"/>
        <v>0.59806551821519349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'[56]Sch C'!D26</f>
        <v>259900</v>
      </c>
      <c r="D46" s="480">
        <f>'[56]Sch C'!F26</f>
        <v>0</v>
      </c>
      <c r="E46" s="480">
        <f>+'[56]Sch C'!H26</f>
        <v>0</v>
      </c>
      <c r="F46" s="166">
        <f t="shared" si="5"/>
        <v>259900</v>
      </c>
      <c r="G46" s="626"/>
      <c r="H46" s="166"/>
      <c r="I46" s="166">
        <f t="shared" si="6"/>
        <v>259900</v>
      </c>
      <c r="J46" s="167">
        <f t="shared" si="7"/>
        <v>7.5275013743699853E-2</v>
      </c>
      <c r="K46" s="458"/>
      <c r="L46" s="163"/>
      <c r="M46" s="163"/>
      <c r="O46" s="324">
        <f t="shared" si="8"/>
        <v>18.349336345665066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'[56]Sch C'!D27</f>
        <v>29877</v>
      </c>
      <c r="D47" s="480">
        <f>'[56]Sch C'!F27</f>
        <v>-53</v>
      </c>
      <c r="E47" s="480">
        <f>+'[56]Sch C'!H27</f>
        <v>0</v>
      </c>
      <c r="F47" s="166">
        <f t="shared" si="5"/>
        <v>29824</v>
      </c>
      <c r="G47" s="626"/>
      <c r="H47" s="166"/>
      <c r="I47" s="166">
        <f t="shared" si="6"/>
        <v>29824</v>
      </c>
      <c r="J47" s="167">
        <f t="shared" si="7"/>
        <v>8.6379454016625792E-3</v>
      </c>
      <c r="K47" s="458"/>
      <c r="L47" s="163"/>
      <c r="M47" s="163"/>
      <c r="O47" s="324">
        <f t="shared" si="8"/>
        <v>2.1056198813894382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'[56]Sch C'!D28</f>
        <v>0</v>
      </c>
      <c r="D48" s="480">
        <f>'[56]Sch C'!F28</f>
        <v>0</v>
      </c>
      <c r="E48" s="480">
        <f>+'[56]Sch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'[56]Sch C'!D29</f>
        <v>59474</v>
      </c>
      <c r="D49" s="480">
        <f>'[56]Sch C'!F29</f>
        <v>-59474</v>
      </c>
      <c r="E49" s="480">
        <f>+'[56]Sch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'[56]Sch C'!D30</f>
        <v>0</v>
      </c>
      <c r="D50" s="480">
        <f>'[56]Sch C'!F30</f>
        <v>0</v>
      </c>
      <c r="E50" s="480">
        <f>+'[56]Sch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'[56]Sch C'!D31</f>
        <v>0</v>
      </c>
      <c r="D51" s="480">
        <f>'[56]Sch C'!F31</f>
        <v>0</v>
      </c>
      <c r="E51" s="480">
        <f>+'[56]Sch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'[56]Sch C'!D32</f>
        <v>41040</v>
      </c>
      <c r="D52" s="480">
        <f>'[56]Sch C'!F32</f>
        <v>0</v>
      </c>
      <c r="E52" s="480">
        <f>+'[56]Sch C'!H32</f>
        <v>0</v>
      </c>
      <c r="F52" s="166">
        <f t="shared" si="5"/>
        <v>41040</v>
      </c>
      <c r="G52" s="626"/>
      <c r="H52" s="166"/>
      <c r="I52" s="166">
        <f t="shared" si="6"/>
        <v>41040</v>
      </c>
      <c r="J52" s="167">
        <f t="shared" si="7"/>
        <v>1.1886443109047486E-2</v>
      </c>
      <c r="K52" s="458"/>
      <c r="L52" s="163"/>
      <c r="M52" s="163"/>
      <c r="O52" s="324">
        <f t="shared" si="8"/>
        <v>2.8974865857102512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'[56]Sch C'!D33</f>
        <v>0</v>
      </c>
      <c r="D53" s="480">
        <f>'[56]Sch C'!F33</f>
        <v>0</v>
      </c>
      <c r="E53" s="480">
        <f>+'[56]Sch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'[56]Sch C'!D34</f>
        <v>99</v>
      </c>
      <c r="D54" s="480">
        <f>'[56]Sch C'!F34</f>
        <v>0</v>
      </c>
      <c r="E54" s="480">
        <f>+'[56]Sch C'!H34</f>
        <v>0</v>
      </c>
      <c r="F54" s="166">
        <f t="shared" si="5"/>
        <v>99</v>
      </c>
      <c r="G54" s="626"/>
      <c r="H54" s="166"/>
      <c r="I54" s="166">
        <f t="shared" si="6"/>
        <v>99</v>
      </c>
      <c r="J54" s="167">
        <f t="shared" si="7"/>
        <v>2.8673437324456655E-5</v>
      </c>
      <c r="K54" s="458"/>
      <c r="L54" s="163"/>
      <c r="M54" s="163"/>
      <c r="O54" s="324">
        <f t="shared" si="8"/>
        <v>6.989550974301045E-3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'[56]Sch C'!D35</f>
        <v>0</v>
      </c>
      <c r="D55" s="480">
        <f>'[56]Sch C'!F35</f>
        <v>0</v>
      </c>
      <c r="E55" s="480">
        <f>+'[56]Sch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'[56]Sch C'!D36</f>
        <v>16091</v>
      </c>
      <c r="D56" s="480">
        <f>'[56]Sch C'!F36</f>
        <v>0</v>
      </c>
      <c r="E56" s="480">
        <f>+'[56]Sch C'!H36</f>
        <v>0</v>
      </c>
      <c r="F56" s="166">
        <f t="shared" si="5"/>
        <v>16091</v>
      </c>
      <c r="G56" s="626"/>
      <c r="H56" s="166"/>
      <c r="I56" s="166">
        <f t="shared" si="6"/>
        <v>16091</v>
      </c>
      <c r="J56" s="167">
        <f t="shared" si="7"/>
        <v>4.6604472726043643E-3</v>
      </c>
      <c r="K56" s="458"/>
      <c r="L56" s="176">
        <v>1363</v>
      </c>
      <c r="M56" s="176">
        <v>1449</v>
      </c>
      <c r="O56" s="324">
        <f t="shared" si="8"/>
        <v>1.1360491386613951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'[56]Sch C'!D37</f>
        <v>1704</v>
      </c>
      <c r="D57" s="480">
        <f>'[56]Sch C'!F37</f>
        <v>0</v>
      </c>
      <c r="E57" s="480">
        <f>+'[56]Sch C'!H37</f>
        <v>0</v>
      </c>
      <c r="F57" s="166">
        <f t="shared" si="5"/>
        <v>1704</v>
      </c>
      <c r="G57" s="626"/>
      <c r="H57" s="166"/>
      <c r="I57" s="166">
        <f t="shared" si="6"/>
        <v>1704</v>
      </c>
      <c r="J57" s="167">
        <f t="shared" si="7"/>
        <v>4.9353067879670846E-4</v>
      </c>
      <c r="K57" s="458"/>
      <c r="L57" s="163"/>
      <c r="M57" s="163"/>
      <c r="O57" s="324">
        <f t="shared" si="8"/>
        <v>0.1203049985879695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'[56]Sch C'!D38</f>
        <v>265</v>
      </c>
      <c r="D58" s="480">
        <f>'[56]Sch C'!F38</f>
        <v>-265</v>
      </c>
      <c r="E58" s="480">
        <f>+'[56]Sch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'[56]Sch C'!D39</f>
        <v>1648</v>
      </c>
      <c r="D59" s="480">
        <f>'[56]Sch C'!F39</f>
        <v>0</v>
      </c>
      <c r="E59" s="480">
        <f>+'[56]Sch C'!H39</f>
        <v>0</v>
      </c>
      <c r="F59" s="166">
        <f t="shared" si="5"/>
        <v>1648</v>
      </c>
      <c r="G59" s="626"/>
      <c r="H59" s="166"/>
      <c r="I59" s="166">
        <f t="shared" si="6"/>
        <v>1648</v>
      </c>
      <c r="J59" s="167">
        <f t="shared" si="7"/>
        <v>4.7731136071418759E-4</v>
      </c>
      <c r="K59" s="458"/>
      <c r="L59" s="163"/>
      <c r="M59" s="163"/>
      <c r="O59" s="324">
        <f t="shared" si="8"/>
        <v>0.11635131318836486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'[56]Sch C'!D40</f>
        <v>1524</v>
      </c>
      <c r="D60" s="480">
        <f>'[56]Sch C'!F40</f>
        <v>-1524</v>
      </c>
      <c r="E60" s="480">
        <f>+'[56]Sch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'[56]Sch C'!D41</f>
        <v>37099</v>
      </c>
      <c r="D61" s="480">
        <f>'[56]Sch C'!F41</f>
        <v>0</v>
      </c>
      <c r="E61" s="480">
        <f>+'[56]Sch C'!H41</f>
        <v>0</v>
      </c>
      <c r="F61" s="166">
        <f t="shared" si="5"/>
        <v>37099</v>
      </c>
      <c r="G61" s="626"/>
      <c r="H61" s="166"/>
      <c r="I61" s="166">
        <f t="shared" si="6"/>
        <v>37099</v>
      </c>
      <c r="J61" s="167">
        <f t="shared" si="7"/>
        <v>1.0745008598990075E-2</v>
      </c>
      <c r="K61" s="458"/>
      <c r="L61" s="163"/>
      <c r="M61" s="163"/>
      <c r="O61" s="324">
        <f t="shared" si="8"/>
        <v>2.6192459757130755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'[56]Sch C'!D42</f>
        <v>0</v>
      </c>
      <c r="D62" s="480">
        <f>'[56]Sch C'!F42</f>
        <v>0</v>
      </c>
      <c r="E62" s="480">
        <f>+'[56]Sch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'[56]Sch C'!D43</f>
        <v>9905</v>
      </c>
      <c r="D63" s="480">
        <f>'[56]Sch C'!F43</f>
        <v>-9905</v>
      </c>
      <c r="E63" s="480">
        <f>+'[56]Sch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'[56]Sch C'!D44</f>
        <v>0</v>
      </c>
      <c r="D64" s="480">
        <f>'[56]Sch C'!F44</f>
        <v>0</v>
      </c>
      <c r="E64" s="480">
        <f>+'[56]Sch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'[56]Sch C'!D45</f>
        <v>2236</v>
      </c>
      <c r="D65" s="480">
        <f>'[56]Sch C'!F45</f>
        <v>-1634</v>
      </c>
      <c r="E65" s="480">
        <f>+'[56]Sch C'!H45</f>
        <v>0</v>
      </c>
      <c r="F65" s="166">
        <f t="shared" si="5"/>
        <v>602</v>
      </c>
      <c r="G65" s="626">
        <v>-456.1</v>
      </c>
      <c r="H65" s="166"/>
      <c r="I65" s="166">
        <f t="shared" si="6"/>
        <v>145.89999999999998</v>
      </c>
      <c r="J65" s="167">
        <f t="shared" si="7"/>
        <v>4.2257116218567931E-5</v>
      </c>
      <c r="K65" s="458" t="s">
        <v>585</v>
      </c>
      <c r="L65" s="163"/>
      <c r="M65" s="163"/>
      <c r="O65" s="324">
        <f t="shared" si="8"/>
        <v>1.0300762496469922E-2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913972</v>
      </c>
      <c r="D66" s="480">
        <f t="shared" si="9"/>
        <v>-79279</v>
      </c>
      <c r="E66" s="480">
        <f t="shared" si="9"/>
        <v>339</v>
      </c>
      <c r="F66" s="166">
        <f t="shared" ref="F66:I66" si="10">SUM(F30:F65)</f>
        <v>835032</v>
      </c>
      <c r="G66" s="166">
        <f t="shared" si="10"/>
        <v>-456.1</v>
      </c>
      <c r="H66" s="166">
        <f t="shared" si="10"/>
        <v>0</v>
      </c>
      <c r="I66" s="166">
        <f t="shared" si="10"/>
        <v>834575.9</v>
      </c>
      <c r="J66" s="178">
        <f t="shared" si="7"/>
        <v>0.24171878546618189</v>
      </c>
      <c r="K66" s="465"/>
      <c r="L66" s="163"/>
      <c r="M66" s="163"/>
      <c r="O66" s="329">
        <f>I66/I$233</f>
        <v>58.922331262355272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'[56]Sch C'!D57</f>
        <v>0</v>
      </c>
      <c r="D69" s="480">
        <f>'[56]Sch C'!F57</f>
        <v>0</v>
      </c>
      <c r="E69" s="480">
        <f>+'[56]Sch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'[56]Sch C'!D58</f>
        <v>104644</v>
      </c>
      <c r="D70" s="480">
        <f>'[56]Sch C'!F58</f>
        <v>0</v>
      </c>
      <c r="E70" s="480">
        <f>+'[56]Sch C'!H58</f>
        <v>0</v>
      </c>
      <c r="F70" s="166">
        <f t="shared" ref="F70:F83" si="13">C70+D70+E70</f>
        <v>104644</v>
      </c>
      <c r="G70" s="626"/>
      <c r="H70" s="166"/>
      <c r="I70" s="166">
        <f t="shared" ref="I70:I83" si="14">F70+G70+H70</f>
        <v>104644</v>
      </c>
      <c r="J70" s="167">
        <f t="shared" si="11"/>
        <v>3.0308112882630731E-2</v>
      </c>
      <c r="K70" s="458"/>
      <c r="L70" s="182"/>
      <c r="M70" s="163"/>
      <c r="O70" s="324">
        <f t="shared" si="12"/>
        <v>7.3880259813611975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'[56]Sch C'!D59</f>
        <v>44114</v>
      </c>
      <c r="D71" s="480">
        <f>'[56]Sch C'!F59</f>
        <v>0</v>
      </c>
      <c r="E71" s="480">
        <f>+'[56]Sch C'!H59</f>
        <v>0</v>
      </c>
      <c r="F71" s="166">
        <f t="shared" si="13"/>
        <v>44114</v>
      </c>
      <c r="G71" s="626"/>
      <c r="H71" s="166"/>
      <c r="I71" s="166">
        <f t="shared" si="14"/>
        <v>44114</v>
      </c>
      <c r="J71" s="167">
        <f t="shared" si="11"/>
        <v>1.2776767819505867E-2</v>
      </c>
      <c r="K71" s="458"/>
      <c r="L71" s="182"/>
      <c r="M71" s="163"/>
      <c r="O71" s="324">
        <f t="shared" si="12"/>
        <v>3.1145156735385484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'[56]Sch C'!D60</f>
        <v>14232</v>
      </c>
      <c r="D72" s="480">
        <f>'[56]Sch C'!F60</f>
        <v>0</v>
      </c>
      <c r="E72" s="480">
        <f>+'[56]Sch C'!H60</f>
        <v>0</v>
      </c>
      <c r="F72" s="166">
        <f t="shared" si="13"/>
        <v>14232</v>
      </c>
      <c r="G72" s="626"/>
      <c r="H72" s="166"/>
      <c r="I72" s="166">
        <f t="shared" si="14"/>
        <v>14232</v>
      </c>
      <c r="J72" s="167">
        <f t="shared" si="11"/>
        <v>4.1220238384006777E-3</v>
      </c>
      <c r="K72" s="458"/>
      <c r="L72" s="185"/>
      <c r="M72" s="163"/>
      <c r="O72" s="324">
        <f t="shared" si="12"/>
        <v>1.00480090369952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'[56]Sch C'!D61</f>
        <v>3016</v>
      </c>
      <c r="D73" s="480">
        <f>'[56]Sch C'!F61</f>
        <v>0</v>
      </c>
      <c r="E73" s="480">
        <f>+'[56]Sch C'!H61</f>
        <v>0</v>
      </c>
      <c r="F73" s="166">
        <f t="shared" si="13"/>
        <v>3016</v>
      </c>
      <c r="G73" s="626"/>
      <c r="H73" s="166"/>
      <c r="I73" s="166">
        <f t="shared" si="14"/>
        <v>3016</v>
      </c>
      <c r="J73" s="167">
        <f t="shared" si="11"/>
        <v>8.735261310157704E-4</v>
      </c>
      <c r="K73" s="458"/>
      <c r="L73" s="185"/>
      <c r="M73" s="163"/>
      <c r="O73" s="324">
        <f t="shared" si="12"/>
        <v>0.21293419937870658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'[56]Sch C'!D62</f>
        <v>346</v>
      </c>
      <c r="D74" s="480">
        <f>'[56]Sch C'!F62</f>
        <v>0</v>
      </c>
      <c r="E74" s="480">
        <f>+'[56]Sch C'!H62</f>
        <v>0</v>
      </c>
      <c r="F74" s="166">
        <f t="shared" si="13"/>
        <v>346</v>
      </c>
      <c r="G74" s="626"/>
      <c r="H74" s="166"/>
      <c r="I74" s="166">
        <f t="shared" si="14"/>
        <v>346</v>
      </c>
      <c r="J74" s="167">
        <f t="shared" si="11"/>
        <v>1.0021221529557578E-4</v>
      </c>
      <c r="K74" s="458"/>
      <c r="L74" s="187"/>
      <c r="M74" s="163"/>
      <c r="O74" s="324">
        <f t="shared" si="12"/>
        <v>2.4428127647557186E-2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'[56]Sch C'!D63</f>
        <v>0</v>
      </c>
      <c r="D75" s="480">
        <f>'[56]Sch C'!F63</f>
        <v>0</v>
      </c>
      <c r="E75" s="480">
        <f>+'[56]Sch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'[56]Sch C'!D64</f>
        <v>0</v>
      </c>
      <c r="D76" s="480">
        <f>'[56]Sch C'!F64</f>
        <v>0</v>
      </c>
      <c r="E76" s="480">
        <f>+'[56]Sch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'[56]Sch C'!D65</f>
        <v>6733</v>
      </c>
      <c r="D77" s="480">
        <f>'[56]Sch C'!F65</f>
        <v>0</v>
      </c>
      <c r="E77" s="480">
        <f>+'[56]Sch C'!H65</f>
        <v>0</v>
      </c>
      <c r="F77" s="166">
        <f t="shared" si="13"/>
        <v>6733</v>
      </c>
      <c r="G77" s="626"/>
      <c r="H77" s="166"/>
      <c r="I77" s="166">
        <f t="shared" si="14"/>
        <v>6733</v>
      </c>
      <c r="J77" s="167">
        <f t="shared" si="11"/>
        <v>1.9500833687430977E-3</v>
      </c>
      <c r="K77" s="458"/>
      <c r="L77" s="187"/>
      <c r="M77" s="163"/>
      <c r="O77" s="324">
        <f t="shared" si="12"/>
        <v>0.47536006777746398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'[56]Sch C'!D66</f>
        <v>67198</v>
      </c>
      <c r="D78" s="480">
        <f>'[56]Sch C'!F66</f>
        <v>0</v>
      </c>
      <c r="E78" s="480">
        <f>+'[56]Sch C'!H66</f>
        <v>-1809</v>
      </c>
      <c r="F78" s="166">
        <f t="shared" si="13"/>
        <v>65389</v>
      </c>
      <c r="G78" s="626"/>
      <c r="H78" s="166"/>
      <c r="I78" s="166">
        <f t="shared" si="14"/>
        <v>65389</v>
      </c>
      <c r="J78" s="167">
        <f t="shared" si="11"/>
        <v>1.8938660537463597E-2</v>
      </c>
      <c r="K78" s="458"/>
      <c r="L78" s="187"/>
      <c r="M78" s="163"/>
      <c r="O78" s="324">
        <f t="shared" si="12"/>
        <v>4.6165631177633433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'[56]Sch C'!D67</f>
        <v>20703</v>
      </c>
      <c r="D79" s="480">
        <f>'[56]Sch C'!F67</f>
        <v>0</v>
      </c>
      <c r="E79" s="480">
        <f>+'[56]Sch C'!H67</f>
        <v>0</v>
      </c>
      <c r="F79" s="166">
        <f t="shared" si="13"/>
        <v>20703</v>
      </c>
      <c r="G79" s="626"/>
      <c r="H79" s="166"/>
      <c r="I79" s="166">
        <f t="shared" si="14"/>
        <v>20703</v>
      </c>
      <c r="J79" s="167">
        <f t="shared" si="11"/>
        <v>5.996223968971981E-3</v>
      </c>
      <c r="K79" s="458"/>
      <c r="L79" s="187"/>
      <c r="M79" s="163"/>
      <c r="O79" s="324">
        <f t="shared" si="12"/>
        <v>1.4616633719288337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'[56]Sch C'!D68</f>
        <v>0</v>
      </c>
      <c r="D80" s="480">
        <f>'[56]Sch C'!F68</f>
        <v>0</v>
      </c>
      <c r="E80" s="480">
        <f>+'[56]Sch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'[56]Sch C'!D69</f>
        <v>1705</v>
      </c>
      <c r="D81" s="480">
        <f>'[56]Sch C'!F69</f>
        <v>0</v>
      </c>
      <c r="E81" s="480">
        <f>+'[56]Sch C'!H69</f>
        <v>0</v>
      </c>
      <c r="F81" s="166">
        <f t="shared" si="13"/>
        <v>1705</v>
      </c>
      <c r="G81" s="626"/>
      <c r="H81" s="166"/>
      <c r="I81" s="166">
        <f t="shared" si="14"/>
        <v>1705</v>
      </c>
      <c r="J81" s="167">
        <f t="shared" si="11"/>
        <v>4.9382030947675353E-4</v>
      </c>
      <c r="K81" s="458"/>
      <c r="L81" s="187"/>
      <c r="M81" s="163"/>
      <c r="O81" s="324">
        <f t="shared" si="12"/>
        <v>0.12037560011296244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'[56]Sch C'!D70</f>
        <v>0</v>
      </c>
      <c r="D82" s="480">
        <f>'[56]Sch C'!F70</f>
        <v>0</v>
      </c>
      <c r="E82" s="480">
        <f>+'[56]Sch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'[56]Sch C'!D71</f>
        <v>0</v>
      </c>
      <c r="D83" s="480">
        <f>'[56]Sch C'!F71</f>
        <v>0</v>
      </c>
      <c r="E83" s="480">
        <f>+'[56]Sch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262691</v>
      </c>
      <c r="D84" s="480">
        <f t="shared" si="15"/>
        <v>0</v>
      </c>
      <c r="E84" s="480">
        <f t="shared" si="15"/>
        <v>-1809</v>
      </c>
      <c r="F84" s="166">
        <f t="shared" ref="F84:I84" si="16">SUM(F69:F83)</f>
        <v>260882</v>
      </c>
      <c r="G84" s="166">
        <f t="shared" si="16"/>
        <v>0</v>
      </c>
      <c r="H84" s="166">
        <f t="shared" si="16"/>
        <v>0</v>
      </c>
      <c r="I84" s="166">
        <f t="shared" si="16"/>
        <v>260882</v>
      </c>
      <c r="J84" s="167">
        <f t="shared" si="11"/>
        <v>7.5559431071504049E-2</v>
      </c>
      <c r="K84" s="458"/>
      <c r="L84" s="187"/>
      <c r="M84" s="163"/>
      <c r="O84" s="324">
        <f t="shared" si="12"/>
        <v>18.418667043208135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'[56]Sch C'!D75</f>
        <v>33352</v>
      </c>
      <c r="D87" s="480">
        <f>'[56]Sch C'!F75</f>
        <v>0</v>
      </c>
      <c r="E87" s="480">
        <f>+'[56]Sch C'!H75</f>
        <v>0</v>
      </c>
      <c r="F87" s="166">
        <f t="shared" ref="F87:F97" si="17">C87+D87+E87</f>
        <v>33352</v>
      </c>
      <c r="G87" s="626"/>
      <c r="H87" s="166"/>
      <c r="I87" s="166">
        <f t="shared" ref="I87:I97" si="18">F87+G87+H87</f>
        <v>33352</v>
      </c>
      <c r="J87" s="167">
        <f t="shared" ref="J87:J98" si="19">IF($I$213=0,0,I87/$I$213)</f>
        <v>9.6597624408613983E-3</v>
      </c>
      <c r="K87" s="458"/>
      <c r="L87" s="176">
        <v>1857</v>
      </c>
      <c r="M87" s="176">
        <v>2047</v>
      </c>
      <c r="O87" s="324">
        <f t="shared" ref="O87:O97" si="20">I87/I$233</f>
        <v>2.35470206156453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'[56]Sch C'!D76</f>
        <v>3414</v>
      </c>
      <c r="D88" s="480">
        <f>'[56]Sch C'!F76</f>
        <v>0</v>
      </c>
      <c r="E88" s="480">
        <f>+'[56]Sch C'!H76</f>
        <v>0</v>
      </c>
      <c r="F88" s="166">
        <f t="shared" si="17"/>
        <v>3414</v>
      </c>
      <c r="G88" s="626"/>
      <c r="H88" s="166"/>
      <c r="I88" s="166">
        <f t="shared" si="18"/>
        <v>3414</v>
      </c>
      <c r="J88" s="167">
        <f t="shared" si="19"/>
        <v>9.8879914167368716E-4</v>
      </c>
      <c r="K88" s="458"/>
      <c r="L88" s="163"/>
      <c r="M88" s="163"/>
      <c r="O88" s="324">
        <f t="shared" si="20"/>
        <v>0.24103360632589663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'[56]Sch C'!D77</f>
        <v>6157</v>
      </c>
      <c r="D89" s="480">
        <f>'[56]Sch C'!F77</f>
        <v>0</v>
      </c>
      <c r="E89" s="480">
        <f>+'[56]Sch C'!H77</f>
        <v>0</v>
      </c>
      <c r="F89" s="166">
        <f t="shared" si="17"/>
        <v>6157</v>
      </c>
      <c r="G89" s="626"/>
      <c r="H89" s="166"/>
      <c r="I89" s="166">
        <f t="shared" si="18"/>
        <v>6157</v>
      </c>
      <c r="J89" s="167">
        <f t="shared" si="19"/>
        <v>1.783256097037168E-3</v>
      </c>
      <c r="K89" s="458"/>
      <c r="L89" s="163"/>
      <c r="M89" s="163"/>
      <c r="O89" s="324">
        <f t="shared" si="20"/>
        <v>0.43469358938153063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'[56]Sch C'!D78</f>
        <v>0</v>
      </c>
      <c r="D90" s="480">
        <f>'[56]Sch C'!F78</f>
        <v>0</v>
      </c>
      <c r="E90" s="480">
        <f>+'[56]Sch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'[56]Sch C'!D79</f>
        <v>1221</v>
      </c>
      <c r="D91" s="480">
        <f>'[56]Sch C'!F79</f>
        <v>0</v>
      </c>
      <c r="E91" s="480">
        <f>+'[56]Sch C'!H79</f>
        <v>0</v>
      </c>
      <c r="F91" s="166">
        <f t="shared" si="17"/>
        <v>1221</v>
      </c>
      <c r="G91" s="626"/>
      <c r="H91" s="166"/>
      <c r="I91" s="166">
        <f t="shared" si="18"/>
        <v>1221</v>
      </c>
      <c r="J91" s="167">
        <f t="shared" si="19"/>
        <v>3.5363906033496542E-4</v>
      </c>
      <c r="K91" s="458"/>
      <c r="L91" s="163"/>
      <c r="M91" s="163"/>
      <c r="O91" s="324">
        <f t="shared" si="20"/>
        <v>8.620446201637956E-2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'[56]Sch C'!D80</f>
        <v>8536</v>
      </c>
      <c r="D92" s="480">
        <f>'[56]Sch C'!F80</f>
        <v>0</v>
      </c>
      <c r="E92" s="480">
        <f>+'[56]Sch C'!H80</f>
        <v>0</v>
      </c>
      <c r="F92" s="166">
        <f t="shared" si="17"/>
        <v>8536</v>
      </c>
      <c r="G92" s="626"/>
      <c r="H92" s="166"/>
      <c r="I92" s="166">
        <f t="shared" si="18"/>
        <v>8536</v>
      </c>
      <c r="J92" s="167">
        <f t="shared" si="19"/>
        <v>2.4722874848642626E-3</v>
      </c>
      <c r="K92" s="458"/>
      <c r="L92" s="163"/>
      <c r="M92" s="163"/>
      <c r="O92" s="324">
        <f t="shared" si="20"/>
        <v>0.60265461733973458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'[56]Sch C'!D81</f>
        <v>12080</v>
      </c>
      <c r="D93" s="480">
        <f>'[56]Sch C'!F81</f>
        <v>0</v>
      </c>
      <c r="E93" s="480">
        <f>+'[56]Sch C'!H81</f>
        <v>0</v>
      </c>
      <c r="F93" s="166">
        <f t="shared" si="17"/>
        <v>12080</v>
      </c>
      <c r="G93" s="626"/>
      <c r="H93" s="166"/>
      <c r="I93" s="166">
        <f t="shared" si="18"/>
        <v>12080</v>
      </c>
      <c r="J93" s="167">
        <f t="shared" si="19"/>
        <v>3.498738614943802E-3</v>
      </c>
      <c r="K93" s="458"/>
      <c r="L93" s="163"/>
      <c r="M93" s="163"/>
      <c r="O93" s="324">
        <f t="shared" si="20"/>
        <v>0.8528664219147134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'[56]Sch C'!D82</f>
        <v>11069</v>
      </c>
      <c r="D94" s="480">
        <f>'[56]Sch C'!F82</f>
        <v>0</v>
      </c>
      <c r="E94" s="480">
        <f>+'[56]Sch C'!H82</f>
        <v>0</v>
      </c>
      <c r="F94" s="166">
        <f t="shared" si="17"/>
        <v>11069</v>
      </c>
      <c r="G94" s="626"/>
      <c r="H94" s="166"/>
      <c r="I94" s="166">
        <f t="shared" si="18"/>
        <v>11069</v>
      </c>
      <c r="J94" s="167">
        <f t="shared" si="19"/>
        <v>3.2059219974182899E-3</v>
      </c>
      <c r="K94" s="458"/>
      <c r="L94" s="163"/>
      <c r="M94" s="163"/>
      <c r="O94" s="324">
        <f t="shared" si="20"/>
        <v>0.78148828014685112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'[56]Sch C'!D83</f>
        <v>9472</v>
      </c>
      <c r="D95" s="480">
        <f>'[56]Sch C'!F83</f>
        <v>0</v>
      </c>
      <c r="E95" s="480">
        <f>+'[56]Sch C'!H83</f>
        <v>0</v>
      </c>
      <c r="F95" s="166">
        <f t="shared" si="17"/>
        <v>9472</v>
      </c>
      <c r="G95" s="626"/>
      <c r="H95" s="166"/>
      <c r="I95" s="166">
        <f t="shared" si="18"/>
        <v>9472</v>
      </c>
      <c r="J95" s="167">
        <f t="shared" si="19"/>
        <v>2.7433818013863982E-3</v>
      </c>
      <c r="K95" s="458"/>
      <c r="L95" s="163"/>
      <c r="M95" s="163"/>
      <c r="O95" s="324">
        <f t="shared" si="20"/>
        <v>0.66873764473312625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'[56]Sch C'!D84</f>
        <v>67388</v>
      </c>
      <c r="D96" s="480">
        <f>'[56]Sch C'!F84</f>
        <v>0</v>
      </c>
      <c r="E96" s="480">
        <f>+'[56]Sch C'!H84</f>
        <v>0</v>
      </c>
      <c r="F96" s="166">
        <f t="shared" si="17"/>
        <v>67388</v>
      </c>
      <c r="G96" s="626"/>
      <c r="H96" s="166"/>
      <c r="I96" s="166">
        <f t="shared" si="18"/>
        <v>67388</v>
      </c>
      <c r="J96" s="167">
        <f t="shared" si="19"/>
        <v>1.9517632266873586E-2</v>
      </c>
      <c r="K96" s="458"/>
      <c r="L96" s="163"/>
      <c r="M96" s="163"/>
      <c r="O96" s="324">
        <f t="shared" si="20"/>
        <v>4.7576955662242302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'[56]Sch C'!D85</f>
        <v>0</v>
      </c>
      <c r="D97" s="480">
        <f>'[56]Sch C'!F85</f>
        <v>0</v>
      </c>
      <c r="E97" s="480">
        <f>+'[56]Sch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152689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152689</v>
      </c>
      <c r="G98" s="166">
        <f t="shared" si="22"/>
        <v>0</v>
      </c>
      <c r="H98" s="166">
        <f t="shared" si="22"/>
        <v>0</v>
      </c>
      <c r="I98" s="166">
        <f t="shared" si="22"/>
        <v>152689</v>
      </c>
      <c r="J98" s="167">
        <f t="shared" si="19"/>
        <v>4.4223418905393559E-2</v>
      </c>
      <c r="K98" s="458"/>
      <c r="L98" s="163"/>
      <c r="M98" s="163"/>
      <c r="O98" s="329">
        <f>I98/I$233</f>
        <v>10.780076249646992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'[56]Sch C'!D89</f>
        <v>0</v>
      </c>
      <c r="D101" s="480">
        <f>'[56]Sch C'!F89</f>
        <v>0</v>
      </c>
      <c r="E101" s="480">
        <f>+'[56]Sch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'[56]Sch C'!D90</f>
        <v>0</v>
      </c>
      <c r="D102" s="480">
        <f>'[56]Sch C'!F90</f>
        <v>0</v>
      </c>
      <c r="E102" s="480">
        <f>+'[56]Sch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'[56]Sch C'!D91</f>
        <v>266246</v>
      </c>
      <c r="D103" s="480">
        <f>'[56]Sch C'!F91</f>
        <v>0</v>
      </c>
      <c r="E103" s="480">
        <f>+'[56]Sch C'!H91</f>
        <v>0</v>
      </c>
      <c r="F103" s="166">
        <f t="shared" si="23"/>
        <v>266246</v>
      </c>
      <c r="G103" s="626"/>
      <c r="H103" s="166"/>
      <c r="I103" s="166">
        <f t="shared" si="24"/>
        <v>266246</v>
      </c>
      <c r="J103" s="167">
        <f t="shared" si="25"/>
        <v>7.7113010039265517E-2</v>
      </c>
      <c r="K103" s="458"/>
      <c r="L103" s="163"/>
      <c r="M103" s="163"/>
      <c r="O103" s="329">
        <f t="shared" si="26"/>
        <v>18.797373623270264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'[56]Sch C'!D92</f>
        <v>2171</v>
      </c>
      <c r="D104" s="480">
        <f>'[56]Sch C'!F92</f>
        <v>-591</v>
      </c>
      <c r="E104" s="480">
        <f>+'[56]Sch C'!H92</f>
        <v>0</v>
      </c>
      <c r="F104" s="166">
        <f t="shared" si="23"/>
        <v>1580</v>
      </c>
      <c r="G104" s="626"/>
      <c r="H104" s="166"/>
      <c r="I104" s="166">
        <f t="shared" si="24"/>
        <v>1580</v>
      </c>
      <c r="J104" s="167">
        <f t="shared" si="25"/>
        <v>4.5761647447112644E-4</v>
      </c>
      <c r="K104" s="458"/>
      <c r="L104" s="163"/>
      <c r="M104" s="163"/>
      <c r="O104" s="329">
        <f t="shared" si="26"/>
        <v>0.11155040948884495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'[56]Sch C'!D93</f>
        <v>3342</v>
      </c>
      <c r="D105" s="480">
        <f>'[56]Sch C'!F93</f>
        <v>0</v>
      </c>
      <c r="E105" s="480">
        <f>+'[56]Sch C'!H93</f>
        <v>0</v>
      </c>
      <c r="F105" s="166">
        <f t="shared" si="23"/>
        <v>3342</v>
      </c>
      <c r="G105" s="626"/>
      <c r="H105" s="166"/>
      <c r="I105" s="166">
        <f t="shared" si="24"/>
        <v>3342</v>
      </c>
      <c r="J105" s="167">
        <f t="shared" si="25"/>
        <v>9.6794573271044592E-4</v>
      </c>
      <c r="K105" s="458"/>
      <c r="L105" s="163"/>
      <c r="M105" s="163"/>
      <c r="O105" s="329">
        <f t="shared" si="26"/>
        <v>0.23595029652640498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'[56]Sch C'!D94</f>
        <v>0</v>
      </c>
      <c r="D106" s="480">
        <f>'[56]Sch C'!F94</f>
        <v>0</v>
      </c>
      <c r="E106" s="480">
        <f>+'[56]Sch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271759</v>
      </c>
      <c r="D107" s="480">
        <f t="shared" si="27"/>
        <v>-591</v>
      </c>
      <c r="E107" s="480">
        <f t="shared" si="27"/>
        <v>0</v>
      </c>
      <c r="F107" s="166">
        <f t="shared" ref="F107:I107" si="28">SUM(F101:F106)</f>
        <v>271168</v>
      </c>
      <c r="G107" s="166">
        <f t="shared" si="28"/>
        <v>0</v>
      </c>
      <c r="H107" s="166">
        <f t="shared" si="28"/>
        <v>0</v>
      </c>
      <c r="I107" s="166">
        <f t="shared" si="28"/>
        <v>271168</v>
      </c>
      <c r="J107" s="167">
        <f t="shared" si="25"/>
        <v>7.85385722464471E-2</v>
      </c>
      <c r="K107" s="458"/>
      <c r="L107" s="163"/>
      <c r="M107" s="163"/>
      <c r="O107" s="329">
        <f>I107/I$233</f>
        <v>19.144874329285514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'[56]Sch C'!D98</f>
        <v>0</v>
      </c>
      <c r="D110" s="480">
        <f>'[56]Sch C'!F98</f>
        <v>0</v>
      </c>
      <c r="E110" s="480">
        <f>+'[56]Sch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'[56]Sch C'!D99</f>
        <v>0</v>
      </c>
      <c r="D111" s="480">
        <f>'[56]Sch C'!F99</f>
        <v>0</v>
      </c>
      <c r="E111" s="480">
        <f>+'[56]Sch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'[56]Sch C'!D100</f>
        <v>0</v>
      </c>
      <c r="D112" s="480">
        <f>'[56]Sch C'!F100</f>
        <v>0</v>
      </c>
      <c r="E112" s="480">
        <f>+'[56]Sch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'[56]Sch C'!D101</f>
        <v>43008</v>
      </c>
      <c r="D113" s="480">
        <f>'[56]Sch C'!F101</f>
        <v>0</v>
      </c>
      <c r="E113" s="480">
        <f>+'[56]Sch C'!H101</f>
        <v>0</v>
      </c>
      <c r="F113" s="166">
        <f t="shared" si="29"/>
        <v>43008</v>
      </c>
      <c r="G113" s="626"/>
      <c r="H113" s="166"/>
      <c r="I113" s="166">
        <f t="shared" si="30"/>
        <v>43008</v>
      </c>
      <c r="J113" s="167">
        <f t="shared" si="31"/>
        <v>1.2456436287376079E-2</v>
      </c>
      <c r="K113" s="458"/>
      <c r="L113" s="163"/>
      <c r="M113" s="163"/>
      <c r="O113" s="329">
        <f t="shared" si="32"/>
        <v>3.0364303868963569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'[56]Sch C'!D102</f>
        <v>5353</v>
      </c>
      <c r="D114" s="480">
        <f>'[56]Sch C'!F102</f>
        <v>0</v>
      </c>
      <c r="E114" s="480">
        <f>+'[56]Sch C'!H102</f>
        <v>0</v>
      </c>
      <c r="F114" s="166">
        <f t="shared" si="29"/>
        <v>5353</v>
      </c>
      <c r="G114" s="626"/>
      <c r="H114" s="166"/>
      <c r="I114" s="166">
        <f t="shared" si="30"/>
        <v>5353</v>
      </c>
      <c r="J114" s="167">
        <f t="shared" si="31"/>
        <v>1.5503930302809745E-3</v>
      </c>
      <c r="K114" s="458"/>
      <c r="L114" s="163"/>
      <c r="M114" s="163"/>
      <c r="O114" s="329">
        <f t="shared" si="32"/>
        <v>0.37792996328720702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'[56]Sch C'!D103</f>
        <v>0</v>
      </c>
      <c r="D115" s="480">
        <f>'[56]Sch C'!F103</f>
        <v>0</v>
      </c>
      <c r="E115" s="480">
        <f>+'[56]Sch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48361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48361</v>
      </c>
      <c r="G116" s="166">
        <f t="shared" si="34"/>
        <v>0</v>
      </c>
      <c r="H116" s="166">
        <f t="shared" si="34"/>
        <v>0</v>
      </c>
      <c r="I116" s="166">
        <f t="shared" si="34"/>
        <v>48361</v>
      </c>
      <c r="J116" s="167">
        <f t="shared" si="31"/>
        <v>1.4006829317657054E-2</v>
      </c>
      <c r="K116" s="458"/>
      <c r="L116" s="163"/>
      <c r="M116" s="163"/>
      <c r="O116" s="329">
        <f>I116/I$233</f>
        <v>3.4143603501835638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'[56]Sch C'!D115</f>
        <v>0</v>
      </c>
      <c r="D119" s="480">
        <f>'[56]Sch C'!F115</f>
        <v>0</v>
      </c>
      <c r="E119" s="480">
        <f>+'[56]Sch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'[56]Sch C'!D116</f>
        <v>0</v>
      </c>
      <c r="D120" s="480">
        <f>'[56]Sch C'!F116</f>
        <v>0</v>
      </c>
      <c r="E120" s="480">
        <f>+'[56]Sch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'[56]Sch C'!D117</f>
        <v>6860</v>
      </c>
      <c r="D121" s="480">
        <f>'[56]Sch C'!F117</f>
        <v>0</v>
      </c>
      <c r="E121" s="480">
        <f>+'[56]Sch C'!H117</f>
        <v>0</v>
      </c>
      <c r="F121" s="166">
        <f t="shared" si="35"/>
        <v>6860</v>
      </c>
      <c r="G121" s="626"/>
      <c r="H121" s="166"/>
      <c r="I121" s="166">
        <f t="shared" si="36"/>
        <v>6860</v>
      </c>
      <c r="J121" s="167">
        <f t="shared" si="37"/>
        <v>1.9868664651088146E-3</v>
      </c>
      <c r="K121" s="458"/>
      <c r="L121" s="163"/>
      <c r="M121" s="163"/>
      <c r="O121" s="329">
        <f t="shared" si="38"/>
        <v>0.48432646145156738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'[56]Sch C'!D118</f>
        <v>65774</v>
      </c>
      <c r="D122" s="480">
        <f>'[56]Sch C'!F118</f>
        <v>0</v>
      </c>
      <c r="E122" s="480">
        <f>+'[56]Sch C'!H118</f>
        <v>0</v>
      </c>
      <c r="F122" s="166">
        <f t="shared" si="35"/>
        <v>65774</v>
      </c>
      <c r="G122" s="626"/>
      <c r="H122" s="166"/>
      <c r="I122" s="166">
        <f t="shared" si="36"/>
        <v>65774</v>
      </c>
      <c r="J122" s="167">
        <f t="shared" si="37"/>
        <v>1.905016834928093E-2</v>
      </c>
      <c r="K122" s="458"/>
      <c r="L122" s="163"/>
      <c r="M122" s="163"/>
      <c r="O122" s="329">
        <f t="shared" si="38"/>
        <v>4.6437447048856253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'[56]Sch C'!D119</f>
        <v>159</v>
      </c>
      <c r="D123" s="480">
        <f>'[56]Sch C'!F119</f>
        <v>0</v>
      </c>
      <c r="E123" s="480">
        <f>+'[56]Sch C'!H119</f>
        <v>0</v>
      </c>
      <c r="F123" s="166">
        <f t="shared" si="35"/>
        <v>159</v>
      </c>
      <c r="G123" s="626"/>
      <c r="H123" s="166"/>
      <c r="I123" s="166">
        <f t="shared" si="36"/>
        <v>159</v>
      </c>
      <c r="J123" s="167">
        <f t="shared" si="37"/>
        <v>4.6051278127157661E-5</v>
      </c>
      <c r="K123" s="458"/>
      <c r="L123" s="163"/>
      <c r="M123" s="163"/>
      <c r="O123" s="329">
        <f t="shared" si="38"/>
        <v>1.1225642473877437E-2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72793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72793</v>
      </c>
      <c r="G124" s="166">
        <f t="shared" si="40"/>
        <v>0</v>
      </c>
      <c r="H124" s="166">
        <f t="shared" si="40"/>
        <v>0</v>
      </c>
      <c r="I124" s="166">
        <f t="shared" si="40"/>
        <v>72793</v>
      </c>
      <c r="J124" s="167">
        <f t="shared" si="37"/>
        <v>2.1083086092516901E-2</v>
      </c>
      <c r="K124" s="458"/>
      <c r="L124" s="163"/>
      <c r="M124" s="163"/>
      <c r="O124" s="329">
        <f t="shared" si="38"/>
        <v>5.1392968088110704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'[56]Sch C'!D124</f>
        <v>0</v>
      </c>
      <c r="D128" s="480">
        <f>'[56]Sch C'!F124</f>
        <v>0</v>
      </c>
      <c r="E128" s="480">
        <f>+'[56]Sch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'[56]Sch C'!D125</f>
        <v>149917</v>
      </c>
      <c r="D129" s="480">
        <f>'[56]Sch C'!F125</f>
        <v>0</v>
      </c>
      <c r="E129" s="480">
        <f>+'[56]Sch C'!H125</f>
        <v>0</v>
      </c>
      <c r="F129" s="166">
        <f t="shared" si="41"/>
        <v>149917</v>
      </c>
      <c r="G129" s="626"/>
      <c r="H129" s="166"/>
      <c r="I129" s="166">
        <f t="shared" si="42"/>
        <v>149917</v>
      </c>
      <c r="J129" s="167">
        <f>IF($I$213=0,0,I129/$I$213)</f>
        <v>4.3420562660308776E-2</v>
      </c>
      <c r="K129" s="458"/>
      <c r="L129" s="176">
        <v>3830</v>
      </c>
      <c r="M129" s="176">
        <v>4094</v>
      </c>
      <c r="O129" s="329">
        <f t="shared" si="43"/>
        <v>10.584368822366564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'[56]Sch C'!D126</f>
        <v>0</v>
      </c>
      <c r="D130" s="480">
        <f>'[56]Sch C'!F126</f>
        <v>0</v>
      </c>
      <c r="E130" s="480">
        <f>+'[56]Sch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'[56]Sch C'!D127</f>
        <v>0</v>
      </c>
      <c r="D131" s="480">
        <f>'[56]Sch C'!F127</f>
        <v>0</v>
      </c>
      <c r="E131" s="480">
        <f>+'[56]Sch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'[56]Sch C'!D128</f>
        <v>11550</v>
      </c>
      <c r="D132" s="480">
        <f>'[56]Sch C'!F128</f>
        <v>0</v>
      </c>
      <c r="E132" s="480">
        <f>+'[56]Sch C'!H128</f>
        <v>0</v>
      </c>
      <c r="F132" s="166">
        <f t="shared" si="41"/>
        <v>11550</v>
      </c>
      <c r="G132" s="626"/>
      <c r="H132" s="166"/>
      <c r="I132" s="166">
        <f t="shared" si="42"/>
        <v>11550</v>
      </c>
      <c r="J132" s="167">
        <f>IF($I$213=0,0,I132/$I$213)</f>
        <v>3.3452343545199432E-3</v>
      </c>
      <c r="K132" s="458"/>
      <c r="L132" s="176">
        <v>1061</v>
      </c>
      <c r="M132" s="176">
        <v>1124</v>
      </c>
      <c r="O132" s="329">
        <f t="shared" si="43"/>
        <v>0.8154476136684552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'[56]Sch C'!D130</f>
        <v>0</v>
      </c>
      <c r="D134" s="480">
        <f>'[56]Sch C'!F130</f>
        <v>0</v>
      </c>
      <c r="E134" s="480">
        <f>+'[56]Sch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'[56]Sch C'!D131</f>
        <v>34754</v>
      </c>
      <c r="D135" s="480">
        <f>'[56]Sch C'!F131</f>
        <v>0</v>
      </c>
      <c r="E135" s="480">
        <f>+'[56]Sch C'!H131</f>
        <v>0</v>
      </c>
      <c r="F135" s="166">
        <f t="shared" si="44"/>
        <v>34754</v>
      </c>
      <c r="G135" s="626"/>
      <c r="H135" s="166"/>
      <c r="I135" s="166">
        <f t="shared" si="45"/>
        <v>34754</v>
      </c>
      <c r="J135" s="167">
        <f>IF($I$213=0,0,I135/$I$213)</f>
        <v>1.0065824654284511E-2</v>
      </c>
      <c r="K135" s="458"/>
      <c r="L135" s="196"/>
      <c r="M135" s="196"/>
      <c r="O135" s="329">
        <f t="shared" si="43"/>
        <v>2.4536853996046313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'[56]Sch C'!D132</f>
        <v>0</v>
      </c>
      <c r="D136" s="480">
        <f>'[56]Sch C'!F132</f>
        <v>0</v>
      </c>
      <c r="E136" s="480">
        <f>+'[56]Sch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'[56]Sch C'!D133</f>
        <v>0</v>
      </c>
      <c r="D137" s="480">
        <f>'[56]Sch C'!F133</f>
        <v>0</v>
      </c>
      <c r="E137" s="480">
        <f>+'[56]Sch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'[56]Sch C'!D134</f>
        <v>2275</v>
      </c>
      <c r="D138" s="480">
        <f>'[56]Sch C'!F134</f>
        <v>0</v>
      </c>
      <c r="E138" s="480">
        <f>+'[56]Sch C'!H134</f>
        <v>0</v>
      </c>
      <c r="F138" s="166">
        <f t="shared" si="44"/>
        <v>2275</v>
      </c>
      <c r="G138" s="626"/>
      <c r="H138" s="166"/>
      <c r="I138" s="166">
        <f t="shared" si="45"/>
        <v>2275</v>
      </c>
      <c r="J138" s="167">
        <f>IF($I$213=0,0,I138/$I$213)</f>
        <v>6.589097971024131E-4</v>
      </c>
      <c r="K138" s="458"/>
      <c r="L138" s="163"/>
      <c r="M138" s="163"/>
      <c r="O138" s="329">
        <f t="shared" si="43"/>
        <v>0.16061846935893814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'[56]Sch C'!D136</f>
        <v>240303</v>
      </c>
      <c r="D140" s="480">
        <f>'[56]Sch C'!F136</f>
        <v>0</v>
      </c>
      <c r="E140" s="480">
        <f>+'[56]Sch C'!H136</f>
        <v>0</v>
      </c>
      <c r="F140" s="166">
        <f t="shared" ref="F140:F143" si="46">C140+D140+E140</f>
        <v>240303</v>
      </c>
      <c r="G140" s="626"/>
      <c r="H140" s="166"/>
      <c r="I140" s="166">
        <f t="shared" ref="I140:I143" si="47">F140+G140+H140</f>
        <v>240303</v>
      </c>
      <c r="J140" s="167">
        <f>IF($I$213=0,0,I140/$I$213)</f>
        <v>6.959912130685765E-2</v>
      </c>
      <c r="K140" s="458"/>
      <c r="L140" s="176">
        <v>6582</v>
      </c>
      <c r="M140" s="176">
        <v>7037</v>
      </c>
      <c r="O140" s="329">
        <f t="shared" si="43"/>
        <v>16.965758260378426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'[56]Sch C'!D137</f>
        <v>218503</v>
      </c>
      <c r="D141" s="480">
        <f>'[56]Sch C'!F137</f>
        <v>0</v>
      </c>
      <c r="E141" s="480">
        <f>+'[56]Sch C'!H137</f>
        <v>0</v>
      </c>
      <c r="F141" s="166">
        <f t="shared" si="46"/>
        <v>218503</v>
      </c>
      <c r="G141" s="626"/>
      <c r="H141" s="166"/>
      <c r="I141" s="166">
        <f t="shared" si="47"/>
        <v>218503</v>
      </c>
      <c r="J141" s="167">
        <f>IF($I$213=0,0,I141/$I$213)</f>
        <v>6.328517248187629E-2</v>
      </c>
      <c r="K141" s="458"/>
      <c r="L141" s="176">
        <v>11547</v>
      </c>
      <c r="M141" s="176">
        <v>12312</v>
      </c>
      <c r="O141" s="329">
        <f t="shared" si="43"/>
        <v>15.426645015532335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'[56]Sch C'!D138</f>
        <v>268760</v>
      </c>
      <c r="D142" s="480">
        <f>'[56]Sch C'!F138</f>
        <v>88</v>
      </c>
      <c r="E142" s="480">
        <f>+'[56]Sch C'!H138</f>
        <v>0</v>
      </c>
      <c r="F142" s="166">
        <f t="shared" si="46"/>
        <v>268848</v>
      </c>
      <c r="G142" s="626"/>
      <c r="H142" s="166"/>
      <c r="I142" s="166">
        <f t="shared" si="47"/>
        <v>268848</v>
      </c>
      <c r="J142" s="167">
        <f>IF($I$213=0,0,I142/$I$213)</f>
        <v>7.7866629068742657E-2</v>
      </c>
      <c r="K142" s="458"/>
      <c r="L142" s="176">
        <v>23734</v>
      </c>
      <c r="M142" s="176">
        <v>25217</v>
      </c>
      <c r="O142" s="329">
        <f t="shared" si="43"/>
        <v>18.981078791301893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'[56]Sch C'!D139</f>
        <v>88</v>
      </c>
      <c r="D143" s="480">
        <f>'[56]Sch C'!F139</f>
        <v>-88</v>
      </c>
      <c r="E143" s="480">
        <f>+'[56]Sch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'[56]Sch C'!D141</f>
        <v>189885</v>
      </c>
      <c r="D145" s="480">
        <f>'[56]Sch C'!F141</f>
        <v>-127177</v>
      </c>
      <c r="E145" s="480">
        <f>+'[56]Sch C'!H141</f>
        <v>0</v>
      </c>
      <c r="F145" s="166">
        <f t="shared" ref="F145:F148" si="48">C145+D145+E145</f>
        <v>62708</v>
      </c>
      <c r="G145" s="626"/>
      <c r="H145" s="166"/>
      <c r="I145" s="166">
        <f t="shared" ref="I145:I148" si="49">F145+G145+H145</f>
        <v>62708</v>
      </c>
      <c r="J145" s="167">
        <f>IF($I$213=0,0,I145/$I$213)</f>
        <v>1.816216068426291E-2</v>
      </c>
      <c r="K145" s="458"/>
      <c r="L145" s="163"/>
      <c r="M145" s="163"/>
      <c r="O145" s="329">
        <f t="shared" si="43"/>
        <v>4.4272804292572721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'[56]Sch C'!D142</f>
        <v>0</v>
      </c>
      <c r="D146" s="480">
        <f>'[56]Sch C'!F142</f>
        <v>57019</v>
      </c>
      <c r="E146" s="480">
        <f>+'[56]Sch C'!H142</f>
        <v>0</v>
      </c>
      <c r="F146" s="166">
        <f t="shared" si="48"/>
        <v>57019</v>
      </c>
      <c r="G146" s="626"/>
      <c r="H146" s="166"/>
      <c r="I146" s="166">
        <f t="shared" si="49"/>
        <v>57019</v>
      </c>
      <c r="J146" s="167">
        <f>IF($I$213=0,0,I146/$I$213)</f>
        <v>1.6514451745486807E-2</v>
      </c>
      <c r="K146" s="458"/>
      <c r="L146" s="163"/>
      <c r="M146" s="163"/>
      <c r="O146" s="329">
        <f t="shared" si="43"/>
        <v>4.0256283535724373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'[56]Sch C'!D143</f>
        <v>0</v>
      </c>
      <c r="D147" s="480">
        <f>'[56]Sch C'!F143</f>
        <v>70157</v>
      </c>
      <c r="E147" s="480">
        <f>+'[56]Sch C'!H143</f>
        <v>0</v>
      </c>
      <c r="F147" s="166">
        <f t="shared" si="48"/>
        <v>70157</v>
      </c>
      <c r="G147" s="626"/>
      <c r="H147" s="166"/>
      <c r="I147" s="166">
        <f t="shared" si="49"/>
        <v>70157</v>
      </c>
      <c r="J147" s="167">
        <f>IF($I$213=0,0,I147/$I$213)</f>
        <v>2.0319619619918239E-2</v>
      </c>
      <c r="K147" s="458"/>
      <c r="L147" s="163"/>
      <c r="M147" s="163"/>
      <c r="O147" s="329">
        <f t="shared" si="43"/>
        <v>4.9531911889296811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'[56]Sch C'!D144</f>
        <v>0</v>
      </c>
      <c r="D148" s="480">
        <f>'[56]Sch C'!F144</f>
        <v>0</v>
      </c>
      <c r="E148" s="480">
        <f>+'[56]Sch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'[56]Sch C'!D146</f>
        <v>26250</v>
      </c>
      <c r="D150" s="480">
        <f>'[56]Sch C'!F146</f>
        <v>0</v>
      </c>
      <c r="E150" s="480">
        <f>+'[56]Sch C'!H146</f>
        <v>0</v>
      </c>
      <c r="F150" s="166">
        <f t="shared" ref="F150:F158" si="50">C150+D150+E150</f>
        <v>26250</v>
      </c>
      <c r="G150" s="626"/>
      <c r="H150" s="166"/>
      <c r="I150" s="166">
        <f t="shared" ref="I150:I158" si="51">F150+G150+H150</f>
        <v>26250</v>
      </c>
      <c r="J150" s="167">
        <f t="shared" ref="J150:J158" si="52">IF($I$213=0,0,I150/$I$213)</f>
        <v>7.6028053511816894E-3</v>
      </c>
      <c r="K150" s="458"/>
      <c r="L150" s="176">
        <v>176</v>
      </c>
      <c r="M150" s="176">
        <v>176</v>
      </c>
      <c r="O150" s="329">
        <f t="shared" si="43"/>
        <v>1.8532900310646709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'[56]Sch C'!D147</f>
        <v>0</v>
      </c>
      <c r="D151" s="480">
        <f>'[56]Sch C'!F147</f>
        <v>0</v>
      </c>
      <c r="E151" s="480">
        <f>+'[56]Sch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'[56]Sch C'!D148</f>
        <v>0</v>
      </c>
      <c r="D152" s="480">
        <f>'[56]Sch C'!F148</f>
        <v>0</v>
      </c>
      <c r="E152" s="480">
        <f>+'[56]Sch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'[56]Sch C'!D149</f>
        <v>116411</v>
      </c>
      <c r="D153" s="480">
        <f>'[56]Sch C'!F149</f>
        <v>0</v>
      </c>
      <c r="E153" s="480">
        <f>+'[56]Sch C'!H149</f>
        <v>0</v>
      </c>
      <c r="F153" s="166">
        <f t="shared" si="50"/>
        <v>116411</v>
      </c>
      <c r="G153" s="626"/>
      <c r="H153" s="166"/>
      <c r="I153" s="166">
        <f t="shared" si="51"/>
        <v>116411</v>
      </c>
      <c r="J153" s="167">
        <f t="shared" si="52"/>
        <v>3.3716197094720443E-2</v>
      </c>
      <c r="K153" s="458"/>
      <c r="L153" s="176">
        <v>4805</v>
      </c>
      <c r="M153" s="176">
        <v>4805</v>
      </c>
      <c r="O153" s="329">
        <f t="shared" si="43"/>
        <v>8.2187941259531208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'[56]Sch C'!D150</f>
        <v>1282</v>
      </c>
      <c r="D154" s="480">
        <f>'[56]Sch C'!F150</f>
        <v>0</v>
      </c>
      <c r="E154" s="480">
        <f>+'[56]Sch C'!H150</f>
        <v>0</v>
      </c>
      <c r="F154" s="166">
        <f t="shared" si="50"/>
        <v>1282</v>
      </c>
      <c r="G154" s="626"/>
      <c r="H154" s="166"/>
      <c r="I154" s="166">
        <f t="shared" si="51"/>
        <v>1282</v>
      </c>
      <c r="J154" s="167">
        <f t="shared" si="52"/>
        <v>3.7130653181771146E-4</v>
      </c>
      <c r="K154" s="458"/>
      <c r="L154" s="176">
        <v>0</v>
      </c>
      <c r="M154" s="176">
        <v>0</v>
      </c>
      <c r="O154" s="329">
        <f t="shared" si="43"/>
        <v>9.0511155040948879E-2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'[56]Sch C'!D151</f>
        <v>63251</v>
      </c>
      <c r="D155" s="480">
        <f>'[56]Sch C'!F151</f>
        <v>0</v>
      </c>
      <c r="E155" s="480">
        <f>+'[56]Sch C'!H151</f>
        <v>0</v>
      </c>
      <c r="F155" s="166">
        <f t="shared" si="50"/>
        <v>63251</v>
      </c>
      <c r="G155" s="626"/>
      <c r="H155" s="166"/>
      <c r="I155" s="166">
        <f t="shared" si="51"/>
        <v>63251</v>
      </c>
      <c r="J155" s="167">
        <f t="shared" si="52"/>
        <v>1.8319430143527354E-2</v>
      </c>
      <c r="K155" s="458"/>
      <c r="L155" s="163"/>
      <c r="M155" s="163"/>
      <c r="O155" s="329">
        <f t="shared" si="43"/>
        <v>4.4656170573284379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'[56]Sch C'!D152</f>
        <v>6208</v>
      </c>
      <c r="D156" s="480">
        <f>'[56]Sch C'!F152</f>
        <v>0</v>
      </c>
      <c r="E156" s="480">
        <f>+'[56]Sch C'!H152</f>
        <v>0</v>
      </c>
      <c r="F156" s="166">
        <f t="shared" si="50"/>
        <v>6208</v>
      </c>
      <c r="G156" s="626"/>
      <c r="H156" s="166"/>
      <c r="I156" s="166">
        <f t="shared" si="51"/>
        <v>6208</v>
      </c>
      <c r="J156" s="167">
        <f t="shared" si="52"/>
        <v>1.7980272617194638E-3</v>
      </c>
      <c r="K156" s="458"/>
      <c r="L156" s="163"/>
      <c r="M156" s="163"/>
      <c r="O156" s="329">
        <f t="shared" si="43"/>
        <v>0.43829426715617059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'[56]Sch C'!D153</f>
        <v>0</v>
      </c>
      <c r="D157" s="480">
        <f>'[56]Sch C'!F153</f>
        <v>0</v>
      </c>
      <c r="E157" s="480">
        <f>+'[56]Sch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'[56]Sch C'!D154</f>
        <v>0</v>
      </c>
      <c r="D158" s="480">
        <f>'[56]Sch C'!F154</f>
        <v>0</v>
      </c>
      <c r="E158" s="480">
        <f>+'[56]Sch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'[56]Sch C'!D156</f>
        <v>0</v>
      </c>
      <c r="D160" s="480">
        <f>'[56]Sch C'!F156</f>
        <v>0</v>
      </c>
      <c r="E160" s="480">
        <f>+'[56]Sch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'[56]Sch C'!D157</f>
        <v>0</v>
      </c>
      <c r="D161" s="480">
        <f>'[56]Sch C'!F157</f>
        <v>0</v>
      </c>
      <c r="E161" s="480">
        <f>+'[56]Sch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'[56]Sch C'!D158</f>
        <v>0</v>
      </c>
      <c r="D162" s="480">
        <f>'[56]Sch C'!F158</f>
        <v>0</v>
      </c>
      <c r="E162" s="480">
        <f>+'[56]Sch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'[56]Sch C'!D159</f>
        <v>0</v>
      </c>
      <c r="D163" s="480">
        <f>'[56]Sch C'!F159</f>
        <v>0</v>
      </c>
      <c r="E163" s="480">
        <f>+'[56]Sch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'[56]Sch C'!D160</f>
        <v>0</v>
      </c>
      <c r="D164" s="480">
        <f>'[56]Sch C'!F160</f>
        <v>0</v>
      </c>
      <c r="E164" s="480">
        <f>+'[56]Sch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'[56]Sch C'!D161</f>
        <v>7351</v>
      </c>
      <c r="D165" s="480">
        <f>'[56]Sch C'!F161</f>
        <v>0</v>
      </c>
      <c r="E165" s="480">
        <f>+'[56]Sch C'!H161</f>
        <v>0</v>
      </c>
      <c r="F165" s="166">
        <f t="shared" si="53"/>
        <v>7351</v>
      </c>
      <c r="G165" s="626"/>
      <c r="H165" s="166"/>
      <c r="I165" s="166">
        <f t="shared" si="54"/>
        <v>7351</v>
      </c>
      <c r="J165" s="167">
        <f t="shared" si="55"/>
        <v>2.1290751290109181E-3</v>
      </c>
      <c r="K165" s="458"/>
      <c r="L165" s="163"/>
      <c r="M165" s="163"/>
      <c r="O165" s="329">
        <f t="shared" si="43"/>
        <v>0.51899181022310081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1336788</v>
      </c>
      <c r="D166" s="480">
        <f t="shared" si="56"/>
        <v>-1</v>
      </c>
      <c r="E166" s="480">
        <f t="shared" si="56"/>
        <v>0</v>
      </c>
      <c r="F166" s="166">
        <f t="shared" ref="F166:I166" si="57">SUM(F128:F165)</f>
        <v>1336787</v>
      </c>
      <c r="G166" s="166">
        <f t="shared" si="57"/>
        <v>0</v>
      </c>
      <c r="H166" s="166">
        <f t="shared" si="57"/>
        <v>0</v>
      </c>
      <c r="I166" s="166">
        <f t="shared" si="57"/>
        <v>1336787</v>
      </c>
      <c r="J166" s="167">
        <f t="shared" si="55"/>
        <v>0.38717452788533779</v>
      </c>
      <c r="K166" s="458"/>
      <c r="L166" s="163"/>
      <c r="M166" s="163"/>
      <c r="O166" s="329">
        <f>I166/I$233</f>
        <v>94.379200790737073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'[56]Sch C'!D175</f>
        <v>0</v>
      </c>
      <c r="D169" s="480">
        <f>'[56]Sch C'!F175</f>
        <v>0</v>
      </c>
      <c r="E169" s="480">
        <f>+'[56]Sch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'[56]Sch C'!D176</f>
        <v>0</v>
      </c>
      <c r="D170" s="480">
        <f>'[56]Sch C'!F176</f>
        <v>0</v>
      </c>
      <c r="E170" s="480">
        <f>+'[56]Sch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'[56]Sch C'!D177</f>
        <v>0</v>
      </c>
      <c r="D171" s="480">
        <f>'[56]Sch C'!F177</f>
        <v>0</v>
      </c>
      <c r="E171" s="480">
        <f>+'[56]Sch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'[56]Sch C'!D178</f>
        <v>0</v>
      </c>
      <c r="D172" s="480">
        <f>'[56]Sch C'!F178</f>
        <v>0</v>
      </c>
      <c r="E172" s="480">
        <f>+'[56]Sch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'[56]Sch C'!D179</f>
        <v>0</v>
      </c>
      <c r="D173" s="480">
        <f>'[56]Sch C'!F179</f>
        <v>0</v>
      </c>
      <c r="E173" s="480">
        <f>+'[56]Sch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'[56]Sch C'!D180</f>
        <v>0</v>
      </c>
      <c r="D174" s="480">
        <f>'[56]Sch C'!F180</f>
        <v>0</v>
      </c>
      <c r="E174" s="480">
        <f>+'[56]Sch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'[56]Sch C'!D181</f>
        <v>0</v>
      </c>
      <c r="D175" s="480">
        <f>'[56]Sch C'!F181</f>
        <v>0</v>
      </c>
      <c r="E175" s="480">
        <f>+'[56]Sch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'[56]Sch C'!D182</f>
        <v>0</v>
      </c>
      <c r="D176" s="480">
        <f>'[56]Sch C'!F182</f>
        <v>0</v>
      </c>
      <c r="E176" s="480">
        <f>+'[56]Sch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'[56]Sch C'!D183</f>
        <v>0</v>
      </c>
      <c r="D177" s="480">
        <f>'[56]Sch C'!F183</f>
        <v>0</v>
      </c>
      <c r="E177" s="480">
        <f>+'[56]Sch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'[56]Sch C'!D184</f>
        <v>0</v>
      </c>
      <c r="D178" s="480">
        <f>'[56]Sch C'!F184</f>
        <v>0</v>
      </c>
      <c r="E178" s="480">
        <f>+'[56]Sch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'[56]Sch C'!D185</f>
        <v>0</v>
      </c>
      <c r="D179" s="480">
        <f>'[56]Sch C'!F185</f>
        <v>0</v>
      </c>
      <c r="E179" s="480">
        <f>+'[56]Sch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'[56]Sch C'!D186</f>
        <v>0</v>
      </c>
      <c r="D180" s="480">
        <f>'[56]Sch C'!F186</f>
        <v>0</v>
      </c>
      <c r="E180" s="480">
        <f>+'[56]Sch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'[56]Sch C'!D187</f>
        <v>0</v>
      </c>
      <c r="D181" s="480">
        <f>'[56]Sch C'!F187</f>
        <v>0</v>
      </c>
      <c r="E181" s="480">
        <f>+'[56]Sch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'[56]Sch C'!D188</f>
        <v>523</v>
      </c>
      <c r="D182" s="480">
        <f>'[56]Sch C'!F188</f>
        <v>0</v>
      </c>
      <c r="E182" s="480">
        <f>+'[56]Sch C'!H188</f>
        <v>0</v>
      </c>
      <c r="F182" s="166">
        <f t="shared" si="58"/>
        <v>523</v>
      </c>
      <c r="G182" s="626"/>
      <c r="H182" s="166"/>
      <c r="I182" s="166">
        <f t="shared" si="59"/>
        <v>523</v>
      </c>
      <c r="J182" s="167">
        <f t="shared" si="60"/>
        <v>1.5147684566354375E-4</v>
      </c>
      <c r="K182" s="458"/>
      <c r="L182" s="213"/>
      <c r="M182" s="208"/>
      <c r="N182" s="210"/>
      <c r="O182" s="329">
        <f t="shared" si="61"/>
        <v>3.6924597571307539E-2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'[56]Sch C'!D189</f>
        <v>0</v>
      </c>
      <c r="D183" s="480">
        <f>'[56]Sch C'!F189</f>
        <v>0</v>
      </c>
      <c r="E183" s="480">
        <f>+'[56]Sch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'[56]Sch C'!D190</f>
        <v>0</v>
      </c>
      <c r="D184" s="480">
        <f>'[56]Sch C'!F190</f>
        <v>0</v>
      </c>
      <c r="E184" s="480">
        <f>+'[56]Sch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'[56]Sch C'!D191</f>
        <v>0</v>
      </c>
      <c r="D185" s="480">
        <f>'[56]Sch C'!F191</f>
        <v>0</v>
      </c>
      <c r="E185" s="480">
        <f>+'[56]Sch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'[56]Sch C'!D192</f>
        <v>0</v>
      </c>
      <c r="D186" s="480">
        <f>'[56]Sch C'!F192</f>
        <v>0</v>
      </c>
      <c r="E186" s="480">
        <f>+'[56]Sch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'[56]Sch C'!D193</f>
        <v>814</v>
      </c>
      <c r="D187" s="480">
        <f>'[56]Sch C'!F193</f>
        <v>0</v>
      </c>
      <c r="E187" s="480">
        <f>+'[56]Sch C'!H193</f>
        <v>0</v>
      </c>
      <c r="F187" s="166">
        <f t="shared" si="58"/>
        <v>814</v>
      </c>
      <c r="G187" s="626"/>
      <c r="H187" s="166"/>
      <c r="I187" s="166">
        <f t="shared" si="59"/>
        <v>814</v>
      </c>
      <c r="J187" s="167">
        <f t="shared" si="60"/>
        <v>2.3575937355664362E-4</v>
      </c>
      <c r="K187" s="458"/>
      <c r="L187" s="213"/>
      <c r="M187" s="208"/>
      <c r="N187" s="210"/>
      <c r="O187" s="329">
        <f t="shared" si="61"/>
        <v>5.7469641344253038E-2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'[56]Sch C'!D194</f>
        <v>154790</v>
      </c>
      <c r="D188" s="480">
        <f>'[56]Sch C'!F194</f>
        <v>0</v>
      </c>
      <c r="E188" s="480">
        <f>+'[56]Sch C'!H194</f>
        <v>2709</v>
      </c>
      <c r="F188" s="166">
        <f t="shared" si="58"/>
        <v>157499</v>
      </c>
      <c r="G188" s="626"/>
      <c r="H188" s="166"/>
      <c r="I188" s="166">
        <f t="shared" si="59"/>
        <v>157499</v>
      </c>
      <c r="J188" s="167">
        <f t="shared" si="60"/>
        <v>4.5616542476410088E-2</v>
      </c>
      <c r="K188" s="458"/>
      <c r="L188" s="213"/>
      <c r="M188" s="208"/>
      <c r="O188" s="329">
        <f t="shared" si="61"/>
        <v>11.119669584863033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'[56]Sch C'!D195</f>
        <v>10403</v>
      </c>
      <c r="D189" s="480">
        <f>'[56]Sch C'!F195</f>
        <v>0</v>
      </c>
      <c r="E189" s="480">
        <f>+'[56]Sch C'!H195</f>
        <v>182</v>
      </c>
      <c r="F189" s="166">
        <f t="shared" si="58"/>
        <v>10585</v>
      </c>
      <c r="G189" s="626"/>
      <c r="H189" s="166"/>
      <c r="I189" s="166">
        <f t="shared" si="59"/>
        <v>10585</v>
      </c>
      <c r="J189" s="167">
        <f t="shared" si="60"/>
        <v>3.0657407482765019E-3</v>
      </c>
      <c r="K189" s="458"/>
      <c r="L189" s="213"/>
      <c r="M189" s="208"/>
      <c r="O189" s="329">
        <f t="shared" si="61"/>
        <v>0.74731714205026833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'[56]Sch C'!D196</f>
        <v>0</v>
      </c>
      <c r="D190" s="480">
        <f>'[56]Sch C'!F196</f>
        <v>0</v>
      </c>
      <c r="E190" s="480">
        <f>+'[56]Sch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'[56]Sch C'!D197</f>
        <v>92515</v>
      </c>
      <c r="D191" s="480">
        <f>'[56]Sch C'!F197</f>
        <v>0</v>
      </c>
      <c r="E191" s="480">
        <f>+'[56]Sch C'!H197</f>
        <v>1619</v>
      </c>
      <c r="F191" s="166">
        <f t="shared" si="58"/>
        <v>94134</v>
      </c>
      <c r="G191" s="626"/>
      <c r="H191" s="166"/>
      <c r="I191" s="166">
        <f t="shared" si="59"/>
        <v>94134</v>
      </c>
      <c r="J191" s="167">
        <f t="shared" si="60"/>
        <v>2.7264094435357603E-2</v>
      </c>
      <c r="K191" s="458"/>
      <c r="L191" s="213"/>
      <c r="M191" s="208"/>
      <c r="O191" s="329">
        <f t="shared" si="61"/>
        <v>6.6460039536853994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'[56]Sch C'!D198</f>
        <v>11311</v>
      </c>
      <c r="D192" s="480">
        <f>'[56]Sch C'!F198</f>
        <v>0</v>
      </c>
      <c r="E192" s="480">
        <f>+'[56]Sch C'!H198</f>
        <v>0</v>
      </c>
      <c r="F192" s="166">
        <f t="shared" si="58"/>
        <v>11311</v>
      </c>
      <c r="G192" s="626"/>
      <c r="H192" s="166"/>
      <c r="I192" s="166">
        <f t="shared" si="59"/>
        <v>11311</v>
      </c>
      <c r="J192" s="167">
        <f t="shared" si="60"/>
        <v>3.2760126219891841E-3</v>
      </c>
      <c r="K192" s="458"/>
      <c r="L192" s="213"/>
      <c r="M192" s="208"/>
      <c r="O192" s="329">
        <f t="shared" si="61"/>
        <v>0.79857384919514263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'[56]Sch C'!D199</f>
        <v>0</v>
      </c>
      <c r="D193" s="480">
        <f>'[56]Sch C'!F199</f>
        <v>0</v>
      </c>
      <c r="E193" s="480">
        <f>+'[56]Sch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'[56]Sch C'!D200</f>
        <v>0</v>
      </c>
      <c r="D194" s="480">
        <f>'[56]Sch C'!F200</f>
        <v>0</v>
      </c>
      <c r="E194" s="480">
        <f>+'[56]Sch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'[56]Sch C'!D201</f>
        <v>0</v>
      </c>
      <c r="D195" s="480">
        <f>'[56]Sch C'!F201</f>
        <v>0</v>
      </c>
      <c r="E195" s="480">
        <f>+'[56]Sch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'[56]Sch C'!D202</f>
        <v>0</v>
      </c>
      <c r="D196" s="480">
        <f>'[56]Sch C'!F202</f>
        <v>0</v>
      </c>
      <c r="E196" s="480">
        <f>+'[56]Sch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'[56]Sch C'!D203</f>
        <v>0</v>
      </c>
      <c r="D197" s="480">
        <f>'[56]Sch C'!F203</f>
        <v>0</v>
      </c>
      <c r="E197" s="480">
        <f>+'[56]Sch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'[56]Sch C'!D204</f>
        <v>0</v>
      </c>
      <c r="D198" s="480">
        <f>'[56]Sch C'!F204</f>
        <v>0</v>
      </c>
      <c r="E198" s="480">
        <f>+'[56]Sch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'[56]Sch C'!D205</f>
        <v>86217</v>
      </c>
      <c r="D199" s="480">
        <f>'[56]Sch C'!F205</f>
        <v>0</v>
      </c>
      <c r="E199" s="480">
        <f>+'[56]Sch C'!H205</f>
        <v>0</v>
      </c>
      <c r="F199" s="166">
        <f t="shared" si="58"/>
        <v>86217</v>
      </c>
      <c r="G199" s="626"/>
      <c r="H199" s="166"/>
      <c r="I199" s="166">
        <f t="shared" si="59"/>
        <v>86217</v>
      </c>
      <c r="J199" s="167">
        <f t="shared" si="60"/>
        <v>2.4971088341441208E-2</v>
      </c>
      <c r="K199" s="458"/>
      <c r="L199" s="213"/>
      <c r="M199" s="208"/>
      <c r="O199" s="329">
        <f t="shared" si="61"/>
        <v>6.0870516803162946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'[56]Sch C'!D206</f>
        <v>3959</v>
      </c>
      <c r="D200" s="480">
        <f>'[56]Sch C'!F206</f>
        <v>0</v>
      </c>
      <c r="E200" s="480">
        <f>+'[56]Sch C'!H206</f>
        <v>0</v>
      </c>
      <c r="F200" s="166">
        <f t="shared" si="58"/>
        <v>3959</v>
      </c>
      <c r="G200" s="626"/>
      <c r="H200" s="166"/>
      <c r="I200" s="166">
        <f t="shared" si="59"/>
        <v>3959</v>
      </c>
      <c r="J200" s="167">
        <f t="shared" si="60"/>
        <v>1.1466478622982213E-3</v>
      </c>
      <c r="K200" s="458"/>
      <c r="L200" s="213"/>
      <c r="M200" s="208"/>
      <c r="O200" s="329">
        <f t="shared" si="61"/>
        <v>0.27951143744704887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'[56]Sch C'!D207</f>
        <v>2007</v>
      </c>
      <c r="D201" s="480">
        <f>'[56]Sch C'!F207</f>
        <v>0</v>
      </c>
      <c r="E201" s="480">
        <f>+'[56]Sch C'!H207</f>
        <v>0</v>
      </c>
      <c r="F201" s="166">
        <f t="shared" si="58"/>
        <v>2007</v>
      </c>
      <c r="G201" s="626"/>
      <c r="H201" s="166"/>
      <c r="I201" s="166">
        <f t="shared" si="59"/>
        <v>2007</v>
      </c>
      <c r="J201" s="167">
        <f t="shared" si="60"/>
        <v>5.8128877485034861E-4</v>
      </c>
      <c r="K201" s="458"/>
      <c r="L201" s="213"/>
      <c r="M201" s="208"/>
      <c r="O201" s="329">
        <f t="shared" si="61"/>
        <v>0.14169726066083027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362539</v>
      </c>
      <c r="D202" s="480">
        <f t="shared" si="62"/>
        <v>0</v>
      </c>
      <c r="E202" s="480">
        <f t="shared" si="62"/>
        <v>4510</v>
      </c>
      <c r="F202" s="166">
        <f t="shared" ref="F202:I202" si="63">SUM(F169:F201)</f>
        <v>367049</v>
      </c>
      <c r="G202" s="166">
        <f t="shared" si="63"/>
        <v>0</v>
      </c>
      <c r="H202" s="166">
        <f t="shared" si="63"/>
        <v>0</v>
      </c>
      <c r="I202" s="166">
        <f t="shared" si="63"/>
        <v>367049</v>
      </c>
      <c r="J202" s="167">
        <f>IF($I$213=0,0,I202/$I$213)</f>
        <v>0.10630865147984335</v>
      </c>
      <c r="K202" s="458"/>
      <c r="L202" s="163"/>
      <c r="M202" s="163"/>
      <c r="O202" s="329">
        <f>I202/I$233</f>
        <v>25.914219147133579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'[56]Sch C'!D211</f>
        <v>76830</v>
      </c>
      <c r="D205" s="480">
        <f>'[56]Sch C'!F211</f>
        <v>0</v>
      </c>
      <c r="E205" s="480">
        <f>+'[56]Sch C'!H211</f>
        <v>0</v>
      </c>
      <c r="F205" s="166">
        <f t="shared" ref="F205:F210" si="64">C205+D205+E205</f>
        <v>76830</v>
      </c>
      <c r="G205" s="626"/>
      <c r="H205" s="166"/>
      <c r="I205" s="166">
        <f t="shared" ref="I205:I210" si="65">F205+G205+H205</f>
        <v>76830</v>
      </c>
      <c r="J205" s="167">
        <f t="shared" ref="J205:J211" si="66">IF($I$213=0,0,I205/$I$213)</f>
        <v>2.2252325147858635E-2</v>
      </c>
      <c r="K205" s="458"/>
      <c r="L205" s="176">
        <v>4789</v>
      </c>
      <c r="M205" s="176">
        <v>5204</v>
      </c>
      <c r="O205" s="329">
        <f t="shared" ref="O205:O210" si="67">I205/I$233</f>
        <v>5.4243151652075685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'[56]Sch C'!D212</f>
        <v>27067</v>
      </c>
      <c r="D206" s="480">
        <f>'[56]Sch C'!F212</f>
        <v>0</v>
      </c>
      <c r="E206" s="480">
        <f>+'[56]Sch C'!H212</f>
        <v>0</v>
      </c>
      <c r="F206" s="166">
        <f t="shared" si="64"/>
        <v>27067</v>
      </c>
      <c r="G206" s="626"/>
      <c r="H206" s="166"/>
      <c r="I206" s="166">
        <f t="shared" si="65"/>
        <v>27067</v>
      </c>
      <c r="J206" s="167">
        <f t="shared" si="66"/>
        <v>7.8394336167784684E-3</v>
      </c>
      <c r="K206" s="458"/>
      <c r="L206" s="163"/>
      <c r="M206" s="163"/>
      <c r="O206" s="329">
        <f t="shared" si="67"/>
        <v>1.9109714769839028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'[56]Sch C'!D213</f>
        <v>3072</v>
      </c>
      <c r="D207" s="480">
        <f>'[56]Sch C'!F213</f>
        <v>0</v>
      </c>
      <c r="E207" s="480">
        <f>+'[56]Sch C'!H213</f>
        <v>0</v>
      </c>
      <c r="F207" s="166">
        <f t="shared" si="64"/>
        <v>3072</v>
      </c>
      <c r="G207" s="626"/>
      <c r="H207" s="166"/>
      <c r="I207" s="166">
        <f t="shared" si="65"/>
        <v>3072</v>
      </c>
      <c r="J207" s="167">
        <f t="shared" si="66"/>
        <v>8.8974544909829138E-4</v>
      </c>
      <c r="K207" s="458"/>
      <c r="L207" s="163"/>
      <c r="M207" s="163"/>
      <c r="O207" s="329">
        <f t="shared" si="67"/>
        <v>0.21688788477831122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'[56]Sch C'!D214</f>
        <v>0</v>
      </c>
      <c r="D208" s="480">
        <f>'[56]Sch C'!F214</f>
        <v>0</v>
      </c>
      <c r="E208" s="480">
        <f>+'[56]Sch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'[56]Sch C'!D215</f>
        <v>0</v>
      </c>
      <c r="D209" s="480">
        <f>'[56]Sch C'!F215</f>
        <v>0</v>
      </c>
      <c r="E209" s="480">
        <f>+'[56]Sch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'[56]Sch C'!D216</f>
        <v>1399</v>
      </c>
      <c r="D210" s="480">
        <f>'[56]Sch C'!F216</f>
        <v>0</v>
      </c>
      <c r="E210" s="480">
        <f>+'[56]Sch C'!H216</f>
        <v>0</v>
      </c>
      <c r="F210" s="166">
        <f t="shared" si="64"/>
        <v>1399</v>
      </c>
      <c r="G210" s="626"/>
      <c r="H210" s="166"/>
      <c r="I210" s="166">
        <f t="shared" si="65"/>
        <v>1399</v>
      </c>
      <c r="J210" s="167">
        <f t="shared" si="66"/>
        <v>4.0519332138297842E-4</v>
      </c>
      <c r="K210" s="458"/>
      <c r="L210" s="163"/>
      <c r="M210" s="163"/>
      <c r="O210" s="329">
        <f t="shared" si="67"/>
        <v>9.8771533465122852E-2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108368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108368</v>
      </c>
      <c r="G211" s="166">
        <f t="shared" si="69"/>
        <v>0</v>
      </c>
      <c r="H211" s="166">
        <f t="shared" si="69"/>
        <v>0</v>
      </c>
      <c r="I211" s="166">
        <f t="shared" si="69"/>
        <v>108368</v>
      </c>
      <c r="J211" s="167">
        <f t="shared" si="66"/>
        <v>3.1386697535118371E-2</v>
      </c>
      <c r="K211" s="458"/>
      <c r="L211" s="163"/>
      <c r="M211" s="163"/>
      <c r="O211" s="329">
        <f>I211/I$233</f>
        <v>7.6509460604349053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3529960</v>
      </c>
      <c r="D213" s="480">
        <f t="shared" si="70"/>
        <v>-79871</v>
      </c>
      <c r="E213" s="480">
        <f t="shared" si="70"/>
        <v>3040</v>
      </c>
      <c r="F213" s="166">
        <f t="shared" ref="F213:I213" si="71">SUM(F30:F211)/2</f>
        <v>3453129</v>
      </c>
      <c r="G213" s="166">
        <f t="shared" si="71"/>
        <v>-456.1</v>
      </c>
      <c r="H213" s="166">
        <f t="shared" si="71"/>
        <v>0</v>
      </c>
      <c r="I213" s="166">
        <f t="shared" si="71"/>
        <v>3452672.9</v>
      </c>
      <c r="J213" s="167">
        <f>IF($I$213=0,0,I213/$I$213)</f>
        <v>1</v>
      </c>
      <c r="K213" s="458"/>
      <c r="L213" s="176">
        <f>SUM(L30:L205)</f>
        <v>65524</v>
      </c>
      <c r="M213" s="176">
        <f>SUM(M30:M205)</f>
        <v>69722</v>
      </c>
      <c r="O213" s="329">
        <f>I213/I$233</f>
        <v>243.76397204179611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'[56]Sch C'!D221</f>
        <v>3529960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-156708</v>
      </c>
      <c r="D220" s="480">
        <f t="shared" si="72"/>
        <v>71365</v>
      </c>
      <c r="E220" s="480">
        <f t="shared" si="72"/>
        <v>-3040</v>
      </c>
      <c r="F220" s="166">
        <f t="shared" ref="F220:I220" si="73">F26-F213</f>
        <v>-88383</v>
      </c>
      <c r="G220" s="166">
        <f t="shared" si="73"/>
        <v>456.1</v>
      </c>
      <c r="H220" s="166">
        <f t="shared" si="73"/>
        <v>0</v>
      </c>
      <c r="I220" s="166">
        <f t="shared" si="73"/>
        <v>-87926.899999999907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'[56]Sch D'!C9</f>
        <v>7798</v>
      </c>
      <c r="D224" s="480"/>
      <c r="E224" s="480"/>
      <c r="F224" s="224">
        <f>C224+D224+E224</f>
        <v>7798</v>
      </c>
      <c r="G224" s="627"/>
      <c r="H224" s="223"/>
      <c r="I224" s="224">
        <f>F224+G224+H224</f>
        <v>7798</v>
      </c>
      <c r="J224" s="167">
        <f t="shared" ref="J224:J233" si="74">IF($I$233=0,0,I224/$I$233)</f>
        <v>0.55055069189494488</v>
      </c>
      <c r="K224" s="458"/>
      <c r="L224" s="163"/>
      <c r="M224" s="163"/>
    </row>
    <row r="225" spans="1:13">
      <c r="A225" s="158"/>
      <c r="B225" s="165" t="s">
        <v>201</v>
      </c>
      <c r="C225" s="504">
        <f>'[56]Sch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'[56]Sch D'!E9</f>
        <v>1578</v>
      </c>
      <c r="D226" s="480"/>
      <c r="E226" s="480"/>
      <c r="F226" s="224">
        <f t="shared" si="75"/>
        <v>1578</v>
      </c>
      <c r="G226" s="627"/>
      <c r="H226" s="223"/>
      <c r="I226" s="224">
        <f t="shared" si="76"/>
        <v>1578</v>
      </c>
      <c r="J226" s="167">
        <f t="shared" si="74"/>
        <v>0.11140920643885908</v>
      </c>
      <c r="K226" s="458"/>
      <c r="L226" s="163"/>
      <c r="M226" s="163"/>
    </row>
    <row r="227" spans="1:13">
      <c r="A227" s="158"/>
      <c r="B227" s="194" t="s">
        <v>315</v>
      </c>
      <c r="C227" s="504">
        <f>'[56]Sch D'!F9</f>
        <v>248</v>
      </c>
      <c r="D227" s="480"/>
      <c r="E227" s="480"/>
      <c r="F227" s="224">
        <f t="shared" si="75"/>
        <v>248</v>
      </c>
      <c r="G227" s="627"/>
      <c r="H227" s="223"/>
      <c r="I227" s="224">
        <f t="shared" si="76"/>
        <v>248</v>
      </c>
      <c r="J227" s="167">
        <f t="shared" si="74"/>
        <v>1.7509178198249081E-2</v>
      </c>
      <c r="K227" s="458"/>
      <c r="L227" s="163"/>
      <c r="M227" s="163"/>
    </row>
    <row r="228" spans="1:13">
      <c r="A228" s="158"/>
      <c r="B228" s="165" t="s">
        <v>65</v>
      </c>
      <c r="C228" s="504">
        <f>'[56]Sch D'!G9</f>
        <v>1718</v>
      </c>
      <c r="D228" s="480"/>
      <c r="E228" s="480"/>
      <c r="F228" s="224">
        <f t="shared" si="75"/>
        <v>1718</v>
      </c>
      <c r="G228" s="627"/>
      <c r="H228" s="223"/>
      <c r="I228" s="224">
        <f t="shared" si="76"/>
        <v>1718</v>
      </c>
      <c r="J228" s="167">
        <f t="shared" si="74"/>
        <v>0.12129341993787066</v>
      </c>
      <c r="K228" s="458"/>
      <c r="L228" s="163"/>
      <c r="M228" s="163"/>
    </row>
    <row r="229" spans="1:13">
      <c r="A229" s="158"/>
      <c r="B229" s="165" t="s">
        <v>66</v>
      </c>
      <c r="C229" s="504">
        <f>'[56]Sch D'!H9</f>
        <v>1314</v>
      </c>
      <c r="D229" s="480"/>
      <c r="E229" s="480"/>
      <c r="F229" s="224">
        <f t="shared" si="75"/>
        <v>1314</v>
      </c>
      <c r="G229" s="627"/>
      <c r="H229" s="223"/>
      <c r="I229" s="224">
        <f t="shared" si="76"/>
        <v>1314</v>
      </c>
      <c r="J229" s="167">
        <f t="shared" si="74"/>
        <v>9.2770403840722965E-2</v>
      </c>
      <c r="K229" s="458"/>
      <c r="L229" s="163"/>
      <c r="M229" s="163"/>
    </row>
    <row r="230" spans="1:13">
      <c r="A230" s="158"/>
      <c r="B230" s="165" t="s">
        <v>219</v>
      </c>
      <c r="C230" s="504">
        <f>'[56]Sch D'!I9</f>
        <v>1508</v>
      </c>
      <c r="D230" s="480"/>
      <c r="E230" s="480"/>
      <c r="F230" s="224">
        <f t="shared" si="75"/>
        <v>1508</v>
      </c>
      <c r="G230" s="627"/>
      <c r="H230" s="223"/>
      <c r="I230" s="224">
        <f t="shared" si="76"/>
        <v>1508</v>
      </c>
      <c r="J230" s="167">
        <f t="shared" si="74"/>
        <v>0.10646709968935329</v>
      </c>
      <c r="K230" s="458"/>
      <c r="L230" s="163"/>
      <c r="M230" s="163"/>
    </row>
    <row r="231" spans="1:13">
      <c r="A231" s="158"/>
      <c r="B231" s="165" t="s">
        <v>218</v>
      </c>
      <c r="C231" s="504">
        <f>'[56]Sch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'[56]Sch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14164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14164</v>
      </c>
      <c r="G233" s="226">
        <f t="shared" si="78"/>
        <v>0</v>
      </c>
      <c r="H233" s="226">
        <f t="shared" si="78"/>
        <v>0</v>
      </c>
      <c r="I233" s="226">
        <f t="shared" si="78"/>
        <v>14164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'[56]Sch D'!N22</f>
        <v>72</v>
      </c>
      <c r="D236" s="480"/>
      <c r="E236" s="480"/>
      <c r="F236" s="224">
        <f>C236+E236</f>
        <v>72</v>
      </c>
      <c r="G236" s="627"/>
      <c r="H236" s="224"/>
      <c r="I236" s="224">
        <f>F236+G236+H236</f>
        <v>72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'[56]Sch D'!N24</f>
        <v>72</v>
      </c>
      <c r="D237" s="480"/>
      <c r="E237" s="480"/>
      <c r="F237" s="224">
        <f>C237+E237</f>
        <v>72</v>
      </c>
      <c r="G237" s="627"/>
      <c r="H237" s="224"/>
      <c r="I237" s="224">
        <f>F237+G237+H237</f>
        <v>72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'[56]Sch D'!N28</f>
        <v>26280</v>
      </c>
      <c r="D240" s="427"/>
      <c r="E240" s="427"/>
      <c r="F240" s="223">
        <f>F236*F238</f>
        <v>26280</v>
      </c>
      <c r="G240"/>
      <c r="H240" s="228"/>
      <c r="I240" s="223">
        <f>I236*I238</f>
        <v>26280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'[56]Sch D'!N30</f>
        <v>0.5389649923896499</v>
      </c>
      <c r="D241" s="228"/>
      <c r="E241" s="228"/>
      <c r="F241" s="232">
        <f>F233/F240</f>
        <v>0.5389649923896499</v>
      </c>
      <c r="G241"/>
      <c r="H241" s="233"/>
      <c r="I241" s="232">
        <f>I233/I240</f>
        <v>0.5389649923896499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'[56]Sch D'!N32</f>
        <v>0.29672754946727548</v>
      </c>
      <c r="D242" s="228"/>
      <c r="E242" s="228"/>
      <c r="F242" s="232">
        <f>(F224+F225)/F240</f>
        <v>0.29672754946727548</v>
      </c>
      <c r="G242"/>
      <c r="H242" s="233"/>
      <c r="I242" s="232">
        <f>(I224+I225)/I240</f>
        <v>0.29672754946727548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'[56]Sch D'!N34</f>
        <v>0.55055069189494488</v>
      </c>
      <c r="D243" s="228"/>
      <c r="E243" s="228"/>
      <c r="F243" s="232">
        <f>(F242/F241)</f>
        <v>0.55055069189494488</v>
      </c>
      <c r="G243"/>
      <c r="H243" s="233"/>
      <c r="I243" s="232">
        <f>(I242/I241)</f>
        <v>0.55055069189494488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'[56]Sch B'!C90</f>
        <v>196.75324675324674</v>
      </c>
      <c r="K246" s="460"/>
    </row>
    <row r="247" spans="1:13">
      <c r="H247" s="140" t="s">
        <v>322</v>
      </c>
      <c r="I247" s="480">
        <f>'[56]Sch B'!E90</f>
        <v>196.75190839694656</v>
      </c>
      <c r="K247" s="460"/>
    </row>
    <row r="248" spans="1:13">
      <c r="H248" s="140" t="s">
        <v>323</v>
      </c>
      <c r="I248" s="480">
        <f>'[56]Sch B'!G90</f>
        <v>196.75280898876406</v>
      </c>
      <c r="K248" s="460"/>
    </row>
    <row r="249" spans="1:13">
      <c r="H249" s="140" t="s">
        <v>324</v>
      </c>
      <c r="I249" s="480">
        <f>'[56]Sch B'!I90</f>
        <v>196.75213675213675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E28CAB"/>
  </sheetPr>
  <dimension ref="A1:P277"/>
  <sheetViews>
    <sheetView showGridLines="0" topLeftCell="A35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1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83203125" style="316" customWidth="1"/>
    <col min="12" max="12" width="14.75" style="139" customWidth="1"/>
    <col min="13" max="13" width="13" style="139" customWidth="1"/>
    <col min="14" max="14" width="2.5820312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 t="s">
        <v>555</v>
      </c>
      <c r="F1" s="419"/>
      <c r="G1" s="419"/>
      <c r="H1" s="419"/>
      <c r="I1"/>
      <c r="J1" s="419"/>
      <c r="K1" s="420"/>
    </row>
    <row r="2" spans="1:16" ht="23">
      <c r="B2" s="141" t="s">
        <v>178</v>
      </c>
      <c r="C2" s="234" t="s">
        <v>534</v>
      </c>
      <c r="D2" s="234"/>
      <c r="E2" s="370" t="s">
        <v>443</v>
      </c>
      <c r="F2" s="142"/>
      <c r="G2" s="142"/>
    </row>
    <row r="3" spans="1:16" ht="15.5">
      <c r="A3" s="143"/>
      <c r="B3" s="138" t="s">
        <v>71</v>
      </c>
      <c r="C3" s="557">
        <f>'[57]Sch A Pg 1'!B39</f>
        <v>43027</v>
      </c>
      <c r="D3" s="620"/>
      <c r="E3" s="142"/>
      <c r="F3" s="361"/>
      <c r="G3" s="361"/>
      <c r="H3" s="524"/>
    </row>
    <row r="4" spans="1:16" ht="15.5">
      <c r="A4" s="143"/>
      <c r="B4" s="145" t="s">
        <v>72</v>
      </c>
      <c r="C4" s="557">
        <f>'[57]Sch A Pg 1'!G39</f>
        <v>43281</v>
      </c>
      <c r="D4" s="620"/>
      <c r="E4" s="142"/>
      <c r="F4" s="361"/>
      <c r="G4" s="361"/>
      <c r="H4" s="524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'[57]Sch B'!E10</f>
        <v>506502</v>
      </c>
      <c r="D12" s="480">
        <f>'[57]Sch B'!G10</f>
        <v>0</v>
      </c>
      <c r="E12" s="480"/>
      <c r="F12" s="166">
        <f>C12+D12+E12</f>
        <v>506502</v>
      </c>
      <c r="G12" s="626"/>
      <c r="H12" s="607"/>
      <c r="I12" s="166">
        <f>F12+G12+H12</f>
        <v>506502</v>
      </c>
      <c r="J12" s="167">
        <f>IF($I$26=0,0,I12/$I$26)</f>
        <v>0.19521112201822452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'[57]Sch B'!E12</f>
        <v>0</v>
      </c>
      <c r="D13" s="480">
        <f>'[57]Sch B'!G12</f>
        <v>0</v>
      </c>
      <c r="E13" s="480"/>
      <c r="F13" s="166">
        <f t="shared" ref="F13:F25" si="0">C13+D13+E13</f>
        <v>0</v>
      </c>
      <c r="G13" s="626"/>
      <c r="H13" s="607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'[57]Sch B'!E13</f>
        <v>9528</v>
      </c>
      <c r="D14" s="480">
        <f>'[57]Sch B'!G13</f>
        <v>0</v>
      </c>
      <c r="E14" s="480"/>
      <c r="F14" s="166">
        <f t="shared" si="0"/>
        <v>9528</v>
      </c>
      <c r="G14" s="626"/>
      <c r="H14" s="607"/>
      <c r="I14" s="166">
        <f t="shared" si="1"/>
        <v>9528</v>
      </c>
      <c r="J14" s="167">
        <f>IF($I$26=0,0,I14/$I$26)</f>
        <v>3.6721899826449712E-3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'[57]Sch B'!E14</f>
        <v>0</v>
      </c>
      <c r="D15" s="480">
        <f>'[57]Sch B'!G14</f>
        <v>0</v>
      </c>
      <c r="E15" s="480"/>
      <c r="F15" s="166">
        <f t="shared" si="0"/>
        <v>0</v>
      </c>
      <c r="G15" s="626"/>
      <c r="H15" s="607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'[57]Sch B'!E15</f>
        <v>516030</v>
      </c>
      <c r="D16" s="480">
        <f>'[57]Sch B'!G15</f>
        <v>0</v>
      </c>
      <c r="E16" s="480"/>
      <c r="F16" s="166">
        <f t="shared" si="0"/>
        <v>516030</v>
      </c>
      <c r="G16" s="626"/>
      <c r="H16" s="607"/>
      <c r="I16" s="166">
        <f>SUM(I12:I15)</f>
        <v>516030</v>
      </c>
      <c r="J16" s="167">
        <f t="shared" ref="J16:J26" si="2">IF($I$26=0,0,I16/$I$26)</f>
        <v>0.19888331200086948</v>
      </c>
      <c r="K16" s="457"/>
      <c r="L16" s="333" t="s">
        <v>325</v>
      </c>
      <c r="M16" s="334">
        <f>I26</f>
        <v>2594637</v>
      </c>
      <c r="O16" s="324">
        <f>IFERROR(I16/I224,0)</f>
        <v>194.80181200453001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'[57]Sch B'!E20</f>
        <v>0</v>
      </c>
      <c r="D17" s="480">
        <f>'[57]Sch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4697240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'[57]Sch B'!E26</f>
        <v>1526744</v>
      </c>
      <c r="D18" s="480">
        <f>'[57]Sch B'!G26</f>
        <v>0</v>
      </c>
      <c r="E18" s="480"/>
      <c r="F18" s="166">
        <f t="shared" si="0"/>
        <v>1526744</v>
      </c>
      <c r="G18" s="626"/>
      <c r="H18" s="607"/>
      <c r="I18" s="166">
        <f t="shared" si="1"/>
        <v>1526744</v>
      </c>
      <c r="J18" s="167">
        <f t="shared" si="2"/>
        <v>0.58842296629547797</v>
      </c>
      <c r="K18" s="458"/>
      <c r="L18" s="335" t="s">
        <v>327</v>
      </c>
      <c r="M18" s="336">
        <f>I233</f>
        <v>7275</v>
      </c>
      <c r="O18" s="324">
        <f t="shared" si="3"/>
        <v>566.72011878247963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'[57]Sch B'!E32</f>
        <v>172916.33507853403</v>
      </c>
      <c r="D19" s="480">
        <f>'[57]Sch B'!G32</f>
        <v>0</v>
      </c>
      <c r="E19" s="480"/>
      <c r="F19" s="166">
        <f t="shared" si="0"/>
        <v>172916.33507853403</v>
      </c>
      <c r="G19" s="626"/>
      <c r="H19" s="607"/>
      <c r="I19" s="166">
        <f t="shared" si="1"/>
        <v>172916.33507853403</v>
      </c>
      <c r="J19" s="170">
        <f t="shared" si="2"/>
        <v>6.6643748269424208E-2</v>
      </c>
      <c r="K19" s="464"/>
      <c r="L19" s="335" t="s">
        <v>328</v>
      </c>
      <c r="M19" s="336">
        <f>I236</f>
        <v>99</v>
      </c>
      <c r="O19" s="324">
        <f t="shared" si="3"/>
        <v>488.46422338568937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'[57]Sch B'!E37</f>
        <v>0</v>
      </c>
      <c r="D20" s="480">
        <f>'[57]Sch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25245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'[57]Sch B'!E42</f>
        <v>146013</v>
      </c>
      <c r="D21" s="480">
        <f>'[57]Sch B'!G42</f>
        <v>0</v>
      </c>
      <c r="E21" s="480"/>
      <c r="F21" s="166">
        <f t="shared" si="0"/>
        <v>146013</v>
      </c>
      <c r="G21" s="626"/>
      <c r="H21" s="607"/>
      <c r="I21" s="166">
        <f t="shared" si="1"/>
        <v>146013</v>
      </c>
      <c r="J21" s="167">
        <f t="shared" si="2"/>
        <v>5.6274924006710768E-2</v>
      </c>
      <c r="K21" s="458"/>
      <c r="L21" s="337"/>
      <c r="M21" s="336"/>
      <c r="O21" s="324">
        <f t="shared" si="3"/>
        <v>215.04123711340208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'[57]Sch B'!E47</f>
        <v>94239.104411764711</v>
      </c>
      <c r="D22" s="480">
        <f>'[57]Sch B'!G47</f>
        <v>0</v>
      </c>
      <c r="E22" s="480"/>
      <c r="F22" s="166">
        <f t="shared" si="0"/>
        <v>94239.104411764711</v>
      </c>
      <c r="G22" s="626"/>
      <c r="H22" s="607"/>
      <c r="I22" s="166">
        <f t="shared" si="1"/>
        <v>94239.104411764711</v>
      </c>
      <c r="J22" s="167">
        <f t="shared" si="2"/>
        <v>3.6320727875138105E-2</v>
      </c>
      <c r="K22" s="458"/>
      <c r="L22" s="335" t="s">
        <v>148</v>
      </c>
      <c r="M22" s="336">
        <f>L213</f>
        <v>78714</v>
      </c>
      <c r="O22" s="324">
        <f t="shared" si="3"/>
        <v>185.14558823529413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'[57]Sch B'!E52</f>
        <v>31659.895588235293</v>
      </c>
      <c r="D23" s="480">
        <f>'[57]Sch B'!G52</f>
        <v>0</v>
      </c>
      <c r="E23" s="480"/>
      <c r="F23" s="166">
        <f t="shared" si="0"/>
        <v>31659.895588235293</v>
      </c>
      <c r="G23" s="626"/>
      <c r="H23" s="607"/>
      <c r="I23" s="166">
        <f t="shared" si="1"/>
        <v>31659.895588235293</v>
      </c>
      <c r="J23" s="167">
        <f t="shared" si="2"/>
        <v>1.2202051997345021E-2</v>
      </c>
      <c r="K23" s="458"/>
      <c r="L23" s="338" t="s">
        <v>233</v>
      </c>
      <c r="M23" s="339">
        <f>M213</f>
        <v>81817</v>
      </c>
      <c r="O23" s="324">
        <f t="shared" si="3"/>
        <v>185.1455882352941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'[57]Sch B'!E57</f>
        <v>106973.66492146597</v>
      </c>
      <c r="D24" s="480">
        <f>'[57]Sch B'!G57</f>
        <v>0</v>
      </c>
      <c r="E24" s="480"/>
      <c r="F24" s="166">
        <f t="shared" si="0"/>
        <v>106973.66492146597</v>
      </c>
      <c r="G24" s="626"/>
      <c r="H24" s="607"/>
      <c r="I24" s="166">
        <f t="shared" si="1"/>
        <v>106973.66492146597</v>
      </c>
      <c r="J24" s="167">
        <f t="shared" si="2"/>
        <v>4.1228759522609897E-2</v>
      </c>
      <c r="K24" s="458"/>
      <c r="L24" s="163"/>
      <c r="M24" s="163"/>
      <c r="O24" s="324">
        <f t="shared" si="3"/>
        <v>488.46422338568937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'[57]Sch B'!E72</f>
        <v>61</v>
      </c>
      <c r="D25" s="480">
        <f>'[57]Sch B'!G72</f>
        <v>0</v>
      </c>
      <c r="E25" s="480"/>
      <c r="F25" s="166">
        <f t="shared" si="0"/>
        <v>61</v>
      </c>
      <c r="G25" s="626"/>
      <c r="H25" s="607"/>
      <c r="I25" s="166">
        <f t="shared" si="1"/>
        <v>61</v>
      </c>
      <c r="J25" s="167">
        <f t="shared" si="2"/>
        <v>2.3510032424574229E-5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2594637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2594637</v>
      </c>
      <c r="G26" s="166">
        <f>SUM(G12:G25)</f>
        <v>0</v>
      </c>
      <c r="H26" s="166">
        <f>SUM(H12:H25)</f>
        <v>0</v>
      </c>
      <c r="I26" s="166">
        <f>SUM(I16:I25)</f>
        <v>2594637</v>
      </c>
      <c r="J26" s="167">
        <f t="shared" si="2"/>
        <v>1</v>
      </c>
      <c r="K26" s="458"/>
      <c r="L26" s="163"/>
      <c r="M26" s="163"/>
      <c r="O26" s="324">
        <f>IFERROR(I26/I233,0)</f>
        <v>356.65113402061854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'[57]Sch C'!D10</f>
        <v>149024</v>
      </c>
      <c r="D30" s="480">
        <f>'[57]Sch C'!F10</f>
        <v>-36024</v>
      </c>
      <c r="E30" s="480">
        <f>+'[57]Sch C'!H10</f>
        <v>0</v>
      </c>
      <c r="F30" s="166">
        <f t="shared" ref="F30:F65" si="5">C30+D30+E30</f>
        <v>113000</v>
      </c>
      <c r="G30" s="626"/>
      <c r="H30" s="607"/>
      <c r="I30" s="166">
        <f t="shared" ref="I30:I65" si="6">F30+G30+H30</f>
        <v>113000</v>
      </c>
      <c r="J30" s="167">
        <f>IF($I$213=0,0,I30/$I$213)</f>
        <v>2.4056680092990779E-2</v>
      </c>
      <c r="K30" s="458"/>
      <c r="L30" s="176">
        <v>2080</v>
      </c>
      <c r="M30" s="176">
        <v>2080</v>
      </c>
      <c r="N30" s="227"/>
      <c r="O30" s="324">
        <f>I30/I$233</f>
        <v>15.532646048109966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'[57]Sch C'!D11</f>
        <v>0</v>
      </c>
      <c r="D31" s="480">
        <f>'[57]Sch C'!F11</f>
        <v>0</v>
      </c>
      <c r="E31" s="480">
        <f>+'[57]Sch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N31" s="227"/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'[57]Sch C'!D12</f>
        <v>188512</v>
      </c>
      <c r="D32" s="480">
        <f>'[57]Sch C'!F12</f>
        <v>0</v>
      </c>
      <c r="E32" s="480">
        <f>+'[57]Sch C'!H12</f>
        <v>0</v>
      </c>
      <c r="F32" s="166">
        <f t="shared" si="5"/>
        <v>188512</v>
      </c>
      <c r="G32" s="626"/>
      <c r="H32" s="607"/>
      <c r="I32" s="166">
        <f t="shared" si="6"/>
        <v>188512</v>
      </c>
      <c r="J32" s="167">
        <f t="shared" si="7"/>
        <v>4.0132503342388298E-2</v>
      </c>
      <c r="K32" s="458"/>
      <c r="L32" s="176">
        <v>8300</v>
      </c>
      <c r="M32" s="176">
        <v>8733</v>
      </c>
      <c r="N32" s="227"/>
      <c r="O32" s="324">
        <f t="shared" si="8"/>
        <v>25.912302405498281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'[57]Sch C'!D13</f>
        <v>113750</v>
      </c>
      <c r="D33" s="480">
        <f>'[57]Sch C'!F13</f>
        <v>-63476</v>
      </c>
      <c r="E33" s="480">
        <f>+'[57]Sch C'!H13</f>
        <v>0</v>
      </c>
      <c r="F33" s="166">
        <f t="shared" si="5"/>
        <v>50274</v>
      </c>
      <c r="G33" s="626"/>
      <c r="H33" s="607"/>
      <c r="I33" s="166">
        <f t="shared" si="6"/>
        <v>50274</v>
      </c>
      <c r="J33" s="167">
        <f t="shared" si="7"/>
        <v>1.0702880840663878E-2</v>
      </c>
      <c r="K33" s="457"/>
      <c r="L33" s="163"/>
      <c r="M33" s="163"/>
      <c r="N33" s="227"/>
      <c r="O33" s="324">
        <f t="shared" si="8"/>
        <v>6.9105154639175259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'[57]Sch C'!D14</f>
        <v>0</v>
      </c>
      <c r="D34" s="480">
        <f>'[57]Sch C'!F14</f>
        <v>0</v>
      </c>
      <c r="E34" s="480">
        <f>+'[57]Sch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N34" s="227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'[57]Sch C'!D15</f>
        <v>0</v>
      </c>
      <c r="D35" s="480">
        <f>'[57]Sch C'!F15</f>
        <v>0</v>
      </c>
      <c r="E35" s="480">
        <f>+'[57]Sch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N35" s="227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'[57]Sch C'!D16</f>
        <v>129736</v>
      </c>
      <c r="D36" s="480">
        <f>'[57]Sch C'!F16</f>
        <v>0</v>
      </c>
      <c r="E36" s="480">
        <f>+'[57]Sch C'!H16</f>
        <v>-30510</v>
      </c>
      <c r="F36" s="166">
        <f t="shared" si="5"/>
        <v>99226</v>
      </c>
      <c r="G36" s="626"/>
      <c r="H36" s="607"/>
      <c r="I36" s="166">
        <f t="shared" si="6"/>
        <v>99226</v>
      </c>
      <c r="J36" s="167">
        <f t="shared" si="7"/>
        <v>2.1124319813337195E-2</v>
      </c>
      <c r="K36" s="458"/>
      <c r="L36" s="163"/>
      <c r="M36" s="163"/>
      <c r="N36" s="227"/>
      <c r="O36" s="324">
        <f t="shared" si="8"/>
        <v>13.639312714776633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'[57]Sch C'!D17</f>
        <v>0</v>
      </c>
      <c r="D37" s="480">
        <f>'[57]Sch C'!F17</f>
        <v>0</v>
      </c>
      <c r="E37" s="480">
        <f>+'[57]Sch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N37" s="227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'[57]Sch C'!D18</f>
        <v>19956</v>
      </c>
      <c r="D38" s="480">
        <f>'[57]Sch C'!F18</f>
        <v>0</v>
      </c>
      <c r="E38" s="480">
        <f>+'[57]Sch C'!H18</f>
        <v>0</v>
      </c>
      <c r="F38" s="166">
        <f t="shared" si="5"/>
        <v>19956</v>
      </c>
      <c r="G38" s="626"/>
      <c r="H38" s="607"/>
      <c r="I38" s="166">
        <f t="shared" si="6"/>
        <v>19956</v>
      </c>
      <c r="J38" s="167">
        <f t="shared" si="7"/>
        <v>4.2484522826170259E-3</v>
      </c>
      <c r="K38" s="458"/>
      <c r="L38" s="163"/>
      <c r="M38" s="163"/>
      <c r="N38" s="227"/>
      <c r="O38" s="324">
        <f t="shared" si="8"/>
        <v>2.7430927835051548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'[57]Sch C'!D19</f>
        <v>16973</v>
      </c>
      <c r="D39" s="480">
        <f>'[57]Sch C'!F19</f>
        <v>-1840</v>
      </c>
      <c r="E39" s="480">
        <f>+'[57]Sch C'!H19</f>
        <v>0</v>
      </c>
      <c r="F39" s="166">
        <f t="shared" si="5"/>
        <v>15133</v>
      </c>
      <c r="G39" s="626"/>
      <c r="H39" s="607"/>
      <c r="I39" s="166">
        <f t="shared" si="6"/>
        <v>15133</v>
      </c>
      <c r="J39" s="167">
        <f t="shared" si="7"/>
        <v>3.2216791136922959E-3</v>
      </c>
      <c r="K39" s="458"/>
      <c r="L39" s="163"/>
      <c r="M39" s="163"/>
      <c r="N39" s="227"/>
      <c r="O39" s="324">
        <f t="shared" si="8"/>
        <v>2.0801374570446733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'[57]Sch C'!D20</f>
        <v>27418</v>
      </c>
      <c r="D40" s="480">
        <f>'[57]Sch C'!F20</f>
        <v>0</v>
      </c>
      <c r="E40" s="480">
        <f>+'[57]Sch C'!H20</f>
        <v>0</v>
      </c>
      <c r="F40" s="166">
        <f t="shared" si="5"/>
        <v>27418</v>
      </c>
      <c r="G40" s="626"/>
      <c r="H40" s="607"/>
      <c r="I40" s="166">
        <f t="shared" si="6"/>
        <v>27418</v>
      </c>
      <c r="J40" s="167">
        <f t="shared" si="7"/>
        <v>5.8370447326515145E-3</v>
      </c>
      <c r="K40" s="458"/>
      <c r="L40" s="163"/>
      <c r="M40" s="163"/>
      <c r="N40" s="227"/>
      <c r="O40" s="324">
        <f t="shared" si="8"/>
        <v>3.7687972508591066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'[57]Sch C'!D21</f>
        <v>178</v>
      </c>
      <c r="D41" s="480">
        <f>'[57]Sch C'!F21</f>
        <v>0</v>
      </c>
      <c r="E41" s="480">
        <f>+'[57]Sch C'!H21</f>
        <v>0</v>
      </c>
      <c r="F41" s="166">
        <f t="shared" si="5"/>
        <v>178</v>
      </c>
      <c r="G41" s="626"/>
      <c r="H41" s="607"/>
      <c r="I41" s="166">
        <f t="shared" si="6"/>
        <v>178</v>
      </c>
      <c r="J41" s="167">
        <f t="shared" si="7"/>
        <v>3.7894593420817334E-5</v>
      </c>
      <c r="K41" s="458"/>
      <c r="L41" s="163"/>
      <c r="M41" s="163"/>
      <c r="N41" s="227"/>
      <c r="O41" s="324">
        <f t="shared" si="8"/>
        <v>2.4467353951890033E-2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'[57]Sch C'!D22</f>
        <v>0</v>
      </c>
      <c r="D42" s="480">
        <f>'[57]Sch C'!F22</f>
        <v>0</v>
      </c>
      <c r="E42" s="480">
        <f>+'[57]Sch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N42" s="227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'[57]Sch C'!D23</f>
        <v>10935</v>
      </c>
      <c r="D43" s="480">
        <f>'[57]Sch C'!F23</f>
        <v>0</v>
      </c>
      <c r="E43" s="480">
        <f>+'[57]Sch C'!H23</f>
        <v>0</v>
      </c>
      <c r="F43" s="166">
        <f t="shared" si="5"/>
        <v>10935</v>
      </c>
      <c r="G43" s="626"/>
      <c r="H43" s="607"/>
      <c r="I43" s="166">
        <f t="shared" si="6"/>
        <v>10935</v>
      </c>
      <c r="J43" s="167">
        <f t="shared" si="7"/>
        <v>2.327962803688975E-3</v>
      </c>
      <c r="K43" s="458"/>
      <c r="L43" s="163"/>
      <c r="M43" s="163"/>
      <c r="N43" s="227"/>
      <c r="O43" s="324">
        <f t="shared" si="8"/>
        <v>1.5030927835051546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'[57]Sch C'!D24</f>
        <v>47926</v>
      </c>
      <c r="D44" s="480">
        <f>'[57]Sch C'!F24</f>
        <v>0</v>
      </c>
      <c r="E44" s="480">
        <f>+'[57]Sch C'!H24</f>
        <v>-9573</v>
      </c>
      <c r="F44" s="166">
        <f t="shared" si="5"/>
        <v>38353</v>
      </c>
      <c r="G44" s="626"/>
      <c r="H44" s="607"/>
      <c r="I44" s="166">
        <f t="shared" si="6"/>
        <v>38353</v>
      </c>
      <c r="J44" s="167">
        <f t="shared" si="7"/>
        <v>8.1650075363404895E-3</v>
      </c>
      <c r="K44" s="458"/>
      <c r="L44" s="163"/>
      <c r="M44" s="163"/>
      <c r="N44" s="227"/>
      <c r="O44" s="324">
        <f t="shared" si="8"/>
        <v>5.2718900343642607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'[57]Sch C'!D25</f>
        <v>0</v>
      </c>
      <c r="D45" s="480">
        <f>'[57]Sch C'!F25</f>
        <v>0</v>
      </c>
      <c r="E45" s="480">
        <f>+'[57]Sch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N45" s="227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'[57]Sch C'!D26</f>
        <v>81738</v>
      </c>
      <c r="D46" s="480">
        <f>'[57]Sch C'!F26</f>
        <v>0</v>
      </c>
      <c r="E46" s="480">
        <f>+'[57]Sch C'!H26</f>
        <v>0</v>
      </c>
      <c r="F46" s="166">
        <f t="shared" si="5"/>
        <v>81738</v>
      </c>
      <c r="G46" s="626"/>
      <c r="H46" s="607"/>
      <c r="I46" s="166">
        <f t="shared" si="6"/>
        <v>81738</v>
      </c>
      <c r="J46" s="167">
        <f t="shared" si="7"/>
        <v>1.7401282455229029E-2</v>
      </c>
      <c r="K46" s="458"/>
      <c r="L46" s="163"/>
      <c r="M46" s="163"/>
      <c r="N46" s="227"/>
      <c r="O46" s="324">
        <f t="shared" si="8"/>
        <v>11.235463917525774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'[57]Sch C'!D27</f>
        <v>0</v>
      </c>
      <c r="D47" s="480">
        <f>'[57]Sch C'!F27</f>
        <v>0</v>
      </c>
      <c r="E47" s="480">
        <f>+'[57]Sch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N47" s="227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'[57]Sch C'!D28</f>
        <v>0</v>
      </c>
      <c r="D48" s="480">
        <f>'[57]Sch C'!F28</f>
        <v>0</v>
      </c>
      <c r="E48" s="480">
        <f>+'[57]Sch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N48" s="227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'[57]Sch C'!D29</f>
        <v>25879</v>
      </c>
      <c r="D49" s="480">
        <f>'[57]Sch C'!F29</f>
        <v>-25879</v>
      </c>
      <c r="E49" s="480">
        <f>+'[57]Sch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N49" s="227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'[57]Sch C'!D30</f>
        <v>0</v>
      </c>
      <c r="D50" s="480">
        <f>'[57]Sch C'!F30</f>
        <v>0</v>
      </c>
      <c r="E50" s="480">
        <f>+'[57]Sch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N50" s="227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'[57]Sch C'!D31</f>
        <v>10883</v>
      </c>
      <c r="D51" s="480">
        <f>'[57]Sch C'!F31</f>
        <v>0</v>
      </c>
      <c r="E51" s="480">
        <f>+'[57]Sch C'!H31</f>
        <v>-6376</v>
      </c>
      <c r="F51" s="166">
        <f t="shared" si="5"/>
        <v>4507</v>
      </c>
      <c r="G51" s="626"/>
      <c r="H51" s="607"/>
      <c r="I51" s="166">
        <f t="shared" si="6"/>
        <v>4507</v>
      </c>
      <c r="J51" s="167">
        <f t="shared" si="7"/>
        <v>9.5949962105406576E-4</v>
      </c>
      <c r="K51" s="458"/>
      <c r="L51" s="163"/>
      <c r="M51" s="163"/>
      <c r="N51" s="227"/>
      <c r="O51" s="324">
        <f t="shared" si="8"/>
        <v>0.61951890034364265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'[57]Sch C'!D32</f>
        <v>10552</v>
      </c>
      <c r="D52" s="480">
        <f>'[57]Sch C'!F32</f>
        <v>0</v>
      </c>
      <c r="E52" s="480">
        <f>+'[57]Sch C'!H32</f>
        <v>-4749</v>
      </c>
      <c r="F52" s="166">
        <f t="shared" si="5"/>
        <v>5803</v>
      </c>
      <c r="G52" s="626"/>
      <c r="H52" s="607"/>
      <c r="I52" s="166">
        <f t="shared" si="6"/>
        <v>5803</v>
      </c>
      <c r="J52" s="167">
        <f t="shared" si="7"/>
        <v>1.2354063237134999E-3</v>
      </c>
      <c r="K52" s="458"/>
      <c r="L52" s="163"/>
      <c r="M52" s="163"/>
      <c r="N52" s="227"/>
      <c r="O52" s="324">
        <f t="shared" si="8"/>
        <v>0.79766323024054986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'[57]Sch C'!D33</f>
        <v>0</v>
      </c>
      <c r="D53" s="480">
        <f>'[57]Sch C'!F33</f>
        <v>0</v>
      </c>
      <c r="E53" s="480">
        <f>+'[57]Sch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N53" s="227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'[57]Sch C'!D34</f>
        <v>0</v>
      </c>
      <c r="D54" s="480">
        <f>'[57]Sch C'!F34</f>
        <v>0</v>
      </c>
      <c r="E54" s="480">
        <f>+'[57]Sch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N54" s="227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'[57]Sch C'!D35</f>
        <v>0</v>
      </c>
      <c r="D55" s="480">
        <f>'[57]Sch C'!F35</f>
        <v>0</v>
      </c>
      <c r="E55" s="480">
        <f>+'[57]Sch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N55" s="227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'[57]Sch C'!D36</f>
        <v>5989</v>
      </c>
      <c r="D56" s="480">
        <f>'[57]Sch C'!F36</f>
        <v>0</v>
      </c>
      <c r="E56" s="480">
        <f>+'[57]Sch C'!H36</f>
        <v>0</v>
      </c>
      <c r="F56" s="166">
        <f t="shared" si="5"/>
        <v>5989</v>
      </c>
      <c r="G56" s="626"/>
      <c r="H56" s="607"/>
      <c r="I56" s="166">
        <f t="shared" si="6"/>
        <v>5989</v>
      </c>
      <c r="J56" s="167">
        <f t="shared" si="7"/>
        <v>1.2750040449285112E-3</v>
      </c>
      <c r="K56" s="458"/>
      <c r="L56" s="176">
        <v>413</v>
      </c>
      <c r="M56" s="176">
        <v>422</v>
      </c>
      <c r="N56" s="227"/>
      <c r="O56" s="324">
        <f t="shared" si="8"/>
        <v>0.82323024054982818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'[57]Sch C'!D37</f>
        <v>697</v>
      </c>
      <c r="D57" s="480">
        <f>'[57]Sch C'!F37</f>
        <v>278</v>
      </c>
      <c r="E57" s="480">
        <f>+'[57]Sch C'!H37</f>
        <v>0</v>
      </c>
      <c r="F57" s="166">
        <f t="shared" si="5"/>
        <v>975</v>
      </c>
      <c r="G57" s="626"/>
      <c r="H57" s="607"/>
      <c r="I57" s="166">
        <f t="shared" si="6"/>
        <v>975</v>
      </c>
      <c r="J57" s="167">
        <f t="shared" si="7"/>
        <v>2.0756869991739831E-4</v>
      </c>
      <c r="K57" s="458"/>
      <c r="L57" s="163"/>
      <c r="M57" s="163"/>
      <c r="N57" s="227"/>
      <c r="O57" s="324">
        <f t="shared" si="8"/>
        <v>0.13402061855670103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'[57]Sch C'!D38</f>
        <v>0</v>
      </c>
      <c r="D58" s="480">
        <f>'[57]Sch C'!F38</f>
        <v>0</v>
      </c>
      <c r="E58" s="480">
        <f>+'[57]Sch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N58" s="227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'[57]Sch C'!D39</f>
        <v>1964</v>
      </c>
      <c r="D59" s="480">
        <f>'[57]Sch C'!F39</f>
        <v>0</v>
      </c>
      <c r="E59" s="480">
        <f>+'[57]Sch C'!H39</f>
        <v>0</v>
      </c>
      <c r="F59" s="166">
        <f t="shared" si="5"/>
        <v>1964</v>
      </c>
      <c r="G59" s="626"/>
      <c r="H59" s="607"/>
      <c r="I59" s="166">
        <f t="shared" si="6"/>
        <v>1964</v>
      </c>
      <c r="J59" s="167">
        <f t="shared" si="7"/>
        <v>4.1811787347463618E-4</v>
      </c>
      <c r="K59" s="458"/>
      <c r="L59" s="163"/>
      <c r="M59" s="163"/>
      <c r="N59" s="227"/>
      <c r="O59" s="324">
        <f t="shared" si="8"/>
        <v>0.26996563573883159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'[57]Sch C'!D40</f>
        <v>42517</v>
      </c>
      <c r="D60" s="480">
        <f>'[57]Sch C'!F40</f>
        <v>0</v>
      </c>
      <c r="E60" s="480">
        <f>+'[57]Sch C'!H40</f>
        <v>0</v>
      </c>
      <c r="F60" s="166">
        <f t="shared" si="5"/>
        <v>42517</v>
      </c>
      <c r="G60" s="626"/>
      <c r="H60" s="607"/>
      <c r="I60" s="166">
        <f t="shared" si="6"/>
        <v>42517</v>
      </c>
      <c r="J60" s="167">
        <f t="shared" si="7"/>
        <v>9.0514855532184864E-3</v>
      </c>
      <c r="K60" s="458"/>
      <c r="L60" s="163"/>
      <c r="M60" s="163"/>
      <c r="N60" s="227"/>
      <c r="O60" s="324">
        <f t="shared" si="8"/>
        <v>5.8442611683848797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'[57]Sch C'!D41</f>
        <v>12599</v>
      </c>
      <c r="D61" s="480">
        <f>'[57]Sch C'!F41</f>
        <v>0</v>
      </c>
      <c r="E61" s="480">
        <f>+'[57]Sch C'!H41</f>
        <v>0</v>
      </c>
      <c r="F61" s="166">
        <f t="shared" si="5"/>
        <v>12599</v>
      </c>
      <c r="G61" s="626"/>
      <c r="H61" s="607"/>
      <c r="I61" s="166">
        <f t="shared" si="6"/>
        <v>12599</v>
      </c>
      <c r="J61" s="167">
        <f t="shared" si="7"/>
        <v>2.6822133848813344E-3</v>
      </c>
      <c r="K61" s="458"/>
      <c r="L61" s="163"/>
      <c r="M61" s="163"/>
      <c r="N61" s="227"/>
      <c r="O61" s="324">
        <f t="shared" si="8"/>
        <v>1.7318213058419245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'[57]Sch C'!D42</f>
        <v>5285</v>
      </c>
      <c r="D62" s="480">
        <f>'[57]Sch C'!F42</f>
        <v>0</v>
      </c>
      <c r="E62" s="480">
        <f>+'[57]Sch C'!H42</f>
        <v>0</v>
      </c>
      <c r="F62" s="166">
        <f t="shared" si="5"/>
        <v>5285</v>
      </c>
      <c r="G62" s="626"/>
      <c r="H62" s="607"/>
      <c r="I62" s="166">
        <f t="shared" si="6"/>
        <v>5285</v>
      </c>
      <c r="J62" s="167">
        <f t="shared" si="7"/>
        <v>1.1251287990394359E-3</v>
      </c>
      <c r="K62" s="458"/>
      <c r="L62" s="163"/>
      <c r="M62" s="163"/>
      <c r="N62" s="227"/>
      <c r="O62" s="324">
        <f t="shared" si="8"/>
        <v>0.72646048109965633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'[57]Sch C'!D43</f>
        <v>15042</v>
      </c>
      <c r="D63" s="480">
        <f>'[57]Sch C'!F43</f>
        <v>0</v>
      </c>
      <c r="E63" s="480">
        <f>+'[57]Sch C'!H43</f>
        <v>0</v>
      </c>
      <c r="F63" s="166">
        <f t="shared" si="5"/>
        <v>15042</v>
      </c>
      <c r="G63" s="626">
        <v>-15042</v>
      </c>
      <c r="H63" s="607"/>
      <c r="I63" s="166">
        <f t="shared" si="6"/>
        <v>0</v>
      </c>
      <c r="J63" s="167">
        <f t="shared" si="7"/>
        <v>0</v>
      </c>
      <c r="K63" s="458" t="s">
        <v>604</v>
      </c>
      <c r="L63" s="163"/>
      <c r="M63" s="163"/>
      <c r="N63" s="227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'[57]Sch C'!D44</f>
        <v>0</v>
      </c>
      <c r="D64" s="480">
        <f>'[57]Sch C'!F44</f>
        <v>0</v>
      </c>
      <c r="E64" s="480">
        <f>+'[57]Sch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N64" s="227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'[57]Sch C'!D45</f>
        <v>538</v>
      </c>
      <c r="D65" s="480">
        <f>'[57]Sch C'!F45</f>
        <v>-60</v>
      </c>
      <c r="E65" s="480">
        <f>+'[57]Sch C'!H45</f>
        <v>0</v>
      </c>
      <c r="F65" s="166">
        <f t="shared" si="5"/>
        <v>478</v>
      </c>
      <c r="G65" s="626"/>
      <c r="H65" s="607"/>
      <c r="I65" s="166">
        <f t="shared" si="6"/>
        <v>478</v>
      </c>
      <c r="J65" s="167">
        <f t="shared" si="7"/>
        <v>1.0176188570309373E-4</v>
      </c>
      <c r="K65" s="458"/>
      <c r="L65" s="163"/>
      <c r="M65" s="163"/>
      <c r="N65" s="227"/>
      <c r="O65" s="324">
        <f t="shared" si="8"/>
        <v>6.5704467353951884E-2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918091</v>
      </c>
      <c r="D66" s="480">
        <f t="shared" si="9"/>
        <v>-127001</v>
      </c>
      <c r="E66" s="480">
        <f t="shared" si="9"/>
        <v>-51208</v>
      </c>
      <c r="F66" s="166">
        <f t="shared" ref="F66:I66" si="10">SUM(F30:F65)</f>
        <v>739882</v>
      </c>
      <c r="G66" s="166">
        <f t="shared" si="10"/>
        <v>-15042</v>
      </c>
      <c r="H66" s="166">
        <f t="shared" si="10"/>
        <v>0</v>
      </c>
      <c r="I66" s="166">
        <f t="shared" si="10"/>
        <v>724840</v>
      </c>
      <c r="J66" s="178">
        <f t="shared" si="7"/>
        <v>0.15431189379295077</v>
      </c>
      <c r="K66" s="465"/>
      <c r="L66" s="163"/>
      <c r="M66" s="163"/>
      <c r="N66" s="227"/>
      <c r="O66" s="329">
        <f>I66/I$233</f>
        <v>99.634364261168386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N67" s="227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N68" s="227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'[57]Sch C'!D57</f>
        <v>1549580</v>
      </c>
      <c r="D69" s="480">
        <f>'[57]Sch C'!F57</f>
        <v>0</v>
      </c>
      <c r="E69" s="480">
        <f>+'[57]Sch C'!H57</f>
        <v>0</v>
      </c>
      <c r="F69" s="166">
        <f>C69+D69+E69</f>
        <v>1549580</v>
      </c>
      <c r="G69" s="626"/>
      <c r="H69" s="607"/>
      <c r="I69" s="166">
        <f>F69+G69+H69</f>
        <v>1549580</v>
      </c>
      <c r="J69" s="167">
        <f t="shared" ref="J69:J84" si="11">IF($I$213=0,0,I69/$I$213)</f>
        <v>0.32989159591589956</v>
      </c>
      <c r="K69" s="458"/>
      <c r="L69" s="182"/>
      <c r="M69" s="163"/>
      <c r="N69" s="227"/>
      <c r="O69" s="324">
        <f t="shared" ref="O69:O84" si="12">I69/I$233</f>
        <v>213.00068728522336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'[57]Sch C'!D58</f>
        <v>17984</v>
      </c>
      <c r="D70" s="480">
        <f>'[57]Sch C'!F58</f>
        <v>0</v>
      </c>
      <c r="E70" s="480">
        <f>+'[57]Sch C'!H58</f>
        <v>0</v>
      </c>
      <c r="F70" s="166">
        <f t="shared" ref="F70:F83" si="13">C70+D70+E70</f>
        <v>17984</v>
      </c>
      <c r="G70" s="626"/>
      <c r="H70" s="607"/>
      <c r="I70" s="166">
        <f t="shared" ref="I70:I83" si="14">F70+G70+H70</f>
        <v>17984</v>
      </c>
      <c r="J70" s="167">
        <f t="shared" si="11"/>
        <v>3.8286312813481959E-3</v>
      </c>
      <c r="K70" s="458"/>
      <c r="L70" s="182"/>
      <c r="M70" s="163"/>
      <c r="N70" s="227"/>
      <c r="O70" s="324">
        <f t="shared" si="12"/>
        <v>2.4720274914089346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'[57]Sch C'!D59</f>
        <v>0</v>
      </c>
      <c r="D71" s="480">
        <f>'[57]Sch C'!F59</f>
        <v>0</v>
      </c>
      <c r="E71" s="480">
        <f>+'[57]Sch C'!H59</f>
        <v>0</v>
      </c>
      <c r="F71" s="166">
        <f t="shared" si="13"/>
        <v>0</v>
      </c>
      <c r="G71" s="626"/>
      <c r="H71" s="607"/>
      <c r="I71" s="166">
        <f t="shared" si="14"/>
        <v>0</v>
      </c>
      <c r="J71" s="167">
        <f t="shared" si="11"/>
        <v>0</v>
      </c>
      <c r="K71" s="458"/>
      <c r="L71" s="182"/>
      <c r="M71" s="163"/>
      <c r="N71" s="227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'[57]Sch C'!D60</f>
        <v>48952</v>
      </c>
      <c r="D72" s="480">
        <f>'[57]Sch C'!F60</f>
        <v>0</v>
      </c>
      <c r="E72" s="480">
        <f>+'[57]Sch C'!H60</f>
        <v>0</v>
      </c>
      <c r="F72" s="166">
        <f t="shared" si="13"/>
        <v>48952</v>
      </c>
      <c r="G72" s="626"/>
      <c r="H72" s="607"/>
      <c r="I72" s="166">
        <f t="shared" si="14"/>
        <v>48952</v>
      </c>
      <c r="J72" s="167">
        <f t="shared" si="11"/>
        <v>1.0421438972673315E-2</v>
      </c>
      <c r="K72" s="458"/>
      <c r="L72" s="185"/>
      <c r="M72" s="163"/>
      <c r="N72" s="227"/>
      <c r="O72" s="324">
        <f t="shared" si="12"/>
        <v>6.728797250859107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'[57]Sch C'!D61</f>
        <v>10066</v>
      </c>
      <c r="D73" s="480">
        <f>'[57]Sch C'!F61</f>
        <v>0</v>
      </c>
      <c r="E73" s="480">
        <f>+'[57]Sch C'!H61</f>
        <v>0</v>
      </c>
      <c r="F73" s="166">
        <f t="shared" si="13"/>
        <v>10066</v>
      </c>
      <c r="G73" s="626"/>
      <c r="H73" s="607"/>
      <c r="I73" s="166">
        <f t="shared" si="14"/>
        <v>10066</v>
      </c>
      <c r="J73" s="167">
        <f t="shared" si="11"/>
        <v>2.1429605470446476E-3</v>
      </c>
      <c r="K73" s="458"/>
      <c r="L73" s="185"/>
      <c r="M73" s="163"/>
      <c r="N73" s="227"/>
      <c r="O73" s="324">
        <f t="shared" si="12"/>
        <v>1.3836426116838487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'[57]Sch C'!D62</f>
        <v>6060</v>
      </c>
      <c r="D74" s="480">
        <f>'[57]Sch C'!F62</f>
        <v>0</v>
      </c>
      <c r="E74" s="480">
        <f>+'[57]Sch C'!H62</f>
        <v>0</v>
      </c>
      <c r="F74" s="166">
        <f t="shared" si="13"/>
        <v>6060</v>
      </c>
      <c r="G74" s="626"/>
      <c r="H74" s="607"/>
      <c r="I74" s="166">
        <f t="shared" si="14"/>
        <v>6060</v>
      </c>
      <c r="J74" s="167">
        <f t="shared" si="11"/>
        <v>1.2901193041019833E-3</v>
      </c>
      <c r="K74" s="458"/>
      <c r="L74" s="187"/>
      <c r="M74" s="163"/>
      <c r="N74" s="227"/>
      <c r="O74" s="324">
        <f t="shared" si="12"/>
        <v>0.83298969072164952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'[57]Sch C'!D63</f>
        <v>0</v>
      </c>
      <c r="D75" s="480">
        <f>'[57]Sch C'!F63</f>
        <v>0</v>
      </c>
      <c r="E75" s="480">
        <f>+'[57]Sch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N75" s="227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'[57]Sch C'!D64</f>
        <v>0</v>
      </c>
      <c r="D76" s="480">
        <f>'[57]Sch C'!F64</f>
        <v>0</v>
      </c>
      <c r="E76" s="480">
        <f>+'[57]Sch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N76" s="227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'[57]Sch C'!D65</f>
        <v>1726</v>
      </c>
      <c r="D77" s="480">
        <f>'[57]Sch C'!F65</f>
        <v>0</v>
      </c>
      <c r="E77" s="480">
        <f>+'[57]Sch C'!H65</f>
        <v>0</v>
      </c>
      <c r="F77" s="166">
        <f t="shared" si="13"/>
        <v>1726</v>
      </c>
      <c r="G77" s="626"/>
      <c r="H77" s="607"/>
      <c r="I77" s="166">
        <f t="shared" si="14"/>
        <v>1726</v>
      </c>
      <c r="J77" s="167">
        <f t="shared" si="11"/>
        <v>3.6744982159736355E-4</v>
      </c>
      <c r="K77" s="458"/>
      <c r="L77" s="187"/>
      <c r="M77" s="163"/>
      <c r="N77" s="227"/>
      <c r="O77" s="324">
        <f t="shared" si="12"/>
        <v>0.23725085910652921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'[57]Sch C'!D66</f>
        <v>2071</v>
      </c>
      <c r="D78" s="480">
        <f>'[57]Sch C'!F66</f>
        <v>0</v>
      </c>
      <c r="E78" s="480">
        <f>+'[57]Sch C'!H66</f>
        <v>0</v>
      </c>
      <c r="F78" s="166">
        <f t="shared" si="13"/>
        <v>2071</v>
      </c>
      <c r="G78" s="626"/>
      <c r="H78" s="607"/>
      <c r="I78" s="166">
        <f t="shared" si="14"/>
        <v>2071</v>
      </c>
      <c r="J78" s="167">
        <f t="shared" si="11"/>
        <v>4.4089720772198142E-4</v>
      </c>
      <c r="K78" s="458"/>
      <c r="L78" s="187"/>
      <c r="M78" s="163"/>
      <c r="N78" s="227"/>
      <c r="O78" s="324">
        <f t="shared" si="12"/>
        <v>0.28467353951890034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'[57]Sch C'!D67</f>
        <v>70354</v>
      </c>
      <c r="D79" s="480">
        <f>'[57]Sch C'!F67</f>
        <v>-1447</v>
      </c>
      <c r="E79" s="480">
        <f>+'[57]Sch C'!H67</f>
        <v>0</v>
      </c>
      <c r="F79" s="166">
        <f t="shared" si="13"/>
        <v>68907</v>
      </c>
      <c r="G79" s="626"/>
      <c r="H79" s="607"/>
      <c r="I79" s="166">
        <f t="shared" si="14"/>
        <v>68907</v>
      </c>
      <c r="J79" s="167">
        <f t="shared" si="11"/>
        <v>1.4669678364316067E-2</v>
      </c>
      <c r="K79" s="458"/>
      <c r="L79" s="187"/>
      <c r="M79" s="163"/>
      <c r="N79" s="227"/>
      <c r="O79" s="324">
        <f t="shared" si="12"/>
        <v>9.4717525773195881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'[57]Sch C'!D68</f>
        <v>0</v>
      </c>
      <c r="D80" s="480">
        <f>'[57]Sch C'!F68</f>
        <v>0</v>
      </c>
      <c r="E80" s="480">
        <f>+'[57]Sch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N80" s="227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'[57]Sch C'!D69</f>
        <v>1375</v>
      </c>
      <c r="D81" s="480">
        <f>'[57]Sch C'!F69</f>
        <v>0</v>
      </c>
      <c r="E81" s="480">
        <f>+'[57]Sch C'!H69</f>
        <v>0</v>
      </c>
      <c r="F81" s="166">
        <f t="shared" si="13"/>
        <v>1375</v>
      </c>
      <c r="G81" s="626"/>
      <c r="H81" s="607"/>
      <c r="I81" s="166">
        <f t="shared" si="14"/>
        <v>1375</v>
      </c>
      <c r="J81" s="167">
        <f t="shared" si="11"/>
        <v>2.9272508962710015E-4</v>
      </c>
      <c r="K81" s="458"/>
      <c r="L81" s="187"/>
      <c r="M81" s="163"/>
      <c r="N81" s="227"/>
      <c r="O81" s="324">
        <f t="shared" si="12"/>
        <v>0.18900343642611683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'[57]Sch C'!D70</f>
        <v>0</v>
      </c>
      <c r="D82" s="480">
        <f>'[57]Sch C'!F70</f>
        <v>0</v>
      </c>
      <c r="E82" s="480">
        <f>+'[57]Sch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N82" s="227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'[57]Sch C'!D71</f>
        <v>0</v>
      </c>
      <c r="D83" s="480">
        <f>'[57]Sch C'!F71</f>
        <v>0</v>
      </c>
      <c r="E83" s="480">
        <f>+'[57]Sch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N83" s="227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1708168</v>
      </c>
      <c r="D84" s="480">
        <f t="shared" si="15"/>
        <v>-1447</v>
      </c>
      <c r="E84" s="480">
        <f t="shared" si="15"/>
        <v>0</v>
      </c>
      <c r="F84" s="166">
        <f t="shared" ref="F84:I84" si="16">SUM(F69:F83)</f>
        <v>1706721</v>
      </c>
      <c r="G84" s="166">
        <f t="shared" si="16"/>
        <v>0</v>
      </c>
      <c r="H84" s="166">
        <f t="shared" si="16"/>
        <v>0</v>
      </c>
      <c r="I84" s="166">
        <f t="shared" si="16"/>
        <v>1706721</v>
      </c>
      <c r="J84" s="167">
        <f t="shared" si="11"/>
        <v>0.36334549650433018</v>
      </c>
      <c r="K84" s="458"/>
      <c r="L84" s="187"/>
      <c r="M84" s="163"/>
      <c r="N84" s="227"/>
      <c r="O84" s="324">
        <f t="shared" si="12"/>
        <v>234.60082474226803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N85" s="227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N86" s="227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'[57]Sch C'!D75</f>
        <v>33842</v>
      </c>
      <c r="D87" s="480">
        <f>'[57]Sch C'!F75</f>
        <v>0</v>
      </c>
      <c r="E87" s="480">
        <f>+'[57]Sch C'!H75</f>
        <v>0</v>
      </c>
      <c r="F87" s="166">
        <f t="shared" ref="F87:F97" si="17">C87+D87+E87</f>
        <v>33842</v>
      </c>
      <c r="G87" s="626"/>
      <c r="H87" s="607"/>
      <c r="I87" s="166">
        <f t="shared" ref="I87:I97" si="18">F87+G87+H87</f>
        <v>33842</v>
      </c>
      <c r="J87" s="167">
        <f t="shared" ref="J87:J98" si="19">IF($I$213=0,0,I87/$I$213)</f>
        <v>7.2046563513893267E-3</v>
      </c>
      <c r="K87" s="458"/>
      <c r="L87" s="176">
        <v>1623</v>
      </c>
      <c r="M87" s="176">
        <v>1751</v>
      </c>
      <c r="N87" s="227"/>
      <c r="O87" s="324">
        <f t="shared" ref="O87:O97" si="20">I87/I$233</f>
        <v>4.6518213058419242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'[57]Sch C'!D76</f>
        <v>5956</v>
      </c>
      <c r="D88" s="480">
        <f>'[57]Sch C'!F76</f>
        <v>1573</v>
      </c>
      <c r="E88" s="480">
        <f>+'[57]Sch C'!H76</f>
        <v>0</v>
      </c>
      <c r="F88" s="166">
        <f t="shared" si="17"/>
        <v>7529</v>
      </c>
      <c r="G88" s="626"/>
      <c r="H88" s="607"/>
      <c r="I88" s="166">
        <f t="shared" si="18"/>
        <v>7529</v>
      </c>
      <c r="J88" s="167">
        <f t="shared" si="19"/>
        <v>1.6028561453108633E-3</v>
      </c>
      <c r="K88" s="458"/>
      <c r="L88" s="163"/>
      <c r="M88" s="163"/>
      <c r="N88" s="227"/>
      <c r="O88" s="324">
        <f t="shared" si="20"/>
        <v>1.034914089347079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'[57]Sch C'!D77</f>
        <v>3349</v>
      </c>
      <c r="D89" s="480">
        <f>'[57]Sch C'!F77</f>
        <v>0</v>
      </c>
      <c r="E89" s="480">
        <f>+'[57]Sch C'!H77</f>
        <v>0</v>
      </c>
      <c r="F89" s="166">
        <f t="shared" si="17"/>
        <v>3349</v>
      </c>
      <c r="G89" s="626"/>
      <c r="H89" s="607"/>
      <c r="I89" s="166">
        <f t="shared" si="18"/>
        <v>3349</v>
      </c>
      <c r="J89" s="167">
        <f t="shared" si="19"/>
        <v>7.1297187284447884E-4</v>
      </c>
      <c r="K89" s="458"/>
      <c r="L89" s="163"/>
      <c r="M89" s="163"/>
      <c r="N89" s="227"/>
      <c r="O89" s="324">
        <f t="shared" si="20"/>
        <v>0.46034364261168387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'[57]Sch C'!D78</f>
        <v>0</v>
      </c>
      <c r="D90" s="480">
        <f>'[57]Sch C'!F78</f>
        <v>0</v>
      </c>
      <c r="E90" s="480">
        <f>+'[57]Sch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N90" s="227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'[57]Sch C'!D79</f>
        <v>17402</v>
      </c>
      <c r="D91" s="480">
        <f>'[57]Sch C'!F79</f>
        <v>11292</v>
      </c>
      <c r="E91" s="480">
        <f>+'[57]Sch C'!H79</f>
        <v>0</v>
      </c>
      <c r="F91" s="166">
        <f t="shared" si="17"/>
        <v>28694</v>
      </c>
      <c r="G91" s="626"/>
      <c r="H91" s="607"/>
      <c r="I91" s="166">
        <f t="shared" si="18"/>
        <v>28694</v>
      </c>
      <c r="J91" s="167">
        <f t="shared" si="19"/>
        <v>6.1086936158254636E-3</v>
      </c>
      <c r="K91" s="458"/>
      <c r="L91" s="163"/>
      <c r="M91" s="163"/>
      <c r="N91" s="227"/>
      <c r="O91" s="324">
        <f t="shared" si="20"/>
        <v>3.944192439862543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'[57]Sch C'!D80</f>
        <v>20409</v>
      </c>
      <c r="D92" s="480">
        <f>'[57]Sch C'!F80</f>
        <v>0</v>
      </c>
      <c r="E92" s="480">
        <f>+'[57]Sch C'!H80</f>
        <v>0</v>
      </c>
      <c r="F92" s="166">
        <f t="shared" si="17"/>
        <v>20409</v>
      </c>
      <c r="G92" s="626"/>
      <c r="H92" s="607"/>
      <c r="I92" s="166">
        <f t="shared" si="18"/>
        <v>20409</v>
      </c>
      <c r="J92" s="167">
        <f t="shared" si="19"/>
        <v>4.3448918939632637E-3</v>
      </c>
      <c r="K92" s="458"/>
      <c r="L92" s="163"/>
      <c r="M92" s="163"/>
      <c r="N92" s="227"/>
      <c r="O92" s="324">
        <f t="shared" si="20"/>
        <v>2.8053608247422681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'[57]Sch C'!D81</f>
        <v>1015</v>
      </c>
      <c r="D93" s="480">
        <f>'[57]Sch C'!F81</f>
        <v>0</v>
      </c>
      <c r="E93" s="480">
        <f>+'[57]Sch C'!H81</f>
        <v>0</v>
      </c>
      <c r="F93" s="166">
        <f t="shared" si="17"/>
        <v>1015</v>
      </c>
      <c r="G93" s="626"/>
      <c r="H93" s="607"/>
      <c r="I93" s="166">
        <f t="shared" si="18"/>
        <v>1015</v>
      </c>
      <c r="J93" s="167">
        <f t="shared" si="19"/>
        <v>2.160843388883685E-4</v>
      </c>
      <c r="K93" s="458"/>
      <c r="L93" s="163"/>
      <c r="M93" s="163"/>
      <c r="N93" s="227"/>
      <c r="O93" s="324">
        <f t="shared" si="20"/>
        <v>0.13951890034364262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'[57]Sch C'!D82</f>
        <v>52</v>
      </c>
      <c r="D94" s="480">
        <f>'[57]Sch C'!F82</f>
        <v>0</v>
      </c>
      <c r="E94" s="480">
        <f>+'[57]Sch C'!H82</f>
        <v>0</v>
      </c>
      <c r="F94" s="166">
        <f t="shared" si="17"/>
        <v>52</v>
      </c>
      <c r="G94" s="626"/>
      <c r="H94" s="607"/>
      <c r="I94" s="166">
        <f t="shared" si="18"/>
        <v>52</v>
      </c>
      <c r="J94" s="167">
        <f t="shared" si="19"/>
        <v>1.1070330662261243E-5</v>
      </c>
      <c r="K94" s="458"/>
      <c r="L94" s="163"/>
      <c r="M94" s="163"/>
      <c r="N94" s="227"/>
      <c r="O94" s="324">
        <f t="shared" si="20"/>
        <v>7.1477663230240553E-3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'[57]Sch C'!D83</f>
        <v>921</v>
      </c>
      <c r="D95" s="480">
        <f>'[57]Sch C'!F83</f>
        <v>0</v>
      </c>
      <c r="E95" s="480">
        <f>+'[57]Sch C'!H83</f>
        <v>0</v>
      </c>
      <c r="F95" s="166">
        <f t="shared" si="17"/>
        <v>921</v>
      </c>
      <c r="G95" s="626"/>
      <c r="H95" s="607"/>
      <c r="I95" s="166">
        <f t="shared" si="18"/>
        <v>921</v>
      </c>
      <c r="J95" s="167">
        <f t="shared" si="19"/>
        <v>1.9607258730658855E-4</v>
      </c>
      <c r="K95" s="458"/>
      <c r="L95" s="163"/>
      <c r="M95" s="163"/>
      <c r="N95" s="227"/>
      <c r="O95" s="324">
        <f t="shared" si="20"/>
        <v>0.1265979381443299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'[57]Sch C'!D84</f>
        <v>83619</v>
      </c>
      <c r="D96" s="480">
        <f>'[57]Sch C'!F84</f>
        <v>0</v>
      </c>
      <c r="E96" s="480">
        <f>+'[57]Sch C'!H84</f>
        <v>0</v>
      </c>
      <c r="F96" s="166">
        <f t="shared" si="17"/>
        <v>83619</v>
      </c>
      <c r="G96" s="626"/>
      <c r="H96" s="607"/>
      <c r="I96" s="166">
        <f t="shared" si="18"/>
        <v>83619</v>
      </c>
      <c r="J96" s="167">
        <f t="shared" si="19"/>
        <v>1.7801730377838901E-2</v>
      </c>
      <c r="K96" s="458"/>
      <c r="L96" s="163"/>
      <c r="M96" s="163"/>
      <c r="N96" s="227"/>
      <c r="O96" s="324">
        <f t="shared" si="20"/>
        <v>11.494020618556702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'[57]Sch C'!D85</f>
        <v>39</v>
      </c>
      <c r="D97" s="480">
        <f>'[57]Sch C'!F85</f>
        <v>0</v>
      </c>
      <c r="E97" s="480">
        <f>+'[57]Sch C'!H85</f>
        <v>0</v>
      </c>
      <c r="F97" s="166">
        <f t="shared" si="17"/>
        <v>39</v>
      </c>
      <c r="G97" s="626"/>
      <c r="H97" s="607"/>
      <c r="I97" s="166">
        <f t="shared" si="18"/>
        <v>39</v>
      </c>
      <c r="J97" s="167">
        <f t="shared" si="19"/>
        <v>8.3027479966959318E-6</v>
      </c>
      <c r="K97" s="458"/>
      <c r="L97" s="163"/>
      <c r="M97" s="163"/>
      <c r="N97" s="227"/>
      <c r="O97" s="324">
        <f t="shared" si="20"/>
        <v>5.3608247422680414E-3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166604</v>
      </c>
      <c r="D98" s="480">
        <f t="shared" si="21"/>
        <v>12865</v>
      </c>
      <c r="E98" s="480">
        <f t="shared" si="21"/>
        <v>0</v>
      </c>
      <c r="F98" s="166">
        <f t="shared" ref="F98:I98" si="22">SUM(F87:F97)</f>
        <v>179469</v>
      </c>
      <c r="G98" s="166">
        <f t="shared" si="22"/>
        <v>0</v>
      </c>
      <c r="H98" s="166">
        <f t="shared" si="22"/>
        <v>0</v>
      </c>
      <c r="I98" s="166">
        <f t="shared" si="22"/>
        <v>179469</v>
      </c>
      <c r="J98" s="167">
        <f t="shared" si="19"/>
        <v>3.8207330262026211E-2</v>
      </c>
      <c r="K98" s="458"/>
      <c r="L98" s="163"/>
      <c r="M98" s="163"/>
      <c r="N98" s="227"/>
      <c r="O98" s="329">
        <f>I98/I$233</f>
        <v>24.669278350515462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N99" s="227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N100" s="227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'[57]Sch C'!D89</f>
        <v>126273</v>
      </c>
      <c r="D101" s="480">
        <f>'[57]Sch C'!F89</f>
        <v>0</v>
      </c>
      <c r="E101" s="480">
        <f>+'[57]Sch C'!H89</f>
        <v>0</v>
      </c>
      <c r="F101" s="166">
        <f t="shared" ref="F101:F106" si="23">C101+D101+E101</f>
        <v>126273</v>
      </c>
      <c r="G101" s="626"/>
      <c r="H101" s="607"/>
      <c r="I101" s="166">
        <f t="shared" ref="I101:I106" si="24">F101+G101+H101</f>
        <v>126273</v>
      </c>
      <c r="J101" s="167">
        <f t="shared" ref="J101:J107" si="25">IF($I$213=0,0,I101/$I$213)</f>
        <v>2.688238199453296E-2</v>
      </c>
      <c r="K101" s="458"/>
      <c r="L101" s="176">
        <v>7943</v>
      </c>
      <c r="M101" s="176">
        <v>8159</v>
      </c>
      <c r="N101" s="227"/>
      <c r="O101" s="329">
        <f t="shared" ref="O101:O106" si="26">I101/I$233</f>
        <v>17.357113402061856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'[57]Sch C'!D90</f>
        <v>16218</v>
      </c>
      <c r="D102" s="480">
        <f>'[57]Sch C'!F90</f>
        <v>5870</v>
      </c>
      <c r="E102" s="480">
        <f>+'[57]Sch C'!H90</f>
        <v>0</v>
      </c>
      <c r="F102" s="166">
        <f t="shared" si="23"/>
        <v>22088</v>
      </c>
      <c r="G102" s="626"/>
      <c r="H102" s="607"/>
      <c r="I102" s="166">
        <f t="shared" si="24"/>
        <v>22088</v>
      </c>
      <c r="J102" s="167">
        <f t="shared" si="25"/>
        <v>4.7023358397697375E-3</v>
      </c>
      <c r="K102" s="458"/>
      <c r="L102" s="163"/>
      <c r="M102" s="163"/>
      <c r="N102" s="227"/>
      <c r="O102" s="329">
        <f t="shared" si="26"/>
        <v>3.0361512027491409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'[57]Sch C'!D91</f>
        <v>14980</v>
      </c>
      <c r="D103" s="480">
        <f>'[57]Sch C'!F91</f>
        <v>0</v>
      </c>
      <c r="E103" s="480">
        <f>+'[57]Sch C'!H91</f>
        <v>0</v>
      </c>
      <c r="F103" s="166">
        <f t="shared" si="23"/>
        <v>14980</v>
      </c>
      <c r="G103" s="626"/>
      <c r="H103" s="607"/>
      <c r="I103" s="166">
        <f t="shared" si="24"/>
        <v>14980</v>
      </c>
      <c r="J103" s="167">
        <f t="shared" si="25"/>
        <v>3.1891067946283351E-3</v>
      </c>
      <c r="K103" s="458"/>
      <c r="L103" s="163"/>
      <c r="M103" s="163"/>
      <c r="N103" s="227"/>
      <c r="O103" s="329">
        <f t="shared" si="26"/>
        <v>2.0591065292096218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'[57]Sch C'!D92</f>
        <v>66424</v>
      </c>
      <c r="D104" s="480">
        <f>'[57]Sch C'!F92</f>
        <v>0</v>
      </c>
      <c r="E104" s="480">
        <f>+'[57]Sch C'!H92</f>
        <v>0</v>
      </c>
      <c r="F104" s="166">
        <f t="shared" si="23"/>
        <v>66424</v>
      </c>
      <c r="G104" s="626"/>
      <c r="H104" s="607"/>
      <c r="I104" s="166">
        <f t="shared" si="24"/>
        <v>66424</v>
      </c>
      <c r="J104" s="167">
        <f t="shared" si="25"/>
        <v>1.4141070075193092E-2</v>
      </c>
      <c r="K104" s="458"/>
      <c r="L104" s="163"/>
      <c r="M104" s="163"/>
      <c r="N104" s="227"/>
      <c r="O104" s="329">
        <f t="shared" si="26"/>
        <v>9.1304467353951893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'[57]Sch C'!D93</f>
        <v>13019</v>
      </c>
      <c r="D105" s="480">
        <f>'[57]Sch C'!F93</f>
        <v>1457</v>
      </c>
      <c r="E105" s="480">
        <f>+'[57]Sch C'!H93</f>
        <v>0</v>
      </c>
      <c r="F105" s="166">
        <f t="shared" si="23"/>
        <v>14476</v>
      </c>
      <c r="G105" s="626"/>
      <c r="H105" s="607"/>
      <c r="I105" s="166">
        <f t="shared" si="24"/>
        <v>14476</v>
      </c>
      <c r="J105" s="167">
        <f t="shared" si="25"/>
        <v>3.0818097435941108E-3</v>
      </c>
      <c r="K105" s="458"/>
      <c r="L105" s="163"/>
      <c r="M105" s="163"/>
      <c r="N105" s="227"/>
      <c r="O105" s="329">
        <f t="shared" si="26"/>
        <v>1.9898281786941581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'[57]Sch C'!D94</f>
        <v>293</v>
      </c>
      <c r="D106" s="480">
        <f>'[57]Sch C'!F94</f>
        <v>0</v>
      </c>
      <c r="E106" s="480">
        <f>+'[57]Sch C'!H94</f>
        <v>0</v>
      </c>
      <c r="F106" s="166">
        <f t="shared" si="23"/>
        <v>293</v>
      </c>
      <c r="G106" s="626"/>
      <c r="H106" s="607"/>
      <c r="I106" s="166">
        <f t="shared" si="24"/>
        <v>293</v>
      </c>
      <c r="J106" s="167">
        <f t="shared" si="25"/>
        <v>6.237705546235662E-5</v>
      </c>
      <c r="K106" s="458"/>
      <c r="L106" s="163"/>
      <c r="M106" s="163"/>
      <c r="N106" s="227"/>
      <c r="O106" s="329">
        <f t="shared" si="26"/>
        <v>4.027491408934708E-2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237207</v>
      </c>
      <c r="D107" s="480">
        <f t="shared" si="27"/>
        <v>7327</v>
      </c>
      <c r="E107" s="480">
        <f t="shared" si="27"/>
        <v>0</v>
      </c>
      <c r="F107" s="166">
        <f t="shared" ref="F107:I107" si="28">SUM(F101:F106)</f>
        <v>244534</v>
      </c>
      <c r="G107" s="166">
        <f t="shared" si="28"/>
        <v>0</v>
      </c>
      <c r="H107" s="166">
        <f t="shared" si="28"/>
        <v>0</v>
      </c>
      <c r="I107" s="166">
        <f t="shared" si="28"/>
        <v>244534</v>
      </c>
      <c r="J107" s="167">
        <f t="shared" si="25"/>
        <v>5.2059081503180595E-2</v>
      </c>
      <c r="K107" s="458"/>
      <c r="L107" s="163"/>
      <c r="M107" s="163"/>
      <c r="N107" s="227"/>
      <c r="O107" s="329">
        <f>I107/I$233</f>
        <v>33.612920962199311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N108" s="227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N109" s="227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'[57]Sch C'!D98</f>
        <v>2490</v>
      </c>
      <c r="D110" s="480">
        <f>'[57]Sch C'!F98</f>
        <v>0</v>
      </c>
      <c r="E110" s="480">
        <f>+'[57]Sch C'!H98</f>
        <v>0</v>
      </c>
      <c r="F110" s="166">
        <f t="shared" ref="F110:F115" si="29">C110+D110+E110</f>
        <v>2490</v>
      </c>
      <c r="G110" s="626"/>
      <c r="H110" s="607"/>
      <c r="I110" s="166">
        <f t="shared" ref="I110:I115" si="30">F110+G110+H110</f>
        <v>2490</v>
      </c>
      <c r="J110" s="167">
        <f t="shared" ref="J110:J116" si="31">IF($I$213=0,0,I110/$I$213)</f>
        <v>5.3009852594289417E-4</v>
      </c>
      <c r="K110" s="458"/>
      <c r="L110" s="176">
        <v>121</v>
      </c>
      <c r="M110" s="176">
        <v>124</v>
      </c>
      <c r="N110" s="227"/>
      <c r="O110" s="329">
        <f t="shared" ref="O110:O115" si="32">I110/I$233</f>
        <v>0.34226804123711341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'[57]Sch C'!D99</f>
        <v>290</v>
      </c>
      <c r="D111" s="480">
        <f>'[57]Sch C'!F99</f>
        <v>116</v>
      </c>
      <c r="E111" s="480">
        <f>+'[57]Sch C'!H99</f>
        <v>0</v>
      </c>
      <c r="F111" s="166">
        <f t="shared" si="29"/>
        <v>406</v>
      </c>
      <c r="G111" s="626"/>
      <c r="H111" s="607"/>
      <c r="I111" s="166">
        <f t="shared" si="30"/>
        <v>406</v>
      </c>
      <c r="J111" s="167">
        <f t="shared" si="31"/>
        <v>8.6433735555347402E-5</v>
      </c>
      <c r="K111" s="458"/>
      <c r="L111" s="163"/>
      <c r="M111" s="163"/>
      <c r="N111" s="227"/>
      <c r="O111" s="329">
        <f t="shared" si="32"/>
        <v>5.5807560137457045E-2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'[57]Sch C'!D100</f>
        <v>1832</v>
      </c>
      <c r="D112" s="480">
        <f>'[57]Sch C'!F100</f>
        <v>0</v>
      </c>
      <c r="E112" s="480">
        <f>+'[57]Sch C'!H100</f>
        <v>0</v>
      </c>
      <c r="F112" s="166">
        <f t="shared" si="29"/>
        <v>1832</v>
      </c>
      <c r="G112" s="626"/>
      <c r="H112" s="607"/>
      <c r="I112" s="166">
        <f t="shared" si="30"/>
        <v>1832</v>
      </c>
      <c r="J112" s="167">
        <f t="shared" si="31"/>
        <v>3.9001626487043453E-4</v>
      </c>
      <c r="K112" s="458"/>
      <c r="L112" s="163"/>
      <c r="M112" s="163"/>
      <c r="N112" s="227"/>
      <c r="O112" s="329">
        <f t="shared" si="32"/>
        <v>0.25182130584192441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'[57]Sch C'!D101</f>
        <v>0</v>
      </c>
      <c r="D113" s="480">
        <f>'[57]Sch C'!F101</f>
        <v>0</v>
      </c>
      <c r="E113" s="480">
        <f>+'[57]Sch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N113" s="227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'[57]Sch C'!D102</f>
        <v>310</v>
      </c>
      <c r="D114" s="480">
        <f>'[57]Sch C'!F102</f>
        <v>0</v>
      </c>
      <c r="E114" s="480">
        <f>+'[57]Sch C'!H102</f>
        <v>0</v>
      </c>
      <c r="F114" s="166">
        <f t="shared" si="29"/>
        <v>310</v>
      </c>
      <c r="G114" s="626"/>
      <c r="H114" s="607"/>
      <c r="I114" s="166">
        <f t="shared" si="30"/>
        <v>310</v>
      </c>
      <c r="J114" s="167">
        <f t="shared" si="31"/>
        <v>6.5996202025018943E-5</v>
      </c>
      <c r="K114" s="458"/>
      <c r="L114" s="163"/>
      <c r="M114" s="163"/>
      <c r="N114" s="227"/>
      <c r="O114" s="329">
        <f t="shared" si="32"/>
        <v>4.2611683848797252E-2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'[57]Sch C'!D103</f>
        <v>0</v>
      </c>
      <c r="D115" s="480">
        <f>'[57]Sch C'!F103</f>
        <v>0</v>
      </c>
      <c r="E115" s="480">
        <f>+'[57]Sch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N115" s="227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4922</v>
      </c>
      <c r="D116" s="480">
        <f t="shared" si="33"/>
        <v>116</v>
      </c>
      <c r="E116" s="480">
        <f t="shared" si="33"/>
        <v>0</v>
      </c>
      <c r="F116" s="166">
        <f t="shared" ref="F116:I116" si="34">SUM(F110:F115)</f>
        <v>5038</v>
      </c>
      <c r="G116" s="166">
        <f t="shared" si="34"/>
        <v>0</v>
      </c>
      <c r="H116" s="166">
        <f t="shared" si="34"/>
        <v>0</v>
      </c>
      <c r="I116" s="166">
        <f t="shared" si="34"/>
        <v>5038</v>
      </c>
      <c r="J116" s="167">
        <f t="shared" si="31"/>
        <v>1.0725447283936951E-3</v>
      </c>
      <c r="K116" s="458"/>
      <c r="L116" s="163"/>
      <c r="M116" s="163"/>
      <c r="N116" s="227"/>
      <c r="O116" s="329">
        <f>I116/I$233</f>
        <v>0.69250859106529206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N117" s="227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N118" s="227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'[57]Sch C'!D115</f>
        <v>31179</v>
      </c>
      <c r="D119" s="480">
        <f>'[57]Sch C'!F115</f>
        <v>0</v>
      </c>
      <c r="E119" s="480">
        <f>+'[57]Sch C'!H115</f>
        <v>0</v>
      </c>
      <c r="F119" s="166">
        <f t="shared" ref="F119:F123" si="35">C119+D119+E119</f>
        <v>31179</v>
      </c>
      <c r="G119" s="626"/>
      <c r="H119" s="607"/>
      <c r="I119" s="166">
        <f t="shared" ref="I119:I123" si="36">F119+G119+H119</f>
        <v>31179</v>
      </c>
      <c r="J119" s="167">
        <f t="shared" ref="J119:J124" si="37">IF($I$213=0,0,I119/$I$213)</f>
        <v>6.6377276868969867E-3</v>
      </c>
      <c r="K119" s="458"/>
      <c r="L119" s="176">
        <v>2595</v>
      </c>
      <c r="M119" s="176">
        <v>2666</v>
      </c>
      <c r="N119" s="227"/>
      <c r="O119" s="329">
        <f t="shared" ref="O119:O124" si="38">I119/I$233</f>
        <v>4.2857731958762884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'[57]Sch C'!D116</f>
        <v>3740</v>
      </c>
      <c r="D120" s="480">
        <f>'[57]Sch C'!F116</f>
        <v>1449</v>
      </c>
      <c r="E120" s="480">
        <f>+'[57]Sch C'!H116</f>
        <v>0</v>
      </c>
      <c r="F120" s="166">
        <f t="shared" si="35"/>
        <v>5189</v>
      </c>
      <c r="G120" s="626"/>
      <c r="H120" s="607"/>
      <c r="I120" s="166">
        <f t="shared" si="36"/>
        <v>5189</v>
      </c>
      <c r="J120" s="167">
        <f t="shared" si="37"/>
        <v>1.1046912655091074E-3</v>
      </c>
      <c r="K120" s="458"/>
      <c r="L120" s="163"/>
      <c r="M120" s="163"/>
      <c r="N120" s="227"/>
      <c r="O120" s="329">
        <f t="shared" si="38"/>
        <v>0.71326460481099652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'[57]Sch C'!D117</f>
        <v>6175</v>
      </c>
      <c r="D121" s="480">
        <f>'[57]Sch C'!F117</f>
        <v>0</v>
      </c>
      <c r="E121" s="480">
        <f>+'[57]Sch C'!H117</f>
        <v>0</v>
      </c>
      <c r="F121" s="166">
        <f t="shared" si="35"/>
        <v>6175</v>
      </c>
      <c r="G121" s="626"/>
      <c r="H121" s="607"/>
      <c r="I121" s="166">
        <f t="shared" si="36"/>
        <v>6175</v>
      </c>
      <c r="J121" s="167">
        <f t="shared" si="37"/>
        <v>1.3146017661435226E-3</v>
      </c>
      <c r="K121" s="458"/>
      <c r="L121" s="163"/>
      <c r="M121" s="163"/>
      <c r="N121" s="227"/>
      <c r="O121" s="329">
        <f t="shared" si="38"/>
        <v>0.84879725085910651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'[57]Sch C'!D118</f>
        <v>983</v>
      </c>
      <c r="D122" s="480">
        <f>'[57]Sch C'!F118</f>
        <v>0</v>
      </c>
      <c r="E122" s="480">
        <f>+'[57]Sch C'!H118</f>
        <v>0</v>
      </c>
      <c r="F122" s="166">
        <f t="shared" si="35"/>
        <v>983</v>
      </c>
      <c r="G122" s="626"/>
      <c r="H122" s="607"/>
      <c r="I122" s="166">
        <f t="shared" si="36"/>
        <v>983</v>
      </c>
      <c r="J122" s="167">
        <f t="shared" si="37"/>
        <v>2.0927182771159235E-4</v>
      </c>
      <c r="K122" s="458"/>
      <c r="L122" s="163"/>
      <c r="M122" s="163"/>
      <c r="N122" s="227"/>
      <c r="O122" s="329">
        <f t="shared" si="38"/>
        <v>0.13512027491408934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'[57]Sch C'!D119</f>
        <v>36</v>
      </c>
      <c r="D123" s="480">
        <f>'[57]Sch C'!F119</f>
        <v>0</v>
      </c>
      <c r="E123" s="480">
        <f>+'[57]Sch C'!H119</f>
        <v>0</v>
      </c>
      <c r="F123" s="166">
        <f t="shared" si="35"/>
        <v>36</v>
      </c>
      <c r="G123" s="626"/>
      <c r="H123" s="607"/>
      <c r="I123" s="166">
        <f t="shared" si="36"/>
        <v>36</v>
      </c>
      <c r="J123" s="167">
        <f t="shared" si="37"/>
        <v>7.6640750738731687E-6</v>
      </c>
      <c r="K123" s="458"/>
      <c r="L123" s="163"/>
      <c r="M123" s="163"/>
      <c r="N123" s="227"/>
      <c r="O123" s="329">
        <f t="shared" si="38"/>
        <v>4.9484536082474223E-3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42113</v>
      </c>
      <c r="D124" s="480">
        <f t="shared" si="39"/>
        <v>1449</v>
      </c>
      <c r="E124" s="480">
        <f t="shared" si="39"/>
        <v>0</v>
      </c>
      <c r="F124" s="166">
        <f t="shared" ref="F124:I124" si="40">SUM(F119:F123)</f>
        <v>43562</v>
      </c>
      <c r="G124" s="166">
        <f t="shared" si="40"/>
        <v>0</v>
      </c>
      <c r="H124" s="166">
        <f t="shared" si="40"/>
        <v>0</v>
      </c>
      <c r="I124" s="166">
        <f t="shared" si="40"/>
        <v>43562</v>
      </c>
      <c r="J124" s="167">
        <f t="shared" si="37"/>
        <v>9.2739566213350822E-3</v>
      </c>
      <c r="K124" s="458"/>
      <c r="L124" s="163"/>
      <c r="M124" s="163"/>
      <c r="N124" s="227"/>
      <c r="O124" s="329">
        <f t="shared" si="38"/>
        <v>5.9879037800687289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N125" s="227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N126" s="227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N127" s="227"/>
      <c r="O127" s="324"/>
      <c r="P127" s="324"/>
    </row>
    <row r="128" spans="1:16" s="162" customFormat="1">
      <c r="B128" s="323" t="s">
        <v>672</v>
      </c>
      <c r="C128" s="480">
        <f>'[57]Sch C'!D124</f>
        <v>0</v>
      </c>
      <c r="D128" s="480">
        <f>'[57]Sch C'!F124</f>
        <v>0</v>
      </c>
      <c r="E128" s="480">
        <f>+'[57]Sch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N128" s="227"/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'[57]Sch C'!D125</f>
        <v>126003</v>
      </c>
      <c r="D129" s="480">
        <f>'[57]Sch C'!F125</f>
        <v>0</v>
      </c>
      <c r="E129" s="480">
        <f>+'[57]Sch C'!H125</f>
        <v>27911</v>
      </c>
      <c r="F129" s="166">
        <f t="shared" si="41"/>
        <v>153914</v>
      </c>
      <c r="G129" s="626"/>
      <c r="H129" s="607"/>
      <c r="I129" s="166">
        <f t="shared" si="42"/>
        <v>153914</v>
      </c>
      <c r="J129" s="167">
        <f>IF($I$213=0,0,I129/$I$213)</f>
        <v>3.276690141444763E-2</v>
      </c>
      <c r="K129" s="458" t="s">
        <v>374</v>
      </c>
      <c r="L129" s="176">
        <v>4361</v>
      </c>
      <c r="M129" s="176">
        <v>4726</v>
      </c>
      <c r="N129" s="227"/>
      <c r="O129" s="329">
        <f t="shared" si="43"/>
        <v>21.156563573883162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'[57]Sch C'!D126</f>
        <v>62087</v>
      </c>
      <c r="D130" s="480">
        <f>'[57]Sch C'!F126</f>
        <v>0</v>
      </c>
      <c r="E130" s="480">
        <f>+'[57]Sch C'!H126</f>
        <v>0</v>
      </c>
      <c r="F130" s="166">
        <f t="shared" si="41"/>
        <v>62087</v>
      </c>
      <c r="G130" s="626"/>
      <c r="H130" s="607"/>
      <c r="I130" s="166">
        <f t="shared" si="42"/>
        <v>62087</v>
      </c>
      <c r="J130" s="167">
        <f>IF($I$213=0,0,I130/$I$213)</f>
        <v>1.3217761919765649E-2</v>
      </c>
      <c r="K130" s="458"/>
      <c r="L130" s="176">
        <v>1871</v>
      </c>
      <c r="M130" s="176">
        <v>1895</v>
      </c>
      <c r="N130" s="227"/>
      <c r="O130" s="329">
        <f t="shared" si="43"/>
        <v>8.5342955326460483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'[57]Sch C'!D127</f>
        <v>0</v>
      </c>
      <c r="D131" s="480">
        <f>'[57]Sch C'!F127</f>
        <v>0</v>
      </c>
      <c r="E131" s="480">
        <f>+'[57]Sch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N131" s="227"/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'[57]Sch C'!D128</f>
        <v>8638</v>
      </c>
      <c r="D132" s="480">
        <f>'[57]Sch C'!F128</f>
        <v>0</v>
      </c>
      <c r="E132" s="480">
        <f>+'[57]Sch C'!H128</f>
        <v>0</v>
      </c>
      <c r="F132" s="166">
        <f t="shared" si="41"/>
        <v>8638</v>
      </c>
      <c r="G132" s="626"/>
      <c r="H132" s="607"/>
      <c r="I132" s="166">
        <f t="shared" si="42"/>
        <v>8638</v>
      </c>
      <c r="J132" s="167">
        <f>IF($I$213=0,0,I132/$I$213)</f>
        <v>1.8389522357810117E-3</v>
      </c>
      <c r="K132" s="458"/>
      <c r="L132" s="176">
        <v>631</v>
      </c>
      <c r="M132" s="176">
        <v>631</v>
      </c>
      <c r="N132" s="227"/>
      <c r="O132" s="329">
        <f t="shared" si="43"/>
        <v>1.1873539518900345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N133" s="227"/>
      <c r="O133" s="329"/>
      <c r="P133" s="324"/>
    </row>
    <row r="134" spans="1:16" s="162" customFormat="1">
      <c r="A134" s="164"/>
      <c r="B134" s="257" t="s">
        <v>680</v>
      </c>
      <c r="C134" s="480">
        <f>'[57]Sch C'!D130</f>
        <v>0</v>
      </c>
      <c r="D134" s="480">
        <f>'[57]Sch C'!F130</f>
        <v>0</v>
      </c>
      <c r="E134" s="480">
        <f>+'[57]Sch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N134" s="227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'[57]Sch C'!D131</f>
        <v>0</v>
      </c>
      <c r="D135" s="480">
        <f>'[57]Sch C'!F131</f>
        <v>5857</v>
      </c>
      <c r="E135" s="480">
        <f>+'[57]Sch C'!H131</f>
        <v>2599</v>
      </c>
      <c r="F135" s="166">
        <f t="shared" si="44"/>
        <v>8456</v>
      </c>
      <c r="G135" s="626"/>
      <c r="H135" s="607"/>
      <c r="I135" s="166">
        <f t="shared" si="45"/>
        <v>8456</v>
      </c>
      <c r="J135" s="167">
        <f>IF($I$213=0,0,I135/$I$213)</f>
        <v>1.8002060784630975E-3</v>
      </c>
      <c r="K135" s="458" t="s">
        <v>374</v>
      </c>
      <c r="L135" s="196"/>
      <c r="M135" s="196"/>
      <c r="N135" s="227"/>
      <c r="O135" s="329">
        <f t="shared" si="43"/>
        <v>1.1623367697594502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'[57]Sch C'!D132</f>
        <v>0</v>
      </c>
      <c r="D136" s="480">
        <f>'[57]Sch C'!F132</f>
        <v>2886</v>
      </c>
      <c r="E136" s="480">
        <f>+'[57]Sch C'!H132</f>
        <v>0</v>
      </c>
      <c r="F136" s="166">
        <f t="shared" si="44"/>
        <v>2886</v>
      </c>
      <c r="G136" s="626"/>
      <c r="H136" s="607"/>
      <c r="I136" s="166">
        <f t="shared" si="45"/>
        <v>2886</v>
      </c>
      <c r="J136" s="167">
        <f>IF($I$213=0,0,I136/$I$213)</f>
        <v>6.1440335175549899E-4</v>
      </c>
      <c r="K136" s="458"/>
      <c r="L136" s="163"/>
      <c r="M136" s="163"/>
      <c r="N136" s="227"/>
      <c r="O136" s="329">
        <f t="shared" si="43"/>
        <v>0.39670103092783504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'[57]Sch C'!D133</f>
        <v>0</v>
      </c>
      <c r="D137" s="480">
        <f>'[57]Sch C'!F133</f>
        <v>0</v>
      </c>
      <c r="E137" s="480">
        <f>+'[57]Sch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N137" s="227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'[57]Sch C'!D134</f>
        <v>0</v>
      </c>
      <c r="D138" s="480">
        <f>'[57]Sch C'!F134</f>
        <v>402</v>
      </c>
      <c r="E138" s="480">
        <f>+'[57]Sch C'!H134</f>
        <v>0</v>
      </c>
      <c r="F138" s="166">
        <f t="shared" si="44"/>
        <v>402</v>
      </c>
      <c r="G138" s="626"/>
      <c r="H138" s="607"/>
      <c r="I138" s="166">
        <f t="shared" si="45"/>
        <v>402</v>
      </c>
      <c r="J138" s="167">
        <f>IF($I$213=0,0,I138/$I$213)</f>
        <v>8.558217165825038E-5</v>
      </c>
      <c r="K138" s="458"/>
      <c r="L138" s="163"/>
      <c r="M138" s="163"/>
      <c r="N138" s="227"/>
      <c r="O138" s="329">
        <f t="shared" si="43"/>
        <v>5.5257731958762886E-2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N139" s="227"/>
      <c r="O139" s="329"/>
      <c r="P139" s="324"/>
    </row>
    <row r="140" spans="1:16" s="162" customFormat="1">
      <c r="A140" s="164"/>
      <c r="B140" s="323" t="s">
        <v>686</v>
      </c>
      <c r="C140" s="480">
        <f>'[57]Sch C'!D136</f>
        <v>364716</v>
      </c>
      <c r="D140" s="480">
        <f>'[57]Sch C'!F136</f>
        <v>0</v>
      </c>
      <c r="E140" s="480">
        <f>+'[57]Sch C'!H136</f>
        <v>0</v>
      </c>
      <c r="F140" s="166">
        <f t="shared" ref="F140:F143" si="46">C140+D140+E140</f>
        <v>364716</v>
      </c>
      <c r="G140" s="626"/>
      <c r="H140" s="607"/>
      <c r="I140" s="166">
        <f t="shared" ref="I140:I143" si="47">F140+G140+H140</f>
        <v>364716</v>
      </c>
      <c r="J140" s="167">
        <f>IF($I$213=0,0,I140/$I$213)</f>
        <v>7.7644744573409072E-2</v>
      </c>
      <c r="K140" s="458"/>
      <c r="L140" s="176">
        <v>12206</v>
      </c>
      <c r="M140" s="176">
        <v>12647</v>
      </c>
      <c r="N140" s="227"/>
      <c r="O140" s="329">
        <f t="shared" si="43"/>
        <v>50.132783505154642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'[57]Sch C'!D137</f>
        <v>64871</v>
      </c>
      <c r="D141" s="480">
        <f>'[57]Sch C'!F137</f>
        <v>0</v>
      </c>
      <c r="E141" s="480">
        <f>+'[57]Sch C'!H137</f>
        <v>0</v>
      </c>
      <c r="F141" s="166">
        <f t="shared" si="46"/>
        <v>64871</v>
      </c>
      <c r="G141" s="626"/>
      <c r="H141" s="607"/>
      <c r="I141" s="166">
        <f t="shared" si="47"/>
        <v>64871</v>
      </c>
      <c r="J141" s="167">
        <f>IF($I$213=0,0,I141/$I$213)</f>
        <v>1.3810450392145174E-2</v>
      </c>
      <c r="K141" s="458"/>
      <c r="L141" s="176">
        <v>2513</v>
      </c>
      <c r="M141" s="176">
        <v>2545</v>
      </c>
      <c r="N141" s="227"/>
      <c r="O141" s="329">
        <f t="shared" si="43"/>
        <v>8.9169759450171817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'[57]Sch C'!D138</f>
        <v>218644</v>
      </c>
      <c r="D142" s="480">
        <f>'[57]Sch C'!F138</f>
        <v>0</v>
      </c>
      <c r="E142" s="480">
        <f>+'[57]Sch C'!H138</f>
        <v>0</v>
      </c>
      <c r="F142" s="166">
        <f t="shared" si="46"/>
        <v>218644</v>
      </c>
      <c r="G142" s="626"/>
      <c r="H142" s="607"/>
      <c r="I142" s="166">
        <f t="shared" si="47"/>
        <v>218644</v>
      </c>
      <c r="J142" s="167">
        <f>IF($I$213=0,0,I142/$I$213)</f>
        <v>4.6547334179220134E-2</v>
      </c>
      <c r="K142" s="458"/>
      <c r="L142" s="176">
        <v>17745</v>
      </c>
      <c r="M142" s="176">
        <v>18408</v>
      </c>
      <c r="N142" s="227"/>
      <c r="O142" s="329">
        <f t="shared" si="43"/>
        <v>30.054158075601375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'[57]Sch C'!D139</f>
        <v>10733</v>
      </c>
      <c r="D143" s="480">
        <f>'[57]Sch C'!F139</f>
        <v>0</v>
      </c>
      <c r="E143" s="480">
        <f>+'[57]Sch C'!H139</f>
        <v>0</v>
      </c>
      <c r="F143" s="166">
        <f t="shared" si="46"/>
        <v>10733</v>
      </c>
      <c r="G143" s="626"/>
      <c r="H143" s="607"/>
      <c r="I143" s="166">
        <f t="shared" si="47"/>
        <v>10733</v>
      </c>
      <c r="J143" s="167">
        <f>IF($I$213=0,0,I143/$I$213)</f>
        <v>2.2849588268855753E-3</v>
      </c>
      <c r="K143" s="458"/>
      <c r="L143" s="176">
        <v>1066</v>
      </c>
      <c r="M143" s="176">
        <v>1066</v>
      </c>
      <c r="N143" s="227"/>
      <c r="O143" s="329">
        <f t="shared" si="43"/>
        <v>1.4753264604810996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N144" s="227"/>
      <c r="O144" s="329"/>
      <c r="P144" s="324"/>
    </row>
    <row r="145" spans="1:16" s="162" customFormat="1">
      <c r="A145" s="164"/>
      <c r="B145" s="323" t="s">
        <v>681</v>
      </c>
      <c r="C145" s="480">
        <f>'[57]Sch C'!D141</f>
        <v>0</v>
      </c>
      <c r="D145" s="480">
        <f>'[57]Sch C'!F141</f>
        <v>16953</v>
      </c>
      <c r="E145" s="480">
        <f>+'[57]Sch C'!H141</f>
        <v>0</v>
      </c>
      <c r="F145" s="166">
        <f t="shared" ref="F145:F148" si="48">C145+D145+E145</f>
        <v>16953</v>
      </c>
      <c r="G145" s="626"/>
      <c r="H145" s="607"/>
      <c r="I145" s="166">
        <f t="shared" ref="I145:I148" si="49">F145+G145+H145</f>
        <v>16953</v>
      </c>
      <c r="J145" s="167">
        <f>IF($I$213=0,0,I145/$I$213)</f>
        <v>3.6091406868714393E-3</v>
      </c>
      <c r="K145" s="458"/>
      <c r="L145" s="163"/>
      <c r="M145" s="163"/>
      <c r="N145" s="227"/>
      <c r="O145" s="329">
        <f t="shared" si="43"/>
        <v>2.3303092783505153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'[57]Sch C'!D142</f>
        <v>0</v>
      </c>
      <c r="D146" s="480">
        <f>'[57]Sch C'!F142</f>
        <v>3015</v>
      </c>
      <c r="E146" s="480">
        <f>+'[57]Sch C'!H142</f>
        <v>0</v>
      </c>
      <c r="F146" s="166">
        <f t="shared" si="48"/>
        <v>3015</v>
      </c>
      <c r="G146" s="626"/>
      <c r="H146" s="607"/>
      <c r="I146" s="166">
        <f t="shared" si="49"/>
        <v>3015</v>
      </c>
      <c r="J146" s="167">
        <f>IF($I$213=0,0,I146/$I$213)</f>
        <v>6.4186628743687784E-4</v>
      </c>
      <c r="K146" s="458"/>
      <c r="L146" s="163"/>
      <c r="M146" s="163"/>
      <c r="N146" s="227"/>
      <c r="O146" s="329">
        <f t="shared" si="43"/>
        <v>0.41443298969072168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'[57]Sch C'!D143</f>
        <v>0</v>
      </c>
      <c r="D147" s="480">
        <f>'[57]Sch C'!F143</f>
        <v>10163</v>
      </c>
      <c r="E147" s="480">
        <f>+'[57]Sch C'!H143</f>
        <v>0</v>
      </c>
      <c r="F147" s="166">
        <f t="shared" si="48"/>
        <v>10163</v>
      </c>
      <c r="G147" s="626"/>
      <c r="H147" s="607"/>
      <c r="I147" s="166">
        <f t="shared" si="49"/>
        <v>10163</v>
      </c>
      <c r="J147" s="167">
        <f>IF($I$213=0,0,I147/$I$213)</f>
        <v>2.1636109715492502E-3</v>
      </c>
      <c r="K147" s="458"/>
      <c r="L147" s="163"/>
      <c r="M147" s="163"/>
      <c r="N147" s="227"/>
      <c r="O147" s="329">
        <f t="shared" si="43"/>
        <v>1.3969759450171821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'[57]Sch C'!D144</f>
        <v>111281</v>
      </c>
      <c r="D148" s="480">
        <f>'[57]Sch C'!F144</f>
        <v>499</v>
      </c>
      <c r="E148" s="480">
        <f>+'[57]Sch C'!H144</f>
        <v>0</v>
      </c>
      <c r="F148" s="166">
        <f t="shared" si="48"/>
        <v>111780</v>
      </c>
      <c r="G148" s="626"/>
      <c r="H148" s="607"/>
      <c r="I148" s="166">
        <f t="shared" si="49"/>
        <v>111780</v>
      </c>
      <c r="J148" s="167">
        <f>IF($I$213=0,0,I148/$I$213)</f>
        <v>2.3796953104376187E-2</v>
      </c>
      <c r="K148" s="458"/>
      <c r="L148" s="163"/>
      <c r="M148" s="163"/>
      <c r="N148" s="227"/>
      <c r="O148" s="329">
        <f t="shared" si="43"/>
        <v>15.364948453608248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N149" s="227"/>
      <c r="O149" s="329"/>
      <c r="P149" s="324"/>
    </row>
    <row r="150" spans="1:16" s="162" customFormat="1">
      <c r="A150" s="164"/>
      <c r="B150" s="323" t="s">
        <v>694</v>
      </c>
      <c r="C150" s="480">
        <f>'[57]Sch C'!D146</f>
        <v>33000</v>
      </c>
      <c r="D150" s="480">
        <f>'[57]Sch C'!F146</f>
        <v>0</v>
      </c>
      <c r="E150" s="480">
        <f>+'[57]Sch C'!H146</f>
        <v>0</v>
      </c>
      <c r="F150" s="166">
        <f t="shared" ref="F150:F158" si="50">C150+D150+E150</f>
        <v>33000</v>
      </c>
      <c r="G150" s="626"/>
      <c r="H150" s="607"/>
      <c r="I150" s="166">
        <f t="shared" ref="I150:I158" si="51">F150+G150+H150</f>
        <v>33000</v>
      </c>
      <c r="J150" s="167">
        <f t="shared" ref="J150:J158" si="52">IF($I$213=0,0,I150/$I$213)</f>
        <v>7.025402151050404E-3</v>
      </c>
      <c r="K150" s="458"/>
      <c r="L150" s="176">
        <v>144</v>
      </c>
      <c r="M150" s="176">
        <v>144</v>
      </c>
      <c r="N150" s="227"/>
      <c r="O150" s="329">
        <f t="shared" si="43"/>
        <v>4.536082474226804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'[57]Sch C'!D147</f>
        <v>2985</v>
      </c>
      <c r="D151" s="480">
        <f>'[57]Sch C'!F147</f>
        <v>0</v>
      </c>
      <c r="E151" s="480">
        <f>+'[57]Sch C'!H147</f>
        <v>0</v>
      </c>
      <c r="F151" s="166">
        <f t="shared" si="50"/>
        <v>2985</v>
      </c>
      <c r="G151" s="626"/>
      <c r="H151" s="607"/>
      <c r="I151" s="166">
        <f t="shared" si="51"/>
        <v>2985</v>
      </c>
      <c r="J151" s="167">
        <f t="shared" si="52"/>
        <v>6.3547955820865019E-4</v>
      </c>
      <c r="K151" s="458"/>
      <c r="L151" s="176">
        <v>50</v>
      </c>
      <c r="M151" s="176">
        <v>50</v>
      </c>
      <c r="N151" s="227"/>
      <c r="O151" s="329">
        <f t="shared" si="43"/>
        <v>0.41030927835051545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'[57]Sch C'!D148</f>
        <v>1917</v>
      </c>
      <c r="D152" s="480">
        <f>'[57]Sch C'!F148</f>
        <v>0</v>
      </c>
      <c r="E152" s="480">
        <f>+'[57]Sch C'!H148</f>
        <v>0</v>
      </c>
      <c r="F152" s="166">
        <f t="shared" si="50"/>
        <v>1917</v>
      </c>
      <c r="G152" s="626"/>
      <c r="H152" s="607"/>
      <c r="I152" s="166">
        <f t="shared" si="51"/>
        <v>1917</v>
      </c>
      <c r="J152" s="167">
        <f t="shared" si="52"/>
        <v>4.0811199768374617E-4</v>
      </c>
      <c r="K152" s="458"/>
      <c r="L152" s="176">
        <v>43</v>
      </c>
      <c r="M152" s="176">
        <v>43</v>
      </c>
      <c r="N152" s="227"/>
      <c r="O152" s="329">
        <f t="shared" si="43"/>
        <v>0.26350515463917523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'[57]Sch C'!D149</f>
        <v>3496</v>
      </c>
      <c r="D153" s="480">
        <f>'[57]Sch C'!F149</f>
        <v>0</v>
      </c>
      <c r="E153" s="480">
        <f>+'[57]Sch C'!H149</f>
        <v>0</v>
      </c>
      <c r="F153" s="166">
        <f t="shared" si="50"/>
        <v>3496</v>
      </c>
      <c r="G153" s="626"/>
      <c r="H153" s="607"/>
      <c r="I153" s="166">
        <f t="shared" si="51"/>
        <v>3496</v>
      </c>
      <c r="J153" s="167">
        <f t="shared" si="52"/>
        <v>7.4426684606279431E-4</v>
      </c>
      <c r="K153" s="458"/>
      <c r="L153" s="176">
        <v>125</v>
      </c>
      <c r="M153" s="176">
        <v>125</v>
      </c>
      <c r="N153" s="227"/>
      <c r="O153" s="329">
        <f t="shared" si="43"/>
        <v>0.48054982817869418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'[57]Sch C'!D150</f>
        <v>3089</v>
      </c>
      <c r="D154" s="480">
        <f>'[57]Sch C'!F150</f>
        <v>0</v>
      </c>
      <c r="E154" s="480">
        <f>+'[57]Sch C'!H150</f>
        <v>0</v>
      </c>
      <c r="F154" s="166">
        <f t="shared" si="50"/>
        <v>3089</v>
      </c>
      <c r="G154" s="626"/>
      <c r="H154" s="607"/>
      <c r="I154" s="166">
        <f t="shared" si="51"/>
        <v>3089</v>
      </c>
      <c r="J154" s="167">
        <f t="shared" si="52"/>
        <v>6.5762021953317271E-4</v>
      </c>
      <c r="K154" s="458"/>
      <c r="L154" s="176">
        <v>44</v>
      </c>
      <c r="M154" s="176">
        <v>44</v>
      </c>
      <c r="N154" s="227"/>
      <c r="O154" s="329">
        <f t="shared" si="43"/>
        <v>0.42460481099656355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'[57]Sch C'!D151</f>
        <v>58919</v>
      </c>
      <c r="D155" s="480">
        <f>'[57]Sch C'!F151</f>
        <v>5651</v>
      </c>
      <c r="E155" s="480">
        <f>+'[57]Sch C'!H151</f>
        <v>0</v>
      </c>
      <c r="F155" s="166">
        <f t="shared" si="50"/>
        <v>64570</v>
      </c>
      <c r="G155" s="626"/>
      <c r="H155" s="607"/>
      <c r="I155" s="166">
        <f t="shared" si="51"/>
        <v>64570</v>
      </c>
      <c r="J155" s="167">
        <f t="shared" si="52"/>
        <v>1.3746370208888624E-2</v>
      </c>
      <c r="K155" s="458"/>
      <c r="L155" s="163"/>
      <c r="M155" s="163"/>
      <c r="N155" s="227"/>
      <c r="O155" s="329">
        <f t="shared" si="43"/>
        <v>8.8756013745704472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'[57]Sch C'!D152</f>
        <v>4985</v>
      </c>
      <c r="D156" s="480">
        <f>'[57]Sch C'!F152</f>
        <v>0</v>
      </c>
      <c r="E156" s="480">
        <f>+'[57]Sch C'!H152</f>
        <v>0</v>
      </c>
      <c r="F156" s="166">
        <f t="shared" si="50"/>
        <v>4985</v>
      </c>
      <c r="G156" s="626"/>
      <c r="H156" s="607"/>
      <c r="I156" s="166">
        <f t="shared" si="51"/>
        <v>4985</v>
      </c>
      <c r="J156" s="167">
        <f t="shared" si="52"/>
        <v>1.0612615067571594E-3</v>
      </c>
      <c r="K156" s="458"/>
      <c r="L156" s="163"/>
      <c r="M156" s="163"/>
      <c r="N156" s="227"/>
      <c r="O156" s="329">
        <f t="shared" si="43"/>
        <v>0.68522336769759451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'[57]Sch C'!D153</f>
        <v>287</v>
      </c>
      <c r="D157" s="480">
        <f>'[57]Sch C'!F153</f>
        <v>0</v>
      </c>
      <c r="E157" s="480">
        <f>+'[57]Sch C'!H153</f>
        <v>0</v>
      </c>
      <c r="F157" s="166">
        <f t="shared" si="50"/>
        <v>287</v>
      </c>
      <c r="G157" s="626"/>
      <c r="H157" s="607"/>
      <c r="I157" s="166">
        <f t="shared" si="51"/>
        <v>287</v>
      </c>
      <c r="J157" s="167">
        <f t="shared" si="52"/>
        <v>6.1099709616711087E-5</v>
      </c>
      <c r="K157" s="458"/>
      <c r="L157" s="163"/>
      <c r="M157" s="163"/>
      <c r="N157" s="227"/>
      <c r="O157" s="329">
        <f t="shared" si="43"/>
        <v>3.9450171821305842E-2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'[57]Sch C'!D154</f>
        <v>33</v>
      </c>
      <c r="D158" s="480">
        <f>'[57]Sch C'!F154</f>
        <v>0</v>
      </c>
      <c r="E158" s="480">
        <f>+'[57]Sch C'!H154</f>
        <v>0</v>
      </c>
      <c r="F158" s="166">
        <f t="shared" si="50"/>
        <v>33</v>
      </c>
      <c r="G158" s="626"/>
      <c r="H158" s="607"/>
      <c r="I158" s="166">
        <f t="shared" si="51"/>
        <v>33</v>
      </c>
      <c r="J158" s="167">
        <f t="shared" si="52"/>
        <v>7.0254021510504039E-6</v>
      </c>
      <c r="K158" s="457" t="s">
        <v>510</v>
      </c>
      <c r="L158" s="163"/>
      <c r="M158" s="163"/>
      <c r="N158" s="227"/>
      <c r="O158" s="329">
        <f t="shared" si="43"/>
        <v>4.536082474226804E-3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N159" s="227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'[57]Sch C'!D156</f>
        <v>0</v>
      </c>
      <c r="D160" s="480">
        <f>'[57]Sch C'!F156</f>
        <v>0</v>
      </c>
      <c r="E160" s="480">
        <f>+'[57]Sch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N160" s="227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'[57]Sch C'!D157</f>
        <v>0</v>
      </c>
      <c r="D161" s="480">
        <f>'[57]Sch C'!F157</f>
        <v>0</v>
      </c>
      <c r="E161" s="480">
        <f>+'[57]Sch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N161" s="227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'[57]Sch C'!D158</f>
        <v>0</v>
      </c>
      <c r="D162" s="480">
        <f>'[57]Sch C'!F158</f>
        <v>0</v>
      </c>
      <c r="E162" s="480">
        <f>+'[57]Sch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N162" s="227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'[57]Sch C'!D159</f>
        <v>0</v>
      </c>
      <c r="D163" s="480">
        <f>'[57]Sch C'!F159</f>
        <v>0</v>
      </c>
      <c r="E163" s="480">
        <f>+'[57]Sch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N163" s="227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'[57]Sch C'!D160</f>
        <v>0</v>
      </c>
      <c r="D164" s="480">
        <f>'[57]Sch C'!F160</f>
        <v>0</v>
      </c>
      <c r="E164" s="480">
        <f>+'[57]Sch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N164" s="227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'[57]Sch C'!D161</f>
        <v>5065</v>
      </c>
      <c r="D165" s="480">
        <f>'[57]Sch C'!F161</f>
        <v>0</v>
      </c>
      <c r="E165" s="480">
        <f>+'[57]Sch C'!H161</f>
        <v>0</v>
      </c>
      <c r="F165" s="166">
        <f t="shared" si="53"/>
        <v>5065</v>
      </c>
      <c r="G165" s="626"/>
      <c r="H165" s="607"/>
      <c r="I165" s="166">
        <f t="shared" si="54"/>
        <v>5065</v>
      </c>
      <c r="J165" s="167">
        <f t="shared" si="55"/>
        <v>1.0782927846991E-3</v>
      </c>
      <c r="K165" s="458"/>
      <c r="L165" s="163"/>
      <c r="M165" s="163"/>
      <c r="N165" s="227"/>
      <c r="O165" s="329">
        <f t="shared" si="43"/>
        <v>0.69621993127147763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1080749</v>
      </c>
      <c r="D166" s="480">
        <f t="shared" si="56"/>
        <v>45426</v>
      </c>
      <c r="E166" s="480">
        <f t="shared" si="56"/>
        <v>30510</v>
      </c>
      <c r="F166" s="166">
        <f t="shared" ref="F166:I166" si="57">SUM(F128:F165)</f>
        <v>1156685</v>
      </c>
      <c r="G166" s="166">
        <f t="shared" si="57"/>
        <v>0</v>
      </c>
      <c r="H166" s="166">
        <f t="shared" si="57"/>
        <v>0</v>
      </c>
      <c r="I166" s="166">
        <f t="shared" si="57"/>
        <v>1156685</v>
      </c>
      <c r="J166" s="167">
        <f t="shared" si="55"/>
        <v>0.24624779657841625</v>
      </c>
      <c r="K166" s="458"/>
      <c r="L166" s="163"/>
      <c r="M166" s="163"/>
      <c r="N166" s="227"/>
      <c r="O166" s="329">
        <f>I166/I$233</f>
        <v>158.99450171821306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N167" s="227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N168" s="227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'[57]Sch C'!D175</f>
        <v>0</v>
      </c>
      <c r="D169" s="480">
        <f>'[57]Sch C'!F175</f>
        <v>0</v>
      </c>
      <c r="E169" s="480">
        <f>+'[57]Sch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518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'[57]Sch C'!D176</f>
        <v>0</v>
      </c>
      <c r="D170" s="480">
        <f>'[57]Sch C'!F176</f>
        <v>0</v>
      </c>
      <c r="E170" s="480">
        <f>+'[57]Sch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518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'[57]Sch C'!D177</f>
        <v>211100</v>
      </c>
      <c r="D171" s="480">
        <f>'[57]Sch C'!F177</f>
        <v>0</v>
      </c>
      <c r="E171" s="480">
        <f>+'[57]Sch C'!H177</f>
        <v>0</v>
      </c>
      <c r="F171" s="166">
        <f t="shared" si="58"/>
        <v>211100</v>
      </c>
      <c r="G171" s="626"/>
      <c r="H171" s="607"/>
      <c r="I171" s="166">
        <f t="shared" si="59"/>
        <v>211100</v>
      </c>
      <c r="J171" s="167">
        <f t="shared" si="60"/>
        <v>4.4941284669295159E-2</v>
      </c>
      <c r="K171" s="468"/>
      <c r="L171" s="176">
        <v>6112</v>
      </c>
      <c r="M171" s="176">
        <v>6388</v>
      </c>
      <c r="N171" s="518"/>
      <c r="O171" s="329">
        <f t="shared" si="61"/>
        <v>29.017182130584192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'[57]Sch C'!D178</f>
        <v>27292</v>
      </c>
      <c r="D172" s="480">
        <f>'[57]Sch C'!F178</f>
        <v>9813</v>
      </c>
      <c r="E172" s="480">
        <f>+'[57]Sch C'!H178</f>
        <v>0</v>
      </c>
      <c r="F172" s="166">
        <f t="shared" si="58"/>
        <v>37105</v>
      </c>
      <c r="G172" s="626"/>
      <c r="H172" s="607"/>
      <c r="I172" s="166">
        <f t="shared" si="59"/>
        <v>37105</v>
      </c>
      <c r="J172" s="167">
        <f t="shared" si="60"/>
        <v>7.8993196004462189E-3</v>
      </c>
      <c r="K172" s="469"/>
      <c r="L172" s="212"/>
      <c r="M172" s="212"/>
      <c r="N172" s="518"/>
      <c r="O172" s="329">
        <f t="shared" si="61"/>
        <v>5.1003436426116835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'[57]Sch C'!D179</f>
        <v>20426</v>
      </c>
      <c r="D173" s="480">
        <f>'[57]Sch C'!F179</f>
        <v>0</v>
      </c>
      <c r="E173" s="480">
        <f>+'[57]Sch C'!H179</f>
        <v>0</v>
      </c>
      <c r="F173" s="166">
        <f t="shared" si="58"/>
        <v>20426</v>
      </c>
      <c r="G173" s="626"/>
      <c r="H173" s="607"/>
      <c r="I173" s="166">
        <f t="shared" si="59"/>
        <v>20426</v>
      </c>
      <c r="J173" s="167">
        <f t="shared" si="60"/>
        <v>4.3485110405259257E-3</v>
      </c>
      <c r="K173" s="468"/>
      <c r="L173" s="176">
        <v>624</v>
      </c>
      <c r="M173" s="176">
        <v>686</v>
      </c>
      <c r="N173" s="518"/>
      <c r="O173" s="329">
        <f t="shared" si="61"/>
        <v>2.8076975945017182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'[57]Sch C'!D180</f>
        <v>4482</v>
      </c>
      <c r="D174" s="480">
        <f>'[57]Sch C'!F180</f>
        <v>949</v>
      </c>
      <c r="E174" s="480">
        <f>+'[57]Sch C'!H180</f>
        <v>0</v>
      </c>
      <c r="F174" s="166">
        <f t="shared" si="58"/>
        <v>5431</v>
      </c>
      <c r="G174" s="626"/>
      <c r="H174" s="607"/>
      <c r="I174" s="166">
        <f t="shared" si="59"/>
        <v>5431</v>
      </c>
      <c r="J174" s="167">
        <f t="shared" si="60"/>
        <v>1.1562108812834771E-3</v>
      </c>
      <c r="K174" s="469"/>
      <c r="L174" s="212"/>
      <c r="M174" s="212"/>
      <c r="N174" s="518"/>
      <c r="O174" s="329">
        <f t="shared" si="61"/>
        <v>0.7465292096219931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'[57]Sch C'!D181</f>
        <v>0</v>
      </c>
      <c r="D175" s="480">
        <f>'[57]Sch C'!F181</f>
        <v>0</v>
      </c>
      <c r="E175" s="480">
        <f>+'[57]Sch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518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'[57]Sch C'!D182</f>
        <v>0</v>
      </c>
      <c r="D176" s="480">
        <f>'[57]Sch C'!F182</f>
        <v>0</v>
      </c>
      <c r="E176" s="480">
        <f>+'[57]Sch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518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'[57]Sch C'!D183</f>
        <v>106740</v>
      </c>
      <c r="D177" s="480">
        <f>'[57]Sch C'!F183</f>
        <v>0</v>
      </c>
      <c r="E177" s="480">
        <f>+'[57]Sch C'!H183</f>
        <v>0</v>
      </c>
      <c r="F177" s="166">
        <f t="shared" si="58"/>
        <v>106740</v>
      </c>
      <c r="G177" s="626"/>
      <c r="H177" s="607"/>
      <c r="I177" s="166">
        <f t="shared" si="59"/>
        <v>106740</v>
      </c>
      <c r="J177" s="167">
        <f t="shared" si="60"/>
        <v>2.2723982594033944E-2</v>
      </c>
      <c r="K177" s="468"/>
      <c r="L177" s="176">
        <v>3296</v>
      </c>
      <c r="M177" s="176">
        <v>3426</v>
      </c>
      <c r="N177" s="518"/>
      <c r="O177" s="329">
        <f t="shared" si="61"/>
        <v>14.672164948453608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'[57]Sch C'!D184</f>
        <v>13864</v>
      </c>
      <c r="D178" s="480">
        <f>'[57]Sch C'!F184</f>
        <v>4962</v>
      </c>
      <c r="E178" s="480">
        <f>+'[57]Sch C'!H184</f>
        <v>0</v>
      </c>
      <c r="F178" s="166">
        <f t="shared" si="58"/>
        <v>18826</v>
      </c>
      <c r="G178" s="626"/>
      <c r="H178" s="607"/>
      <c r="I178" s="166">
        <f t="shared" si="59"/>
        <v>18826</v>
      </c>
      <c r="J178" s="167">
        <f t="shared" si="60"/>
        <v>4.0078854816871182E-3</v>
      </c>
      <c r="K178" s="469"/>
      <c r="L178" s="212"/>
      <c r="M178" s="212"/>
      <c r="N178" s="518"/>
      <c r="O178" s="329">
        <f t="shared" si="61"/>
        <v>2.5877663230240548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'[57]Sch C'!D185</f>
        <v>0</v>
      </c>
      <c r="D179" s="480">
        <f>'[57]Sch C'!F185</f>
        <v>0</v>
      </c>
      <c r="E179" s="480">
        <f>+'[57]Sch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518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'[57]Sch C'!D186</f>
        <v>0</v>
      </c>
      <c r="D180" s="480">
        <f>'[57]Sch C'!F186</f>
        <v>0</v>
      </c>
      <c r="E180" s="480">
        <f>+'[57]Sch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518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'[57]Sch C'!D187</f>
        <v>0</v>
      </c>
      <c r="D181" s="480">
        <f>'[57]Sch C'!F187</f>
        <v>0</v>
      </c>
      <c r="E181" s="480">
        <f>+'[57]Sch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518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'[57]Sch C'!D188</f>
        <v>1099</v>
      </c>
      <c r="D182" s="480">
        <f>'[57]Sch C'!F188</f>
        <v>0</v>
      </c>
      <c r="E182" s="480">
        <f>+'[57]Sch C'!H188</f>
        <v>0</v>
      </c>
      <c r="F182" s="166">
        <f t="shared" si="58"/>
        <v>1099</v>
      </c>
      <c r="G182" s="626"/>
      <c r="H182" s="607"/>
      <c r="I182" s="166">
        <f t="shared" si="59"/>
        <v>1099</v>
      </c>
      <c r="J182" s="167">
        <f t="shared" si="60"/>
        <v>2.3396718072740588E-4</v>
      </c>
      <c r="K182" s="458"/>
      <c r="L182" s="213"/>
      <c r="M182" s="208"/>
      <c r="N182" s="518"/>
      <c r="O182" s="329">
        <f t="shared" si="61"/>
        <v>0.15106529209621994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'[57]Sch C'!D189</f>
        <v>0</v>
      </c>
      <c r="D183" s="480">
        <f>'[57]Sch C'!F189</f>
        <v>0</v>
      </c>
      <c r="E183" s="480">
        <f>+'[57]Sch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518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'[57]Sch C'!D190</f>
        <v>0</v>
      </c>
      <c r="D184" s="480">
        <f>'[57]Sch C'!F190</f>
        <v>0</v>
      </c>
      <c r="E184" s="480">
        <f>+'[57]Sch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518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'[57]Sch C'!D191</f>
        <v>5</v>
      </c>
      <c r="D185" s="480">
        <f>'[57]Sch C'!F191</f>
        <v>0</v>
      </c>
      <c r="E185" s="480">
        <f>+'[57]Sch C'!H191</f>
        <v>0</v>
      </c>
      <c r="F185" s="166">
        <f t="shared" si="58"/>
        <v>5</v>
      </c>
      <c r="G185" s="626"/>
      <c r="H185" s="607"/>
      <c r="I185" s="166">
        <f t="shared" si="59"/>
        <v>5</v>
      </c>
      <c r="J185" s="167">
        <f t="shared" si="60"/>
        <v>1.0644548713712734E-6</v>
      </c>
      <c r="K185" s="458"/>
      <c r="L185" s="213"/>
      <c r="M185" s="208"/>
      <c r="N185" s="518"/>
      <c r="O185" s="329">
        <f t="shared" si="61"/>
        <v>6.8728522336769765E-4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'[57]Sch C'!D192</f>
        <v>0</v>
      </c>
      <c r="D186" s="480">
        <f>'[57]Sch C'!F192</f>
        <v>0</v>
      </c>
      <c r="E186" s="480">
        <f>+'[57]Sch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518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'[57]Sch C'!D193</f>
        <v>0</v>
      </c>
      <c r="D187" s="480">
        <f>'[57]Sch C'!F193</f>
        <v>0</v>
      </c>
      <c r="E187" s="480">
        <f>+'[57]Sch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518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'[57]Sch C'!D194</f>
        <v>0</v>
      </c>
      <c r="D188" s="480">
        <f>'[57]Sch C'!F194</f>
        <v>0</v>
      </c>
      <c r="E188" s="480">
        <f>+'[57]Sch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N188" s="518"/>
      <c r="O188" s="329">
        <f t="shared" si="61"/>
        <v>0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'[57]Sch C'!D195</f>
        <v>913</v>
      </c>
      <c r="D189" s="480">
        <f>'[57]Sch C'!F195</f>
        <v>0</v>
      </c>
      <c r="E189" s="480">
        <f>+'[57]Sch C'!H195</f>
        <v>0</v>
      </c>
      <c r="F189" s="166">
        <f t="shared" si="58"/>
        <v>913</v>
      </c>
      <c r="G189" s="626"/>
      <c r="H189" s="607"/>
      <c r="I189" s="166">
        <f t="shared" si="59"/>
        <v>913</v>
      </c>
      <c r="J189" s="167">
        <f t="shared" si="60"/>
        <v>1.9436945951239451E-4</v>
      </c>
      <c r="K189" s="458"/>
      <c r="L189" s="213"/>
      <c r="M189" s="208"/>
      <c r="N189" s="518"/>
      <c r="O189" s="329">
        <f t="shared" si="61"/>
        <v>0.12549828178694158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'[57]Sch C'!D196</f>
        <v>0</v>
      </c>
      <c r="D190" s="480">
        <f>'[57]Sch C'!F196</f>
        <v>0</v>
      </c>
      <c r="E190" s="480">
        <f>+'[57]Sch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518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'[57]Sch C'!D197</f>
        <v>0</v>
      </c>
      <c r="D191" s="480">
        <f>'[57]Sch C'!F197</f>
        <v>0</v>
      </c>
      <c r="E191" s="480">
        <f>+'[57]Sch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518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'[57]Sch C'!D198</f>
        <v>16423</v>
      </c>
      <c r="D192" s="480">
        <f>'[57]Sch C'!F198</f>
        <v>0</v>
      </c>
      <c r="E192" s="480">
        <f>+'[57]Sch C'!H198</f>
        <v>-190</v>
      </c>
      <c r="F192" s="166">
        <f t="shared" si="58"/>
        <v>16233</v>
      </c>
      <c r="G192" s="626"/>
      <c r="H192" s="607"/>
      <c r="I192" s="166">
        <f t="shared" si="59"/>
        <v>16233</v>
      </c>
      <c r="J192" s="167">
        <f t="shared" si="60"/>
        <v>3.4558591853939761E-3</v>
      </c>
      <c r="K192" s="458"/>
      <c r="L192" s="213"/>
      <c r="M192" s="208"/>
      <c r="N192" s="518"/>
      <c r="O192" s="329">
        <f t="shared" si="61"/>
        <v>2.2313402061855672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'[57]Sch C'!D199</f>
        <v>285</v>
      </c>
      <c r="D193" s="480">
        <f>'[57]Sch C'!F199</f>
        <v>0</v>
      </c>
      <c r="E193" s="480">
        <f>+'[57]Sch C'!H199</f>
        <v>0</v>
      </c>
      <c r="F193" s="166">
        <f t="shared" si="58"/>
        <v>285</v>
      </c>
      <c r="G193" s="626"/>
      <c r="H193" s="607"/>
      <c r="I193" s="166">
        <f t="shared" si="59"/>
        <v>285</v>
      </c>
      <c r="J193" s="167">
        <f t="shared" si="60"/>
        <v>6.0673927668162583E-5</v>
      </c>
      <c r="K193" s="457"/>
      <c r="L193" s="213"/>
      <c r="M193" s="208"/>
      <c r="N193" s="518"/>
      <c r="O193" s="329">
        <f t="shared" si="61"/>
        <v>3.9175257731958762E-2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'[57]Sch C'!D200</f>
        <v>0</v>
      </c>
      <c r="D194" s="480">
        <f>'[57]Sch C'!F200</f>
        <v>0</v>
      </c>
      <c r="E194" s="480">
        <f>+'[57]Sch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518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'[57]Sch C'!D201</f>
        <v>0</v>
      </c>
      <c r="D195" s="480">
        <f>'[57]Sch C'!F201</f>
        <v>0</v>
      </c>
      <c r="E195" s="480">
        <f>+'[57]Sch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518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'[57]Sch C'!D202</f>
        <v>0</v>
      </c>
      <c r="D196" s="480">
        <f>'[57]Sch C'!F202</f>
        <v>0</v>
      </c>
      <c r="E196" s="480">
        <f>+'[57]Sch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518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'[57]Sch C'!D203</f>
        <v>0</v>
      </c>
      <c r="D197" s="480">
        <f>'[57]Sch C'!F203</f>
        <v>0</v>
      </c>
      <c r="E197" s="480">
        <f>+'[57]Sch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518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'[57]Sch C'!D204</f>
        <v>0</v>
      </c>
      <c r="D198" s="480">
        <f>'[57]Sch C'!F204</f>
        <v>0</v>
      </c>
      <c r="E198" s="480">
        <f>+'[57]Sch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518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'[57]Sch C'!D205</f>
        <v>98538</v>
      </c>
      <c r="D199" s="480">
        <f>'[57]Sch C'!F205</f>
        <v>0</v>
      </c>
      <c r="E199" s="480">
        <f>+'[57]Sch C'!H205</f>
        <v>0</v>
      </c>
      <c r="F199" s="166">
        <f t="shared" si="58"/>
        <v>98538</v>
      </c>
      <c r="G199" s="626"/>
      <c r="H199" s="607"/>
      <c r="I199" s="166">
        <f t="shared" si="59"/>
        <v>98538</v>
      </c>
      <c r="J199" s="167">
        <f t="shared" si="60"/>
        <v>2.0977850823036506E-2</v>
      </c>
      <c r="K199" s="458"/>
      <c r="L199" s="213"/>
      <c r="M199" s="208"/>
      <c r="N199" s="518"/>
      <c r="O199" s="329">
        <f t="shared" si="61"/>
        <v>13.544742268041237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'[57]Sch C'!D206</f>
        <v>2517</v>
      </c>
      <c r="D200" s="480">
        <f>'[57]Sch C'!F206</f>
        <v>0</v>
      </c>
      <c r="E200" s="480">
        <f>+'[57]Sch C'!H206</f>
        <v>0</v>
      </c>
      <c r="F200" s="166">
        <f t="shared" si="58"/>
        <v>2517</v>
      </c>
      <c r="G200" s="626"/>
      <c r="H200" s="607"/>
      <c r="I200" s="166">
        <f t="shared" si="59"/>
        <v>2517</v>
      </c>
      <c r="J200" s="167">
        <f t="shared" si="60"/>
        <v>5.3584658224829903E-4</v>
      </c>
      <c r="K200" s="458"/>
      <c r="L200" s="213"/>
      <c r="M200" s="208"/>
      <c r="N200" s="518"/>
      <c r="O200" s="329">
        <f t="shared" si="61"/>
        <v>0.34597938144329898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'[57]Sch C'!D207</f>
        <v>2054</v>
      </c>
      <c r="D201" s="480">
        <f>'[57]Sch C'!F207</f>
        <v>0</v>
      </c>
      <c r="E201" s="480">
        <f>+'[57]Sch C'!H207</f>
        <v>0</v>
      </c>
      <c r="F201" s="166">
        <f t="shared" si="58"/>
        <v>2054</v>
      </c>
      <c r="G201" s="626"/>
      <c r="H201" s="607"/>
      <c r="I201" s="166">
        <f t="shared" si="59"/>
        <v>2054</v>
      </c>
      <c r="J201" s="167">
        <f t="shared" si="60"/>
        <v>4.3727806115931907E-4</v>
      </c>
      <c r="K201" s="458"/>
      <c r="L201" s="213"/>
      <c r="M201" s="208"/>
      <c r="N201" s="518"/>
      <c r="O201" s="329">
        <f t="shared" si="61"/>
        <v>0.28233676975945016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505738</v>
      </c>
      <c r="D202" s="480">
        <f t="shared" si="62"/>
        <v>15724</v>
      </c>
      <c r="E202" s="480">
        <f t="shared" si="62"/>
        <v>-190</v>
      </c>
      <c r="F202" s="166">
        <f t="shared" ref="F202:I202" si="63">SUM(F169:F201)</f>
        <v>521272</v>
      </c>
      <c r="G202" s="166">
        <f t="shared" si="63"/>
        <v>0</v>
      </c>
      <c r="H202" s="166">
        <f t="shared" si="63"/>
        <v>0</v>
      </c>
      <c r="I202" s="166">
        <f t="shared" si="63"/>
        <v>521272</v>
      </c>
      <c r="J202" s="167">
        <f>IF($I$213=0,0,I202/$I$213)</f>
        <v>0.11097410394188928</v>
      </c>
      <c r="K202" s="458"/>
      <c r="L202" s="163"/>
      <c r="M202" s="163"/>
      <c r="N202" s="227"/>
      <c r="O202" s="329">
        <f>I202/I$233</f>
        <v>71.652508591065299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N203" s="227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N204" s="227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'[57]Sch C'!D211</f>
        <v>76926</v>
      </c>
      <c r="D205" s="480">
        <f>'[57]Sch C'!F211</f>
        <v>0</v>
      </c>
      <c r="E205" s="480">
        <f>+'[57]Sch C'!H211</f>
        <v>0</v>
      </c>
      <c r="F205" s="166">
        <f t="shared" ref="F205:F210" si="64">C205+D205+E205</f>
        <v>76926</v>
      </c>
      <c r="G205" s="626"/>
      <c r="H205" s="607"/>
      <c r="I205" s="166">
        <f t="shared" ref="I205:I210" si="65">F205+G205+H205</f>
        <v>76926</v>
      </c>
      <c r="J205" s="167">
        <f t="shared" ref="J205:J211" si="66">IF($I$213=0,0,I205/$I$213)</f>
        <v>1.6376851087021315E-2</v>
      </c>
      <c r="K205" s="458"/>
      <c r="L205" s="176">
        <v>4808</v>
      </c>
      <c r="M205" s="176">
        <v>5058</v>
      </c>
      <c r="N205" s="227"/>
      <c r="O205" s="329">
        <f t="shared" ref="O205:O210" si="67">I205/I$233</f>
        <v>10.574020618556702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'[57]Sch C'!D212</f>
        <v>20442</v>
      </c>
      <c r="D206" s="480">
        <f>'[57]Sch C'!F212</f>
        <v>3576</v>
      </c>
      <c r="E206" s="480">
        <f>+'[57]Sch C'!H212</f>
        <v>0</v>
      </c>
      <c r="F206" s="166">
        <f t="shared" si="64"/>
        <v>24018</v>
      </c>
      <c r="G206" s="626"/>
      <c r="H206" s="607"/>
      <c r="I206" s="166">
        <f t="shared" si="65"/>
        <v>24018</v>
      </c>
      <c r="J206" s="167">
        <f t="shared" si="66"/>
        <v>5.1132154201190489E-3</v>
      </c>
      <c r="K206" s="458"/>
      <c r="L206" s="163"/>
      <c r="M206" s="163"/>
      <c r="N206" s="227"/>
      <c r="O206" s="329">
        <f t="shared" si="67"/>
        <v>3.3014432989690721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'[57]Sch C'!D213</f>
        <v>2368</v>
      </c>
      <c r="D207" s="480">
        <f>'[57]Sch C'!F213</f>
        <v>0</v>
      </c>
      <c r="E207" s="480">
        <f>+'[57]Sch C'!H213</f>
        <v>0</v>
      </c>
      <c r="F207" s="166">
        <f t="shared" si="64"/>
        <v>2368</v>
      </c>
      <c r="G207" s="626"/>
      <c r="H207" s="607"/>
      <c r="I207" s="166">
        <f t="shared" si="65"/>
        <v>2368</v>
      </c>
      <c r="J207" s="167">
        <f t="shared" si="66"/>
        <v>5.0412582708143504E-4</v>
      </c>
      <c r="K207" s="458"/>
      <c r="L207" s="163"/>
      <c r="M207" s="163"/>
      <c r="N207" s="227"/>
      <c r="O207" s="329">
        <f t="shared" si="67"/>
        <v>0.32549828178694157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'[57]Sch C'!D214</f>
        <v>0</v>
      </c>
      <c r="D208" s="480">
        <f>'[57]Sch C'!F214</f>
        <v>0</v>
      </c>
      <c r="E208" s="480">
        <f>+'[57]Sch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N208" s="227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'[57]Sch C'!D215</f>
        <v>0</v>
      </c>
      <c r="D209" s="480">
        <f>'[57]Sch C'!F215</f>
        <v>0</v>
      </c>
      <c r="E209" s="480">
        <f>+'[57]Sch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N209" s="227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'[57]Sch C'!D216</f>
        <v>11886</v>
      </c>
      <c r="D210" s="480">
        <f>'[57]Sch C'!F216</f>
        <v>0</v>
      </c>
      <c r="E210" s="480">
        <f>+'[57]Sch C'!H216</f>
        <v>-79</v>
      </c>
      <c r="F210" s="166">
        <f t="shared" si="64"/>
        <v>11807</v>
      </c>
      <c r="G210" s="626"/>
      <c r="H210" s="607"/>
      <c r="I210" s="166">
        <f t="shared" si="65"/>
        <v>11807</v>
      </c>
      <c r="J210" s="167">
        <f t="shared" si="66"/>
        <v>2.5136037332561248E-3</v>
      </c>
      <c r="K210" s="458"/>
      <c r="L210" s="163"/>
      <c r="M210" s="163"/>
      <c r="N210" s="227"/>
      <c r="O210" s="329">
        <f t="shared" si="67"/>
        <v>1.622955326460481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111622</v>
      </c>
      <c r="D211" s="480">
        <f t="shared" si="68"/>
        <v>3576</v>
      </c>
      <c r="E211" s="480">
        <f t="shared" si="68"/>
        <v>-79</v>
      </c>
      <c r="F211" s="166">
        <f t="shared" ref="F211:I211" si="69">SUM(F205:F210)</f>
        <v>115119</v>
      </c>
      <c r="G211" s="166">
        <f t="shared" si="69"/>
        <v>0</v>
      </c>
      <c r="H211" s="166">
        <f t="shared" si="69"/>
        <v>0</v>
      </c>
      <c r="I211" s="166">
        <f t="shared" si="69"/>
        <v>115119</v>
      </c>
      <c r="J211" s="167">
        <f t="shared" si="66"/>
        <v>2.4507796067477924E-2</v>
      </c>
      <c r="K211" s="458"/>
      <c r="L211" s="163"/>
      <c r="M211" s="163"/>
      <c r="N211" s="227"/>
      <c r="O211" s="329">
        <f>I211/I$233</f>
        <v>15.823917525773195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N212" s="227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4775214</v>
      </c>
      <c r="D213" s="480">
        <f t="shared" si="70"/>
        <v>-41965</v>
      </c>
      <c r="E213" s="480">
        <f t="shared" si="70"/>
        <v>-20967</v>
      </c>
      <c r="F213" s="166">
        <f t="shared" ref="F213:I213" si="71">SUM(F30:F211)/2</f>
        <v>4712282</v>
      </c>
      <c r="G213" s="166">
        <f t="shared" si="71"/>
        <v>-15042</v>
      </c>
      <c r="H213" s="166">
        <f t="shared" si="71"/>
        <v>0</v>
      </c>
      <c r="I213" s="166">
        <f t="shared" si="71"/>
        <v>4697240</v>
      </c>
      <c r="J213" s="167">
        <f>IF($I$213=0,0,I213/$I$213)</f>
        <v>1</v>
      </c>
      <c r="K213" s="458"/>
      <c r="L213" s="176">
        <f>SUM(L30:L205)</f>
        <v>78714</v>
      </c>
      <c r="M213" s="176">
        <f>SUM(M30:M205)</f>
        <v>81817</v>
      </c>
      <c r="O213" s="329">
        <f>I213/I$233</f>
        <v>645.66872852233678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'[57]Sch C'!D221</f>
        <v>4775214</v>
      </c>
      <c r="D216" s="188"/>
      <c r="E216" s="188"/>
      <c r="F216" s="160"/>
      <c r="G216" s="160"/>
      <c r="H216" s="524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524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-2180577</v>
      </c>
      <c r="D220" s="480">
        <f t="shared" si="72"/>
        <v>41965</v>
      </c>
      <c r="E220" s="480">
        <f t="shared" si="72"/>
        <v>20967</v>
      </c>
      <c r="F220" s="166">
        <f t="shared" ref="F220:I220" si="73">F26-F213</f>
        <v>-2117645</v>
      </c>
      <c r="G220" s="166">
        <f t="shared" si="73"/>
        <v>15042</v>
      </c>
      <c r="H220" s="166">
        <f t="shared" si="73"/>
        <v>0</v>
      </c>
      <c r="I220" s="166">
        <f t="shared" si="73"/>
        <v>-2102603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'[57]Sch D'!C9</f>
        <v>2649</v>
      </c>
      <c r="D224" s="480"/>
      <c r="E224" s="480"/>
      <c r="F224" s="224">
        <f>C224+D224+E224</f>
        <v>2649</v>
      </c>
      <c r="G224" s="627"/>
      <c r="H224" s="223"/>
      <c r="I224" s="224">
        <f>F224+G224+H224</f>
        <v>2649</v>
      </c>
      <c r="J224" s="167">
        <f t="shared" ref="J224:J233" si="74">IF($I$233=0,0,I224/$I$233)</f>
        <v>0.36412371134020621</v>
      </c>
      <c r="K224" s="458"/>
      <c r="L224" s="163"/>
      <c r="M224" s="163"/>
    </row>
    <row r="225" spans="1:13">
      <c r="A225" s="158"/>
      <c r="B225" s="165" t="s">
        <v>201</v>
      </c>
      <c r="C225" s="504">
        <f>'[57]Sch D'!D9</f>
        <v>0</v>
      </c>
      <c r="D225" s="480"/>
      <c r="E225" s="480"/>
      <c r="F225" s="224">
        <f t="shared" ref="F225:F232" si="75">C225+D225+E225</f>
        <v>0</v>
      </c>
      <c r="G225" s="626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'[57]Sch D'!E9</f>
        <v>2694</v>
      </c>
      <c r="D226" s="480"/>
      <c r="E226" s="480"/>
      <c r="F226" s="224">
        <f t="shared" si="75"/>
        <v>2694</v>
      </c>
      <c r="G226" s="626"/>
      <c r="H226" s="223"/>
      <c r="I226" s="224">
        <f t="shared" si="76"/>
        <v>2694</v>
      </c>
      <c r="J226" s="167">
        <f t="shared" si="74"/>
        <v>0.37030927835051547</v>
      </c>
      <c r="K226" s="458"/>
      <c r="L226" s="163"/>
      <c r="M226" s="163"/>
    </row>
    <row r="227" spans="1:13">
      <c r="A227" s="158"/>
      <c r="B227" s="194" t="s">
        <v>315</v>
      </c>
      <c r="C227" s="504">
        <f>'[57]Sch D'!F9</f>
        <v>354</v>
      </c>
      <c r="D227" s="480"/>
      <c r="E227" s="480"/>
      <c r="F227" s="224">
        <f t="shared" si="75"/>
        <v>354</v>
      </c>
      <c r="G227" s="626"/>
      <c r="H227" s="223"/>
      <c r="I227" s="224">
        <f t="shared" si="76"/>
        <v>354</v>
      </c>
      <c r="J227" s="167">
        <f t="shared" si="74"/>
        <v>4.8659793814432993E-2</v>
      </c>
      <c r="K227" s="458"/>
      <c r="L227" s="163"/>
      <c r="M227" s="163"/>
    </row>
    <row r="228" spans="1:13">
      <c r="A228" s="158"/>
      <c r="B228" s="165" t="s">
        <v>65</v>
      </c>
      <c r="C228" s="504">
        <f>'[57]Sch D'!G9</f>
        <v>0</v>
      </c>
      <c r="D228" s="480"/>
      <c r="E228" s="480"/>
      <c r="F228" s="224">
        <f t="shared" si="75"/>
        <v>0</v>
      </c>
      <c r="G228" s="626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'[57]Sch D'!H9</f>
        <v>679</v>
      </c>
      <c r="D229" s="480"/>
      <c r="E229" s="480"/>
      <c r="F229" s="224">
        <f t="shared" si="75"/>
        <v>679</v>
      </c>
      <c r="G229" s="626"/>
      <c r="H229" s="223"/>
      <c r="I229" s="224">
        <f t="shared" si="76"/>
        <v>679</v>
      </c>
      <c r="J229" s="167">
        <f t="shared" si="74"/>
        <v>9.3333333333333338E-2</v>
      </c>
      <c r="K229" s="458"/>
      <c r="L229" s="163"/>
      <c r="M229" s="163"/>
    </row>
    <row r="230" spans="1:13">
      <c r="A230" s="158"/>
      <c r="B230" s="165" t="s">
        <v>219</v>
      </c>
      <c r="C230" s="504">
        <f>'[57]Sch D'!I9</f>
        <v>509</v>
      </c>
      <c r="D230" s="480"/>
      <c r="E230" s="480"/>
      <c r="F230" s="224">
        <f t="shared" si="75"/>
        <v>509</v>
      </c>
      <c r="G230" s="626"/>
      <c r="H230" s="223"/>
      <c r="I230" s="224">
        <f t="shared" si="76"/>
        <v>509</v>
      </c>
      <c r="J230" s="167">
        <f t="shared" si="74"/>
        <v>6.9965635738831619E-2</v>
      </c>
      <c r="K230" s="458"/>
      <c r="L230" s="163"/>
      <c r="M230" s="163"/>
    </row>
    <row r="231" spans="1:13">
      <c r="A231" s="158"/>
      <c r="B231" s="165" t="s">
        <v>218</v>
      </c>
      <c r="C231" s="504">
        <f>'[57]Sch D'!J9</f>
        <v>171</v>
      </c>
      <c r="D231" s="480"/>
      <c r="E231" s="480"/>
      <c r="F231" s="224">
        <f t="shared" si="75"/>
        <v>171</v>
      </c>
      <c r="G231" s="626"/>
      <c r="H231" s="223"/>
      <c r="I231" s="224">
        <f t="shared" si="76"/>
        <v>171</v>
      </c>
      <c r="J231" s="167">
        <f>IF($I$233=0,0,I231/$I$233)</f>
        <v>2.3505154639175258E-2</v>
      </c>
      <c r="K231" s="458"/>
      <c r="L231" s="163"/>
      <c r="M231" s="163"/>
    </row>
    <row r="232" spans="1:13">
      <c r="A232" s="158"/>
      <c r="B232" s="165" t="s">
        <v>170</v>
      </c>
      <c r="C232" s="504">
        <f>'[57]Sch D'!K9</f>
        <v>219</v>
      </c>
      <c r="D232" s="480"/>
      <c r="E232" s="480"/>
      <c r="F232" s="224">
        <f t="shared" si="75"/>
        <v>219</v>
      </c>
      <c r="G232" s="626"/>
      <c r="H232" s="223"/>
      <c r="I232" s="224">
        <f t="shared" si="76"/>
        <v>219</v>
      </c>
      <c r="J232" s="167">
        <f t="shared" si="74"/>
        <v>3.0103092783505155E-2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7275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7275</v>
      </c>
      <c r="G233" s="226">
        <f t="shared" si="78"/>
        <v>0</v>
      </c>
      <c r="H233" s="226">
        <f t="shared" si="78"/>
        <v>0</v>
      </c>
      <c r="I233" s="226">
        <f t="shared" si="78"/>
        <v>7275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 t="s">
        <v>552</v>
      </c>
      <c r="K235" s="460"/>
      <c r="L235" s="163"/>
      <c r="M235" s="163"/>
    </row>
    <row r="236" spans="1:13">
      <c r="A236" s="158"/>
      <c r="B236" s="194" t="s">
        <v>203</v>
      </c>
      <c r="C236" s="504">
        <f>'[57]Sch D'!N22</f>
        <v>99</v>
      </c>
      <c r="D236" s="480"/>
      <c r="E236" s="480"/>
      <c r="F236" s="224">
        <f>C236+E236</f>
        <v>99</v>
      </c>
      <c r="G236" s="627"/>
      <c r="H236" s="224"/>
      <c r="I236" s="224">
        <f>F236+G236+H236</f>
        <v>99</v>
      </c>
      <c r="J236" s="162" t="s">
        <v>553</v>
      </c>
      <c r="K236" s="460"/>
      <c r="L236" s="163"/>
      <c r="M236" s="163"/>
    </row>
    <row r="237" spans="1:13">
      <c r="A237" s="158"/>
      <c r="B237" s="194" t="s">
        <v>271</v>
      </c>
      <c r="C237" s="504">
        <f>'[57]Sch D'!N24</f>
        <v>99</v>
      </c>
      <c r="D237" s="480"/>
      <c r="E237" s="480"/>
      <c r="F237" s="224">
        <f>C237+E237</f>
        <v>99</v>
      </c>
      <c r="G237" s="627"/>
      <c r="H237" s="224"/>
      <c r="I237" s="224">
        <f>F237+G237+H237</f>
        <v>99</v>
      </c>
      <c r="J237" s="162" t="s">
        <v>554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255</v>
      </c>
      <c r="D238" s="427"/>
      <c r="E238" s="427"/>
      <c r="F238" s="224">
        <f>C238+E238</f>
        <v>255</v>
      </c>
      <c r="G238" s="627"/>
      <c r="H238" s="228"/>
      <c r="I238" s="224">
        <f>F238+G238+H238</f>
        <v>255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'[57]Sch D'!N28</f>
        <v>25245</v>
      </c>
      <c r="D240" s="427"/>
      <c r="E240" s="427"/>
      <c r="F240" s="223">
        <f>F236*F238</f>
        <v>25245</v>
      </c>
      <c r="G240"/>
      <c r="H240" s="228"/>
      <c r="I240" s="223">
        <f>I236*I238</f>
        <v>25245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'[57]Sch D'!N30</f>
        <v>0.28817587641117054</v>
      </c>
      <c r="D241" s="228"/>
      <c r="E241" s="228"/>
      <c r="F241" s="232">
        <f>F233/F240</f>
        <v>0.28817587641117054</v>
      </c>
      <c r="G241"/>
      <c r="H241" s="233"/>
      <c r="I241" s="232">
        <f>I233/I240</f>
        <v>0.28817587641117054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'[57]Sch D'!N32</f>
        <v>0.10493166963755199</v>
      </c>
      <c r="D242" s="228"/>
      <c r="E242" s="228"/>
      <c r="F242" s="232">
        <f>(F224+F225)/F240</f>
        <v>0.10493166963755199</v>
      </c>
      <c r="G242"/>
      <c r="H242" s="233"/>
      <c r="I242" s="232">
        <f>(I224+I225)/I240</f>
        <v>0.10493166963755199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'[57]Sch D'!N34</f>
        <v>0.36412371134020616</v>
      </c>
      <c r="D243" s="228"/>
      <c r="E243" s="228"/>
      <c r="F243" s="232">
        <f>(F242/F241)</f>
        <v>0.36412371134020616</v>
      </c>
      <c r="G243"/>
      <c r="H243" s="233"/>
      <c r="I243" s="232">
        <f>(I242/I241)</f>
        <v>0.36412371134020616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'[57]Sch B'!C90</f>
        <v>86.277777777777771</v>
      </c>
      <c r="K246" s="460"/>
    </row>
    <row r="247" spans="1:13">
      <c r="H247" s="140" t="s">
        <v>322</v>
      </c>
      <c r="I247" s="480">
        <f>'[57]Sch B'!E90</f>
        <v>246.21505376344086</v>
      </c>
      <c r="K247" s="460"/>
    </row>
    <row r="248" spans="1:13">
      <c r="H248" s="140" t="s">
        <v>323</v>
      </c>
      <c r="I248" s="480">
        <f>'[57]Sch B'!G90</f>
        <v>187.65853658536585</v>
      </c>
      <c r="K248" s="460"/>
    </row>
    <row r="249" spans="1:13">
      <c r="H249" s="140" t="s">
        <v>324</v>
      </c>
      <c r="I249" s="480">
        <f>'[57]Sch B'!I90</f>
        <v>221.30337078651687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9">
    <tabColor rgb="FFE28CAB"/>
  </sheetPr>
  <dimension ref="A1:P277"/>
  <sheetViews>
    <sheetView showGridLines="0" topLeftCell="A3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1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83203125" style="316" customWidth="1"/>
    <col min="12" max="12" width="14.75" style="139" customWidth="1"/>
    <col min="13" max="13" width="13" style="139" customWidth="1"/>
    <col min="14" max="14" width="2.5820312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 t="s">
        <v>446</v>
      </c>
      <c r="F1" s="419"/>
      <c r="G1" s="419"/>
      <c r="H1" s="419"/>
      <c r="I1"/>
      <c r="J1" s="419"/>
      <c r="K1" s="420"/>
    </row>
    <row r="2" spans="1:16" ht="23">
      <c r="B2" s="141" t="s">
        <v>178</v>
      </c>
      <c r="C2" s="234" t="s">
        <v>445</v>
      </c>
      <c r="D2" s="234"/>
      <c r="E2" s="370" t="s">
        <v>443</v>
      </c>
      <c r="F2" s="142"/>
      <c r="G2" s="142"/>
    </row>
    <row r="3" spans="1:16" ht="15.5">
      <c r="A3" s="143"/>
      <c r="B3" s="138" t="s">
        <v>71</v>
      </c>
      <c r="C3" s="557">
        <f>'[58]Sch A Pg 1'!B39</f>
        <v>42917</v>
      </c>
      <c r="D3" s="620"/>
      <c r="E3" s="142"/>
      <c r="F3" s="361"/>
      <c r="G3" s="361"/>
      <c r="H3" s="524"/>
    </row>
    <row r="4" spans="1:16" ht="15.5">
      <c r="A4" s="143"/>
      <c r="B4" s="145" t="s">
        <v>72</v>
      </c>
      <c r="C4" s="557">
        <f>'[58]Sch A Pg 1'!G39</f>
        <v>43281</v>
      </c>
      <c r="D4" s="620"/>
      <c r="E4" s="142"/>
      <c r="F4" s="361"/>
      <c r="G4" s="361"/>
      <c r="H4" s="524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'[58]Sch B'!E10</f>
        <v>6371806.7703232486</v>
      </c>
      <c r="D12" s="480">
        <f>'[58]Sch B'!G10</f>
        <v>0</v>
      </c>
      <c r="E12" s="480"/>
      <c r="F12" s="166">
        <f>C12+D12+E12</f>
        <v>6371806.7703232486</v>
      </c>
      <c r="G12" s="626"/>
      <c r="H12" s="607"/>
      <c r="I12" s="166">
        <f>F12+G12+H12</f>
        <v>6371806.7703232486</v>
      </c>
      <c r="J12" s="167">
        <f>IF($I$26=0,0,I12/$I$26)</f>
        <v>0.49141909400676576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'[58]Sch B'!E12</f>
        <v>1042335</v>
      </c>
      <c r="D13" s="480">
        <f>'[58]Sch B'!G12</f>
        <v>1235253.9276274336</v>
      </c>
      <c r="E13" s="480"/>
      <c r="F13" s="166">
        <f t="shared" ref="F13:F25" si="0">C13+D13+E13</f>
        <v>2277588.9276274336</v>
      </c>
      <c r="G13" s="626">
        <v>-76527</v>
      </c>
      <c r="H13" s="607"/>
      <c r="I13" s="166">
        <f t="shared" ref="I13:I25" si="1">F13+G13+H13</f>
        <v>2201061.9276274336</v>
      </c>
      <c r="J13" s="167">
        <f>IF($I$26=0,0,I13/$I$26)</f>
        <v>0.16975465473391715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'[58]Sch B'!E13</f>
        <v>90983</v>
      </c>
      <c r="D14" s="480">
        <f>'[58]Sch B'!G13</f>
        <v>0</v>
      </c>
      <c r="E14" s="480"/>
      <c r="F14" s="166">
        <f t="shared" si="0"/>
        <v>90983</v>
      </c>
      <c r="G14" s="626"/>
      <c r="H14" s="607"/>
      <c r="I14" s="166">
        <f t="shared" si="1"/>
        <v>90983</v>
      </c>
      <c r="J14" s="167">
        <f>IF($I$26=0,0,I14/$I$26)</f>
        <v>7.0169710164875798E-3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'[58]Sch B'!E14</f>
        <v>184480</v>
      </c>
      <c r="D15" s="480">
        <f>'[58]Sch B'!G14</f>
        <v>0</v>
      </c>
      <c r="E15" s="480"/>
      <c r="F15" s="166">
        <f t="shared" si="0"/>
        <v>184480</v>
      </c>
      <c r="G15" s="626"/>
      <c r="H15" s="607"/>
      <c r="I15" s="166">
        <f t="shared" si="1"/>
        <v>184480</v>
      </c>
      <c r="J15" s="167">
        <f>IF($I$26=0,0,I15/$I$26)</f>
        <v>1.4227831717151872E-2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'[58]Sch B'!E15</f>
        <v>7689604.7703232486</v>
      </c>
      <c r="D16" s="480">
        <f>'[58]Sch B'!G15</f>
        <v>1235253.9276274336</v>
      </c>
      <c r="E16" s="480"/>
      <c r="F16" s="166">
        <f t="shared" si="0"/>
        <v>8924858.6979506817</v>
      </c>
      <c r="G16" s="626"/>
      <c r="H16" s="607"/>
      <c r="I16" s="166">
        <f>SUM(I12:I15)</f>
        <v>8848331.6979506817</v>
      </c>
      <c r="J16" s="167">
        <f t="shared" ref="J16:J26" si="2">IF($I$26=0,0,I16/$I$26)</f>
        <v>0.68241855147432229</v>
      </c>
      <c r="K16" s="457"/>
      <c r="L16" s="333" t="s">
        <v>325</v>
      </c>
      <c r="M16" s="334">
        <f>I26</f>
        <v>12966135.927627433</v>
      </c>
      <c r="O16" s="324">
        <f>IFERROR(I16/I224,0)</f>
        <v>328.27527261076955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'[58]Sch B'!E20</f>
        <v>19857.229676751238</v>
      </c>
      <c r="D17" s="480">
        <f>'[58]Sch B'!G20</f>
        <v>0</v>
      </c>
      <c r="E17" s="480"/>
      <c r="F17" s="166">
        <f t="shared" si="0"/>
        <v>19857.229676751238</v>
      </c>
      <c r="G17" s="626"/>
      <c r="H17" s="607"/>
      <c r="I17" s="166">
        <f t="shared" si="1"/>
        <v>19857.229676751238</v>
      </c>
      <c r="J17" s="167">
        <f t="shared" si="2"/>
        <v>1.5314685722552616E-3</v>
      </c>
      <c r="K17" s="458"/>
      <c r="L17" s="335" t="s">
        <v>326</v>
      </c>
      <c r="M17" s="336">
        <f>I213</f>
        <v>10074855</v>
      </c>
      <c r="O17" s="324">
        <f t="shared" ref="O17:O24" si="3">IFERROR(I17/I225,0)</f>
        <v>236.39559138989569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'[58]Sch B'!E26</f>
        <v>1769886</v>
      </c>
      <c r="D18" s="480">
        <f>'[58]Sch B'!G26</f>
        <v>0</v>
      </c>
      <c r="E18" s="480"/>
      <c r="F18" s="166">
        <f t="shared" si="0"/>
        <v>1769886</v>
      </c>
      <c r="G18" s="626"/>
      <c r="H18" s="607"/>
      <c r="I18" s="166">
        <f t="shared" si="1"/>
        <v>1769886</v>
      </c>
      <c r="J18" s="167">
        <f t="shared" si="2"/>
        <v>0.13650065137978673</v>
      </c>
      <c r="K18" s="458"/>
      <c r="L18" s="335" t="s">
        <v>327</v>
      </c>
      <c r="M18" s="336">
        <f>I233</f>
        <v>36327</v>
      </c>
      <c r="O18" s="324">
        <f t="shared" si="3"/>
        <v>571.85331179321486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'[58]Sch B'!E32</f>
        <v>1091000.7575182021</v>
      </c>
      <c r="D19" s="480">
        <f>'[58]Sch B'!G32</f>
        <v>0</v>
      </c>
      <c r="E19" s="480"/>
      <c r="F19" s="166">
        <f t="shared" si="0"/>
        <v>1091000.7575182021</v>
      </c>
      <c r="G19" s="626"/>
      <c r="H19" s="607"/>
      <c r="I19" s="166">
        <f t="shared" si="1"/>
        <v>1091000.7575182021</v>
      </c>
      <c r="J19" s="170">
        <f t="shared" si="2"/>
        <v>8.4142319933077803E-2</v>
      </c>
      <c r="K19" s="464"/>
      <c r="L19" s="335" t="s">
        <v>328</v>
      </c>
      <c r="M19" s="336">
        <f>I236</f>
        <v>220</v>
      </c>
      <c r="O19" s="324">
        <f t="shared" si="3"/>
        <v>525.78349759913351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'[58]Sch B'!E37</f>
        <v>0</v>
      </c>
      <c r="D20" s="480">
        <f>'[58]Sch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80300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'[58]Sch B'!E42</f>
        <v>419199</v>
      </c>
      <c r="D21" s="480">
        <f>'[58]Sch B'!G42</f>
        <v>0</v>
      </c>
      <c r="E21" s="480"/>
      <c r="F21" s="166">
        <f t="shared" si="0"/>
        <v>419199</v>
      </c>
      <c r="G21" s="626"/>
      <c r="H21" s="607"/>
      <c r="I21" s="166">
        <f t="shared" si="1"/>
        <v>419199</v>
      </c>
      <c r="J21" s="167">
        <f t="shared" si="2"/>
        <v>3.2330295034683147E-2</v>
      </c>
      <c r="K21" s="458"/>
      <c r="L21" s="337"/>
      <c r="M21" s="336"/>
      <c r="O21" s="324">
        <f t="shared" si="3"/>
        <v>280.21323529411762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'[58]Sch B'!E47</f>
        <v>290816.52631578944</v>
      </c>
      <c r="D22" s="480">
        <f>'[58]Sch B'!G47</f>
        <v>0</v>
      </c>
      <c r="E22" s="480"/>
      <c r="F22" s="166">
        <f t="shared" si="0"/>
        <v>290816.52631578944</v>
      </c>
      <c r="G22" s="626"/>
      <c r="H22" s="607"/>
      <c r="I22" s="166">
        <f t="shared" si="1"/>
        <v>290816.52631578944</v>
      </c>
      <c r="J22" s="167">
        <f t="shared" si="2"/>
        <v>2.2428927780722686E-2</v>
      </c>
      <c r="K22" s="458"/>
      <c r="L22" s="335" t="s">
        <v>148</v>
      </c>
      <c r="M22" s="336">
        <f>L213</f>
        <v>243102</v>
      </c>
      <c r="O22" s="324">
        <f t="shared" si="3"/>
        <v>199.46263807667313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'[58]Sch B'!E52</f>
        <v>16156.473684210525</v>
      </c>
      <c r="D23" s="480">
        <f>'[58]Sch B'!G52</f>
        <v>0</v>
      </c>
      <c r="E23" s="480"/>
      <c r="F23" s="166">
        <f t="shared" si="0"/>
        <v>16156.473684210525</v>
      </c>
      <c r="G23" s="626"/>
      <c r="H23" s="607"/>
      <c r="I23" s="166">
        <f t="shared" si="1"/>
        <v>16156.473684210525</v>
      </c>
      <c r="J23" s="167">
        <f t="shared" si="2"/>
        <v>1.2460515433734825E-3</v>
      </c>
      <c r="K23" s="458"/>
      <c r="L23" s="338" t="s">
        <v>233</v>
      </c>
      <c r="M23" s="339">
        <f>M213</f>
        <v>255525</v>
      </c>
      <c r="O23" s="324">
        <f t="shared" si="3"/>
        <v>199.46263807667316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'[58]Sch B'!E57</f>
        <v>509022.24248179793</v>
      </c>
      <c r="D24" s="480">
        <f>'[58]Sch B'!G57</f>
        <v>0</v>
      </c>
      <c r="E24" s="480"/>
      <c r="F24" s="166">
        <f t="shared" si="0"/>
        <v>509022.24248179793</v>
      </c>
      <c r="G24" s="626"/>
      <c r="H24" s="607"/>
      <c r="I24" s="166">
        <f t="shared" si="1"/>
        <v>509022.24248179793</v>
      </c>
      <c r="J24" s="167">
        <f t="shared" si="2"/>
        <v>3.9257820936244012E-2</v>
      </c>
      <c r="K24" s="458"/>
      <c r="L24" s="163"/>
      <c r="M24" s="163"/>
      <c r="O24" s="324">
        <f t="shared" si="3"/>
        <v>469.57771446660325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'[58]Sch B'!E72</f>
        <v>1866</v>
      </c>
      <c r="D25" s="480">
        <f>'[58]Sch B'!G72</f>
        <v>0</v>
      </c>
      <c r="E25" s="480"/>
      <c r="F25" s="166">
        <f t="shared" si="0"/>
        <v>1866</v>
      </c>
      <c r="G25" s="626"/>
      <c r="H25" s="607"/>
      <c r="I25" s="166">
        <f t="shared" si="1"/>
        <v>1866</v>
      </c>
      <c r="J25" s="167">
        <f t="shared" si="2"/>
        <v>1.4391334553450451E-4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11807409</v>
      </c>
      <c r="D26" s="480">
        <f t="shared" ref="D26:F26" si="4">SUM(D16:D25)</f>
        <v>1235253.9276274336</v>
      </c>
      <c r="E26" s="480">
        <f t="shared" si="4"/>
        <v>0</v>
      </c>
      <c r="F26" s="166">
        <f t="shared" si="4"/>
        <v>13042662.927627433</v>
      </c>
      <c r="G26" s="166">
        <f>SUM(G12:G25)</f>
        <v>-76527</v>
      </c>
      <c r="H26" s="166">
        <f>SUM(H12:H25)</f>
        <v>0</v>
      </c>
      <c r="I26" s="166">
        <f>SUM(I16:I25)</f>
        <v>12966135.927627433</v>
      </c>
      <c r="J26" s="167">
        <f t="shared" si="2"/>
        <v>1</v>
      </c>
      <c r="K26" s="458"/>
      <c r="L26" s="163"/>
      <c r="M26" s="163"/>
      <c r="O26" s="324">
        <f>IFERROR(I26/I233,0)</f>
        <v>356.9283433156449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'[58]Sch C'!D10</f>
        <v>204944</v>
      </c>
      <c r="D30" s="480">
        <f>'[58]Sch C'!F10</f>
        <v>-88506</v>
      </c>
      <c r="E30" s="480">
        <f>+'[58]Sch C'!H10</f>
        <v>0</v>
      </c>
      <c r="F30" s="166">
        <f t="shared" ref="F30:F65" si="5">C30+D30+E30</f>
        <v>116438</v>
      </c>
      <c r="G30" s="626">
        <v>88506</v>
      </c>
      <c r="H30" s="607"/>
      <c r="I30" s="166">
        <f t="shared" ref="I30:I65" si="6">F30+G30+H30</f>
        <v>204944</v>
      </c>
      <c r="J30" s="167">
        <f>IF($I$213=0,0,I30/$I$213)</f>
        <v>2.0342128993419757E-2</v>
      </c>
      <c r="K30" s="458"/>
      <c r="L30" s="176">
        <v>2080</v>
      </c>
      <c r="M30" s="176">
        <v>2080</v>
      </c>
      <c r="N30" s="227"/>
      <c r="O30" s="324">
        <f>I30/I$233</f>
        <v>5.6416439562859582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'[58]Sch C'!D11</f>
        <v>0</v>
      </c>
      <c r="D31" s="480">
        <f>'[58]Sch C'!F11</f>
        <v>0</v>
      </c>
      <c r="E31" s="480">
        <f>+'[58]Sch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N31" s="227"/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'[58]Sch C'!D12</f>
        <v>238380</v>
      </c>
      <c r="D32" s="480">
        <f>'[58]Sch C'!F12</f>
        <v>0</v>
      </c>
      <c r="E32" s="480">
        <f>+'[58]Sch C'!H12</f>
        <v>0</v>
      </c>
      <c r="F32" s="166">
        <f t="shared" si="5"/>
        <v>238380</v>
      </c>
      <c r="G32" s="626"/>
      <c r="H32" s="607"/>
      <c r="I32" s="166">
        <f t="shared" si="6"/>
        <v>238380</v>
      </c>
      <c r="J32" s="167">
        <f t="shared" si="7"/>
        <v>2.3660886434593846E-2</v>
      </c>
      <c r="K32" s="458"/>
      <c r="L32" s="176">
        <v>11866</v>
      </c>
      <c r="M32" s="176">
        <v>12740</v>
      </c>
      <c r="N32" s="227"/>
      <c r="O32" s="324">
        <f t="shared" si="8"/>
        <v>6.562061276736312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'[58]Sch C'!D13</f>
        <v>312138</v>
      </c>
      <c r="D33" s="480">
        <f>'[58]Sch C'!F13</f>
        <v>-227996</v>
      </c>
      <c r="E33" s="480">
        <f>+'[58]Sch C'!H13</f>
        <v>0</v>
      </c>
      <c r="F33" s="166">
        <f t="shared" si="5"/>
        <v>84142</v>
      </c>
      <c r="G33" s="626"/>
      <c r="H33" s="607"/>
      <c r="I33" s="166">
        <f t="shared" si="6"/>
        <v>84142</v>
      </c>
      <c r="J33" s="167">
        <f t="shared" si="7"/>
        <v>8.3516834733601622E-3</v>
      </c>
      <c r="K33" s="457" t="s">
        <v>510</v>
      </c>
      <c r="L33" s="163"/>
      <c r="M33" s="163"/>
      <c r="N33" s="227"/>
      <c r="O33" s="324">
        <f t="shared" si="8"/>
        <v>2.3162386103999779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'[58]Sch C'!D14</f>
        <v>0</v>
      </c>
      <c r="D34" s="480">
        <f>'[58]Sch C'!F14</f>
        <v>0</v>
      </c>
      <c r="E34" s="480">
        <f>+'[58]Sch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N34" s="227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'[58]Sch C'!D15</f>
        <v>0</v>
      </c>
      <c r="D35" s="480">
        <f>'[58]Sch C'!F15</f>
        <v>0</v>
      </c>
      <c r="E35" s="480">
        <f>+'[58]Sch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N35" s="227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'[58]Sch C'!D16</f>
        <v>590482</v>
      </c>
      <c r="D36" s="480">
        <f>'[58]Sch C'!F16</f>
        <v>0</v>
      </c>
      <c r="E36" s="480">
        <f>+'[58]Sch C'!H16</f>
        <v>-102019</v>
      </c>
      <c r="F36" s="166">
        <f t="shared" si="5"/>
        <v>488463</v>
      </c>
      <c r="G36" s="626"/>
      <c r="H36" s="607">
        <v>203067</v>
      </c>
      <c r="I36" s="166">
        <f t="shared" si="6"/>
        <v>691530</v>
      </c>
      <c r="J36" s="167">
        <f t="shared" si="7"/>
        <v>6.8639201258975935E-2</v>
      </c>
      <c r="K36" s="458" t="s">
        <v>374</v>
      </c>
      <c r="L36" s="163"/>
      <c r="M36" s="163"/>
      <c r="N36" s="227"/>
      <c r="O36" s="324">
        <f t="shared" si="8"/>
        <v>19.036254025931125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'[58]Sch C'!D17</f>
        <v>0</v>
      </c>
      <c r="D37" s="480">
        <f>'[58]Sch C'!F17</f>
        <v>0</v>
      </c>
      <c r="E37" s="480">
        <f>+'[58]Sch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N37" s="227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'[58]Sch C'!D18</f>
        <v>17913</v>
      </c>
      <c r="D38" s="480">
        <f>'[58]Sch C'!F18</f>
        <v>0</v>
      </c>
      <c r="E38" s="480">
        <f>+'[58]Sch C'!H18</f>
        <v>0</v>
      </c>
      <c r="F38" s="166">
        <f t="shared" si="5"/>
        <v>17913</v>
      </c>
      <c r="G38" s="626"/>
      <c r="H38" s="607"/>
      <c r="I38" s="166">
        <f t="shared" si="6"/>
        <v>17913</v>
      </c>
      <c r="J38" s="167">
        <f t="shared" si="7"/>
        <v>1.7779908494960971E-3</v>
      </c>
      <c r="K38" s="458"/>
      <c r="L38" s="163"/>
      <c r="M38" s="163"/>
      <c r="N38" s="227"/>
      <c r="O38" s="324">
        <f t="shared" si="8"/>
        <v>0.49310430258485421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'[58]Sch C'!D19</f>
        <v>29024</v>
      </c>
      <c r="D39" s="480">
        <f>'[58]Sch C'!F19</f>
        <v>-3296</v>
      </c>
      <c r="E39" s="480">
        <f>+'[58]Sch C'!H19</f>
        <v>0</v>
      </c>
      <c r="F39" s="166">
        <f t="shared" si="5"/>
        <v>25728</v>
      </c>
      <c r="G39" s="626"/>
      <c r="H39" s="607"/>
      <c r="I39" s="166">
        <f t="shared" si="6"/>
        <v>25728</v>
      </c>
      <c r="J39" s="167">
        <f t="shared" si="7"/>
        <v>2.5536843954578007E-3</v>
      </c>
      <c r="K39" s="458"/>
      <c r="L39" s="163"/>
      <c r="M39" s="163"/>
      <c r="N39" s="227"/>
      <c r="O39" s="324">
        <f t="shared" si="8"/>
        <v>0.70823354529688665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'[58]Sch C'!D20</f>
        <v>14397</v>
      </c>
      <c r="D40" s="480">
        <f>'[58]Sch C'!F20</f>
        <v>1658</v>
      </c>
      <c r="E40" s="480">
        <f>+'[58]Sch C'!H20</f>
        <v>0</v>
      </c>
      <c r="F40" s="166">
        <f t="shared" si="5"/>
        <v>16055</v>
      </c>
      <c r="G40" s="626"/>
      <c r="H40" s="607"/>
      <c r="I40" s="166">
        <f t="shared" si="6"/>
        <v>16055</v>
      </c>
      <c r="J40" s="167">
        <f t="shared" si="7"/>
        <v>1.593571321870141E-3</v>
      </c>
      <c r="K40" s="458"/>
      <c r="L40" s="163"/>
      <c r="M40" s="163"/>
      <c r="N40" s="227"/>
      <c r="O40" s="324">
        <f t="shared" si="8"/>
        <v>0.44195777245574919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'[58]Sch C'!D21</f>
        <v>1145</v>
      </c>
      <c r="D41" s="480">
        <f>'[58]Sch C'!F21</f>
        <v>0</v>
      </c>
      <c r="E41" s="480">
        <f>+'[58]Sch C'!H21</f>
        <v>0</v>
      </c>
      <c r="F41" s="166">
        <f t="shared" si="5"/>
        <v>1145</v>
      </c>
      <c r="G41" s="626"/>
      <c r="H41" s="607"/>
      <c r="I41" s="166">
        <f t="shared" si="6"/>
        <v>1145</v>
      </c>
      <c r="J41" s="167">
        <f t="shared" si="7"/>
        <v>1.1364927832708262E-4</v>
      </c>
      <c r="K41" s="458"/>
      <c r="L41" s="163"/>
      <c r="M41" s="163"/>
      <c r="N41" s="227"/>
      <c r="O41" s="324">
        <f t="shared" si="8"/>
        <v>3.151925565006744E-2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'[58]Sch C'!D22</f>
        <v>0</v>
      </c>
      <c r="D42" s="480">
        <f>'[58]Sch C'!F22</f>
        <v>0</v>
      </c>
      <c r="E42" s="480">
        <f>+'[58]Sch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N42" s="227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'[58]Sch C'!D23</f>
        <v>12685</v>
      </c>
      <c r="D43" s="480">
        <f>'[58]Sch C'!F23</f>
        <v>0</v>
      </c>
      <c r="E43" s="480">
        <f>+'[58]Sch C'!H23</f>
        <v>0</v>
      </c>
      <c r="F43" s="166">
        <f t="shared" si="5"/>
        <v>12685</v>
      </c>
      <c r="G43" s="626"/>
      <c r="H43" s="607"/>
      <c r="I43" s="166">
        <f t="shared" si="6"/>
        <v>12685</v>
      </c>
      <c r="J43" s="167">
        <f t="shared" si="7"/>
        <v>1.2590751926454524E-3</v>
      </c>
      <c r="K43" s="458"/>
      <c r="L43" s="163"/>
      <c r="M43" s="163"/>
      <c r="N43" s="227"/>
      <c r="O43" s="324">
        <f t="shared" si="8"/>
        <v>0.34918930822803973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'[58]Sch C'!D24</f>
        <v>106732</v>
      </c>
      <c r="D44" s="480">
        <f>'[58]Sch C'!F24</f>
        <v>0</v>
      </c>
      <c r="E44" s="480">
        <f>+'[58]Sch C'!H24</f>
        <v>-27240</v>
      </c>
      <c r="F44" s="166">
        <f t="shared" si="5"/>
        <v>79492</v>
      </c>
      <c r="G44" s="626"/>
      <c r="H44" s="607"/>
      <c r="I44" s="166">
        <f t="shared" si="6"/>
        <v>79492</v>
      </c>
      <c r="J44" s="167">
        <f t="shared" si="7"/>
        <v>7.8901383692370763E-3</v>
      </c>
      <c r="K44" s="458"/>
      <c r="L44" s="163"/>
      <c r="M44" s="163"/>
      <c r="N44" s="227"/>
      <c r="O44" s="324">
        <f t="shared" si="8"/>
        <v>2.1882346464062543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'[58]Sch C'!D25</f>
        <v>0</v>
      </c>
      <c r="D45" s="480">
        <f>'[58]Sch C'!F25</f>
        <v>0</v>
      </c>
      <c r="E45" s="480">
        <f>+'[58]Sch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N45" s="227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'[58]Sch C'!D26</f>
        <v>627575</v>
      </c>
      <c r="D46" s="480">
        <f>'[58]Sch C'!F26</f>
        <v>0</v>
      </c>
      <c r="E46" s="480">
        <f>+'[58]Sch C'!H26</f>
        <v>0</v>
      </c>
      <c r="F46" s="166">
        <f t="shared" si="5"/>
        <v>627575</v>
      </c>
      <c r="G46" s="626"/>
      <c r="H46" s="607"/>
      <c r="I46" s="166">
        <f t="shared" si="6"/>
        <v>627575</v>
      </c>
      <c r="J46" s="167">
        <f t="shared" si="7"/>
        <v>6.2291219079579803E-2</v>
      </c>
      <c r="K46" s="458"/>
      <c r="L46" s="163"/>
      <c r="M46" s="163"/>
      <c r="N46" s="227"/>
      <c r="O46" s="324">
        <f t="shared" si="8"/>
        <v>17.275717785669062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'[58]Sch C'!D27</f>
        <v>0</v>
      </c>
      <c r="D47" s="480">
        <f>'[58]Sch C'!F27</f>
        <v>0</v>
      </c>
      <c r="E47" s="480">
        <f>+'[58]Sch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N47" s="227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'[58]Sch C'!D28</f>
        <v>0</v>
      </c>
      <c r="D48" s="480">
        <f>'[58]Sch C'!F28</f>
        <v>0</v>
      </c>
      <c r="E48" s="480">
        <f>+'[58]Sch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N48" s="227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'[58]Sch C'!D29</f>
        <v>81358</v>
      </c>
      <c r="D49" s="480">
        <f>'[58]Sch C'!F29</f>
        <v>-81358</v>
      </c>
      <c r="E49" s="480">
        <f>+'[58]Sch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N49" s="227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'[58]Sch C'!D30</f>
        <v>0</v>
      </c>
      <c r="D50" s="480">
        <f>'[58]Sch C'!F30</f>
        <v>0</v>
      </c>
      <c r="E50" s="480">
        <f>+'[58]Sch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N50" s="227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'[58]Sch C'!D31</f>
        <v>168423</v>
      </c>
      <c r="D51" s="480">
        <f>'[58]Sch C'!F31</f>
        <v>0</v>
      </c>
      <c r="E51" s="480">
        <f>+'[58]Sch C'!H31</f>
        <v>-98679</v>
      </c>
      <c r="F51" s="166">
        <f t="shared" si="5"/>
        <v>69744</v>
      </c>
      <c r="G51" s="626"/>
      <c r="H51" s="607"/>
      <c r="I51" s="166">
        <f t="shared" si="6"/>
        <v>69744</v>
      </c>
      <c r="J51" s="167">
        <f t="shared" si="7"/>
        <v>6.9225810197764632E-3</v>
      </c>
      <c r="K51" s="458"/>
      <c r="L51" s="163"/>
      <c r="M51" s="163"/>
      <c r="N51" s="227"/>
      <c r="O51" s="324">
        <f t="shared" si="8"/>
        <v>1.919894293500702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'[58]Sch C'!D32</f>
        <v>211467</v>
      </c>
      <c r="D52" s="480">
        <f>'[58]Sch C'!F32</f>
        <v>0</v>
      </c>
      <c r="E52" s="480">
        <f>+'[58]Sch C'!H32</f>
        <v>-95160</v>
      </c>
      <c r="F52" s="166">
        <f t="shared" si="5"/>
        <v>116307</v>
      </c>
      <c r="G52" s="626"/>
      <c r="H52" s="607"/>
      <c r="I52" s="166">
        <f t="shared" si="6"/>
        <v>116307</v>
      </c>
      <c r="J52" s="167">
        <f t="shared" si="7"/>
        <v>1.1544285252740609E-2</v>
      </c>
      <c r="K52" s="458"/>
      <c r="L52" s="163"/>
      <c r="M52" s="163"/>
      <c r="N52" s="227"/>
      <c r="O52" s="324">
        <f t="shared" si="8"/>
        <v>3.2016681806920473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'[58]Sch C'!D33</f>
        <v>0</v>
      </c>
      <c r="D53" s="480">
        <f>'[58]Sch C'!F33</f>
        <v>0</v>
      </c>
      <c r="E53" s="480">
        <f>+'[58]Sch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N53" s="227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'[58]Sch C'!D34</f>
        <v>0</v>
      </c>
      <c r="D54" s="480">
        <f>'[58]Sch C'!F34</f>
        <v>0</v>
      </c>
      <c r="E54" s="480">
        <f>+'[58]Sch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N54" s="227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'[58]Sch C'!D35</f>
        <v>-2560</v>
      </c>
      <c r="D55" s="480">
        <f>'[58]Sch C'!F35</f>
        <v>2560</v>
      </c>
      <c r="E55" s="480">
        <f>+'[58]Sch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N55" s="227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'[58]Sch C'!D36</f>
        <v>0</v>
      </c>
      <c r="D56" s="480">
        <f>'[58]Sch C'!F36</f>
        <v>0</v>
      </c>
      <c r="E56" s="480">
        <f>+'[58]Sch C'!H36</f>
        <v>0</v>
      </c>
      <c r="F56" s="166">
        <f t="shared" si="5"/>
        <v>0</v>
      </c>
      <c r="G56" s="626">
        <v>9917</v>
      </c>
      <c r="H56" s="607"/>
      <c r="I56" s="166">
        <f t="shared" si="6"/>
        <v>9917</v>
      </c>
      <c r="J56" s="167">
        <f t="shared" si="7"/>
        <v>9.8433178442766667E-4</v>
      </c>
      <c r="K56" s="458"/>
      <c r="L56" s="176">
        <v>0</v>
      </c>
      <c r="M56" s="176">
        <v>0</v>
      </c>
      <c r="N56" s="227"/>
      <c r="O56" s="324">
        <f t="shared" si="8"/>
        <v>0.27299253998403389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'[58]Sch C'!D37</f>
        <v>0</v>
      </c>
      <c r="D57" s="480">
        <f>'[58]Sch C'!F37</f>
        <v>0</v>
      </c>
      <c r="E57" s="480">
        <f>+'[58]Sch C'!H37</f>
        <v>0</v>
      </c>
      <c r="F57" s="166">
        <f t="shared" si="5"/>
        <v>0</v>
      </c>
      <c r="G57" s="626"/>
      <c r="H57" s="607"/>
      <c r="I57" s="166">
        <f t="shared" si="6"/>
        <v>0</v>
      </c>
      <c r="J57" s="167">
        <f t="shared" si="7"/>
        <v>0</v>
      </c>
      <c r="K57" s="458"/>
      <c r="L57" s="163"/>
      <c r="M57" s="163"/>
      <c r="N57" s="227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'[58]Sch C'!D38</f>
        <v>0</v>
      </c>
      <c r="D58" s="480">
        <f>'[58]Sch C'!F38</f>
        <v>0</v>
      </c>
      <c r="E58" s="480">
        <f>+'[58]Sch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N58" s="227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'[58]Sch C'!D39</f>
        <v>15912</v>
      </c>
      <c r="D59" s="480">
        <f>'[58]Sch C'!F39</f>
        <v>0</v>
      </c>
      <c r="E59" s="480">
        <f>+'[58]Sch C'!H39</f>
        <v>0</v>
      </c>
      <c r="F59" s="166">
        <f t="shared" si="5"/>
        <v>15912</v>
      </c>
      <c r="G59" s="626"/>
      <c r="H59" s="607"/>
      <c r="I59" s="166">
        <f t="shared" si="6"/>
        <v>15912</v>
      </c>
      <c r="J59" s="167">
        <f t="shared" si="7"/>
        <v>1.5793775692057106E-3</v>
      </c>
      <c r="K59" s="458"/>
      <c r="L59" s="163"/>
      <c r="M59" s="163"/>
      <c r="N59" s="227"/>
      <c r="O59" s="324">
        <f t="shared" si="8"/>
        <v>0.43802130646626475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'[58]Sch C'!D40</f>
        <v>7052</v>
      </c>
      <c r="D60" s="480">
        <f>'[58]Sch C'!F40</f>
        <v>0</v>
      </c>
      <c r="E60" s="480">
        <f>+'[58]Sch C'!H40</f>
        <v>0</v>
      </c>
      <c r="F60" s="166">
        <f t="shared" si="5"/>
        <v>7052</v>
      </c>
      <c r="G60" s="626"/>
      <c r="H60" s="607"/>
      <c r="I60" s="166">
        <f t="shared" si="6"/>
        <v>7052</v>
      </c>
      <c r="J60" s="167">
        <f t="shared" si="7"/>
        <v>6.9996044608086172E-4</v>
      </c>
      <c r="K60" s="458"/>
      <c r="L60" s="163"/>
      <c r="M60" s="163"/>
      <c r="N60" s="227"/>
      <c r="O60" s="324">
        <f t="shared" si="8"/>
        <v>0.1941255815233848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'[58]Sch C'!D41</f>
        <v>43970</v>
      </c>
      <c r="D61" s="480">
        <f>'[58]Sch C'!F41</f>
        <v>0</v>
      </c>
      <c r="E61" s="480">
        <f>+'[58]Sch C'!H41</f>
        <v>0</v>
      </c>
      <c r="F61" s="166">
        <f t="shared" si="5"/>
        <v>43970</v>
      </c>
      <c r="G61" s="626"/>
      <c r="H61" s="607"/>
      <c r="I61" s="166">
        <f t="shared" si="6"/>
        <v>43970</v>
      </c>
      <c r="J61" s="167">
        <f t="shared" si="7"/>
        <v>4.3643308017832514E-3</v>
      </c>
      <c r="K61" s="458"/>
      <c r="L61" s="163"/>
      <c r="M61" s="163"/>
      <c r="N61" s="227"/>
      <c r="O61" s="324">
        <f t="shared" si="8"/>
        <v>1.2103944724309743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'[58]Sch C'!D42</f>
        <v>10782</v>
      </c>
      <c r="D62" s="480">
        <f>'[58]Sch C'!F42</f>
        <v>0</v>
      </c>
      <c r="E62" s="480">
        <f>+'[58]Sch C'!H42</f>
        <v>0</v>
      </c>
      <c r="F62" s="166">
        <f t="shared" si="5"/>
        <v>10782</v>
      </c>
      <c r="G62" s="626"/>
      <c r="H62" s="607"/>
      <c r="I62" s="166">
        <f t="shared" si="6"/>
        <v>10782</v>
      </c>
      <c r="J62" s="167">
        <f t="shared" si="7"/>
        <v>1.0701890994957248E-3</v>
      </c>
      <c r="K62" s="458"/>
      <c r="L62" s="163"/>
      <c r="M62" s="163"/>
      <c r="N62" s="227"/>
      <c r="O62" s="324">
        <f t="shared" si="8"/>
        <v>0.29680403006028572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'[58]Sch C'!D43</f>
        <v>9761</v>
      </c>
      <c r="D63" s="480">
        <f>'[58]Sch C'!F43</f>
        <v>0</v>
      </c>
      <c r="E63" s="480">
        <f>+'[58]Sch C'!H43</f>
        <v>0</v>
      </c>
      <c r="F63" s="166">
        <f t="shared" si="5"/>
        <v>9761</v>
      </c>
      <c r="G63" s="626">
        <v>-9761</v>
      </c>
      <c r="H63" s="607"/>
      <c r="I63" s="166">
        <f t="shared" si="6"/>
        <v>0</v>
      </c>
      <c r="J63" s="167">
        <f t="shared" si="7"/>
        <v>0</v>
      </c>
      <c r="K63" s="458" t="s">
        <v>664</v>
      </c>
      <c r="L63" s="163"/>
      <c r="M63" s="163"/>
      <c r="N63" s="227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'[58]Sch C'!D44</f>
        <v>0</v>
      </c>
      <c r="D64" s="480">
        <f>'[58]Sch C'!F44</f>
        <v>0</v>
      </c>
      <c r="E64" s="480">
        <f>+'[58]Sch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N64" s="227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'[58]Sch C'!D45</f>
        <v>512</v>
      </c>
      <c r="D65" s="480">
        <f>'[58]Sch C'!F45</f>
        <v>-908</v>
      </c>
      <c r="E65" s="480">
        <f>+'[58]Sch C'!H45</f>
        <v>0</v>
      </c>
      <c r="F65" s="166">
        <f t="shared" si="5"/>
        <v>-396</v>
      </c>
      <c r="G65" s="626">
        <f>2242+18148</f>
        <v>20390</v>
      </c>
      <c r="H65" s="607"/>
      <c r="I65" s="166">
        <f t="shared" si="6"/>
        <v>19994</v>
      </c>
      <c r="J65" s="167">
        <f t="shared" si="7"/>
        <v>1.9845446907176332E-3</v>
      </c>
      <c r="K65" s="458"/>
      <c r="L65" s="163"/>
      <c r="M65" s="163"/>
      <c r="N65" s="227"/>
      <c r="O65" s="324">
        <f t="shared" si="8"/>
        <v>0.55038951743881959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2702092</v>
      </c>
      <c r="D66" s="480">
        <f t="shared" si="9"/>
        <v>-397846</v>
      </c>
      <c r="E66" s="480">
        <f t="shared" si="9"/>
        <v>-323098</v>
      </c>
      <c r="F66" s="166">
        <f t="shared" ref="F66:I66" si="10">SUM(F30:F65)</f>
        <v>1981148</v>
      </c>
      <c r="G66" s="166">
        <f t="shared" si="10"/>
        <v>109052</v>
      </c>
      <c r="H66" s="166">
        <f t="shared" si="10"/>
        <v>203067</v>
      </c>
      <c r="I66" s="166">
        <f t="shared" si="10"/>
        <v>2293267</v>
      </c>
      <c r="J66" s="178">
        <f t="shared" si="7"/>
        <v>0.22762282931119107</v>
      </c>
      <c r="K66" s="465"/>
      <c r="L66" s="163"/>
      <c r="M66" s="163"/>
      <c r="N66" s="227"/>
      <c r="O66" s="329">
        <f>I66/I$233</f>
        <v>63.128444407740801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N67" s="227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N68" s="227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'[58]Sch C'!D57</f>
        <v>1188861</v>
      </c>
      <c r="D69" s="480">
        <f>'[58]Sch C'!F57+1188861</f>
        <v>0</v>
      </c>
      <c r="E69" s="480">
        <f>+'[58]Sch C'!H57</f>
        <v>0</v>
      </c>
      <c r="F69" s="166">
        <f>C69+D69+E69</f>
        <v>1188861</v>
      </c>
      <c r="G69" s="626"/>
      <c r="H69" s="480">
        <v>-1188861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N69" s="227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'[58]Sch C'!D58</f>
        <v>18330</v>
      </c>
      <c r="D70" s="480">
        <f>'[58]Sch C'!F58-273425</f>
        <v>0</v>
      </c>
      <c r="E70" s="480">
        <f>+'[58]Sch C'!H58</f>
        <v>0</v>
      </c>
      <c r="F70" s="166">
        <f t="shared" ref="F70:F83" si="13">C70+D70+E70</f>
        <v>18330</v>
      </c>
      <c r="G70" s="626"/>
      <c r="H70" s="480">
        <v>273425</v>
      </c>
      <c r="I70" s="166">
        <f t="shared" ref="I70:I83" si="14">F70+G70+H70</f>
        <v>291755</v>
      </c>
      <c r="J70" s="167">
        <f t="shared" si="11"/>
        <v>2.8958729430845407E-2</v>
      </c>
      <c r="K70" s="458"/>
      <c r="L70" s="182"/>
      <c r="M70" s="163"/>
      <c r="N70" s="227"/>
      <c r="O70" s="324">
        <f t="shared" si="12"/>
        <v>8.031354089244914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'[58]Sch C'!D59</f>
        <v>0</v>
      </c>
      <c r="D71" s="480">
        <f>'[58]Sch C'!F59</f>
        <v>0</v>
      </c>
      <c r="E71" s="480">
        <f>+'[58]Sch C'!H59</f>
        <v>0</v>
      </c>
      <c r="F71" s="166">
        <f t="shared" si="13"/>
        <v>0</v>
      </c>
      <c r="G71" s="626"/>
      <c r="H71" s="607"/>
      <c r="I71" s="166">
        <f t="shared" si="14"/>
        <v>0</v>
      </c>
      <c r="J71" s="167">
        <f t="shared" si="11"/>
        <v>0</v>
      </c>
      <c r="K71" s="458"/>
      <c r="L71" s="182"/>
      <c r="M71" s="163"/>
      <c r="N71" s="227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'[58]Sch C'!D60</f>
        <v>62269</v>
      </c>
      <c r="D72" s="480">
        <f>'[58]Sch C'!F60</f>
        <v>0</v>
      </c>
      <c r="E72" s="480">
        <f>+'[58]Sch C'!H60</f>
        <v>0</v>
      </c>
      <c r="F72" s="166">
        <f t="shared" si="13"/>
        <v>62269</v>
      </c>
      <c r="G72" s="626"/>
      <c r="H72" s="607"/>
      <c r="I72" s="166">
        <f t="shared" si="14"/>
        <v>62269</v>
      </c>
      <c r="J72" s="167">
        <f t="shared" si="11"/>
        <v>6.1806348577721467E-3</v>
      </c>
      <c r="K72" s="458"/>
      <c r="L72" s="185"/>
      <c r="M72" s="163"/>
      <c r="N72" s="227"/>
      <c r="O72" s="324">
        <f t="shared" si="12"/>
        <v>1.7141244804140172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'[58]Sch C'!D61</f>
        <v>12111</v>
      </c>
      <c r="D73" s="480">
        <f>'[58]Sch C'!F61</f>
        <v>0</v>
      </c>
      <c r="E73" s="480">
        <f>+'[58]Sch C'!H61</f>
        <v>0</v>
      </c>
      <c r="F73" s="166">
        <f t="shared" si="13"/>
        <v>12111</v>
      </c>
      <c r="G73" s="626"/>
      <c r="H73" s="607"/>
      <c r="I73" s="166">
        <f t="shared" si="14"/>
        <v>12111</v>
      </c>
      <c r="J73" s="167">
        <f t="shared" si="11"/>
        <v>1.2021016679644521E-3</v>
      </c>
      <c r="K73" s="458"/>
      <c r="L73" s="185"/>
      <c r="M73" s="163"/>
      <c r="N73" s="227"/>
      <c r="O73" s="324">
        <f t="shared" si="12"/>
        <v>0.33338838880171773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'[58]Sch C'!D62</f>
        <v>18258</v>
      </c>
      <c r="D74" s="480">
        <f>'[58]Sch C'!F62</f>
        <v>0</v>
      </c>
      <c r="E74" s="480">
        <f>+'[58]Sch C'!H62</f>
        <v>0</v>
      </c>
      <c r="F74" s="166">
        <f t="shared" si="13"/>
        <v>18258</v>
      </c>
      <c r="G74" s="626"/>
      <c r="H74" s="607"/>
      <c r="I74" s="166">
        <f t="shared" si="14"/>
        <v>18258</v>
      </c>
      <c r="J74" s="167">
        <f t="shared" si="11"/>
        <v>1.8122345185116809E-3</v>
      </c>
      <c r="K74" s="458"/>
      <c r="L74" s="187"/>
      <c r="M74" s="163"/>
      <c r="N74" s="227"/>
      <c r="O74" s="324">
        <f t="shared" si="12"/>
        <v>0.50260137088116275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'[58]Sch C'!D63</f>
        <v>0</v>
      </c>
      <c r="D75" s="480">
        <f>'[58]Sch C'!F63</f>
        <v>0</v>
      </c>
      <c r="E75" s="480">
        <f>+'[58]Sch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N75" s="227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'[58]Sch C'!D64</f>
        <v>0</v>
      </c>
      <c r="D76" s="480">
        <f>'[58]Sch C'!F64</f>
        <v>0</v>
      </c>
      <c r="E76" s="480">
        <f>+'[58]Sch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N76" s="227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'[58]Sch C'!D65</f>
        <v>6831</v>
      </c>
      <c r="D77" s="480">
        <f>'[58]Sch C'!F65</f>
        <v>0</v>
      </c>
      <c r="E77" s="480">
        <f>+'[58]Sch C'!H65</f>
        <v>0</v>
      </c>
      <c r="F77" s="166">
        <f t="shared" si="13"/>
        <v>6831</v>
      </c>
      <c r="G77" s="626"/>
      <c r="H77" s="607"/>
      <c r="I77" s="166">
        <f t="shared" si="14"/>
        <v>6831</v>
      </c>
      <c r="J77" s="167">
        <f t="shared" si="11"/>
        <v>6.7802464650856017E-4</v>
      </c>
      <c r="K77" s="458"/>
      <c r="L77" s="187"/>
      <c r="M77" s="163"/>
      <c r="N77" s="227"/>
      <c r="O77" s="324">
        <f t="shared" si="12"/>
        <v>0.18804195226690892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'[58]Sch C'!D66</f>
        <v>12117</v>
      </c>
      <c r="D78" s="480">
        <f>'[58]Sch C'!F66</f>
        <v>0</v>
      </c>
      <c r="E78" s="480">
        <f>+'[58]Sch C'!H66</f>
        <v>0</v>
      </c>
      <c r="F78" s="166">
        <f t="shared" si="13"/>
        <v>12117</v>
      </c>
      <c r="G78" s="626">
        <v>24145</v>
      </c>
      <c r="H78" s="607"/>
      <c r="I78" s="166">
        <f t="shared" si="14"/>
        <v>36262</v>
      </c>
      <c r="J78" s="167">
        <f t="shared" si="11"/>
        <v>3.5992577560669606E-3</v>
      </c>
      <c r="K78" s="458"/>
      <c r="L78" s="187"/>
      <c r="M78" s="163"/>
      <c r="N78" s="227"/>
      <c r="O78" s="324">
        <f t="shared" si="12"/>
        <v>0.99821069727750711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'[58]Sch C'!D67</f>
        <v>126120</v>
      </c>
      <c r="D79" s="480">
        <f>'[58]Sch C'!F67</f>
        <v>-11150</v>
      </c>
      <c r="E79" s="480">
        <f>+'[58]Sch C'!H67</f>
        <v>0</v>
      </c>
      <c r="F79" s="166">
        <f t="shared" si="13"/>
        <v>114970</v>
      </c>
      <c r="G79" s="626"/>
      <c r="H79" s="607"/>
      <c r="I79" s="166">
        <f t="shared" si="14"/>
        <v>114970</v>
      </c>
      <c r="J79" s="167">
        <f t="shared" si="11"/>
        <v>1.1411578628178768E-2</v>
      </c>
      <c r="K79" s="458"/>
      <c r="L79" s="187"/>
      <c r="M79" s="163"/>
      <c r="N79" s="227"/>
      <c r="O79" s="324">
        <f t="shared" si="12"/>
        <v>3.1648636000770778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'[58]Sch C'!D68</f>
        <v>0</v>
      </c>
      <c r="D80" s="480">
        <f>'[58]Sch C'!F68</f>
        <v>0</v>
      </c>
      <c r="E80" s="480">
        <f>+'[58]Sch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N80" s="227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'[58]Sch C'!D69</f>
        <v>9454</v>
      </c>
      <c r="D81" s="480">
        <f>'[58]Sch C'!F69</f>
        <v>0</v>
      </c>
      <c r="E81" s="480">
        <f>+'[58]Sch C'!H69</f>
        <v>0</v>
      </c>
      <c r="F81" s="166">
        <f t="shared" si="13"/>
        <v>9454</v>
      </c>
      <c r="G81" s="626"/>
      <c r="H81" s="607"/>
      <c r="I81" s="166">
        <f t="shared" si="14"/>
        <v>9454</v>
      </c>
      <c r="J81" s="167">
        <f t="shared" si="11"/>
        <v>9.3837578803863681E-4</v>
      </c>
      <c r="K81" s="458"/>
      <c r="L81" s="187"/>
      <c r="M81" s="163"/>
      <c r="N81" s="227"/>
      <c r="O81" s="324">
        <f t="shared" si="12"/>
        <v>0.26024719905304594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'[58]Sch C'!D70</f>
        <v>0</v>
      </c>
      <c r="D82" s="480">
        <f>'[58]Sch C'!F70</f>
        <v>0</v>
      </c>
      <c r="E82" s="480">
        <f>+'[58]Sch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N82" s="227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'[58]Sch C'!D71</f>
        <v>0</v>
      </c>
      <c r="D83" s="480">
        <f>'[58]Sch C'!F71</f>
        <v>0</v>
      </c>
      <c r="E83" s="480">
        <f>+'[58]Sch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N83" s="227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1454351</v>
      </c>
      <c r="D84" s="480">
        <f t="shared" si="15"/>
        <v>-11150</v>
      </c>
      <c r="E84" s="480">
        <f t="shared" si="15"/>
        <v>0</v>
      </c>
      <c r="F84" s="166">
        <f t="shared" ref="F84:I84" si="16">SUM(F69:F83)</f>
        <v>1443201</v>
      </c>
      <c r="G84" s="166">
        <f t="shared" si="16"/>
        <v>24145</v>
      </c>
      <c r="H84" s="166">
        <f t="shared" si="16"/>
        <v>-915436</v>
      </c>
      <c r="I84" s="166">
        <f t="shared" si="16"/>
        <v>551910</v>
      </c>
      <c r="J84" s="167">
        <f t="shared" si="11"/>
        <v>5.4780937293886611E-2</v>
      </c>
      <c r="K84" s="458"/>
      <c r="L84" s="187"/>
      <c r="M84" s="163"/>
      <c r="N84" s="227"/>
      <c r="O84" s="324">
        <f t="shared" si="12"/>
        <v>15.192831778016352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N85" s="227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N86" s="227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'[58]Sch C'!D75</f>
        <v>88805</v>
      </c>
      <c r="D87" s="480">
        <f>'[58]Sch C'!F75</f>
        <v>0</v>
      </c>
      <c r="E87" s="480">
        <f>+'[58]Sch C'!H75</f>
        <v>0</v>
      </c>
      <c r="F87" s="166">
        <f t="shared" ref="F87:F97" si="17">C87+D87+E87</f>
        <v>88805</v>
      </c>
      <c r="G87" s="626"/>
      <c r="H87" s="607"/>
      <c r="I87" s="166">
        <f t="shared" ref="I87:I97" si="18">F87+G87+H87</f>
        <v>88805</v>
      </c>
      <c r="J87" s="167">
        <f t="shared" ref="J87:J98" si="19">IF($I$213=0,0,I87/$I$213)</f>
        <v>8.8145189186345611E-3</v>
      </c>
      <c r="K87" s="458"/>
      <c r="L87" s="176">
        <v>4113</v>
      </c>
      <c r="M87" s="176">
        <v>4288</v>
      </c>
      <c r="N87" s="227"/>
      <c r="O87" s="324">
        <f t="shared" ref="O87:O97" si="20">I87/I$233</f>
        <v>2.4446004349382005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'[58]Sch C'!D76</f>
        <v>11763</v>
      </c>
      <c r="D88" s="480">
        <f>'[58]Sch C'!F76</f>
        <v>4936</v>
      </c>
      <c r="E88" s="480">
        <f>+'[58]Sch C'!H76</f>
        <v>0</v>
      </c>
      <c r="F88" s="166">
        <f t="shared" si="17"/>
        <v>16699</v>
      </c>
      <c r="G88" s="626"/>
      <c r="H88" s="607"/>
      <c r="I88" s="166">
        <f t="shared" si="18"/>
        <v>16699</v>
      </c>
      <c r="J88" s="167">
        <f t="shared" si="19"/>
        <v>1.6574928373658975E-3</v>
      </c>
      <c r="K88" s="458"/>
      <c r="L88" s="163"/>
      <c r="M88" s="163"/>
      <c r="N88" s="227"/>
      <c r="O88" s="324">
        <f t="shared" si="20"/>
        <v>0.45968563327552509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'[58]Sch C'!D77</f>
        <v>20603</v>
      </c>
      <c r="D89" s="480">
        <f>'[58]Sch C'!F77</f>
        <v>0</v>
      </c>
      <c r="E89" s="480">
        <f>+'[58]Sch C'!H77</f>
        <v>0</v>
      </c>
      <c r="F89" s="166">
        <f t="shared" si="17"/>
        <v>20603</v>
      </c>
      <c r="G89" s="626"/>
      <c r="H89" s="607"/>
      <c r="I89" s="166">
        <f t="shared" si="18"/>
        <v>20603</v>
      </c>
      <c r="J89" s="167">
        <f t="shared" si="19"/>
        <v>2.0449922108060118E-3</v>
      </c>
      <c r="K89" s="458"/>
      <c r="L89" s="163"/>
      <c r="M89" s="163"/>
      <c r="N89" s="227"/>
      <c r="O89" s="324">
        <f t="shared" si="20"/>
        <v>0.56715390756186856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'[58]Sch C'!D78</f>
        <v>0</v>
      </c>
      <c r="D90" s="480">
        <f>'[58]Sch C'!F78</f>
        <v>0</v>
      </c>
      <c r="E90" s="480">
        <f>+'[58]Sch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N90" s="227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'[58]Sch C'!D79</f>
        <v>9880</v>
      </c>
      <c r="D91" s="480">
        <f>'[58]Sch C'!F79</f>
        <v>7904</v>
      </c>
      <c r="E91" s="480">
        <f>+'[58]Sch C'!H79</f>
        <v>0</v>
      </c>
      <c r="F91" s="166">
        <f t="shared" si="17"/>
        <v>17784</v>
      </c>
      <c r="G91" s="626"/>
      <c r="H91" s="607"/>
      <c r="I91" s="166">
        <f t="shared" si="18"/>
        <v>17784</v>
      </c>
      <c r="J91" s="167">
        <f t="shared" si="19"/>
        <v>1.7651866949946178E-3</v>
      </c>
      <c r="K91" s="458"/>
      <c r="L91" s="163"/>
      <c r="M91" s="163"/>
      <c r="N91" s="227"/>
      <c r="O91" s="324">
        <f t="shared" si="20"/>
        <v>0.48955322487406061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'[58]Sch C'!D80</f>
        <v>49204</v>
      </c>
      <c r="D92" s="480">
        <f>'[58]Sch C'!F80</f>
        <v>0</v>
      </c>
      <c r="E92" s="480">
        <f>+'[58]Sch C'!H80</f>
        <v>0</v>
      </c>
      <c r="F92" s="166">
        <f t="shared" si="17"/>
        <v>49204</v>
      </c>
      <c r="G92" s="626"/>
      <c r="H92" s="607"/>
      <c r="I92" s="166">
        <f t="shared" si="18"/>
        <v>49204</v>
      </c>
      <c r="J92" s="167">
        <f t="shared" si="19"/>
        <v>4.8838420007037324E-3</v>
      </c>
      <c r="K92" s="458"/>
      <c r="L92" s="163"/>
      <c r="M92" s="163"/>
      <c r="N92" s="227"/>
      <c r="O92" s="324">
        <f t="shared" si="20"/>
        <v>1.3544746331929418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'[58]Sch C'!D81</f>
        <v>9468</v>
      </c>
      <c r="D93" s="480">
        <f>'[58]Sch C'!F81</f>
        <v>0</v>
      </c>
      <c r="E93" s="480">
        <f>+'[58]Sch C'!H81</f>
        <v>0</v>
      </c>
      <c r="F93" s="166">
        <f t="shared" si="17"/>
        <v>9468</v>
      </c>
      <c r="G93" s="626"/>
      <c r="H93" s="607"/>
      <c r="I93" s="166">
        <f t="shared" si="18"/>
        <v>9468</v>
      </c>
      <c r="J93" s="167">
        <f t="shared" si="19"/>
        <v>9.3976538620158803E-4</v>
      </c>
      <c r="K93" s="458"/>
      <c r="L93" s="163"/>
      <c r="M93" s="163"/>
      <c r="N93" s="227"/>
      <c r="O93" s="324">
        <f t="shared" si="20"/>
        <v>0.26063258733173672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'[58]Sch C'!D82</f>
        <v>3938</v>
      </c>
      <c r="D94" s="480">
        <f>'[58]Sch C'!F82</f>
        <v>0</v>
      </c>
      <c r="E94" s="480">
        <f>+'[58]Sch C'!H82</f>
        <v>0</v>
      </c>
      <c r="F94" s="166">
        <f t="shared" si="17"/>
        <v>3938</v>
      </c>
      <c r="G94" s="626"/>
      <c r="H94" s="607"/>
      <c r="I94" s="166">
        <f t="shared" si="18"/>
        <v>3938</v>
      </c>
      <c r="J94" s="167">
        <f t="shared" si="19"/>
        <v>3.9087411183585274E-4</v>
      </c>
      <c r="K94" s="458"/>
      <c r="L94" s="163"/>
      <c r="M94" s="163"/>
      <c r="N94" s="227"/>
      <c r="O94" s="324">
        <f t="shared" si="20"/>
        <v>0.10840421724887825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'[58]Sch C'!D83</f>
        <v>2013</v>
      </c>
      <c r="D95" s="480">
        <f>'[58]Sch C'!F83</f>
        <v>0</v>
      </c>
      <c r="E95" s="480">
        <f>+'[58]Sch C'!H83</f>
        <v>0</v>
      </c>
      <c r="F95" s="166">
        <f t="shared" si="17"/>
        <v>2013</v>
      </c>
      <c r="G95" s="626"/>
      <c r="H95" s="607"/>
      <c r="I95" s="166">
        <f t="shared" si="18"/>
        <v>2013</v>
      </c>
      <c r="J95" s="167">
        <f t="shared" si="19"/>
        <v>1.9980436443005879E-4</v>
      </c>
      <c r="K95" s="458"/>
      <c r="L95" s="163"/>
      <c r="M95" s="163"/>
      <c r="N95" s="227"/>
      <c r="O95" s="324">
        <f t="shared" si="20"/>
        <v>5.5413328928895861E-2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'[58]Sch C'!D84</f>
        <v>177432</v>
      </c>
      <c r="D96" s="480">
        <f>'[58]Sch C'!F84</f>
        <v>0</v>
      </c>
      <c r="E96" s="480">
        <f>+'[58]Sch C'!H84</f>
        <v>0</v>
      </c>
      <c r="F96" s="166">
        <f t="shared" si="17"/>
        <v>177432</v>
      </c>
      <c r="G96" s="626"/>
      <c r="H96" s="607"/>
      <c r="I96" s="166">
        <f t="shared" si="18"/>
        <v>177432</v>
      </c>
      <c r="J96" s="167">
        <f t="shared" si="19"/>
        <v>1.7611370089197314E-2</v>
      </c>
      <c r="K96" s="458"/>
      <c r="L96" s="163"/>
      <c r="M96" s="163"/>
      <c r="N96" s="227"/>
      <c r="O96" s="324">
        <f t="shared" si="20"/>
        <v>4.8843009331901888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'[58]Sch C'!D85</f>
        <v>614</v>
      </c>
      <c r="D97" s="480">
        <f>'[58]Sch C'!F85</f>
        <v>0</v>
      </c>
      <c r="E97" s="480">
        <f>+'[58]Sch C'!H85</f>
        <v>0</v>
      </c>
      <c r="F97" s="166">
        <f t="shared" si="17"/>
        <v>614</v>
      </c>
      <c r="G97" s="626"/>
      <c r="H97" s="607"/>
      <c r="I97" s="166">
        <f t="shared" si="18"/>
        <v>614</v>
      </c>
      <c r="J97" s="167">
        <f t="shared" si="19"/>
        <v>6.0943805146575309E-5</v>
      </c>
      <c r="K97" s="458"/>
      <c r="L97" s="163"/>
      <c r="M97" s="163"/>
      <c r="N97" s="227"/>
      <c r="O97" s="324">
        <f t="shared" si="20"/>
        <v>1.6902028794009965E-2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373720</v>
      </c>
      <c r="D98" s="480">
        <f t="shared" si="21"/>
        <v>12840</v>
      </c>
      <c r="E98" s="480">
        <f t="shared" si="21"/>
        <v>0</v>
      </c>
      <c r="F98" s="166">
        <f t="shared" ref="F98:I98" si="22">SUM(F87:F97)</f>
        <v>386560</v>
      </c>
      <c r="G98" s="166">
        <f t="shared" si="22"/>
        <v>0</v>
      </c>
      <c r="H98" s="166">
        <f t="shared" si="22"/>
        <v>0</v>
      </c>
      <c r="I98" s="166">
        <f t="shared" si="22"/>
        <v>386560</v>
      </c>
      <c r="J98" s="167">
        <f t="shared" si="19"/>
        <v>3.8368790419316207E-2</v>
      </c>
      <c r="K98" s="458"/>
      <c r="L98" s="163"/>
      <c r="M98" s="163"/>
      <c r="N98" s="227"/>
      <c r="O98" s="329">
        <f>I98/I$233</f>
        <v>10.641120929336306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N99" s="227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N100" s="227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'[58]Sch C'!D89</f>
        <v>269853</v>
      </c>
      <c r="D101" s="480">
        <f>'[58]Sch C'!F89</f>
        <v>0</v>
      </c>
      <c r="E101" s="480">
        <f>+'[58]Sch C'!H89</f>
        <v>0</v>
      </c>
      <c r="F101" s="166">
        <f t="shared" ref="F101:F106" si="23">C101+D101+E101</f>
        <v>269853</v>
      </c>
      <c r="G101" s="626"/>
      <c r="H101" s="607"/>
      <c r="I101" s="166">
        <f t="shared" ref="I101:I106" si="24">F101+G101+H101</f>
        <v>269853</v>
      </c>
      <c r="J101" s="167">
        <f t="shared" ref="J101:J107" si="25">IF($I$213=0,0,I101/$I$213)</f>
        <v>2.6784802361919848E-2</v>
      </c>
      <c r="K101" s="458"/>
      <c r="L101" s="176">
        <v>21696</v>
      </c>
      <c r="M101" s="176">
        <v>22732</v>
      </c>
      <c r="N101" s="227"/>
      <c r="O101" s="329">
        <f t="shared" ref="O101:O106" si="26">I101/I$233</f>
        <v>7.4284416549673793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'[58]Sch C'!D90</f>
        <v>35786</v>
      </c>
      <c r="D102" s="480">
        <f>'[58]Sch C'!F90</f>
        <v>14999</v>
      </c>
      <c r="E102" s="480">
        <f>+'[58]Sch C'!H90</f>
        <v>0</v>
      </c>
      <c r="F102" s="166">
        <f t="shared" si="23"/>
        <v>50785</v>
      </c>
      <c r="G102" s="626"/>
      <c r="H102" s="607"/>
      <c r="I102" s="166">
        <f t="shared" si="24"/>
        <v>50785</v>
      </c>
      <c r="J102" s="167">
        <f t="shared" si="25"/>
        <v>5.0407673361055816E-3</v>
      </c>
      <c r="K102" s="458"/>
      <c r="L102" s="163"/>
      <c r="M102" s="163"/>
      <c r="N102" s="227"/>
      <c r="O102" s="329">
        <f t="shared" si="26"/>
        <v>1.397995980950808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'[58]Sch C'!D91</f>
        <v>1698</v>
      </c>
      <c r="D103" s="480">
        <f>'[58]Sch C'!F91</f>
        <v>0</v>
      </c>
      <c r="E103" s="480">
        <f>+'[58]Sch C'!H91</f>
        <v>0</v>
      </c>
      <c r="F103" s="166">
        <f t="shared" si="23"/>
        <v>1698</v>
      </c>
      <c r="G103" s="626"/>
      <c r="H103" s="607"/>
      <c r="I103" s="166">
        <f t="shared" si="24"/>
        <v>1698</v>
      </c>
      <c r="J103" s="167">
        <f t="shared" si="25"/>
        <v>1.6853840576365616E-4</v>
      </c>
      <c r="K103" s="458"/>
      <c r="L103" s="163"/>
      <c r="M103" s="163"/>
      <c r="N103" s="227"/>
      <c r="O103" s="329">
        <f t="shared" si="26"/>
        <v>4.6742092658353288E-2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'[58]Sch C'!D92</f>
        <v>210086</v>
      </c>
      <c r="D104" s="480">
        <f>'[58]Sch C'!F92</f>
        <v>0</v>
      </c>
      <c r="E104" s="480">
        <f>+'[58]Sch C'!H92</f>
        <v>0</v>
      </c>
      <c r="F104" s="166">
        <f t="shared" si="23"/>
        <v>210086</v>
      </c>
      <c r="G104" s="626"/>
      <c r="H104" s="607"/>
      <c r="I104" s="166">
        <f t="shared" si="24"/>
        <v>210086</v>
      </c>
      <c r="J104" s="167">
        <f t="shared" si="25"/>
        <v>2.0852508547269416E-2</v>
      </c>
      <c r="K104" s="458"/>
      <c r="L104" s="163"/>
      <c r="M104" s="163"/>
      <c r="N104" s="227"/>
      <c r="O104" s="329">
        <f t="shared" si="26"/>
        <v>5.7831915655022437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'[58]Sch C'!D93</f>
        <v>23624</v>
      </c>
      <c r="D105" s="480">
        <f>'[58]Sch C'!F93</f>
        <v>4497</v>
      </c>
      <c r="E105" s="480">
        <f>+'[58]Sch C'!H93</f>
        <v>0</v>
      </c>
      <c r="F105" s="166">
        <f t="shared" si="23"/>
        <v>28121</v>
      </c>
      <c r="G105" s="626"/>
      <c r="H105" s="607"/>
      <c r="I105" s="166">
        <f t="shared" si="24"/>
        <v>28121</v>
      </c>
      <c r="J105" s="167">
        <f t="shared" si="25"/>
        <v>2.7912064243108214E-3</v>
      </c>
      <c r="K105" s="458"/>
      <c r="L105" s="163"/>
      <c r="M105" s="163"/>
      <c r="N105" s="227"/>
      <c r="O105" s="329">
        <f t="shared" si="26"/>
        <v>0.77410741321881793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'[58]Sch C'!D94</f>
        <v>329</v>
      </c>
      <c r="D106" s="480">
        <f>'[58]Sch C'!F94</f>
        <v>0</v>
      </c>
      <c r="E106" s="480">
        <f>+'[58]Sch C'!H94</f>
        <v>0</v>
      </c>
      <c r="F106" s="166">
        <f t="shared" si="23"/>
        <v>329</v>
      </c>
      <c r="G106" s="626"/>
      <c r="H106" s="607"/>
      <c r="I106" s="166">
        <f t="shared" si="24"/>
        <v>329</v>
      </c>
      <c r="J106" s="167">
        <f t="shared" si="25"/>
        <v>3.2655556829353871E-5</v>
      </c>
      <c r="K106" s="458"/>
      <c r="L106" s="163"/>
      <c r="M106" s="163"/>
      <c r="N106" s="227"/>
      <c r="O106" s="329">
        <f t="shared" si="26"/>
        <v>9.0566245492333525E-3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541376</v>
      </c>
      <c r="D107" s="480">
        <f t="shared" si="27"/>
        <v>19496</v>
      </c>
      <c r="E107" s="480">
        <f t="shared" si="27"/>
        <v>0</v>
      </c>
      <c r="F107" s="166">
        <f t="shared" ref="F107:I107" si="28">SUM(F101:F106)</f>
        <v>560872</v>
      </c>
      <c r="G107" s="166">
        <f t="shared" si="28"/>
        <v>0</v>
      </c>
      <c r="H107" s="166">
        <f t="shared" si="28"/>
        <v>0</v>
      </c>
      <c r="I107" s="166">
        <f t="shared" si="28"/>
        <v>560872</v>
      </c>
      <c r="J107" s="167">
        <f t="shared" si="25"/>
        <v>5.5670478632198678E-2</v>
      </c>
      <c r="K107" s="458"/>
      <c r="L107" s="163"/>
      <c r="M107" s="163"/>
      <c r="N107" s="227"/>
      <c r="O107" s="329">
        <f>I107/I$233</f>
        <v>15.439535331846836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N108" s="227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N109" s="227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'[58]Sch C'!D98</f>
        <v>38815</v>
      </c>
      <c r="D110" s="480">
        <f>'[58]Sch C'!F98</f>
        <v>0</v>
      </c>
      <c r="E110" s="480">
        <f>+'[58]Sch C'!H98</f>
        <v>0</v>
      </c>
      <c r="F110" s="166">
        <f t="shared" ref="F110:F115" si="29">C110+D110+E110</f>
        <v>38815</v>
      </c>
      <c r="G110" s="626"/>
      <c r="H110" s="607"/>
      <c r="I110" s="166">
        <f t="shared" ref="I110:I115" si="30">F110+G110+H110</f>
        <v>38815</v>
      </c>
      <c r="J110" s="167">
        <f t="shared" ref="J110:J116" si="31">IF($I$213=0,0,I110/$I$213)</f>
        <v>3.8526609067822811E-3</v>
      </c>
      <c r="K110" s="458"/>
      <c r="L110" s="176">
        <v>3187</v>
      </c>
      <c r="M110" s="176">
        <v>3329</v>
      </c>
      <c r="N110" s="227"/>
      <c r="O110" s="329">
        <f t="shared" ref="O110:O115" si="32">I110/I$233</f>
        <v>1.0684890026701903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'[58]Sch C'!D99</f>
        <v>5083</v>
      </c>
      <c r="D111" s="480">
        <f>'[58]Sch C'!F99</f>
        <v>2157</v>
      </c>
      <c r="E111" s="480">
        <f>+'[58]Sch C'!H99</f>
        <v>0</v>
      </c>
      <c r="F111" s="166">
        <f t="shared" si="29"/>
        <v>7240</v>
      </c>
      <c r="G111" s="626"/>
      <c r="H111" s="607"/>
      <c r="I111" s="166">
        <f t="shared" si="30"/>
        <v>7240</v>
      </c>
      <c r="J111" s="167">
        <f t="shared" si="31"/>
        <v>7.1862076426906394E-4</v>
      </c>
      <c r="K111" s="458"/>
      <c r="L111" s="163"/>
      <c r="M111" s="163"/>
      <c r="N111" s="227"/>
      <c r="O111" s="329">
        <f t="shared" si="32"/>
        <v>0.19930079555151817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'[58]Sch C'!D100</f>
        <v>11317</v>
      </c>
      <c r="D112" s="480">
        <f>'[58]Sch C'!F100</f>
        <v>0</v>
      </c>
      <c r="E112" s="480">
        <f>+'[58]Sch C'!H100</f>
        <v>0</v>
      </c>
      <c r="F112" s="166">
        <f t="shared" si="29"/>
        <v>11317</v>
      </c>
      <c r="G112" s="626"/>
      <c r="H112" s="607"/>
      <c r="I112" s="166">
        <f t="shared" si="30"/>
        <v>11317</v>
      </c>
      <c r="J112" s="167">
        <f t="shared" si="31"/>
        <v>1.1232916007227897E-3</v>
      </c>
      <c r="K112" s="458"/>
      <c r="L112" s="163"/>
      <c r="M112" s="163"/>
      <c r="N112" s="227"/>
      <c r="O112" s="329">
        <f t="shared" si="32"/>
        <v>0.31153136785311203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'[58]Sch C'!D101</f>
        <v>0</v>
      </c>
      <c r="D113" s="480">
        <f>'[58]Sch C'!F101</f>
        <v>0</v>
      </c>
      <c r="E113" s="480">
        <f>+'[58]Sch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N113" s="227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'[58]Sch C'!D102</f>
        <v>11049</v>
      </c>
      <c r="D114" s="480">
        <f>'[58]Sch C'!F102</f>
        <v>0</v>
      </c>
      <c r="E114" s="480">
        <f>+'[58]Sch C'!H102</f>
        <v>0</v>
      </c>
      <c r="F114" s="166">
        <f t="shared" si="29"/>
        <v>11049</v>
      </c>
      <c r="G114" s="626"/>
      <c r="H114" s="607"/>
      <c r="I114" s="166">
        <f t="shared" si="30"/>
        <v>11049</v>
      </c>
      <c r="J114" s="167">
        <f t="shared" si="31"/>
        <v>1.0966907216034374E-3</v>
      </c>
      <c r="K114" s="458"/>
      <c r="L114" s="163"/>
      <c r="M114" s="163"/>
      <c r="N114" s="227"/>
      <c r="O114" s="329">
        <f t="shared" si="32"/>
        <v>0.30415393508960276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'[58]Sch C'!D103</f>
        <v>0</v>
      </c>
      <c r="D115" s="480">
        <f>'[58]Sch C'!F103</f>
        <v>0</v>
      </c>
      <c r="E115" s="480">
        <f>+'[58]Sch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N115" s="227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66264</v>
      </c>
      <c r="D116" s="480">
        <f t="shared" si="33"/>
        <v>2157</v>
      </c>
      <c r="E116" s="480">
        <f t="shared" si="33"/>
        <v>0</v>
      </c>
      <c r="F116" s="166">
        <f t="shared" ref="F116:I116" si="34">SUM(F110:F115)</f>
        <v>68421</v>
      </c>
      <c r="G116" s="166">
        <f t="shared" si="34"/>
        <v>0</v>
      </c>
      <c r="H116" s="166">
        <f t="shared" si="34"/>
        <v>0</v>
      </c>
      <c r="I116" s="166">
        <f t="shared" si="34"/>
        <v>68421</v>
      </c>
      <c r="J116" s="167">
        <f t="shared" si="31"/>
        <v>6.7912639933775725E-3</v>
      </c>
      <c r="K116" s="458"/>
      <c r="L116" s="163"/>
      <c r="M116" s="163"/>
      <c r="N116" s="227"/>
      <c r="O116" s="329">
        <f>I116/I$233</f>
        <v>1.8834751011644231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N117" s="227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N118" s="227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'[58]Sch C'!D115</f>
        <v>140043</v>
      </c>
      <c r="D119" s="480">
        <f>'[58]Sch C'!F115</f>
        <v>0</v>
      </c>
      <c r="E119" s="480">
        <f>+'[58]Sch C'!H115</f>
        <v>0</v>
      </c>
      <c r="F119" s="166">
        <f t="shared" ref="F119:F123" si="35">C119+D119+E119</f>
        <v>140043</v>
      </c>
      <c r="G119" s="626"/>
      <c r="H119" s="607"/>
      <c r="I119" s="166">
        <f t="shared" ref="I119:I123" si="36">F119+G119+H119</f>
        <v>140043</v>
      </c>
      <c r="J119" s="167">
        <f t="shared" ref="J119:J124" si="37">IF($I$213=0,0,I119/$I$213)</f>
        <v>1.3900249681012779E-2</v>
      </c>
      <c r="K119" s="458"/>
      <c r="L119" s="176">
        <v>12778</v>
      </c>
      <c r="M119" s="176">
        <v>13529</v>
      </c>
      <c r="N119" s="227"/>
      <c r="O119" s="329">
        <f t="shared" ref="O119:O124" si="38">I119/I$233</f>
        <v>3.855066479478074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'[58]Sch C'!D116</f>
        <v>20142</v>
      </c>
      <c r="D120" s="480">
        <f>'[58]Sch C'!F116</f>
        <v>7784</v>
      </c>
      <c r="E120" s="480">
        <f>+'[58]Sch C'!H116</f>
        <v>0</v>
      </c>
      <c r="F120" s="166">
        <f t="shared" si="35"/>
        <v>27926</v>
      </c>
      <c r="G120" s="626"/>
      <c r="H120" s="607"/>
      <c r="I120" s="166">
        <f t="shared" si="36"/>
        <v>27926</v>
      </c>
      <c r="J120" s="167">
        <f t="shared" si="37"/>
        <v>2.7718513070411435E-3</v>
      </c>
      <c r="K120" s="458"/>
      <c r="L120" s="163"/>
      <c r="M120" s="163"/>
      <c r="N120" s="227"/>
      <c r="O120" s="329">
        <f t="shared" si="38"/>
        <v>0.76873950505133926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'[58]Sch C'!D117</f>
        <v>35879</v>
      </c>
      <c r="D121" s="480">
        <f>'[58]Sch C'!F117</f>
        <v>0</v>
      </c>
      <c r="E121" s="480">
        <f>+'[58]Sch C'!H117</f>
        <v>0</v>
      </c>
      <c r="F121" s="166">
        <f t="shared" si="35"/>
        <v>35879</v>
      </c>
      <c r="G121" s="626"/>
      <c r="H121" s="607"/>
      <c r="I121" s="166">
        <f t="shared" si="36"/>
        <v>35879</v>
      </c>
      <c r="J121" s="167">
        <f t="shared" si="37"/>
        <v>3.5612423206090806E-3</v>
      </c>
      <c r="K121" s="458"/>
      <c r="L121" s="163"/>
      <c r="M121" s="163"/>
      <c r="N121" s="227"/>
      <c r="O121" s="329">
        <f t="shared" si="38"/>
        <v>0.98766757508189496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'[58]Sch C'!D118</f>
        <v>5980</v>
      </c>
      <c r="D122" s="480">
        <f>'[58]Sch C'!F118</f>
        <v>0</v>
      </c>
      <c r="E122" s="480">
        <f>+'[58]Sch C'!H118</f>
        <v>0</v>
      </c>
      <c r="F122" s="166">
        <f t="shared" si="35"/>
        <v>5980</v>
      </c>
      <c r="G122" s="626"/>
      <c r="H122" s="607"/>
      <c r="I122" s="166">
        <f t="shared" si="36"/>
        <v>5980</v>
      </c>
      <c r="J122" s="167">
        <f t="shared" si="37"/>
        <v>5.9355692960345332E-4</v>
      </c>
      <c r="K122" s="458"/>
      <c r="L122" s="163"/>
      <c r="M122" s="163"/>
      <c r="N122" s="227"/>
      <c r="O122" s="329">
        <f t="shared" si="38"/>
        <v>0.16461585046934787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'[58]Sch C'!D119</f>
        <v>0</v>
      </c>
      <c r="D123" s="480">
        <f>'[58]Sch C'!F119</f>
        <v>0</v>
      </c>
      <c r="E123" s="480">
        <f>+'[58]Sch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N123" s="227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202044</v>
      </c>
      <c r="D124" s="480">
        <f t="shared" si="39"/>
        <v>7784</v>
      </c>
      <c r="E124" s="480">
        <f t="shared" si="39"/>
        <v>0</v>
      </c>
      <c r="F124" s="166">
        <f t="shared" ref="F124:I124" si="40">SUM(F119:F123)</f>
        <v>209828</v>
      </c>
      <c r="G124" s="166">
        <f t="shared" si="40"/>
        <v>0</v>
      </c>
      <c r="H124" s="166">
        <f t="shared" si="40"/>
        <v>0</v>
      </c>
      <c r="I124" s="166">
        <f t="shared" si="40"/>
        <v>209828</v>
      </c>
      <c r="J124" s="167">
        <f t="shared" si="37"/>
        <v>2.0826900238266458E-2</v>
      </c>
      <c r="K124" s="458"/>
      <c r="L124" s="163"/>
      <c r="M124" s="163"/>
      <c r="N124" s="227"/>
      <c r="O124" s="329">
        <f t="shared" si="38"/>
        <v>5.7760894100806564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N125" s="227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N126" s="227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N127" s="227"/>
      <c r="O127" s="324"/>
      <c r="P127" s="324"/>
    </row>
    <row r="128" spans="1:16" s="162" customFormat="1">
      <c r="B128" s="323" t="s">
        <v>672</v>
      </c>
      <c r="C128" s="480">
        <f>'[58]Sch C'!D124</f>
        <v>0</v>
      </c>
      <c r="D128" s="480">
        <f>'[58]Sch C'!F124</f>
        <v>0</v>
      </c>
      <c r="E128" s="480">
        <f>+'[58]Sch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N128" s="227"/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'[58]Sch C'!D125</f>
        <v>194725</v>
      </c>
      <c r="D129" s="480">
        <f>'[58]Sch C'!F125</f>
        <v>0</v>
      </c>
      <c r="E129" s="480">
        <f>+'[58]Sch C'!H125</f>
        <v>92458</v>
      </c>
      <c r="F129" s="166">
        <f t="shared" si="41"/>
        <v>287183</v>
      </c>
      <c r="G129" s="626"/>
      <c r="H129" s="607"/>
      <c r="I129" s="166">
        <f t="shared" si="42"/>
        <v>287183</v>
      </c>
      <c r="J129" s="167">
        <f>IF($I$213=0,0,I129/$I$213)</f>
        <v>2.8504926373630193E-2</v>
      </c>
      <c r="K129" s="458" t="s">
        <v>374</v>
      </c>
      <c r="L129" s="176">
        <v>6315</v>
      </c>
      <c r="M129" s="176">
        <v>6444</v>
      </c>
      <c r="N129" s="227"/>
      <c r="O129" s="329">
        <f t="shared" si="43"/>
        <v>7.9054972885181822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'[58]Sch C'!D126</f>
        <v>97807</v>
      </c>
      <c r="D130" s="480">
        <f>'[58]Sch C'!F126</f>
        <v>0</v>
      </c>
      <c r="E130" s="480">
        <f>+'[58]Sch C'!H126</f>
        <v>0</v>
      </c>
      <c r="F130" s="166">
        <f t="shared" si="41"/>
        <v>97807</v>
      </c>
      <c r="G130" s="626"/>
      <c r="H130" s="607"/>
      <c r="I130" s="166">
        <f t="shared" si="42"/>
        <v>97807</v>
      </c>
      <c r="J130" s="167">
        <f>IF($I$213=0,0,I130/$I$213)</f>
        <v>9.708030537412201E-3</v>
      </c>
      <c r="K130" s="458"/>
      <c r="L130" s="176">
        <v>2924</v>
      </c>
      <c r="M130" s="176">
        <v>3196</v>
      </c>
      <c r="N130" s="227"/>
      <c r="O130" s="329">
        <f t="shared" si="43"/>
        <v>2.6924050981363723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'[58]Sch C'!D127</f>
        <v>0</v>
      </c>
      <c r="D131" s="480">
        <f>'[58]Sch C'!F127</f>
        <v>0</v>
      </c>
      <c r="E131" s="480">
        <f>+'[58]Sch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N131" s="227"/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'[58]Sch C'!D128</f>
        <v>43403</v>
      </c>
      <c r="D132" s="480">
        <f>'[58]Sch C'!F128</f>
        <v>0</v>
      </c>
      <c r="E132" s="480">
        <f>+'[58]Sch C'!H128</f>
        <v>0</v>
      </c>
      <c r="F132" s="166">
        <f t="shared" si="41"/>
        <v>43403</v>
      </c>
      <c r="G132" s="626"/>
      <c r="H132" s="607"/>
      <c r="I132" s="166">
        <f t="shared" si="42"/>
        <v>43403</v>
      </c>
      <c r="J132" s="167">
        <f>IF($I$213=0,0,I132/$I$213)</f>
        <v>4.3080520761837266E-3</v>
      </c>
      <c r="K132" s="458"/>
      <c r="L132" s="176">
        <v>3026</v>
      </c>
      <c r="M132" s="176">
        <v>3252</v>
      </c>
      <c r="N132" s="227"/>
      <c r="O132" s="329">
        <f t="shared" si="43"/>
        <v>1.1947862471439976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N133" s="227"/>
      <c r="O133" s="329"/>
      <c r="P133" s="324"/>
    </row>
    <row r="134" spans="1:16" s="162" customFormat="1">
      <c r="A134" s="164"/>
      <c r="B134" s="257" t="s">
        <v>680</v>
      </c>
      <c r="C134" s="480">
        <f>'[58]Sch C'!D130</f>
        <v>0</v>
      </c>
      <c r="D134" s="480">
        <f>'[58]Sch C'!F130</f>
        <v>0</v>
      </c>
      <c r="E134" s="480">
        <f>+'[58]Sch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N134" s="227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'[58]Sch C'!D131</f>
        <v>0</v>
      </c>
      <c r="D135" s="480">
        <f>'[58]Sch C'!F131</f>
        <v>10823</v>
      </c>
      <c r="E135" s="480">
        <f>+'[58]Sch C'!H131</f>
        <v>9561</v>
      </c>
      <c r="F135" s="166">
        <f t="shared" si="44"/>
        <v>20384</v>
      </c>
      <c r="G135" s="626">
        <v>39361</v>
      </c>
      <c r="H135" s="607"/>
      <c r="I135" s="166">
        <f t="shared" si="45"/>
        <v>59745</v>
      </c>
      <c r="J135" s="167">
        <f>IF($I$213=0,0,I135/$I$213)</f>
        <v>5.9301101603943676E-3</v>
      </c>
      <c r="K135" s="458" t="s">
        <v>374</v>
      </c>
      <c r="L135" s="196"/>
      <c r="M135" s="196"/>
      <c r="N135" s="227"/>
      <c r="O135" s="329">
        <f t="shared" si="43"/>
        <v>1.6446444793129078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'[58]Sch C'!D132</f>
        <v>0</v>
      </c>
      <c r="D136" s="480">
        <f>'[58]Sch C'!F132</f>
        <v>5436</v>
      </c>
      <c r="E136" s="480">
        <f>+'[58]Sch C'!H132</f>
        <v>0</v>
      </c>
      <c r="F136" s="166">
        <f t="shared" si="44"/>
        <v>5436</v>
      </c>
      <c r="G136" s="626">
        <v>13405</v>
      </c>
      <c r="H136" s="607"/>
      <c r="I136" s="166">
        <f t="shared" si="45"/>
        <v>18841</v>
      </c>
      <c r="J136" s="167">
        <f>IF($I$213=0,0,I136/$I$213)</f>
        <v>1.8701013562974354E-3</v>
      </c>
      <c r="K136" s="458"/>
      <c r="L136" s="163"/>
      <c r="M136" s="163"/>
      <c r="N136" s="227"/>
      <c r="O136" s="329">
        <f t="shared" si="43"/>
        <v>0.51865003991521463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'[58]Sch C'!D133</f>
        <v>0</v>
      </c>
      <c r="D137" s="480">
        <f>'[58]Sch C'!F133</f>
        <v>0</v>
      </c>
      <c r="E137" s="480">
        <f>+'[58]Sch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N137" s="227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'[58]Sch C'!D134</f>
        <v>0</v>
      </c>
      <c r="D138" s="480">
        <f>'[58]Sch C'!F134</f>
        <v>2412</v>
      </c>
      <c r="E138" s="480">
        <f>+'[58]Sch C'!H134</f>
        <v>0</v>
      </c>
      <c r="F138" s="166">
        <f t="shared" si="44"/>
        <v>2412</v>
      </c>
      <c r="G138" s="626">
        <v>5949</v>
      </c>
      <c r="H138" s="607"/>
      <c r="I138" s="166">
        <f t="shared" si="45"/>
        <v>8361</v>
      </c>
      <c r="J138" s="167">
        <f>IF($I$213=0,0,I138/$I$213)</f>
        <v>8.2988787431680154E-4</v>
      </c>
      <c r="K138" s="458"/>
      <c r="L138" s="163"/>
      <c r="M138" s="163"/>
      <c r="N138" s="227"/>
      <c r="O138" s="329">
        <f t="shared" si="43"/>
        <v>0.23015938558097282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N139" s="227"/>
      <c r="O139" s="329"/>
      <c r="P139" s="324"/>
    </row>
    <row r="140" spans="1:16" s="162" customFormat="1">
      <c r="A140" s="164"/>
      <c r="B140" s="323" t="s">
        <v>686</v>
      </c>
      <c r="C140" s="480">
        <f>'[58]Sch C'!D136</f>
        <v>635799</v>
      </c>
      <c r="D140" s="480">
        <f>'[58]Sch C'!F136</f>
        <v>0</v>
      </c>
      <c r="E140" s="480">
        <f>+'[58]Sch C'!H136</f>
        <v>0</v>
      </c>
      <c r="F140" s="166">
        <f t="shared" ref="F140:F143" si="46">C140+D140+E140</f>
        <v>635799</v>
      </c>
      <c r="G140" s="626"/>
      <c r="H140" s="607"/>
      <c r="I140" s="166">
        <f t="shared" ref="I140:I143" si="47">F140+G140+H140</f>
        <v>635799</v>
      </c>
      <c r="J140" s="167">
        <f>IF($I$213=0,0,I140/$I$213)</f>
        <v>6.310750874330201E-2</v>
      </c>
      <c r="K140" s="458"/>
      <c r="L140" s="176">
        <v>19763</v>
      </c>
      <c r="M140" s="176">
        <v>20711</v>
      </c>
      <c r="N140" s="227"/>
      <c r="O140" s="329">
        <f t="shared" si="43"/>
        <v>17.502105871665702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'[58]Sch C'!D137</f>
        <v>736689</v>
      </c>
      <c r="D141" s="480">
        <f>'[58]Sch C'!F137</f>
        <v>0</v>
      </c>
      <c r="E141" s="480">
        <f>+'[58]Sch C'!H137</f>
        <v>0</v>
      </c>
      <c r="F141" s="166">
        <f t="shared" si="46"/>
        <v>736689</v>
      </c>
      <c r="G141" s="626"/>
      <c r="H141" s="607"/>
      <c r="I141" s="166">
        <f t="shared" si="47"/>
        <v>736689</v>
      </c>
      <c r="J141" s="167">
        <f>IF($I$213=0,0,I141/$I$213)</f>
        <v>7.31215486475984E-2</v>
      </c>
      <c r="K141" s="458"/>
      <c r="L141" s="176">
        <v>25739</v>
      </c>
      <c r="M141" s="176">
        <v>27558</v>
      </c>
      <c r="N141" s="227"/>
      <c r="O141" s="329">
        <f t="shared" si="43"/>
        <v>20.279378974316625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'[58]Sch C'!D138</f>
        <v>948636</v>
      </c>
      <c r="D142" s="480">
        <f>'[58]Sch C'!F138</f>
        <v>0</v>
      </c>
      <c r="E142" s="480">
        <f>+'[58]Sch C'!H138</f>
        <v>0</v>
      </c>
      <c r="F142" s="166">
        <f t="shared" si="46"/>
        <v>948636</v>
      </c>
      <c r="G142" s="626"/>
      <c r="H142" s="607"/>
      <c r="I142" s="166">
        <f t="shared" si="47"/>
        <v>948636</v>
      </c>
      <c r="J142" s="167">
        <f>IF($I$213=0,0,I142/$I$213)</f>
        <v>9.4158774493528691E-2</v>
      </c>
      <c r="K142" s="458"/>
      <c r="L142" s="176">
        <v>74413</v>
      </c>
      <c r="M142" s="176">
        <v>77714</v>
      </c>
      <c r="N142" s="227"/>
      <c r="O142" s="329">
        <f t="shared" si="43"/>
        <v>26.113799653150551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'[58]Sch C'!D139</f>
        <v>131073</v>
      </c>
      <c r="D143" s="480">
        <f>'[58]Sch C'!F139</f>
        <v>0</v>
      </c>
      <c r="E143" s="480">
        <f>+'[58]Sch C'!H139</f>
        <v>0</v>
      </c>
      <c r="F143" s="166">
        <f t="shared" si="46"/>
        <v>131073</v>
      </c>
      <c r="G143" s="626"/>
      <c r="H143" s="607"/>
      <c r="I143" s="166">
        <f t="shared" si="47"/>
        <v>131073</v>
      </c>
      <c r="J143" s="167">
        <f>IF($I$213=0,0,I143/$I$213)</f>
        <v>1.30099142866076E-2</v>
      </c>
      <c r="K143" s="458"/>
      <c r="L143" s="176">
        <v>11438</v>
      </c>
      <c r="M143" s="176">
        <v>11986</v>
      </c>
      <c r="N143" s="227"/>
      <c r="O143" s="329">
        <f t="shared" si="43"/>
        <v>3.6081427037740523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N144" s="227"/>
      <c r="O144" s="329"/>
      <c r="P144" s="324"/>
    </row>
    <row r="145" spans="1:16" s="162" customFormat="1">
      <c r="A145" s="164"/>
      <c r="B145" s="323" t="s">
        <v>681</v>
      </c>
      <c r="C145" s="480">
        <f>'[58]Sch C'!D141</f>
        <v>0</v>
      </c>
      <c r="D145" s="480">
        <f>'[58]Sch C'!F141</f>
        <v>35340</v>
      </c>
      <c r="E145" s="480">
        <f>+'[58]Sch C'!H141</f>
        <v>0</v>
      </c>
      <c r="F145" s="166">
        <f t="shared" ref="F145:F148" si="48">C145+D145+E145</f>
        <v>35340</v>
      </c>
      <c r="G145" s="626">
        <v>87143</v>
      </c>
      <c r="H145" s="607"/>
      <c r="I145" s="166">
        <f t="shared" ref="I145:I148" si="49">F145+G145+H145</f>
        <v>122483</v>
      </c>
      <c r="J145" s="167">
        <f>IF($I$213=0,0,I145/$I$213)</f>
        <v>1.2157296556625381E-2</v>
      </c>
      <c r="K145" s="458"/>
      <c r="L145" s="163"/>
      <c r="M145" s="163"/>
      <c r="N145" s="227"/>
      <c r="O145" s="329">
        <f t="shared" si="43"/>
        <v>3.3716794670630659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'[58]Sch C'!D142</f>
        <v>0</v>
      </c>
      <c r="D146" s="480">
        <f>'[58]Sch C'!F142</f>
        <v>40947</v>
      </c>
      <c r="E146" s="480">
        <f>+'[58]Sch C'!H142</f>
        <v>0</v>
      </c>
      <c r="F146" s="166">
        <f t="shared" si="48"/>
        <v>40947</v>
      </c>
      <c r="G146" s="626">
        <v>100971</v>
      </c>
      <c r="H146" s="607"/>
      <c r="I146" s="166">
        <f t="shared" si="49"/>
        <v>141918</v>
      </c>
      <c r="J146" s="167">
        <f>IF($I$213=0,0,I146/$I$213)</f>
        <v>1.4086356577836604E-2</v>
      </c>
      <c r="K146" s="458"/>
      <c r="L146" s="163"/>
      <c r="M146" s="163"/>
      <c r="N146" s="227"/>
      <c r="O146" s="329">
        <f t="shared" si="43"/>
        <v>3.9066809810884466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'[58]Sch C'!D143</f>
        <v>0</v>
      </c>
      <c r="D147" s="480">
        <f>'[58]Sch C'!F143</f>
        <v>52728</v>
      </c>
      <c r="E147" s="480">
        <f>+'[58]Sch C'!H143</f>
        <v>0</v>
      </c>
      <c r="F147" s="166">
        <f t="shared" si="48"/>
        <v>52728</v>
      </c>
      <c r="G147" s="626">
        <v>130020</v>
      </c>
      <c r="H147" s="607"/>
      <c r="I147" s="166">
        <f t="shared" si="49"/>
        <v>182748</v>
      </c>
      <c r="J147" s="167">
        <f>IF($I$213=0,0,I147/$I$213)</f>
        <v>1.8139020363072224E-2</v>
      </c>
      <c r="K147" s="458"/>
      <c r="L147" s="163"/>
      <c r="M147" s="163"/>
      <c r="N147" s="227"/>
      <c r="O147" s="329">
        <f t="shared" si="43"/>
        <v>5.030638368155917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'[58]Sch C'!D144</f>
        <v>394815</v>
      </c>
      <c r="D148" s="480">
        <f>'[58]Sch C'!F144</f>
        <v>7285</v>
      </c>
      <c r="E148" s="480">
        <f>+'[58]Sch C'!H144</f>
        <v>0</v>
      </c>
      <c r="F148" s="166">
        <f t="shared" si="48"/>
        <v>402100</v>
      </c>
      <c r="G148" s="626">
        <v>-376849</v>
      </c>
      <c r="H148" s="607"/>
      <c r="I148" s="166">
        <f t="shared" si="49"/>
        <v>25251</v>
      </c>
      <c r="J148" s="167">
        <f>IF($I$213=0,0,I148/$I$213)</f>
        <v>2.5063388009058194E-3</v>
      </c>
      <c r="K148" s="458"/>
      <c r="L148" s="163"/>
      <c r="M148" s="163"/>
      <c r="N148" s="227"/>
      <c r="O148" s="329">
        <f t="shared" si="43"/>
        <v>0.69510281608720781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N149" s="227"/>
      <c r="O149" s="329"/>
      <c r="P149" s="324"/>
    </row>
    <row r="150" spans="1:16" s="162" customFormat="1">
      <c r="A150" s="164"/>
      <c r="B150" s="323" t="s">
        <v>694</v>
      </c>
      <c r="C150" s="480">
        <f>'[58]Sch C'!D146</f>
        <v>52325</v>
      </c>
      <c r="D150" s="480">
        <f>'[58]Sch C'!F146</f>
        <v>0</v>
      </c>
      <c r="E150" s="480">
        <f>+'[58]Sch C'!H146</f>
        <v>0</v>
      </c>
      <c r="F150" s="166">
        <f t="shared" ref="F150:F158" si="50">C150+D150+E150</f>
        <v>52325</v>
      </c>
      <c r="G150" s="626"/>
      <c r="H150" s="607"/>
      <c r="I150" s="166">
        <f t="shared" ref="I150:I158" si="51">F150+G150+H150</f>
        <v>52325</v>
      </c>
      <c r="J150" s="167">
        <f t="shared" ref="J150:J158" si="52">IF($I$213=0,0,I150/$I$213)</f>
        <v>5.1936231340302171E-3</v>
      </c>
      <c r="K150" s="458"/>
      <c r="L150" s="176">
        <v>144</v>
      </c>
      <c r="M150" s="176">
        <v>144</v>
      </c>
      <c r="N150" s="227"/>
      <c r="O150" s="329">
        <f t="shared" si="43"/>
        <v>1.4403886916067938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'[58]Sch C'!D147</f>
        <v>60522</v>
      </c>
      <c r="D151" s="480">
        <f>'[58]Sch C'!F147</f>
        <v>0</v>
      </c>
      <c r="E151" s="480">
        <f>+'[58]Sch C'!H147</f>
        <v>0</v>
      </c>
      <c r="F151" s="166">
        <f t="shared" si="50"/>
        <v>60522</v>
      </c>
      <c r="G151" s="626"/>
      <c r="H151" s="607"/>
      <c r="I151" s="166">
        <f t="shared" si="51"/>
        <v>60522</v>
      </c>
      <c r="J151" s="167">
        <f t="shared" si="52"/>
        <v>6.0072328584381612E-3</v>
      </c>
      <c r="K151" s="458"/>
      <c r="L151" s="176">
        <v>1043</v>
      </c>
      <c r="M151" s="176">
        <v>1043</v>
      </c>
      <c r="N151" s="227"/>
      <c r="O151" s="329">
        <f t="shared" si="43"/>
        <v>1.6660335287802461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'[58]Sch C'!D148</f>
        <v>31990</v>
      </c>
      <c r="D152" s="480">
        <f>'[58]Sch C'!F148</f>
        <v>0</v>
      </c>
      <c r="E152" s="480">
        <f>+'[58]Sch C'!H148</f>
        <v>0</v>
      </c>
      <c r="F152" s="166">
        <f t="shared" si="50"/>
        <v>31990</v>
      </c>
      <c r="G152" s="626"/>
      <c r="H152" s="607"/>
      <c r="I152" s="166">
        <f t="shared" si="51"/>
        <v>31990</v>
      </c>
      <c r="J152" s="167">
        <f t="shared" si="52"/>
        <v>3.1752318023435572E-3</v>
      </c>
      <c r="K152" s="458"/>
      <c r="L152" s="176">
        <v>667</v>
      </c>
      <c r="M152" s="176">
        <v>667</v>
      </c>
      <c r="N152" s="227"/>
      <c r="O152" s="329">
        <f t="shared" si="43"/>
        <v>0.88061221680843449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'[58]Sch C'!D149</f>
        <v>33210</v>
      </c>
      <c r="D153" s="480">
        <f>'[58]Sch C'!F149</f>
        <v>0</v>
      </c>
      <c r="E153" s="480">
        <f>+'[58]Sch C'!H149</f>
        <v>0</v>
      </c>
      <c r="F153" s="166">
        <f t="shared" si="50"/>
        <v>33210</v>
      </c>
      <c r="G153" s="626"/>
      <c r="H153" s="607"/>
      <c r="I153" s="166">
        <f t="shared" si="51"/>
        <v>33210</v>
      </c>
      <c r="J153" s="167">
        <f t="shared" si="52"/>
        <v>3.2963253565435929E-3</v>
      </c>
      <c r="K153" s="458"/>
      <c r="L153" s="176">
        <v>1188</v>
      </c>
      <c r="M153" s="176">
        <v>1188</v>
      </c>
      <c r="N153" s="227"/>
      <c r="O153" s="329">
        <f t="shared" si="43"/>
        <v>0.9141960525229168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'[58]Sch C'!D150</f>
        <v>24841</v>
      </c>
      <c r="D154" s="480">
        <f>'[58]Sch C'!F150</f>
        <v>0</v>
      </c>
      <c r="E154" s="480">
        <f>+'[58]Sch C'!H150</f>
        <v>0</v>
      </c>
      <c r="F154" s="166">
        <f t="shared" si="50"/>
        <v>24841</v>
      </c>
      <c r="G154" s="626"/>
      <c r="H154" s="607"/>
      <c r="I154" s="166">
        <f t="shared" si="51"/>
        <v>24841</v>
      </c>
      <c r="J154" s="167">
        <f t="shared" si="52"/>
        <v>2.4656434261336765E-3</v>
      </c>
      <c r="K154" s="458"/>
      <c r="L154" s="176">
        <v>382</v>
      </c>
      <c r="M154" s="176">
        <v>382</v>
      </c>
      <c r="N154" s="227"/>
      <c r="O154" s="329">
        <f t="shared" si="43"/>
        <v>0.68381644506840644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'[58]Sch C'!D151</f>
        <v>246817</v>
      </c>
      <c r="D155" s="480">
        <f>'[58]Sch C'!F151</f>
        <v>16420</v>
      </c>
      <c r="E155" s="480">
        <f>+'[58]Sch C'!H151</f>
        <v>0</v>
      </c>
      <c r="F155" s="166">
        <f t="shared" si="50"/>
        <v>263237</v>
      </c>
      <c r="G155" s="626"/>
      <c r="H155" s="607"/>
      <c r="I155" s="166">
        <f t="shared" si="51"/>
        <v>263237</v>
      </c>
      <c r="J155" s="167">
        <f t="shared" si="52"/>
        <v>2.6128117972913756E-2</v>
      </c>
      <c r="K155" s="458"/>
      <c r="L155" s="163"/>
      <c r="M155" s="163"/>
      <c r="N155" s="227"/>
      <c r="O155" s="329">
        <f t="shared" si="43"/>
        <v>7.2463181655517932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'[58]Sch C'!D152</f>
        <v>7374</v>
      </c>
      <c r="D156" s="480">
        <f>'[58]Sch C'!F152</f>
        <v>0</v>
      </c>
      <c r="E156" s="480">
        <f>+'[58]Sch C'!H152</f>
        <v>0</v>
      </c>
      <c r="F156" s="166">
        <f t="shared" si="50"/>
        <v>7374</v>
      </c>
      <c r="G156" s="626"/>
      <c r="H156" s="607"/>
      <c r="I156" s="166">
        <f t="shared" si="51"/>
        <v>7374</v>
      </c>
      <c r="J156" s="167">
        <f t="shared" si="52"/>
        <v>7.3192120382873998E-4</v>
      </c>
      <c r="K156" s="458"/>
      <c r="L156" s="163"/>
      <c r="M156" s="163"/>
      <c r="N156" s="227"/>
      <c r="O156" s="329">
        <f t="shared" si="43"/>
        <v>0.20298951193327278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'[58]Sch C'!D153</f>
        <v>15647</v>
      </c>
      <c r="D157" s="480">
        <f>'[58]Sch C'!F153</f>
        <v>0</v>
      </c>
      <c r="E157" s="480">
        <f>+'[58]Sch C'!H153</f>
        <v>0</v>
      </c>
      <c r="F157" s="166">
        <f t="shared" si="50"/>
        <v>15647</v>
      </c>
      <c r="G157" s="626"/>
      <c r="H157" s="607"/>
      <c r="I157" s="166">
        <f t="shared" si="51"/>
        <v>15647</v>
      </c>
      <c r="J157" s="167">
        <f t="shared" si="52"/>
        <v>1.5530744611212768E-3</v>
      </c>
      <c r="K157" s="458"/>
      <c r="L157" s="163"/>
      <c r="M157" s="163"/>
      <c r="N157" s="227"/>
      <c r="O157" s="329">
        <f t="shared" si="43"/>
        <v>0.43072645690533212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'[58]Sch C'!D154</f>
        <v>38658</v>
      </c>
      <c r="D158" s="480">
        <f>'[58]Sch C'!F154</f>
        <v>2149</v>
      </c>
      <c r="E158" s="480">
        <f>+'[58]Sch C'!H154</f>
        <v>0</v>
      </c>
      <c r="F158" s="166">
        <f t="shared" si="50"/>
        <v>40807</v>
      </c>
      <c r="G158" s="626">
        <v>287311</v>
      </c>
      <c r="H158" s="607"/>
      <c r="I158" s="166">
        <f t="shared" si="51"/>
        <v>328118</v>
      </c>
      <c r="J158" s="167">
        <f t="shared" si="52"/>
        <v>3.2568012145087942E-2</v>
      </c>
      <c r="K158" s="457" t="s">
        <v>510</v>
      </c>
      <c r="L158" s="163"/>
      <c r="M158" s="163"/>
      <c r="N158" s="227"/>
      <c r="O158" s="329">
        <f t="shared" si="43"/>
        <v>9.032345087675834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N159" s="227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'[58]Sch C'!D156</f>
        <v>0</v>
      </c>
      <c r="D160" s="480">
        <f>'[58]Sch C'!F156</f>
        <v>0</v>
      </c>
      <c r="E160" s="480">
        <f>+'[58]Sch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N160" s="227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'[58]Sch C'!D157</f>
        <v>0</v>
      </c>
      <c r="D161" s="480">
        <f>'[58]Sch C'!F157</f>
        <v>0</v>
      </c>
      <c r="E161" s="480">
        <f>+'[58]Sch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N161" s="227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'[58]Sch C'!D158</f>
        <v>0</v>
      </c>
      <c r="D162" s="480">
        <f>'[58]Sch C'!F158</f>
        <v>0</v>
      </c>
      <c r="E162" s="480">
        <f>+'[58]Sch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N162" s="227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'[58]Sch C'!D159</f>
        <v>0</v>
      </c>
      <c r="D163" s="480">
        <f>'[58]Sch C'!F159</f>
        <v>0</v>
      </c>
      <c r="E163" s="480">
        <f>+'[58]Sch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N163" s="227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'[58]Sch C'!D160</f>
        <v>0</v>
      </c>
      <c r="D164" s="480">
        <f>'[58]Sch C'!F160</f>
        <v>0</v>
      </c>
      <c r="E164" s="480">
        <f>+'[58]Sch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N164" s="227"/>
      <c r="O164" s="329">
        <f t="shared" si="43"/>
        <v>0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'[58]Sch C'!D161</f>
        <v>31498</v>
      </c>
      <c r="D165" s="480">
        <f>'[58]Sch C'!F161</f>
        <v>0</v>
      </c>
      <c r="E165" s="480">
        <f>+'[58]Sch C'!H161</f>
        <v>0</v>
      </c>
      <c r="F165" s="166">
        <f t="shared" si="53"/>
        <v>31498</v>
      </c>
      <c r="G165" s="626">
        <v>-24145</v>
      </c>
      <c r="H165" s="607"/>
      <c r="I165" s="166">
        <f t="shared" si="54"/>
        <v>7353</v>
      </c>
      <c r="J165" s="167">
        <f t="shared" si="55"/>
        <v>7.298368065843131E-4</v>
      </c>
      <c r="K165" s="458"/>
      <c r="L165" s="163"/>
      <c r="M165" s="163"/>
      <c r="N165" s="227"/>
      <c r="O165" s="329">
        <f t="shared" si="43"/>
        <v>0.20241142951523661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3725829</v>
      </c>
      <c r="D166" s="480">
        <f t="shared" si="56"/>
        <v>173540</v>
      </c>
      <c r="E166" s="480">
        <f t="shared" si="56"/>
        <v>102019</v>
      </c>
      <c r="F166" s="166">
        <f t="shared" ref="F166:I166" si="57">SUM(F128:F165)</f>
        <v>4001388</v>
      </c>
      <c r="G166" s="166">
        <f t="shared" si="57"/>
        <v>263166</v>
      </c>
      <c r="H166" s="166">
        <f t="shared" si="57"/>
        <v>0</v>
      </c>
      <c r="I166" s="166">
        <f t="shared" si="57"/>
        <v>4264554</v>
      </c>
      <c r="J166" s="167">
        <f t="shared" si="55"/>
        <v>0.42328688601473669</v>
      </c>
      <c r="K166" s="458"/>
      <c r="L166" s="163"/>
      <c r="M166" s="163"/>
      <c r="N166" s="227"/>
      <c r="O166" s="329">
        <f>I166/I$233</f>
        <v>117.39350896027749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N167" s="227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N168" s="227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'[58]Sch C'!D175</f>
        <v>0</v>
      </c>
      <c r="D169" s="480">
        <f>'[58]Sch C'!F175</f>
        <v>0</v>
      </c>
      <c r="E169" s="480">
        <f>+'[58]Sch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518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'[58]Sch C'!D176</f>
        <v>0</v>
      </c>
      <c r="D170" s="480">
        <f>'[58]Sch C'!F176</f>
        <v>0</v>
      </c>
      <c r="E170" s="480">
        <f>+'[58]Sch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518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'[58]Sch C'!D177</f>
        <v>400690</v>
      </c>
      <c r="D171" s="480">
        <f>'[58]Sch C'!F177</f>
        <v>0</v>
      </c>
      <c r="E171" s="480">
        <f>+'[58]Sch C'!H177</f>
        <v>0</v>
      </c>
      <c r="F171" s="166">
        <f t="shared" si="58"/>
        <v>400690</v>
      </c>
      <c r="G171" s="626"/>
      <c r="H171" s="607"/>
      <c r="I171" s="166">
        <f t="shared" si="59"/>
        <v>400690</v>
      </c>
      <c r="J171" s="167">
        <f t="shared" si="60"/>
        <v>3.9771291993780558E-2</v>
      </c>
      <c r="K171" s="468"/>
      <c r="L171" s="176">
        <v>12666</v>
      </c>
      <c r="M171" s="176">
        <v>13492</v>
      </c>
      <c r="N171" s="518"/>
      <c r="O171" s="329">
        <f t="shared" si="61"/>
        <v>11.030087813472074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'[58]Sch C'!D178</f>
        <v>58412</v>
      </c>
      <c r="D172" s="480">
        <f>'[58]Sch C'!F178</f>
        <v>22272</v>
      </c>
      <c r="E172" s="480">
        <f>+'[58]Sch C'!H178</f>
        <v>0</v>
      </c>
      <c r="F172" s="166">
        <f t="shared" si="58"/>
        <v>80684</v>
      </c>
      <c r="G172" s="626"/>
      <c r="H172" s="607"/>
      <c r="I172" s="166">
        <f t="shared" si="59"/>
        <v>80684</v>
      </c>
      <c r="J172" s="167">
        <f t="shared" si="60"/>
        <v>8.008452727111209E-3</v>
      </c>
      <c r="K172" s="469"/>
      <c r="L172" s="212"/>
      <c r="M172" s="212"/>
      <c r="N172" s="518"/>
      <c r="O172" s="329">
        <f t="shared" si="61"/>
        <v>2.2210477055633553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'[58]Sch C'!D179</f>
        <v>33313</v>
      </c>
      <c r="D173" s="480">
        <f>'[58]Sch C'!F179</f>
        <v>0</v>
      </c>
      <c r="E173" s="480">
        <f>+'[58]Sch C'!H179</f>
        <v>0</v>
      </c>
      <c r="F173" s="166">
        <f t="shared" si="58"/>
        <v>33313</v>
      </c>
      <c r="G173" s="626"/>
      <c r="H173" s="607"/>
      <c r="I173" s="166">
        <f t="shared" si="59"/>
        <v>33313</v>
      </c>
      <c r="J173" s="167">
        <f t="shared" si="60"/>
        <v>3.3065488287424482E-3</v>
      </c>
      <c r="K173" s="468"/>
      <c r="L173" s="176">
        <v>955</v>
      </c>
      <c r="M173" s="176">
        <v>1063</v>
      </c>
      <c r="N173" s="518"/>
      <c r="O173" s="329">
        <f t="shared" si="61"/>
        <v>0.91703140914471326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'[58]Sch C'!D180</f>
        <v>5328</v>
      </c>
      <c r="D174" s="480">
        <f>'[58]Sch C'!F180</f>
        <v>1852</v>
      </c>
      <c r="E174" s="480">
        <f>+'[58]Sch C'!H180</f>
        <v>0</v>
      </c>
      <c r="F174" s="166">
        <f t="shared" si="58"/>
        <v>7180</v>
      </c>
      <c r="G174" s="626"/>
      <c r="H174" s="607"/>
      <c r="I174" s="166">
        <f t="shared" si="59"/>
        <v>7180</v>
      </c>
      <c r="J174" s="167">
        <f t="shared" si="60"/>
        <v>7.1266534357070153E-4</v>
      </c>
      <c r="K174" s="469"/>
      <c r="L174" s="212"/>
      <c r="M174" s="212"/>
      <c r="N174" s="518"/>
      <c r="O174" s="329">
        <f t="shared" si="61"/>
        <v>0.19764913149998622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'[58]Sch C'!D181</f>
        <v>0</v>
      </c>
      <c r="D175" s="480">
        <f>'[58]Sch C'!F181</f>
        <v>0</v>
      </c>
      <c r="E175" s="480">
        <f>+'[58]Sch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518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'[58]Sch C'!D182</f>
        <v>0</v>
      </c>
      <c r="D176" s="480">
        <f>'[58]Sch C'!F182</f>
        <v>0</v>
      </c>
      <c r="E176" s="480">
        <f>+'[58]Sch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518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'[58]Sch C'!D183</f>
        <v>217305</v>
      </c>
      <c r="D177" s="480">
        <f>'[58]Sch C'!F183</f>
        <v>0</v>
      </c>
      <c r="E177" s="480">
        <f>+'[58]Sch C'!H183</f>
        <v>0</v>
      </c>
      <c r="F177" s="166">
        <f t="shared" si="58"/>
        <v>217305</v>
      </c>
      <c r="G177" s="626"/>
      <c r="H177" s="607"/>
      <c r="I177" s="166">
        <f t="shared" si="59"/>
        <v>217305</v>
      </c>
      <c r="J177" s="167">
        <f t="shared" si="60"/>
        <v>2.1569044914294053E-2</v>
      </c>
      <c r="K177" s="468"/>
      <c r="L177" s="176">
        <v>7074</v>
      </c>
      <c r="M177" s="176">
        <v>7598</v>
      </c>
      <c r="N177" s="518"/>
      <c r="O177" s="329">
        <f t="shared" si="61"/>
        <v>5.9819142786357258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'[58]Sch C'!D184</f>
        <v>34208</v>
      </c>
      <c r="D178" s="480">
        <f>'[58]Sch C'!F184</f>
        <v>12078</v>
      </c>
      <c r="E178" s="480">
        <f>+'[58]Sch C'!H184</f>
        <v>0</v>
      </c>
      <c r="F178" s="166">
        <f t="shared" si="58"/>
        <v>46286</v>
      </c>
      <c r="G178" s="626"/>
      <c r="H178" s="607"/>
      <c r="I178" s="166">
        <f t="shared" si="59"/>
        <v>46286</v>
      </c>
      <c r="J178" s="167">
        <f t="shared" si="60"/>
        <v>4.5942100407400403E-3</v>
      </c>
      <c r="K178" s="469"/>
      <c r="L178" s="212"/>
      <c r="M178" s="212"/>
      <c r="N178" s="518"/>
      <c r="O178" s="329">
        <f t="shared" si="61"/>
        <v>1.2741487048201063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'[58]Sch C'!D185</f>
        <v>0</v>
      </c>
      <c r="D179" s="480">
        <f>'[58]Sch C'!F185</f>
        <v>0</v>
      </c>
      <c r="E179" s="480">
        <f>+'[58]Sch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518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'[58]Sch C'!D186</f>
        <v>0</v>
      </c>
      <c r="D180" s="480">
        <f>'[58]Sch C'!F186</f>
        <v>0</v>
      </c>
      <c r="E180" s="480">
        <f>+'[58]Sch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518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'[58]Sch C'!D187</f>
        <v>0</v>
      </c>
      <c r="D181" s="480">
        <f>'[58]Sch C'!F187</f>
        <v>0</v>
      </c>
      <c r="E181" s="480">
        <f>+'[58]Sch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518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'[58]Sch C'!D188</f>
        <v>2157</v>
      </c>
      <c r="D182" s="480">
        <f>'[58]Sch C'!F188</f>
        <v>0</v>
      </c>
      <c r="E182" s="480">
        <f>+'[58]Sch C'!H188</f>
        <v>0</v>
      </c>
      <c r="F182" s="166">
        <f t="shared" si="58"/>
        <v>2157</v>
      </c>
      <c r="G182" s="626"/>
      <c r="H182" s="607"/>
      <c r="I182" s="166">
        <f t="shared" si="59"/>
        <v>2157</v>
      </c>
      <c r="J182" s="167">
        <f t="shared" si="60"/>
        <v>2.1409737410612857E-4</v>
      </c>
      <c r="K182" s="458"/>
      <c r="L182" s="213"/>
      <c r="M182" s="208"/>
      <c r="N182" s="518"/>
      <c r="O182" s="329">
        <f t="shared" si="61"/>
        <v>5.9377322652572465E-2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'[58]Sch C'!D189</f>
        <v>0</v>
      </c>
      <c r="D183" s="480">
        <f>'[58]Sch C'!F189</f>
        <v>0</v>
      </c>
      <c r="E183" s="480">
        <f>+'[58]Sch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518"/>
      <c r="O183" s="329">
        <f t="shared" si="61"/>
        <v>0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'[58]Sch C'!D190</f>
        <v>0</v>
      </c>
      <c r="D184" s="480">
        <f>'[58]Sch C'!F190</f>
        <v>0</v>
      </c>
      <c r="E184" s="480">
        <f>+'[58]Sch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518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'[58]Sch C'!D191</f>
        <v>0</v>
      </c>
      <c r="D185" s="480">
        <f>'[58]Sch C'!F191</f>
        <v>0</v>
      </c>
      <c r="E185" s="480">
        <f>+'[58]Sch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518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'[58]Sch C'!D192</f>
        <v>0</v>
      </c>
      <c r="D186" s="480">
        <f>'[58]Sch C'!F192</f>
        <v>0</v>
      </c>
      <c r="E186" s="480">
        <f>+'[58]Sch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518"/>
      <c r="O186" s="329">
        <f t="shared" si="61"/>
        <v>0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'[58]Sch C'!D193</f>
        <v>0</v>
      </c>
      <c r="D187" s="480">
        <f>'[58]Sch C'!F193</f>
        <v>0</v>
      </c>
      <c r="E187" s="480">
        <f>+'[58]Sch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518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'[58]Sch C'!D194</f>
        <v>0</v>
      </c>
      <c r="D188" s="480">
        <f>'[58]Sch C'!F194</f>
        <v>0</v>
      </c>
      <c r="E188" s="480">
        <f>+'[58]Sch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N188" s="518"/>
      <c r="O188" s="329">
        <f t="shared" si="61"/>
        <v>0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'[58]Sch C'!D195</f>
        <v>10240</v>
      </c>
      <c r="D189" s="480">
        <f>'[58]Sch C'!F195</f>
        <v>0</v>
      </c>
      <c r="E189" s="480">
        <f>+'[58]Sch C'!H195</f>
        <v>0</v>
      </c>
      <c r="F189" s="166">
        <f t="shared" si="58"/>
        <v>10240</v>
      </c>
      <c r="G189" s="626"/>
      <c r="H189" s="607"/>
      <c r="I189" s="166">
        <f t="shared" si="59"/>
        <v>10240</v>
      </c>
      <c r="J189" s="167">
        <f t="shared" si="60"/>
        <v>1.0163917991871843E-3</v>
      </c>
      <c r="K189" s="458"/>
      <c r="L189" s="213"/>
      <c r="M189" s="208"/>
      <c r="N189" s="518"/>
      <c r="O189" s="329">
        <f t="shared" si="61"/>
        <v>0.2818839981281141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'[58]Sch C'!D196</f>
        <v>0</v>
      </c>
      <c r="D190" s="480">
        <f>'[58]Sch C'!F196</f>
        <v>0</v>
      </c>
      <c r="E190" s="480">
        <f>+'[58]Sch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518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'[58]Sch C'!D197</f>
        <v>0</v>
      </c>
      <c r="D191" s="480">
        <f>'[58]Sch C'!F197</f>
        <v>0</v>
      </c>
      <c r="E191" s="480">
        <f>+'[58]Sch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518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'[58]Sch C'!D198</f>
        <v>56924</v>
      </c>
      <c r="D192" s="480">
        <f>'[58]Sch C'!F198</f>
        <v>0</v>
      </c>
      <c r="E192" s="480">
        <f>+'[58]Sch C'!H198</f>
        <v>-2851</v>
      </c>
      <c r="F192" s="166">
        <f t="shared" si="58"/>
        <v>54073</v>
      </c>
      <c r="G192" s="626"/>
      <c r="H192" s="607"/>
      <c r="I192" s="166">
        <f t="shared" si="59"/>
        <v>54073</v>
      </c>
      <c r="J192" s="167">
        <f t="shared" si="60"/>
        <v>5.3671243903758419E-3</v>
      </c>
      <c r="K192" s="458"/>
      <c r="L192" s="213"/>
      <c r="M192" s="208"/>
      <c r="N192" s="518"/>
      <c r="O192" s="329">
        <f t="shared" si="61"/>
        <v>1.488507170974757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'[58]Sch C'!D199</f>
        <v>287311</v>
      </c>
      <c r="D193" s="480">
        <f>'[58]Sch C'!F199</f>
        <v>0</v>
      </c>
      <c r="E193" s="480">
        <f>+'[58]Sch C'!H199</f>
        <v>0</v>
      </c>
      <c r="F193" s="166">
        <f t="shared" si="58"/>
        <v>287311</v>
      </c>
      <c r="G193" s="626">
        <v>-287311</v>
      </c>
      <c r="H193" s="607"/>
      <c r="I193" s="166">
        <f t="shared" si="59"/>
        <v>0</v>
      </c>
      <c r="J193" s="167">
        <f t="shared" si="60"/>
        <v>0</v>
      </c>
      <c r="K193" s="457"/>
      <c r="L193" s="213"/>
      <c r="M193" s="208"/>
      <c r="N193" s="518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'[58]Sch C'!D200</f>
        <v>0</v>
      </c>
      <c r="D194" s="480">
        <f>'[58]Sch C'!F200</f>
        <v>0</v>
      </c>
      <c r="E194" s="480">
        <f>+'[58]Sch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518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'[58]Sch C'!D201</f>
        <v>0</v>
      </c>
      <c r="D195" s="480">
        <f>'[58]Sch C'!F201</f>
        <v>0</v>
      </c>
      <c r="E195" s="480">
        <f>+'[58]Sch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518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'[58]Sch C'!D202</f>
        <v>0</v>
      </c>
      <c r="D196" s="480">
        <f>'[58]Sch C'!F202</f>
        <v>0</v>
      </c>
      <c r="E196" s="480">
        <f>+'[58]Sch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518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'[58]Sch C'!D203</f>
        <v>0</v>
      </c>
      <c r="D197" s="480">
        <f>'[58]Sch C'!F203</f>
        <v>0</v>
      </c>
      <c r="E197" s="480">
        <f>+'[58]Sch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518"/>
      <c r="O197" s="329">
        <f t="shared" si="61"/>
        <v>0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'[58]Sch C'!D204</f>
        <v>0</v>
      </c>
      <c r="D198" s="480">
        <f>'[58]Sch C'!F204</f>
        <v>0</v>
      </c>
      <c r="E198" s="480">
        <f>+'[58]Sch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518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'[58]Sch C'!D205</f>
        <v>340419</v>
      </c>
      <c r="D199" s="480">
        <f>'[58]Sch C'!F205</f>
        <v>0</v>
      </c>
      <c r="E199" s="480">
        <f>+'[58]Sch C'!H205</f>
        <v>0</v>
      </c>
      <c r="F199" s="166">
        <f t="shared" si="58"/>
        <v>340419</v>
      </c>
      <c r="G199" s="626"/>
      <c r="H199" s="607"/>
      <c r="I199" s="166">
        <f t="shared" si="59"/>
        <v>340419</v>
      </c>
      <c r="J199" s="167">
        <f t="shared" si="60"/>
        <v>3.3788972645263878E-2</v>
      </c>
      <c r="K199" s="458"/>
      <c r="L199" s="213"/>
      <c r="M199" s="208"/>
      <c r="N199" s="518"/>
      <c r="O199" s="329">
        <f t="shared" si="61"/>
        <v>9.370963745974068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'[58]Sch C'!D206</f>
        <v>38907</v>
      </c>
      <c r="D200" s="480">
        <f>'[58]Sch C'!F206</f>
        <v>0</v>
      </c>
      <c r="E200" s="480">
        <f>+'[58]Sch C'!H206</f>
        <v>0</v>
      </c>
      <c r="F200" s="166">
        <f t="shared" si="58"/>
        <v>38907</v>
      </c>
      <c r="G200" s="626"/>
      <c r="H200" s="607"/>
      <c r="I200" s="166">
        <f t="shared" si="59"/>
        <v>38907</v>
      </c>
      <c r="J200" s="167">
        <f t="shared" si="60"/>
        <v>3.8617925518531038E-3</v>
      </c>
      <c r="K200" s="458"/>
      <c r="L200" s="213"/>
      <c r="M200" s="208"/>
      <c r="N200" s="518"/>
      <c r="O200" s="329">
        <f t="shared" si="61"/>
        <v>1.0710215542158725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'[58]Sch C'!D207</f>
        <v>58101</v>
      </c>
      <c r="D201" s="480">
        <f>'[58]Sch C'!F207</f>
        <v>-14409</v>
      </c>
      <c r="E201" s="480">
        <f>+'[58]Sch C'!H207</f>
        <v>0</v>
      </c>
      <c r="F201" s="166">
        <f t="shared" si="58"/>
        <v>43692</v>
      </c>
      <c r="G201" s="626">
        <v>14409</v>
      </c>
      <c r="H201" s="607">
        <v>-14409</v>
      </c>
      <c r="I201" s="166">
        <f t="shared" si="59"/>
        <v>43692</v>
      </c>
      <c r="J201" s="167">
        <f t="shared" si="60"/>
        <v>4.3367373525475053E-3</v>
      </c>
      <c r="K201" s="458" t="s">
        <v>665</v>
      </c>
      <c r="L201" s="213"/>
      <c r="M201" s="208"/>
      <c r="N201" s="518"/>
      <c r="O201" s="329">
        <f t="shared" si="61"/>
        <v>1.202741762325543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1543315</v>
      </c>
      <c r="D202" s="480">
        <f t="shared" si="62"/>
        <v>21793</v>
      </c>
      <c r="E202" s="480">
        <f t="shared" si="62"/>
        <v>-2851</v>
      </c>
      <c r="F202" s="166">
        <f t="shared" ref="F202:I202" si="63">SUM(F169:F201)</f>
        <v>1562257</v>
      </c>
      <c r="G202" s="166">
        <f t="shared" si="63"/>
        <v>-272902</v>
      </c>
      <c r="H202" s="166">
        <f t="shared" si="63"/>
        <v>-14409</v>
      </c>
      <c r="I202" s="166">
        <f t="shared" si="63"/>
        <v>1274946</v>
      </c>
      <c r="J202" s="167">
        <f>IF($I$213=0,0,I202/$I$213)</f>
        <v>0.12654732996157264</v>
      </c>
      <c r="K202" s="458"/>
      <c r="L202" s="163"/>
      <c r="M202" s="163"/>
      <c r="N202" s="227"/>
      <c r="O202" s="329">
        <f>I202/I$233</f>
        <v>35.096374597406886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N203" s="227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N204" s="227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'[58]Sch C'!D211</f>
        <v>366554</v>
      </c>
      <c r="D205" s="480">
        <f>'[58]Sch C'!F211</f>
        <v>0</v>
      </c>
      <c r="E205" s="480">
        <f>+'[58]Sch C'!H211</f>
        <v>0</v>
      </c>
      <c r="F205" s="166">
        <f t="shared" ref="F205:F210" si="64">C205+D205+E205</f>
        <v>366554</v>
      </c>
      <c r="G205" s="626">
        <v>-9917</v>
      </c>
      <c r="H205" s="607"/>
      <c r="I205" s="166">
        <f t="shared" ref="I205:I210" si="65">F205+G205+H205</f>
        <v>356637</v>
      </c>
      <c r="J205" s="167">
        <f t="shared" ref="J205:J211" si="66">IF($I$213=0,0,I205/$I$213)</f>
        <v>3.5398722860031234E-2</v>
      </c>
      <c r="K205" s="458"/>
      <c r="L205" s="176">
        <v>19645</v>
      </c>
      <c r="M205" s="176">
        <v>20389</v>
      </c>
      <c r="N205" s="227"/>
      <c r="O205" s="329">
        <f t="shared" ref="O205:O210" si="67">I205/I$233</f>
        <v>9.8174085391031465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'[58]Sch C'!D212</f>
        <v>48528</v>
      </c>
      <c r="D206" s="480">
        <f>'[58]Sch C'!F212</f>
        <v>20376</v>
      </c>
      <c r="E206" s="480">
        <f>+'[58]Sch C'!H212</f>
        <v>0</v>
      </c>
      <c r="F206" s="166">
        <f t="shared" si="64"/>
        <v>68904</v>
      </c>
      <c r="G206" s="626"/>
      <c r="H206" s="607"/>
      <c r="I206" s="166">
        <f t="shared" si="65"/>
        <v>68904</v>
      </c>
      <c r="J206" s="167">
        <f t="shared" si="66"/>
        <v>6.8392051299993898E-3</v>
      </c>
      <c r="K206" s="458"/>
      <c r="L206" s="163"/>
      <c r="M206" s="163"/>
      <c r="N206" s="227"/>
      <c r="O206" s="329">
        <f t="shared" si="67"/>
        <v>1.8967709967792552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'[58]Sch C'!D213</f>
        <v>26643</v>
      </c>
      <c r="D207" s="480">
        <f>'[58]Sch C'!F213</f>
        <v>0</v>
      </c>
      <c r="E207" s="480">
        <f>+'[58]Sch C'!H213</f>
        <v>0</v>
      </c>
      <c r="F207" s="166">
        <f t="shared" si="64"/>
        <v>26643</v>
      </c>
      <c r="G207" s="626"/>
      <c r="H207" s="607"/>
      <c r="I207" s="166">
        <f t="shared" si="65"/>
        <v>26643</v>
      </c>
      <c r="J207" s="167">
        <f t="shared" si="66"/>
        <v>2.6445045611078275E-3</v>
      </c>
      <c r="K207" s="458"/>
      <c r="L207" s="163"/>
      <c r="M207" s="163"/>
      <c r="N207" s="227"/>
      <c r="O207" s="329">
        <f t="shared" si="67"/>
        <v>0.73342142208274841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'[58]Sch C'!D214</f>
        <v>0</v>
      </c>
      <c r="D208" s="480">
        <f>'[58]Sch C'!F214</f>
        <v>0</v>
      </c>
      <c r="E208" s="480">
        <f>+'[58]Sch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N208" s="227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'[58]Sch C'!D215</f>
        <v>0</v>
      </c>
      <c r="D209" s="480">
        <f>'[58]Sch C'!F215</f>
        <v>0</v>
      </c>
      <c r="E209" s="480">
        <f>+'[58]Sch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N209" s="227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'[58]Sch C'!D216</f>
        <v>32773</v>
      </c>
      <c r="D210" s="480">
        <f>'[58]Sch C'!F216</f>
        <v>0</v>
      </c>
      <c r="E210" s="480">
        <f>+'[58]Sch C'!H216</f>
        <v>-70</v>
      </c>
      <c r="F210" s="166">
        <f t="shared" si="64"/>
        <v>32703</v>
      </c>
      <c r="G210" s="626">
        <f>-2242-18148</f>
        <v>-20390</v>
      </c>
      <c r="H210" s="607"/>
      <c r="I210" s="166">
        <f t="shared" si="65"/>
        <v>12313</v>
      </c>
      <c r="J210" s="167">
        <f t="shared" si="66"/>
        <v>1.2221515843156055E-3</v>
      </c>
      <c r="K210" s="458"/>
      <c r="L210" s="163"/>
      <c r="M210" s="163"/>
      <c r="N210" s="227"/>
      <c r="O210" s="329">
        <f t="shared" si="67"/>
        <v>0.33894899110854187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474498</v>
      </c>
      <c r="D211" s="480">
        <f t="shared" si="68"/>
        <v>20376</v>
      </c>
      <c r="E211" s="480">
        <f t="shared" si="68"/>
        <v>-70</v>
      </c>
      <c r="F211" s="166">
        <f t="shared" ref="F211:I211" si="69">SUM(F205:F210)</f>
        <v>494804</v>
      </c>
      <c r="G211" s="166">
        <f t="shared" si="69"/>
        <v>-30307</v>
      </c>
      <c r="H211" s="166">
        <f t="shared" si="69"/>
        <v>0</v>
      </c>
      <c r="I211" s="166">
        <f t="shared" si="69"/>
        <v>464497</v>
      </c>
      <c r="J211" s="167">
        <f t="shared" si="66"/>
        <v>4.6104584135454062E-2</v>
      </c>
      <c r="K211" s="458"/>
      <c r="L211" s="163"/>
      <c r="M211" s="163"/>
      <c r="N211" s="227"/>
      <c r="O211" s="329">
        <f>I211/I$233</f>
        <v>12.786549949073692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N212" s="227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11083489</v>
      </c>
      <c r="D213" s="480">
        <f t="shared" si="70"/>
        <v>-151010</v>
      </c>
      <c r="E213" s="480">
        <f t="shared" si="70"/>
        <v>-224000</v>
      </c>
      <c r="F213" s="166">
        <f t="shared" ref="F213:I213" si="71">SUM(F30:F211)/2</f>
        <v>10708479</v>
      </c>
      <c r="G213" s="166">
        <f t="shared" si="71"/>
        <v>93154</v>
      </c>
      <c r="H213" s="166">
        <f t="shared" si="71"/>
        <v>-726778</v>
      </c>
      <c r="I213" s="166">
        <f t="shared" si="71"/>
        <v>10074855</v>
      </c>
      <c r="J213" s="167">
        <f>IF($I$213=0,0,I213/$I$213)</f>
        <v>1</v>
      </c>
      <c r="K213" s="458"/>
      <c r="L213" s="176">
        <f>SUM(L30:L205)</f>
        <v>243102</v>
      </c>
      <c r="M213" s="176">
        <f>SUM(M30:M205)</f>
        <v>255525</v>
      </c>
      <c r="O213" s="329">
        <f>I213/I$233</f>
        <v>277.33793046494344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'[58]Sch C'!D221</f>
        <v>11083489</v>
      </c>
      <c r="D216" s="188"/>
      <c r="E216" s="188"/>
      <c r="F216" s="160"/>
      <c r="G216" s="160"/>
      <c r="H216" s="524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524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723920</v>
      </c>
      <c r="D220" s="480">
        <f t="shared" si="72"/>
        <v>1386263.9276274336</v>
      </c>
      <c r="E220" s="480">
        <f t="shared" si="72"/>
        <v>224000</v>
      </c>
      <c r="F220" s="166">
        <f t="shared" ref="F220:I220" si="73">F26-F213</f>
        <v>2334183.9276274331</v>
      </c>
      <c r="G220" s="166">
        <f t="shared" si="73"/>
        <v>-169681</v>
      </c>
      <c r="H220" s="166">
        <f t="shared" si="73"/>
        <v>726778</v>
      </c>
      <c r="I220" s="166">
        <f t="shared" si="73"/>
        <v>2891280.9276274331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'[58]Sch D'!C9</f>
        <v>26954</v>
      </c>
      <c r="D224" s="480"/>
      <c r="E224" s="480"/>
      <c r="F224" s="224">
        <f>C224+D224+E224</f>
        <v>26954</v>
      </c>
      <c r="G224" s="627"/>
      <c r="H224" s="223"/>
      <c r="I224" s="224">
        <f>F224+G224+H224</f>
        <v>26954</v>
      </c>
      <c r="J224" s="167">
        <f t="shared" ref="J224:J233" si="74">IF($I$233=0,0,I224/$I$233)</f>
        <v>0.74198254741652214</v>
      </c>
      <c r="K224" s="458"/>
      <c r="L224" s="163"/>
      <c r="M224" s="163"/>
    </row>
    <row r="225" spans="1:13">
      <c r="A225" s="158"/>
      <c r="B225" s="165" t="s">
        <v>201</v>
      </c>
      <c r="C225" s="504">
        <f>'[58]Sch D'!D9</f>
        <v>84</v>
      </c>
      <c r="D225" s="480"/>
      <c r="E225" s="480"/>
      <c r="F225" s="224">
        <f t="shared" ref="F225:F232" si="75">C225+D225+E225</f>
        <v>84</v>
      </c>
      <c r="G225" s="626"/>
      <c r="H225" s="223"/>
      <c r="I225" s="224">
        <f t="shared" ref="I225:I232" si="76">F225+G225+H225</f>
        <v>84</v>
      </c>
      <c r="J225" s="167">
        <f t="shared" si="74"/>
        <v>2.3123296721446859E-3</v>
      </c>
      <c r="K225" s="458"/>
      <c r="L225" s="163"/>
      <c r="M225" s="163"/>
    </row>
    <row r="226" spans="1:13">
      <c r="A226" s="158"/>
      <c r="B226" s="165" t="s">
        <v>64</v>
      </c>
      <c r="C226" s="504">
        <f>'[58]Sch D'!E9</f>
        <v>3095</v>
      </c>
      <c r="D226" s="480"/>
      <c r="E226" s="480"/>
      <c r="F226" s="224">
        <f t="shared" si="75"/>
        <v>3095</v>
      </c>
      <c r="G226" s="626"/>
      <c r="H226" s="223"/>
      <c r="I226" s="224">
        <f t="shared" si="76"/>
        <v>3095</v>
      </c>
      <c r="J226" s="167">
        <f t="shared" si="74"/>
        <v>8.5198337324854795E-2</v>
      </c>
      <c r="K226" s="458"/>
      <c r="L226" s="163"/>
      <c r="M226" s="163"/>
    </row>
    <row r="227" spans="1:13">
      <c r="A227" s="158"/>
      <c r="B227" s="194" t="s">
        <v>315</v>
      </c>
      <c r="C227" s="504">
        <f>'[58]Sch D'!F9</f>
        <v>2075</v>
      </c>
      <c r="D227" s="480"/>
      <c r="E227" s="480"/>
      <c r="F227" s="224">
        <f t="shared" si="75"/>
        <v>2075</v>
      </c>
      <c r="G227" s="626"/>
      <c r="H227" s="223"/>
      <c r="I227" s="224">
        <f t="shared" si="76"/>
        <v>2075</v>
      </c>
      <c r="J227" s="167">
        <f t="shared" si="74"/>
        <v>5.7120048448812182E-2</v>
      </c>
      <c r="K227" s="458"/>
      <c r="L227" s="163"/>
      <c r="M227" s="163"/>
    </row>
    <row r="228" spans="1:13">
      <c r="A228" s="158"/>
      <c r="B228" s="165" t="s">
        <v>65</v>
      </c>
      <c r="C228" s="504">
        <f>'[58]Sch D'!G9</f>
        <v>0</v>
      </c>
      <c r="D228" s="480"/>
      <c r="E228" s="480"/>
      <c r="F228" s="224">
        <f t="shared" si="75"/>
        <v>0</v>
      </c>
      <c r="G228" s="626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'[58]Sch D'!H9</f>
        <v>1496</v>
      </c>
      <c r="D229" s="480"/>
      <c r="E229" s="480"/>
      <c r="F229" s="224">
        <f t="shared" si="75"/>
        <v>1496</v>
      </c>
      <c r="G229" s="626"/>
      <c r="H229" s="223"/>
      <c r="I229" s="224">
        <f t="shared" si="76"/>
        <v>1496</v>
      </c>
      <c r="J229" s="167">
        <f t="shared" si="74"/>
        <v>4.1181490351529168E-2</v>
      </c>
      <c r="K229" s="458"/>
      <c r="L229" s="163"/>
      <c r="M229" s="163"/>
    </row>
    <row r="230" spans="1:13">
      <c r="A230" s="158"/>
      <c r="B230" s="165" t="s">
        <v>219</v>
      </c>
      <c r="C230" s="504">
        <f>'[58]Sch D'!I9</f>
        <v>1458</v>
      </c>
      <c r="D230" s="480"/>
      <c r="E230" s="480"/>
      <c r="F230" s="224">
        <f t="shared" si="75"/>
        <v>1458</v>
      </c>
      <c r="G230" s="626"/>
      <c r="H230" s="223"/>
      <c r="I230" s="224">
        <f t="shared" si="76"/>
        <v>1458</v>
      </c>
      <c r="J230" s="167">
        <f t="shared" si="74"/>
        <v>4.0135436452225615E-2</v>
      </c>
      <c r="K230" s="458"/>
      <c r="L230" s="163"/>
      <c r="M230" s="163"/>
    </row>
    <row r="231" spans="1:13">
      <c r="A231" s="158"/>
      <c r="B231" s="165" t="s">
        <v>218</v>
      </c>
      <c r="C231" s="504">
        <f>'[58]Sch D'!J9</f>
        <v>81</v>
      </c>
      <c r="D231" s="480"/>
      <c r="E231" s="480"/>
      <c r="F231" s="224">
        <f t="shared" si="75"/>
        <v>81</v>
      </c>
      <c r="G231" s="626"/>
      <c r="H231" s="223"/>
      <c r="I231" s="224">
        <f t="shared" si="76"/>
        <v>81</v>
      </c>
      <c r="J231" s="167">
        <f>IF($I$233=0,0,I231/$I$233)</f>
        <v>2.22974646956809E-3</v>
      </c>
      <c r="K231" s="458"/>
      <c r="L231" s="163"/>
      <c r="M231" s="163"/>
    </row>
    <row r="232" spans="1:13">
      <c r="A232" s="158"/>
      <c r="B232" s="165" t="s">
        <v>170</v>
      </c>
      <c r="C232" s="504">
        <f>'[58]Sch D'!K9</f>
        <v>1084</v>
      </c>
      <c r="D232" s="480"/>
      <c r="E232" s="480"/>
      <c r="F232" s="224">
        <f t="shared" si="75"/>
        <v>1084</v>
      </c>
      <c r="G232" s="626"/>
      <c r="H232" s="223"/>
      <c r="I232" s="224">
        <f t="shared" si="76"/>
        <v>1084</v>
      </c>
      <c r="J232" s="167">
        <f t="shared" si="74"/>
        <v>2.9840063864343326E-2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36327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36327</v>
      </c>
      <c r="G233" s="226">
        <f t="shared" si="78"/>
        <v>0</v>
      </c>
      <c r="H233" s="226">
        <f t="shared" si="78"/>
        <v>0</v>
      </c>
      <c r="I233" s="226">
        <f t="shared" si="78"/>
        <v>36327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'[58]Sch D'!N22</f>
        <v>220</v>
      </c>
      <c r="D236" s="480"/>
      <c r="E236" s="480"/>
      <c r="F236" s="224">
        <f>C236+E236</f>
        <v>220</v>
      </c>
      <c r="G236" s="627"/>
      <c r="H236" s="224"/>
      <c r="I236" s="224">
        <f>F236+G236+H236</f>
        <v>220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'[58]Sch D'!N24</f>
        <v>220</v>
      </c>
      <c r="D237" s="480"/>
      <c r="E237" s="480"/>
      <c r="F237" s="224">
        <f>C237+E237</f>
        <v>220</v>
      </c>
      <c r="G237" s="627"/>
      <c r="H237" s="224"/>
      <c r="I237" s="224">
        <f>F237+G237+H237</f>
        <v>220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'[58]Sch D'!N28</f>
        <v>80300</v>
      </c>
      <c r="D240" s="427"/>
      <c r="E240" s="427"/>
      <c r="F240" s="223">
        <f>F236*F238</f>
        <v>80300</v>
      </c>
      <c r="G240"/>
      <c r="H240" s="228"/>
      <c r="I240" s="223">
        <f>I236*I238</f>
        <v>80300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'[58]Sch D'!N30</f>
        <v>0.45239103362391031</v>
      </c>
      <c r="D241" s="228"/>
      <c r="E241" s="228"/>
      <c r="F241" s="232">
        <f>F233/F240</f>
        <v>0.45239103362391031</v>
      </c>
      <c r="G241"/>
      <c r="H241" s="233"/>
      <c r="I241" s="232">
        <f>I233/I240</f>
        <v>0.45239103362391031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'[58]Sch D'!N32</f>
        <v>0.33671232876712331</v>
      </c>
      <c r="D242" s="228"/>
      <c r="E242" s="228"/>
      <c r="F242" s="232">
        <f>(F224+F225)/F240</f>
        <v>0.33671232876712331</v>
      </c>
      <c r="G242"/>
      <c r="H242" s="233"/>
      <c r="I242" s="232">
        <f>(I224+I225)/I240</f>
        <v>0.33671232876712331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'[58]Sch D'!N34</f>
        <v>0.74429487708866693</v>
      </c>
      <c r="D243" s="228"/>
      <c r="E243" s="228"/>
      <c r="F243" s="232">
        <f>(F242/F241)</f>
        <v>0.74429487708866693</v>
      </c>
      <c r="G243"/>
      <c r="H243" s="233"/>
      <c r="I243" s="232">
        <f>(I242/I241)</f>
        <v>0.74429487708866693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'[58]Sch B'!C90</f>
        <v>246.21028037383178</v>
      </c>
      <c r="K246" s="460"/>
    </row>
    <row r="247" spans="1:13">
      <c r="H247" s="140" t="s">
        <v>322</v>
      </c>
      <c r="I247" s="480">
        <f>'[58]Sch B'!E90</f>
        <v>257.70149253731341</v>
      </c>
      <c r="K247" s="460"/>
    </row>
    <row r="248" spans="1:13">
      <c r="H248" s="140" t="s">
        <v>323</v>
      </c>
      <c r="I248" s="480">
        <f>'[58]Sch B'!G90</f>
        <v>305.60599078341016</v>
      </c>
      <c r="K248" s="460"/>
    </row>
    <row r="249" spans="1:13">
      <c r="H249" s="140" t="s">
        <v>324</v>
      </c>
      <c r="I249" s="480">
        <f>'[58]Sch B'!I90</f>
        <v>296.27911646586347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82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23"/>
      <c r="J1" s="419"/>
      <c r="K1" s="420"/>
    </row>
    <row r="2" spans="1:16" ht="20.5">
      <c r="B2" s="141" t="s">
        <v>178</v>
      </c>
      <c r="C2" s="366" t="s">
        <v>401</v>
      </c>
      <c r="D2" s="366"/>
      <c r="E2" s="366"/>
      <c r="F2" s="142"/>
      <c r="G2" s="142"/>
      <c r="H2"/>
      <c r="I2"/>
      <c r="J2"/>
    </row>
    <row r="3" spans="1:16" ht="16.149999999999999" customHeight="1">
      <c r="A3" s="143"/>
      <c r="B3" s="138" t="s">
        <v>71</v>
      </c>
      <c r="C3" s="557">
        <f>'[59]Sch A Pg 1'!B39</f>
        <v>42917</v>
      </c>
      <c r="D3" s="620"/>
      <c r="E3" s="142"/>
      <c r="F3" s="144"/>
      <c r="G3" s="144"/>
      <c r="H3"/>
      <c r="I3" s="498"/>
      <c r="J3"/>
    </row>
    <row r="4" spans="1:16" ht="15" customHeight="1">
      <c r="A4" s="143"/>
      <c r="B4" s="145" t="s">
        <v>72</v>
      </c>
      <c r="C4" s="557">
        <f>'[59]Sch A Pg 1'!G39</f>
        <v>43281</v>
      </c>
      <c r="D4" s="620"/>
      <c r="E4" s="142"/>
      <c r="F4" s="146"/>
      <c r="G4" s="146"/>
      <c r="H4"/>
      <c r="J4"/>
    </row>
    <row r="5" spans="1:16" ht="15" customHeight="1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8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7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 ht="13.15" customHeight="1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7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6.899999999999999" customHeight="1">
      <c r="A9" s="143"/>
      <c r="C9" s="148"/>
      <c r="D9" s="148"/>
      <c r="E9" s="142"/>
      <c r="H9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'[59]Sch B'!E10</f>
        <v>1850263.02</v>
      </c>
      <c r="D12" s="480">
        <f>'[59]Sch B'!G10</f>
        <v>0</v>
      </c>
      <c r="E12" s="480"/>
      <c r="F12" s="166">
        <f>C12+D12+E12</f>
        <v>1850263.02</v>
      </c>
      <c r="G12" s="626"/>
      <c r="H12" s="607"/>
      <c r="I12" s="166">
        <f>F12+G12+H12</f>
        <v>1850263.02</v>
      </c>
      <c r="J12" s="167">
        <f>IF($I$26=0,0,I12/$I$26)</f>
        <v>0.23638227278730126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'[59]Sch B'!E12</f>
        <v>859858.48</v>
      </c>
      <c r="D13" s="480">
        <f>'[59]Sch B'!G12</f>
        <v>674886.32</v>
      </c>
      <c r="E13" s="480"/>
      <c r="F13" s="166">
        <f t="shared" ref="F13:F25" si="0">C13+D13+E13</f>
        <v>1534744.7999999998</v>
      </c>
      <c r="G13" s="626"/>
      <c r="H13" s="607"/>
      <c r="I13" s="166">
        <f t="shared" ref="I13:I25" si="1">F13+G13+H13</f>
        <v>1534744.7999999998</v>
      </c>
      <c r="J13" s="167">
        <f>IF($I$26=0,0,I13/$I$26)</f>
        <v>0.1960729150672276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'[59]Sch B'!E13</f>
        <v>91578.15</v>
      </c>
      <c r="D14" s="480">
        <f>'[59]Sch B'!G13</f>
        <v>0</v>
      </c>
      <c r="E14" s="480"/>
      <c r="F14" s="166">
        <f t="shared" si="0"/>
        <v>91578.15</v>
      </c>
      <c r="G14" s="626"/>
      <c r="H14" s="607"/>
      <c r="I14" s="166">
        <f t="shared" si="1"/>
        <v>91578.15</v>
      </c>
      <c r="J14" s="167">
        <f>IF($I$26=0,0,I14/$I$26)</f>
        <v>1.1699661616031427E-2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'[59]Sch B'!E14</f>
        <v>50018.92</v>
      </c>
      <c r="D15" s="480">
        <f>'[59]Sch B'!G14</f>
        <v>0</v>
      </c>
      <c r="E15" s="480"/>
      <c r="F15" s="166">
        <f t="shared" si="0"/>
        <v>50018.92</v>
      </c>
      <c r="G15" s="626"/>
      <c r="H15" s="607"/>
      <c r="I15" s="166">
        <f t="shared" si="1"/>
        <v>50018.92</v>
      </c>
      <c r="J15" s="167">
        <f>IF($I$26=0,0,I15/$I$26)</f>
        <v>6.3902190467851417E-3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'[59]Sch B'!E15</f>
        <v>2851718.5700000003</v>
      </c>
      <c r="D16" s="480">
        <f>'[59]Sch B'!G15</f>
        <v>674886.32</v>
      </c>
      <c r="E16" s="480"/>
      <c r="F16" s="166">
        <f t="shared" si="0"/>
        <v>3526604.89</v>
      </c>
      <c r="G16" s="626"/>
      <c r="H16" s="607"/>
      <c r="I16" s="166">
        <f>SUM(I12:I15)</f>
        <v>3526604.8899999997</v>
      </c>
      <c r="J16" s="167">
        <f t="shared" ref="J16:J26" si="2">IF($I$26=0,0,I16/$I$26)</f>
        <v>0.45054506851734538</v>
      </c>
      <c r="K16" s="458"/>
      <c r="L16" s="333" t="s">
        <v>325</v>
      </c>
      <c r="M16" s="334">
        <f>I26</f>
        <v>7827418.6899999995</v>
      </c>
      <c r="O16" s="324">
        <f>IFERROR(I16/I224,0)</f>
        <v>374.0565220619431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'[59]Sch B'!E20</f>
        <v>0</v>
      </c>
      <c r="D17" s="480">
        <f>'[59]Sch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6703458.9999999991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'[59]Sch B'!E26</f>
        <v>2363534.2199999997</v>
      </c>
      <c r="D18" s="480">
        <f>'[59]Sch B'!G26</f>
        <v>0</v>
      </c>
      <c r="E18" s="480"/>
      <c r="F18" s="166">
        <f t="shared" si="0"/>
        <v>2363534.2199999997</v>
      </c>
      <c r="G18" s="626"/>
      <c r="H18" s="607"/>
      <c r="I18" s="166">
        <f t="shared" si="1"/>
        <v>2363534.2199999997</v>
      </c>
      <c r="J18" s="167">
        <f t="shared" si="2"/>
        <v>0.30195576774493454</v>
      </c>
      <c r="K18" s="458"/>
      <c r="L18" s="335" t="s">
        <v>327</v>
      </c>
      <c r="M18" s="336">
        <f>I233</f>
        <v>20921</v>
      </c>
      <c r="O18" s="324">
        <f t="shared" si="3"/>
        <v>549.53132294815157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'[59]Sch B'!E32</f>
        <v>1179933.0499999998</v>
      </c>
      <c r="D19" s="480">
        <f>'[59]Sch B'!G32</f>
        <v>0</v>
      </c>
      <c r="E19" s="480"/>
      <c r="F19" s="166">
        <f t="shared" si="0"/>
        <v>1179933.0499999998</v>
      </c>
      <c r="G19" s="626"/>
      <c r="H19" s="607"/>
      <c r="I19" s="166">
        <f t="shared" si="1"/>
        <v>1179933.0499999998</v>
      </c>
      <c r="J19" s="170">
        <f t="shared" si="2"/>
        <v>0.15074357163331964</v>
      </c>
      <c r="K19" s="464"/>
      <c r="L19" s="335" t="s">
        <v>328</v>
      </c>
      <c r="M19" s="336">
        <f>I236</f>
        <v>124</v>
      </c>
      <c r="O19" s="324">
        <f t="shared" si="3"/>
        <v>410.41149565217387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'[59]Sch B'!E37</f>
        <v>0</v>
      </c>
      <c r="D20" s="480">
        <f>'[59]Sch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45260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'[59]Sch B'!E42</f>
        <v>594793.86</v>
      </c>
      <c r="D21" s="480">
        <f>'[59]Sch B'!G42</f>
        <v>0</v>
      </c>
      <c r="E21" s="480"/>
      <c r="F21" s="166">
        <f t="shared" si="0"/>
        <v>594793.86</v>
      </c>
      <c r="G21" s="626"/>
      <c r="H21" s="607"/>
      <c r="I21" s="166">
        <f t="shared" si="1"/>
        <v>594793.86</v>
      </c>
      <c r="J21" s="167">
        <f t="shared" si="2"/>
        <v>7.5988507010604292E-2</v>
      </c>
      <c r="K21" s="458"/>
      <c r="L21" s="337"/>
      <c r="M21" s="336"/>
      <c r="O21" s="324">
        <f t="shared" si="3"/>
        <v>167.59477599323753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'[59]Sch B'!E47</f>
        <v>141767.66999999998</v>
      </c>
      <c r="D22" s="480">
        <f>'[59]Sch B'!G47</f>
        <v>0</v>
      </c>
      <c r="E22" s="480"/>
      <c r="F22" s="166">
        <f t="shared" si="0"/>
        <v>141767.66999999998</v>
      </c>
      <c r="G22" s="626"/>
      <c r="H22" s="607"/>
      <c r="I22" s="166">
        <f t="shared" si="1"/>
        <v>141767.66999999998</v>
      </c>
      <c r="J22" s="167">
        <f t="shared" si="2"/>
        <v>1.8111675842908053E-2</v>
      </c>
      <c r="K22" s="458"/>
      <c r="L22" s="335" t="s">
        <v>148</v>
      </c>
      <c r="M22" s="336">
        <f>L213</f>
        <v>150482.4</v>
      </c>
      <c r="O22" s="324">
        <f t="shared" si="3"/>
        <v>208.17572687224668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'[59]Sch B'!E52</f>
        <v>20785</v>
      </c>
      <c r="D23" s="480">
        <f>'[59]Sch B'!G52</f>
        <v>0</v>
      </c>
      <c r="E23" s="480"/>
      <c r="F23" s="166">
        <f t="shared" si="0"/>
        <v>20785</v>
      </c>
      <c r="G23" s="626"/>
      <c r="H23" s="607"/>
      <c r="I23" s="166">
        <f t="shared" si="1"/>
        <v>20785</v>
      </c>
      <c r="J23" s="167">
        <f t="shared" si="2"/>
        <v>2.6554092508880474E-3</v>
      </c>
      <c r="K23" s="458"/>
      <c r="L23" s="338" t="s">
        <v>233</v>
      </c>
      <c r="M23" s="339">
        <f>M213</f>
        <v>158797.79</v>
      </c>
      <c r="O23" s="324">
        <f t="shared" si="3"/>
        <v>238.90804597701148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'[59]Sch B'!E57</f>
        <v>0</v>
      </c>
      <c r="D24" s="480">
        <f>'[59]Sch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'[59]Sch B'!E72</f>
        <v>0</v>
      </c>
      <c r="D25" s="480">
        <f>'[59]Sch B'!G72</f>
        <v>0</v>
      </c>
      <c r="E25" s="480"/>
      <c r="F25" s="166">
        <f t="shared" si="0"/>
        <v>0</v>
      </c>
      <c r="G25" s="626"/>
      <c r="H25" s="607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7152532.3700000001</v>
      </c>
      <c r="D26" s="480">
        <f t="shared" ref="D26:F26" si="4">SUM(D16:D25)</f>
        <v>674886.32</v>
      </c>
      <c r="E26" s="480">
        <f t="shared" si="4"/>
        <v>0</v>
      </c>
      <c r="F26" s="166">
        <f t="shared" si="4"/>
        <v>7827418.6899999995</v>
      </c>
      <c r="G26" s="166">
        <f>SUM(G12:G25)</f>
        <v>0</v>
      </c>
      <c r="H26" s="166">
        <f>SUM(H12:H25)</f>
        <v>0</v>
      </c>
      <c r="I26" s="166">
        <f>SUM(I16:I25)</f>
        <v>7827418.6899999995</v>
      </c>
      <c r="J26" s="167">
        <f t="shared" si="2"/>
        <v>1</v>
      </c>
      <c r="K26" s="458"/>
      <c r="L26" s="163"/>
      <c r="M26" s="163"/>
      <c r="O26" s="324">
        <f>IFERROR(I26/I233,0)</f>
        <v>374.14170880933034</v>
      </c>
      <c r="P26" s="324">
        <f>SUMMARY!L28</f>
        <v>316.15377811906774</v>
      </c>
    </row>
    <row r="27" spans="1:16" ht="13.15" customHeight="1">
      <c r="A27" s="143"/>
      <c r="B27" s="173"/>
      <c r="C27" s="148"/>
      <c r="D27" s="142"/>
      <c r="E27" s="142"/>
      <c r="H27"/>
      <c r="I27" s="498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'[59]Sch C'!D10</f>
        <v>121798.37</v>
      </c>
      <c r="D30" s="480">
        <f>'[59]Sch C'!F10</f>
        <v>7689</v>
      </c>
      <c r="E30" s="480">
        <f>+'[59]Sch C'!H10</f>
        <v>0</v>
      </c>
      <c r="F30" s="166">
        <f t="shared" ref="F30:F65" si="5">C30+D30+E30</f>
        <v>129487.37</v>
      </c>
      <c r="G30" s="626"/>
      <c r="H30" s="607"/>
      <c r="I30" s="166">
        <f t="shared" ref="I30:I65" si="6">F30+G30+H30</f>
        <v>129487.37</v>
      </c>
      <c r="J30" s="167">
        <f>IF($I$213=0,0,I30/$I$213)</f>
        <v>1.9316500630495392E-2</v>
      </c>
      <c r="K30" s="458"/>
      <c r="L30" s="176">
        <v>2080</v>
      </c>
      <c r="M30" s="176">
        <v>2080</v>
      </c>
      <c r="O30" s="324">
        <f>I30/I$233</f>
        <v>6.1893489794942882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'[59]Sch C'!D11</f>
        <v>0</v>
      </c>
      <c r="D31" s="480">
        <f>'[59]Sch C'!F11</f>
        <v>0</v>
      </c>
      <c r="E31" s="480">
        <f>+'[59]Sch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'[59]Sch C'!D12</f>
        <v>179491.12</v>
      </c>
      <c r="D32" s="480">
        <f>'[59]Sch C'!F12</f>
        <v>-12070</v>
      </c>
      <c r="E32" s="480">
        <f>+'[59]Sch C'!H12</f>
        <v>0</v>
      </c>
      <c r="F32" s="166">
        <f t="shared" si="5"/>
        <v>167421.12</v>
      </c>
      <c r="G32" s="626"/>
      <c r="H32" s="607"/>
      <c r="I32" s="166">
        <f t="shared" si="6"/>
        <v>167421.12</v>
      </c>
      <c r="J32" s="167">
        <f t="shared" si="7"/>
        <v>2.4975332884112519E-2</v>
      </c>
      <c r="K32" s="458"/>
      <c r="L32" s="176">
        <v>8842.52</v>
      </c>
      <c r="M32" s="176">
        <v>9599.81</v>
      </c>
      <c r="O32" s="324">
        <f t="shared" si="8"/>
        <v>8.0025390755700005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'[59]Sch C'!D13</f>
        <v>78511.97</v>
      </c>
      <c r="D33" s="480">
        <f>'[59]Sch C'!F13</f>
        <v>0</v>
      </c>
      <c r="E33" s="480">
        <f>+'[59]Sch C'!H13</f>
        <v>0</v>
      </c>
      <c r="F33" s="166">
        <f t="shared" si="5"/>
        <v>78511.97</v>
      </c>
      <c r="G33" s="626">
        <v>-5640</v>
      </c>
      <c r="H33" s="607"/>
      <c r="I33" s="166">
        <f t="shared" si="6"/>
        <v>72871.97</v>
      </c>
      <c r="J33" s="167">
        <f t="shared" si="7"/>
        <v>1.0870801178913753E-2</v>
      </c>
      <c r="K33" s="458"/>
      <c r="L33" s="163"/>
      <c r="M33" s="163"/>
      <c r="O33" s="324">
        <f t="shared" si="8"/>
        <v>3.4831972659050714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'[59]Sch C'!D14</f>
        <v>0</v>
      </c>
      <c r="D34" s="480">
        <f>'[59]Sch C'!F14</f>
        <v>0</v>
      </c>
      <c r="E34" s="480">
        <f>+'[59]Sch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'[59]Sch C'!D15</f>
        <v>558294.67000000004</v>
      </c>
      <c r="D35" s="480">
        <f>'[59]Sch C'!F15+558295</f>
        <v>0.33000000007450581</v>
      </c>
      <c r="E35" s="480">
        <f>+'[59]Sch C'!H15</f>
        <v>0</v>
      </c>
      <c r="F35" s="166">
        <f t="shared" si="5"/>
        <v>558295.00000000012</v>
      </c>
      <c r="G35" s="626"/>
      <c r="H35" s="480">
        <v>-558294.66999999993</v>
      </c>
      <c r="I35" s="166">
        <f t="shared" si="6"/>
        <v>0.33000000019092113</v>
      </c>
      <c r="J35" s="167">
        <f t="shared" si="7"/>
        <v>4.9228316335032584E-8</v>
      </c>
      <c r="K35" s="458"/>
      <c r="L35" s="163"/>
      <c r="M35" s="163"/>
      <c r="O35" s="324">
        <f t="shared" si="8"/>
        <v>1.5773624596860624E-5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'[59]Sch C'!D16</f>
        <v>0</v>
      </c>
      <c r="D36" s="480">
        <f>'[59]Sch C'!F16-257063</f>
        <v>0</v>
      </c>
      <c r="E36" s="480">
        <f>+'[59]Sch C'!H16</f>
        <v>0</v>
      </c>
      <c r="F36" s="166">
        <f t="shared" si="5"/>
        <v>0</v>
      </c>
      <c r="G36" s="626"/>
      <c r="H36" s="480">
        <v>257063</v>
      </c>
      <c r="I36" s="166">
        <f t="shared" si="6"/>
        <v>257063</v>
      </c>
      <c r="J36" s="167">
        <f t="shared" si="7"/>
        <v>3.8347814165791132E-2</v>
      </c>
      <c r="K36" s="458"/>
      <c r="L36" s="163"/>
      <c r="M36" s="163"/>
      <c r="O36" s="324">
        <f t="shared" si="8"/>
        <v>12.287318961808708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'[59]Sch C'!D17</f>
        <v>0</v>
      </c>
      <c r="D37" s="480">
        <f>'[59]Sch C'!F17</f>
        <v>0</v>
      </c>
      <c r="E37" s="480">
        <f>+'[59]Sch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'[59]Sch C'!D18</f>
        <v>35964.400000000001</v>
      </c>
      <c r="D38" s="480">
        <f>'[59]Sch C'!F18</f>
        <v>0</v>
      </c>
      <c r="E38" s="480">
        <f>+'[59]Sch C'!H18</f>
        <v>0</v>
      </c>
      <c r="F38" s="166">
        <f t="shared" si="5"/>
        <v>35964.400000000001</v>
      </c>
      <c r="G38" s="626"/>
      <c r="H38" s="607"/>
      <c r="I38" s="166">
        <f t="shared" si="6"/>
        <v>35964.400000000001</v>
      </c>
      <c r="J38" s="167">
        <f t="shared" si="7"/>
        <v>5.3650510878040731E-3</v>
      </c>
      <c r="K38" s="458"/>
      <c r="L38" s="163"/>
      <c r="M38" s="163"/>
      <c r="O38" s="324">
        <f t="shared" si="8"/>
        <v>1.719057406433727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'[59]Sch C'!D19</f>
        <v>30943.84</v>
      </c>
      <c r="D39" s="480">
        <f>'[59]Sch C'!F19-2608</f>
        <v>0</v>
      </c>
      <c r="E39" s="480">
        <f>+'[59]Sch C'!H19</f>
        <v>0</v>
      </c>
      <c r="F39" s="166">
        <f t="shared" si="5"/>
        <v>30943.84</v>
      </c>
      <c r="G39" s="626"/>
      <c r="H39" s="480">
        <v>2608</v>
      </c>
      <c r="I39" s="166">
        <f t="shared" si="6"/>
        <v>33551.839999999997</v>
      </c>
      <c r="J39" s="167">
        <f t="shared" si="7"/>
        <v>5.0051533096569997E-3</v>
      </c>
      <c r="K39" s="458"/>
      <c r="L39" s="163"/>
      <c r="M39" s="163"/>
      <c r="O39" s="324">
        <f t="shared" si="8"/>
        <v>1.6037397829931646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'[59]Sch C'!D20</f>
        <v>18469.25</v>
      </c>
      <c r="D40" s="480">
        <f>'[59]Sch C'!F20+5661</f>
        <v>0</v>
      </c>
      <c r="E40" s="480">
        <f>+'[59]Sch C'!H20</f>
        <v>0</v>
      </c>
      <c r="F40" s="166">
        <f t="shared" si="5"/>
        <v>18469.25</v>
      </c>
      <c r="G40" s="626"/>
      <c r="H40" s="480">
        <v>-5661</v>
      </c>
      <c r="I40" s="166">
        <f t="shared" si="6"/>
        <v>12808.25</v>
      </c>
      <c r="J40" s="167">
        <f t="shared" si="7"/>
        <v>1.9106926737375439E-3</v>
      </c>
      <c r="K40" s="458"/>
      <c r="L40" s="163"/>
      <c r="M40" s="163"/>
      <c r="O40" s="324">
        <f t="shared" si="8"/>
        <v>0.61221977916925574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'[59]Sch C'!D21</f>
        <v>13739.12</v>
      </c>
      <c r="D41" s="480">
        <f>'[59]Sch C'!F21-16860</f>
        <v>0</v>
      </c>
      <c r="E41" s="480">
        <f>+'[59]Sch C'!H21</f>
        <v>0</v>
      </c>
      <c r="F41" s="166">
        <f t="shared" si="5"/>
        <v>13739.12</v>
      </c>
      <c r="G41" s="626"/>
      <c r="H41" s="480">
        <v>16860</v>
      </c>
      <c r="I41" s="166">
        <f t="shared" si="6"/>
        <v>30599.120000000003</v>
      </c>
      <c r="J41" s="167">
        <f t="shared" si="7"/>
        <v>4.5646762365519067E-3</v>
      </c>
      <c r="K41" s="458"/>
      <c r="L41" s="163"/>
      <c r="M41" s="163"/>
      <c r="O41" s="324">
        <f t="shared" si="8"/>
        <v>1.4626031260456003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'[59]Sch C'!D22</f>
        <v>0</v>
      </c>
      <c r="D42" s="480">
        <f>'[59]Sch C'!F22</f>
        <v>0</v>
      </c>
      <c r="E42" s="480">
        <f>+'[59]Sch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'[59]Sch C'!D23</f>
        <v>23852.560000000001</v>
      </c>
      <c r="D43" s="480">
        <f>'[59]Sch C'!F23-29587</f>
        <v>0</v>
      </c>
      <c r="E43" s="480">
        <f>+'[59]Sch C'!H23</f>
        <v>0</v>
      </c>
      <c r="F43" s="166">
        <f t="shared" si="5"/>
        <v>23852.560000000001</v>
      </c>
      <c r="G43" s="626"/>
      <c r="H43" s="480">
        <v>29587</v>
      </c>
      <c r="I43" s="166">
        <f t="shared" si="6"/>
        <v>53439.56</v>
      </c>
      <c r="J43" s="167">
        <f t="shared" si="7"/>
        <v>7.9719380695846727E-3</v>
      </c>
      <c r="K43" s="458"/>
      <c r="L43" s="163"/>
      <c r="M43" s="163"/>
      <c r="O43" s="324">
        <f t="shared" si="8"/>
        <v>2.5543501744658474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'[59]Sch C'!D24</f>
        <v>48529.7</v>
      </c>
      <c r="D44" s="480">
        <f>'[59]Sch C'!F24</f>
        <v>0</v>
      </c>
      <c r="E44" s="480">
        <f>+'[59]Sch C'!H24</f>
        <v>0</v>
      </c>
      <c r="F44" s="166">
        <f t="shared" si="5"/>
        <v>48529.7</v>
      </c>
      <c r="G44" s="626"/>
      <c r="H44" s="607"/>
      <c r="I44" s="166">
        <f t="shared" si="6"/>
        <v>48529.7</v>
      </c>
      <c r="J44" s="167">
        <f t="shared" si="7"/>
        <v>7.2395012783698694E-3</v>
      </c>
      <c r="K44" s="458"/>
      <c r="L44" s="163"/>
      <c r="M44" s="163"/>
      <c r="O44" s="324">
        <f t="shared" si="8"/>
        <v>2.3196644519860428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'[59]Sch C'!D25</f>
        <v>0</v>
      </c>
      <c r="D45" s="480">
        <f>'[59]Sch C'!F25</f>
        <v>0</v>
      </c>
      <c r="E45" s="480">
        <f>+'[59]Sch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'[59]Sch C'!D26</f>
        <v>288370.09999999998</v>
      </c>
      <c r="D46" s="480">
        <f>'[59]Sch C'!F26</f>
        <v>0</v>
      </c>
      <c r="E46" s="480">
        <f>+'[59]Sch C'!H26</f>
        <v>0</v>
      </c>
      <c r="F46" s="166">
        <f t="shared" si="5"/>
        <v>288370.09999999998</v>
      </c>
      <c r="G46" s="626"/>
      <c r="H46" s="607"/>
      <c r="I46" s="166">
        <f t="shared" si="6"/>
        <v>288370.09999999998</v>
      </c>
      <c r="J46" s="167">
        <f t="shared" si="7"/>
        <v>4.3018104533793677E-2</v>
      </c>
      <c r="K46" s="458"/>
      <c r="L46" s="163"/>
      <c r="M46" s="163"/>
      <c r="O46" s="324">
        <f t="shared" si="8"/>
        <v>13.78376272644711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'[59]Sch C'!D27</f>
        <v>0</v>
      </c>
      <c r="D47" s="480">
        <f>'[59]Sch C'!F27-16019</f>
        <v>0</v>
      </c>
      <c r="E47" s="480">
        <f>+'[59]Sch C'!H27</f>
        <v>0</v>
      </c>
      <c r="F47" s="166">
        <f t="shared" si="5"/>
        <v>0</v>
      </c>
      <c r="G47" s="626"/>
      <c r="H47" s="480">
        <v>16019</v>
      </c>
      <c r="I47" s="166">
        <f t="shared" si="6"/>
        <v>16019</v>
      </c>
      <c r="J47" s="167">
        <f t="shared" si="7"/>
        <v>2.3896618148928788E-3</v>
      </c>
      <c r="K47" s="458"/>
      <c r="L47" s="163"/>
      <c r="M47" s="163"/>
      <c r="O47" s="324">
        <f t="shared" si="8"/>
        <v>0.76568997657855742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'[59]Sch C'!D28</f>
        <v>0</v>
      </c>
      <c r="D48" s="480">
        <f>'[59]Sch C'!F28</f>
        <v>0</v>
      </c>
      <c r="E48" s="480">
        <f>+'[59]Sch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'[59]Sch C'!D29</f>
        <v>48744.98</v>
      </c>
      <c r="D49" s="480">
        <f>'[59]Sch C'!F29</f>
        <v>-48744.98</v>
      </c>
      <c r="E49" s="480">
        <f>+'[59]Sch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'[59]Sch C'!D30</f>
        <v>0</v>
      </c>
      <c r="D50" s="480">
        <f>'[59]Sch C'!F30</f>
        <v>0</v>
      </c>
      <c r="E50" s="480">
        <f>+'[59]Sch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'[59]Sch C'!D31</f>
        <v>0</v>
      </c>
      <c r="D51" s="480">
        <f>'[59]Sch C'!F31</f>
        <v>0</v>
      </c>
      <c r="E51" s="480">
        <f>+'[59]Sch C'!H31</f>
        <v>0</v>
      </c>
      <c r="F51" s="166">
        <f t="shared" si="5"/>
        <v>0</v>
      </c>
      <c r="G51" s="626">
        <v>60686</v>
      </c>
      <c r="H51" s="607"/>
      <c r="I51" s="166">
        <f t="shared" si="6"/>
        <v>60686</v>
      </c>
      <c r="J51" s="167">
        <f t="shared" si="7"/>
        <v>9.0529381920587577E-3</v>
      </c>
      <c r="K51" s="458"/>
      <c r="L51" s="163"/>
      <c r="M51" s="163"/>
      <c r="O51" s="324">
        <f t="shared" si="8"/>
        <v>2.900721762822045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'[59]Sch C'!D32</f>
        <v>125979.5</v>
      </c>
      <c r="D52" s="480">
        <f>'[59]Sch C'!F32-5975</f>
        <v>0</v>
      </c>
      <c r="E52" s="480">
        <f>+'[59]Sch C'!H32</f>
        <v>0</v>
      </c>
      <c r="F52" s="166">
        <f t="shared" si="5"/>
        <v>125979.5</v>
      </c>
      <c r="G52" s="626"/>
      <c r="H52" s="480">
        <v>5975</v>
      </c>
      <c r="I52" s="166">
        <f t="shared" si="6"/>
        <v>131954.5</v>
      </c>
      <c r="J52" s="167">
        <f t="shared" si="7"/>
        <v>1.9684538982038976E-2</v>
      </c>
      <c r="K52" s="458"/>
      <c r="L52" s="163"/>
      <c r="M52" s="163"/>
      <c r="O52" s="324">
        <f t="shared" si="8"/>
        <v>6.3072749868553126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'[59]Sch C'!D33</f>
        <v>0</v>
      </c>
      <c r="D53" s="480">
        <f>'[59]Sch C'!F33</f>
        <v>0</v>
      </c>
      <c r="E53" s="480">
        <f>+'[59]Sch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'[59]Sch C'!D34</f>
        <v>0</v>
      </c>
      <c r="D54" s="480">
        <f>'[59]Sch C'!F34</f>
        <v>0</v>
      </c>
      <c r="E54" s="480">
        <f>+'[59]Sch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'[59]Sch C'!D35</f>
        <v>9168.25</v>
      </c>
      <c r="D55" s="480">
        <f>'[59]Sch C'!F35</f>
        <v>-9168.25</v>
      </c>
      <c r="E55" s="480">
        <f>+'[59]Sch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'[59]Sch C'!D36</f>
        <v>0</v>
      </c>
      <c r="D56" s="480">
        <f>'[59]Sch C'!F36</f>
        <v>0</v>
      </c>
      <c r="E56" s="480">
        <f>+'[59]Sch C'!H36</f>
        <v>0</v>
      </c>
      <c r="F56" s="166">
        <f t="shared" si="5"/>
        <v>0</v>
      </c>
      <c r="G56" s="626">
        <v>20728</v>
      </c>
      <c r="H56" s="607"/>
      <c r="I56" s="166">
        <f t="shared" si="6"/>
        <v>20728</v>
      </c>
      <c r="J56" s="167">
        <f t="shared" si="7"/>
        <v>3.0921349709157621E-3</v>
      </c>
      <c r="K56" s="458"/>
      <c r="L56" s="176">
        <v>0</v>
      </c>
      <c r="M56" s="176">
        <v>0</v>
      </c>
      <c r="O56" s="324">
        <f t="shared" si="8"/>
        <v>0.99077481955929447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'[59]Sch C'!D37</f>
        <v>0</v>
      </c>
      <c r="D57" s="480">
        <f>'[59]Sch C'!F37</f>
        <v>0</v>
      </c>
      <c r="E57" s="480">
        <f>+'[59]Sch C'!H37</f>
        <v>0</v>
      </c>
      <c r="F57" s="166">
        <f t="shared" si="5"/>
        <v>0</v>
      </c>
      <c r="G57" s="626">
        <v>4093</v>
      </c>
      <c r="H57" s="607"/>
      <c r="I57" s="166">
        <f t="shared" si="6"/>
        <v>4093</v>
      </c>
      <c r="J57" s="167">
        <f t="shared" si="7"/>
        <v>6.1058029891732026E-4</v>
      </c>
      <c r="K57" s="458"/>
      <c r="L57" s="163"/>
      <c r="M57" s="163"/>
      <c r="O57" s="324">
        <f t="shared" si="8"/>
        <v>0.19564074375029875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'[59]Sch C'!D38</f>
        <v>0</v>
      </c>
      <c r="D58" s="480">
        <f>'[59]Sch C'!F38</f>
        <v>0</v>
      </c>
      <c r="E58" s="480">
        <f>+'[59]Sch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'[59]Sch C'!D39</f>
        <v>18345.95</v>
      </c>
      <c r="D59" s="480">
        <f>'[59]Sch C'!F39-4059</f>
        <v>0</v>
      </c>
      <c r="E59" s="480">
        <f>+'[59]Sch C'!H39</f>
        <v>0</v>
      </c>
      <c r="F59" s="166">
        <f t="shared" si="5"/>
        <v>18345.95</v>
      </c>
      <c r="G59" s="626"/>
      <c r="H59" s="480">
        <v>4059</v>
      </c>
      <c r="I59" s="166">
        <f t="shared" si="6"/>
        <v>22404.95</v>
      </c>
      <c r="J59" s="167">
        <f t="shared" si="7"/>
        <v>3.3422968649468882E-3</v>
      </c>
      <c r="K59" s="458"/>
      <c r="L59" s="163"/>
      <c r="M59" s="163"/>
      <c r="O59" s="324">
        <f t="shared" si="8"/>
        <v>1.0709311218393003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'[59]Sch C'!D40</f>
        <v>9356.43</v>
      </c>
      <c r="D60" s="480">
        <f>'[59]Sch C'!F40</f>
        <v>-9356.43</v>
      </c>
      <c r="E60" s="480">
        <f>+'[59]Sch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'[59]Sch C'!D41</f>
        <v>31313.19</v>
      </c>
      <c r="D61" s="480">
        <f>'[59]Sch C'!F41-52216</f>
        <v>0</v>
      </c>
      <c r="E61" s="480">
        <f>+'[59]Sch C'!H41</f>
        <v>0</v>
      </c>
      <c r="F61" s="166">
        <f t="shared" si="5"/>
        <v>31313.19</v>
      </c>
      <c r="G61" s="626"/>
      <c r="H61" s="480">
        <v>52216</v>
      </c>
      <c r="I61" s="166">
        <f t="shared" si="6"/>
        <v>83529.19</v>
      </c>
      <c r="J61" s="167">
        <f t="shared" si="7"/>
        <v>1.2460610261060746E-2</v>
      </c>
      <c r="K61" s="458"/>
      <c r="L61" s="163"/>
      <c r="M61" s="163"/>
      <c r="O61" s="324">
        <f t="shared" si="8"/>
        <v>3.9926002581138569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'[59]Sch C'!D42</f>
        <v>268.5</v>
      </c>
      <c r="D62" s="480">
        <f>'[59]Sch C'!F42-2894</f>
        <v>0</v>
      </c>
      <c r="E62" s="480">
        <f>+'[59]Sch C'!H42</f>
        <v>0</v>
      </c>
      <c r="F62" s="166">
        <f t="shared" si="5"/>
        <v>268.5</v>
      </c>
      <c r="G62" s="626"/>
      <c r="H62" s="480">
        <v>2894</v>
      </c>
      <c r="I62" s="166">
        <f t="shared" si="6"/>
        <v>3162.5</v>
      </c>
      <c r="J62" s="167">
        <f t="shared" si="7"/>
        <v>4.7177136460445276E-4</v>
      </c>
      <c r="K62" s="458"/>
      <c r="L62" s="163"/>
      <c r="M62" s="163"/>
      <c r="O62" s="324">
        <f t="shared" si="8"/>
        <v>0.15116390229912527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'[59]Sch C'!D43</f>
        <v>0</v>
      </c>
      <c r="D63" s="480">
        <f>'[59]Sch C'!F43</f>
        <v>0</v>
      </c>
      <c r="E63" s="480">
        <f>+'[59]Sch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'[59]Sch C'!D44</f>
        <v>-1100</v>
      </c>
      <c r="D64" s="480">
        <f>'[59]Sch C'!F44</f>
        <v>0</v>
      </c>
      <c r="E64" s="480">
        <f>+'[59]Sch C'!H44</f>
        <v>0</v>
      </c>
      <c r="F64" s="166">
        <f t="shared" si="5"/>
        <v>-1100</v>
      </c>
      <c r="G64" s="626"/>
      <c r="H64" s="607"/>
      <c r="I64" s="166">
        <f t="shared" si="6"/>
        <v>-1100</v>
      </c>
      <c r="J64" s="167">
        <f t="shared" si="7"/>
        <v>-1.6409438768850531E-4</v>
      </c>
      <c r="K64" s="458"/>
      <c r="L64" s="163"/>
      <c r="M64" s="163"/>
      <c r="O64" s="324">
        <f t="shared" si="8"/>
        <v>-5.2578748625782705E-2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'[59]Sch C'!D45</f>
        <v>3718.89</v>
      </c>
      <c r="D65" s="480">
        <f>'[59]Sch C'!F45-446</f>
        <v>0</v>
      </c>
      <c r="E65" s="480">
        <f>+'[59]Sch C'!H45</f>
        <v>0</v>
      </c>
      <c r="F65" s="166">
        <f t="shared" si="5"/>
        <v>3718.89</v>
      </c>
      <c r="G65" s="626"/>
      <c r="H65" s="480">
        <v>446</v>
      </c>
      <c r="I65" s="166">
        <f t="shared" si="6"/>
        <v>4164.8899999999994</v>
      </c>
      <c r="J65" s="167">
        <f t="shared" si="7"/>
        <v>6.2130461303634438E-4</v>
      </c>
      <c r="K65" s="458" t="s">
        <v>424</v>
      </c>
      <c r="L65" s="163"/>
      <c r="M65" s="163"/>
      <c r="O65" s="324">
        <f t="shared" si="8"/>
        <v>0.19907700396730554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1643760.7899999998</v>
      </c>
      <c r="D66" s="480">
        <f t="shared" si="9"/>
        <v>-71650.329999999929</v>
      </c>
      <c r="E66" s="480">
        <f t="shared" si="9"/>
        <v>0</v>
      </c>
      <c r="F66" s="166">
        <f t="shared" ref="F66:I66" si="10">SUM(F30:F65)</f>
        <v>1572110.46</v>
      </c>
      <c r="G66" s="166">
        <f t="shared" si="10"/>
        <v>79867</v>
      </c>
      <c r="H66" s="166">
        <f t="shared" si="10"/>
        <v>-176228.66999999993</v>
      </c>
      <c r="I66" s="166">
        <f t="shared" si="10"/>
        <v>1475748.79</v>
      </c>
      <c r="J66" s="178">
        <f t="shared" si="7"/>
        <v>0.22014735825191148</v>
      </c>
      <c r="K66" s="465"/>
      <c r="L66" s="163"/>
      <c r="M66" s="163"/>
      <c r="O66" s="329">
        <f>I66/I$233</f>
        <v>70.539113331102726</v>
      </c>
      <c r="P66" s="324">
        <f>SUMMARY!L68</f>
        <v>59.215800022194173</v>
      </c>
    </row>
    <row r="67" spans="1:16" s="162" customFormat="1" ht="15.5">
      <c r="A67" s="158"/>
      <c r="C67" s="160"/>
      <c r="D67" s="160"/>
      <c r="E67" s="160"/>
      <c r="F67" s="160"/>
      <c r="G67" s="160"/>
      <c r="H67"/>
      <c r="I67" s="160"/>
      <c r="J67" s="179"/>
      <c r="K67" s="466"/>
      <c r="L67" s="163"/>
      <c r="M67" s="163"/>
      <c r="O67" s="324"/>
      <c r="P67" s="324"/>
    </row>
    <row r="68" spans="1:16" s="162" customFormat="1" ht="15" customHeigh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'[59]Sch C'!D57</f>
        <v>995612.04</v>
      </c>
      <c r="D69" s="480">
        <f>'[59]Sch C'!F57</f>
        <v>0</v>
      </c>
      <c r="E69" s="480">
        <f>+'[59]Sch C'!H57</f>
        <v>-995612.04</v>
      </c>
      <c r="F69" s="166">
        <f>C69+D69+E69</f>
        <v>0</v>
      </c>
      <c r="G69" s="626"/>
      <c r="H69" s="607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'[59]Sch C'!D58</f>
        <v>133375.79999999999</v>
      </c>
      <c r="D70" s="480">
        <f>'[59]Sch C'!F58-7604</f>
        <v>0</v>
      </c>
      <c r="E70" s="480">
        <f>+'[59]Sch C'!H58</f>
        <v>34698.480000000003</v>
      </c>
      <c r="F70" s="166">
        <f t="shared" ref="F70:F83" si="13">C70+D70+E70</f>
        <v>168074.28</v>
      </c>
      <c r="G70" s="626"/>
      <c r="H70" s="480">
        <v>7604</v>
      </c>
      <c r="I70" s="166">
        <f t="shared" ref="I70:I83" si="14">F70+G70+H70</f>
        <v>175678.28</v>
      </c>
      <c r="J70" s="167">
        <f t="shared" si="11"/>
        <v>2.6207108897063444E-2</v>
      </c>
      <c r="K70" s="458"/>
      <c r="L70" s="182"/>
      <c r="M70" s="163"/>
      <c r="O70" s="324">
        <f t="shared" si="12"/>
        <v>8.3972219301180626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'[59]Sch C'!D59</f>
        <v>0</v>
      </c>
      <c r="D71" s="480">
        <f>'[59]Sch C'!F59</f>
        <v>0</v>
      </c>
      <c r="E71" s="480">
        <f>+'[59]Sch C'!H59</f>
        <v>348763.67</v>
      </c>
      <c r="F71" s="166">
        <f t="shared" si="13"/>
        <v>348763.67</v>
      </c>
      <c r="G71" s="626"/>
      <c r="H71" s="607"/>
      <c r="I71" s="166">
        <f t="shared" si="14"/>
        <v>348763.67</v>
      </c>
      <c r="J71" s="167">
        <f t="shared" si="11"/>
        <v>5.2027418978769023E-2</v>
      </c>
      <c r="K71" s="458"/>
      <c r="L71" s="182"/>
      <c r="M71" s="163"/>
      <c r="O71" s="324">
        <f t="shared" si="12"/>
        <v>16.670506667941304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'[59]Sch C'!D60</f>
        <v>30493.33</v>
      </c>
      <c r="D72" s="480">
        <f>'[59]Sch C'!F60</f>
        <v>3835.56</v>
      </c>
      <c r="E72" s="480">
        <f>+'[59]Sch C'!H60</f>
        <v>0</v>
      </c>
      <c r="F72" s="166">
        <f t="shared" si="13"/>
        <v>34328.89</v>
      </c>
      <c r="G72" s="626"/>
      <c r="H72" s="607"/>
      <c r="I72" s="166">
        <f t="shared" si="14"/>
        <v>34328.89</v>
      </c>
      <c r="J72" s="167">
        <f t="shared" si="11"/>
        <v>5.1210710768873208E-3</v>
      </c>
      <c r="K72" s="458"/>
      <c r="L72" s="185"/>
      <c r="M72" s="163"/>
      <c r="O72" s="324">
        <f t="shared" si="12"/>
        <v>1.6408818890110415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'[59]Sch C'!D61</f>
        <v>14834.77</v>
      </c>
      <c r="D73" s="480">
        <f>'[59]Sch C'!F61-1707</f>
        <v>0</v>
      </c>
      <c r="E73" s="480">
        <f>+'[59]Sch C'!H61</f>
        <v>0</v>
      </c>
      <c r="F73" s="166">
        <f t="shared" si="13"/>
        <v>14834.77</v>
      </c>
      <c r="G73" s="626"/>
      <c r="H73" s="480">
        <v>1707</v>
      </c>
      <c r="I73" s="166">
        <f t="shared" si="14"/>
        <v>16541.77</v>
      </c>
      <c r="J73" s="167">
        <f t="shared" si="11"/>
        <v>2.4676469267582604E-3</v>
      </c>
      <c r="K73" s="458"/>
      <c r="L73" s="185"/>
      <c r="M73" s="163"/>
      <c r="O73" s="324">
        <f t="shared" si="12"/>
        <v>0.79067778786864873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'[59]Sch C'!D62</f>
        <v>0</v>
      </c>
      <c r="D74" s="480">
        <f>'[59]Sch C'!F62</f>
        <v>0</v>
      </c>
      <c r="E74" s="480">
        <f>+'[59]Sch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'[59]Sch C'!D63</f>
        <v>0</v>
      </c>
      <c r="D75" s="480">
        <f>'[59]Sch C'!F63</f>
        <v>0</v>
      </c>
      <c r="E75" s="480">
        <f>+'[59]Sch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'[59]Sch C'!D64</f>
        <v>0</v>
      </c>
      <c r="D76" s="480">
        <f>'[59]Sch C'!F64</f>
        <v>0</v>
      </c>
      <c r="E76" s="480">
        <f>+'[59]Sch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'[59]Sch C'!D65</f>
        <v>0</v>
      </c>
      <c r="D77" s="480">
        <f>'[59]Sch C'!F65</f>
        <v>0</v>
      </c>
      <c r="E77" s="480">
        <f>+'[59]Sch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'[59]Sch C'!D66</f>
        <v>0</v>
      </c>
      <c r="D78" s="480">
        <f>'[59]Sch C'!F66</f>
        <v>0</v>
      </c>
      <c r="E78" s="480">
        <f>+'[59]Sch C'!H66</f>
        <v>0</v>
      </c>
      <c r="F78" s="166">
        <f t="shared" si="13"/>
        <v>0</v>
      </c>
      <c r="G78" s="626"/>
      <c r="H78" s="607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'[59]Sch C'!D67</f>
        <v>56643.61</v>
      </c>
      <c r="D79" s="480">
        <f>'[59]Sch C'!F67-24538</f>
        <v>0</v>
      </c>
      <c r="E79" s="480">
        <f>+'[59]Sch C'!H67</f>
        <v>0</v>
      </c>
      <c r="F79" s="166">
        <f t="shared" si="13"/>
        <v>56643.61</v>
      </c>
      <c r="G79" s="626"/>
      <c r="H79" s="480">
        <v>24538</v>
      </c>
      <c r="I79" s="166">
        <f t="shared" si="14"/>
        <v>81181.61</v>
      </c>
      <c r="J79" s="167">
        <f t="shared" si="11"/>
        <v>1.2110405985924583E-2</v>
      </c>
      <c r="K79" s="458"/>
      <c r="L79" s="187"/>
      <c r="M79" s="163"/>
      <c r="O79" s="324">
        <f t="shared" si="12"/>
        <v>3.8803886047512068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'[59]Sch C'!D68</f>
        <v>0</v>
      </c>
      <c r="D80" s="480">
        <f>'[59]Sch C'!F68</f>
        <v>0</v>
      </c>
      <c r="E80" s="480">
        <f>+'[59]Sch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'[59]Sch C'!D69</f>
        <v>6465.18</v>
      </c>
      <c r="D81" s="480">
        <f>'[59]Sch C'!F69</f>
        <v>-794.97</v>
      </c>
      <c r="E81" s="480">
        <f>+'[59]Sch C'!H69</f>
        <v>0</v>
      </c>
      <c r="F81" s="166">
        <f t="shared" si="13"/>
        <v>5670.21</v>
      </c>
      <c r="G81" s="626"/>
      <c r="H81" s="607"/>
      <c r="I81" s="166">
        <f t="shared" si="14"/>
        <v>5670.21</v>
      </c>
      <c r="J81" s="167">
        <f t="shared" si="11"/>
        <v>8.4586330728658157E-4</v>
      </c>
      <c r="K81" s="458"/>
      <c r="L81" s="187"/>
      <c r="M81" s="163"/>
      <c r="O81" s="324">
        <f t="shared" si="12"/>
        <v>0.27102958749581763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'[59]Sch C'!D70</f>
        <v>0</v>
      </c>
      <c r="D82" s="480">
        <f>'[59]Sch C'!F70</f>
        <v>0</v>
      </c>
      <c r="E82" s="480">
        <f>+'[59]Sch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'[59]Sch C'!D71</f>
        <v>0</v>
      </c>
      <c r="D83" s="480">
        <f>'[59]Sch C'!F71</f>
        <v>0</v>
      </c>
      <c r="E83" s="480">
        <f>+'[59]Sch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1237424.7300000002</v>
      </c>
      <c r="D84" s="480">
        <f t="shared" si="15"/>
        <v>3040.59</v>
      </c>
      <c r="E84" s="480">
        <f t="shared" si="15"/>
        <v>-612149.89000000013</v>
      </c>
      <c r="F84" s="166">
        <f t="shared" ref="F84:I84" si="16">SUM(F69:F83)</f>
        <v>628315.42999999993</v>
      </c>
      <c r="G84" s="166">
        <f t="shared" si="16"/>
        <v>0</v>
      </c>
      <c r="H84" s="166">
        <f t="shared" si="16"/>
        <v>33849</v>
      </c>
      <c r="I84" s="166">
        <f t="shared" si="16"/>
        <v>662164.42999999993</v>
      </c>
      <c r="J84" s="167">
        <f t="shared" si="11"/>
        <v>9.8779515172689208E-2</v>
      </c>
      <c r="K84" s="458"/>
      <c r="L84" s="187"/>
      <c r="M84" s="163"/>
      <c r="O84" s="324">
        <f t="shared" si="12"/>
        <v>31.65070646718608</v>
      </c>
      <c r="P84" s="324">
        <f>SUMMARY!L86</f>
        <v>24.703953666782958</v>
      </c>
    </row>
    <row r="85" spans="1:16" s="162" customFormat="1" ht="15" customHeight="1">
      <c r="A85" s="158"/>
      <c r="B85" s="165"/>
      <c r="C85" s="188"/>
      <c r="D85" s="188"/>
      <c r="E85" s="188"/>
      <c r="F85" s="188"/>
      <c r="G85" s="188"/>
      <c r="H85"/>
      <c r="I85" s="188"/>
      <c r="J85" s="189"/>
      <c r="K85" s="458"/>
      <c r="L85" s="163"/>
      <c r="M85" s="163"/>
      <c r="O85" s="324"/>
      <c r="P85" s="324"/>
    </row>
    <row r="86" spans="1:16" s="162" customFormat="1" ht="15" customHeigh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'[59]Sch C'!D75</f>
        <v>43831.3</v>
      </c>
      <c r="D87" s="480">
        <f>'[59]Sch C'!F75</f>
        <v>0</v>
      </c>
      <c r="E87" s="480">
        <f>+'[59]Sch C'!H75</f>
        <v>0</v>
      </c>
      <c r="F87" s="166">
        <f t="shared" ref="F87:F97" si="17">C87+D87+E87</f>
        <v>43831.3</v>
      </c>
      <c r="G87" s="626"/>
      <c r="H87" s="607"/>
      <c r="I87" s="166">
        <f t="shared" ref="I87:I97" si="18">F87+G87+H87</f>
        <v>43831.3</v>
      </c>
      <c r="J87" s="167">
        <f t="shared" ref="J87:J98" si="19">IF($I$213=0,0,I87/$I$213)</f>
        <v>6.5386093955374395E-3</v>
      </c>
      <c r="K87" s="458"/>
      <c r="L87" s="176">
        <v>1931</v>
      </c>
      <c r="M87" s="176">
        <v>2083</v>
      </c>
      <c r="O87" s="324">
        <f t="shared" ref="O87:O97" si="20">I87/I$233</f>
        <v>2.095086276946609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'[59]Sch C'!D76</f>
        <v>18930.88</v>
      </c>
      <c r="D88" s="480">
        <f>'[59]Sch C'!F76</f>
        <v>0</v>
      </c>
      <c r="E88" s="480">
        <f>+'[59]Sch C'!H76</f>
        <v>0</v>
      </c>
      <c r="F88" s="166">
        <f t="shared" si="17"/>
        <v>18930.88</v>
      </c>
      <c r="G88" s="626">
        <v>-842</v>
      </c>
      <c r="H88" s="607"/>
      <c r="I88" s="166">
        <f t="shared" si="18"/>
        <v>18088.88</v>
      </c>
      <c r="J88" s="167">
        <f t="shared" si="19"/>
        <v>2.6984397159735001E-3</v>
      </c>
      <c r="K88" s="458"/>
      <c r="L88" s="163"/>
      <c r="M88" s="163"/>
      <c r="O88" s="324">
        <f t="shared" si="20"/>
        <v>0.86462788585631667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'[59]Sch C'!D77</f>
        <v>6769.23</v>
      </c>
      <c r="D89" s="480">
        <f>'[59]Sch C'!F77</f>
        <v>0</v>
      </c>
      <c r="E89" s="480">
        <f>+'[59]Sch C'!H77</f>
        <v>0</v>
      </c>
      <c r="F89" s="166">
        <f t="shared" si="17"/>
        <v>6769.23</v>
      </c>
      <c r="G89" s="626"/>
      <c r="H89" s="607"/>
      <c r="I89" s="166">
        <f t="shared" si="18"/>
        <v>6769.23</v>
      </c>
      <c r="J89" s="167">
        <f t="shared" si="19"/>
        <v>1.009811501793328E-3</v>
      </c>
      <c r="K89" s="458"/>
      <c r="L89" s="163"/>
      <c r="M89" s="163"/>
      <c r="O89" s="324">
        <f t="shared" si="20"/>
        <v>0.32356149323646094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'[59]Sch C'!D78</f>
        <v>31327.17</v>
      </c>
      <c r="D90" s="480">
        <f>'[59]Sch C'!F78-1696</f>
        <v>0</v>
      </c>
      <c r="E90" s="480">
        <f>+'[59]Sch C'!H78</f>
        <v>0</v>
      </c>
      <c r="F90" s="166">
        <f t="shared" si="17"/>
        <v>31327.17</v>
      </c>
      <c r="G90" s="626"/>
      <c r="H90" s="480">
        <v>1696</v>
      </c>
      <c r="I90" s="166">
        <f t="shared" si="18"/>
        <v>33023.17</v>
      </c>
      <c r="J90" s="167">
        <f t="shared" si="19"/>
        <v>4.9262880551667436E-3</v>
      </c>
      <c r="K90" s="458"/>
      <c r="L90" s="163"/>
      <c r="M90" s="163"/>
      <c r="O90" s="324">
        <f t="shared" si="20"/>
        <v>1.5784699584149897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'[59]Sch C'!D79</f>
        <v>27812.57</v>
      </c>
      <c r="D91" s="480">
        <f>'[59]Sch C'!F79</f>
        <v>0</v>
      </c>
      <c r="E91" s="480">
        <f>+'[59]Sch C'!H79</f>
        <v>0</v>
      </c>
      <c r="F91" s="166">
        <f t="shared" si="17"/>
        <v>27812.57</v>
      </c>
      <c r="G91" s="626"/>
      <c r="H91" s="607"/>
      <c r="I91" s="166">
        <f t="shared" si="18"/>
        <v>27812.57</v>
      </c>
      <c r="J91" s="167">
        <f t="shared" si="19"/>
        <v>4.1489878583579019E-3</v>
      </c>
      <c r="K91" s="458"/>
      <c r="L91" s="163"/>
      <c r="M91" s="163"/>
      <c r="O91" s="324">
        <f t="shared" si="20"/>
        <v>1.3294092060608957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'[59]Sch C'!D80</f>
        <v>32343.4</v>
      </c>
      <c r="D92" s="480">
        <f>'[59]Sch C'!F80</f>
        <v>0</v>
      </c>
      <c r="E92" s="480">
        <f>+'[59]Sch C'!H80</f>
        <v>0</v>
      </c>
      <c r="F92" s="166">
        <f t="shared" si="17"/>
        <v>32343.4</v>
      </c>
      <c r="G92" s="626"/>
      <c r="H92" s="607"/>
      <c r="I92" s="166">
        <f t="shared" si="18"/>
        <v>32343.4</v>
      </c>
      <c r="J92" s="167">
        <f t="shared" si="19"/>
        <v>4.8248821988767301E-3</v>
      </c>
      <c r="K92" s="458"/>
      <c r="L92" s="163"/>
      <c r="M92" s="163"/>
      <c r="O92" s="324">
        <f t="shared" si="20"/>
        <v>1.5459777257301277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'[59]Sch C'!D81</f>
        <v>0</v>
      </c>
      <c r="D93" s="480">
        <f>'[59]Sch C'!F81</f>
        <v>0</v>
      </c>
      <c r="E93" s="480">
        <f>+'[59]Sch C'!H81</f>
        <v>0</v>
      </c>
      <c r="F93" s="166">
        <f t="shared" si="17"/>
        <v>0</v>
      </c>
      <c r="G93" s="626"/>
      <c r="H93" s="607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'[59]Sch C'!D82</f>
        <v>0</v>
      </c>
      <c r="D94" s="480">
        <f>'[59]Sch C'!F82</f>
        <v>0</v>
      </c>
      <c r="E94" s="480">
        <f>+'[59]Sch C'!H82</f>
        <v>0</v>
      </c>
      <c r="F94" s="166">
        <f t="shared" si="17"/>
        <v>0</v>
      </c>
      <c r="G94" s="626"/>
      <c r="H94" s="607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'[59]Sch C'!D83</f>
        <v>0</v>
      </c>
      <c r="D95" s="480">
        <f>'[59]Sch C'!F83</f>
        <v>0</v>
      </c>
      <c r="E95" s="480">
        <f>+'[59]Sch C'!H83</f>
        <v>0</v>
      </c>
      <c r="F95" s="166">
        <f t="shared" si="17"/>
        <v>0</v>
      </c>
      <c r="G95" s="626"/>
      <c r="H95" s="607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'[59]Sch C'!D84</f>
        <v>163146.78</v>
      </c>
      <c r="D96" s="480">
        <f>'[59]Sch C'!F84-817</f>
        <v>0</v>
      </c>
      <c r="E96" s="480">
        <f>+'[59]Sch C'!H84</f>
        <v>0</v>
      </c>
      <c r="F96" s="166">
        <f t="shared" si="17"/>
        <v>163146.78</v>
      </c>
      <c r="G96" s="626"/>
      <c r="H96" s="480">
        <v>817</v>
      </c>
      <c r="I96" s="166">
        <f t="shared" si="18"/>
        <v>163963.78</v>
      </c>
      <c r="J96" s="167">
        <f t="shared" si="19"/>
        <v>2.4459578256538904E-2</v>
      </c>
      <c r="K96" s="458"/>
      <c r="L96" s="163"/>
      <c r="M96" s="163"/>
      <c r="O96" s="324">
        <f t="shared" si="20"/>
        <v>7.8372821566846707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'[59]Sch C'!D85</f>
        <v>0</v>
      </c>
      <c r="D97" s="480">
        <f>'[59]Sch C'!F85</f>
        <v>0</v>
      </c>
      <c r="E97" s="480">
        <f>+'[59]Sch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324161.32999999996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324161.32999999996</v>
      </c>
      <c r="G98" s="166">
        <f t="shared" si="22"/>
        <v>-842</v>
      </c>
      <c r="H98" s="166">
        <f t="shared" si="22"/>
        <v>2513</v>
      </c>
      <c r="I98" s="166">
        <f t="shared" si="22"/>
        <v>325832.32999999996</v>
      </c>
      <c r="J98" s="167">
        <f t="shared" si="19"/>
        <v>4.8606596982244538E-2</v>
      </c>
      <c r="K98" s="458"/>
      <c r="L98" s="163"/>
      <c r="M98" s="163"/>
      <c r="O98" s="329">
        <f>I98/I$233</f>
        <v>15.574414702930069</v>
      </c>
      <c r="P98" s="324">
        <f>SUMMARY!L100</f>
        <v>11.669285059805642</v>
      </c>
    </row>
    <row r="99" spans="1:16" s="162" customFormat="1" ht="15.5">
      <c r="A99" s="158"/>
      <c r="C99" s="160"/>
      <c r="D99" s="160"/>
      <c r="E99" s="160"/>
      <c r="F99" s="160"/>
      <c r="G99" s="160"/>
      <c r="H99"/>
      <c r="I99" s="160"/>
      <c r="J99" s="190"/>
      <c r="K99" s="460"/>
      <c r="L99" s="163"/>
      <c r="M99" s="163"/>
      <c r="O99" s="324"/>
      <c r="P99" s="324"/>
    </row>
    <row r="100" spans="1:16" s="162" customFormat="1" ht="15.5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'[59]Sch C'!D89</f>
        <v>239831.52</v>
      </c>
      <c r="D101" s="480">
        <f>'[59]Sch C'!F89</f>
        <v>0</v>
      </c>
      <c r="E101" s="480">
        <f>+'[59]Sch C'!H89</f>
        <v>0</v>
      </c>
      <c r="F101" s="166">
        <f t="shared" ref="F101:F106" si="23">C101+D101+E101</f>
        <v>239831.52</v>
      </c>
      <c r="G101" s="626"/>
      <c r="H101" s="607"/>
      <c r="I101" s="166">
        <f t="shared" ref="I101:I106" si="24">F101+G101+H101</f>
        <v>239831.52</v>
      </c>
      <c r="J101" s="167">
        <f t="shared" ref="J101:J107" si="25">IF($I$213=0,0,I101/$I$213)</f>
        <v>3.5777278566185011E-2</v>
      </c>
      <c r="K101" s="458"/>
      <c r="L101" s="176">
        <v>18653.48</v>
      </c>
      <c r="M101" s="176">
        <v>19714.52</v>
      </c>
      <c r="O101" s="329">
        <f t="shared" ref="O101:O106" si="26">I101/I$233</f>
        <v>11.46367382056307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'[59]Sch C'!D90</f>
        <v>66510.740000000005</v>
      </c>
      <c r="D102" s="480">
        <f>'[59]Sch C'!F90</f>
        <v>0</v>
      </c>
      <c r="E102" s="480">
        <f>+'[59]Sch C'!H90</f>
        <v>0</v>
      </c>
      <c r="F102" s="166">
        <f t="shared" si="23"/>
        <v>66510.740000000005</v>
      </c>
      <c r="G102" s="626">
        <v>-4610</v>
      </c>
      <c r="H102" s="607"/>
      <c r="I102" s="166">
        <f t="shared" si="24"/>
        <v>61900.740000000005</v>
      </c>
      <c r="J102" s="167">
        <f t="shared" si="25"/>
        <v>9.2341491161503364E-3</v>
      </c>
      <c r="K102" s="458"/>
      <c r="L102" s="163"/>
      <c r="M102" s="163"/>
      <c r="O102" s="329">
        <f t="shared" si="26"/>
        <v>2.9587849529181209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'[59]Sch C'!D91</f>
        <v>22256.880000000001</v>
      </c>
      <c r="D103" s="480">
        <f>'[59]Sch C'!F91</f>
        <v>0</v>
      </c>
      <c r="E103" s="480">
        <f>+'[59]Sch C'!H91</f>
        <v>0</v>
      </c>
      <c r="F103" s="166">
        <f t="shared" si="23"/>
        <v>22256.880000000001</v>
      </c>
      <c r="G103" s="626"/>
      <c r="H103" s="607"/>
      <c r="I103" s="166">
        <f t="shared" si="24"/>
        <v>22256.880000000001</v>
      </c>
      <c r="J103" s="167">
        <f t="shared" si="25"/>
        <v>3.3202082685968547E-3</v>
      </c>
      <c r="K103" s="458"/>
      <c r="L103" s="163"/>
      <c r="M103" s="163"/>
      <c r="O103" s="329">
        <f t="shared" si="26"/>
        <v>1.063853544285646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'[59]Sch C'!D92</f>
        <v>182809.29</v>
      </c>
      <c r="D104" s="480">
        <f>'[59]Sch C'!F92</f>
        <v>0</v>
      </c>
      <c r="E104" s="480">
        <f>+'[59]Sch C'!H92</f>
        <v>0</v>
      </c>
      <c r="F104" s="166">
        <f t="shared" si="23"/>
        <v>182809.29</v>
      </c>
      <c r="G104" s="626"/>
      <c r="H104" s="607"/>
      <c r="I104" s="166">
        <f t="shared" si="24"/>
        <v>182809.29</v>
      </c>
      <c r="J104" s="167">
        <f t="shared" si="25"/>
        <v>2.7270889551200363E-2</v>
      </c>
      <c r="K104" s="458"/>
      <c r="L104" s="163"/>
      <c r="M104" s="163"/>
      <c r="O104" s="329">
        <f t="shared" si="26"/>
        <v>8.7380760957889212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'[59]Sch C'!D93</f>
        <v>12190.35</v>
      </c>
      <c r="D105" s="480">
        <f>'[59]Sch C'!F93</f>
        <v>0</v>
      </c>
      <c r="E105" s="480">
        <f>+'[59]Sch C'!H93</f>
        <v>0</v>
      </c>
      <c r="F105" s="166">
        <f t="shared" si="23"/>
        <v>12190.35</v>
      </c>
      <c r="G105" s="626"/>
      <c r="H105" s="607"/>
      <c r="I105" s="166">
        <f t="shared" si="24"/>
        <v>12190.35</v>
      </c>
      <c r="J105" s="167">
        <f t="shared" si="25"/>
        <v>1.818516380871428E-3</v>
      </c>
      <c r="K105" s="458"/>
      <c r="L105" s="163"/>
      <c r="M105" s="163"/>
      <c r="O105" s="329">
        <f t="shared" si="26"/>
        <v>0.58268486210028203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'[59]Sch C'!D94</f>
        <v>6906.01</v>
      </c>
      <c r="D106" s="480">
        <f>'[59]Sch C'!F94</f>
        <v>0</v>
      </c>
      <c r="E106" s="480">
        <f>+'[59]Sch C'!H94</f>
        <v>0</v>
      </c>
      <c r="F106" s="166">
        <f t="shared" si="23"/>
        <v>6906.01</v>
      </c>
      <c r="G106" s="626"/>
      <c r="H106" s="607"/>
      <c r="I106" s="166">
        <f t="shared" si="24"/>
        <v>6906.01</v>
      </c>
      <c r="J106" s="167">
        <f t="shared" si="25"/>
        <v>1.0302158930188133E-3</v>
      </c>
      <c r="K106" s="458"/>
      <c r="L106" s="163"/>
      <c r="M106" s="163"/>
      <c r="O106" s="329">
        <f t="shared" si="26"/>
        <v>0.3300994216337651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530504.79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530504.79</v>
      </c>
      <c r="G107" s="166">
        <f t="shared" si="28"/>
        <v>-4610</v>
      </c>
      <c r="H107" s="166">
        <f t="shared" si="28"/>
        <v>0</v>
      </c>
      <c r="I107" s="166">
        <f t="shared" si="28"/>
        <v>525894.79</v>
      </c>
      <c r="J107" s="167">
        <f t="shared" si="25"/>
        <v>7.8451257776022812E-2</v>
      </c>
      <c r="K107" s="458"/>
      <c r="L107" s="163"/>
      <c r="M107" s="163"/>
      <c r="O107" s="329">
        <f>I107/I$233</f>
        <v>25.137172697289806</v>
      </c>
      <c r="P107" s="324">
        <f>SUMMARY!L109</f>
        <v>20.630906222168928</v>
      </c>
    </row>
    <row r="108" spans="1:16" s="162" customFormat="1" ht="15.5">
      <c r="A108" s="158"/>
      <c r="C108" s="160"/>
      <c r="D108" s="160"/>
      <c r="E108" s="160"/>
      <c r="F108" s="160"/>
      <c r="G108" s="160"/>
      <c r="H108"/>
      <c r="I108" s="160"/>
      <c r="J108" s="190"/>
      <c r="K108" s="460"/>
      <c r="L108" s="163"/>
      <c r="M108" s="163"/>
      <c r="O108" s="324"/>
      <c r="P108" s="324"/>
    </row>
    <row r="109" spans="1:16" s="162" customFormat="1" ht="15.5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'[59]Sch C'!D98</f>
        <v>27130.13</v>
      </c>
      <c r="D110" s="480">
        <f>'[59]Sch C'!F98</f>
        <v>0</v>
      </c>
      <c r="E110" s="480">
        <f>+'[59]Sch C'!H98</f>
        <v>0</v>
      </c>
      <c r="F110" s="166">
        <f t="shared" ref="F110:F115" si="29">C110+D110+E110</f>
        <v>27130.13</v>
      </c>
      <c r="G110" s="626"/>
      <c r="H110" s="607"/>
      <c r="I110" s="166">
        <f t="shared" ref="I110:I115" si="30">F110+G110+H110</f>
        <v>27130.13</v>
      </c>
      <c r="J110" s="167">
        <f t="shared" ref="J110:J116" si="31">IF($I$213=0,0,I110/$I$213)</f>
        <v>4.0471837002359536E-3</v>
      </c>
      <c r="K110" s="458"/>
      <c r="L110" s="176">
        <v>2607.4699999999998</v>
      </c>
      <c r="M110" s="176">
        <v>2791.47</v>
      </c>
      <c r="O110" s="329">
        <f t="shared" ref="O110:O115" si="32">I110/I$233</f>
        <v>1.2967893504134602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'[59]Sch C'!D99</f>
        <v>4870.8599999999997</v>
      </c>
      <c r="D111" s="480">
        <f>'[59]Sch C'!F99</f>
        <v>0</v>
      </c>
      <c r="E111" s="480">
        <f>+'[59]Sch C'!H99</f>
        <v>0</v>
      </c>
      <c r="F111" s="166">
        <f t="shared" si="29"/>
        <v>4870.8599999999997</v>
      </c>
      <c r="G111" s="626">
        <v>-521</v>
      </c>
      <c r="H111" s="607"/>
      <c r="I111" s="166">
        <f t="shared" si="30"/>
        <v>4349.8599999999997</v>
      </c>
      <c r="J111" s="167">
        <f t="shared" si="31"/>
        <v>6.4889783020974693E-4</v>
      </c>
      <c r="K111" s="458"/>
      <c r="L111" s="163"/>
      <c r="M111" s="163"/>
      <c r="O111" s="329">
        <f t="shared" si="32"/>
        <v>0.20791835954304286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'[59]Sch C'!D100</f>
        <v>4131.7299999999996</v>
      </c>
      <c r="D112" s="480">
        <f>'[59]Sch C'!F100</f>
        <v>0</v>
      </c>
      <c r="E112" s="480">
        <f>+'[59]Sch C'!H100</f>
        <v>0</v>
      </c>
      <c r="F112" s="166">
        <f t="shared" si="29"/>
        <v>4131.7299999999996</v>
      </c>
      <c r="G112" s="626"/>
      <c r="H112" s="607"/>
      <c r="I112" s="166">
        <f t="shared" si="30"/>
        <v>4131.7299999999996</v>
      </c>
      <c r="J112" s="167">
        <f t="shared" si="31"/>
        <v>6.163579131311164E-4</v>
      </c>
      <c r="K112" s="458"/>
      <c r="L112" s="163"/>
      <c r="M112" s="163"/>
      <c r="O112" s="329">
        <f t="shared" si="32"/>
        <v>0.19749199369055015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'[59]Sch C'!D101</f>
        <v>0</v>
      </c>
      <c r="D113" s="480">
        <f>'[59]Sch C'!F101</f>
        <v>0</v>
      </c>
      <c r="E113" s="480">
        <f>+'[59]Sch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'[59]Sch C'!D102</f>
        <v>5209</v>
      </c>
      <c r="D114" s="480">
        <f>'[59]Sch C'!F102</f>
        <v>0</v>
      </c>
      <c r="E114" s="480">
        <f>+'[59]Sch C'!H102</f>
        <v>0</v>
      </c>
      <c r="F114" s="166">
        <f t="shared" si="29"/>
        <v>5209</v>
      </c>
      <c r="G114" s="626"/>
      <c r="H114" s="607"/>
      <c r="I114" s="166">
        <f t="shared" si="30"/>
        <v>5209</v>
      </c>
      <c r="J114" s="167">
        <f t="shared" si="31"/>
        <v>7.7706151406311294E-4</v>
      </c>
      <c r="K114" s="458"/>
      <c r="L114" s="163"/>
      <c r="M114" s="163"/>
      <c r="O114" s="329">
        <f t="shared" si="32"/>
        <v>0.24898427417427466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'[59]Sch C'!D103</f>
        <v>0</v>
      </c>
      <c r="D115" s="480">
        <f>'[59]Sch C'!F103</f>
        <v>0</v>
      </c>
      <c r="E115" s="480">
        <f>+'[59]Sch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41341.72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41341.72</v>
      </c>
      <c r="G116" s="166">
        <f t="shared" si="34"/>
        <v>-521</v>
      </c>
      <c r="H116" s="166">
        <f t="shared" si="34"/>
        <v>0</v>
      </c>
      <c r="I116" s="166">
        <f t="shared" si="34"/>
        <v>40820.720000000001</v>
      </c>
      <c r="J116" s="167">
        <f t="shared" si="31"/>
        <v>6.0895009576399303E-3</v>
      </c>
      <c r="K116" s="458"/>
      <c r="L116" s="163"/>
      <c r="M116" s="163"/>
      <c r="O116" s="329">
        <f>I116/I$233</f>
        <v>1.9511839778213278</v>
      </c>
      <c r="P116" s="324">
        <f>SUMMARY!L118</f>
        <v>2.2960193268338349</v>
      </c>
    </row>
    <row r="117" spans="1:16" s="162" customFormat="1" ht="15.5">
      <c r="A117" s="158"/>
      <c r="C117" s="160"/>
      <c r="D117" s="160"/>
      <c r="E117" s="160"/>
      <c r="F117" s="160"/>
      <c r="G117" s="160"/>
      <c r="H117"/>
      <c r="I117" s="160"/>
      <c r="J117" s="190"/>
      <c r="K117" s="460"/>
      <c r="L117" s="163"/>
      <c r="M117" s="163"/>
      <c r="O117" s="324"/>
      <c r="P117" s="324"/>
    </row>
    <row r="118" spans="1:16" s="162" customFormat="1" ht="15.5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'[59]Sch C'!D115</f>
        <v>70382.39</v>
      </c>
      <c r="D119" s="480">
        <f>'[59]Sch C'!F115</f>
        <v>0</v>
      </c>
      <c r="E119" s="480">
        <f>+'[59]Sch C'!H115</f>
        <v>0</v>
      </c>
      <c r="F119" s="166">
        <f t="shared" ref="F119:F123" si="35">C119+D119+E119</f>
        <v>70382.39</v>
      </c>
      <c r="G119" s="626"/>
      <c r="H119" s="607"/>
      <c r="I119" s="166">
        <f t="shared" ref="I119:I123" si="36">F119+G119+H119</f>
        <v>70382.39</v>
      </c>
      <c r="J119" s="167">
        <f t="shared" ref="J119:J124" si="37">IF($I$213=0,0,I119/$I$213)</f>
        <v>1.0499413810094163E-2</v>
      </c>
      <c r="K119" s="458"/>
      <c r="L119" s="176">
        <v>7078.28</v>
      </c>
      <c r="M119" s="176">
        <v>7565.78</v>
      </c>
      <c r="O119" s="329">
        <f t="shared" ref="O119:O124" si="38">I119/I$233</f>
        <v>3.364198174083457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'[59]Sch C'!D116</f>
        <v>18270.66</v>
      </c>
      <c r="D120" s="480">
        <f>'[59]Sch C'!F116</f>
        <v>0</v>
      </c>
      <c r="E120" s="480">
        <f>+'[59]Sch C'!H116</f>
        <v>0</v>
      </c>
      <c r="F120" s="166">
        <f t="shared" si="35"/>
        <v>18270.66</v>
      </c>
      <c r="G120" s="626">
        <v>-1348</v>
      </c>
      <c r="H120" s="607"/>
      <c r="I120" s="166">
        <f t="shared" si="36"/>
        <v>16922.66</v>
      </c>
      <c r="J120" s="167">
        <f t="shared" si="37"/>
        <v>2.5244668461461466E-3</v>
      </c>
      <c r="K120" s="458"/>
      <c r="L120" s="163"/>
      <c r="M120" s="163"/>
      <c r="O120" s="329">
        <f t="shared" si="38"/>
        <v>0.80888389656326176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'[59]Sch C'!D117</f>
        <v>12761.48</v>
      </c>
      <c r="D121" s="480">
        <f>'[59]Sch C'!F117</f>
        <v>0</v>
      </c>
      <c r="E121" s="480">
        <f>+'[59]Sch C'!H117</f>
        <v>0</v>
      </c>
      <c r="F121" s="166">
        <f t="shared" si="35"/>
        <v>12761.48</v>
      </c>
      <c r="G121" s="626"/>
      <c r="H121" s="607"/>
      <c r="I121" s="166">
        <f t="shared" si="36"/>
        <v>12761.48</v>
      </c>
      <c r="J121" s="167">
        <f t="shared" si="37"/>
        <v>1.9037156787264607E-3</v>
      </c>
      <c r="K121" s="458"/>
      <c r="L121" s="163"/>
      <c r="M121" s="163"/>
      <c r="O121" s="329">
        <f t="shared" si="38"/>
        <v>0.60998422637541228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'[59]Sch C'!D118</f>
        <v>2152.1999999999998</v>
      </c>
      <c r="D122" s="480">
        <f>'[59]Sch C'!F118</f>
        <v>0</v>
      </c>
      <c r="E122" s="480">
        <f>+'[59]Sch C'!H118</f>
        <v>0</v>
      </c>
      <c r="F122" s="166">
        <f t="shared" si="35"/>
        <v>2152.1999999999998</v>
      </c>
      <c r="G122" s="626"/>
      <c r="H122" s="607"/>
      <c r="I122" s="166">
        <f t="shared" si="36"/>
        <v>2152.1999999999998</v>
      </c>
      <c r="J122" s="167">
        <f t="shared" si="37"/>
        <v>3.2105812834836464E-4</v>
      </c>
      <c r="K122" s="458"/>
      <c r="L122" s="163"/>
      <c r="M122" s="163"/>
      <c r="O122" s="329">
        <f t="shared" si="38"/>
        <v>0.10287271162946321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'[59]Sch C'!D119</f>
        <v>830</v>
      </c>
      <c r="D123" s="480">
        <f>'[59]Sch C'!F119</f>
        <v>0</v>
      </c>
      <c r="E123" s="480">
        <f>+'[59]Sch C'!H119</f>
        <v>0</v>
      </c>
      <c r="F123" s="166">
        <f t="shared" si="35"/>
        <v>830</v>
      </c>
      <c r="G123" s="626"/>
      <c r="H123" s="607"/>
      <c r="I123" s="166">
        <f t="shared" si="36"/>
        <v>830</v>
      </c>
      <c r="J123" s="167">
        <f t="shared" si="37"/>
        <v>1.2381667434678128E-4</v>
      </c>
      <c r="K123" s="458"/>
      <c r="L123" s="163"/>
      <c r="M123" s="163"/>
      <c r="O123" s="329">
        <f t="shared" si="38"/>
        <v>3.9673055781272407E-2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104396.73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104396.73</v>
      </c>
      <c r="G124" s="166">
        <f t="shared" si="40"/>
        <v>-1348</v>
      </c>
      <c r="H124" s="166">
        <f t="shared" si="40"/>
        <v>0</v>
      </c>
      <c r="I124" s="166">
        <f t="shared" si="40"/>
        <v>103048.73</v>
      </c>
      <c r="J124" s="167">
        <f t="shared" si="37"/>
        <v>1.5372471137661915E-2</v>
      </c>
      <c r="K124" s="458"/>
      <c r="L124" s="163"/>
      <c r="M124" s="163"/>
      <c r="O124" s="329">
        <f t="shared" si="38"/>
        <v>4.9256120644328663</v>
      </c>
      <c r="P124" s="324">
        <f>SUMMARY!L126</f>
        <v>6.4188161734711136</v>
      </c>
    </row>
    <row r="125" spans="1:16" s="162" customFormat="1" ht="15.5">
      <c r="A125" s="158"/>
      <c r="B125" s="165"/>
      <c r="C125" s="188"/>
      <c r="D125" s="188"/>
      <c r="E125" s="188"/>
      <c r="F125" s="188"/>
      <c r="G125" s="188"/>
      <c r="H125"/>
      <c r="I125" s="188"/>
      <c r="J125" s="189"/>
      <c r="K125" s="458"/>
      <c r="L125" s="195"/>
      <c r="M125" s="195"/>
      <c r="O125" s="324"/>
      <c r="P125" s="324"/>
    </row>
    <row r="126" spans="1:16" s="162" customFormat="1" ht="15.5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/>
      <c r="I126" s="160"/>
      <c r="J126" s="190"/>
      <c r="K126" s="460"/>
      <c r="L126" s="196"/>
      <c r="M126" s="196"/>
      <c r="O126" s="324"/>
      <c r="P126" s="324"/>
    </row>
    <row r="127" spans="1:16" s="162" customFormat="1" ht="15.5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'[59]Sch C'!D124</f>
        <v>148290.5</v>
      </c>
      <c r="D128" s="480">
        <f>'[59]Sch C'!F124</f>
        <v>0</v>
      </c>
      <c r="E128" s="480">
        <f>+'[59]Sch C'!H124</f>
        <v>0</v>
      </c>
      <c r="F128" s="166">
        <f t="shared" ref="F128:F132" si="41">C128+D128+E128</f>
        <v>148290.5</v>
      </c>
      <c r="G128" s="626"/>
      <c r="H128" s="607"/>
      <c r="I128" s="166">
        <f t="shared" ref="I128:I132" si="42">F128+G128+H128</f>
        <v>148290.5</v>
      </c>
      <c r="J128" s="167">
        <f>IF($I$213=0,0,I128/$I$213)</f>
        <v>2.212148981592936E-2</v>
      </c>
      <c r="K128" s="458"/>
      <c r="L128" s="176">
        <v>3936</v>
      </c>
      <c r="M128" s="176">
        <v>4162</v>
      </c>
      <c r="O128" s="329">
        <f t="shared" ref="O128:O165" si="43">I128/I$233</f>
        <v>7.0881172028105732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'[59]Sch C'!D125</f>
        <v>66078</v>
      </c>
      <c r="D129" s="480">
        <f>'[59]Sch C'!F125</f>
        <v>0</v>
      </c>
      <c r="E129" s="480">
        <f>+'[59]Sch C'!H125</f>
        <v>0</v>
      </c>
      <c r="F129" s="166">
        <f t="shared" si="41"/>
        <v>66078</v>
      </c>
      <c r="G129" s="626"/>
      <c r="H129" s="607"/>
      <c r="I129" s="166">
        <f t="shared" si="42"/>
        <v>66078</v>
      </c>
      <c r="J129" s="167">
        <f>IF($I$213=0,0,I129/$I$213)</f>
        <v>9.8572990451645942E-3</v>
      </c>
      <c r="K129" s="458"/>
      <c r="L129" s="176">
        <v>2261.6999999999998</v>
      </c>
      <c r="M129" s="176">
        <v>2426.1999999999998</v>
      </c>
      <c r="O129" s="329">
        <f t="shared" si="43"/>
        <v>3.1584532288131544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'[59]Sch C'!D126</f>
        <v>0</v>
      </c>
      <c r="D130" s="480">
        <f>'[59]Sch C'!F126</f>
        <v>0</v>
      </c>
      <c r="E130" s="480">
        <f>+'[59]Sch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'[59]Sch C'!D127</f>
        <v>0</v>
      </c>
      <c r="D131" s="480">
        <f>'[59]Sch C'!F127</f>
        <v>0</v>
      </c>
      <c r="E131" s="480">
        <f>+'[59]Sch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'[59]Sch C'!D128</f>
        <v>41240.089999999997</v>
      </c>
      <c r="D132" s="480">
        <f>'[59]Sch C'!F128-45469</f>
        <v>0</v>
      </c>
      <c r="E132" s="480">
        <f>+'[59]Sch C'!H128</f>
        <v>0</v>
      </c>
      <c r="F132" s="166">
        <f t="shared" si="41"/>
        <v>41240.089999999997</v>
      </c>
      <c r="G132" s="626"/>
      <c r="H132" s="480">
        <v>45469</v>
      </c>
      <c r="I132" s="166">
        <f t="shared" si="42"/>
        <v>86709.09</v>
      </c>
      <c r="J132" s="167">
        <f>IF($I$213=0,0,I132/$I$213)</f>
        <v>1.2934977300524999E-2</v>
      </c>
      <c r="K132" s="458"/>
      <c r="L132" s="176">
        <v>2095.6</v>
      </c>
      <c r="M132" s="176">
        <v>2214.5500000000002</v>
      </c>
      <c r="O132" s="329">
        <f t="shared" si="43"/>
        <v>4.1445958606185167</v>
      </c>
      <c r="P132" s="324">
        <f>SUMMARY!L134</f>
        <v>2.9246178488865282</v>
      </c>
    </row>
    <row r="133" spans="1:16" s="162" customFormat="1" ht="15.5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'[59]Sch C'!D130</f>
        <v>31984.3</v>
      </c>
      <c r="D134" s="480">
        <f>'[59]Sch C'!F130</f>
        <v>0</v>
      </c>
      <c r="E134" s="480">
        <f>+'[59]Sch C'!H130</f>
        <v>0</v>
      </c>
      <c r="F134" s="166">
        <f t="shared" ref="F134:F138" si="44">C134+D134+E134</f>
        <v>31984.3</v>
      </c>
      <c r="G134" s="626">
        <v>-2821</v>
      </c>
      <c r="H134" s="607"/>
      <c r="I134" s="166">
        <f t="shared" ref="I134:I138" si="45">F134+G134+H134</f>
        <v>29163.3</v>
      </c>
      <c r="J134" s="167">
        <f>IF($I$213=0,0,I134/$I$213)</f>
        <v>4.3504853240692604E-3</v>
      </c>
      <c r="K134" s="458"/>
      <c r="L134" s="196"/>
      <c r="M134" s="196"/>
      <c r="O134" s="329">
        <f t="shared" si="43"/>
        <v>1.3939725634529898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'[59]Sch C'!D131</f>
        <v>14252.15</v>
      </c>
      <c r="D135" s="480">
        <f>'[59]Sch C'!F131</f>
        <v>0</v>
      </c>
      <c r="E135" s="480">
        <f>+'[59]Sch C'!H131</f>
        <v>0</v>
      </c>
      <c r="F135" s="166">
        <f t="shared" si="44"/>
        <v>14252.15</v>
      </c>
      <c r="G135" s="626">
        <v>-1257</v>
      </c>
      <c r="H135" s="607"/>
      <c r="I135" s="166">
        <f t="shared" si="45"/>
        <v>12995.15</v>
      </c>
      <c r="J135" s="167">
        <f>IF($I$213=0,0,I135/$I$213)</f>
        <v>1.9385738019729816E-3</v>
      </c>
      <c r="K135" s="458" t="s">
        <v>420</v>
      </c>
      <c r="L135" s="196"/>
      <c r="M135" s="196"/>
      <c r="O135" s="329">
        <f t="shared" si="43"/>
        <v>0.62115338654940011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'[59]Sch C'!D132</f>
        <v>0</v>
      </c>
      <c r="D136" s="480">
        <f>'[59]Sch C'!F132</f>
        <v>0</v>
      </c>
      <c r="E136" s="480">
        <f>+'[59]Sch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 t="s">
        <v>421</v>
      </c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'[59]Sch C'!D133</f>
        <v>0</v>
      </c>
      <c r="D137" s="480">
        <f>'[59]Sch C'!F133</f>
        <v>0</v>
      </c>
      <c r="E137" s="480">
        <f>+'[59]Sch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'[59]Sch C'!D134</f>
        <v>13143.69</v>
      </c>
      <c r="D138" s="480">
        <f>'[59]Sch C'!F134</f>
        <v>0</v>
      </c>
      <c r="E138" s="480">
        <f>+'[59]Sch C'!H134</f>
        <v>0</v>
      </c>
      <c r="F138" s="166">
        <f t="shared" si="44"/>
        <v>13143.69</v>
      </c>
      <c r="G138" s="626">
        <v>-791</v>
      </c>
      <c r="H138" s="607"/>
      <c r="I138" s="166">
        <f t="shared" si="45"/>
        <v>12352.69</v>
      </c>
      <c r="J138" s="167">
        <f>IF($I$213=0,0,I138/$I$213)</f>
        <v>1.8427337289599298E-3</v>
      </c>
      <c r="K138" s="458"/>
      <c r="L138" s="163"/>
      <c r="M138" s="163"/>
      <c r="O138" s="329">
        <f t="shared" si="43"/>
        <v>0.59044452942019987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'[59]Sch C'!D136</f>
        <v>496101.48</v>
      </c>
      <c r="D140" s="480">
        <f>'[59]Sch C'!F136</f>
        <v>0</v>
      </c>
      <c r="E140" s="480">
        <f>+'[59]Sch C'!H136</f>
        <v>0</v>
      </c>
      <c r="F140" s="166">
        <f t="shared" ref="F140:F143" si="46">C140+D140+E140</f>
        <v>496101.48</v>
      </c>
      <c r="G140" s="626"/>
      <c r="H140" s="607"/>
      <c r="I140" s="166">
        <f t="shared" ref="I140:I143" si="47">F140+G140+H140</f>
        <v>496101.48</v>
      </c>
      <c r="J140" s="167">
        <f>IF($I$213=0,0,I140/$I$213)</f>
        <v>7.40067896290557E-2</v>
      </c>
      <c r="K140" s="458"/>
      <c r="L140" s="176">
        <v>17304.669999999998</v>
      </c>
      <c r="M140" s="176">
        <v>18012.84</v>
      </c>
      <c r="O140" s="329">
        <f t="shared" si="43"/>
        <v>23.713086372544332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'[59]Sch C'!D137</f>
        <v>276171.7</v>
      </c>
      <c r="D141" s="480">
        <f>'[59]Sch C'!F137</f>
        <v>0</v>
      </c>
      <c r="E141" s="480">
        <f>+'[59]Sch C'!H137</f>
        <v>0</v>
      </c>
      <c r="F141" s="166">
        <f t="shared" si="46"/>
        <v>276171.7</v>
      </c>
      <c r="G141" s="626"/>
      <c r="H141" s="607"/>
      <c r="I141" s="166">
        <f t="shared" si="47"/>
        <v>276171.7</v>
      </c>
      <c r="J141" s="167">
        <f>IF($I$213=0,0,I141/$I$213)</f>
        <v>4.1198387280357802E-2</v>
      </c>
      <c r="K141" s="458"/>
      <c r="L141" s="176">
        <v>10778.22</v>
      </c>
      <c r="M141" s="176">
        <v>11334.78</v>
      </c>
      <c r="O141" s="329">
        <f t="shared" si="43"/>
        <v>13.200693083504612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'[59]Sch C'!D138</f>
        <v>636958.55000000005</v>
      </c>
      <c r="D142" s="480">
        <f>'[59]Sch C'!F138</f>
        <v>0</v>
      </c>
      <c r="E142" s="480">
        <f>+'[59]Sch C'!H138</f>
        <v>0</v>
      </c>
      <c r="F142" s="166">
        <f t="shared" si="46"/>
        <v>636958.55000000005</v>
      </c>
      <c r="G142" s="626"/>
      <c r="H142" s="607"/>
      <c r="I142" s="166">
        <f t="shared" si="47"/>
        <v>636958.55000000005</v>
      </c>
      <c r="J142" s="167">
        <f>IF($I$213=0,0,I142/$I$213)</f>
        <v>9.5019384768371101E-2</v>
      </c>
      <c r="K142" s="458"/>
      <c r="L142" s="176">
        <v>45505.570000000007</v>
      </c>
      <c r="M142" s="176">
        <v>47344.070000000007</v>
      </c>
      <c r="O142" s="329">
        <f t="shared" si="43"/>
        <v>30.445894077720954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'[59]Sch C'!D139</f>
        <v>54591.27</v>
      </c>
      <c r="D143" s="480">
        <f>'[59]Sch C'!F139</f>
        <v>0</v>
      </c>
      <c r="E143" s="480">
        <f>+'[59]Sch C'!H139</f>
        <v>0</v>
      </c>
      <c r="F143" s="166">
        <f t="shared" si="46"/>
        <v>54591.27</v>
      </c>
      <c r="G143" s="626"/>
      <c r="H143" s="607"/>
      <c r="I143" s="166">
        <f t="shared" si="47"/>
        <v>54591.27</v>
      </c>
      <c r="J143" s="167">
        <f>IF($I$213=0,0,I143/$I$213)</f>
        <v>8.1437463852616996E-3</v>
      </c>
      <c r="K143" s="458"/>
      <c r="L143" s="176">
        <v>3435.48</v>
      </c>
      <c r="M143" s="176">
        <v>3451.48</v>
      </c>
      <c r="O143" s="329">
        <f t="shared" si="43"/>
        <v>2.6094006022656657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'[59]Sch C'!D141</f>
        <v>107002.54</v>
      </c>
      <c r="D145" s="480">
        <f>'[59]Sch C'!F141</f>
        <v>0</v>
      </c>
      <c r="E145" s="480">
        <f>+'[59]Sch C'!H141</f>
        <v>0</v>
      </c>
      <c r="F145" s="166">
        <f t="shared" ref="F145:F148" si="48">C145+D145+E145</f>
        <v>107002.54</v>
      </c>
      <c r="G145" s="626">
        <v>-9437</v>
      </c>
      <c r="H145" s="607"/>
      <c r="I145" s="166">
        <f t="shared" ref="I145:I148" si="49">F145+G145+H145</f>
        <v>97565.54</v>
      </c>
      <c r="J145" s="167">
        <f>IF($I$213=0,0,I145/$I$213)</f>
        <v>1.4554506859816702E-2</v>
      </c>
      <c r="K145" s="458"/>
      <c r="L145" s="163"/>
      <c r="M145" s="163"/>
      <c r="O145" s="329">
        <f t="shared" si="43"/>
        <v>4.6635218201806792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'[59]Sch C'!D142</f>
        <v>59566.59</v>
      </c>
      <c r="D146" s="480">
        <f>'[59]Sch C'!F142</f>
        <v>0</v>
      </c>
      <c r="E146" s="480">
        <f>+'[59]Sch C'!H142</f>
        <v>0</v>
      </c>
      <c r="F146" s="166">
        <f t="shared" si="48"/>
        <v>59566.59</v>
      </c>
      <c r="G146" s="626">
        <v>-5254</v>
      </c>
      <c r="H146" s="607"/>
      <c r="I146" s="166">
        <f t="shared" si="49"/>
        <v>54312.59</v>
      </c>
      <c r="J146" s="167">
        <f>IF($I$213=0,0,I146/$I$213)</f>
        <v>8.1021738180243972E-3</v>
      </c>
      <c r="K146" s="458"/>
      <c r="L146" s="163"/>
      <c r="M146" s="163"/>
      <c r="O146" s="329">
        <f t="shared" si="43"/>
        <v>2.5960800152956356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'[59]Sch C'!D143</f>
        <v>137383.54999999999</v>
      </c>
      <c r="D147" s="480">
        <f>'[59]Sch C'!F143</f>
        <v>0</v>
      </c>
      <c r="E147" s="480">
        <f>+'[59]Sch C'!H143</f>
        <v>0</v>
      </c>
      <c r="F147" s="166">
        <f t="shared" si="48"/>
        <v>137383.54999999999</v>
      </c>
      <c r="G147" s="626">
        <v>-12117</v>
      </c>
      <c r="H147" s="607"/>
      <c r="I147" s="166">
        <f t="shared" si="49"/>
        <v>125266.54999999999</v>
      </c>
      <c r="J147" s="167">
        <f>IF($I$213=0,0,I147/$I$213)</f>
        <v>1.8686852563728668E-2</v>
      </c>
      <c r="K147" s="458"/>
      <c r="L147" s="163"/>
      <c r="M147" s="163"/>
      <c r="O147" s="329">
        <f t="shared" si="43"/>
        <v>5.9875985851536724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'[59]Sch C'!D144</f>
        <v>11774.62</v>
      </c>
      <c r="D148" s="480">
        <f>'[59]Sch C'!F144</f>
        <v>0</v>
      </c>
      <c r="E148" s="480">
        <f>+'[59]Sch C'!H144</f>
        <v>0</v>
      </c>
      <c r="F148" s="166">
        <f t="shared" si="48"/>
        <v>11774.62</v>
      </c>
      <c r="G148" s="626">
        <v>-1038</v>
      </c>
      <c r="H148" s="607"/>
      <c r="I148" s="166">
        <f t="shared" si="49"/>
        <v>10736.62</v>
      </c>
      <c r="J148" s="167">
        <f>IF($I$213=0,0,I148/$I$213)</f>
        <v>1.601653713403782E-3</v>
      </c>
      <c r="K148" s="458"/>
      <c r="L148" s="163"/>
      <c r="M148" s="163"/>
      <c r="O148" s="329">
        <f t="shared" si="43"/>
        <v>0.51319822188231923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'[59]Sch C'!D146</f>
        <v>20982.880000000001</v>
      </c>
      <c r="D150" s="480">
        <f>'[59]Sch C'!F146</f>
        <v>0</v>
      </c>
      <c r="E150" s="480">
        <f>+'[59]Sch C'!H146</f>
        <v>0</v>
      </c>
      <c r="F150" s="166">
        <f t="shared" ref="F150:F158" si="50">C150+D150+E150</f>
        <v>20982.880000000001</v>
      </c>
      <c r="G150" s="626"/>
      <c r="H150" s="607"/>
      <c r="I150" s="166">
        <f t="shared" ref="I150:I158" si="51">F150+G150+H150</f>
        <v>20982.880000000001</v>
      </c>
      <c r="J150" s="167">
        <f t="shared" ref="J150:J158" si="52">IF($I$213=0,0,I150/$I$213)</f>
        <v>3.1301571323103495E-3</v>
      </c>
      <c r="K150" s="458"/>
      <c r="L150" s="176" t="s">
        <v>537</v>
      </c>
      <c r="M150" s="176" t="s">
        <v>537</v>
      </c>
      <c r="O150" s="329">
        <f t="shared" si="43"/>
        <v>1.0029577936045122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'[59]Sch C'!D147</f>
        <v>0</v>
      </c>
      <c r="D151" s="480">
        <f>'[59]Sch C'!F147</f>
        <v>0</v>
      </c>
      <c r="E151" s="480">
        <f>+'[59]Sch C'!H147</f>
        <v>0</v>
      </c>
      <c r="F151" s="166">
        <f t="shared" si="50"/>
        <v>0</v>
      </c>
      <c r="G151" s="626"/>
      <c r="H151" s="607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'[59]Sch C'!D148</f>
        <v>0</v>
      </c>
      <c r="D152" s="480">
        <f>'[59]Sch C'!F148</f>
        <v>0</v>
      </c>
      <c r="E152" s="480">
        <f>+'[59]Sch C'!H148</f>
        <v>0</v>
      </c>
      <c r="F152" s="166">
        <f t="shared" si="50"/>
        <v>0</v>
      </c>
      <c r="G152" s="626"/>
      <c r="H152" s="607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'[59]Sch C'!D149</f>
        <v>0</v>
      </c>
      <c r="D153" s="480">
        <f>'[59]Sch C'!F149</f>
        <v>0</v>
      </c>
      <c r="E153" s="480">
        <f>+'[59]Sch C'!H149</f>
        <v>0</v>
      </c>
      <c r="F153" s="166">
        <f t="shared" si="50"/>
        <v>0</v>
      </c>
      <c r="G153" s="626"/>
      <c r="H153" s="607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'[59]Sch C'!D150</f>
        <v>8398</v>
      </c>
      <c r="D154" s="480">
        <f>'[59]Sch C'!F150</f>
        <v>0</v>
      </c>
      <c r="E154" s="480">
        <f>+'[59]Sch C'!H150</f>
        <v>0</v>
      </c>
      <c r="F154" s="166">
        <f t="shared" si="50"/>
        <v>8398</v>
      </c>
      <c r="G154" s="626"/>
      <c r="H154" s="607"/>
      <c r="I154" s="166">
        <f t="shared" si="51"/>
        <v>8398</v>
      </c>
      <c r="J154" s="167">
        <f t="shared" si="52"/>
        <v>1.2527860616436978E-3</v>
      </c>
      <c r="K154" s="458"/>
      <c r="L154" s="176" t="s">
        <v>360</v>
      </c>
      <c r="M154" s="176" t="s">
        <v>360</v>
      </c>
      <c r="O154" s="329">
        <f t="shared" si="43"/>
        <v>0.40141484632665742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'[59]Sch C'!D151</f>
        <v>79965.16</v>
      </c>
      <c r="D155" s="480">
        <f>'[59]Sch C'!F151</f>
        <v>0</v>
      </c>
      <c r="E155" s="480">
        <f>+'[59]Sch C'!H151</f>
        <v>0</v>
      </c>
      <c r="F155" s="166">
        <f t="shared" si="50"/>
        <v>79965.16</v>
      </c>
      <c r="G155" s="626"/>
      <c r="H155" s="607"/>
      <c r="I155" s="166">
        <f t="shared" si="51"/>
        <v>79965.16</v>
      </c>
      <c r="J155" s="167">
        <f t="shared" si="52"/>
        <v>1.1928939969648507E-2</v>
      </c>
      <c r="K155" s="458"/>
      <c r="L155" s="163"/>
      <c r="M155" s="163"/>
      <c r="O155" s="329">
        <f t="shared" si="43"/>
        <v>3.8222436786004494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'[59]Sch C'!D152</f>
        <v>13417.76</v>
      </c>
      <c r="D156" s="480">
        <f>'[59]Sch C'!F152</f>
        <v>0</v>
      </c>
      <c r="E156" s="480">
        <f>+'[59]Sch C'!H152</f>
        <v>0</v>
      </c>
      <c r="F156" s="166">
        <f t="shared" si="50"/>
        <v>13417.76</v>
      </c>
      <c r="G156" s="626"/>
      <c r="H156" s="607"/>
      <c r="I156" s="166">
        <f t="shared" si="51"/>
        <v>13417.76</v>
      </c>
      <c r="J156" s="167">
        <f t="shared" si="52"/>
        <v>2.0016173739557446E-3</v>
      </c>
      <c r="K156" s="458"/>
      <c r="L156" s="163"/>
      <c r="M156" s="163"/>
      <c r="O156" s="329">
        <f t="shared" si="43"/>
        <v>0.64135366378280201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'[59]Sch C'!D153</f>
        <v>0</v>
      </c>
      <c r="D157" s="480">
        <f>'[59]Sch C'!F153</f>
        <v>0</v>
      </c>
      <c r="E157" s="480">
        <f>+'[59]Sch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'[59]Sch C'!D154</f>
        <v>0</v>
      </c>
      <c r="D158" s="480">
        <f>'[59]Sch C'!F154</f>
        <v>0</v>
      </c>
      <c r="E158" s="480">
        <f>+'[59]Sch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'[59]Sch C'!D156</f>
        <v>0</v>
      </c>
      <c r="D160" s="480">
        <f>'[59]Sch C'!F156</f>
        <v>0</v>
      </c>
      <c r="E160" s="480">
        <f>+'[59]Sch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'[59]Sch C'!D157</f>
        <v>0</v>
      </c>
      <c r="D161" s="480">
        <f>'[59]Sch C'!F157</f>
        <v>0</v>
      </c>
      <c r="E161" s="480">
        <f>+'[59]Sch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'[59]Sch C'!D158</f>
        <v>0</v>
      </c>
      <c r="D162" s="480">
        <f>'[59]Sch C'!F158</f>
        <v>0</v>
      </c>
      <c r="E162" s="480">
        <f>+'[59]Sch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'[59]Sch C'!D159</f>
        <v>0</v>
      </c>
      <c r="D163" s="480">
        <f>'[59]Sch C'!F159</f>
        <v>0</v>
      </c>
      <c r="E163" s="480">
        <f>+'[59]Sch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'[59]Sch C'!D160</f>
        <v>0</v>
      </c>
      <c r="D164" s="480">
        <f>'[59]Sch C'!F160</f>
        <v>0</v>
      </c>
      <c r="E164" s="480">
        <f>+'[59]Sch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'[59]Sch C'!D161</f>
        <v>13834.53</v>
      </c>
      <c r="D165" s="480">
        <f>'[59]Sch C'!F161</f>
        <v>0</v>
      </c>
      <c r="E165" s="480">
        <f>+'[59]Sch C'!H161</f>
        <v>0</v>
      </c>
      <c r="F165" s="166">
        <f t="shared" si="53"/>
        <v>13834.53</v>
      </c>
      <c r="G165" s="626"/>
      <c r="H165" s="607"/>
      <c r="I165" s="166">
        <f t="shared" si="54"/>
        <v>13834.53</v>
      </c>
      <c r="J165" s="167">
        <f t="shared" si="55"/>
        <v>2.0637897539165979E-3</v>
      </c>
      <c r="K165" s="458"/>
      <c r="L165" s="163"/>
      <c r="M165" s="163"/>
      <c r="O165" s="329">
        <f t="shared" si="43"/>
        <v>0.66127479565986336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2231137.36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2231137.36</v>
      </c>
      <c r="G166" s="166">
        <f t="shared" si="57"/>
        <v>-32715</v>
      </c>
      <c r="H166" s="166">
        <f t="shared" si="57"/>
        <v>45469</v>
      </c>
      <c r="I166" s="166">
        <f t="shared" si="57"/>
        <v>2243891.36</v>
      </c>
      <c r="J166" s="167">
        <f t="shared" si="55"/>
        <v>0.33473634432611582</v>
      </c>
      <c r="K166" s="458"/>
      <c r="L166" s="163"/>
      <c r="M166" s="163"/>
      <c r="O166" s="329">
        <f>I166/I$233</f>
        <v>107.25545432818699</v>
      </c>
      <c r="P166" s="324">
        <f>SUMMARY!L168</f>
        <v>117.25773185217372</v>
      </c>
    </row>
    <row r="167" spans="1:17" s="162" customFormat="1" ht="15.5">
      <c r="A167" s="164"/>
      <c r="B167" s="165"/>
      <c r="C167" s="188"/>
      <c r="D167" s="188"/>
      <c r="E167" s="188"/>
      <c r="F167" s="188"/>
      <c r="G167" s="188"/>
      <c r="H167"/>
      <c r="I167" s="188"/>
      <c r="J167" s="189"/>
      <c r="K167" s="458"/>
      <c r="L167" s="163"/>
      <c r="M167" s="163"/>
      <c r="O167" s="324"/>
      <c r="P167" s="324"/>
    </row>
    <row r="168" spans="1:17" s="162" customFormat="1" ht="15.5">
      <c r="A168" s="164" t="s">
        <v>160</v>
      </c>
      <c r="B168" s="204" t="s">
        <v>92</v>
      </c>
      <c r="C168" s="205"/>
      <c r="D168" s="205"/>
      <c r="E168" s="205"/>
      <c r="F168" s="205"/>
      <c r="G168" s="188"/>
      <c r="H168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'[59]Sch C'!D175</f>
        <v>0</v>
      </c>
      <c r="D169" s="480">
        <f>'[59]Sch C'!F175</f>
        <v>0</v>
      </c>
      <c r="E169" s="480">
        <f>+'[59]Sch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'[59]Sch C'!D176</f>
        <v>0</v>
      </c>
      <c r="D170" s="480">
        <f>'[59]Sch C'!F176</f>
        <v>0</v>
      </c>
      <c r="E170" s="480">
        <f>+'[59]Sch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'[59]Sch C'!D177</f>
        <v>366159.83</v>
      </c>
      <c r="D171" s="480">
        <f>'[59]Sch C'!F177-14076</f>
        <v>0</v>
      </c>
      <c r="E171" s="480">
        <f>+'[59]Sch C'!H177</f>
        <v>0</v>
      </c>
      <c r="F171" s="166">
        <f t="shared" si="58"/>
        <v>366159.83</v>
      </c>
      <c r="G171" s="626"/>
      <c r="H171" s="480">
        <v>14076</v>
      </c>
      <c r="I171" s="166">
        <f t="shared" si="59"/>
        <v>380235.83</v>
      </c>
      <c r="J171" s="167">
        <f t="shared" si="60"/>
        <v>5.6722332455527824E-2</v>
      </c>
      <c r="K171" s="468"/>
      <c r="L171" s="176">
        <v>8605.82</v>
      </c>
      <c r="M171" s="176">
        <v>9432.32</v>
      </c>
      <c r="N171" s="208"/>
      <c r="O171" s="329">
        <f t="shared" si="61"/>
        <v>18.174840112805317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'[59]Sch C'!D178</f>
        <v>87297.09</v>
      </c>
      <c r="D172" s="480">
        <f>'[59]Sch C'!F178</f>
        <v>0</v>
      </c>
      <c r="E172" s="480">
        <f>+'[59]Sch C'!H178</f>
        <v>0</v>
      </c>
      <c r="F172" s="166">
        <f t="shared" si="58"/>
        <v>87297.09</v>
      </c>
      <c r="G172" s="626">
        <v>-7015</v>
      </c>
      <c r="H172" s="607"/>
      <c r="I172" s="166">
        <f t="shared" si="59"/>
        <v>80282.09</v>
      </c>
      <c r="J172" s="167">
        <f t="shared" si="60"/>
        <v>1.1976218546275886E-2</v>
      </c>
      <c r="K172" s="469"/>
      <c r="L172" s="212"/>
      <c r="M172" s="212"/>
      <c r="N172" s="208"/>
      <c r="O172" s="329">
        <f t="shared" si="61"/>
        <v>3.837392572056785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'[59]Sch C'!D179</f>
        <v>72309.87</v>
      </c>
      <c r="D173" s="480">
        <f>'[59]Sch C'!F179</f>
        <v>0</v>
      </c>
      <c r="E173" s="480">
        <f>+'[59]Sch C'!H179</f>
        <v>0</v>
      </c>
      <c r="F173" s="166">
        <f t="shared" si="58"/>
        <v>72309.87</v>
      </c>
      <c r="G173" s="626"/>
      <c r="H173" s="607"/>
      <c r="I173" s="166">
        <f t="shared" si="59"/>
        <v>72309.87</v>
      </c>
      <c r="J173" s="167">
        <f t="shared" si="60"/>
        <v>1.0786948946804927E-2</v>
      </c>
      <c r="K173" s="468"/>
      <c r="L173" s="176">
        <v>1703.93</v>
      </c>
      <c r="M173" s="176">
        <v>1937.14</v>
      </c>
      <c r="N173" s="208"/>
      <c r="O173" s="329">
        <f t="shared" si="61"/>
        <v>3.4563295253572961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'[59]Sch C'!D180</f>
        <v>22896.75</v>
      </c>
      <c r="D174" s="480">
        <f>'[59]Sch C'!F180</f>
        <v>0</v>
      </c>
      <c r="E174" s="480">
        <f>+'[59]Sch C'!H180</f>
        <v>0</v>
      </c>
      <c r="F174" s="166">
        <f t="shared" si="58"/>
        <v>22896.75</v>
      </c>
      <c r="G174" s="626">
        <v>-1384</v>
      </c>
      <c r="H174" s="607"/>
      <c r="I174" s="166">
        <f t="shared" si="59"/>
        <v>21512.75</v>
      </c>
      <c r="J174" s="167">
        <f t="shared" si="60"/>
        <v>3.2092013988599026E-3</v>
      </c>
      <c r="K174" s="469"/>
      <c r="L174" s="212"/>
      <c r="M174" s="212"/>
      <c r="N174" s="208"/>
      <c r="O174" s="329">
        <f t="shared" si="61"/>
        <v>1.0282849768175517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'[59]Sch C'!D181</f>
        <v>0</v>
      </c>
      <c r="D175" s="480">
        <f>'[59]Sch C'!F181</f>
        <v>0</v>
      </c>
      <c r="E175" s="480">
        <f>+'[59]Sch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'[59]Sch C'!D182</f>
        <v>0</v>
      </c>
      <c r="D176" s="480">
        <f>'[59]Sch C'!F182</f>
        <v>0</v>
      </c>
      <c r="E176" s="480">
        <f>+'[59]Sch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'[59]Sch C'!D183</f>
        <v>246592.9</v>
      </c>
      <c r="D177" s="480">
        <f>'[59]Sch C'!F183</f>
        <v>0</v>
      </c>
      <c r="E177" s="480">
        <f>+'[59]Sch C'!H183</f>
        <v>0</v>
      </c>
      <c r="F177" s="166">
        <f t="shared" si="58"/>
        <v>246592.9</v>
      </c>
      <c r="G177" s="626"/>
      <c r="H177" s="607"/>
      <c r="I177" s="166">
        <f t="shared" si="59"/>
        <v>246592.9</v>
      </c>
      <c r="J177" s="167">
        <f t="shared" si="60"/>
        <v>3.6785919030757112E-2</v>
      </c>
      <c r="K177" s="468"/>
      <c r="L177" s="176">
        <v>6922.73</v>
      </c>
      <c r="M177" s="176">
        <v>7638.4</v>
      </c>
      <c r="N177" s="208"/>
      <c r="O177" s="329">
        <f t="shared" si="61"/>
        <v>11.786860092729793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'[59]Sch C'!D184</f>
        <v>77769.17</v>
      </c>
      <c r="D178" s="480">
        <f>'[59]Sch C'!F184</f>
        <v>0</v>
      </c>
      <c r="E178" s="480">
        <f>+'[59]Sch C'!H184</f>
        <v>0</v>
      </c>
      <c r="F178" s="166">
        <f t="shared" si="58"/>
        <v>77769.17</v>
      </c>
      <c r="G178" s="626">
        <v>-4721</v>
      </c>
      <c r="H178" s="607"/>
      <c r="I178" s="166">
        <f t="shared" si="59"/>
        <v>73048.17</v>
      </c>
      <c r="J178" s="167">
        <f t="shared" si="60"/>
        <v>1.089708611628713E-2</v>
      </c>
      <c r="K178" s="469"/>
      <c r="L178" s="212"/>
      <c r="M178" s="212"/>
      <c r="N178" s="208"/>
      <c r="O178" s="329">
        <f t="shared" si="61"/>
        <v>3.491619425457674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'[59]Sch C'!D185</f>
        <v>0</v>
      </c>
      <c r="D179" s="480">
        <f>'[59]Sch C'!F185</f>
        <v>0</v>
      </c>
      <c r="E179" s="480">
        <f>+'[59]Sch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'[59]Sch C'!D186</f>
        <v>0</v>
      </c>
      <c r="D180" s="480">
        <f>'[59]Sch C'!F186</f>
        <v>0</v>
      </c>
      <c r="E180" s="480">
        <f>+'[59]Sch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'[59]Sch C'!D187</f>
        <v>0</v>
      </c>
      <c r="D181" s="480">
        <f>'[59]Sch C'!F187</f>
        <v>0</v>
      </c>
      <c r="E181" s="480">
        <f>+'[59]Sch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'[59]Sch C'!D188</f>
        <v>0</v>
      </c>
      <c r="D182" s="480">
        <f>'[59]Sch C'!F188</f>
        <v>0</v>
      </c>
      <c r="E182" s="480">
        <f>+'[59]Sch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'[59]Sch C'!D189</f>
        <v>1394.67</v>
      </c>
      <c r="D183" s="480">
        <f>'[59]Sch C'!F189</f>
        <v>0</v>
      </c>
      <c r="E183" s="480">
        <f>+'[59]Sch C'!H189</f>
        <v>0</v>
      </c>
      <c r="F183" s="166">
        <f t="shared" si="58"/>
        <v>1394.67</v>
      </c>
      <c r="G183" s="626"/>
      <c r="H183" s="607"/>
      <c r="I183" s="166">
        <f t="shared" si="59"/>
        <v>1394.67</v>
      </c>
      <c r="J183" s="167">
        <f t="shared" si="60"/>
        <v>2.0805229061593428E-4</v>
      </c>
      <c r="K183" s="458"/>
      <c r="L183" s="213"/>
      <c r="M183" s="208"/>
      <c r="N183" s="210"/>
      <c r="O183" s="329">
        <f t="shared" si="61"/>
        <v>6.6663639405382155E-2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'[59]Sch C'!D190</f>
        <v>0</v>
      </c>
      <c r="D184" s="480">
        <f>'[59]Sch C'!F190</f>
        <v>0</v>
      </c>
      <c r="E184" s="480">
        <f>+'[59]Sch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'[59]Sch C'!D191</f>
        <v>0</v>
      </c>
      <c r="D185" s="480">
        <f>'[59]Sch C'!F191</f>
        <v>0</v>
      </c>
      <c r="E185" s="480">
        <f>+'[59]Sch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'[59]Sch C'!D192</f>
        <v>78532.88</v>
      </c>
      <c r="D186" s="480">
        <f>'[59]Sch C'!F192</f>
        <v>0</v>
      </c>
      <c r="E186" s="480">
        <f>+'[59]Sch C'!H192</f>
        <v>0</v>
      </c>
      <c r="F186" s="166">
        <f t="shared" si="58"/>
        <v>78532.88</v>
      </c>
      <c r="G186" s="626"/>
      <c r="H186" s="607"/>
      <c r="I186" s="166">
        <f t="shared" si="59"/>
        <v>78532.88</v>
      </c>
      <c r="J186" s="167">
        <f t="shared" si="60"/>
        <v>1.1715277142740788E-2</v>
      </c>
      <c r="K186" s="458"/>
      <c r="L186" s="213"/>
      <c r="M186" s="208"/>
      <c r="N186" s="210"/>
      <c r="O186" s="329">
        <f t="shared" si="61"/>
        <v>3.7537823239806896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'[59]Sch C'!D193</f>
        <v>0</v>
      </c>
      <c r="D187" s="480">
        <f>'[59]Sch C'!F193</f>
        <v>0</v>
      </c>
      <c r="E187" s="480">
        <f>+'[59]Sch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'[59]Sch C'!D194</f>
        <v>0</v>
      </c>
      <c r="D188" s="480">
        <f>'[59]Sch C'!F194</f>
        <v>0</v>
      </c>
      <c r="E188" s="480">
        <f>+'[59]Sch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'[59]Sch C'!D195</f>
        <v>0</v>
      </c>
      <c r="D189" s="480">
        <f>'[59]Sch C'!F195</f>
        <v>0</v>
      </c>
      <c r="E189" s="480">
        <f>+'[59]Sch C'!H195</f>
        <v>0</v>
      </c>
      <c r="F189" s="166">
        <f t="shared" si="58"/>
        <v>0</v>
      </c>
      <c r="G189" s="626"/>
      <c r="H189" s="607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'[59]Sch C'!D196</f>
        <v>0</v>
      </c>
      <c r="D190" s="480">
        <f>'[59]Sch C'!F196</f>
        <v>0</v>
      </c>
      <c r="E190" s="480">
        <f>+'[59]Sch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'[59]Sch C'!D197</f>
        <v>0</v>
      </c>
      <c r="D191" s="480">
        <f>'[59]Sch C'!F197</f>
        <v>0</v>
      </c>
      <c r="E191" s="480">
        <f>+'[59]Sch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'[59]Sch C'!D198</f>
        <v>0</v>
      </c>
      <c r="D192" s="480">
        <f>'[59]Sch C'!F198</f>
        <v>0</v>
      </c>
      <c r="E192" s="480">
        <f>+'[59]Sch C'!H198</f>
        <v>0</v>
      </c>
      <c r="F192" s="166">
        <f t="shared" si="58"/>
        <v>0</v>
      </c>
      <c r="G192" s="626"/>
      <c r="H192" s="607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'[59]Sch C'!D199</f>
        <v>0</v>
      </c>
      <c r="D193" s="480">
        <f>'[59]Sch C'!F199</f>
        <v>0</v>
      </c>
      <c r="E193" s="480">
        <f>+'[59]Sch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'[59]Sch C'!D200</f>
        <v>0</v>
      </c>
      <c r="D194" s="480">
        <f>'[59]Sch C'!F200</f>
        <v>0</v>
      </c>
      <c r="E194" s="480">
        <f>+'[59]Sch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'[59]Sch C'!D201</f>
        <v>0</v>
      </c>
      <c r="D195" s="480">
        <f>'[59]Sch C'!F201</f>
        <v>0</v>
      </c>
      <c r="E195" s="480">
        <f>+'[59]Sch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'[59]Sch C'!D202</f>
        <v>0</v>
      </c>
      <c r="D196" s="480">
        <f>'[59]Sch C'!F202</f>
        <v>0</v>
      </c>
      <c r="E196" s="480">
        <f>+'[59]Sch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'[59]Sch C'!D203</f>
        <v>7684.31</v>
      </c>
      <c r="D197" s="480">
        <f>'[59]Sch C'!F203</f>
        <v>0</v>
      </c>
      <c r="E197" s="480">
        <f>+'[59]Sch C'!H203</f>
        <v>0</v>
      </c>
      <c r="F197" s="166">
        <f t="shared" si="58"/>
        <v>7684.31</v>
      </c>
      <c r="G197" s="626"/>
      <c r="H197" s="607"/>
      <c r="I197" s="166">
        <f t="shared" si="59"/>
        <v>7684.31</v>
      </c>
      <c r="J197" s="167">
        <f t="shared" si="60"/>
        <v>1.1463201311442349E-3</v>
      </c>
      <c r="K197" s="458"/>
      <c r="L197" s="213"/>
      <c r="M197" s="208"/>
      <c r="O197" s="329">
        <f t="shared" si="61"/>
        <v>0.36730127622962577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'[59]Sch C'!D204</f>
        <v>0</v>
      </c>
      <c r="D198" s="480">
        <f>'[59]Sch C'!F204</f>
        <v>0</v>
      </c>
      <c r="E198" s="480">
        <f>+'[59]Sch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'[59]Sch C'!D205</f>
        <v>241026.94</v>
      </c>
      <c r="D199" s="480">
        <f>'[59]Sch C'!F205</f>
        <v>0</v>
      </c>
      <c r="E199" s="480">
        <f>+'[59]Sch C'!H205</f>
        <v>0</v>
      </c>
      <c r="F199" s="166">
        <f t="shared" si="58"/>
        <v>241026.94</v>
      </c>
      <c r="G199" s="626"/>
      <c r="H199" s="607"/>
      <c r="I199" s="166">
        <f t="shared" si="59"/>
        <v>241026.94</v>
      </c>
      <c r="J199" s="167">
        <f t="shared" si="60"/>
        <v>3.5955607396121921E-2</v>
      </c>
      <c r="K199" s="458"/>
      <c r="L199" s="213"/>
      <c r="M199" s="208"/>
      <c r="O199" s="329">
        <f t="shared" si="61"/>
        <v>11.520813536637828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'[59]Sch C'!D206</f>
        <v>6367.02</v>
      </c>
      <c r="D200" s="480">
        <f>'[59]Sch C'!F206</f>
        <v>0</v>
      </c>
      <c r="E200" s="480">
        <f>+'[59]Sch C'!H206</f>
        <v>0</v>
      </c>
      <c r="F200" s="166">
        <f t="shared" si="58"/>
        <v>6367.02</v>
      </c>
      <c r="G200" s="626"/>
      <c r="H200" s="607"/>
      <c r="I200" s="166">
        <f t="shared" si="59"/>
        <v>6367.02</v>
      </c>
      <c r="J200" s="167">
        <f t="shared" si="60"/>
        <v>9.4981113481860653E-4</v>
      </c>
      <c r="K200" s="458"/>
      <c r="L200" s="213"/>
      <c r="M200" s="208"/>
      <c r="O200" s="329">
        <f t="shared" si="61"/>
        <v>0.30433631279575546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'[59]Sch C'!D207</f>
        <v>10641.25</v>
      </c>
      <c r="D201" s="480">
        <f>'[59]Sch C'!F207</f>
        <v>0</v>
      </c>
      <c r="E201" s="480">
        <f>+'[59]Sch C'!H207</f>
        <v>0</v>
      </c>
      <c r="F201" s="166">
        <f t="shared" si="58"/>
        <v>10641.25</v>
      </c>
      <c r="G201" s="626"/>
      <c r="H201" s="607"/>
      <c r="I201" s="166">
        <f t="shared" si="59"/>
        <v>10641.25</v>
      </c>
      <c r="J201" s="167">
        <f t="shared" si="60"/>
        <v>1.5874267299911884E-3</v>
      </c>
      <c r="K201" s="458"/>
      <c r="L201" s="213"/>
      <c r="M201" s="208"/>
      <c r="O201" s="329">
        <f t="shared" si="61"/>
        <v>0.50863964437646381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1218672.6800000002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1218672.6800000002</v>
      </c>
      <c r="G202" s="166">
        <f t="shared" si="63"/>
        <v>-13120</v>
      </c>
      <c r="H202" s="166">
        <f t="shared" si="63"/>
        <v>14076</v>
      </c>
      <c r="I202" s="166">
        <f t="shared" si="63"/>
        <v>1219628.6800000002</v>
      </c>
      <c r="J202" s="167">
        <f>IF($I$213=0,0,I202/$I$213)</f>
        <v>0.18194020131994548</v>
      </c>
      <c r="K202" s="458"/>
      <c r="L202" s="163"/>
      <c r="M202" s="163"/>
      <c r="O202" s="329">
        <f>I202/I$233</f>
        <v>58.296863438650171</v>
      </c>
      <c r="P202" s="324">
        <f>SUMMARY!L204</f>
        <v>35.511780513975516</v>
      </c>
    </row>
    <row r="203" spans="1:17" s="162" customFormat="1" ht="15.5">
      <c r="A203" s="158"/>
      <c r="C203" s="160"/>
      <c r="D203" s="160"/>
      <c r="E203" s="160"/>
      <c r="F203" s="160"/>
      <c r="G203" s="160"/>
      <c r="H203"/>
      <c r="I203" s="160"/>
      <c r="J203" s="190"/>
      <c r="K203" s="460"/>
      <c r="L203" s="163"/>
      <c r="M203" s="163"/>
      <c r="O203" s="324"/>
      <c r="P203" s="324"/>
    </row>
    <row r="204" spans="1:17" s="162" customFormat="1" ht="15.5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'[59]Sch C'!D211</f>
        <v>98848.83</v>
      </c>
      <c r="D205" s="480">
        <f>'[59]Sch C'!F211</f>
        <v>0</v>
      </c>
      <c r="E205" s="480">
        <f>+'[59]Sch C'!H211</f>
        <v>0</v>
      </c>
      <c r="F205" s="166">
        <f t="shared" ref="F205:F210" si="64">C205+D205+E205</f>
        <v>98848.83</v>
      </c>
      <c r="G205" s="626">
        <v>-20728</v>
      </c>
      <c r="H205" s="607"/>
      <c r="I205" s="166">
        <f t="shared" ref="I205:I210" si="65">F205+G205+H205</f>
        <v>78120.83</v>
      </c>
      <c r="J205" s="167">
        <f t="shared" ref="J205:J211" si="66">IF($I$213=0,0,I205/$I$213)</f>
        <v>1.1653808876879834E-2</v>
      </c>
      <c r="K205" s="458"/>
      <c r="L205" s="176">
        <v>6739.93</v>
      </c>
      <c r="M205" s="176">
        <v>7009.43</v>
      </c>
      <c r="O205" s="329">
        <f t="shared" ref="O205:O210" si="67">I205/I$233</f>
        <v>3.7340868027340952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'[59]Sch C'!D212</f>
        <v>19154.03</v>
      </c>
      <c r="D206" s="480">
        <f>'[59]Sch C'!F212</f>
        <v>0</v>
      </c>
      <c r="E206" s="480">
        <f>+'[59]Sch C'!H212</f>
        <v>0</v>
      </c>
      <c r="F206" s="166">
        <f t="shared" si="64"/>
        <v>19154.03</v>
      </c>
      <c r="G206" s="626">
        <f>-1890-4093</f>
        <v>-5983</v>
      </c>
      <c r="H206" s="607"/>
      <c r="I206" s="166">
        <f t="shared" si="65"/>
        <v>13171.029999999999</v>
      </c>
      <c r="J206" s="167">
        <f t="shared" si="66"/>
        <v>1.9648110027972129E-3</v>
      </c>
      <c r="K206" s="458"/>
      <c r="L206" s="163"/>
      <c r="M206" s="163"/>
      <c r="O206" s="329">
        <f t="shared" si="67"/>
        <v>0.62956025046603881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'[59]Sch C'!D213</f>
        <v>9702.68</v>
      </c>
      <c r="D207" s="480">
        <f>'[59]Sch C'!F213</f>
        <v>0</v>
      </c>
      <c r="E207" s="480">
        <f>+'[59]Sch C'!H213</f>
        <v>0</v>
      </c>
      <c r="F207" s="166">
        <f t="shared" si="64"/>
        <v>9702.68</v>
      </c>
      <c r="G207" s="626"/>
      <c r="H207" s="607"/>
      <c r="I207" s="166">
        <f t="shared" si="65"/>
        <v>9702.68</v>
      </c>
      <c r="J207" s="167">
        <f t="shared" si="66"/>
        <v>1.4474139395795516E-3</v>
      </c>
      <c r="K207" s="458"/>
      <c r="L207" s="163"/>
      <c r="M207" s="163"/>
      <c r="O207" s="329">
        <f t="shared" si="67"/>
        <v>0.4637770661058267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'[59]Sch C'!D214</f>
        <v>0</v>
      </c>
      <c r="D208" s="480">
        <f>'[59]Sch C'!F214</f>
        <v>0</v>
      </c>
      <c r="E208" s="480">
        <f>+'[59]Sch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'[59]Sch C'!D215</f>
        <v>0</v>
      </c>
      <c r="D209" s="480">
        <f>'[59]Sch C'!F215</f>
        <v>0</v>
      </c>
      <c r="E209" s="480">
        <f>+'[59]Sch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'[59]Sch C'!D216</f>
        <v>5434.63</v>
      </c>
      <c r="D210" s="480">
        <f>'[59]Sch C'!F216</f>
        <v>0</v>
      </c>
      <c r="E210" s="480">
        <f>+'[59]Sch C'!H216</f>
        <v>0</v>
      </c>
      <c r="F210" s="166">
        <f t="shared" si="64"/>
        <v>5434.63</v>
      </c>
      <c r="G210" s="626"/>
      <c r="H210" s="607"/>
      <c r="I210" s="166">
        <f t="shared" si="65"/>
        <v>5434.63</v>
      </c>
      <c r="J210" s="167">
        <f t="shared" si="66"/>
        <v>8.1072025651234697E-4</v>
      </c>
      <c r="K210" s="458"/>
      <c r="L210" s="163"/>
      <c r="M210" s="163"/>
      <c r="O210" s="329">
        <f t="shared" si="67"/>
        <v>0.25976913149467046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133140.17000000001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133140.17000000001</v>
      </c>
      <c r="G211" s="166">
        <f t="shared" si="69"/>
        <v>-26711</v>
      </c>
      <c r="H211" s="166">
        <f t="shared" si="69"/>
        <v>0</v>
      </c>
      <c r="I211" s="166">
        <f t="shared" si="69"/>
        <v>106429.17000000001</v>
      </c>
      <c r="J211" s="167">
        <f t="shared" si="66"/>
        <v>1.5876754075768947E-2</v>
      </c>
      <c r="K211" s="458"/>
      <c r="L211" s="163"/>
      <c r="M211" s="163"/>
      <c r="O211" s="329">
        <f>I211/I$233</f>
        <v>5.0871932508006319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403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7464540.2999999989</v>
      </c>
      <c r="D213" s="480">
        <f t="shared" si="70"/>
        <v>-68609.739999999932</v>
      </c>
      <c r="E213" s="480">
        <f t="shared" si="70"/>
        <v>-612149.89000000013</v>
      </c>
      <c r="F213" s="166">
        <f t="shared" ref="F213:I213" si="71">SUM(F30:F211)/2</f>
        <v>6783780.669999999</v>
      </c>
      <c r="G213" s="166">
        <f t="shared" si="71"/>
        <v>0</v>
      </c>
      <c r="H213" s="166">
        <f t="shared" si="71"/>
        <v>-80321.669999999925</v>
      </c>
      <c r="I213" s="166">
        <f t="shared" si="71"/>
        <v>6703458.9999999991</v>
      </c>
      <c r="J213" s="167">
        <f>IF($I$213=0,0,I213/$I$213)</f>
        <v>1</v>
      </c>
      <c r="K213" s="458"/>
      <c r="L213" s="176">
        <f>SUM(L30:L205)</f>
        <v>150482.4</v>
      </c>
      <c r="M213" s="176">
        <f>SUM(M30:M205)</f>
        <v>158797.79</v>
      </c>
      <c r="O213" s="329">
        <f>I213/I$233</f>
        <v>320.41771425840062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t="s">
        <v>182</v>
      </c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'[59]Sch C'!D221</f>
        <v>7464540.29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9.9999988451600075E-3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/>
      <c r="I218" s="221"/>
      <c r="J218" s="161"/>
      <c r="K218" s="463"/>
      <c r="L218" s="163"/>
      <c r="M218" s="163"/>
    </row>
    <row r="219" spans="1:16" s="162" customFormat="1" ht="15.5">
      <c r="A219" s="164"/>
      <c r="B219" s="218"/>
      <c r="C219" s="160"/>
      <c r="D219" s="160"/>
      <c r="E219" s="160"/>
      <c r="F219" s="160"/>
      <c r="G219" s="160"/>
      <c r="H219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-312007.92999999877</v>
      </c>
      <c r="D220" s="480">
        <f t="shared" si="72"/>
        <v>743496.05999999982</v>
      </c>
      <c r="E220" s="480">
        <f t="shared" si="72"/>
        <v>612149.89000000013</v>
      </c>
      <c r="F220" s="166">
        <f t="shared" ref="F220:I220" si="73">F26-F213</f>
        <v>1043638.0200000005</v>
      </c>
      <c r="G220" s="166">
        <f t="shared" si="73"/>
        <v>0</v>
      </c>
      <c r="H220" s="166">
        <f t="shared" si="73"/>
        <v>80321.669999999925</v>
      </c>
      <c r="I220" s="166">
        <f t="shared" si="73"/>
        <v>1123959.6900000004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75"/>
      <c r="I221" s="188"/>
      <c r="K221" s="460"/>
      <c r="L221" s="163"/>
      <c r="M221" s="163"/>
    </row>
    <row r="222" spans="1:16" s="162" customFormat="1" ht="15.5">
      <c r="A222" s="158"/>
      <c r="B222" s="218"/>
      <c r="C222" s="188"/>
      <c r="D222" s="188"/>
      <c r="E222" s="188"/>
      <c r="F222" s="188"/>
      <c r="G222" s="188"/>
      <c r="H222"/>
      <c r="I222" s="188"/>
      <c r="K222" s="460"/>
      <c r="L222" s="163"/>
      <c r="M222" s="163"/>
    </row>
    <row r="223" spans="1:16" ht="15.5">
      <c r="A223" s="158"/>
      <c r="B223" s="222" t="s">
        <v>151</v>
      </c>
      <c r="C223" s="160"/>
      <c r="D223" s="160"/>
      <c r="E223" s="160"/>
      <c r="F223" s="160"/>
      <c r="G223" s="160"/>
      <c r="H223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'[59]Sch D'!C9</f>
        <v>9428</v>
      </c>
      <c r="D224" s="480"/>
      <c r="E224" s="480"/>
      <c r="F224" s="224">
        <f>C224+D224+E224</f>
        <v>9428</v>
      </c>
      <c r="G224" s="627"/>
      <c r="H224" s="224"/>
      <c r="I224" s="224">
        <f>F224+G224+H224</f>
        <v>9428</v>
      </c>
      <c r="J224" s="167">
        <f t="shared" ref="J224:J233" si="74">IF($I$233=0,0,I224/$I$233)</f>
        <v>0.45064767458534488</v>
      </c>
      <c r="K224" s="458"/>
      <c r="L224" s="163"/>
      <c r="M224" s="163"/>
    </row>
    <row r="225" spans="1:13">
      <c r="A225" s="158"/>
      <c r="B225" s="165" t="s">
        <v>201</v>
      </c>
      <c r="C225" s="504">
        <f>'[59]Sch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'[59]Sch D'!E9</f>
        <v>4301</v>
      </c>
      <c r="D226" s="480"/>
      <c r="E226" s="480"/>
      <c r="F226" s="224">
        <f t="shared" si="75"/>
        <v>4301</v>
      </c>
      <c r="G226" s="627"/>
      <c r="H226" s="224"/>
      <c r="I226" s="224">
        <f t="shared" si="76"/>
        <v>4301</v>
      </c>
      <c r="J226" s="167">
        <f t="shared" si="74"/>
        <v>0.20558290712681038</v>
      </c>
      <c r="K226" s="458"/>
      <c r="L226" s="163"/>
      <c r="M226" s="163"/>
    </row>
    <row r="227" spans="1:13">
      <c r="A227" s="158"/>
      <c r="B227" s="194" t="s">
        <v>315</v>
      </c>
      <c r="C227" s="504">
        <f>'[59]Sch D'!F9</f>
        <v>2875</v>
      </c>
      <c r="D227" s="480"/>
      <c r="E227" s="480"/>
      <c r="F227" s="224">
        <f t="shared" si="75"/>
        <v>2875</v>
      </c>
      <c r="G227" s="627"/>
      <c r="H227" s="224"/>
      <c r="I227" s="224">
        <f t="shared" si="76"/>
        <v>2875</v>
      </c>
      <c r="J227" s="167">
        <f t="shared" si="74"/>
        <v>0.13742172936284117</v>
      </c>
      <c r="K227" s="458"/>
      <c r="L227" s="163"/>
      <c r="M227" s="163"/>
    </row>
    <row r="228" spans="1:13">
      <c r="A228" s="158"/>
      <c r="B228" s="165" t="s">
        <v>65</v>
      </c>
      <c r="C228" s="504">
        <f>'[59]Sch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'[59]Sch D'!H9</f>
        <v>3549</v>
      </c>
      <c r="D229" s="480"/>
      <c r="E229" s="480"/>
      <c r="F229" s="224">
        <f t="shared" si="75"/>
        <v>3549</v>
      </c>
      <c r="G229" s="627"/>
      <c r="H229" s="224"/>
      <c r="I229" s="224">
        <f t="shared" si="76"/>
        <v>3549</v>
      </c>
      <c r="J229" s="167">
        <f t="shared" si="74"/>
        <v>0.16963816261172984</v>
      </c>
      <c r="K229" s="458"/>
      <c r="L229" s="163"/>
      <c r="M229" s="163"/>
    </row>
    <row r="230" spans="1:13">
      <c r="A230" s="158"/>
      <c r="B230" s="165" t="s">
        <v>219</v>
      </c>
      <c r="C230" s="504">
        <f>'[59]Sch D'!I9</f>
        <v>681</v>
      </c>
      <c r="D230" s="480"/>
      <c r="E230" s="480"/>
      <c r="F230" s="224">
        <f t="shared" si="75"/>
        <v>681</v>
      </c>
      <c r="G230" s="627"/>
      <c r="H230" s="224"/>
      <c r="I230" s="224">
        <f t="shared" si="76"/>
        <v>681</v>
      </c>
      <c r="J230" s="167">
        <f t="shared" si="74"/>
        <v>3.2551025285598202E-2</v>
      </c>
      <c r="K230" s="458"/>
      <c r="L230" s="163"/>
      <c r="M230" s="163"/>
    </row>
    <row r="231" spans="1:13">
      <c r="A231" s="158"/>
      <c r="B231" s="165" t="s">
        <v>218</v>
      </c>
      <c r="C231" s="504">
        <f>'[59]Sch D'!J9</f>
        <v>87</v>
      </c>
      <c r="D231" s="480"/>
      <c r="E231" s="480"/>
      <c r="F231" s="224">
        <f t="shared" si="75"/>
        <v>87</v>
      </c>
      <c r="G231" s="627"/>
      <c r="H231" s="224"/>
      <c r="I231" s="224">
        <f t="shared" si="76"/>
        <v>87</v>
      </c>
      <c r="J231" s="167">
        <f>IF($I$233=0,0,I231/$I$233)</f>
        <v>4.1585010276755409E-3</v>
      </c>
      <c r="K231" s="458"/>
      <c r="L231" s="163"/>
      <c r="M231" s="163"/>
    </row>
    <row r="232" spans="1:13">
      <c r="A232" s="158"/>
      <c r="B232" s="165" t="s">
        <v>170</v>
      </c>
      <c r="C232" s="504">
        <f>'[59]Sch D'!K9</f>
        <v>0</v>
      </c>
      <c r="D232" s="480"/>
      <c r="E232" s="480"/>
      <c r="F232" s="224">
        <f t="shared" si="75"/>
        <v>0</v>
      </c>
      <c r="G232" s="627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20921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20921</v>
      </c>
      <c r="G233" s="226">
        <f t="shared" si="78"/>
        <v>0</v>
      </c>
      <c r="H233" s="226">
        <f t="shared" si="78"/>
        <v>0</v>
      </c>
      <c r="I233" s="226">
        <f t="shared" si="78"/>
        <v>20921</v>
      </c>
      <c r="J233" s="167">
        <f t="shared" si="74"/>
        <v>1</v>
      </c>
      <c r="K233" s="458"/>
      <c r="L233" s="163"/>
      <c r="M233" s="163"/>
    </row>
    <row r="234" spans="1:13" ht="16" thickTop="1">
      <c r="A234" s="158"/>
      <c r="B234" s="162"/>
      <c r="C234" s="549"/>
      <c r="D234" s="227"/>
      <c r="E234" s="227"/>
      <c r="F234" s="221"/>
      <c r="G234" s="221"/>
      <c r="H234"/>
      <c r="I234" s="221"/>
      <c r="J234" s="162"/>
      <c r="K234" s="460"/>
      <c r="L234" s="163"/>
      <c r="M234" s="163"/>
    </row>
    <row r="235" spans="1:13" ht="15.5">
      <c r="A235" s="158"/>
      <c r="B235" s="222" t="s">
        <v>152</v>
      </c>
      <c r="C235" s="548"/>
      <c r="D235" s="221"/>
      <c r="E235" s="221"/>
      <c r="F235" s="221"/>
      <c r="G235" s="221"/>
      <c r="H235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'[59]Sch D'!N22</f>
        <v>124</v>
      </c>
      <c r="D236" s="480"/>
      <c r="E236" s="480"/>
      <c r="F236" s="224">
        <f>C236+E236</f>
        <v>124</v>
      </c>
      <c r="G236" s="627"/>
      <c r="H236" s="224"/>
      <c r="I236" s="224">
        <f>F236+G236+H236</f>
        <v>124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'[59]Sch D'!N24</f>
        <v>124</v>
      </c>
      <c r="D237" s="480"/>
      <c r="E237" s="480"/>
      <c r="F237" s="224">
        <f>C237+E237</f>
        <v>124</v>
      </c>
      <c r="G237" s="627"/>
      <c r="H237" s="224"/>
      <c r="I237" s="224">
        <f>F237+G237+H237</f>
        <v>124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4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30"/>
      <c r="H239" s="230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'[59]Sch D'!N28</f>
        <v>45260</v>
      </c>
      <c r="D240" s="427"/>
      <c r="E240" s="427"/>
      <c r="F240" s="223">
        <f>F236*F238</f>
        <v>45260</v>
      </c>
      <c r="G240"/>
      <c r="H240" s="223"/>
      <c r="I240" s="223">
        <f>I236*I238</f>
        <v>45260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'[59]Sch D'!N30</f>
        <v>0.46224038886433938</v>
      </c>
      <c r="D241" s="228"/>
      <c r="E241" s="228"/>
      <c r="F241" s="232">
        <f>F233/F240</f>
        <v>0.46224038886433938</v>
      </c>
      <c r="G241"/>
      <c r="H241" s="525"/>
      <c r="I241" s="232">
        <f>I233/I240</f>
        <v>0.46224038886433938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'[59]Sch D'!N32</f>
        <v>0.20830755634114009</v>
      </c>
      <c r="D242" s="228"/>
      <c r="E242" s="228"/>
      <c r="F242" s="232">
        <f>(F224+F225)/F240</f>
        <v>0.20830755634114009</v>
      </c>
      <c r="G242"/>
      <c r="H242" s="526"/>
      <c r="I242" s="232">
        <f>(I224+I225)/I240</f>
        <v>0.20830755634114009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'[59]Sch D'!N34</f>
        <v>0.45064767458534488</v>
      </c>
      <c r="D243" s="228"/>
      <c r="E243" s="228"/>
      <c r="F243" s="232">
        <f>(F242/F241)</f>
        <v>0.45064767458534488</v>
      </c>
      <c r="G243"/>
      <c r="H243" s="526"/>
      <c r="I243" s="232">
        <f>(I242/I241)</f>
        <v>0.45064767458534488</v>
      </c>
      <c r="J243" s="162"/>
      <c r="K243" s="460"/>
      <c r="L243" s="163"/>
      <c r="M243" s="163"/>
    </row>
    <row r="244" spans="1:13">
      <c r="H244" s="138"/>
      <c r="K244" s="460"/>
    </row>
    <row r="245" spans="1:13">
      <c r="H245" s="138"/>
      <c r="K245" s="460"/>
    </row>
    <row r="246" spans="1:13">
      <c r="B246" s="145" t="s">
        <v>320</v>
      </c>
      <c r="H246" s="367" t="s">
        <v>321</v>
      </c>
      <c r="I246" s="480">
        <f>'[59]Sch B'!C90</f>
        <v>170.08194285714288</v>
      </c>
      <c r="K246" s="460"/>
    </row>
    <row r="247" spans="1:13">
      <c r="H247" s="367" t="s">
        <v>322</v>
      </c>
      <c r="I247" s="480">
        <f>'[59]Sch B'!E90</f>
        <v>167.44697936210133</v>
      </c>
      <c r="K247" s="460"/>
    </row>
    <row r="248" spans="1:13">
      <c r="H248" s="367" t="s">
        <v>323</v>
      </c>
      <c r="I248" s="480">
        <f>'[59]Sch B'!G90</f>
        <v>163.94751714677642</v>
      </c>
      <c r="K248" s="460"/>
    </row>
    <row r="249" spans="1:13">
      <c r="H249" s="367" t="s">
        <v>324</v>
      </c>
      <c r="I249" s="480">
        <f>'[59]Sch B'!I90</f>
        <v>168.32302616609783</v>
      </c>
      <c r="K249" s="460"/>
    </row>
    <row r="250" spans="1:13">
      <c r="H250" s="367"/>
      <c r="K250" s="460"/>
    </row>
    <row r="251" spans="1:13">
      <c r="K251" s="460"/>
    </row>
    <row r="277" spans="2:2">
      <c r="B277" s="138">
        <v>0</v>
      </c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tabColor rgb="FFE28CAB"/>
  </sheetPr>
  <dimension ref="A1:Q277"/>
  <sheetViews>
    <sheetView showGridLines="0" topLeftCell="A3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337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'[60]Sch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'[60]Sch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'[60]Sch B'!E10</f>
        <v>1735622</v>
      </c>
      <c r="D12" s="480">
        <f>'[60]Sch B'!G10</f>
        <v>0</v>
      </c>
      <c r="E12" s="480"/>
      <c r="F12" s="166">
        <f>C12+D12+E12</f>
        <v>1735622</v>
      </c>
      <c r="G12" s="626"/>
      <c r="H12" s="166"/>
      <c r="I12" s="166">
        <f>F12+G12+H12</f>
        <v>1735622</v>
      </c>
      <c r="J12" s="167">
        <f>IF($I$26=0,0,I12/$I$26)</f>
        <v>0.46040686442123457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'[60]Sch B'!E12</f>
        <v>0</v>
      </c>
      <c r="D13" s="480">
        <f>'[60]Sch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'[60]Sch B'!E13</f>
        <v>38858</v>
      </c>
      <c r="D14" s="480">
        <f>'[60]Sch B'!G13</f>
        <v>0</v>
      </c>
      <c r="E14" s="480"/>
      <c r="F14" s="166">
        <f t="shared" si="0"/>
        <v>38858</v>
      </c>
      <c r="G14" s="626"/>
      <c r="H14" s="166"/>
      <c r="I14" s="166">
        <f t="shared" si="1"/>
        <v>38858</v>
      </c>
      <c r="J14" s="167">
        <f>IF($I$26=0,0,I14/$I$26)</f>
        <v>1.030782620736562E-2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'[60]Sch B'!E14</f>
        <v>0</v>
      </c>
      <c r="D15" s="480">
        <f>'[60]Sch B'!G14</f>
        <v>0</v>
      </c>
      <c r="E15" s="480"/>
      <c r="F15" s="166">
        <f t="shared" si="0"/>
        <v>0</v>
      </c>
      <c r="G15" s="626">
        <v>67528.539999999994</v>
      </c>
      <c r="H15" s="166"/>
      <c r="I15" s="166">
        <f t="shared" si="1"/>
        <v>67528.539999999994</v>
      </c>
      <c r="J15" s="167">
        <f>IF($I$26=0,0,I15/$I$26)</f>
        <v>1.7913234195201438E-2</v>
      </c>
      <c r="K15" s="162" t="s">
        <v>647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'[60]Sch B'!E15</f>
        <v>1774480</v>
      </c>
      <c r="D16" s="480">
        <f>'[60]Sch B'!G15</f>
        <v>0</v>
      </c>
      <c r="E16" s="480"/>
      <c r="F16" s="166">
        <f t="shared" si="0"/>
        <v>1774480</v>
      </c>
      <c r="G16" s="626"/>
      <c r="H16" s="166"/>
      <c r="I16" s="166">
        <f>SUM(I12:I15)</f>
        <v>1842008.54</v>
      </c>
      <c r="J16" s="167">
        <f t="shared" ref="J16:J26" si="2">IF($I$26=0,0,I16/$I$26)</f>
        <v>0.48862792482380163</v>
      </c>
      <c r="K16" s="458"/>
      <c r="L16" s="333" t="s">
        <v>325</v>
      </c>
      <c r="M16" s="334">
        <f>I26</f>
        <v>3769757</v>
      </c>
      <c r="O16" s="324">
        <f>IFERROR(I16/I224,0)</f>
        <v>226.96014539181863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'[60]Sch B'!E20</f>
        <v>0</v>
      </c>
      <c r="D17" s="480">
        <f>'[60]Sch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3842624.62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'[60]Sch B'!E26</f>
        <v>865444</v>
      </c>
      <c r="D18" s="480">
        <f>'[60]Sch B'!G26</f>
        <v>0</v>
      </c>
      <c r="E18" s="480"/>
      <c r="F18" s="166">
        <f t="shared" si="0"/>
        <v>865444</v>
      </c>
      <c r="G18" s="626">
        <v>-6720</v>
      </c>
      <c r="H18" s="166"/>
      <c r="I18" s="166">
        <f t="shared" si="1"/>
        <v>858724</v>
      </c>
      <c r="J18" s="167">
        <f t="shared" si="2"/>
        <v>0.22779293201126757</v>
      </c>
      <c r="K18" s="458"/>
      <c r="L18" s="335" t="s">
        <v>327</v>
      </c>
      <c r="M18" s="336">
        <f>I233</f>
        <v>16077</v>
      </c>
      <c r="O18" s="324">
        <f t="shared" si="3"/>
        <v>495.22722029988466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'[60]Sch B'!E32</f>
        <v>89795</v>
      </c>
      <c r="D19" s="480">
        <f>'[60]Sch B'!G32</f>
        <v>0</v>
      </c>
      <c r="E19" s="480"/>
      <c r="F19" s="166">
        <f t="shared" si="0"/>
        <v>89795</v>
      </c>
      <c r="G19" s="626"/>
      <c r="H19" s="166"/>
      <c r="I19" s="166">
        <f t="shared" si="1"/>
        <v>89795</v>
      </c>
      <c r="J19" s="170">
        <f t="shared" si="2"/>
        <v>2.3819837724288331E-2</v>
      </c>
      <c r="K19" s="464"/>
      <c r="L19" s="335" t="s">
        <v>328</v>
      </c>
      <c r="M19" s="336">
        <f>I236</f>
        <v>98</v>
      </c>
      <c r="O19" s="324">
        <f t="shared" si="3"/>
        <v>590.75657894736844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'[60]Sch B'!E37</f>
        <v>0</v>
      </c>
      <c r="D20" s="480">
        <f>'[60]Sch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35770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'[60]Sch B'!E42</f>
        <v>712532</v>
      </c>
      <c r="D21" s="480">
        <f>'[60]Sch B'!G42</f>
        <v>0</v>
      </c>
      <c r="E21" s="480"/>
      <c r="F21" s="166">
        <f t="shared" si="0"/>
        <v>712532</v>
      </c>
      <c r="G21" s="626"/>
      <c r="H21" s="166"/>
      <c r="I21" s="166">
        <f t="shared" si="1"/>
        <v>712532</v>
      </c>
      <c r="J21" s="167">
        <f t="shared" si="2"/>
        <v>0.18901271355156313</v>
      </c>
      <c r="K21" s="458"/>
      <c r="L21" s="337"/>
      <c r="M21" s="336"/>
      <c r="O21" s="324">
        <f t="shared" si="3"/>
        <v>149.44043624161074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'[60]Sch B'!E47</f>
        <v>257417</v>
      </c>
      <c r="D22" s="480">
        <f>'[60]Sch B'!G47</f>
        <v>0</v>
      </c>
      <c r="E22" s="480"/>
      <c r="F22" s="166">
        <f t="shared" si="0"/>
        <v>257417</v>
      </c>
      <c r="G22" s="626"/>
      <c r="H22" s="166"/>
      <c r="I22" s="166">
        <f t="shared" si="1"/>
        <v>257417</v>
      </c>
      <c r="J22" s="167">
        <f t="shared" si="2"/>
        <v>6.8284772732035509E-2</v>
      </c>
      <c r="K22" s="458"/>
      <c r="L22" s="335" t="s">
        <v>148</v>
      </c>
      <c r="M22" s="336">
        <f>L213</f>
        <v>73368.104728481718</v>
      </c>
      <c r="O22" s="324">
        <f t="shared" si="3"/>
        <v>205.44054269752593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'[60]Sch B'!E52</f>
        <v>0</v>
      </c>
      <c r="D23" s="480">
        <f>'[60]Sch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79603.104728481718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'[60]Sch B'!E57</f>
        <v>7705</v>
      </c>
      <c r="D24" s="480">
        <f>'[60]Sch B'!G57</f>
        <v>0</v>
      </c>
      <c r="E24" s="480"/>
      <c r="F24" s="166">
        <f t="shared" si="0"/>
        <v>7705</v>
      </c>
      <c r="G24" s="626"/>
      <c r="H24" s="166"/>
      <c r="I24" s="166">
        <f t="shared" si="1"/>
        <v>7705</v>
      </c>
      <c r="J24" s="167">
        <f t="shared" si="2"/>
        <v>2.0438983202365562E-3</v>
      </c>
      <c r="K24" s="458"/>
      <c r="L24" s="163"/>
      <c r="M24" s="163"/>
      <c r="O24" s="324">
        <f t="shared" si="3"/>
        <v>142.68518518518519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'[60]Sch B'!E72</f>
        <v>71189</v>
      </c>
      <c r="D25" s="480">
        <f>'[60]Sch B'!G72</f>
        <v>-8805</v>
      </c>
      <c r="E25" s="480"/>
      <c r="F25" s="166">
        <f t="shared" si="0"/>
        <v>62384</v>
      </c>
      <c r="G25" s="626">
        <f>-67528.54+6720</f>
        <v>-60808.539999999994</v>
      </c>
      <c r="H25" s="166"/>
      <c r="I25" s="166">
        <f t="shared" si="1"/>
        <v>1575.4600000000064</v>
      </c>
      <c r="J25" s="167">
        <f t="shared" si="2"/>
        <v>4.1792083680725479E-4</v>
      </c>
      <c r="K25" s="162" t="s">
        <v>647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3778562</v>
      </c>
      <c r="D26" s="480">
        <f t="shared" ref="D26:F26" si="4">SUM(D16:D25)</f>
        <v>-8805</v>
      </c>
      <c r="E26" s="480">
        <f t="shared" si="4"/>
        <v>0</v>
      </c>
      <c r="F26" s="166">
        <f t="shared" si="4"/>
        <v>3769757</v>
      </c>
      <c r="G26" s="166">
        <f>SUM(G12:G25)</f>
        <v>0</v>
      </c>
      <c r="H26" s="166">
        <f>SUM(H12:H25)</f>
        <v>0</v>
      </c>
      <c r="I26" s="166">
        <f>SUM(I16:I25)</f>
        <v>3769757</v>
      </c>
      <c r="J26" s="167">
        <f t="shared" si="2"/>
        <v>1</v>
      </c>
      <c r="K26" s="458"/>
      <c r="L26" s="163"/>
      <c r="M26" s="163"/>
      <c r="O26" s="324">
        <f>IFERROR(I26/I233,0)</f>
        <v>234.48137090253158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'[60]Sch C'!D10</f>
        <v>0</v>
      </c>
      <c r="D30" s="480">
        <f>'[60]Sch C'!F10</f>
        <v>105359</v>
      </c>
      <c r="E30" s="480">
        <f>+'[60]Sch C'!H10</f>
        <v>0</v>
      </c>
      <c r="F30" s="166">
        <f t="shared" ref="F30:F65" si="5">C30+D30+E30</f>
        <v>105359</v>
      </c>
      <c r="G30" s="626"/>
      <c r="H30" s="166"/>
      <c r="I30" s="166">
        <f t="shared" ref="I30:I65" si="6">F30+G30+H30</f>
        <v>105359</v>
      </c>
      <c r="J30" s="167">
        <f>IF($I$213=0,0,I30/$I$213)</f>
        <v>2.7418499181947154E-2</v>
      </c>
      <c r="K30" s="458"/>
      <c r="L30" s="176">
        <v>1920</v>
      </c>
      <c r="M30" s="176">
        <v>2080</v>
      </c>
      <c r="O30" s="324">
        <f>I30/I$233</f>
        <v>6.55339926603222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'[60]Sch C'!D11</f>
        <v>0</v>
      </c>
      <c r="D31" s="480">
        <f>'[60]Sch C'!F11</f>
        <v>0</v>
      </c>
      <c r="E31" s="480">
        <f>+'[60]Sch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'[60]Sch C'!D12</f>
        <v>195433</v>
      </c>
      <c r="D32" s="480">
        <f>'[60]Sch C'!F12</f>
        <v>-105359</v>
      </c>
      <c r="E32" s="480">
        <f>+'[60]Sch C'!H12</f>
        <v>0</v>
      </c>
      <c r="F32" s="166">
        <f t="shared" si="5"/>
        <v>90074</v>
      </c>
      <c r="G32" s="626"/>
      <c r="H32" s="166"/>
      <c r="I32" s="166">
        <f t="shared" si="6"/>
        <v>90074</v>
      </c>
      <c r="J32" s="167">
        <f t="shared" si="7"/>
        <v>2.3440749203340085E-2</v>
      </c>
      <c r="K32" s="458"/>
      <c r="L32" s="176">
        <v>3378</v>
      </c>
      <c r="M32" s="176">
        <v>3711</v>
      </c>
      <c r="O32" s="324">
        <f t="shared" si="8"/>
        <v>5.6026621882191954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'[60]Sch C'!D13</f>
        <v>47013</v>
      </c>
      <c r="D33" s="480">
        <f>'[60]Sch C'!F13</f>
        <v>0</v>
      </c>
      <c r="E33" s="480">
        <f>+'[60]Sch C'!H13</f>
        <v>0</v>
      </c>
      <c r="F33" s="166">
        <f t="shared" si="5"/>
        <v>47013</v>
      </c>
      <c r="G33" s="626">
        <v>11036</v>
      </c>
      <c r="H33" s="166"/>
      <c r="I33" s="166">
        <f t="shared" si="6"/>
        <v>58049</v>
      </c>
      <c r="J33" s="167">
        <f t="shared" si="7"/>
        <v>1.5106601799683468E-2</v>
      </c>
      <c r="K33" s="458"/>
      <c r="L33" s="163"/>
      <c r="M33" s="163"/>
      <c r="O33" s="324">
        <f t="shared" si="8"/>
        <v>3.6106860732723769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'[60]Sch C'!D14</f>
        <v>0</v>
      </c>
      <c r="D34" s="480">
        <f>'[60]Sch C'!F14</f>
        <v>0</v>
      </c>
      <c r="E34" s="480">
        <f>+'[60]Sch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'[60]Sch C'!D15</f>
        <v>0</v>
      </c>
      <c r="D35" s="480">
        <f>'[60]Sch C'!F15</f>
        <v>0</v>
      </c>
      <c r="E35" s="480">
        <f>+'[60]Sch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'[60]Sch C'!D16</f>
        <v>188756</v>
      </c>
      <c r="D36" s="480">
        <f>'[60]Sch C'!F16</f>
        <v>0</v>
      </c>
      <c r="E36" s="480">
        <f>+'[60]Sch C'!H16</f>
        <v>6018</v>
      </c>
      <c r="F36" s="166">
        <f t="shared" si="5"/>
        <v>194774</v>
      </c>
      <c r="G36" s="626"/>
      <c r="H36" s="166"/>
      <c r="I36" s="166">
        <f t="shared" si="6"/>
        <v>194774</v>
      </c>
      <c r="J36" s="167">
        <f t="shared" si="7"/>
        <v>5.0687751019510202E-2</v>
      </c>
      <c r="K36" s="458"/>
      <c r="L36" s="163"/>
      <c r="M36" s="163"/>
      <c r="O36" s="324">
        <f t="shared" si="8"/>
        <v>12.115071219754929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'[60]Sch C'!D17</f>
        <v>133</v>
      </c>
      <c r="D37" s="480">
        <f>'[60]Sch C'!F17</f>
        <v>-133</v>
      </c>
      <c r="E37" s="480">
        <f>+'[60]Sch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'[60]Sch C'!D18</f>
        <v>25216</v>
      </c>
      <c r="D38" s="480">
        <f>'[60]Sch C'!F18</f>
        <v>0</v>
      </c>
      <c r="E38" s="480">
        <f>+'[60]Sch C'!H18</f>
        <v>0</v>
      </c>
      <c r="F38" s="166">
        <f t="shared" si="5"/>
        <v>25216</v>
      </c>
      <c r="G38" s="626"/>
      <c r="H38" s="166"/>
      <c r="I38" s="166">
        <f t="shared" si="6"/>
        <v>25216</v>
      </c>
      <c r="J38" s="167">
        <f t="shared" si="7"/>
        <v>6.5621814498237402E-3</v>
      </c>
      <c r="K38" s="458"/>
      <c r="L38" s="163"/>
      <c r="M38" s="163"/>
      <c r="O38" s="324">
        <f t="shared" si="8"/>
        <v>1.5684518255893511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'[60]Sch C'!D19</f>
        <v>10284</v>
      </c>
      <c r="D39" s="480">
        <f>'[60]Sch C'!F19</f>
        <v>0</v>
      </c>
      <c r="E39" s="480">
        <f>+'[60]Sch C'!H19</f>
        <v>0</v>
      </c>
      <c r="F39" s="166">
        <f t="shared" si="5"/>
        <v>10284</v>
      </c>
      <c r="G39" s="626"/>
      <c r="H39" s="166"/>
      <c r="I39" s="166">
        <f t="shared" si="6"/>
        <v>10284</v>
      </c>
      <c r="J39" s="167">
        <f t="shared" si="7"/>
        <v>2.6762957657831274E-3</v>
      </c>
      <c r="K39" s="458"/>
      <c r="L39" s="163"/>
      <c r="M39" s="163"/>
      <c r="O39" s="324">
        <f t="shared" si="8"/>
        <v>0.6396715805187535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'[60]Sch C'!D20</f>
        <v>3377</v>
      </c>
      <c r="D40" s="480">
        <f>'[60]Sch C'!F20</f>
        <v>0</v>
      </c>
      <c r="E40" s="480">
        <f>+'[60]Sch C'!H20</f>
        <v>0</v>
      </c>
      <c r="F40" s="166">
        <f t="shared" si="5"/>
        <v>3377</v>
      </c>
      <c r="G40" s="626"/>
      <c r="H40" s="166"/>
      <c r="I40" s="166">
        <f t="shared" si="6"/>
        <v>3377</v>
      </c>
      <c r="J40" s="167">
        <f t="shared" si="7"/>
        <v>8.7882641005927872E-4</v>
      </c>
      <c r="K40" s="458"/>
      <c r="L40" s="163"/>
      <c r="M40" s="163"/>
      <c r="O40" s="324">
        <f t="shared" si="8"/>
        <v>0.21005162654724141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'[60]Sch C'!D21</f>
        <v>17119</v>
      </c>
      <c r="D41" s="480">
        <f>'[60]Sch C'!F21</f>
        <v>0</v>
      </c>
      <c r="E41" s="480">
        <f>+'[60]Sch C'!H21</f>
        <v>0</v>
      </c>
      <c r="F41" s="166">
        <f t="shared" si="5"/>
        <v>17119</v>
      </c>
      <c r="G41" s="626"/>
      <c r="H41" s="166"/>
      <c r="I41" s="166">
        <f t="shared" si="6"/>
        <v>17119</v>
      </c>
      <c r="J41" s="167">
        <f t="shared" si="7"/>
        <v>4.4550279282809567E-3</v>
      </c>
      <c r="K41" s="458"/>
      <c r="L41" s="163"/>
      <c r="M41" s="163"/>
      <c r="O41" s="324">
        <f t="shared" si="8"/>
        <v>1.0648130870187225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'[60]Sch C'!D22</f>
        <v>0</v>
      </c>
      <c r="D42" s="480">
        <f>'[60]Sch C'!F22</f>
        <v>0</v>
      </c>
      <c r="E42" s="480">
        <f>+'[60]Sch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'[60]Sch C'!D23</f>
        <v>6054</v>
      </c>
      <c r="D43" s="480">
        <f>'[60]Sch C'!F23</f>
        <v>0</v>
      </c>
      <c r="E43" s="480">
        <f>+'[60]Sch C'!H23</f>
        <v>0</v>
      </c>
      <c r="F43" s="166">
        <f t="shared" si="5"/>
        <v>6054</v>
      </c>
      <c r="G43" s="626"/>
      <c r="H43" s="166"/>
      <c r="I43" s="166">
        <f t="shared" si="6"/>
        <v>6054</v>
      </c>
      <c r="J43" s="167">
        <f t="shared" si="7"/>
        <v>1.5754856637544782E-3</v>
      </c>
      <c r="K43" s="458"/>
      <c r="L43" s="163"/>
      <c r="M43" s="163"/>
      <c r="O43" s="324">
        <f t="shared" si="8"/>
        <v>0.37656279156559058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'[60]Sch C'!D24</f>
        <v>0</v>
      </c>
      <c r="D44" s="480">
        <f>'[60]Sch C'!F24</f>
        <v>0</v>
      </c>
      <c r="E44" s="480">
        <f>+'[60]Sch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'[60]Sch C'!D25</f>
        <v>10645</v>
      </c>
      <c r="D45" s="480">
        <f>'[60]Sch C'!F25</f>
        <v>0</v>
      </c>
      <c r="E45" s="480">
        <f>+'[60]Sch C'!H25</f>
        <v>0</v>
      </c>
      <c r="F45" s="166">
        <f t="shared" si="5"/>
        <v>10645</v>
      </c>
      <c r="G45" s="626"/>
      <c r="H45" s="166"/>
      <c r="I45" s="166">
        <f t="shared" si="6"/>
        <v>10645</v>
      </c>
      <c r="J45" s="167">
        <f t="shared" si="7"/>
        <v>2.7702419707080314E-3</v>
      </c>
      <c r="K45" s="458"/>
      <c r="L45" s="163"/>
      <c r="M45" s="163"/>
      <c r="O45" s="324">
        <f t="shared" si="8"/>
        <v>0.66212601853579645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'[60]Sch C'!D26</f>
        <v>297874</v>
      </c>
      <c r="D46" s="480">
        <f>'[60]Sch C'!F26</f>
        <v>0</v>
      </c>
      <c r="E46" s="480">
        <f>+'[60]Sch C'!H26</f>
        <v>0</v>
      </c>
      <c r="F46" s="166">
        <f t="shared" si="5"/>
        <v>297874</v>
      </c>
      <c r="G46" s="626"/>
      <c r="H46" s="166"/>
      <c r="I46" s="166">
        <f t="shared" si="6"/>
        <v>297874</v>
      </c>
      <c r="J46" s="167">
        <f t="shared" si="7"/>
        <v>7.7518370763990985E-2</v>
      </c>
      <c r="K46" s="458"/>
      <c r="L46" s="163"/>
      <c r="M46" s="163"/>
      <c r="O46" s="324">
        <f t="shared" si="8"/>
        <v>18.527959196367483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'[60]Sch C'!D27</f>
        <v>17483</v>
      </c>
      <c r="D47" s="480">
        <f>'[60]Sch C'!F27</f>
        <v>-479</v>
      </c>
      <c r="E47" s="480">
        <f>+'[60]Sch C'!H27</f>
        <v>0</v>
      </c>
      <c r="F47" s="166">
        <f t="shared" si="5"/>
        <v>17004</v>
      </c>
      <c r="G47" s="626"/>
      <c r="H47" s="166"/>
      <c r="I47" s="166">
        <f t="shared" si="6"/>
        <v>17004</v>
      </c>
      <c r="J47" s="167">
        <f t="shared" si="7"/>
        <v>4.4251004668782864E-3</v>
      </c>
      <c r="K47" s="458"/>
      <c r="L47" s="163"/>
      <c r="M47" s="163"/>
      <c r="O47" s="324">
        <f t="shared" si="8"/>
        <v>1.0576600111961187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'[60]Sch C'!D28</f>
        <v>0</v>
      </c>
      <c r="D48" s="480">
        <f>'[60]Sch C'!F28</f>
        <v>0</v>
      </c>
      <c r="E48" s="480">
        <f>+'[60]Sch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'[60]Sch C'!D29</f>
        <v>26809</v>
      </c>
      <c r="D49" s="480">
        <f>'[60]Sch C'!F29</f>
        <v>-26809</v>
      </c>
      <c r="E49" s="480">
        <f>+'[60]Sch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'[60]Sch C'!D30</f>
        <v>0</v>
      </c>
      <c r="D50" s="480">
        <f>'[60]Sch C'!F30</f>
        <v>0</v>
      </c>
      <c r="E50" s="480">
        <f>+'[60]Sch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'[60]Sch C'!D31</f>
        <v>0</v>
      </c>
      <c r="D51" s="480">
        <f>'[60]Sch C'!F31</f>
        <v>0</v>
      </c>
      <c r="E51" s="480">
        <f>+'[60]Sch C'!H31</f>
        <v>0</v>
      </c>
      <c r="F51" s="166">
        <f t="shared" si="5"/>
        <v>0</v>
      </c>
      <c r="G51" s="626">
        <f>16164-3550</f>
        <v>12614</v>
      </c>
      <c r="H51" s="166"/>
      <c r="I51" s="166">
        <f t="shared" si="6"/>
        <v>12614</v>
      </c>
      <c r="J51" s="167">
        <f t="shared" si="7"/>
        <v>3.2826521576807049E-3</v>
      </c>
      <c r="K51" s="458"/>
      <c r="L51" s="163"/>
      <c r="M51" s="163"/>
      <c r="O51" s="324">
        <f t="shared" si="8"/>
        <v>0.78459911675063754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'[60]Sch C'!D32</f>
        <v>48443</v>
      </c>
      <c r="D52" s="480">
        <f>'[60]Sch C'!F32</f>
        <v>0</v>
      </c>
      <c r="E52" s="480">
        <f>+'[60]Sch C'!H32</f>
        <v>0</v>
      </c>
      <c r="F52" s="166">
        <f t="shared" si="5"/>
        <v>48443</v>
      </c>
      <c r="G52" s="626"/>
      <c r="H52" s="166"/>
      <c r="I52" s="166">
        <f t="shared" si="6"/>
        <v>48443</v>
      </c>
      <c r="J52" s="167">
        <f t="shared" si="7"/>
        <v>1.2606747936778691E-2</v>
      </c>
      <c r="K52" s="458"/>
      <c r="L52" s="163"/>
      <c r="M52" s="163"/>
      <c r="O52" s="324">
        <f t="shared" si="8"/>
        <v>3.0131865397773216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'[60]Sch C'!D33</f>
        <v>0</v>
      </c>
      <c r="D53" s="480">
        <f>'[60]Sch C'!F33</f>
        <v>0</v>
      </c>
      <c r="E53" s="480">
        <f>+'[60]Sch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'[60]Sch C'!D34</f>
        <v>222</v>
      </c>
      <c r="D54" s="480">
        <f>'[60]Sch C'!F34</f>
        <v>0</v>
      </c>
      <c r="E54" s="480">
        <f>+'[60]Sch C'!H34</f>
        <v>0</v>
      </c>
      <c r="F54" s="166">
        <f t="shared" si="5"/>
        <v>222</v>
      </c>
      <c r="G54" s="626"/>
      <c r="H54" s="166"/>
      <c r="I54" s="166">
        <f t="shared" si="6"/>
        <v>222</v>
      </c>
      <c r="J54" s="167">
        <f t="shared" si="7"/>
        <v>5.7773012446893651E-5</v>
      </c>
      <c r="K54" s="458"/>
      <c r="L54" s="163"/>
      <c r="M54" s="163"/>
      <c r="O54" s="324">
        <f t="shared" si="8"/>
        <v>1.3808546370591528E-2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'[60]Sch C'!D35</f>
        <v>0</v>
      </c>
      <c r="D55" s="480">
        <f>'[60]Sch C'!F35</f>
        <v>0</v>
      </c>
      <c r="E55" s="480">
        <f>+'[60]Sch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'[60]Sch C'!D36</f>
        <v>19932</v>
      </c>
      <c r="D56" s="480">
        <f>'[60]Sch C'!F36</f>
        <v>0</v>
      </c>
      <c r="E56" s="480">
        <f>+'[60]Sch C'!H36</f>
        <v>0</v>
      </c>
      <c r="F56" s="166">
        <f t="shared" si="5"/>
        <v>19932</v>
      </c>
      <c r="G56" s="626"/>
      <c r="H56" s="166"/>
      <c r="I56" s="166">
        <f t="shared" si="6"/>
        <v>19932</v>
      </c>
      <c r="J56" s="167">
        <f t="shared" si="7"/>
        <v>5.1870796580697487E-3</v>
      </c>
      <c r="K56" s="458"/>
      <c r="L56" s="176">
        <v>1369</v>
      </c>
      <c r="M56" s="176">
        <v>1536</v>
      </c>
      <c r="O56" s="324">
        <f t="shared" si="8"/>
        <v>1.2397835417055421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'[60]Sch C'!D37</f>
        <v>2678</v>
      </c>
      <c r="D57" s="480">
        <f>'[60]Sch C'!F37</f>
        <v>0</v>
      </c>
      <c r="E57" s="480">
        <f>+'[60]Sch C'!H37</f>
        <v>0</v>
      </c>
      <c r="F57" s="166">
        <f t="shared" si="5"/>
        <v>2678</v>
      </c>
      <c r="G57" s="626">
        <v>-462</v>
      </c>
      <c r="H57" s="166"/>
      <c r="I57" s="166">
        <f t="shared" si="6"/>
        <v>2216</v>
      </c>
      <c r="J57" s="167">
        <f t="shared" si="7"/>
        <v>5.7668916928971324E-4</v>
      </c>
      <c r="K57" s="458"/>
      <c r="L57" s="163"/>
      <c r="M57" s="163"/>
      <c r="O57" s="324">
        <f t="shared" si="8"/>
        <v>0.13783666106860731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'[60]Sch C'!D38</f>
        <v>50</v>
      </c>
      <c r="D58" s="480">
        <f>'[60]Sch C'!F38</f>
        <v>-50</v>
      </c>
      <c r="E58" s="480">
        <f>+'[60]Sch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'[60]Sch C'!D39</f>
        <v>3850</v>
      </c>
      <c r="D59" s="480">
        <f>'[60]Sch C'!F39</f>
        <v>0</v>
      </c>
      <c r="E59" s="480">
        <f>+'[60]Sch C'!H39</f>
        <v>0</v>
      </c>
      <c r="F59" s="166">
        <f t="shared" si="5"/>
        <v>3850</v>
      </c>
      <c r="G59" s="626"/>
      <c r="H59" s="166"/>
      <c r="I59" s="166">
        <f t="shared" si="6"/>
        <v>3850</v>
      </c>
      <c r="J59" s="167">
        <f t="shared" si="7"/>
        <v>1.001919360002435E-3</v>
      </c>
      <c r="K59" s="458"/>
      <c r="L59" s="163"/>
      <c r="M59" s="163"/>
      <c r="O59" s="324">
        <f t="shared" si="8"/>
        <v>0.23947253840890714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'[60]Sch C'!D40</f>
        <v>5675</v>
      </c>
      <c r="D60" s="480">
        <f>'[60]Sch C'!F40</f>
        <v>-5675</v>
      </c>
      <c r="E60" s="480">
        <f>+'[60]Sch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'[60]Sch C'!D41</f>
        <v>42544</v>
      </c>
      <c r="D61" s="480">
        <f>'[60]Sch C'!F41</f>
        <v>0</v>
      </c>
      <c r="E61" s="480">
        <f>+'[60]Sch C'!H41</f>
        <v>-55</v>
      </c>
      <c r="F61" s="166">
        <f t="shared" si="5"/>
        <v>42489</v>
      </c>
      <c r="G61" s="626"/>
      <c r="H61" s="166"/>
      <c r="I61" s="166">
        <f t="shared" si="6"/>
        <v>42489</v>
      </c>
      <c r="J61" s="167">
        <f t="shared" si="7"/>
        <v>1.1057286152504795E-2</v>
      </c>
      <c r="K61" s="458"/>
      <c r="L61" s="163"/>
      <c r="M61" s="163"/>
      <c r="O61" s="324">
        <f t="shared" si="8"/>
        <v>2.6428438141444301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'[60]Sch C'!D42</f>
        <v>0</v>
      </c>
      <c r="D62" s="480">
        <f>'[60]Sch C'!F42</f>
        <v>0</v>
      </c>
      <c r="E62" s="480">
        <f>+'[60]Sch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'[60]Sch C'!D43</f>
        <v>7271</v>
      </c>
      <c r="D63" s="480">
        <f>'[60]Sch C'!F43</f>
        <v>-7271</v>
      </c>
      <c r="E63" s="480">
        <f>+'[60]Sch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'[60]Sch C'!D44</f>
        <v>0</v>
      </c>
      <c r="D64" s="480">
        <f>'[60]Sch C'!F44</f>
        <v>0</v>
      </c>
      <c r="E64" s="480">
        <f>+'[60]Sch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'[60]Sch C'!D45</f>
        <v>4332</v>
      </c>
      <c r="D65" s="480">
        <f>'[60]Sch C'!F45</f>
        <v>-5355</v>
      </c>
      <c r="E65" s="480">
        <f>+'[60]Sch C'!H45</f>
        <v>0</v>
      </c>
      <c r="F65" s="166">
        <f t="shared" si="5"/>
        <v>-1023</v>
      </c>
      <c r="G65" s="626">
        <f>-291.11-159.27+3550</f>
        <v>3099.62</v>
      </c>
      <c r="H65" s="166"/>
      <c r="I65" s="166">
        <f t="shared" si="6"/>
        <v>2076.62</v>
      </c>
      <c r="J65" s="167">
        <f t="shared" si="7"/>
        <v>5.4041708606967695E-4</v>
      </c>
      <c r="K65" s="458" t="s">
        <v>587</v>
      </c>
      <c r="L65" s="163"/>
      <c r="M65" s="163"/>
      <c r="O65" s="324">
        <f t="shared" si="8"/>
        <v>0.1291671331716116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981193</v>
      </c>
      <c r="D66" s="480">
        <f t="shared" si="9"/>
        <v>-45772</v>
      </c>
      <c r="E66" s="480">
        <f t="shared" si="9"/>
        <v>5963</v>
      </c>
      <c r="F66" s="166">
        <f t="shared" ref="F66:I66" si="10">SUM(F30:F65)</f>
        <v>941384</v>
      </c>
      <c r="G66" s="166">
        <f t="shared" si="10"/>
        <v>26287.62</v>
      </c>
      <c r="H66" s="166">
        <f t="shared" si="10"/>
        <v>0</v>
      </c>
      <c r="I66" s="166">
        <f t="shared" si="10"/>
        <v>967671.62</v>
      </c>
      <c r="J66" s="178">
        <f t="shared" si="7"/>
        <v>0.25182569615660244</v>
      </c>
      <c r="K66" s="465"/>
      <c r="L66" s="163"/>
      <c r="M66" s="163"/>
      <c r="O66" s="329">
        <f>I66/I$233</f>
        <v>60.189812776015422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'[60]Sch C'!D57</f>
        <v>0</v>
      </c>
      <c r="D69" s="480">
        <f>'[60]Sch C'!F57</f>
        <v>0</v>
      </c>
      <c r="E69" s="480">
        <f>+'[60]Sch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'[60]Sch C'!D58</f>
        <v>143067</v>
      </c>
      <c r="D70" s="480">
        <f>'[60]Sch C'!F58</f>
        <v>0</v>
      </c>
      <c r="E70" s="480">
        <f>+'[60]Sch C'!H58</f>
        <v>0</v>
      </c>
      <c r="F70" s="166">
        <f t="shared" ref="F70:F83" si="13">C70+D70+E70</f>
        <v>143067</v>
      </c>
      <c r="G70" s="626"/>
      <c r="H70" s="166"/>
      <c r="I70" s="166">
        <f t="shared" ref="I70:I83" si="14">F70+G70+H70</f>
        <v>143067</v>
      </c>
      <c r="J70" s="167">
        <f t="shared" si="11"/>
        <v>3.7231583656485288E-2</v>
      </c>
      <c r="K70" s="458"/>
      <c r="L70" s="182"/>
      <c r="M70" s="163"/>
      <c r="O70" s="324">
        <f t="shared" si="12"/>
        <v>8.8988617279343156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'[60]Sch C'!D59</f>
        <v>276057</v>
      </c>
      <c r="D71" s="480">
        <f>'[60]Sch C'!F59</f>
        <v>0</v>
      </c>
      <c r="E71" s="480">
        <f>+'[60]Sch C'!H59</f>
        <v>0</v>
      </c>
      <c r="F71" s="166">
        <f t="shared" si="13"/>
        <v>276057</v>
      </c>
      <c r="G71" s="626"/>
      <c r="H71" s="166"/>
      <c r="I71" s="166">
        <f t="shared" si="14"/>
        <v>276057</v>
      </c>
      <c r="J71" s="167">
        <f t="shared" si="11"/>
        <v>7.1840740977712259E-2</v>
      </c>
      <c r="K71" s="458"/>
      <c r="L71" s="182"/>
      <c r="M71" s="163"/>
      <c r="O71" s="324">
        <f t="shared" si="12"/>
        <v>17.170927411830565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'[60]Sch C'!D60</f>
        <v>11765</v>
      </c>
      <c r="D72" s="480">
        <f>'[60]Sch C'!F60</f>
        <v>0</v>
      </c>
      <c r="E72" s="480">
        <f>+'[60]Sch C'!H60</f>
        <v>0</v>
      </c>
      <c r="F72" s="166">
        <f t="shared" si="13"/>
        <v>11765</v>
      </c>
      <c r="G72" s="626"/>
      <c r="H72" s="166"/>
      <c r="I72" s="166">
        <f t="shared" si="14"/>
        <v>11765</v>
      </c>
      <c r="J72" s="167">
        <f t="shared" si="11"/>
        <v>3.0617094208905578E-3</v>
      </c>
      <c r="K72" s="458"/>
      <c r="L72" s="185"/>
      <c r="M72" s="163"/>
      <c r="O72" s="324">
        <f t="shared" si="12"/>
        <v>0.731790756982024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'[60]Sch C'!D61</f>
        <v>41463</v>
      </c>
      <c r="D73" s="480">
        <f>'[60]Sch C'!F61</f>
        <v>0</v>
      </c>
      <c r="E73" s="480">
        <f>+'[60]Sch C'!H61</f>
        <v>0</v>
      </c>
      <c r="F73" s="166">
        <f t="shared" si="13"/>
        <v>41463</v>
      </c>
      <c r="G73" s="626"/>
      <c r="H73" s="166"/>
      <c r="I73" s="166">
        <f t="shared" si="14"/>
        <v>41463</v>
      </c>
      <c r="J73" s="167">
        <f t="shared" si="11"/>
        <v>1.0790281149034017E-2</v>
      </c>
      <c r="K73" s="458"/>
      <c r="L73" s="185"/>
      <c r="M73" s="163"/>
      <c r="O73" s="324">
        <f t="shared" si="12"/>
        <v>2.5790259376749392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'[60]Sch C'!D62</f>
        <v>0</v>
      </c>
      <c r="D74" s="480">
        <f>'[60]Sch C'!F62</f>
        <v>0</v>
      </c>
      <c r="E74" s="480">
        <f>+'[60]Sch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'[60]Sch C'!D63</f>
        <v>0</v>
      </c>
      <c r="D75" s="480">
        <f>'[60]Sch C'!F63</f>
        <v>0</v>
      </c>
      <c r="E75" s="480">
        <f>+'[60]Sch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'[60]Sch C'!D64</f>
        <v>0</v>
      </c>
      <c r="D76" s="480">
        <f>'[60]Sch C'!F64</f>
        <v>0</v>
      </c>
      <c r="E76" s="480">
        <f>+'[60]Sch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'[60]Sch C'!D65</f>
        <v>4036</v>
      </c>
      <c r="D77" s="480">
        <f>'[60]Sch C'!F65</f>
        <v>0</v>
      </c>
      <c r="E77" s="480">
        <f>+'[60]Sch C'!H65</f>
        <v>0</v>
      </c>
      <c r="F77" s="166">
        <f t="shared" si="13"/>
        <v>4036</v>
      </c>
      <c r="G77" s="626"/>
      <c r="H77" s="166"/>
      <c r="I77" s="166">
        <f t="shared" si="14"/>
        <v>4036</v>
      </c>
      <c r="J77" s="167">
        <f t="shared" si="11"/>
        <v>1.0503237758363189E-3</v>
      </c>
      <c r="K77" s="458"/>
      <c r="L77" s="187"/>
      <c r="M77" s="163"/>
      <c r="O77" s="324">
        <f t="shared" si="12"/>
        <v>0.25104186104372705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'[60]Sch C'!D66</f>
        <v>21695</v>
      </c>
      <c r="D78" s="480">
        <f>'[60]Sch C'!F66</f>
        <v>0</v>
      </c>
      <c r="E78" s="480">
        <f>+'[60]Sch C'!H66</f>
        <v>-515</v>
      </c>
      <c r="F78" s="166">
        <f t="shared" si="13"/>
        <v>21180</v>
      </c>
      <c r="G78" s="626"/>
      <c r="H78" s="166"/>
      <c r="I78" s="166">
        <f t="shared" si="14"/>
        <v>21180</v>
      </c>
      <c r="J78" s="167">
        <f t="shared" si="11"/>
        <v>5.5118576739874216E-3</v>
      </c>
      <c r="K78" s="458"/>
      <c r="L78" s="187"/>
      <c r="M78" s="163"/>
      <c r="O78" s="324">
        <f t="shared" si="12"/>
        <v>1.3174099645456241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'[60]Sch C'!D67</f>
        <v>72542</v>
      </c>
      <c r="D79" s="480">
        <f>'[60]Sch C'!F67</f>
        <v>0</v>
      </c>
      <c r="E79" s="480">
        <f>+'[60]Sch C'!H67</f>
        <v>0</v>
      </c>
      <c r="F79" s="166">
        <f t="shared" si="13"/>
        <v>72542</v>
      </c>
      <c r="G79" s="626"/>
      <c r="H79" s="166"/>
      <c r="I79" s="166">
        <f t="shared" si="14"/>
        <v>72542</v>
      </c>
      <c r="J79" s="167">
        <f t="shared" si="11"/>
        <v>1.8878242652804321E-2</v>
      </c>
      <c r="K79" s="458"/>
      <c r="L79" s="187"/>
      <c r="M79" s="163"/>
      <c r="O79" s="324">
        <f t="shared" si="12"/>
        <v>4.5121602288984262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'[60]Sch C'!D68</f>
        <v>0</v>
      </c>
      <c r="D80" s="480">
        <f>'[60]Sch C'!F68</f>
        <v>0</v>
      </c>
      <c r="E80" s="480">
        <f>+'[60]Sch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'[60]Sch C'!D69</f>
        <v>5117</v>
      </c>
      <c r="D81" s="480">
        <f>'[60]Sch C'!F69</f>
        <v>0</v>
      </c>
      <c r="E81" s="480">
        <f>+'[60]Sch C'!H69</f>
        <v>0</v>
      </c>
      <c r="F81" s="166">
        <f t="shared" si="13"/>
        <v>5117</v>
      </c>
      <c r="G81" s="626"/>
      <c r="H81" s="166"/>
      <c r="I81" s="166">
        <f t="shared" si="14"/>
        <v>5117</v>
      </c>
      <c r="J81" s="167">
        <f t="shared" si="11"/>
        <v>1.3316419130214182E-3</v>
      </c>
      <c r="K81" s="458"/>
      <c r="L81" s="187"/>
      <c r="M81" s="163"/>
      <c r="O81" s="324">
        <f t="shared" si="12"/>
        <v>0.31828077377620201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'[60]Sch C'!D70</f>
        <v>0</v>
      </c>
      <c r="D82" s="480">
        <f>'[60]Sch C'!F70</f>
        <v>0</v>
      </c>
      <c r="E82" s="480">
        <f>+'[60]Sch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'[60]Sch C'!D71</f>
        <v>0</v>
      </c>
      <c r="D83" s="480">
        <f>'[60]Sch C'!F71</f>
        <v>0</v>
      </c>
      <c r="E83" s="480">
        <f>+'[60]Sch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575742</v>
      </c>
      <c r="D84" s="480">
        <f t="shared" si="15"/>
        <v>0</v>
      </c>
      <c r="E84" s="480">
        <f t="shared" si="15"/>
        <v>-515</v>
      </c>
      <c r="F84" s="166">
        <f t="shared" ref="F84:I84" si="16">SUM(F69:F83)</f>
        <v>575227</v>
      </c>
      <c r="G84" s="166">
        <f t="shared" si="16"/>
        <v>0</v>
      </c>
      <c r="H84" s="166">
        <f t="shared" si="16"/>
        <v>0</v>
      </c>
      <c r="I84" s="166">
        <f t="shared" si="16"/>
        <v>575227</v>
      </c>
      <c r="J84" s="167">
        <f t="shared" si="11"/>
        <v>0.14969638121977161</v>
      </c>
      <c r="K84" s="458"/>
      <c r="L84" s="187"/>
      <c r="M84" s="163"/>
      <c r="O84" s="324">
        <f t="shared" si="12"/>
        <v>35.779498662685825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'[60]Sch C'!D75</f>
        <v>33482</v>
      </c>
      <c r="D87" s="480">
        <f>'[60]Sch C'!F75</f>
        <v>0</v>
      </c>
      <c r="E87" s="480">
        <f>+'[60]Sch C'!H75</f>
        <v>0</v>
      </c>
      <c r="F87" s="166">
        <f t="shared" ref="F87:F97" si="17">C87+D87+E87</f>
        <v>33482</v>
      </c>
      <c r="G87" s="626"/>
      <c r="H87" s="166"/>
      <c r="I87" s="166">
        <f t="shared" ref="I87:I97" si="18">F87+G87+H87</f>
        <v>33482</v>
      </c>
      <c r="J87" s="167">
        <f t="shared" ref="J87:J98" si="19">IF($I$213=0,0,I87/$I$213)</f>
        <v>8.7133153276887088E-3</v>
      </c>
      <c r="K87" s="458"/>
      <c r="L87" s="176">
        <v>1965</v>
      </c>
      <c r="M87" s="176">
        <v>2042</v>
      </c>
      <c r="O87" s="324">
        <f t="shared" ref="O87:O97" si="20">I87/I$233</f>
        <v>2.0826024755862411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'[60]Sch C'!D76</f>
        <v>8582</v>
      </c>
      <c r="D88" s="480">
        <f>'[60]Sch C'!F76</f>
        <v>0</v>
      </c>
      <c r="E88" s="480">
        <f>+'[60]Sch C'!H76</f>
        <v>0</v>
      </c>
      <c r="F88" s="166">
        <f t="shared" si="17"/>
        <v>8582</v>
      </c>
      <c r="G88" s="626">
        <v>-777</v>
      </c>
      <c r="H88" s="166"/>
      <c r="I88" s="166">
        <f t="shared" si="18"/>
        <v>7805</v>
      </c>
      <c r="J88" s="167">
        <f t="shared" si="19"/>
        <v>2.0311637934594816E-3</v>
      </c>
      <c r="K88" s="458"/>
      <c r="L88" s="163"/>
      <c r="M88" s="163"/>
      <c r="O88" s="324">
        <f t="shared" si="20"/>
        <v>0.48547614604714812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'[60]Sch C'!D77</f>
        <v>5006</v>
      </c>
      <c r="D89" s="480">
        <f>'[60]Sch C'!F77</f>
        <v>0</v>
      </c>
      <c r="E89" s="480">
        <f>+'[60]Sch C'!H77</f>
        <v>0</v>
      </c>
      <c r="F89" s="166">
        <f t="shared" si="17"/>
        <v>5006</v>
      </c>
      <c r="G89" s="626"/>
      <c r="H89" s="166"/>
      <c r="I89" s="166">
        <f t="shared" si="18"/>
        <v>5006</v>
      </c>
      <c r="J89" s="167">
        <f t="shared" si="19"/>
        <v>1.3027554067979712E-3</v>
      </c>
      <c r="K89" s="458"/>
      <c r="L89" s="163"/>
      <c r="M89" s="163"/>
      <c r="O89" s="324">
        <f t="shared" si="20"/>
        <v>0.31137650059090627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'[60]Sch C'!D78</f>
        <v>0</v>
      </c>
      <c r="D90" s="480">
        <f>'[60]Sch C'!F78</f>
        <v>0</v>
      </c>
      <c r="E90" s="480">
        <f>+'[60]Sch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'[60]Sch C'!D79</f>
        <v>918</v>
      </c>
      <c r="D91" s="480">
        <f>'[60]Sch C'!F79</f>
        <v>0</v>
      </c>
      <c r="E91" s="480">
        <f>+'[60]Sch C'!H79</f>
        <v>0</v>
      </c>
      <c r="F91" s="166">
        <f t="shared" si="17"/>
        <v>918</v>
      </c>
      <c r="G91" s="626"/>
      <c r="H91" s="166"/>
      <c r="I91" s="166">
        <f t="shared" si="18"/>
        <v>918</v>
      </c>
      <c r="J91" s="167">
        <f t="shared" si="19"/>
        <v>2.3889921363174943E-4</v>
      </c>
      <c r="K91" s="458"/>
      <c r="L91" s="163"/>
      <c r="M91" s="163"/>
      <c r="O91" s="324">
        <f t="shared" si="20"/>
        <v>5.7100205262175782E-2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'[60]Sch C'!D80</f>
        <v>23333</v>
      </c>
      <c r="D92" s="480">
        <f>'[60]Sch C'!F80</f>
        <v>0</v>
      </c>
      <c r="E92" s="480">
        <f>+'[60]Sch C'!H80</f>
        <v>0</v>
      </c>
      <c r="F92" s="166">
        <f t="shared" si="17"/>
        <v>23333</v>
      </c>
      <c r="G92" s="626"/>
      <c r="H92" s="166"/>
      <c r="I92" s="166">
        <f t="shared" si="18"/>
        <v>23333</v>
      </c>
      <c r="J92" s="167">
        <f t="shared" si="19"/>
        <v>6.0721517992043672E-3</v>
      </c>
      <c r="K92" s="458"/>
      <c r="L92" s="163"/>
      <c r="M92" s="163"/>
      <c r="O92" s="324">
        <f t="shared" si="20"/>
        <v>1.4513279840766311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'[60]Sch C'!D81</f>
        <v>4936</v>
      </c>
      <c r="D93" s="480">
        <f>'[60]Sch C'!F81</f>
        <v>0</v>
      </c>
      <c r="E93" s="480">
        <f>+'[60]Sch C'!H81</f>
        <v>0</v>
      </c>
      <c r="F93" s="166">
        <f t="shared" si="17"/>
        <v>4936</v>
      </c>
      <c r="G93" s="626"/>
      <c r="H93" s="166"/>
      <c r="I93" s="166">
        <f t="shared" si="18"/>
        <v>4936</v>
      </c>
      <c r="J93" s="167">
        <f t="shared" si="19"/>
        <v>1.2845386911615633E-3</v>
      </c>
      <c r="K93" s="458"/>
      <c r="L93" s="163"/>
      <c r="M93" s="163"/>
      <c r="O93" s="324">
        <f t="shared" si="20"/>
        <v>0.30702245443801707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'[60]Sch C'!D82</f>
        <v>7437</v>
      </c>
      <c r="D94" s="480">
        <f>'[60]Sch C'!F82</f>
        <v>0</v>
      </c>
      <c r="E94" s="480">
        <f>+'[60]Sch C'!H82</f>
        <v>0</v>
      </c>
      <c r="F94" s="166">
        <f t="shared" si="17"/>
        <v>7437</v>
      </c>
      <c r="G94" s="626"/>
      <c r="H94" s="166"/>
      <c r="I94" s="166">
        <f t="shared" si="18"/>
        <v>7437</v>
      </c>
      <c r="J94" s="167">
        <f t="shared" si="19"/>
        <v>1.9353959169709375E-3</v>
      </c>
      <c r="K94" s="458"/>
      <c r="L94" s="163"/>
      <c r="M94" s="163"/>
      <c r="O94" s="324">
        <f t="shared" si="20"/>
        <v>0.46258630341481621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'[60]Sch C'!D83</f>
        <v>2577</v>
      </c>
      <c r="D95" s="480">
        <f>'[60]Sch C'!F83</f>
        <v>0</v>
      </c>
      <c r="E95" s="480">
        <f>+'[60]Sch C'!H83</f>
        <v>0</v>
      </c>
      <c r="F95" s="166">
        <f t="shared" si="17"/>
        <v>2577</v>
      </c>
      <c r="G95" s="626"/>
      <c r="H95" s="166"/>
      <c r="I95" s="166">
        <f t="shared" si="18"/>
        <v>2577</v>
      </c>
      <c r="J95" s="167">
        <f t="shared" si="19"/>
        <v>6.7063537421461691E-4</v>
      </c>
      <c r="K95" s="458"/>
      <c r="L95" s="163"/>
      <c r="M95" s="163"/>
      <c r="O95" s="324">
        <f t="shared" si="20"/>
        <v>0.16029109908565031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'[60]Sch C'!D84</f>
        <v>57494</v>
      </c>
      <c r="D96" s="480">
        <f>'[60]Sch C'!F84</f>
        <v>0</v>
      </c>
      <c r="E96" s="480">
        <f>+'[60]Sch C'!H84</f>
        <v>0</v>
      </c>
      <c r="F96" s="166">
        <f t="shared" si="17"/>
        <v>57494</v>
      </c>
      <c r="G96" s="626"/>
      <c r="H96" s="166"/>
      <c r="I96" s="166">
        <f t="shared" si="18"/>
        <v>57494</v>
      </c>
      <c r="J96" s="167">
        <f t="shared" si="19"/>
        <v>1.4962169268566233E-2</v>
      </c>
      <c r="K96" s="458"/>
      <c r="L96" s="163"/>
      <c r="M96" s="163"/>
      <c r="O96" s="324">
        <f t="shared" si="20"/>
        <v>3.5761647073458978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'[60]Sch C'!D85</f>
        <v>0</v>
      </c>
      <c r="D97" s="480">
        <f>'[60]Sch C'!F85</f>
        <v>0</v>
      </c>
      <c r="E97" s="480">
        <f>+'[60]Sch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143765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143765</v>
      </c>
      <c r="G98" s="166">
        <f t="shared" si="22"/>
        <v>-777</v>
      </c>
      <c r="H98" s="166">
        <f t="shared" si="22"/>
        <v>0</v>
      </c>
      <c r="I98" s="166">
        <f t="shared" si="22"/>
        <v>142988</v>
      </c>
      <c r="J98" s="167">
        <f t="shared" si="19"/>
        <v>3.7211024791695628E-2</v>
      </c>
      <c r="K98" s="458"/>
      <c r="L98" s="163"/>
      <c r="M98" s="163"/>
      <c r="O98" s="329">
        <f>I98/I$233</f>
        <v>8.8939478758474841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'[60]Sch C'!D89</f>
        <v>0</v>
      </c>
      <c r="D101" s="480">
        <f>'[60]Sch C'!F89</f>
        <v>0</v>
      </c>
      <c r="E101" s="480">
        <f>+'[60]Sch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'[60]Sch C'!D90</f>
        <v>0</v>
      </c>
      <c r="D102" s="480">
        <f>'[60]Sch C'!F90</f>
        <v>0</v>
      </c>
      <c r="E102" s="480">
        <f>+'[60]Sch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'[60]Sch C'!D91</f>
        <v>288585</v>
      </c>
      <c r="D103" s="480">
        <f>'[60]Sch C'!F91</f>
        <v>-2971</v>
      </c>
      <c r="E103" s="480">
        <f>+'[60]Sch C'!H91</f>
        <v>0</v>
      </c>
      <c r="F103" s="166">
        <f t="shared" si="23"/>
        <v>285614</v>
      </c>
      <c r="G103" s="626"/>
      <c r="H103" s="166"/>
      <c r="I103" s="166">
        <f t="shared" si="24"/>
        <v>285614</v>
      </c>
      <c r="J103" s="167">
        <f t="shared" si="25"/>
        <v>7.4327843139671543E-2</v>
      </c>
      <c r="K103" s="458"/>
      <c r="L103" s="163"/>
      <c r="M103" s="163"/>
      <c r="O103" s="329">
        <f t="shared" si="26"/>
        <v>17.765379113018597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'[60]Sch C'!D92</f>
        <v>911</v>
      </c>
      <c r="D104" s="480">
        <f>'[60]Sch C'!F92</f>
        <v>0</v>
      </c>
      <c r="E104" s="480">
        <f>+'[60]Sch C'!H92</f>
        <v>0</v>
      </c>
      <c r="F104" s="166">
        <f t="shared" si="23"/>
        <v>911</v>
      </c>
      <c r="G104" s="626"/>
      <c r="H104" s="166"/>
      <c r="I104" s="166">
        <f t="shared" si="24"/>
        <v>911</v>
      </c>
      <c r="J104" s="167">
        <f t="shared" si="25"/>
        <v>2.3707754206810864E-4</v>
      </c>
      <c r="K104" s="458"/>
      <c r="L104" s="163"/>
      <c r="M104" s="163"/>
      <c r="O104" s="329">
        <f t="shared" si="26"/>
        <v>5.6664800646886858E-2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'[60]Sch C'!D93</f>
        <v>678</v>
      </c>
      <c r="D105" s="480">
        <f>'[60]Sch C'!F93</f>
        <v>0</v>
      </c>
      <c r="E105" s="480">
        <f>+'[60]Sch C'!H93</f>
        <v>0</v>
      </c>
      <c r="F105" s="166">
        <f t="shared" si="23"/>
        <v>678</v>
      </c>
      <c r="G105" s="626"/>
      <c r="H105" s="166"/>
      <c r="I105" s="166">
        <f t="shared" si="24"/>
        <v>678</v>
      </c>
      <c r="J105" s="167">
        <f t="shared" si="25"/>
        <v>1.7644190287835089E-4</v>
      </c>
      <c r="K105" s="458"/>
      <c r="L105" s="163"/>
      <c r="M105" s="163"/>
      <c r="O105" s="329">
        <f t="shared" si="26"/>
        <v>4.217204702369845E-2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'[60]Sch C'!D94</f>
        <v>0</v>
      </c>
      <c r="D106" s="480">
        <f>'[60]Sch C'!F94</f>
        <v>0</v>
      </c>
      <c r="E106" s="480">
        <f>+'[60]Sch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290174</v>
      </c>
      <c r="D107" s="480">
        <f t="shared" si="27"/>
        <v>-2971</v>
      </c>
      <c r="E107" s="480">
        <f t="shared" si="27"/>
        <v>0</v>
      </c>
      <c r="F107" s="166">
        <f t="shared" ref="F107:I107" si="28">SUM(F101:F106)</f>
        <v>287203</v>
      </c>
      <c r="G107" s="166">
        <f t="shared" si="28"/>
        <v>0</v>
      </c>
      <c r="H107" s="166">
        <f t="shared" si="28"/>
        <v>0</v>
      </c>
      <c r="I107" s="166">
        <f t="shared" si="28"/>
        <v>287203</v>
      </c>
      <c r="J107" s="167">
        <f t="shared" si="25"/>
        <v>7.4741362584618012E-2</v>
      </c>
      <c r="K107" s="458"/>
      <c r="L107" s="163"/>
      <c r="M107" s="163"/>
      <c r="O107" s="329">
        <f>I107/I$233</f>
        <v>17.864215960689183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'[60]Sch C'!D98</f>
        <v>0</v>
      </c>
      <c r="D110" s="480">
        <f>'[60]Sch C'!F98</f>
        <v>0</v>
      </c>
      <c r="E110" s="480">
        <f>+'[60]Sch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'[60]Sch C'!D99</f>
        <v>0</v>
      </c>
      <c r="D111" s="480">
        <f>'[60]Sch C'!F99</f>
        <v>0</v>
      </c>
      <c r="E111" s="480">
        <f>+'[60]Sch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'[60]Sch C'!D100</f>
        <v>18</v>
      </c>
      <c r="D112" s="480">
        <f>'[60]Sch C'!F100</f>
        <v>0</v>
      </c>
      <c r="E112" s="480">
        <f>+'[60]Sch C'!H100</f>
        <v>0</v>
      </c>
      <c r="F112" s="166">
        <f t="shared" si="29"/>
        <v>18</v>
      </c>
      <c r="G112" s="626"/>
      <c r="H112" s="166"/>
      <c r="I112" s="166">
        <f t="shared" si="30"/>
        <v>18</v>
      </c>
      <c r="J112" s="167">
        <f t="shared" si="31"/>
        <v>4.6842983065048907E-6</v>
      </c>
      <c r="K112" s="458"/>
      <c r="L112" s="163"/>
      <c r="M112" s="163"/>
      <c r="O112" s="329">
        <f t="shared" si="32"/>
        <v>1.1196118678857996E-3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'[60]Sch C'!D101</f>
        <v>48576</v>
      </c>
      <c r="D113" s="480">
        <f>'[60]Sch C'!F101</f>
        <v>0</v>
      </c>
      <c r="E113" s="480">
        <f>+'[60]Sch C'!H101</f>
        <v>0</v>
      </c>
      <c r="F113" s="166">
        <f t="shared" si="29"/>
        <v>48576</v>
      </c>
      <c r="G113" s="626"/>
      <c r="H113" s="166"/>
      <c r="I113" s="166">
        <f t="shared" si="30"/>
        <v>48576</v>
      </c>
      <c r="J113" s="167">
        <f t="shared" si="31"/>
        <v>1.2641359696487865E-2</v>
      </c>
      <c r="K113" s="458"/>
      <c r="L113" s="163"/>
      <c r="M113" s="163"/>
      <c r="O113" s="329">
        <f t="shared" si="32"/>
        <v>3.0214592274678114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'[60]Sch C'!D102</f>
        <v>3101</v>
      </c>
      <c r="D114" s="480">
        <f>'[60]Sch C'!F102</f>
        <v>0</v>
      </c>
      <c r="E114" s="480">
        <f>+'[60]Sch C'!H102</f>
        <v>0</v>
      </c>
      <c r="F114" s="166">
        <f t="shared" si="29"/>
        <v>3101</v>
      </c>
      <c r="G114" s="626"/>
      <c r="H114" s="166"/>
      <c r="I114" s="166">
        <f t="shared" si="30"/>
        <v>3101</v>
      </c>
      <c r="J114" s="167">
        <f t="shared" si="31"/>
        <v>8.0700050269287039E-4</v>
      </c>
      <c r="K114" s="458"/>
      <c r="L114" s="163"/>
      <c r="M114" s="163"/>
      <c r="O114" s="329">
        <f t="shared" si="32"/>
        <v>0.19288424457299247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'[60]Sch C'!D103</f>
        <v>0</v>
      </c>
      <c r="D115" s="480">
        <f>'[60]Sch C'!F103</f>
        <v>0</v>
      </c>
      <c r="E115" s="480">
        <f>+'[60]Sch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51695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51695</v>
      </c>
      <c r="G116" s="166">
        <f t="shared" si="34"/>
        <v>0</v>
      </c>
      <c r="H116" s="166">
        <f t="shared" si="34"/>
        <v>0</v>
      </c>
      <c r="I116" s="166">
        <f t="shared" si="34"/>
        <v>51695</v>
      </c>
      <c r="J116" s="167">
        <f t="shared" si="31"/>
        <v>1.345304449748724E-2</v>
      </c>
      <c r="K116" s="458"/>
      <c r="L116" s="163"/>
      <c r="M116" s="163"/>
      <c r="O116" s="329">
        <f>I116/I$233</f>
        <v>3.2154630839086895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'[60]Sch C'!D115</f>
        <v>0</v>
      </c>
      <c r="D119" s="480">
        <f>'[60]Sch C'!F115</f>
        <v>0</v>
      </c>
      <c r="E119" s="480">
        <f>+'[60]Sch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'[60]Sch C'!D116</f>
        <v>0</v>
      </c>
      <c r="D120" s="480">
        <f>'[60]Sch C'!F116</f>
        <v>0</v>
      </c>
      <c r="E120" s="480">
        <f>+'[60]Sch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'[60]Sch C'!D117</f>
        <v>6787</v>
      </c>
      <c r="D121" s="480">
        <f>'[60]Sch C'!F117</f>
        <v>0</v>
      </c>
      <c r="E121" s="480">
        <f>+'[60]Sch C'!H117</f>
        <v>0</v>
      </c>
      <c r="F121" s="166">
        <f t="shared" si="35"/>
        <v>6787</v>
      </c>
      <c r="G121" s="626"/>
      <c r="H121" s="166"/>
      <c r="I121" s="166">
        <f t="shared" si="36"/>
        <v>6787</v>
      </c>
      <c r="J121" s="167">
        <f t="shared" si="37"/>
        <v>1.7662407003471497E-3</v>
      </c>
      <c r="K121" s="458"/>
      <c r="L121" s="163"/>
      <c r="M121" s="163"/>
      <c r="O121" s="329">
        <f t="shared" si="38"/>
        <v>0.42215587485227346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'[60]Sch C'!D118</f>
        <v>92558</v>
      </c>
      <c r="D122" s="480">
        <f>'[60]Sch C'!F118</f>
        <v>0</v>
      </c>
      <c r="E122" s="480">
        <f>+'[60]Sch C'!H118</f>
        <v>0</v>
      </c>
      <c r="F122" s="166">
        <f t="shared" si="35"/>
        <v>92558</v>
      </c>
      <c r="G122" s="626"/>
      <c r="H122" s="166"/>
      <c r="I122" s="166">
        <f t="shared" si="36"/>
        <v>92558</v>
      </c>
      <c r="J122" s="167">
        <f t="shared" si="37"/>
        <v>2.408718236963776E-2</v>
      </c>
      <c r="K122" s="458"/>
      <c r="L122" s="163"/>
      <c r="M122" s="163"/>
      <c r="O122" s="329">
        <f t="shared" si="38"/>
        <v>5.7571686259874353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'[60]Sch C'!D119</f>
        <v>0</v>
      </c>
      <c r="D123" s="480">
        <f>'[60]Sch C'!F119</f>
        <v>0</v>
      </c>
      <c r="E123" s="480">
        <f>+'[60]Sch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99345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99345</v>
      </c>
      <c r="G124" s="166">
        <f t="shared" si="40"/>
        <v>0</v>
      </c>
      <c r="H124" s="166">
        <f t="shared" si="40"/>
        <v>0</v>
      </c>
      <c r="I124" s="166">
        <f t="shared" si="40"/>
        <v>99345</v>
      </c>
      <c r="J124" s="167">
        <f t="shared" si="37"/>
        <v>2.5853423069984911E-2</v>
      </c>
      <c r="K124" s="458"/>
      <c r="L124" s="163"/>
      <c r="M124" s="163"/>
      <c r="O124" s="329">
        <f t="shared" si="38"/>
        <v>6.1793245008397086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'[60]Sch C'!D124</f>
        <v>0</v>
      </c>
      <c r="D128" s="480">
        <f>'[60]Sch C'!F124</f>
        <v>0</v>
      </c>
      <c r="E128" s="480">
        <f>+'[60]Sch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'[60]Sch C'!D125</f>
        <v>126976</v>
      </c>
      <c r="D129" s="480">
        <f>'[60]Sch C'!F125</f>
        <v>0</v>
      </c>
      <c r="E129" s="480">
        <f>+'[60]Sch C'!H125</f>
        <v>0</v>
      </c>
      <c r="F129" s="166">
        <f t="shared" si="41"/>
        <v>126976</v>
      </c>
      <c r="G129" s="626"/>
      <c r="H129" s="166"/>
      <c r="I129" s="166">
        <f t="shared" si="42"/>
        <v>126976</v>
      </c>
      <c r="J129" s="167">
        <f>IF($I$213=0,0,I129/$I$213)</f>
        <v>3.304408120926472E-2</v>
      </c>
      <c r="K129" s="458"/>
      <c r="L129" s="176">
        <v>3683</v>
      </c>
      <c r="M129" s="176">
        <v>4043</v>
      </c>
      <c r="O129" s="329">
        <f t="shared" si="43"/>
        <v>7.897990918703738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'[60]Sch C'!D126</f>
        <v>0</v>
      </c>
      <c r="D130" s="480">
        <f>'[60]Sch C'!F126</f>
        <v>0</v>
      </c>
      <c r="E130" s="480">
        <f>+'[60]Sch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'[60]Sch C'!D127</f>
        <v>0</v>
      </c>
      <c r="D131" s="480">
        <f>'[60]Sch C'!F127</f>
        <v>0</v>
      </c>
      <c r="E131" s="480">
        <f>+'[60]Sch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'[60]Sch C'!D128</f>
        <v>36631</v>
      </c>
      <c r="D132" s="480">
        <f>'[60]Sch C'!F128</f>
        <v>0</v>
      </c>
      <c r="E132" s="480">
        <f>+'[60]Sch C'!H128</f>
        <v>0</v>
      </c>
      <c r="F132" s="166">
        <f t="shared" si="41"/>
        <v>36631</v>
      </c>
      <c r="G132" s="626"/>
      <c r="H132" s="166"/>
      <c r="I132" s="166">
        <f t="shared" si="42"/>
        <v>36631</v>
      </c>
      <c r="J132" s="167">
        <f>IF($I$213=0,0,I132/$I$213)</f>
        <v>9.5328072925322579E-3</v>
      </c>
      <c r="K132" s="458"/>
      <c r="L132" s="176">
        <v>1914</v>
      </c>
      <c r="M132" s="176">
        <v>2160</v>
      </c>
      <c r="O132" s="329">
        <f t="shared" si="43"/>
        <v>2.2784723518069292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'[60]Sch C'!D130</f>
        <v>0</v>
      </c>
      <c r="D134" s="480">
        <f>'[60]Sch C'!F130</f>
        <v>0</v>
      </c>
      <c r="E134" s="480">
        <f>+'[60]Sch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'[60]Sch C'!D131</f>
        <v>33344</v>
      </c>
      <c r="D135" s="480">
        <f>'[60]Sch C'!F131</f>
        <v>0</v>
      </c>
      <c r="E135" s="480">
        <f>+'[60]Sch C'!H131</f>
        <v>0</v>
      </c>
      <c r="F135" s="166">
        <f t="shared" si="44"/>
        <v>33344</v>
      </c>
      <c r="G135" s="626">
        <v>-2885</v>
      </c>
      <c r="H135" s="166"/>
      <c r="I135" s="166">
        <f t="shared" si="45"/>
        <v>30459</v>
      </c>
      <c r="J135" s="167">
        <f>IF($I$213=0,0,I135/$I$213)</f>
        <v>7.9266134509906935E-3</v>
      </c>
      <c r="K135" s="458"/>
      <c r="L135" s="196"/>
      <c r="M135" s="196"/>
      <c r="O135" s="329">
        <f t="shared" si="43"/>
        <v>1.894569882440754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'[60]Sch C'!D132</f>
        <v>0</v>
      </c>
      <c r="D136" s="480">
        <f>'[60]Sch C'!F132</f>
        <v>0</v>
      </c>
      <c r="E136" s="480">
        <f>+'[60]Sch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'[60]Sch C'!D133</f>
        <v>0</v>
      </c>
      <c r="D137" s="480">
        <f>'[60]Sch C'!F133</f>
        <v>0</v>
      </c>
      <c r="E137" s="480">
        <f>+'[60]Sch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'[60]Sch C'!D134</f>
        <v>7595</v>
      </c>
      <c r="D138" s="480">
        <f>'[60]Sch C'!F134</f>
        <v>0</v>
      </c>
      <c r="E138" s="480">
        <f>+'[60]Sch C'!H134</f>
        <v>0</v>
      </c>
      <c r="F138" s="166">
        <f t="shared" si="44"/>
        <v>7595</v>
      </c>
      <c r="G138" s="626">
        <v>-280</v>
      </c>
      <c r="H138" s="166"/>
      <c r="I138" s="166">
        <f t="shared" si="45"/>
        <v>7315</v>
      </c>
      <c r="J138" s="167">
        <f>IF($I$213=0,0,I138/$I$213)</f>
        <v>1.9036467840046264E-3</v>
      </c>
      <c r="K138" s="458"/>
      <c r="L138" s="163"/>
      <c r="M138" s="163"/>
      <c r="O138" s="329">
        <f t="shared" si="43"/>
        <v>0.45499782297692354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'[60]Sch C'!D136</f>
        <v>266574</v>
      </c>
      <c r="D140" s="480">
        <f>'[60]Sch C'!F136</f>
        <v>0</v>
      </c>
      <c r="E140" s="480">
        <f>+'[60]Sch C'!H136</f>
        <v>0</v>
      </c>
      <c r="F140" s="166">
        <f t="shared" ref="F140:F143" si="46">C140+D140+E140</f>
        <v>266574</v>
      </c>
      <c r="G140" s="626"/>
      <c r="H140" s="166"/>
      <c r="I140" s="166">
        <f t="shared" ref="I140:I143" si="47">F140+G140+H140</f>
        <v>266574</v>
      </c>
      <c r="J140" s="167">
        <f>IF($I$213=0,0,I140/$I$213)</f>
        <v>6.9372896486568594E-2</v>
      </c>
      <c r="K140" s="458"/>
      <c r="L140" s="176">
        <v>5203</v>
      </c>
      <c r="M140" s="176">
        <v>5690</v>
      </c>
      <c r="O140" s="329">
        <f t="shared" si="43"/>
        <v>16.581078559432729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'[60]Sch C'!D137</f>
        <v>223668</v>
      </c>
      <c r="D141" s="480">
        <f>'[60]Sch C'!F137</f>
        <v>0</v>
      </c>
      <c r="E141" s="480">
        <f>+'[60]Sch C'!H137</f>
        <v>0</v>
      </c>
      <c r="F141" s="166">
        <f t="shared" si="46"/>
        <v>223668</v>
      </c>
      <c r="G141" s="626"/>
      <c r="H141" s="166"/>
      <c r="I141" s="166">
        <f t="shared" si="47"/>
        <v>223668</v>
      </c>
      <c r="J141" s="167">
        <f>IF($I$213=0,0,I141/$I$213)</f>
        <v>5.8207090756629776E-2</v>
      </c>
      <c r="K141" s="458"/>
      <c r="L141" s="176">
        <v>14209</v>
      </c>
      <c r="M141" s="176">
        <v>15555</v>
      </c>
      <c r="O141" s="329">
        <f t="shared" si="43"/>
        <v>13.912297070348945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'[60]Sch C'!D138</f>
        <v>389979</v>
      </c>
      <c r="D142" s="480">
        <f>'[60]Sch C'!F138</f>
        <v>9860</v>
      </c>
      <c r="E142" s="480">
        <f>+'[60]Sch C'!H138</f>
        <v>0</v>
      </c>
      <c r="F142" s="166">
        <f t="shared" si="46"/>
        <v>399839</v>
      </c>
      <c r="G142" s="626"/>
      <c r="H142" s="166"/>
      <c r="I142" s="166">
        <f t="shared" si="47"/>
        <v>399839</v>
      </c>
      <c r="J142" s="167">
        <f>IF($I$213=0,0,I142/$I$213)</f>
        <v>0.10405361947636717</v>
      </c>
      <c r="K142" s="458"/>
      <c r="L142" s="176">
        <v>34098</v>
      </c>
      <c r="M142" s="176">
        <v>36638</v>
      </c>
      <c r="O142" s="329">
        <f t="shared" si="43"/>
        <v>24.870249424643902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'[60]Sch C'!D139</f>
        <v>9860</v>
      </c>
      <c r="D143" s="480">
        <f>'[60]Sch C'!F139</f>
        <v>-9860</v>
      </c>
      <c r="E143" s="480">
        <f>+'[60]Sch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'[60]Sch C'!D141</f>
        <v>191240</v>
      </c>
      <c r="D145" s="480">
        <f>'[60]Sch C'!F141</f>
        <v>-133965</v>
      </c>
      <c r="E145" s="480">
        <f>+'[60]Sch C'!H141</f>
        <v>0</v>
      </c>
      <c r="F145" s="166">
        <f t="shared" ref="F145:F148" si="48">C145+D145+E145</f>
        <v>57275</v>
      </c>
      <c r="G145" s="626">
        <v>-6185</v>
      </c>
      <c r="H145" s="166"/>
      <c r="I145" s="166">
        <f t="shared" ref="I145:I148" si="49">F145+G145+H145</f>
        <v>51090</v>
      </c>
      <c r="J145" s="167">
        <f>IF($I$213=0,0,I145/$I$213)</f>
        <v>1.3295600026629715E-2</v>
      </c>
      <c r="K145" s="458"/>
      <c r="L145" s="163"/>
      <c r="M145" s="163"/>
      <c r="O145" s="329">
        <f t="shared" si="43"/>
        <v>3.1778316850158612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'[60]Sch C'!D142</f>
        <v>0</v>
      </c>
      <c r="D146" s="480">
        <f>'[60]Sch C'!F142</f>
        <v>48057</v>
      </c>
      <c r="E146" s="480">
        <f>+'[60]Sch C'!H142</f>
        <v>0</v>
      </c>
      <c r="F146" s="166">
        <f t="shared" si="48"/>
        <v>48057</v>
      </c>
      <c r="G146" s="626">
        <v>-5189</v>
      </c>
      <c r="H146" s="166"/>
      <c r="I146" s="166">
        <f t="shared" si="49"/>
        <v>42868</v>
      </c>
      <c r="J146" s="167">
        <f>IF($I$213=0,0,I146/$I$213)</f>
        <v>1.1155916655736203E-2</v>
      </c>
      <c r="K146" s="458"/>
      <c r="L146" s="163"/>
      <c r="M146" s="163"/>
      <c r="O146" s="329">
        <f t="shared" si="43"/>
        <v>2.6664178640293588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'[60]Sch C'!D143</f>
        <v>0</v>
      </c>
      <c r="D147" s="480">
        <f>'[60]Sch C'!F143</f>
        <v>85908</v>
      </c>
      <c r="E147" s="480">
        <f>+'[60]Sch C'!H143</f>
        <v>0</v>
      </c>
      <c r="F147" s="166">
        <f t="shared" si="48"/>
        <v>85908</v>
      </c>
      <c r="G147" s="626">
        <v>-9276</v>
      </c>
      <c r="H147" s="166"/>
      <c r="I147" s="166">
        <f t="shared" si="49"/>
        <v>76632</v>
      </c>
      <c r="J147" s="167">
        <f>IF($I$213=0,0,I147/$I$213)</f>
        <v>1.9942619323560156E-2</v>
      </c>
      <c r="K147" s="458"/>
      <c r="L147" s="163"/>
      <c r="M147" s="163"/>
      <c r="O147" s="329">
        <f t="shared" si="43"/>
        <v>4.7665609255458108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'[60]Sch C'!D144</f>
        <v>0</v>
      </c>
      <c r="D148" s="480">
        <f>'[60]Sch C'!F144</f>
        <v>0</v>
      </c>
      <c r="E148" s="480">
        <f>+'[60]Sch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'[60]Sch C'!D146</f>
        <v>13775</v>
      </c>
      <c r="D150" s="480">
        <f>'[60]Sch C'!F146</f>
        <v>0</v>
      </c>
      <c r="E150" s="480">
        <f>+'[60]Sch C'!H146</f>
        <v>0</v>
      </c>
      <c r="F150" s="166">
        <f t="shared" ref="F150:F158" si="50">C150+D150+E150</f>
        <v>13775</v>
      </c>
      <c r="G150" s="626"/>
      <c r="H150" s="166"/>
      <c r="I150" s="166">
        <f t="shared" ref="I150:I158" si="51">F150+G150+H150</f>
        <v>13775</v>
      </c>
      <c r="J150" s="167">
        <f t="shared" ref="J150:J158" si="52">IF($I$213=0,0,I150/$I$213)</f>
        <v>3.5847893984502707E-3</v>
      </c>
      <c r="K150" s="458"/>
      <c r="L150" s="176">
        <v>92.104728481714076</v>
      </c>
      <c r="M150" s="176">
        <v>92.104728481714076</v>
      </c>
      <c r="O150" s="329">
        <f t="shared" si="43"/>
        <v>0.85681408222927158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'[60]Sch C'!D147</f>
        <v>0</v>
      </c>
      <c r="D151" s="480">
        <f>'[60]Sch C'!F147</f>
        <v>0</v>
      </c>
      <c r="E151" s="480">
        <f>+'[60]Sch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'[60]Sch C'!D148</f>
        <v>0</v>
      </c>
      <c r="D152" s="480">
        <f>'[60]Sch C'!F148</f>
        <v>0</v>
      </c>
      <c r="E152" s="480">
        <f>+'[60]Sch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'[60]Sch C'!D149</f>
        <v>0</v>
      </c>
      <c r="D153" s="480">
        <f>'[60]Sch C'!F149</f>
        <v>0</v>
      </c>
      <c r="E153" s="480">
        <f>+'[60]Sch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'[60]Sch C'!D150</f>
        <v>1146</v>
      </c>
      <c r="D154" s="480">
        <f>'[60]Sch C'!F150</f>
        <v>0</v>
      </c>
      <c r="E154" s="480">
        <f>+'[60]Sch C'!H150</f>
        <v>0</v>
      </c>
      <c r="F154" s="166">
        <f t="shared" si="50"/>
        <v>1146</v>
      </c>
      <c r="G154" s="626"/>
      <c r="H154" s="166"/>
      <c r="I154" s="166">
        <f t="shared" si="51"/>
        <v>1146</v>
      </c>
      <c r="J154" s="167">
        <f t="shared" si="52"/>
        <v>2.9823365884747806E-4</v>
      </c>
      <c r="K154" s="458"/>
      <c r="L154" s="176">
        <v>0</v>
      </c>
      <c r="M154" s="176">
        <v>0</v>
      </c>
      <c r="O154" s="329">
        <f t="shared" si="43"/>
        <v>7.128195558872924E-2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'[60]Sch C'!D151</f>
        <v>47696</v>
      </c>
      <c r="D155" s="480">
        <f>'[60]Sch C'!F151</f>
        <v>0</v>
      </c>
      <c r="E155" s="480">
        <f>+'[60]Sch C'!H151</f>
        <v>0</v>
      </c>
      <c r="F155" s="166">
        <f t="shared" si="50"/>
        <v>47696</v>
      </c>
      <c r="G155" s="626"/>
      <c r="H155" s="166"/>
      <c r="I155" s="166">
        <f t="shared" si="51"/>
        <v>47696</v>
      </c>
      <c r="J155" s="167">
        <f t="shared" si="52"/>
        <v>1.2412349557058737E-2</v>
      </c>
      <c r="K155" s="458"/>
      <c r="L155" s="163"/>
      <c r="M155" s="163"/>
      <c r="O155" s="329">
        <f t="shared" si="43"/>
        <v>2.966722647260061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'[60]Sch C'!D152</f>
        <v>5807</v>
      </c>
      <c r="D156" s="480">
        <f>'[60]Sch C'!F152</f>
        <v>0</v>
      </c>
      <c r="E156" s="480">
        <f>+'[60]Sch C'!H152</f>
        <v>0</v>
      </c>
      <c r="F156" s="166">
        <f t="shared" si="50"/>
        <v>5807</v>
      </c>
      <c r="G156" s="626"/>
      <c r="H156" s="166"/>
      <c r="I156" s="166">
        <f t="shared" si="51"/>
        <v>5807</v>
      </c>
      <c r="J156" s="167">
        <f t="shared" si="52"/>
        <v>1.511206681437439E-3</v>
      </c>
      <c r="K156" s="458"/>
      <c r="L156" s="163"/>
      <c r="M156" s="163"/>
      <c r="O156" s="329">
        <f t="shared" si="43"/>
        <v>0.36119922871182436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'[60]Sch C'!D153</f>
        <v>0</v>
      </c>
      <c r="D157" s="480">
        <f>'[60]Sch C'!F153</f>
        <v>0</v>
      </c>
      <c r="E157" s="480">
        <f>+'[60]Sch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'[60]Sch C'!D154</f>
        <v>0</v>
      </c>
      <c r="D158" s="480">
        <f>'[60]Sch C'!F154</f>
        <v>0</v>
      </c>
      <c r="E158" s="480">
        <f>+'[60]Sch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'[60]Sch C'!D156</f>
        <v>0</v>
      </c>
      <c r="D160" s="480">
        <f>'[60]Sch C'!F156</f>
        <v>0</v>
      </c>
      <c r="E160" s="480">
        <f>+'[60]Sch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'[60]Sch C'!D157</f>
        <v>0</v>
      </c>
      <c r="D161" s="480">
        <f>'[60]Sch C'!F157</f>
        <v>0</v>
      </c>
      <c r="E161" s="480">
        <f>+'[60]Sch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'[60]Sch C'!D158</f>
        <v>0</v>
      </c>
      <c r="D162" s="480">
        <f>'[60]Sch C'!F158</f>
        <v>0</v>
      </c>
      <c r="E162" s="480">
        <f>+'[60]Sch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'[60]Sch C'!D159</f>
        <v>0</v>
      </c>
      <c r="D163" s="480">
        <f>'[60]Sch C'!F159</f>
        <v>0</v>
      </c>
      <c r="E163" s="480">
        <f>+'[60]Sch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'[60]Sch C'!D160</f>
        <v>0</v>
      </c>
      <c r="D164" s="480">
        <f>'[60]Sch C'!F160</f>
        <v>0</v>
      </c>
      <c r="E164" s="480">
        <f>+'[60]Sch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'[60]Sch C'!D161</f>
        <v>8783</v>
      </c>
      <c r="D165" s="480">
        <f>'[60]Sch C'!F161</f>
        <v>0</v>
      </c>
      <c r="E165" s="480">
        <f>+'[60]Sch C'!H161</f>
        <v>0</v>
      </c>
      <c r="F165" s="166">
        <f t="shared" si="53"/>
        <v>8783</v>
      </c>
      <c r="G165" s="626"/>
      <c r="H165" s="166"/>
      <c r="I165" s="166">
        <f t="shared" si="54"/>
        <v>8783</v>
      </c>
      <c r="J165" s="167">
        <f t="shared" si="55"/>
        <v>2.2856773347795811E-3</v>
      </c>
      <c r="K165" s="458"/>
      <c r="L165" s="163"/>
      <c r="M165" s="163"/>
      <c r="O165" s="329">
        <f t="shared" si="43"/>
        <v>0.54630839086894323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1363074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1363074</v>
      </c>
      <c r="G166" s="166">
        <f t="shared" si="57"/>
        <v>-23815</v>
      </c>
      <c r="H166" s="166">
        <f t="shared" si="57"/>
        <v>0</v>
      </c>
      <c r="I166" s="166">
        <f t="shared" si="57"/>
        <v>1339259</v>
      </c>
      <c r="J166" s="167">
        <f t="shared" si="55"/>
        <v>0.3485271480928574</v>
      </c>
      <c r="K166" s="458"/>
      <c r="L166" s="163"/>
      <c r="M166" s="163"/>
      <c r="O166" s="329">
        <f>I166/I$233</f>
        <v>83.302792809603787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'[60]Sch C'!D175</f>
        <v>0</v>
      </c>
      <c r="D169" s="480">
        <f>'[60]Sch C'!F175</f>
        <v>0</v>
      </c>
      <c r="E169" s="480">
        <f>+'[60]Sch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'[60]Sch C'!D176</f>
        <v>0</v>
      </c>
      <c r="D170" s="480">
        <f>'[60]Sch C'!F176</f>
        <v>0</v>
      </c>
      <c r="E170" s="480">
        <f>+'[60]Sch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'[60]Sch C'!D177</f>
        <v>0</v>
      </c>
      <c r="D171" s="480">
        <f>'[60]Sch C'!F177</f>
        <v>0</v>
      </c>
      <c r="E171" s="480">
        <f>+'[60]Sch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'[60]Sch C'!D178</f>
        <v>0</v>
      </c>
      <c r="D172" s="480">
        <f>'[60]Sch C'!F178</f>
        <v>0</v>
      </c>
      <c r="E172" s="480">
        <f>+'[60]Sch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'[60]Sch C'!D179</f>
        <v>0</v>
      </c>
      <c r="D173" s="480">
        <f>'[60]Sch C'!F179</f>
        <v>0</v>
      </c>
      <c r="E173" s="480">
        <f>+'[60]Sch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'[60]Sch C'!D180</f>
        <v>0</v>
      </c>
      <c r="D174" s="480">
        <f>'[60]Sch C'!F180</f>
        <v>0</v>
      </c>
      <c r="E174" s="480">
        <f>+'[60]Sch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'[60]Sch C'!D181</f>
        <v>0</v>
      </c>
      <c r="D175" s="480">
        <f>'[60]Sch C'!F181</f>
        <v>0</v>
      </c>
      <c r="E175" s="480">
        <f>+'[60]Sch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'[60]Sch C'!D182</f>
        <v>0</v>
      </c>
      <c r="D176" s="480">
        <f>'[60]Sch C'!F182</f>
        <v>0</v>
      </c>
      <c r="E176" s="480">
        <f>+'[60]Sch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'[60]Sch C'!D183</f>
        <v>0</v>
      </c>
      <c r="D177" s="480">
        <f>'[60]Sch C'!F183</f>
        <v>0</v>
      </c>
      <c r="E177" s="480">
        <f>+'[60]Sch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'[60]Sch C'!D184</f>
        <v>0</v>
      </c>
      <c r="D178" s="480">
        <f>'[60]Sch C'!F184</f>
        <v>0</v>
      </c>
      <c r="E178" s="480">
        <f>+'[60]Sch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'[60]Sch C'!D185</f>
        <v>0</v>
      </c>
      <c r="D179" s="480">
        <f>'[60]Sch C'!F185</f>
        <v>0</v>
      </c>
      <c r="E179" s="480">
        <f>+'[60]Sch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'[60]Sch C'!D186</f>
        <v>0</v>
      </c>
      <c r="D180" s="480">
        <f>'[60]Sch C'!F186</f>
        <v>0</v>
      </c>
      <c r="E180" s="480">
        <f>+'[60]Sch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'[60]Sch C'!D187</f>
        <v>0</v>
      </c>
      <c r="D181" s="480">
        <f>'[60]Sch C'!F187</f>
        <v>0</v>
      </c>
      <c r="E181" s="480">
        <f>+'[60]Sch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'[60]Sch C'!D188</f>
        <v>0</v>
      </c>
      <c r="D182" s="480">
        <f>'[60]Sch C'!F188</f>
        <v>0</v>
      </c>
      <c r="E182" s="480">
        <f>+'[60]Sch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'[60]Sch C'!D189</f>
        <v>0</v>
      </c>
      <c r="D183" s="480">
        <f>'[60]Sch C'!F189</f>
        <v>0</v>
      </c>
      <c r="E183" s="480">
        <f>+'[60]Sch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'[60]Sch C'!D190</f>
        <v>0</v>
      </c>
      <c r="D184" s="480">
        <f>'[60]Sch C'!F190</f>
        <v>0</v>
      </c>
      <c r="E184" s="480">
        <f>+'[60]Sch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'[60]Sch C'!D191</f>
        <v>0</v>
      </c>
      <c r="D185" s="480">
        <f>'[60]Sch C'!F191</f>
        <v>0</v>
      </c>
      <c r="E185" s="480">
        <f>+'[60]Sch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'[60]Sch C'!D192</f>
        <v>0</v>
      </c>
      <c r="D186" s="480">
        <f>'[60]Sch C'!F192</f>
        <v>0</v>
      </c>
      <c r="E186" s="480">
        <f>+'[60]Sch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'[60]Sch C'!D193</f>
        <v>0</v>
      </c>
      <c r="D187" s="480">
        <f>'[60]Sch C'!F193</f>
        <v>0</v>
      </c>
      <c r="E187" s="480">
        <f>+'[60]Sch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'[60]Sch C'!D194</f>
        <v>106656</v>
      </c>
      <c r="D188" s="480">
        <f>'[60]Sch C'!F194</f>
        <v>0</v>
      </c>
      <c r="E188" s="480">
        <f>+'[60]Sch C'!H194</f>
        <v>1866</v>
      </c>
      <c r="F188" s="166">
        <f t="shared" si="58"/>
        <v>108522</v>
      </c>
      <c r="G188" s="626"/>
      <c r="H188" s="166"/>
      <c r="I188" s="166">
        <f t="shared" si="59"/>
        <v>108522</v>
      </c>
      <c r="J188" s="167">
        <f t="shared" si="60"/>
        <v>2.8241634489917986E-2</v>
      </c>
      <c r="K188" s="458"/>
      <c r="L188" s="213"/>
      <c r="M188" s="208"/>
      <c r="O188" s="329">
        <f t="shared" si="61"/>
        <v>6.7501399514834857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'[60]Sch C'!D195</f>
        <v>779</v>
      </c>
      <c r="D189" s="480">
        <f>'[60]Sch C'!F195</f>
        <v>0</v>
      </c>
      <c r="E189" s="480">
        <f>+'[60]Sch C'!H195</f>
        <v>14</v>
      </c>
      <c r="F189" s="166">
        <f t="shared" si="58"/>
        <v>793</v>
      </c>
      <c r="G189" s="626"/>
      <c r="H189" s="166"/>
      <c r="I189" s="166">
        <f t="shared" si="59"/>
        <v>793</v>
      </c>
      <c r="J189" s="167">
        <f t="shared" si="60"/>
        <v>2.0636936428102101E-4</v>
      </c>
      <c r="K189" s="458"/>
      <c r="L189" s="213"/>
      <c r="M189" s="208"/>
      <c r="O189" s="329">
        <f t="shared" si="61"/>
        <v>4.9325122846302173E-2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'[60]Sch C'!D196</f>
        <v>0</v>
      </c>
      <c r="D190" s="480">
        <f>'[60]Sch C'!F196</f>
        <v>0</v>
      </c>
      <c r="E190" s="480">
        <f>+'[60]Sch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'[60]Sch C'!D197</f>
        <v>82917</v>
      </c>
      <c r="D191" s="480">
        <f>'[60]Sch C'!F197</f>
        <v>0</v>
      </c>
      <c r="E191" s="480">
        <f>+'[60]Sch C'!H197</f>
        <v>1451</v>
      </c>
      <c r="F191" s="166">
        <f t="shared" si="58"/>
        <v>84368</v>
      </c>
      <c r="G191" s="626"/>
      <c r="H191" s="166"/>
      <c r="I191" s="166">
        <f t="shared" si="59"/>
        <v>84368</v>
      </c>
      <c r="J191" s="167">
        <f t="shared" si="60"/>
        <v>2.1955826640178033E-2</v>
      </c>
      <c r="K191" s="458"/>
      <c r="L191" s="213"/>
      <c r="M191" s="208"/>
      <c r="O191" s="329">
        <f t="shared" si="61"/>
        <v>5.2477452260993971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'[60]Sch C'!D198</f>
        <v>1262</v>
      </c>
      <c r="D192" s="480">
        <f>'[60]Sch C'!F198</f>
        <v>0</v>
      </c>
      <c r="E192" s="480">
        <f>+'[60]Sch C'!H198</f>
        <v>0</v>
      </c>
      <c r="F192" s="166">
        <f t="shared" si="58"/>
        <v>1262</v>
      </c>
      <c r="G192" s="626"/>
      <c r="H192" s="166"/>
      <c r="I192" s="166">
        <f t="shared" si="59"/>
        <v>1262</v>
      </c>
      <c r="J192" s="167">
        <f t="shared" si="60"/>
        <v>3.28421359044954E-4</v>
      </c>
      <c r="K192" s="458"/>
      <c r="L192" s="213"/>
      <c r="M192" s="208"/>
      <c r="O192" s="329">
        <f t="shared" si="61"/>
        <v>7.849723207065995E-2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'[60]Sch C'!D199</f>
        <v>0</v>
      </c>
      <c r="D193" s="480">
        <f>'[60]Sch C'!F199</f>
        <v>0</v>
      </c>
      <c r="E193" s="480">
        <f>+'[60]Sch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'[60]Sch C'!D200</f>
        <v>0</v>
      </c>
      <c r="D194" s="480">
        <f>'[60]Sch C'!F200</f>
        <v>0</v>
      </c>
      <c r="E194" s="480">
        <f>+'[60]Sch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'[60]Sch C'!D201</f>
        <v>0</v>
      </c>
      <c r="D195" s="480">
        <f>'[60]Sch C'!F201</f>
        <v>0</v>
      </c>
      <c r="E195" s="480">
        <f>+'[60]Sch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'[60]Sch C'!D202</f>
        <v>0</v>
      </c>
      <c r="D196" s="480">
        <f>'[60]Sch C'!F202</f>
        <v>0</v>
      </c>
      <c r="E196" s="480">
        <f>+'[60]Sch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'[60]Sch C'!D203</f>
        <v>0</v>
      </c>
      <c r="D197" s="480">
        <f>'[60]Sch C'!F203</f>
        <v>0</v>
      </c>
      <c r="E197" s="480">
        <f>+'[60]Sch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'[60]Sch C'!D204</f>
        <v>0</v>
      </c>
      <c r="D198" s="480">
        <f>'[60]Sch C'!F204</f>
        <v>0</v>
      </c>
      <c r="E198" s="480">
        <f>+'[60]Sch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'[60]Sch C'!D205</f>
        <v>68718</v>
      </c>
      <c r="D199" s="480">
        <f>'[60]Sch C'!F205</f>
        <v>0</v>
      </c>
      <c r="E199" s="480">
        <f>+'[60]Sch C'!H205</f>
        <v>0</v>
      </c>
      <c r="F199" s="166">
        <f t="shared" si="58"/>
        <v>68718</v>
      </c>
      <c r="G199" s="626"/>
      <c r="H199" s="166"/>
      <c r="I199" s="166">
        <f t="shared" si="59"/>
        <v>68718</v>
      </c>
      <c r="J199" s="167">
        <f t="shared" si="60"/>
        <v>1.7883089501466838E-2</v>
      </c>
      <c r="K199" s="458"/>
      <c r="L199" s="213"/>
      <c r="M199" s="208"/>
      <c r="O199" s="329">
        <f t="shared" si="61"/>
        <v>4.274304907632021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'[60]Sch C'!D206</f>
        <v>812</v>
      </c>
      <c r="D200" s="480">
        <f>'[60]Sch C'!F206</f>
        <v>0</v>
      </c>
      <c r="E200" s="480">
        <f>+'[60]Sch C'!H206</f>
        <v>0</v>
      </c>
      <c r="F200" s="166">
        <f t="shared" si="58"/>
        <v>812</v>
      </c>
      <c r="G200" s="626"/>
      <c r="H200" s="166"/>
      <c r="I200" s="166">
        <f t="shared" si="59"/>
        <v>812</v>
      </c>
      <c r="J200" s="167">
        <f t="shared" si="60"/>
        <v>2.1131390138233173E-4</v>
      </c>
      <c r="K200" s="458"/>
      <c r="L200" s="213"/>
      <c r="M200" s="208"/>
      <c r="O200" s="329">
        <f t="shared" si="61"/>
        <v>5.0506935373514958E-2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'[60]Sch C'!D207</f>
        <v>0</v>
      </c>
      <c r="D201" s="480">
        <f>'[60]Sch C'!F207</f>
        <v>0</v>
      </c>
      <c r="E201" s="480">
        <f>+'[60]Sch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261144</v>
      </c>
      <c r="D202" s="480">
        <f t="shared" si="62"/>
        <v>0</v>
      </c>
      <c r="E202" s="480">
        <f t="shared" si="62"/>
        <v>3331</v>
      </c>
      <c r="F202" s="166">
        <f t="shared" ref="F202:I202" si="63">SUM(F169:F201)</f>
        <v>264475</v>
      </c>
      <c r="G202" s="166">
        <f t="shared" si="63"/>
        <v>0</v>
      </c>
      <c r="H202" s="166">
        <f t="shared" si="63"/>
        <v>0</v>
      </c>
      <c r="I202" s="166">
        <f t="shared" si="63"/>
        <v>264475</v>
      </c>
      <c r="J202" s="167">
        <f>IF($I$213=0,0,I202/$I$213)</f>
        <v>6.8826655256271171E-2</v>
      </c>
      <c r="K202" s="458"/>
      <c r="L202" s="163"/>
      <c r="M202" s="163"/>
      <c r="O202" s="329">
        <f>I202/I$233</f>
        <v>16.45051937550538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'[60]Sch C'!D211</f>
        <v>92466</v>
      </c>
      <c r="D205" s="480">
        <f>'[60]Sch C'!F211</f>
        <v>0</v>
      </c>
      <c r="E205" s="480">
        <f>+'[60]Sch C'!H211</f>
        <v>0</v>
      </c>
      <c r="F205" s="166">
        <f t="shared" ref="F205:F210" si="64">C205+D205+E205</f>
        <v>92466</v>
      </c>
      <c r="G205" s="626"/>
      <c r="H205" s="166"/>
      <c r="I205" s="166">
        <f t="shared" ref="I205:I210" si="65">F205+G205+H205</f>
        <v>92466</v>
      </c>
      <c r="J205" s="167">
        <f t="shared" ref="J205:J211" si="66">IF($I$213=0,0,I205/$I$213)</f>
        <v>2.4063240400515624E-2</v>
      </c>
      <c r="K205" s="458"/>
      <c r="L205" s="176">
        <v>5537</v>
      </c>
      <c r="M205" s="176">
        <v>6056</v>
      </c>
      <c r="O205" s="329">
        <f t="shared" ref="O205:O210" si="67">I205/I$233</f>
        <v>5.7514461653293525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'[60]Sch C'!D212</f>
        <v>20385</v>
      </c>
      <c r="D206" s="480">
        <f>'[60]Sch C'!F212</f>
        <v>0</v>
      </c>
      <c r="E206" s="480">
        <f>+'[60]Sch C'!H212</f>
        <v>0</v>
      </c>
      <c r="F206" s="166">
        <f t="shared" si="64"/>
        <v>20385</v>
      </c>
      <c r="G206" s="626">
        <v>-2146</v>
      </c>
      <c r="H206" s="166"/>
      <c r="I206" s="166">
        <f t="shared" si="65"/>
        <v>18239</v>
      </c>
      <c r="J206" s="167">
        <f t="shared" si="66"/>
        <v>4.7464953784634835E-3</v>
      </c>
      <c r="K206" s="458"/>
      <c r="L206" s="163"/>
      <c r="M206" s="163"/>
      <c r="O206" s="329">
        <f t="shared" si="67"/>
        <v>1.1344778254649499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'[60]Sch C'!D213</f>
        <v>2025</v>
      </c>
      <c r="D207" s="480">
        <f>'[60]Sch C'!F213</f>
        <v>0</v>
      </c>
      <c r="E207" s="480">
        <f>+'[60]Sch C'!H213</f>
        <v>0</v>
      </c>
      <c r="F207" s="166">
        <f t="shared" si="64"/>
        <v>2025</v>
      </c>
      <c r="G207" s="626"/>
      <c r="H207" s="166"/>
      <c r="I207" s="166">
        <f t="shared" si="65"/>
        <v>2025</v>
      </c>
      <c r="J207" s="167">
        <f t="shared" si="66"/>
        <v>5.2698355948180026E-4</v>
      </c>
      <c r="K207" s="458"/>
      <c r="L207" s="163"/>
      <c r="M207" s="163"/>
      <c r="O207" s="329">
        <f t="shared" si="67"/>
        <v>0.12595633513715246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'[60]Sch C'!D214</f>
        <v>0</v>
      </c>
      <c r="D208" s="480">
        <f>'[60]Sch C'!F214</f>
        <v>0</v>
      </c>
      <c r="E208" s="480">
        <f>+'[60]Sch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'[60]Sch C'!D215</f>
        <v>0</v>
      </c>
      <c r="D209" s="480">
        <f>'[60]Sch C'!F215</f>
        <v>0</v>
      </c>
      <c r="E209" s="480">
        <f>+'[60]Sch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'[60]Sch C'!D216</f>
        <v>2031</v>
      </c>
      <c r="D210" s="480">
        <f>'[60]Sch C'!F216</f>
        <v>0</v>
      </c>
      <c r="E210" s="480">
        <f>+'[60]Sch C'!H216</f>
        <v>0</v>
      </c>
      <c r="F210" s="166">
        <f t="shared" si="64"/>
        <v>2031</v>
      </c>
      <c r="G210" s="626"/>
      <c r="H210" s="166"/>
      <c r="I210" s="166">
        <f t="shared" si="65"/>
        <v>2031</v>
      </c>
      <c r="J210" s="167">
        <f t="shared" si="66"/>
        <v>5.2854499225063521E-4</v>
      </c>
      <c r="K210" s="458"/>
      <c r="L210" s="163"/>
      <c r="M210" s="163"/>
      <c r="O210" s="329">
        <f t="shared" si="67"/>
        <v>0.1263295390931144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116907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116907</v>
      </c>
      <c r="G211" s="166">
        <f t="shared" si="69"/>
        <v>-2146</v>
      </c>
      <c r="H211" s="166">
        <f t="shared" si="69"/>
        <v>0</v>
      </c>
      <c r="I211" s="166">
        <f t="shared" si="69"/>
        <v>114761</v>
      </c>
      <c r="J211" s="167">
        <f t="shared" si="66"/>
        <v>2.9865264330711544E-2</v>
      </c>
      <c r="K211" s="458"/>
      <c r="L211" s="163"/>
      <c r="M211" s="163"/>
      <c r="O211" s="329">
        <f>I211/I$233</f>
        <v>7.1382098650245691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3883039</v>
      </c>
      <c r="D213" s="480">
        <f t="shared" si="70"/>
        <v>-48743</v>
      </c>
      <c r="E213" s="480">
        <f t="shared" si="70"/>
        <v>8779</v>
      </c>
      <c r="F213" s="166">
        <f t="shared" ref="F213:I213" si="71">SUM(F30:F211)/2</f>
        <v>3843075</v>
      </c>
      <c r="G213" s="166">
        <f t="shared" si="71"/>
        <v>-450.38000000000102</v>
      </c>
      <c r="H213" s="166">
        <f t="shared" si="71"/>
        <v>0</v>
      </c>
      <c r="I213" s="166">
        <f t="shared" si="71"/>
        <v>3842624.62</v>
      </c>
      <c r="J213" s="167">
        <f>IF($I$213=0,0,I213/$I$213)</f>
        <v>1</v>
      </c>
      <c r="K213" s="458"/>
      <c r="L213" s="176">
        <f>SUM(L30:L205)</f>
        <v>73368.104728481718</v>
      </c>
      <c r="M213" s="176">
        <f>SUM(M30:M205)</f>
        <v>79603.104728481718</v>
      </c>
      <c r="O213" s="329">
        <f>I213/I$233</f>
        <v>239.01378491012005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'[60]Sch C'!D221</f>
        <v>3883039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-104477</v>
      </c>
      <c r="D220" s="480">
        <f t="shared" si="72"/>
        <v>39938</v>
      </c>
      <c r="E220" s="480">
        <f t="shared" si="72"/>
        <v>-8779</v>
      </c>
      <c r="F220" s="166">
        <f t="shared" ref="F220:I220" si="73">F26-F213</f>
        <v>-73318</v>
      </c>
      <c r="G220" s="166">
        <f t="shared" si="73"/>
        <v>450.38000000000102</v>
      </c>
      <c r="H220" s="166">
        <f t="shared" si="73"/>
        <v>0</v>
      </c>
      <c r="I220" s="166">
        <f t="shared" si="73"/>
        <v>-72867.620000000112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'[60]Sch D'!C9</f>
        <v>8116</v>
      </c>
      <c r="D224" s="480"/>
      <c r="E224" s="480"/>
      <c r="F224" s="224">
        <f>C224+D224+E224</f>
        <v>8116</v>
      </c>
      <c r="G224" s="627"/>
      <c r="H224" s="223"/>
      <c r="I224" s="224">
        <f>F224+G224+H224</f>
        <v>8116</v>
      </c>
      <c r="J224" s="167">
        <f t="shared" ref="J224:J233" si="74">IF($I$233=0,0,I224/$I$233)</f>
        <v>0.50482055109784163</v>
      </c>
      <c r="K224" s="458"/>
      <c r="L224" s="163"/>
      <c r="M224" s="163"/>
    </row>
    <row r="225" spans="1:13">
      <c r="A225" s="158"/>
      <c r="B225" s="165" t="s">
        <v>201</v>
      </c>
      <c r="C225" s="504">
        <f>'[60]Sch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'[60]Sch D'!E9</f>
        <v>1734</v>
      </c>
      <c r="D226" s="480"/>
      <c r="E226" s="480"/>
      <c r="F226" s="224">
        <f t="shared" si="75"/>
        <v>1734</v>
      </c>
      <c r="G226" s="627"/>
      <c r="H226" s="223"/>
      <c r="I226" s="224">
        <f t="shared" si="76"/>
        <v>1734</v>
      </c>
      <c r="J226" s="167">
        <f t="shared" si="74"/>
        <v>0.10785594327299869</v>
      </c>
      <c r="K226" s="458"/>
      <c r="L226" s="163"/>
      <c r="M226" s="163"/>
    </row>
    <row r="227" spans="1:13">
      <c r="A227" s="158"/>
      <c r="B227" s="194" t="s">
        <v>315</v>
      </c>
      <c r="C227" s="504">
        <f>'[60]Sch D'!F9</f>
        <v>152</v>
      </c>
      <c r="D227" s="480"/>
      <c r="E227" s="480"/>
      <c r="F227" s="224">
        <f t="shared" si="75"/>
        <v>152</v>
      </c>
      <c r="G227" s="627"/>
      <c r="H227" s="223"/>
      <c r="I227" s="224">
        <f t="shared" si="76"/>
        <v>152</v>
      </c>
      <c r="J227" s="167">
        <f t="shared" si="74"/>
        <v>9.4545002177023069E-3</v>
      </c>
      <c r="K227" s="458"/>
      <c r="L227" s="163"/>
      <c r="M227" s="163"/>
    </row>
    <row r="228" spans="1:13">
      <c r="A228" s="158"/>
      <c r="B228" s="165" t="s">
        <v>65</v>
      </c>
      <c r="C228" s="504">
        <f>'[60]Sch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'[60]Sch D'!H9</f>
        <v>4768</v>
      </c>
      <c r="D229" s="480"/>
      <c r="E229" s="480"/>
      <c r="F229" s="224">
        <f t="shared" si="75"/>
        <v>4768</v>
      </c>
      <c r="G229" s="627"/>
      <c r="H229" s="223"/>
      <c r="I229" s="224">
        <f t="shared" si="76"/>
        <v>4768</v>
      </c>
      <c r="J229" s="167">
        <f t="shared" si="74"/>
        <v>0.29657274367108294</v>
      </c>
      <c r="K229" s="458"/>
      <c r="L229" s="163"/>
      <c r="M229" s="163"/>
    </row>
    <row r="230" spans="1:13">
      <c r="A230" s="158"/>
      <c r="B230" s="165" t="s">
        <v>219</v>
      </c>
      <c r="C230" s="504">
        <f>'[60]Sch D'!I9</f>
        <v>1253</v>
      </c>
      <c r="D230" s="480"/>
      <c r="E230" s="480"/>
      <c r="F230" s="224">
        <f t="shared" si="75"/>
        <v>1253</v>
      </c>
      <c r="G230" s="627"/>
      <c r="H230" s="223"/>
      <c r="I230" s="224">
        <f t="shared" si="76"/>
        <v>1253</v>
      </c>
      <c r="J230" s="167">
        <f t="shared" si="74"/>
        <v>7.7937426136717045E-2</v>
      </c>
      <c r="K230" s="458"/>
      <c r="L230" s="163"/>
      <c r="M230" s="163"/>
    </row>
    <row r="231" spans="1:13">
      <c r="A231" s="158"/>
      <c r="B231" s="165" t="s">
        <v>218</v>
      </c>
      <c r="C231" s="504">
        <f>'[60]Sch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'[60]Sch D'!K9</f>
        <v>54</v>
      </c>
      <c r="D232" s="480"/>
      <c r="E232" s="480"/>
      <c r="F232" s="224">
        <f t="shared" si="75"/>
        <v>54</v>
      </c>
      <c r="G232" s="627"/>
      <c r="H232" s="223"/>
      <c r="I232" s="224">
        <f t="shared" si="76"/>
        <v>54</v>
      </c>
      <c r="J232" s="167">
        <f t="shared" si="74"/>
        <v>3.3588356036573989E-3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16077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16077</v>
      </c>
      <c r="G233" s="226">
        <f t="shared" si="78"/>
        <v>0</v>
      </c>
      <c r="H233" s="226">
        <f t="shared" si="78"/>
        <v>0</v>
      </c>
      <c r="I233" s="226">
        <f t="shared" si="78"/>
        <v>16077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'[60]Sch D'!N22</f>
        <v>98</v>
      </c>
      <c r="D236" s="480"/>
      <c r="E236" s="480"/>
      <c r="F236" s="224">
        <f>C236+E236</f>
        <v>98</v>
      </c>
      <c r="G236" s="627"/>
      <c r="H236" s="224"/>
      <c r="I236" s="224">
        <f>F236+G236+H236</f>
        <v>98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'[60]Sch D'!N24</f>
        <v>98</v>
      </c>
      <c r="D237" s="480"/>
      <c r="E237" s="480"/>
      <c r="F237" s="224">
        <f>C237+E237</f>
        <v>98</v>
      </c>
      <c r="G237" s="627"/>
      <c r="H237" s="224"/>
      <c r="I237" s="224">
        <f>F237+G237+H237</f>
        <v>98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'[60]Sch D'!N28</f>
        <v>35770</v>
      </c>
      <c r="D240" s="427"/>
      <c r="E240" s="427"/>
      <c r="F240" s="223">
        <f>F236*F238</f>
        <v>35770</v>
      </c>
      <c r="G240"/>
      <c r="H240" s="228"/>
      <c r="I240" s="223">
        <f>I236*I238</f>
        <v>35770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'[60]Sch D'!N30</f>
        <v>0.449454850433324</v>
      </c>
      <c r="D241" s="228"/>
      <c r="E241" s="228"/>
      <c r="F241" s="232">
        <f>F233/F240</f>
        <v>0.449454850433324</v>
      </c>
      <c r="G241"/>
      <c r="H241" s="233"/>
      <c r="I241" s="232">
        <f>I233/I240</f>
        <v>0.449454850433324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'[60]Sch D'!N32</f>
        <v>0.22689404528934862</v>
      </c>
      <c r="D242" s="228"/>
      <c r="E242" s="228"/>
      <c r="F242" s="232">
        <f>(F224+F225)/F240</f>
        <v>0.22689404528934862</v>
      </c>
      <c r="G242"/>
      <c r="H242" s="233"/>
      <c r="I242" s="232">
        <f>(I224+I225)/I240</f>
        <v>0.22689404528934862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'[60]Sch D'!N34</f>
        <v>0.50482055109784163</v>
      </c>
      <c r="D243" s="228"/>
      <c r="E243" s="228"/>
      <c r="F243" s="232">
        <f>(F242/F241)</f>
        <v>0.50482055109784163</v>
      </c>
      <c r="G243"/>
      <c r="H243" s="233"/>
      <c r="I243" s="232">
        <f>(I242/I241)</f>
        <v>0.50482055109784163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'[60]Sch B'!C90</f>
        <v>149.44057971014493</v>
      </c>
      <c r="K246" s="460"/>
    </row>
    <row r="247" spans="1:13">
      <c r="H247" s="140" t="s">
        <v>322</v>
      </c>
      <c r="I247" s="480">
        <f>'[60]Sch B'!E90</f>
        <v>149.44004400440045</v>
      </c>
      <c r="K247" s="460"/>
    </row>
    <row r="248" spans="1:13">
      <c r="H248" s="140" t="s">
        <v>323</v>
      </c>
      <c r="I248" s="480">
        <f>'[60]Sch B'!G90</f>
        <v>149.44084136722174</v>
      </c>
      <c r="K248" s="460"/>
    </row>
    <row r="249" spans="1:13">
      <c r="H249" s="140" t="s">
        <v>324</v>
      </c>
      <c r="I249" s="480">
        <f>'[60]Sch B'!I90</f>
        <v>149.44008056394765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E28CAB"/>
  </sheetPr>
  <dimension ref="A1:Q277"/>
  <sheetViews>
    <sheetView showGridLines="0" tabSelected="1" zoomScaleNormal="100" workbookViewId="0">
      <pane xSplit="2" topLeftCell="C1" activePane="topRight" state="frozen"/>
      <selection activeCell="R1" sqref="R1:AF1048576"/>
      <selection pane="topRight" activeCell="R37" sqref="R37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388</v>
      </c>
      <c r="D2" s="234"/>
      <c r="E2" s="234"/>
      <c r="F2" s="142"/>
      <c r="G2" s="142"/>
      <c r="H2" s="411"/>
    </row>
    <row r="3" spans="1:16">
      <c r="A3" s="143"/>
      <c r="B3" s="138" t="s">
        <v>71</v>
      </c>
      <c r="C3" s="557">
        <f>'[61]Sch A Pg 1'!B39</f>
        <v>42917</v>
      </c>
      <c r="D3" s="620"/>
      <c r="E3" s="142"/>
      <c r="F3" s="144"/>
      <c r="G3" s="144"/>
      <c r="H3" s="444"/>
    </row>
    <row r="4" spans="1:16">
      <c r="A4" s="143"/>
      <c r="B4" s="145" t="s">
        <v>72</v>
      </c>
      <c r="C4" s="557">
        <f>'[61]Sch A Pg 1'!G39</f>
        <v>43281</v>
      </c>
      <c r="D4" s="620"/>
      <c r="E4" s="142"/>
      <c r="F4" s="146"/>
      <c r="G4" s="146"/>
      <c r="H4" s="444"/>
      <c r="I4" s="147"/>
    </row>
    <row r="5" spans="1:16">
      <c r="A5" s="143"/>
      <c r="B5" s="145"/>
      <c r="C5" s="148"/>
      <c r="D5" s="148"/>
      <c r="E5" s="142"/>
      <c r="H5" s="444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'[62]Sch B'!E10</f>
        <v>6854282.3900000006</v>
      </c>
      <c r="D12" s="480">
        <f>'[62]Sch B'!G10</f>
        <v>-754234</v>
      </c>
      <c r="E12" s="480"/>
      <c r="F12" s="166">
        <f>C12+D12+E12</f>
        <v>6100048.3900000006</v>
      </c>
      <c r="G12" s="626"/>
      <c r="H12" s="166"/>
      <c r="I12" s="166">
        <f>F12+G12+H12</f>
        <v>6100048.3900000006</v>
      </c>
      <c r="J12" s="167">
        <f>IF($I$26=0,0,I12/$I$26)</f>
        <v>0.36160846141816916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'[62]Sch B'!E12</f>
        <v>0</v>
      </c>
      <c r="D13" s="480">
        <f>'[62]Sch B'!G12</f>
        <v>2881267.19</v>
      </c>
      <c r="E13" s="480"/>
      <c r="F13" s="166">
        <f t="shared" ref="F13:F25" si="0">C13+D13+E13</f>
        <v>2881267.19</v>
      </c>
      <c r="G13" s="626"/>
      <c r="H13" s="166"/>
      <c r="I13" s="166">
        <f t="shared" ref="I13:I25" si="1">F13+G13+H13</f>
        <v>2881267.19</v>
      </c>
      <c r="J13" s="167">
        <f>IF($I$26=0,0,I13/$I$26)</f>
        <v>0.17080038204591216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'[62]Sch B'!E13</f>
        <v>-58266.340000000084</v>
      </c>
      <c r="D14" s="480">
        <f>'[62]Sch B'!G13</f>
        <v>0</v>
      </c>
      <c r="E14" s="480"/>
      <c r="F14" s="166">
        <f t="shared" si="0"/>
        <v>-58266.340000000084</v>
      </c>
      <c r="G14" s="626"/>
      <c r="H14" s="166"/>
      <c r="I14" s="166">
        <f t="shared" si="1"/>
        <v>-58266.340000000084</v>
      </c>
      <c r="J14" s="167">
        <f>IF($I$26=0,0,I14/$I$26)</f>
        <v>-3.4540056427106399E-3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'[62]Sch B'!E14</f>
        <v>0</v>
      </c>
      <c r="D15" s="480">
        <f>'[62]Sch B'!G14</f>
        <v>47730.46</v>
      </c>
      <c r="E15" s="480"/>
      <c r="F15" s="166">
        <f t="shared" si="0"/>
        <v>47730.46</v>
      </c>
      <c r="G15" s="626"/>
      <c r="H15" s="166"/>
      <c r="I15" s="166">
        <f t="shared" si="1"/>
        <v>47730.46</v>
      </c>
      <c r="J15" s="167">
        <f>IF($I$26=0,0,I15/$I$26)</f>
        <v>2.8294428338758578E-3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'[62]Sch B'!E15</f>
        <v>6796016.0500000007</v>
      </c>
      <c r="D16" s="480">
        <f>'[62]Sch B'!G15</f>
        <v>2174763.65</v>
      </c>
      <c r="E16" s="480"/>
      <c r="F16" s="166">
        <f t="shared" si="0"/>
        <v>8970779.7000000011</v>
      </c>
      <c r="G16" s="626"/>
      <c r="H16" s="166"/>
      <c r="I16" s="166">
        <f>SUM(I12:I15)</f>
        <v>8970779.7000000011</v>
      </c>
      <c r="J16" s="167">
        <f t="shared" ref="J16:J26" si="2">IF($I$26=0,0,I16/$I$26)</f>
        <v>0.53178428065524652</v>
      </c>
      <c r="K16" s="457"/>
      <c r="L16" s="333" t="s">
        <v>325</v>
      </c>
      <c r="M16" s="334">
        <f>I26</f>
        <v>16869208.109999999</v>
      </c>
      <c r="O16" s="324">
        <f>IFERROR(I16/I224,0)</f>
        <v>330.23300938707899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'[62]Sch B'!E20</f>
        <v>0</v>
      </c>
      <c r="D17" s="480">
        <f>'[62]Sch B'!G20</f>
        <v>467746</v>
      </c>
      <c r="E17" s="480"/>
      <c r="F17" s="166">
        <f t="shared" si="0"/>
        <v>467746</v>
      </c>
      <c r="G17" s="626"/>
      <c r="H17" s="166"/>
      <c r="I17" s="166">
        <f t="shared" si="1"/>
        <v>467746</v>
      </c>
      <c r="J17" s="167">
        <f t="shared" si="2"/>
        <v>2.7727798302679189E-2</v>
      </c>
      <c r="K17" s="458"/>
      <c r="L17" s="335" t="s">
        <v>326</v>
      </c>
      <c r="M17" s="336">
        <f>I213</f>
        <v>14256312.25</v>
      </c>
      <c r="O17" s="324">
        <f t="shared" ref="O17:O24" si="3">IFERROR(I17/I225,0)</f>
        <v>576.04187192118229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'[62]Sch B'!E26</f>
        <v>3500768.1799999997</v>
      </c>
      <c r="D18" s="480">
        <f>'[62]Sch B'!G26</f>
        <v>286488</v>
      </c>
      <c r="E18" s="480"/>
      <c r="F18" s="166">
        <f t="shared" si="0"/>
        <v>3787256.1799999997</v>
      </c>
      <c r="G18" s="626"/>
      <c r="H18" s="166"/>
      <c r="I18" s="166">
        <f t="shared" si="1"/>
        <v>3787256.1799999997</v>
      </c>
      <c r="J18" s="167">
        <f t="shared" si="2"/>
        <v>0.22450705186065784</v>
      </c>
      <c r="K18" s="458"/>
      <c r="L18" s="335" t="s">
        <v>327</v>
      </c>
      <c r="M18" s="336">
        <f>I233</f>
        <v>46557</v>
      </c>
      <c r="O18" s="324">
        <f t="shared" si="3"/>
        <v>569.59786133253112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'[62]Sch B'!E32</f>
        <v>1516352.47</v>
      </c>
      <c r="D19" s="480">
        <f>'[62]Sch B'!G32</f>
        <v>0</v>
      </c>
      <c r="E19" s="480"/>
      <c r="F19" s="166">
        <f t="shared" si="0"/>
        <v>1516352.47</v>
      </c>
      <c r="G19" s="626"/>
      <c r="H19" s="166"/>
      <c r="I19" s="166">
        <f t="shared" si="1"/>
        <v>1516352.47</v>
      </c>
      <c r="J19" s="170">
        <f t="shared" si="2"/>
        <v>8.9888776053519207E-2</v>
      </c>
      <c r="K19" s="464"/>
      <c r="L19" s="335" t="s">
        <v>328</v>
      </c>
      <c r="M19" s="336">
        <f>I236</f>
        <v>168</v>
      </c>
      <c r="O19" s="324">
        <f t="shared" si="3"/>
        <v>460.75735946520814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'[62]Sch B'!E37</f>
        <v>0</v>
      </c>
      <c r="D20" s="480">
        <f>'[62]Sch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61320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'[62]Sch B'!E42</f>
        <v>1068768.08</v>
      </c>
      <c r="D21" s="480">
        <f>'[62]Sch B'!G42</f>
        <v>0</v>
      </c>
      <c r="E21" s="480"/>
      <c r="F21" s="166">
        <f t="shared" si="0"/>
        <v>1068768.08</v>
      </c>
      <c r="G21" s="626"/>
      <c r="H21" s="166"/>
      <c r="I21" s="166">
        <f t="shared" si="1"/>
        <v>1068768.08</v>
      </c>
      <c r="J21" s="167">
        <f t="shared" si="2"/>
        <v>6.3356150035664013E-2</v>
      </c>
      <c r="K21" s="458"/>
      <c r="L21" s="337"/>
      <c r="M21" s="336"/>
      <c r="O21" s="324">
        <f t="shared" si="3"/>
        <v>299.54262331838567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'[62]Sch B'!E47</f>
        <v>0</v>
      </c>
      <c r="D22" s="480">
        <f>'[62]Sch B'!G47</f>
        <v>994418.75</v>
      </c>
      <c r="E22" s="480"/>
      <c r="F22" s="166">
        <f t="shared" si="0"/>
        <v>994418.75</v>
      </c>
      <c r="G22" s="626"/>
      <c r="H22" s="166"/>
      <c r="I22" s="166">
        <f t="shared" si="1"/>
        <v>994418.75</v>
      </c>
      <c r="J22" s="167">
        <f t="shared" si="2"/>
        <v>5.8948751092264523E-2</v>
      </c>
      <c r="K22" s="458"/>
      <c r="L22" s="335" t="s">
        <v>148</v>
      </c>
      <c r="M22" s="336">
        <f>L213</f>
        <v>292697.94000000006</v>
      </c>
      <c r="O22" s="324">
        <f t="shared" si="3"/>
        <v>203.94149917965547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'[62]Sch B'!E52</f>
        <v>1026373.7000000002</v>
      </c>
      <c r="D23" s="480">
        <f>'[62]Sch B'!G52</f>
        <v>-994418.75</v>
      </c>
      <c r="E23" s="480"/>
      <c r="F23" s="166">
        <f t="shared" si="0"/>
        <v>31954.950000000186</v>
      </c>
      <c r="G23" s="626"/>
      <c r="H23" s="166"/>
      <c r="I23" s="166">
        <f t="shared" si="1"/>
        <v>31954.950000000186</v>
      </c>
      <c r="J23" s="167">
        <f t="shared" si="2"/>
        <v>1.8942768262522898E-3</v>
      </c>
      <c r="K23" s="458"/>
      <c r="L23" s="338" t="s">
        <v>233</v>
      </c>
      <c r="M23" s="339">
        <f>M213</f>
        <v>314937.75999999995</v>
      </c>
      <c r="O23" s="324">
        <f t="shared" si="3"/>
        <v>214.46275167785359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'[62]Sch B'!E57</f>
        <v>0</v>
      </c>
      <c r="D24" s="480">
        <f>'[62]Sch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'[62]Sch B'!E72</f>
        <v>-30392.559999999998</v>
      </c>
      <c r="D25" s="480">
        <f>'[62]Sch B'!G72</f>
        <v>72668.540000000008</v>
      </c>
      <c r="E25" s="480"/>
      <c r="F25" s="166">
        <f t="shared" si="0"/>
        <v>42275.98000000001</v>
      </c>
      <c r="G25" s="626">
        <v>-10344</v>
      </c>
      <c r="H25" s="166"/>
      <c r="I25" s="166">
        <f t="shared" si="1"/>
        <v>31931.98000000001</v>
      </c>
      <c r="J25" s="167">
        <f t="shared" si="2"/>
        <v>1.8929151737164746E-3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13877885.92</v>
      </c>
      <c r="D26" s="480">
        <f>SUM(D16:D25)</f>
        <v>3001666.19</v>
      </c>
      <c r="E26" s="480"/>
      <c r="F26" s="166">
        <f t="shared" ref="F26" si="4">SUM(F16:F25)</f>
        <v>16879552.109999999</v>
      </c>
      <c r="G26" s="166">
        <f>SUM(G12:G25)</f>
        <v>-10344</v>
      </c>
      <c r="H26" s="166">
        <f>SUM(H12:H25)</f>
        <v>0</v>
      </c>
      <c r="I26" s="166">
        <f>SUM(I16:I25)</f>
        <v>16869208.109999999</v>
      </c>
      <c r="J26" s="167">
        <f t="shared" si="2"/>
        <v>1</v>
      </c>
      <c r="K26" s="458"/>
      <c r="L26" s="163"/>
      <c r="M26" s="163"/>
      <c r="O26" s="324">
        <f>IFERROR(I26/I233,0)</f>
        <v>362.33451704362392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'[62]Sch C'!D10</f>
        <v>0</v>
      </c>
      <c r="D30" s="480">
        <f>'[62]Sch C'!F10</f>
        <v>100980</v>
      </c>
      <c r="E30" s="480">
        <f>+'[62]Sch C'!H10</f>
        <v>0</v>
      </c>
      <c r="F30" s="166">
        <f t="shared" ref="F30:F65" si="5">C30+D30+E30</f>
        <v>100980</v>
      </c>
      <c r="G30" s="626"/>
      <c r="H30" s="166"/>
      <c r="I30" s="166">
        <f t="shared" ref="I30:I65" si="6">F30+G30+H30</f>
        <v>100980</v>
      </c>
      <c r="J30" s="167">
        <f>IF($I$213=0,0,I30/$I$213)</f>
        <v>7.0831781900680523E-3</v>
      </c>
      <c r="K30" s="458"/>
      <c r="L30" s="176">
        <v>1946</v>
      </c>
      <c r="M30" s="176">
        <v>2080</v>
      </c>
      <c r="O30" s="324">
        <f>I30/I$233</f>
        <v>2.1689541851923448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'[62]Sch C'!D11</f>
        <v>0</v>
      </c>
      <c r="D31" s="480">
        <f>'[62]Sch C'!F11</f>
        <v>0</v>
      </c>
      <c r="E31" s="480">
        <f>+'[62]Sch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'[62]Sch C'!D12</f>
        <v>194550.36</v>
      </c>
      <c r="D32" s="480">
        <f>'[62]Sch C'!F12</f>
        <v>-113324</v>
      </c>
      <c r="E32" s="480">
        <f>+'[62]Sch C'!H12</f>
        <v>0</v>
      </c>
      <c r="F32" s="166">
        <f t="shared" si="5"/>
        <v>81226.359999999986</v>
      </c>
      <c r="G32" s="626"/>
      <c r="H32" s="166"/>
      <c r="I32" s="166">
        <f t="shared" si="6"/>
        <v>81226.359999999986</v>
      </c>
      <c r="J32" s="167">
        <f t="shared" si="7"/>
        <v>5.6975716142861552E-3</v>
      </c>
      <c r="K32" s="458"/>
      <c r="L32" s="176">
        <v>9085.09</v>
      </c>
      <c r="M32" s="176">
        <v>10120.93</v>
      </c>
      <c r="O32" s="324">
        <f t="shared" si="8"/>
        <v>1.7446648194686081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'[62]Sch C'!D13</f>
        <v>44812.93</v>
      </c>
      <c r="D33" s="480">
        <f>'[62]Sch C'!F13</f>
        <v>-1210</v>
      </c>
      <c r="E33" s="480">
        <f>+'[62]Sch C'!H13</f>
        <v>0</v>
      </c>
      <c r="F33" s="166">
        <f t="shared" si="5"/>
        <v>43602.93</v>
      </c>
      <c r="G33" s="626"/>
      <c r="H33" s="166"/>
      <c r="I33" s="166">
        <f t="shared" si="6"/>
        <v>43602.93</v>
      </c>
      <c r="J33" s="167">
        <f t="shared" si="7"/>
        <v>3.0584999286894826E-3</v>
      </c>
      <c r="K33" s="458"/>
      <c r="L33" s="163"/>
      <c r="M33" s="163"/>
      <c r="O33" s="324">
        <f t="shared" si="8"/>
        <v>0.93654939106901214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'[62]Sch C'!D14</f>
        <v>0</v>
      </c>
      <c r="D34" s="480">
        <f>'[62]Sch C'!F14</f>
        <v>0</v>
      </c>
      <c r="E34" s="480">
        <f>+'[62]Sch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'[62]Sch C'!D15</f>
        <v>0</v>
      </c>
      <c r="D35" s="480">
        <f>'[62]Sch C'!F15</f>
        <v>0</v>
      </c>
      <c r="E35" s="480">
        <f>+'[62]Sch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'[62]Sch C'!D16</f>
        <v>699972.99</v>
      </c>
      <c r="D36" s="480">
        <f>'[62]Sch C'!F16-120399</f>
        <v>0</v>
      </c>
      <c r="E36" s="480">
        <f>+'[62]Sch C'!H16</f>
        <v>45223</v>
      </c>
      <c r="F36" s="166">
        <f t="shared" si="5"/>
        <v>745195.99</v>
      </c>
      <c r="G36" s="626"/>
      <c r="H36" s="480">
        <v>120399</v>
      </c>
      <c r="I36" s="166">
        <f t="shared" si="6"/>
        <v>865594.99</v>
      </c>
      <c r="J36" s="167">
        <f t="shared" si="7"/>
        <v>6.0716612741138577E-2</v>
      </c>
      <c r="K36" s="458"/>
      <c r="L36" s="163"/>
      <c r="M36" s="163"/>
      <c r="O36" s="324">
        <f t="shared" si="8"/>
        <v>18.592155637175935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'[62]Sch C'!D17</f>
        <v>5917.43</v>
      </c>
      <c r="D37" s="480">
        <f>'[62]Sch C'!F17</f>
        <v>-5917</v>
      </c>
      <c r="E37" s="480">
        <f>+'[62]Sch C'!H17</f>
        <v>0</v>
      </c>
      <c r="F37" s="166">
        <f t="shared" si="5"/>
        <v>0.43000000000029104</v>
      </c>
      <c r="G37" s="626"/>
      <c r="H37" s="166"/>
      <c r="I37" s="166">
        <f t="shared" si="6"/>
        <v>0.43000000000029104</v>
      </c>
      <c r="J37" s="167">
        <f t="shared" si="7"/>
        <v>3.0162077854340701E-8</v>
      </c>
      <c r="K37" s="458"/>
      <c r="L37" s="163"/>
      <c r="M37" s="163"/>
      <c r="O37" s="324">
        <f t="shared" si="8"/>
        <v>9.2359902914769208E-6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'[62]Sch C'!D18</f>
        <v>12772.06</v>
      </c>
      <c r="D38" s="480">
        <f>'[62]Sch C'!F18</f>
        <v>0</v>
      </c>
      <c r="E38" s="480">
        <f>+'[62]Sch C'!H18</f>
        <v>0</v>
      </c>
      <c r="F38" s="166">
        <f t="shared" si="5"/>
        <v>12772.06</v>
      </c>
      <c r="G38" s="626"/>
      <c r="H38" s="166"/>
      <c r="I38" s="166">
        <f t="shared" si="6"/>
        <v>12772.06</v>
      </c>
      <c r="J38" s="167">
        <f t="shared" si="7"/>
        <v>8.9588806530244169E-4</v>
      </c>
      <c r="K38" s="458"/>
      <c r="L38" s="163"/>
      <c r="M38" s="163"/>
      <c r="O38" s="324">
        <f t="shared" si="8"/>
        <v>0.27433167944669973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'[62]Sch C'!D19</f>
        <v>25026.54</v>
      </c>
      <c r="D39" s="480">
        <f>'[62]Sch C'!F19</f>
        <v>0</v>
      </c>
      <c r="E39" s="480">
        <f>+'[62]Sch C'!H19</f>
        <v>0</v>
      </c>
      <c r="F39" s="166">
        <f t="shared" si="5"/>
        <v>25026.54</v>
      </c>
      <c r="G39" s="626"/>
      <c r="H39" s="166"/>
      <c r="I39" s="166">
        <f t="shared" si="6"/>
        <v>25026.54</v>
      </c>
      <c r="J39" s="167">
        <f t="shared" si="7"/>
        <v>1.7554708090796764E-3</v>
      </c>
      <c r="K39" s="458"/>
      <c r="L39" s="163"/>
      <c r="M39" s="163"/>
      <c r="O39" s="324">
        <f t="shared" si="8"/>
        <v>0.53754623364907539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'[62]Sch C'!D20</f>
        <v>23224.61</v>
      </c>
      <c r="D40" s="480">
        <f>'[62]Sch C'!F20</f>
        <v>0</v>
      </c>
      <c r="E40" s="480">
        <f>+'[62]Sch C'!H20</f>
        <v>0</v>
      </c>
      <c r="F40" s="166">
        <f t="shared" si="5"/>
        <v>23224.61</v>
      </c>
      <c r="G40" s="626"/>
      <c r="H40" s="166"/>
      <c r="I40" s="166">
        <f t="shared" si="6"/>
        <v>23224.61</v>
      </c>
      <c r="J40" s="167">
        <f t="shared" si="7"/>
        <v>1.6290755696656406E-3</v>
      </c>
      <c r="K40" s="458"/>
      <c r="L40" s="163"/>
      <c r="M40" s="163"/>
      <c r="O40" s="324">
        <f t="shared" si="8"/>
        <v>0.49884249414695964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'[62]Sch C'!D21</f>
        <v>163410.94</v>
      </c>
      <c r="D41" s="480">
        <f>'[62]Sch C'!F21</f>
        <v>0</v>
      </c>
      <c r="E41" s="480">
        <f>+'[62]Sch C'!H21</f>
        <v>0</v>
      </c>
      <c r="F41" s="166">
        <f t="shared" si="5"/>
        <v>163410.94</v>
      </c>
      <c r="G41" s="626"/>
      <c r="H41" s="166"/>
      <c r="I41" s="166">
        <f t="shared" si="6"/>
        <v>163410.94</v>
      </c>
      <c r="J41" s="167">
        <f t="shared" si="7"/>
        <v>1.1462356964017817E-2</v>
      </c>
      <c r="K41" s="458"/>
      <c r="L41" s="163"/>
      <c r="M41" s="163"/>
      <c r="O41" s="324">
        <f t="shared" si="8"/>
        <v>3.5099112915351074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'[62]Sch C'!D22</f>
        <v>0</v>
      </c>
      <c r="D42" s="480">
        <f>'[62]Sch C'!F22</f>
        <v>0</v>
      </c>
      <c r="E42" s="480">
        <f>+'[62]Sch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'[62]Sch C'!D23</f>
        <v>35693.599999999999</v>
      </c>
      <c r="D43" s="480">
        <f>'[62]Sch C'!F23</f>
        <v>0</v>
      </c>
      <c r="E43" s="480">
        <f>+'[62]Sch C'!H23</f>
        <v>0</v>
      </c>
      <c r="F43" s="166">
        <f t="shared" si="5"/>
        <v>35693.599999999999</v>
      </c>
      <c r="G43" s="626"/>
      <c r="H43" s="166"/>
      <c r="I43" s="166">
        <f t="shared" si="6"/>
        <v>35693.599999999999</v>
      </c>
      <c r="J43" s="167">
        <f t="shared" si="7"/>
        <v>2.5037049816301546E-3</v>
      </c>
      <c r="K43" s="458"/>
      <c r="L43" s="163"/>
      <c r="M43" s="163"/>
      <c r="O43" s="324">
        <f t="shared" si="8"/>
        <v>0.76666451876194774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'[62]Sch C'!D24</f>
        <v>131470.9</v>
      </c>
      <c r="D44" s="480">
        <f>'[62]Sch C'!F24</f>
        <v>0</v>
      </c>
      <c r="E44" s="480">
        <f>+'[62]Sch C'!H24</f>
        <v>-7762</v>
      </c>
      <c r="F44" s="166">
        <f t="shared" si="5"/>
        <v>123708.9</v>
      </c>
      <c r="G44" s="626"/>
      <c r="H44" s="166"/>
      <c r="I44" s="166">
        <f t="shared" si="6"/>
        <v>123708.9</v>
      </c>
      <c r="J44" s="167">
        <f t="shared" si="7"/>
        <v>8.6774824955170287E-3</v>
      </c>
      <c r="K44" s="458"/>
      <c r="L44" s="163"/>
      <c r="M44" s="163"/>
      <c r="O44" s="324">
        <f t="shared" si="8"/>
        <v>2.657149300857014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'[62]Sch C'!D25</f>
        <v>0</v>
      </c>
      <c r="D45" s="480">
        <f>'[62]Sch C'!F25</f>
        <v>0</v>
      </c>
      <c r="E45" s="480">
        <f>+'[62]Sch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'[62]Sch C'!D26</f>
        <v>777009.06</v>
      </c>
      <c r="D46" s="480">
        <f>'[62]Sch C'!F26</f>
        <v>0</v>
      </c>
      <c r="E46" s="480">
        <f>+'[62]Sch C'!H26</f>
        <v>0</v>
      </c>
      <c r="F46" s="166">
        <f t="shared" si="5"/>
        <v>777009.06</v>
      </c>
      <c r="G46" s="626"/>
      <c r="H46" s="166"/>
      <c r="I46" s="166">
        <f t="shared" si="6"/>
        <v>777009.06</v>
      </c>
      <c r="J46" s="167">
        <f t="shared" si="7"/>
        <v>5.4502808747051684E-2</v>
      </c>
      <c r="K46" s="458"/>
      <c r="L46" s="163"/>
      <c r="M46" s="163"/>
      <c r="O46" s="324">
        <f t="shared" si="8"/>
        <v>16.689414266383146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'[62]Sch C'!D27</f>
        <v>10344.1</v>
      </c>
      <c r="D47" s="480">
        <f>'[62]Sch C'!F27</f>
        <v>0</v>
      </c>
      <c r="E47" s="480">
        <f>+'[62]Sch C'!H27</f>
        <v>0</v>
      </c>
      <c r="F47" s="166">
        <f t="shared" si="5"/>
        <v>10344.1</v>
      </c>
      <c r="G47" s="626">
        <v>-10344</v>
      </c>
      <c r="H47" s="166"/>
      <c r="I47" s="166">
        <f t="shared" si="6"/>
        <v>0.1000000000003638</v>
      </c>
      <c r="J47" s="167">
        <f t="shared" si="7"/>
        <v>7.0144367103325614E-9</v>
      </c>
      <c r="K47" s="458"/>
      <c r="L47" s="163"/>
      <c r="M47" s="163"/>
      <c r="O47" s="324">
        <f t="shared" si="8"/>
        <v>2.1479047189544814E-6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'[62]Sch C'!D28</f>
        <v>0</v>
      </c>
      <c r="D48" s="480">
        <f>'[62]Sch C'!F28</f>
        <v>0</v>
      </c>
      <c r="E48" s="480">
        <f>+'[62]Sch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'[62]Sch C'!D29</f>
        <v>450745.16</v>
      </c>
      <c r="D49" s="480">
        <f>'[62]Sch C'!F29</f>
        <v>-450745.16</v>
      </c>
      <c r="E49" s="480">
        <f>+'[62]Sch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'[62]Sch C'!D30</f>
        <v>0</v>
      </c>
      <c r="D50" s="480">
        <f>'[62]Sch C'!F30</f>
        <v>0</v>
      </c>
      <c r="E50" s="480">
        <f>+'[62]Sch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'[62]Sch C'!D31</f>
        <v>640.91999999999996</v>
      </c>
      <c r="D51" s="480">
        <f>'[62]Sch C'!F31</f>
        <v>0</v>
      </c>
      <c r="E51" s="480">
        <f>+'[62]Sch C'!H31</f>
        <v>0</v>
      </c>
      <c r="F51" s="166">
        <f t="shared" si="5"/>
        <v>640.91999999999996</v>
      </c>
      <c r="G51" s="626">
        <v>87245</v>
      </c>
      <c r="H51" s="166"/>
      <c r="I51" s="166">
        <f t="shared" si="6"/>
        <v>87885.92</v>
      </c>
      <c r="J51" s="167">
        <f t="shared" si="7"/>
        <v>6.1647022356710792E-3</v>
      </c>
      <c r="K51" s="458"/>
      <c r="L51" s="163"/>
      <c r="M51" s="163"/>
      <c r="O51" s="324">
        <f t="shared" si="8"/>
        <v>1.887705822969693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'[62]Sch C'!D32</f>
        <v>0</v>
      </c>
      <c r="D52" s="480">
        <f>'[62]Sch C'!F32</f>
        <v>31224</v>
      </c>
      <c r="E52" s="480">
        <f>+'[62]Sch C'!H32</f>
        <v>0</v>
      </c>
      <c r="F52" s="166">
        <f t="shared" si="5"/>
        <v>31224</v>
      </c>
      <c r="G52" s="626"/>
      <c r="H52" s="166"/>
      <c r="I52" s="166">
        <f t="shared" si="6"/>
        <v>31224</v>
      </c>
      <c r="J52" s="167">
        <f t="shared" si="7"/>
        <v>2.1901877184262713E-3</v>
      </c>
      <c r="K52" s="458"/>
      <c r="L52" s="163"/>
      <c r="M52" s="163"/>
      <c r="O52" s="324">
        <f t="shared" si="8"/>
        <v>0.67066176944390743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'[62]Sch C'!D33</f>
        <v>0</v>
      </c>
      <c r="D53" s="480">
        <f>'[62]Sch C'!F33</f>
        <v>0</v>
      </c>
      <c r="E53" s="480">
        <f>+'[62]Sch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'[62]Sch C'!D34</f>
        <v>0</v>
      </c>
      <c r="D54" s="480">
        <f>'[62]Sch C'!F34</f>
        <v>0</v>
      </c>
      <c r="E54" s="480">
        <f>+'[62]Sch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'[62]Sch C'!D35</f>
        <v>16084.1</v>
      </c>
      <c r="D55" s="480">
        <f>'[62]Sch C'!F35</f>
        <v>-16084.1</v>
      </c>
      <c r="E55" s="480">
        <f>+'[62]Sch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'[62]Sch C'!D36</f>
        <v>0</v>
      </c>
      <c r="D56" s="480">
        <f>'[62]Sch C'!F36</f>
        <v>113324</v>
      </c>
      <c r="E56" s="480">
        <f>+'[62]Sch C'!H36</f>
        <v>0</v>
      </c>
      <c r="F56" s="166">
        <f t="shared" si="5"/>
        <v>113324</v>
      </c>
      <c r="G56" s="626"/>
      <c r="H56" s="166"/>
      <c r="I56" s="166">
        <f t="shared" si="6"/>
        <v>113324</v>
      </c>
      <c r="J56" s="167">
        <f t="shared" si="7"/>
        <v>7.9490402575883544E-3</v>
      </c>
      <c r="K56" s="458"/>
      <c r="L56" s="176">
        <v>6629.83</v>
      </c>
      <c r="M56" s="176">
        <v>7319.18</v>
      </c>
      <c r="O56" s="324">
        <f t="shared" si="8"/>
        <v>2.4340915436991213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'[62]Sch C'!D37</f>
        <v>0</v>
      </c>
      <c r="D57" s="480">
        <f>'[62]Sch C'!F37</f>
        <v>11106</v>
      </c>
      <c r="E57" s="480">
        <f>+'[62]Sch C'!H37</f>
        <v>0</v>
      </c>
      <c r="F57" s="166">
        <f t="shared" si="5"/>
        <v>11106</v>
      </c>
      <c r="G57" s="626"/>
      <c r="H57" s="166"/>
      <c r="I57" s="166">
        <f t="shared" si="6"/>
        <v>11106</v>
      </c>
      <c r="J57" s="167">
        <f t="shared" si="7"/>
        <v>7.7902334104670021E-4</v>
      </c>
      <c r="K57" s="458"/>
      <c r="L57" s="163"/>
      <c r="M57" s="163"/>
      <c r="O57" s="324">
        <f t="shared" si="8"/>
        <v>0.23854629808621688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'[62]Sch C'!D38</f>
        <v>234.1</v>
      </c>
      <c r="D58" s="480">
        <f>'[62]Sch C'!F38</f>
        <v>0</v>
      </c>
      <c r="E58" s="480">
        <f>+'[62]Sch C'!H38</f>
        <v>0</v>
      </c>
      <c r="F58" s="166">
        <f t="shared" si="5"/>
        <v>234.1</v>
      </c>
      <c r="G58" s="626"/>
      <c r="H58" s="166"/>
      <c r="I58" s="166">
        <f t="shared" si="6"/>
        <v>234.1</v>
      </c>
      <c r="J58" s="167">
        <f t="shared" si="7"/>
        <v>1.6420796338828787E-5</v>
      </c>
      <c r="K58" s="458"/>
      <c r="L58" s="163"/>
      <c r="M58" s="163"/>
      <c r="O58" s="324">
        <f t="shared" si="8"/>
        <v>5.0282449470541489E-3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'[62]Sch C'!D39</f>
        <v>7934.83</v>
      </c>
      <c r="D59" s="480">
        <f>'[62]Sch C'!F39</f>
        <v>0</v>
      </c>
      <c r="E59" s="480">
        <f>+'[62]Sch C'!H39</f>
        <v>0</v>
      </c>
      <c r="F59" s="166">
        <f t="shared" si="5"/>
        <v>7934.83</v>
      </c>
      <c r="G59" s="626"/>
      <c r="H59" s="166"/>
      <c r="I59" s="166">
        <f t="shared" si="6"/>
        <v>7934.83</v>
      </c>
      <c r="J59" s="167">
        <f t="shared" si="7"/>
        <v>5.5658362842045633E-4</v>
      </c>
      <c r="K59" s="458"/>
      <c r="L59" s="163"/>
      <c r="M59" s="163"/>
      <c r="O59" s="324">
        <f t="shared" si="8"/>
        <v>0.17043258801039585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'[62]Sch C'!D40</f>
        <v>13966.89</v>
      </c>
      <c r="D60" s="480">
        <f>'[62]Sch C'!F40</f>
        <v>0</v>
      </c>
      <c r="E60" s="480">
        <f>+'[62]Sch C'!H40</f>
        <v>0</v>
      </c>
      <c r="F60" s="166">
        <f t="shared" si="5"/>
        <v>13966.89</v>
      </c>
      <c r="G60" s="626"/>
      <c r="H60" s="166"/>
      <c r="I60" s="166">
        <f t="shared" si="6"/>
        <v>13966.89</v>
      </c>
      <c r="J60" s="167">
        <f t="shared" si="7"/>
        <v>9.7969865944820328E-4</v>
      </c>
      <c r="K60" s="458"/>
      <c r="L60" s="163"/>
      <c r="M60" s="163"/>
      <c r="O60" s="324">
        <f t="shared" si="8"/>
        <v>0.29999548940009019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'[62]Sch C'!D41</f>
        <v>174756.99</v>
      </c>
      <c r="D61" s="480">
        <f>'[62]Sch C'!F41</f>
        <v>0</v>
      </c>
      <c r="E61" s="480">
        <f>+'[62]Sch C'!H41</f>
        <v>-9623</v>
      </c>
      <c r="F61" s="166">
        <f t="shared" si="5"/>
        <v>165133.99</v>
      </c>
      <c r="G61" s="626"/>
      <c r="H61" s="166"/>
      <c r="I61" s="166">
        <f t="shared" si="6"/>
        <v>165133.99</v>
      </c>
      <c r="J61" s="167">
        <f t="shared" si="7"/>
        <v>1.158321921575476E-2</v>
      </c>
      <c r="K61" s="458"/>
      <c r="L61" s="163"/>
      <c r="M61" s="163"/>
      <c r="O61" s="324">
        <f t="shared" si="8"/>
        <v>3.5469207637949181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'[62]Sch C'!D42</f>
        <v>4019.75</v>
      </c>
      <c r="D62" s="480">
        <f>'[62]Sch C'!F42</f>
        <v>0</v>
      </c>
      <c r="E62" s="480">
        <f>+'[62]Sch C'!H42</f>
        <v>0</v>
      </c>
      <c r="F62" s="166">
        <f t="shared" si="5"/>
        <v>4019.75</v>
      </c>
      <c r="G62" s="626"/>
      <c r="H62" s="166"/>
      <c r="I62" s="166">
        <f t="shared" si="6"/>
        <v>4019.75</v>
      </c>
      <c r="J62" s="167">
        <f t="shared" si="7"/>
        <v>2.8196281966256739E-4</v>
      </c>
      <c r="K62" s="458"/>
      <c r="L62" s="163"/>
      <c r="M62" s="163"/>
      <c r="O62" s="324">
        <f t="shared" si="8"/>
        <v>8.6340399939858661E-2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'[62]Sch C'!D43</f>
        <v>0</v>
      </c>
      <c r="D63" s="480">
        <f>'[62]Sch C'!F43</f>
        <v>0</v>
      </c>
      <c r="E63" s="480">
        <f>+'[62]Sch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'[62]Sch C'!D44</f>
        <v>0</v>
      </c>
      <c r="D64" s="480">
        <f>'[62]Sch C'!F44</f>
        <v>0</v>
      </c>
      <c r="E64" s="480">
        <f>+'[62]Sch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'[62]Sch C'!D45</f>
        <v>120160.98</v>
      </c>
      <c r="D65" s="480">
        <f>'[62]Sch C'!F45</f>
        <v>-110876</v>
      </c>
      <c r="E65" s="480">
        <f>+'[62]Sch C'!H45</f>
        <v>0</v>
      </c>
      <c r="F65" s="166">
        <f t="shared" si="5"/>
        <v>9284.9799999999959</v>
      </c>
      <c r="G65" s="626">
        <v>15954</v>
      </c>
      <c r="H65" s="166"/>
      <c r="I65" s="166">
        <f t="shared" si="6"/>
        <v>25238.979999999996</v>
      </c>
      <c r="J65" s="167">
        <f t="shared" si="7"/>
        <v>1.7703722784270523E-3</v>
      </c>
      <c r="K65" s="458"/>
      <c r="L65" s="163"/>
      <c r="M65" s="163"/>
      <c r="O65" s="324">
        <f t="shared" si="8"/>
        <v>0.54210924243400549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2912749.2400000007</v>
      </c>
      <c r="D66" s="480">
        <f t="shared" si="9"/>
        <v>-441522.25999999995</v>
      </c>
      <c r="E66" s="480">
        <f t="shared" si="9"/>
        <v>27838</v>
      </c>
      <c r="F66" s="166">
        <f t="shared" ref="F66:I66" si="10">SUM(F30:F65)</f>
        <v>2499064.98</v>
      </c>
      <c r="G66" s="166">
        <f t="shared" si="10"/>
        <v>92855</v>
      </c>
      <c r="H66" s="166">
        <f t="shared" si="10"/>
        <v>120399</v>
      </c>
      <c r="I66" s="166">
        <f t="shared" si="10"/>
        <v>2712318.98</v>
      </c>
      <c r="J66" s="178">
        <f t="shared" si="7"/>
        <v>0.19025389823374556</v>
      </c>
      <c r="K66" s="465"/>
      <c r="L66" s="163"/>
      <c r="M66" s="163"/>
      <c r="O66" s="329">
        <f>I66/I$233</f>
        <v>58.258027364306116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'[62]Sch C'!D57</f>
        <v>965506.36</v>
      </c>
      <c r="D69" s="480">
        <f>'[62]Sch C'!F57</f>
        <v>0</v>
      </c>
      <c r="E69" s="480">
        <f>+'[62]Sch C'!H57</f>
        <v>0</v>
      </c>
      <c r="F69" s="166">
        <f>C69+D69+E69</f>
        <v>965506.36</v>
      </c>
      <c r="G69" s="626"/>
      <c r="H69" s="166"/>
      <c r="I69" s="166">
        <f>F69+G69+H69</f>
        <v>965506.36</v>
      </c>
      <c r="J69" s="167">
        <f t="shared" ref="J69:J84" si="11">IF($I$213=0,0,I69/$I$213)</f>
        <v>6.7724832556189274E-2</v>
      </c>
      <c r="K69" s="458"/>
      <c r="L69" s="182"/>
      <c r="M69" s="163"/>
      <c r="O69" s="324">
        <f t="shared" ref="O69:O84" si="12">I69/I$233</f>
        <v>20.738156668170198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'[62]Sch C'!D58</f>
        <v>56674.02</v>
      </c>
      <c r="D70" s="480">
        <f>'[62]Sch C'!F58</f>
        <v>0</v>
      </c>
      <c r="E70" s="480">
        <f>+'[62]Sch C'!H58</f>
        <v>0</v>
      </c>
      <c r="F70" s="166">
        <f t="shared" ref="F70:F83" si="13">C70+D70+E70</f>
        <v>56674.02</v>
      </c>
      <c r="G70" s="626"/>
      <c r="H70" s="166"/>
      <c r="I70" s="166">
        <f t="shared" ref="I70:I83" si="14">F70+G70+H70</f>
        <v>56674.02</v>
      </c>
      <c r="J70" s="167">
        <f t="shared" si="11"/>
        <v>3.9753632640867551E-3</v>
      </c>
      <c r="K70" s="458"/>
      <c r="L70" s="182"/>
      <c r="M70" s="163"/>
      <c r="O70" s="324">
        <f t="shared" si="12"/>
        <v>1.2173039499967782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'[62]Sch C'!D59</f>
        <v>0</v>
      </c>
      <c r="D71" s="480">
        <f>'[62]Sch C'!F59</f>
        <v>0</v>
      </c>
      <c r="E71" s="480">
        <f>+'[62]Sch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'[62]Sch C'!D60</f>
        <v>298.81</v>
      </c>
      <c r="D72" s="480">
        <f>'[62]Sch C'!F60</f>
        <v>0</v>
      </c>
      <c r="E72" s="480">
        <f>+'[62]Sch C'!H60</f>
        <v>0</v>
      </c>
      <c r="F72" s="166">
        <f t="shared" si="13"/>
        <v>298.81</v>
      </c>
      <c r="G72" s="626"/>
      <c r="H72" s="166"/>
      <c r="I72" s="166">
        <f t="shared" si="14"/>
        <v>298.81</v>
      </c>
      <c r="J72" s="167">
        <f t="shared" si="11"/>
        <v>2.0959838334068476E-5</v>
      </c>
      <c r="K72" s="458"/>
      <c r="L72" s="185"/>
      <c r="M72" s="163"/>
      <c r="O72" s="324">
        <f t="shared" si="12"/>
        <v>6.4181540906845377E-3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'[62]Sch C'!D61</f>
        <v>31223.74</v>
      </c>
      <c r="D73" s="480">
        <f>'[62]Sch C'!F61</f>
        <v>-31224</v>
      </c>
      <c r="E73" s="480">
        <f>+'[62]Sch C'!H61</f>
        <v>0</v>
      </c>
      <c r="F73" s="166">
        <f t="shared" si="13"/>
        <v>-0.25999999999839929</v>
      </c>
      <c r="G73" s="626"/>
      <c r="H73" s="166"/>
      <c r="I73" s="166">
        <f t="shared" si="14"/>
        <v>-0.25999999999839929</v>
      </c>
      <c r="J73" s="167">
        <f t="shared" si="11"/>
        <v>-1.8237535446686032E-8</v>
      </c>
      <c r="K73" s="458"/>
      <c r="L73" s="185"/>
      <c r="M73" s="163"/>
      <c r="O73" s="324">
        <f t="shared" si="12"/>
        <v>-5.5845522692269534E-6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'[62]Sch C'!D62</f>
        <v>12248.51</v>
      </c>
      <c r="D74" s="480">
        <f>'[62]Sch C'!F62</f>
        <v>0</v>
      </c>
      <c r="E74" s="480">
        <f>+'[62]Sch C'!H62</f>
        <v>0</v>
      </c>
      <c r="F74" s="166">
        <f t="shared" si="13"/>
        <v>12248.51</v>
      </c>
      <c r="G74" s="626"/>
      <c r="H74" s="166"/>
      <c r="I74" s="166">
        <f t="shared" si="14"/>
        <v>12248.51</v>
      </c>
      <c r="J74" s="167">
        <f t="shared" si="11"/>
        <v>8.5916398190562921E-4</v>
      </c>
      <c r="K74" s="458"/>
      <c r="L74" s="187"/>
      <c r="M74" s="163"/>
      <c r="O74" s="324">
        <f t="shared" si="12"/>
        <v>0.26308632429065448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'[62]Sch C'!D63</f>
        <v>0</v>
      </c>
      <c r="D75" s="480">
        <f>'[62]Sch C'!F63</f>
        <v>0</v>
      </c>
      <c r="E75" s="480">
        <f>+'[62]Sch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'[62]Sch C'!D64</f>
        <v>0</v>
      </c>
      <c r="D76" s="480">
        <f>'[62]Sch C'!F64</f>
        <v>0</v>
      </c>
      <c r="E76" s="480">
        <f>+'[62]Sch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'[62]Sch C'!D65</f>
        <v>0</v>
      </c>
      <c r="D77" s="480">
        <f>'[62]Sch C'!F65</f>
        <v>0</v>
      </c>
      <c r="E77" s="480">
        <f>+'[62]Sch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'[62]Sch C'!D66</f>
        <v>15279.16</v>
      </c>
      <c r="D78" s="480">
        <f>'[62]Sch C'!F66</f>
        <v>0</v>
      </c>
      <c r="E78" s="480">
        <f>+'[62]Sch C'!H66</f>
        <v>0</v>
      </c>
      <c r="F78" s="166">
        <f t="shared" si="13"/>
        <v>15279.16</v>
      </c>
      <c r="G78" s="626"/>
      <c r="H78" s="166"/>
      <c r="I78" s="166">
        <f t="shared" si="14"/>
        <v>15279.16</v>
      </c>
      <c r="J78" s="167">
        <f t="shared" si="11"/>
        <v>1.0717470080665497E-3</v>
      </c>
      <c r="K78" s="458"/>
      <c r="L78" s="187"/>
      <c r="M78" s="163"/>
      <c r="O78" s="324">
        <f t="shared" si="12"/>
        <v>0.32818179865541164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'[62]Sch C'!D67</f>
        <v>180024.66</v>
      </c>
      <c r="D79" s="480">
        <f>'[62]Sch C'!F67</f>
        <v>0</v>
      </c>
      <c r="E79" s="480">
        <f>+'[62]Sch C'!H67</f>
        <v>0</v>
      </c>
      <c r="F79" s="166">
        <f t="shared" si="13"/>
        <v>180024.66</v>
      </c>
      <c r="G79" s="626"/>
      <c r="H79" s="166"/>
      <c r="I79" s="166">
        <f t="shared" si="14"/>
        <v>180024.66</v>
      </c>
      <c r="J79" s="167">
        <f t="shared" si="11"/>
        <v>1.2627715838645439E-2</v>
      </c>
      <c r="K79" s="458"/>
      <c r="L79" s="187"/>
      <c r="M79" s="163"/>
      <c r="O79" s="324">
        <f t="shared" si="12"/>
        <v>3.8667581674076938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'[62]Sch C'!D68</f>
        <v>0</v>
      </c>
      <c r="D80" s="480">
        <f>'[62]Sch C'!F68</f>
        <v>0</v>
      </c>
      <c r="E80" s="480">
        <f>+'[62]Sch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'[62]Sch C'!D69</f>
        <v>45059.62</v>
      </c>
      <c r="D81" s="480">
        <f>'[62]Sch C'!F69</f>
        <v>0</v>
      </c>
      <c r="E81" s="480">
        <f>+'[62]Sch C'!H69</f>
        <v>0</v>
      </c>
      <c r="F81" s="166">
        <f t="shared" si="13"/>
        <v>45059.62</v>
      </c>
      <c r="G81" s="626"/>
      <c r="H81" s="166"/>
      <c r="I81" s="166">
        <f t="shared" si="14"/>
        <v>45059.62</v>
      </c>
      <c r="J81" s="167">
        <f t="shared" si="11"/>
        <v>3.1606785268048546E-3</v>
      </c>
      <c r="K81" s="458"/>
      <c r="L81" s="187"/>
      <c r="M81" s="163"/>
      <c r="O81" s="324">
        <f t="shared" si="12"/>
        <v>0.9678377043194365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'[62]Sch C'!D70</f>
        <v>0</v>
      </c>
      <c r="D82" s="480">
        <f>'[62]Sch C'!F70</f>
        <v>0</v>
      </c>
      <c r="E82" s="480">
        <f>+'[62]Sch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'[62]Sch C'!D71</f>
        <v>0</v>
      </c>
      <c r="D83" s="480">
        <f>'[62]Sch C'!F71</f>
        <v>0</v>
      </c>
      <c r="E83" s="480">
        <f>+'[62]Sch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1306314.8800000001</v>
      </c>
      <c r="D84" s="480">
        <f t="shared" si="15"/>
        <v>-31224</v>
      </c>
      <c r="E84" s="480">
        <f t="shared" si="15"/>
        <v>0</v>
      </c>
      <c r="F84" s="166">
        <f t="shared" ref="F84:I84" si="16">SUM(F69:F83)</f>
        <v>1275090.8800000001</v>
      </c>
      <c r="G84" s="166">
        <f t="shared" si="16"/>
        <v>0</v>
      </c>
      <c r="H84" s="166">
        <f t="shared" si="16"/>
        <v>0</v>
      </c>
      <c r="I84" s="166">
        <f t="shared" si="16"/>
        <v>1275090.8800000001</v>
      </c>
      <c r="J84" s="167">
        <f t="shared" si="11"/>
        <v>8.9440442776497139E-2</v>
      </c>
      <c r="K84" s="458"/>
      <c r="L84" s="187"/>
      <c r="M84" s="163"/>
      <c r="O84" s="324">
        <f t="shared" si="12"/>
        <v>27.387737182378594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'[62]Sch C'!D75</f>
        <v>69795.960000000006</v>
      </c>
      <c r="D87" s="480">
        <f>'[62]Sch C'!F75</f>
        <v>0</v>
      </c>
      <c r="E87" s="480">
        <f>+'[62]Sch C'!H75</f>
        <v>0</v>
      </c>
      <c r="F87" s="166">
        <f t="shared" ref="F87:F97" si="17">C87+D87+E87</f>
        <v>69795.960000000006</v>
      </c>
      <c r="G87" s="626"/>
      <c r="H87" s="166"/>
      <c r="I87" s="166">
        <f t="shared" ref="I87:I97" si="18">F87+G87+H87</f>
        <v>69795.960000000006</v>
      </c>
      <c r="J87" s="167">
        <f t="shared" ref="J87:J98" si="19">IF($I$213=0,0,I87/$I$213)</f>
        <v>4.8957934405512204E-3</v>
      </c>
      <c r="K87" s="458"/>
      <c r="L87" s="176">
        <v>4079.88</v>
      </c>
      <c r="M87" s="176">
        <v>4413</v>
      </c>
      <c r="O87" s="324">
        <f t="shared" ref="O87:O97" si="20">I87/I$233</f>
        <v>1.4991507184741286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'[62]Sch C'!D76</f>
        <v>8568.5499999999993</v>
      </c>
      <c r="D88" s="480">
        <f>'[62]Sch C'!F76</f>
        <v>0</v>
      </c>
      <c r="E88" s="480">
        <f>+'[62]Sch C'!H76</f>
        <v>0</v>
      </c>
      <c r="F88" s="166">
        <f t="shared" si="17"/>
        <v>8568.5499999999993</v>
      </c>
      <c r="G88" s="626">
        <v>-472</v>
      </c>
      <c r="H88" s="166"/>
      <c r="I88" s="166">
        <f t="shared" si="18"/>
        <v>8096.5499999999993</v>
      </c>
      <c r="J88" s="167">
        <f t="shared" si="19"/>
        <v>5.6792737546836481E-4</v>
      </c>
      <c r="K88" s="458"/>
      <c r="L88" s="163"/>
      <c r="M88" s="163"/>
      <c r="O88" s="324">
        <f t="shared" si="20"/>
        <v>0.1739061795218764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'[62]Sch C'!D77</f>
        <v>15030.4</v>
      </c>
      <c r="D89" s="480">
        <f>'[62]Sch C'!F77</f>
        <v>0</v>
      </c>
      <c r="E89" s="480">
        <f>+'[62]Sch C'!H77</f>
        <v>0</v>
      </c>
      <c r="F89" s="166">
        <f t="shared" si="17"/>
        <v>15030.4</v>
      </c>
      <c r="G89" s="626"/>
      <c r="H89" s="166"/>
      <c r="I89" s="166">
        <f t="shared" si="18"/>
        <v>15030.4</v>
      </c>
      <c r="J89" s="167">
        <f t="shared" si="19"/>
        <v>1.0542978953059898E-3</v>
      </c>
      <c r="K89" s="458"/>
      <c r="L89" s="163"/>
      <c r="M89" s="163"/>
      <c r="O89" s="324">
        <f t="shared" si="20"/>
        <v>0.32283867087655993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'[62]Sch C'!D78</f>
        <v>0</v>
      </c>
      <c r="D90" s="480">
        <f>'[62]Sch C'!F78</f>
        <v>0</v>
      </c>
      <c r="E90" s="480">
        <f>+'[62]Sch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'[62]Sch C'!D79</f>
        <v>8922.76</v>
      </c>
      <c r="D91" s="480">
        <f>'[62]Sch C'!F79</f>
        <v>0</v>
      </c>
      <c r="E91" s="480">
        <f>+'[62]Sch C'!H79</f>
        <v>0</v>
      </c>
      <c r="F91" s="166">
        <f t="shared" si="17"/>
        <v>8922.76</v>
      </c>
      <c r="G91" s="626"/>
      <c r="H91" s="166"/>
      <c r="I91" s="166">
        <f t="shared" si="18"/>
        <v>8922.76</v>
      </c>
      <c r="J91" s="167">
        <f t="shared" si="19"/>
        <v>6.2588135301259269E-4</v>
      </c>
      <c r="K91" s="458"/>
      <c r="L91" s="163"/>
      <c r="M91" s="163"/>
      <c r="O91" s="324">
        <f t="shared" si="20"/>
        <v>0.19165238310028568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'[62]Sch C'!D80</f>
        <v>32414.75</v>
      </c>
      <c r="D92" s="480">
        <f>'[62]Sch C'!F80</f>
        <v>0</v>
      </c>
      <c r="E92" s="480">
        <f>+'[62]Sch C'!H80</f>
        <v>0</v>
      </c>
      <c r="F92" s="166">
        <f t="shared" si="17"/>
        <v>32414.75</v>
      </c>
      <c r="G92" s="626"/>
      <c r="H92" s="166"/>
      <c r="I92" s="166">
        <f t="shared" si="18"/>
        <v>32414.75</v>
      </c>
      <c r="J92" s="167">
        <f t="shared" si="19"/>
        <v>2.2737121235542521E-3</v>
      </c>
      <c r="K92" s="458"/>
      <c r="L92" s="163"/>
      <c r="M92" s="163"/>
      <c r="O92" s="324">
        <f t="shared" si="20"/>
        <v>0.69623794488476487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'[62]Sch C'!D81</f>
        <v>3323</v>
      </c>
      <c r="D93" s="480">
        <f>'[62]Sch C'!F81</f>
        <v>0</v>
      </c>
      <c r="E93" s="480">
        <f>+'[62]Sch C'!H81</f>
        <v>0</v>
      </c>
      <c r="F93" s="166">
        <f t="shared" si="17"/>
        <v>3323</v>
      </c>
      <c r="G93" s="626"/>
      <c r="H93" s="166"/>
      <c r="I93" s="166">
        <f t="shared" si="18"/>
        <v>3323</v>
      </c>
      <c r="J93" s="167">
        <f t="shared" si="19"/>
        <v>2.3308973188350304E-4</v>
      </c>
      <c r="K93" s="458"/>
      <c r="L93" s="163"/>
      <c r="M93" s="163"/>
      <c r="O93" s="324">
        <f t="shared" si="20"/>
        <v>7.1374873810597761E-2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'[62]Sch C'!D82</f>
        <v>39760.83</v>
      </c>
      <c r="D94" s="480">
        <f>'[62]Sch C'!F82</f>
        <v>0</v>
      </c>
      <c r="E94" s="480">
        <f>+'[62]Sch C'!H82</f>
        <v>0</v>
      </c>
      <c r="F94" s="166">
        <f t="shared" si="17"/>
        <v>39760.83</v>
      </c>
      <c r="G94" s="626"/>
      <c r="H94" s="166"/>
      <c r="I94" s="166">
        <f t="shared" si="18"/>
        <v>39760.83</v>
      </c>
      <c r="J94" s="167">
        <f t="shared" si="19"/>
        <v>2.7889982558427762E-3</v>
      </c>
      <c r="K94" s="458"/>
      <c r="L94" s="163"/>
      <c r="M94" s="163"/>
      <c r="O94" s="324">
        <f t="shared" si="20"/>
        <v>0.85402474386236227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'[62]Sch C'!D83</f>
        <v>0</v>
      </c>
      <c r="D95" s="480">
        <f>'[62]Sch C'!F83</f>
        <v>0</v>
      </c>
      <c r="E95" s="480">
        <f>+'[62]Sch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'[62]Sch C'!D84</f>
        <v>195759.46</v>
      </c>
      <c r="D96" s="480">
        <f>'[62]Sch C'!F84</f>
        <v>0</v>
      </c>
      <c r="E96" s="480">
        <f>+'[62]Sch C'!H84</f>
        <v>0</v>
      </c>
      <c r="F96" s="166">
        <f t="shared" si="17"/>
        <v>195759.46</v>
      </c>
      <c r="G96" s="626"/>
      <c r="H96" s="166"/>
      <c r="I96" s="166">
        <f t="shared" si="18"/>
        <v>195759.46</v>
      </c>
      <c r="J96" s="167">
        <f t="shared" si="19"/>
        <v>1.3731423426138832E-2</v>
      </c>
      <c r="K96" s="458"/>
      <c r="L96" s="163"/>
      <c r="M96" s="163"/>
      <c r="O96" s="324">
        <f t="shared" si="20"/>
        <v>4.2047266791245139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'[62]Sch C'!D85</f>
        <v>106.51</v>
      </c>
      <c r="D97" s="480">
        <f>'[62]Sch C'!F85</f>
        <v>0</v>
      </c>
      <c r="E97" s="480">
        <f>+'[62]Sch C'!H85</f>
        <v>0</v>
      </c>
      <c r="F97" s="166">
        <f t="shared" si="17"/>
        <v>106.51</v>
      </c>
      <c r="G97" s="626"/>
      <c r="H97" s="166"/>
      <c r="I97" s="166">
        <f t="shared" si="18"/>
        <v>106.51</v>
      </c>
      <c r="J97" s="167">
        <f t="shared" si="19"/>
        <v>7.4710765401480321E-6</v>
      </c>
      <c r="K97" s="458"/>
      <c r="L97" s="163"/>
      <c r="M97" s="163"/>
      <c r="O97" s="324">
        <f t="shared" si="20"/>
        <v>2.2877333161500958E-3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373682.22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373682.22</v>
      </c>
      <c r="G98" s="166">
        <f t="shared" si="22"/>
        <v>-472</v>
      </c>
      <c r="H98" s="166">
        <f t="shared" si="22"/>
        <v>0</v>
      </c>
      <c r="I98" s="166">
        <f t="shared" si="22"/>
        <v>373210.22</v>
      </c>
      <c r="J98" s="167">
        <f t="shared" si="19"/>
        <v>2.6178594678297678E-2</v>
      </c>
      <c r="K98" s="458"/>
      <c r="L98" s="163"/>
      <c r="M98" s="163"/>
      <c r="O98" s="329">
        <f>I98/I$233</f>
        <v>8.0161999269712396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'[62]Sch C'!D89</f>
        <v>479987.85</v>
      </c>
      <c r="D101" s="480">
        <f>'[62]Sch C'!F89</f>
        <v>0</v>
      </c>
      <c r="E101" s="480">
        <f>+'[62]Sch C'!H89</f>
        <v>0</v>
      </c>
      <c r="F101" s="166">
        <f t="shared" ref="F101:F106" si="23">C101+D101+E101</f>
        <v>479987.85</v>
      </c>
      <c r="G101" s="626"/>
      <c r="H101" s="166"/>
      <c r="I101" s="166">
        <f t="shared" ref="I101:I106" si="24">F101+G101+H101</f>
        <v>479987.85</v>
      </c>
      <c r="J101" s="167">
        <f t="shared" ref="J101:J107" si="25">IF($I$213=0,0,I101/$I$213)</f>
        <v>3.3668443955413505E-2</v>
      </c>
      <c r="K101" s="458"/>
      <c r="L101" s="176">
        <v>34302.870000000003</v>
      </c>
      <c r="M101" s="176">
        <v>36648.54</v>
      </c>
      <c r="O101" s="329">
        <f t="shared" ref="O101:O106" si="26">I101/I$233</f>
        <v>10.309681680520651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'[62]Sch C'!D90</f>
        <v>87935.19</v>
      </c>
      <c r="D102" s="480">
        <f>'[62]Sch C'!F90</f>
        <v>0</v>
      </c>
      <c r="E102" s="480">
        <f>+'[62]Sch C'!H90</f>
        <v>0</v>
      </c>
      <c r="F102" s="166">
        <f t="shared" si="23"/>
        <v>87935.19</v>
      </c>
      <c r="G102" s="626">
        <v>-7777</v>
      </c>
      <c r="H102" s="166"/>
      <c r="I102" s="166">
        <f t="shared" si="24"/>
        <v>80158.19</v>
      </c>
      <c r="J102" s="167">
        <f t="shared" si="25"/>
        <v>5.6226455056776698E-3</v>
      </c>
      <c r="K102" s="458"/>
      <c r="L102" s="163"/>
      <c r="M102" s="163"/>
      <c r="O102" s="329">
        <f t="shared" si="26"/>
        <v>1.7217215456322359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'[62]Sch C'!D91</f>
        <v>5343.1</v>
      </c>
      <c r="D103" s="480">
        <f>'[62]Sch C'!F91</f>
        <v>0</v>
      </c>
      <c r="E103" s="480">
        <f>+'[62]Sch C'!H91</f>
        <v>0</v>
      </c>
      <c r="F103" s="166">
        <f t="shared" si="23"/>
        <v>5343.1</v>
      </c>
      <c r="G103" s="626"/>
      <c r="H103" s="166"/>
      <c r="I103" s="166">
        <f t="shared" si="24"/>
        <v>5343.1</v>
      </c>
      <c r="J103" s="167">
        <f t="shared" si="25"/>
        <v>3.7478836786841566E-4</v>
      </c>
      <c r="K103" s="458"/>
      <c r="L103" s="163"/>
      <c r="M103" s="163"/>
      <c r="O103" s="329">
        <f t="shared" si="26"/>
        <v>0.1147646970380394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'[62]Sch C'!D92</f>
        <v>333544.33</v>
      </c>
      <c r="D104" s="480">
        <f>'[62]Sch C'!F92</f>
        <v>0</v>
      </c>
      <c r="E104" s="480">
        <f>+'[62]Sch C'!H92</f>
        <v>0</v>
      </c>
      <c r="F104" s="166">
        <f t="shared" si="23"/>
        <v>333544.33</v>
      </c>
      <c r="G104" s="626"/>
      <c r="H104" s="166"/>
      <c r="I104" s="166">
        <f t="shared" si="24"/>
        <v>333544.33</v>
      </c>
      <c r="J104" s="167">
        <f t="shared" si="25"/>
        <v>2.3396255928667668E-2</v>
      </c>
      <c r="K104" s="458"/>
      <c r="L104" s="163"/>
      <c r="M104" s="163"/>
      <c r="O104" s="329">
        <f t="shared" si="26"/>
        <v>7.1642144038490452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'[62]Sch C'!D93</f>
        <v>38441.589999999997</v>
      </c>
      <c r="D105" s="480">
        <f>'[62]Sch C'!F93</f>
        <v>0</v>
      </c>
      <c r="E105" s="480">
        <f>+'[62]Sch C'!H93</f>
        <v>0</v>
      </c>
      <c r="F105" s="166">
        <f t="shared" si="23"/>
        <v>38441.589999999997</v>
      </c>
      <c r="G105" s="626"/>
      <c r="H105" s="166"/>
      <c r="I105" s="166">
        <f t="shared" si="24"/>
        <v>38441.589999999997</v>
      </c>
      <c r="J105" s="167">
        <f t="shared" si="25"/>
        <v>2.6964610009857209E-3</v>
      </c>
      <c r="K105" s="458"/>
      <c r="L105" s="163"/>
      <c r="M105" s="163"/>
      <c r="O105" s="329">
        <f t="shared" si="26"/>
        <v>0.82568872564813023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'[62]Sch C'!D94</f>
        <v>287.55</v>
      </c>
      <c r="D106" s="480">
        <f>'[62]Sch C'!F94</f>
        <v>0</v>
      </c>
      <c r="E106" s="480">
        <f>+'[62]Sch C'!H94</f>
        <v>0</v>
      </c>
      <c r="F106" s="166">
        <f t="shared" si="23"/>
        <v>287.55</v>
      </c>
      <c r="G106" s="626"/>
      <c r="H106" s="166"/>
      <c r="I106" s="166">
        <f t="shared" si="24"/>
        <v>287.55</v>
      </c>
      <c r="J106" s="167">
        <f t="shared" si="25"/>
        <v>2.0170012760487903E-5</v>
      </c>
      <c r="K106" s="458"/>
      <c r="L106" s="163"/>
      <c r="M106" s="163"/>
      <c r="O106" s="329">
        <f t="shared" si="26"/>
        <v>6.1763000193311426E-3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945539.61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945539.61</v>
      </c>
      <c r="G107" s="166">
        <f t="shared" si="28"/>
        <v>-7777</v>
      </c>
      <c r="H107" s="166">
        <f t="shared" si="28"/>
        <v>0</v>
      </c>
      <c r="I107" s="166">
        <f t="shared" si="28"/>
        <v>937762.61</v>
      </c>
      <c r="J107" s="167">
        <f t="shared" si="25"/>
        <v>6.5778764771373469E-2</v>
      </c>
      <c r="K107" s="458"/>
      <c r="L107" s="163"/>
      <c r="M107" s="163"/>
      <c r="O107" s="329">
        <f>I107/I$233</f>
        <v>20.142247352707432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'[62]Sch C'!D98</f>
        <v>44893.34</v>
      </c>
      <c r="D110" s="480">
        <f>'[62]Sch C'!F98</f>
        <v>0</v>
      </c>
      <c r="E110" s="480">
        <f>+'[62]Sch C'!H98</f>
        <v>0</v>
      </c>
      <c r="F110" s="166">
        <f t="shared" ref="F110:F115" si="29">C110+D110+E110</f>
        <v>44893.34</v>
      </c>
      <c r="G110" s="626"/>
      <c r="H110" s="166"/>
      <c r="I110" s="166">
        <f t="shared" ref="I110:I115" si="30">F110+G110+H110</f>
        <v>44893.34</v>
      </c>
      <c r="J110" s="167">
        <f t="shared" ref="J110:J116" si="31">IF($I$213=0,0,I110/$I$213)</f>
        <v>3.1490149214429557E-3</v>
      </c>
      <c r="K110" s="458"/>
      <c r="L110" s="176">
        <v>3952.86</v>
      </c>
      <c r="M110" s="176">
        <v>4439.68</v>
      </c>
      <c r="O110" s="329">
        <f t="shared" ref="O110:O115" si="32">I110/I$233</f>
        <v>0.96426616835277179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'[62]Sch C'!D99</f>
        <v>9610.98</v>
      </c>
      <c r="D111" s="480">
        <f>'[62]Sch C'!F99</f>
        <v>0</v>
      </c>
      <c r="E111" s="480">
        <f>+'[62]Sch C'!H99</f>
        <v>0</v>
      </c>
      <c r="F111" s="166">
        <f t="shared" si="29"/>
        <v>9610.98</v>
      </c>
      <c r="G111" s="626">
        <v>-764</v>
      </c>
      <c r="H111" s="166"/>
      <c r="I111" s="166">
        <f t="shared" si="30"/>
        <v>8846.98</v>
      </c>
      <c r="J111" s="167">
        <f t="shared" si="31"/>
        <v>6.2056581287352197E-4</v>
      </c>
      <c r="K111" s="458"/>
      <c r="L111" s="163"/>
      <c r="M111" s="163"/>
      <c r="O111" s="329">
        <f t="shared" si="32"/>
        <v>0.19002470090426787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'[62]Sch C'!D100</f>
        <v>19935.03</v>
      </c>
      <c r="D112" s="480">
        <f>'[62]Sch C'!F100</f>
        <v>0</v>
      </c>
      <c r="E112" s="480">
        <f>+'[62]Sch C'!H100</f>
        <v>0</v>
      </c>
      <c r="F112" s="166">
        <f t="shared" si="29"/>
        <v>19935.03</v>
      </c>
      <c r="G112" s="626"/>
      <c r="H112" s="166"/>
      <c r="I112" s="166">
        <f t="shared" si="30"/>
        <v>19935.03</v>
      </c>
      <c r="J112" s="167">
        <f t="shared" si="31"/>
        <v>1.3983300625307221E-3</v>
      </c>
      <c r="K112" s="458"/>
      <c r="L112" s="163"/>
      <c r="M112" s="163"/>
      <c r="O112" s="329">
        <f t="shared" si="32"/>
        <v>0.42818545009343384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'[62]Sch C'!D101</f>
        <v>0</v>
      </c>
      <c r="D113" s="480">
        <f>'[62]Sch C'!F101</f>
        <v>0</v>
      </c>
      <c r="E113" s="480">
        <f>+'[62]Sch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'[62]Sch C'!D102</f>
        <v>11460.5</v>
      </c>
      <c r="D114" s="480">
        <f>'[62]Sch C'!F102</f>
        <v>0</v>
      </c>
      <c r="E114" s="480">
        <f>+'[62]Sch C'!H102</f>
        <v>0</v>
      </c>
      <c r="F114" s="166">
        <f t="shared" si="29"/>
        <v>11460.5</v>
      </c>
      <c r="G114" s="626"/>
      <c r="H114" s="166"/>
      <c r="I114" s="166">
        <f t="shared" si="30"/>
        <v>11460.5</v>
      </c>
      <c r="J114" s="167">
        <f t="shared" si="31"/>
        <v>8.0388951918473873E-4</v>
      </c>
      <c r="K114" s="458"/>
      <c r="L114" s="163"/>
      <c r="M114" s="163"/>
      <c r="O114" s="329">
        <f t="shared" si="32"/>
        <v>0.24616062031488284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'[62]Sch C'!D103</f>
        <v>197.85</v>
      </c>
      <c r="D115" s="480">
        <f>'[62]Sch C'!F103</f>
        <v>0</v>
      </c>
      <c r="E115" s="480">
        <f>+'[62]Sch C'!H103</f>
        <v>0</v>
      </c>
      <c r="F115" s="166">
        <f t="shared" si="29"/>
        <v>197.85</v>
      </c>
      <c r="G115" s="626"/>
      <c r="H115" s="166"/>
      <c r="I115" s="166">
        <f t="shared" si="30"/>
        <v>197.85</v>
      </c>
      <c r="J115" s="167">
        <f t="shared" si="31"/>
        <v>1.3878063031342485E-5</v>
      </c>
      <c r="K115" s="458"/>
      <c r="L115" s="163"/>
      <c r="M115" s="163"/>
      <c r="O115" s="329">
        <f t="shared" si="32"/>
        <v>4.2496294864359813E-3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86097.7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86097.7</v>
      </c>
      <c r="G116" s="166">
        <f t="shared" si="34"/>
        <v>-764</v>
      </c>
      <c r="H116" s="166">
        <f t="shared" si="34"/>
        <v>0</v>
      </c>
      <c r="I116" s="166">
        <f t="shared" si="34"/>
        <v>85333.7</v>
      </c>
      <c r="J116" s="167">
        <f t="shared" si="31"/>
        <v>5.9856783790632811E-3</v>
      </c>
      <c r="K116" s="458"/>
      <c r="L116" s="163"/>
      <c r="M116" s="163"/>
      <c r="O116" s="329">
        <f>I116/I$233</f>
        <v>1.8328865691517924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'[62]Sch C'!D115</f>
        <v>166458.54</v>
      </c>
      <c r="D119" s="480">
        <f>'[62]Sch C'!F115</f>
        <v>0</v>
      </c>
      <c r="E119" s="480">
        <f>+'[62]Sch C'!H115</f>
        <v>0</v>
      </c>
      <c r="F119" s="166">
        <f t="shared" ref="F119:F123" si="35">C119+D119+E119</f>
        <v>166458.54</v>
      </c>
      <c r="G119" s="626"/>
      <c r="H119" s="166"/>
      <c r="I119" s="166">
        <f t="shared" ref="I119:I123" si="36">F119+G119+H119</f>
        <v>166458.54</v>
      </c>
      <c r="J119" s="167">
        <f t="shared" ref="J119:J124" si="37">IF($I$213=0,0,I119/$I$213)</f>
        <v>1.1676128937201134E-2</v>
      </c>
      <c r="K119" s="458"/>
      <c r="L119" s="176">
        <v>15642.36</v>
      </c>
      <c r="M119" s="176">
        <v>17025.310000000001</v>
      </c>
      <c r="O119" s="329">
        <f t="shared" ref="O119:O124" si="38">I119/I$233</f>
        <v>3.5753708357497263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'[62]Sch C'!D116</f>
        <v>44712.31</v>
      </c>
      <c r="D120" s="480">
        <f>'[62]Sch C'!F116</f>
        <v>0</v>
      </c>
      <c r="E120" s="480">
        <f>+'[62]Sch C'!H116</f>
        <v>0</v>
      </c>
      <c r="F120" s="166">
        <f t="shared" si="35"/>
        <v>44712.31</v>
      </c>
      <c r="G120" s="626">
        <v>-2773</v>
      </c>
      <c r="H120" s="166"/>
      <c r="I120" s="166">
        <f t="shared" si="36"/>
        <v>41939.31</v>
      </c>
      <c r="J120" s="167">
        <f t="shared" si="37"/>
        <v>2.9418063566894726E-3</v>
      </c>
      <c r="K120" s="458"/>
      <c r="L120" s="163"/>
      <c r="M120" s="163"/>
      <c r="O120" s="329">
        <f t="shared" si="38"/>
        <v>0.90081641858367156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'[62]Sch C'!D117</f>
        <v>22298.49</v>
      </c>
      <c r="D121" s="480">
        <f>'[62]Sch C'!F117</f>
        <v>0</v>
      </c>
      <c r="E121" s="480">
        <f>+'[62]Sch C'!H117</f>
        <v>0</v>
      </c>
      <c r="F121" s="166">
        <f t="shared" si="35"/>
        <v>22298.49</v>
      </c>
      <c r="G121" s="626"/>
      <c r="H121" s="166"/>
      <c r="I121" s="166">
        <f t="shared" si="36"/>
        <v>22298.49</v>
      </c>
      <c r="J121" s="167">
        <f t="shared" si="37"/>
        <v>1.5641134684041451E-3</v>
      </c>
      <c r="K121" s="458"/>
      <c r="L121" s="163"/>
      <c r="M121" s="163"/>
      <c r="O121" s="329">
        <f t="shared" si="38"/>
        <v>0.47895031896385082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'[62]Sch C'!D118</f>
        <v>0</v>
      </c>
      <c r="D122" s="480">
        <f>'[62]Sch C'!F118</f>
        <v>0</v>
      </c>
      <c r="E122" s="480">
        <f>+'[62]Sch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'[62]Sch C'!D119</f>
        <v>1220</v>
      </c>
      <c r="D123" s="480">
        <f>'[62]Sch C'!F119</f>
        <v>0</v>
      </c>
      <c r="E123" s="480">
        <f>+'[62]Sch C'!H119</f>
        <v>0</v>
      </c>
      <c r="F123" s="166">
        <f t="shared" si="35"/>
        <v>1220</v>
      </c>
      <c r="G123" s="626"/>
      <c r="H123" s="166"/>
      <c r="I123" s="166">
        <f t="shared" si="36"/>
        <v>1220</v>
      </c>
      <c r="J123" s="167">
        <f t="shared" si="37"/>
        <v>8.5576127865745927E-5</v>
      </c>
      <c r="K123" s="458"/>
      <c r="L123" s="163"/>
      <c r="M123" s="163"/>
      <c r="O123" s="329">
        <f t="shared" si="38"/>
        <v>2.6204437571149344E-2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234689.34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234689.34</v>
      </c>
      <c r="G124" s="166">
        <f t="shared" si="40"/>
        <v>-2773</v>
      </c>
      <c r="H124" s="166">
        <f t="shared" si="40"/>
        <v>0</v>
      </c>
      <c r="I124" s="166">
        <f t="shared" si="40"/>
        <v>231916.34</v>
      </c>
      <c r="J124" s="167">
        <f t="shared" si="37"/>
        <v>1.6267624890160495E-2</v>
      </c>
      <c r="K124" s="458"/>
      <c r="L124" s="163"/>
      <c r="M124" s="163"/>
      <c r="O124" s="329">
        <f t="shared" si="38"/>
        <v>4.9813420108683975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'[62]Sch C'!D124</f>
        <v>0</v>
      </c>
      <c r="D128" s="480">
        <f>'[62]Sch C'!F124</f>
        <v>0</v>
      </c>
      <c r="E128" s="480">
        <f>+'[62]Sch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'[62]Sch C'!D125</f>
        <v>909002.59</v>
      </c>
      <c r="D129" s="480">
        <f>'[62]Sch C'!F125</f>
        <v>0</v>
      </c>
      <c r="E129" s="480">
        <f>+'[62]Sch C'!H125</f>
        <v>0</v>
      </c>
      <c r="F129" s="166">
        <f t="shared" si="41"/>
        <v>909002.59</v>
      </c>
      <c r="G129" s="626"/>
      <c r="H129" s="166"/>
      <c r="I129" s="166">
        <f t="shared" si="42"/>
        <v>909002.59</v>
      </c>
      <c r="J129" s="167">
        <f>IF($I$213=0,0,I129/$I$213)</f>
        <v>6.3761411370601817E-2</v>
      </c>
      <c r="K129" s="458"/>
      <c r="L129" s="176">
        <v>20360.47</v>
      </c>
      <c r="M129" s="176">
        <v>21299.75</v>
      </c>
      <c r="O129" s="329">
        <f t="shared" si="43"/>
        <v>19.524509525957427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'[62]Sch C'!D126</f>
        <v>0</v>
      </c>
      <c r="D130" s="480">
        <f>'[62]Sch C'!F126</f>
        <v>0</v>
      </c>
      <c r="E130" s="480">
        <f>+'[62]Sch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'[62]Sch C'!D127</f>
        <v>32138.880000000001</v>
      </c>
      <c r="D131" s="480">
        <f>'[62]Sch C'!F127</f>
        <v>0</v>
      </c>
      <c r="E131" s="480">
        <f>+'[62]Sch C'!H127</f>
        <v>0</v>
      </c>
      <c r="F131" s="166">
        <f t="shared" si="41"/>
        <v>32138.880000000001</v>
      </c>
      <c r="G131" s="626"/>
      <c r="H131" s="166"/>
      <c r="I131" s="166">
        <f t="shared" si="42"/>
        <v>32138.880000000001</v>
      </c>
      <c r="J131" s="167">
        <f>IF($I$213=0,0,I131/$I$213)</f>
        <v>2.2543613970015283E-3</v>
      </c>
      <c r="K131" s="458"/>
      <c r="L131" s="176">
        <v>1812.06</v>
      </c>
      <c r="M131" s="176">
        <v>2021.76</v>
      </c>
      <c r="O131" s="329">
        <f t="shared" si="43"/>
        <v>0.69031252013660671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'[62]Sch C'!D128</f>
        <v>47744.85</v>
      </c>
      <c r="D132" s="480">
        <f>'[62]Sch C'!F128</f>
        <v>0</v>
      </c>
      <c r="E132" s="480">
        <f>+'[62]Sch C'!H128</f>
        <v>0</v>
      </c>
      <c r="F132" s="166">
        <f t="shared" si="41"/>
        <v>47744.85</v>
      </c>
      <c r="G132" s="626"/>
      <c r="H132" s="166"/>
      <c r="I132" s="166">
        <f t="shared" si="42"/>
        <v>47744.85</v>
      </c>
      <c r="J132" s="167">
        <f>IF($I$213=0,0,I132/$I$213)</f>
        <v>3.3490322856810323E-3</v>
      </c>
      <c r="K132" s="458"/>
      <c r="L132" s="176">
        <v>7792.52</v>
      </c>
      <c r="M132" s="176">
        <v>8481.130000000001</v>
      </c>
      <c r="O132" s="329">
        <f t="shared" si="43"/>
        <v>1.0255138862040079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'[62]Sch C'!D130</f>
        <v>0</v>
      </c>
      <c r="D134" s="480">
        <f>'[62]Sch C'!F130</f>
        <v>0</v>
      </c>
      <c r="E134" s="480">
        <f>+'[62]Sch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'[62]Sch C'!D131</f>
        <v>129773.98</v>
      </c>
      <c r="D135" s="480">
        <f>'[62]Sch C'!F131</f>
        <v>0</v>
      </c>
      <c r="E135" s="480">
        <f>+'[62]Sch C'!H131</f>
        <v>0</v>
      </c>
      <c r="F135" s="166">
        <f t="shared" si="44"/>
        <v>129773.98</v>
      </c>
      <c r="G135" s="626">
        <v>-13739</v>
      </c>
      <c r="H135" s="166"/>
      <c r="I135" s="166">
        <f t="shared" si="45"/>
        <v>116034.98</v>
      </c>
      <c r="J135" s="167">
        <f>IF($I$213=0,0,I135/$I$213)</f>
        <v>8.139200233917435E-3</v>
      </c>
      <c r="K135" s="458"/>
      <c r="L135" s="196"/>
      <c r="M135" s="196"/>
      <c r="O135" s="329">
        <f t="shared" si="43"/>
        <v>2.4923208110488217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'[62]Sch C'!D132</f>
        <v>0</v>
      </c>
      <c r="D136" s="480">
        <f>'[62]Sch C'!F132</f>
        <v>0</v>
      </c>
      <c r="E136" s="480">
        <f>+'[62]Sch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'[62]Sch C'!D133</f>
        <v>8984.16</v>
      </c>
      <c r="D137" s="480">
        <f>'[62]Sch C'!F133</f>
        <v>0</v>
      </c>
      <c r="E137" s="480">
        <f>+'[62]Sch C'!H133</f>
        <v>0</v>
      </c>
      <c r="F137" s="166">
        <f t="shared" si="44"/>
        <v>8984.16</v>
      </c>
      <c r="G137" s="626">
        <v>-540</v>
      </c>
      <c r="H137" s="166"/>
      <c r="I137" s="166">
        <f t="shared" si="45"/>
        <v>8444.16</v>
      </c>
      <c r="J137" s="167">
        <f>IF($I$213=0,0,I137/$I$213)</f>
        <v>5.9231025891706322E-4</v>
      </c>
      <c r="K137" s="458"/>
      <c r="L137" s="163"/>
      <c r="M137" s="163"/>
      <c r="O137" s="329">
        <f t="shared" si="43"/>
        <v>0.18137251111540692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'[62]Sch C'!D134</f>
        <v>9394.5499999999993</v>
      </c>
      <c r="D138" s="480">
        <f>'[62]Sch C'!F134</f>
        <v>0</v>
      </c>
      <c r="E138" s="480">
        <f>+'[62]Sch C'!H134</f>
        <v>0</v>
      </c>
      <c r="F138" s="166">
        <f t="shared" si="44"/>
        <v>9394.5499999999993</v>
      </c>
      <c r="G138" s="626">
        <v>-289</v>
      </c>
      <c r="H138" s="166"/>
      <c r="I138" s="166">
        <f t="shared" si="45"/>
        <v>9105.5499999999993</v>
      </c>
      <c r="J138" s="167">
        <f>IF($I$213=0,0,I138/$I$213)</f>
        <v>6.3870304187536289E-4</v>
      </c>
      <c r="K138" s="458"/>
      <c r="L138" s="163"/>
      <c r="M138" s="163"/>
      <c r="O138" s="329">
        <f t="shared" si="43"/>
        <v>0.19557853813604828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'[62]Sch C'!D136</f>
        <v>1308403.4099999999</v>
      </c>
      <c r="D140" s="480">
        <f>'[62]Sch C'!F136</f>
        <v>0</v>
      </c>
      <c r="E140" s="480">
        <f>+'[62]Sch C'!H136</f>
        <v>0</v>
      </c>
      <c r="F140" s="166">
        <f t="shared" ref="F140:F143" si="46">C140+D140+E140</f>
        <v>1308403.4099999999</v>
      </c>
      <c r="G140" s="626"/>
      <c r="H140" s="166"/>
      <c r="I140" s="166">
        <f t="shared" ref="I140:I143" si="47">F140+G140+H140</f>
        <v>1308403.4099999999</v>
      </c>
      <c r="J140" s="167">
        <f>IF($I$213=0,0,I140/$I$213)</f>
        <v>9.1777129109949174E-2</v>
      </c>
      <c r="K140" s="458"/>
      <c r="L140" s="176">
        <v>38366.400000000001</v>
      </c>
      <c r="M140" s="176">
        <v>40981.64</v>
      </c>
      <c r="O140" s="329">
        <f t="shared" si="43"/>
        <v>28.103258586249112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'[62]Sch C'!D137</f>
        <v>512231.42</v>
      </c>
      <c r="D141" s="480">
        <f>'[62]Sch C'!F137</f>
        <v>0</v>
      </c>
      <c r="E141" s="480">
        <f>+'[62]Sch C'!H137</f>
        <v>0</v>
      </c>
      <c r="F141" s="166">
        <f t="shared" si="46"/>
        <v>512231.42</v>
      </c>
      <c r="G141" s="626"/>
      <c r="H141" s="166"/>
      <c r="I141" s="166">
        <f t="shared" si="47"/>
        <v>512231.42</v>
      </c>
      <c r="J141" s="167">
        <f>IF($I$213=0,0,I141/$I$213)</f>
        <v>3.5930148766207051E-2</v>
      </c>
      <c r="K141" s="458"/>
      <c r="L141" s="176">
        <v>18557.16</v>
      </c>
      <c r="M141" s="176">
        <v>20070.84</v>
      </c>
      <c r="O141" s="329">
        <f t="shared" si="43"/>
        <v>11.002242842107524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'[62]Sch C'!D138</f>
        <v>1601006.97</v>
      </c>
      <c r="D142" s="480">
        <f>'[62]Sch C'!F138</f>
        <v>0</v>
      </c>
      <c r="E142" s="480">
        <f>+'[62]Sch C'!H138</f>
        <v>0</v>
      </c>
      <c r="F142" s="166">
        <f t="shared" si="46"/>
        <v>1601006.97</v>
      </c>
      <c r="G142" s="626"/>
      <c r="H142" s="166"/>
      <c r="I142" s="166">
        <f t="shared" si="47"/>
        <v>1601006.97</v>
      </c>
      <c r="J142" s="167">
        <f>IF($I$213=0,0,I142/$I$213)</f>
        <v>0.11230162063825447</v>
      </c>
      <c r="K142" s="458"/>
      <c r="L142" s="176">
        <v>110034.78</v>
      </c>
      <c r="M142" s="176">
        <v>117963.89</v>
      </c>
      <c r="O142" s="329">
        <f t="shared" si="43"/>
        <v>34.388104259295055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'[62]Sch C'!D139</f>
        <v>103697.37</v>
      </c>
      <c r="D143" s="480">
        <f>'[62]Sch C'!F139</f>
        <v>0</v>
      </c>
      <c r="E143" s="480">
        <f>+'[62]Sch C'!H139</f>
        <v>0</v>
      </c>
      <c r="F143" s="166">
        <f t="shared" si="46"/>
        <v>103697.37</v>
      </c>
      <c r="G143" s="626"/>
      <c r="H143" s="166"/>
      <c r="I143" s="166">
        <f t="shared" si="47"/>
        <v>103697.37</v>
      </c>
      <c r="J143" s="167">
        <f>IF($I$213=0,0,I143/$I$213)</f>
        <v>7.273786388902922E-3</v>
      </c>
      <c r="K143" s="458"/>
      <c r="L143" s="176">
        <v>7179.34</v>
      </c>
      <c r="M143" s="176">
        <v>7820.19</v>
      </c>
      <c r="O143" s="329">
        <f t="shared" si="43"/>
        <v>2.2273207036535858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'[62]Sch C'!D141</f>
        <v>218336.51</v>
      </c>
      <c r="D145" s="480">
        <f>'[62]Sch C'!F141</f>
        <v>0</v>
      </c>
      <c r="E145" s="480">
        <f>+'[62]Sch C'!H141</f>
        <v>0</v>
      </c>
      <c r="F145" s="166">
        <f t="shared" ref="F145:F148" si="48">C145+D145+E145</f>
        <v>218336.51</v>
      </c>
      <c r="G145" s="626">
        <v>-21079</v>
      </c>
      <c r="H145" s="166"/>
      <c r="I145" s="166">
        <f t="shared" ref="I145:I148" si="49">F145+G145+H145</f>
        <v>197257.51</v>
      </c>
      <c r="J145" s="167">
        <f>IF($I$213=0,0,I145/$I$213)</f>
        <v>1.3836503195277587E-2</v>
      </c>
      <c r="K145" s="458"/>
      <c r="L145" s="163"/>
      <c r="M145" s="163"/>
      <c r="O145" s="329">
        <f t="shared" si="43"/>
        <v>4.236903365766695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'[62]Sch C'!D142</f>
        <v>85477.28</v>
      </c>
      <c r="D146" s="480">
        <f>'[62]Sch C'!F142</f>
        <v>0</v>
      </c>
      <c r="E146" s="480">
        <f>+'[62]Sch C'!H142</f>
        <v>0</v>
      </c>
      <c r="F146" s="166">
        <f t="shared" si="48"/>
        <v>85477.28</v>
      </c>
      <c r="G146" s="626">
        <v>-8253</v>
      </c>
      <c r="H146" s="166"/>
      <c r="I146" s="166">
        <f t="shared" si="49"/>
        <v>77224.28</v>
      </c>
      <c r="J146" s="167">
        <f>IF($I$213=0,0,I146/$I$213)</f>
        <v>5.4168482455903E-3</v>
      </c>
      <c r="K146" s="458"/>
      <c r="L146" s="163"/>
      <c r="M146" s="163"/>
      <c r="O146" s="329">
        <f t="shared" si="43"/>
        <v>1.6587039542925877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'[62]Sch C'!D143</f>
        <v>267164.08</v>
      </c>
      <c r="D147" s="480">
        <f>'[62]Sch C'!F143</f>
        <v>0</v>
      </c>
      <c r="E147" s="480">
        <f>+'[62]Sch C'!H143</f>
        <v>0</v>
      </c>
      <c r="F147" s="166">
        <f t="shared" si="48"/>
        <v>267164.08</v>
      </c>
      <c r="G147" s="626">
        <v>-25793</v>
      </c>
      <c r="H147" s="166"/>
      <c r="I147" s="166">
        <f t="shared" si="49"/>
        <v>241371.08000000002</v>
      </c>
      <c r="J147" s="167">
        <f>IF($I$213=0,0,I147/$I$213)</f>
        <v>1.6930821643584584E-2</v>
      </c>
      <c r="K147" s="458"/>
      <c r="L147" s="163"/>
      <c r="M147" s="163"/>
      <c r="O147" s="329">
        <f t="shared" si="43"/>
        <v>5.1844208174925361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'[62]Sch C'!D144</f>
        <v>14832.27</v>
      </c>
      <c r="D148" s="480">
        <f>'[62]Sch C'!F144</f>
        <v>0</v>
      </c>
      <c r="E148" s="480">
        <f>+'[62]Sch C'!H144</f>
        <v>0</v>
      </c>
      <c r="F148" s="166">
        <f t="shared" si="48"/>
        <v>14832.27</v>
      </c>
      <c r="G148" s="626">
        <v>-1666</v>
      </c>
      <c r="H148" s="166"/>
      <c r="I148" s="166">
        <f t="shared" si="49"/>
        <v>13166.27</v>
      </c>
      <c r="J148" s="167">
        <f>IF($I$213=0,0,I148/$I$213)</f>
        <v>9.2353967625814315E-4</v>
      </c>
      <c r="K148" s="458"/>
      <c r="L148" s="163"/>
      <c r="M148" s="163"/>
      <c r="O148" s="329">
        <f t="shared" si="43"/>
        <v>0.28279893463925942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'[62]Sch C'!D146</f>
        <v>89000</v>
      </c>
      <c r="D150" s="480">
        <f>'[62]Sch C'!F146</f>
        <v>0</v>
      </c>
      <c r="E150" s="480">
        <f>+'[62]Sch C'!H146</f>
        <v>0</v>
      </c>
      <c r="F150" s="166">
        <f t="shared" ref="F150:F158" si="50">C150+D150+E150</f>
        <v>89000</v>
      </c>
      <c r="G150" s="626"/>
      <c r="H150" s="166"/>
      <c r="I150" s="166">
        <f t="shared" ref="I150:I158" si="51">F150+G150+H150</f>
        <v>89000</v>
      </c>
      <c r="J150" s="167">
        <f t="shared" ref="J150:J158" si="52">IF($I$213=0,0,I150/$I$213)</f>
        <v>6.2428486721732681E-3</v>
      </c>
      <c r="K150" s="458"/>
      <c r="L150" s="176">
        <v>0</v>
      </c>
      <c r="M150" s="176">
        <v>0</v>
      </c>
      <c r="O150" s="329">
        <f t="shared" si="43"/>
        <v>1.9116351998625341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'[62]Sch C'!D147</f>
        <v>120434.44</v>
      </c>
      <c r="D151" s="480">
        <f>'[62]Sch C'!F147</f>
        <v>0</v>
      </c>
      <c r="E151" s="480">
        <f>+'[62]Sch C'!H147</f>
        <v>0</v>
      </c>
      <c r="F151" s="166">
        <f t="shared" si="50"/>
        <v>120434.44</v>
      </c>
      <c r="G151" s="626"/>
      <c r="H151" s="166"/>
      <c r="I151" s="166">
        <f t="shared" si="51"/>
        <v>120434.44</v>
      </c>
      <c r="J151" s="167">
        <f t="shared" si="52"/>
        <v>8.447797571212709E-3</v>
      </c>
      <c r="K151" s="458"/>
      <c r="L151" s="176">
        <v>0</v>
      </c>
      <c r="M151" s="176">
        <v>0</v>
      </c>
      <c r="O151" s="329">
        <f t="shared" si="43"/>
        <v>2.5868170199969929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'[62]Sch C'!D148</f>
        <v>245797.78999999998</v>
      </c>
      <c r="D152" s="480">
        <f>'[62]Sch C'!F148</f>
        <v>0</v>
      </c>
      <c r="E152" s="480">
        <f>+'[62]Sch C'!H148</f>
        <v>0</v>
      </c>
      <c r="F152" s="166">
        <f t="shared" si="50"/>
        <v>245797.78999999998</v>
      </c>
      <c r="G152" s="626">
        <f>-55095-5993</f>
        <v>-61088</v>
      </c>
      <c r="H152" s="166"/>
      <c r="I152" s="166">
        <f t="shared" si="51"/>
        <v>184709.78999999998</v>
      </c>
      <c r="J152" s="167">
        <f t="shared" si="52"/>
        <v>1.2956351317291045E-2</v>
      </c>
      <c r="K152" s="458"/>
      <c r="L152" s="176">
        <v>0</v>
      </c>
      <c r="M152" s="176">
        <v>0</v>
      </c>
      <c r="O152" s="329">
        <f t="shared" si="43"/>
        <v>3.9673902957664793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'[62]Sch C'!D149</f>
        <v>159473.57999999999</v>
      </c>
      <c r="D153" s="480">
        <f>'[62]Sch C'!F149</f>
        <v>0</v>
      </c>
      <c r="E153" s="480">
        <f>+'[62]Sch C'!H149</f>
        <v>0</v>
      </c>
      <c r="F153" s="166">
        <f t="shared" si="50"/>
        <v>159473.57999999999</v>
      </c>
      <c r="G153" s="626">
        <v>5993</v>
      </c>
      <c r="H153" s="166"/>
      <c r="I153" s="166">
        <f t="shared" si="51"/>
        <v>165466.57999999999</v>
      </c>
      <c r="J153" s="167">
        <f t="shared" si="52"/>
        <v>1.1606548530809571E-2</v>
      </c>
      <c r="K153" s="458"/>
      <c r="L153" s="176">
        <v>0</v>
      </c>
      <c r="M153" s="176">
        <v>0</v>
      </c>
      <c r="O153" s="329">
        <f t="shared" si="43"/>
        <v>3.5540644800996626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'[62]Sch C'!D150</f>
        <v>15527.5</v>
      </c>
      <c r="D154" s="480">
        <f>'[62]Sch C'!F150</f>
        <v>0</v>
      </c>
      <c r="E154" s="480">
        <f>+'[62]Sch C'!H150</f>
        <v>0</v>
      </c>
      <c r="F154" s="166">
        <f t="shared" si="50"/>
        <v>15527.5</v>
      </c>
      <c r="G154" s="626"/>
      <c r="H154" s="166"/>
      <c r="I154" s="166">
        <f t="shared" si="51"/>
        <v>15527.5</v>
      </c>
      <c r="J154" s="167">
        <f t="shared" si="52"/>
        <v>1.0891666601929261E-3</v>
      </c>
      <c r="K154" s="458"/>
      <c r="L154" s="176">
        <v>0</v>
      </c>
      <c r="M154" s="176">
        <v>0</v>
      </c>
      <c r="O154" s="329">
        <f t="shared" si="43"/>
        <v>0.3335159052344438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'[62]Sch C'!D151</f>
        <v>494214.02</v>
      </c>
      <c r="D155" s="480">
        <f>'[62]Sch C'!F151</f>
        <v>0</v>
      </c>
      <c r="E155" s="480">
        <f>+'[62]Sch C'!H151</f>
        <v>0</v>
      </c>
      <c r="F155" s="166">
        <f t="shared" si="50"/>
        <v>494214.02</v>
      </c>
      <c r="G155" s="626"/>
      <c r="H155" s="166"/>
      <c r="I155" s="166">
        <f t="shared" si="51"/>
        <v>494214.02</v>
      </c>
      <c r="J155" s="167">
        <f t="shared" si="52"/>
        <v>3.4666329646364194E-2</v>
      </c>
      <c r="K155" s="458"/>
      <c r="L155" s="163"/>
      <c r="M155" s="163"/>
      <c r="O155" s="329">
        <f t="shared" si="43"/>
        <v>10.615246257276027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'[62]Sch C'!D152</f>
        <v>4141.87</v>
      </c>
      <c r="D156" s="480">
        <f>'[62]Sch C'!F152</f>
        <v>0</v>
      </c>
      <c r="E156" s="480">
        <f>+'[62]Sch C'!H152</f>
        <v>0</v>
      </c>
      <c r="F156" s="166">
        <f t="shared" si="50"/>
        <v>4141.87</v>
      </c>
      <c r="G156" s="626"/>
      <c r="H156" s="166"/>
      <c r="I156" s="166">
        <f t="shared" si="51"/>
        <v>4141.87</v>
      </c>
      <c r="J156" s="167">
        <f t="shared" si="52"/>
        <v>2.9052884977319432E-4</v>
      </c>
      <c r="K156" s="458"/>
      <c r="L156" s="163"/>
      <c r="M156" s="163"/>
      <c r="O156" s="329">
        <f t="shared" si="43"/>
        <v>8.8963421182636337E-2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'[62]Sch C'!D153</f>
        <v>1045.28</v>
      </c>
      <c r="D157" s="480">
        <f>'[62]Sch C'!F153</f>
        <v>0</v>
      </c>
      <c r="E157" s="480">
        <f>+'[62]Sch C'!H153</f>
        <v>0</v>
      </c>
      <c r="F157" s="166">
        <f t="shared" si="50"/>
        <v>1045.28</v>
      </c>
      <c r="G157" s="626"/>
      <c r="H157" s="166"/>
      <c r="I157" s="166">
        <f t="shared" si="51"/>
        <v>1045.28</v>
      </c>
      <c r="J157" s="167">
        <f t="shared" si="52"/>
        <v>7.3320504045497461E-5</v>
      </c>
      <c r="K157" s="458"/>
      <c r="L157" s="163"/>
      <c r="M157" s="163"/>
      <c r="O157" s="329">
        <f t="shared" si="43"/>
        <v>2.2451618446205725E-2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'[62]Sch C'!D154</f>
        <v>173543.41</v>
      </c>
      <c r="D158" s="480">
        <f>'[62]Sch C'!F154</f>
        <v>0</v>
      </c>
      <c r="E158" s="480">
        <f>+'[62]Sch C'!H154</f>
        <v>0</v>
      </c>
      <c r="F158" s="166">
        <f t="shared" si="50"/>
        <v>173543.41</v>
      </c>
      <c r="G158" s="626">
        <f>55095-4550</f>
        <v>50545</v>
      </c>
      <c r="H158" s="166"/>
      <c r="I158" s="166">
        <f t="shared" si="51"/>
        <v>224088.41</v>
      </c>
      <c r="J158" s="167">
        <f t="shared" si="52"/>
        <v>1.571853969458336E-2</v>
      </c>
      <c r="K158" s="458"/>
      <c r="L158" s="163"/>
      <c r="M158" s="163"/>
      <c r="O158" s="329">
        <f t="shared" si="43"/>
        <v>4.8132055330025558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'[62]Sch C'!D156</f>
        <v>0</v>
      </c>
      <c r="D160" s="480">
        <f>'[62]Sch C'!F156</f>
        <v>0</v>
      </c>
      <c r="E160" s="480">
        <f>+'[62]Sch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'[62]Sch C'!D157</f>
        <v>2419.75</v>
      </c>
      <c r="D161" s="480">
        <f>'[62]Sch C'!F157</f>
        <v>0</v>
      </c>
      <c r="E161" s="480">
        <f>+'[62]Sch C'!H157</f>
        <v>0</v>
      </c>
      <c r="F161" s="166">
        <f t="shared" si="53"/>
        <v>2419.75</v>
      </c>
      <c r="G161" s="626"/>
      <c r="H161" s="166"/>
      <c r="I161" s="166">
        <f t="shared" si="54"/>
        <v>2419.75</v>
      </c>
      <c r="J161" s="167">
        <f t="shared" si="55"/>
        <v>1.6973183229765468E-4</v>
      </c>
      <c r="K161" s="458"/>
      <c r="L161" s="163"/>
      <c r="M161" s="163"/>
      <c r="O161" s="329">
        <f t="shared" si="43"/>
        <v>5.1973924436711991E-2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'[62]Sch C'!D158</f>
        <v>0</v>
      </c>
      <c r="D162" s="480">
        <f>'[62]Sch C'!F158</f>
        <v>0</v>
      </c>
      <c r="E162" s="480">
        <f>+'[62]Sch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'[62]Sch C'!D159</f>
        <v>0</v>
      </c>
      <c r="D163" s="480">
        <f>'[62]Sch C'!F159</f>
        <v>0</v>
      </c>
      <c r="E163" s="480">
        <f>+'[62]Sch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'[62]Sch C'!D160</f>
        <v>0</v>
      </c>
      <c r="D164" s="480">
        <f>'[62]Sch C'!F160</f>
        <v>0</v>
      </c>
      <c r="E164" s="480">
        <f>+'[62]Sch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'[62]Sch C'!D161</f>
        <v>60375.22</v>
      </c>
      <c r="D165" s="480">
        <f>'[62]Sch C'!F161</f>
        <v>0</v>
      </c>
      <c r="E165" s="480">
        <f>+'[62]Sch C'!H161</f>
        <v>0</v>
      </c>
      <c r="F165" s="166">
        <f t="shared" si="53"/>
        <v>60375.22</v>
      </c>
      <c r="G165" s="626">
        <v>-15954</v>
      </c>
      <c r="H165" s="166"/>
      <c r="I165" s="166">
        <f t="shared" si="54"/>
        <v>44421.22</v>
      </c>
      <c r="J165" s="167">
        <f t="shared" si="55"/>
        <v>3.1158983628462545E-3</v>
      </c>
      <c r="K165" s="458"/>
      <c r="L165" s="163"/>
      <c r="M165" s="163"/>
      <c r="O165" s="329">
        <f t="shared" si="43"/>
        <v>0.95412548059368085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6614161.1800000006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6614161.1800000006</v>
      </c>
      <c r="G166" s="166">
        <f t="shared" si="57"/>
        <v>-91863</v>
      </c>
      <c r="H166" s="166">
        <f t="shared" si="57"/>
        <v>0</v>
      </c>
      <c r="I166" s="166">
        <f t="shared" si="57"/>
        <v>6522298.1800000006</v>
      </c>
      <c r="J166" s="167">
        <f t="shared" si="55"/>
        <v>0.45750247789360821</v>
      </c>
      <c r="K166" s="458"/>
      <c r="L166" s="163"/>
      <c r="M166" s="163"/>
      <c r="O166" s="329">
        <f>I166/I$233</f>
        <v>140.09275039199264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'[62]Sch C'!D175</f>
        <v>0</v>
      </c>
      <c r="D169" s="480">
        <f>'[62]Sch C'!F175</f>
        <v>0</v>
      </c>
      <c r="E169" s="480">
        <f>+'[62]Sch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'[62]Sch C'!D176</f>
        <v>0</v>
      </c>
      <c r="D170" s="480">
        <f>'[62]Sch C'!F176</f>
        <v>0</v>
      </c>
      <c r="E170" s="480">
        <f>+'[62]Sch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'[62]Sch C'!D177</f>
        <v>0</v>
      </c>
      <c r="D171" s="480">
        <f>'[62]Sch C'!F177</f>
        <v>0</v>
      </c>
      <c r="E171" s="480">
        <f>+'[62]Sch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'[62]Sch C'!D178</f>
        <v>0</v>
      </c>
      <c r="D172" s="480">
        <f>'[62]Sch C'!F178</f>
        <v>0</v>
      </c>
      <c r="E172" s="480">
        <f>+'[62]Sch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'[62]Sch C'!D179</f>
        <v>0</v>
      </c>
      <c r="D173" s="480">
        <f>'[62]Sch C'!F179</f>
        <v>0</v>
      </c>
      <c r="E173" s="480">
        <f>+'[62]Sch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'[62]Sch C'!D180</f>
        <v>0</v>
      </c>
      <c r="D174" s="480">
        <f>'[62]Sch C'!F180</f>
        <v>0</v>
      </c>
      <c r="E174" s="480">
        <f>+'[62]Sch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'[62]Sch C'!D181</f>
        <v>0</v>
      </c>
      <c r="D175" s="480">
        <f>'[62]Sch C'!F181</f>
        <v>0</v>
      </c>
      <c r="E175" s="480">
        <f>+'[62]Sch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'[62]Sch C'!D182</f>
        <v>0</v>
      </c>
      <c r="D176" s="480">
        <f>'[62]Sch C'!F182</f>
        <v>0</v>
      </c>
      <c r="E176" s="480">
        <f>+'[62]Sch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'[62]Sch C'!D183</f>
        <v>0</v>
      </c>
      <c r="D177" s="480">
        <f>'[62]Sch C'!F183</f>
        <v>0</v>
      </c>
      <c r="E177" s="480">
        <f>+'[62]Sch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'[62]Sch C'!D184</f>
        <v>0</v>
      </c>
      <c r="D178" s="480">
        <f>'[62]Sch C'!F184</f>
        <v>0</v>
      </c>
      <c r="E178" s="480">
        <f>+'[62]Sch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'[62]Sch C'!D185</f>
        <v>0</v>
      </c>
      <c r="D179" s="480">
        <f>'[62]Sch C'!F185</f>
        <v>0</v>
      </c>
      <c r="E179" s="480">
        <f>+'[62]Sch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'[62]Sch C'!D186</f>
        <v>0</v>
      </c>
      <c r="D180" s="480">
        <f>'[62]Sch C'!F186</f>
        <v>0</v>
      </c>
      <c r="E180" s="480">
        <f>+'[62]Sch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'[62]Sch C'!D187</f>
        <v>0</v>
      </c>
      <c r="D181" s="480">
        <f>'[62]Sch C'!F187</f>
        <v>0</v>
      </c>
      <c r="E181" s="480">
        <f>+'[62]Sch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'[62]Sch C'!D188</f>
        <v>0</v>
      </c>
      <c r="D182" s="480">
        <f>'[62]Sch C'!F188</f>
        <v>0</v>
      </c>
      <c r="E182" s="480">
        <f>+'[62]Sch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'[62]Sch C'!D189</f>
        <v>0</v>
      </c>
      <c r="D183" s="480">
        <f>'[62]Sch C'!F189</f>
        <v>0</v>
      </c>
      <c r="E183" s="480">
        <f>+'[62]Sch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'[62]Sch C'!D190</f>
        <v>0</v>
      </c>
      <c r="D184" s="480">
        <f>'[62]Sch C'!F190</f>
        <v>0</v>
      </c>
      <c r="E184" s="480">
        <f>+'[62]Sch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'[62]Sch C'!D191</f>
        <v>0</v>
      </c>
      <c r="D185" s="480">
        <f>'[62]Sch C'!F191</f>
        <v>0</v>
      </c>
      <c r="E185" s="480">
        <f>+'[62]Sch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'[62]Sch C'!D192</f>
        <v>0</v>
      </c>
      <c r="D186" s="480">
        <f>'[62]Sch C'!F192</f>
        <v>0</v>
      </c>
      <c r="E186" s="480">
        <f>+'[62]Sch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'[62]Sch C'!D193</f>
        <v>0</v>
      </c>
      <c r="D187" s="480">
        <f>'[62]Sch C'!F193</f>
        <v>0</v>
      </c>
      <c r="E187" s="480">
        <f>+'[62]Sch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'[62]Sch C'!D194</f>
        <v>613228.86</v>
      </c>
      <c r="D188" s="480">
        <f>'[62]Sch C'!F194</f>
        <v>0</v>
      </c>
      <c r="E188" s="480">
        <f>+'[62]Sch C'!H194</f>
        <v>-19434.349999999999</v>
      </c>
      <c r="F188" s="166">
        <f t="shared" si="58"/>
        <v>593794.51</v>
      </c>
      <c r="G188" s="626">
        <v>4550</v>
      </c>
      <c r="H188" s="166"/>
      <c r="I188" s="166">
        <f t="shared" si="59"/>
        <v>598344.51</v>
      </c>
      <c r="J188" s="167">
        <f t="shared" si="60"/>
        <v>4.1970496963546794E-2</v>
      </c>
      <c r="K188" s="458"/>
      <c r="L188" s="213"/>
      <c r="M188" s="208"/>
      <c r="O188" s="329">
        <f t="shared" si="61"/>
        <v>12.851869965848316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'[62]Sch C'!D195</f>
        <v>108113.38</v>
      </c>
      <c r="D189" s="480">
        <f>'[62]Sch C'!F195</f>
        <v>0</v>
      </c>
      <c r="E189" s="480">
        <f>+'[62]Sch C'!H195</f>
        <v>-3426.3</v>
      </c>
      <c r="F189" s="166">
        <f t="shared" si="58"/>
        <v>104687.08</v>
      </c>
      <c r="G189" s="626"/>
      <c r="H189" s="166"/>
      <c r="I189" s="166">
        <f t="shared" si="59"/>
        <v>104687.08</v>
      </c>
      <c r="J189" s="167">
        <f t="shared" si="60"/>
        <v>7.3432089704685028E-3</v>
      </c>
      <c r="K189" s="458"/>
      <c r="L189" s="213"/>
      <c r="M189" s="208"/>
      <c r="O189" s="329">
        <f t="shared" si="61"/>
        <v>2.248578731447473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'[62]Sch C'!D196</f>
        <v>0</v>
      </c>
      <c r="D190" s="480">
        <f>'[62]Sch C'!F196</f>
        <v>0</v>
      </c>
      <c r="E190" s="480">
        <f>+'[62]Sch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'[62]Sch C'!D197</f>
        <v>541922.31999999995</v>
      </c>
      <c r="D191" s="480">
        <f>'[62]Sch C'!F197</f>
        <v>0</v>
      </c>
      <c r="E191" s="480">
        <f>+'[62]Sch C'!H197</f>
        <v>-17175</v>
      </c>
      <c r="F191" s="166">
        <f t="shared" si="58"/>
        <v>524747.31999999995</v>
      </c>
      <c r="G191" s="626"/>
      <c r="H191" s="166"/>
      <c r="I191" s="166">
        <f t="shared" si="59"/>
        <v>524747.31999999995</v>
      </c>
      <c r="J191" s="167">
        <f t="shared" si="60"/>
        <v>3.6808068650432367E-2</v>
      </c>
      <c r="K191" s="458"/>
      <c r="L191" s="213"/>
      <c r="M191" s="208"/>
      <c r="O191" s="329">
        <f t="shared" si="61"/>
        <v>11.271072448826169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'[62]Sch C'!D198</f>
        <v>49502.53</v>
      </c>
      <c r="D192" s="480">
        <f>'[62]Sch C'!F198</f>
        <v>0</v>
      </c>
      <c r="E192" s="480">
        <f>+'[62]Sch C'!H198</f>
        <v>0</v>
      </c>
      <c r="F192" s="166">
        <f t="shared" si="58"/>
        <v>49502.53</v>
      </c>
      <c r="G192" s="626"/>
      <c r="H192" s="166"/>
      <c r="I192" s="166">
        <f t="shared" si="59"/>
        <v>49502.53</v>
      </c>
      <c r="J192" s="167">
        <f t="shared" si="60"/>
        <v>3.4723236368507568E-3</v>
      </c>
      <c r="K192" s="458"/>
      <c r="L192" s="213"/>
      <c r="M192" s="208"/>
      <c r="O192" s="329">
        <f t="shared" si="61"/>
        <v>1.0632671778679899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'[62]Sch C'!D199</f>
        <v>0</v>
      </c>
      <c r="D193" s="480">
        <f>'[62]Sch C'!F199</f>
        <v>0</v>
      </c>
      <c r="E193" s="480">
        <f>+'[62]Sch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'[62]Sch C'!D200</f>
        <v>0</v>
      </c>
      <c r="D194" s="480">
        <f>'[62]Sch C'!F200</f>
        <v>0</v>
      </c>
      <c r="E194" s="480">
        <f>+'[62]Sch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'[62]Sch C'!D201</f>
        <v>0</v>
      </c>
      <c r="D195" s="480">
        <f>'[62]Sch C'!F201</f>
        <v>0</v>
      </c>
      <c r="E195" s="480">
        <f>+'[62]Sch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'[62]Sch C'!D202</f>
        <v>0</v>
      </c>
      <c r="D196" s="480">
        <f>'[62]Sch C'!F202</f>
        <v>0</v>
      </c>
      <c r="E196" s="480">
        <f>+'[62]Sch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'[62]Sch C'!D203</f>
        <v>0</v>
      </c>
      <c r="D197" s="480">
        <f>'[62]Sch C'!F203</f>
        <v>0</v>
      </c>
      <c r="E197" s="480">
        <f>+'[62]Sch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'[62]Sch C'!D204</f>
        <v>0</v>
      </c>
      <c r="D198" s="480">
        <f>'[62]Sch C'!F204</f>
        <v>0</v>
      </c>
      <c r="E198" s="480">
        <f>+'[62]Sch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'[62]Sch C'!D205</f>
        <v>947037.5</v>
      </c>
      <c r="D199" s="480">
        <f>'[62]Sch C'!F205</f>
        <v>0</v>
      </c>
      <c r="E199" s="480">
        <f>+'[62]Sch C'!H205</f>
        <v>-623686</v>
      </c>
      <c r="F199" s="166">
        <f t="shared" si="58"/>
        <v>323351.5</v>
      </c>
      <c r="G199" s="626"/>
      <c r="H199" s="166"/>
      <c r="I199" s="166">
        <f t="shared" si="59"/>
        <v>323351.5</v>
      </c>
      <c r="J199" s="167">
        <f t="shared" si="60"/>
        <v>2.2681286319328479E-2</v>
      </c>
      <c r="K199" s="458"/>
      <c r="L199" s="213"/>
      <c r="M199" s="208"/>
      <c r="O199" s="329">
        <f t="shared" si="61"/>
        <v>6.945282127284834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'[62]Sch C'!D206</f>
        <v>59838.73</v>
      </c>
      <c r="D200" s="480">
        <f>'[62]Sch C'!F206</f>
        <v>0</v>
      </c>
      <c r="E200" s="480">
        <f>+'[62]Sch C'!H206</f>
        <v>0</v>
      </c>
      <c r="F200" s="166">
        <f t="shared" si="58"/>
        <v>59838.73</v>
      </c>
      <c r="G200" s="626"/>
      <c r="H200" s="166"/>
      <c r="I200" s="166">
        <f t="shared" si="59"/>
        <v>59838.73</v>
      </c>
      <c r="J200" s="167">
        <f t="shared" si="60"/>
        <v>4.1973498441015139E-3</v>
      </c>
      <c r="K200" s="458"/>
      <c r="L200" s="213"/>
      <c r="M200" s="208"/>
      <c r="O200" s="329">
        <f t="shared" si="61"/>
        <v>1.2852789054277554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'[62]Sch C'!D207</f>
        <v>147830.57</v>
      </c>
      <c r="D201" s="480">
        <f>'[62]Sch C'!F207</f>
        <v>0</v>
      </c>
      <c r="E201" s="480">
        <f>+'[62]Sch C'!H207</f>
        <v>0</v>
      </c>
      <c r="F201" s="166">
        <f t="shared" si="58"/>
        <v>147830.57</v>
      </c>
      <c r="G201" s="626"/>
      <c r="H201" s="166"/>
      <c r="I201" s="166">
        <f t="shared" si="59"/>
        <v>147830.57</v>
      </c>
      <c r="J201" s="167">
        <f t="shared" si="60"/>
        <v>1.0369481771136151E-2</v>
      </c>
      <c r="K201" s="458"/>
      <c r="L201" s="213"/>
      <c r="M201" s="208"/>
      <c r="O201" s="329">
        <f t="shared" si="61"/>
        <v>3.1752597890757568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2467473.8899999997</v>
      </c>
      <c r="D202" s="480">
        <f t="shared" si="62"/>
        <v>0</v>
      </c>
      <c r="E202" s="480">
        <f t="shared" si="62"/>
        <v>-663721.65</v>
      </c>
      <c r="F202" s="166">
        <f t="shared" ref="F202:I202" si="63">SUM(F169:F201)</f>
        <v>1803752.24</v>
      </c>
      <c r="G202" s="166">
        <f t="shared" si="63"/>
        <v>4550</v>
      </c>
      <c r="H202" s="166">
        <f t="shared" si="63"/>
        <v>0</v>
      </c>
      <c r="I202" s="166">
        <f t="shared" si="63"/>
        <v>1808302.24</v>
      </c>
      <c r="J202" s="167">
        <f>IF($I$213=0,0,I202/$I$213)</f>
        <v>0.12684221615586458</v>
      </c>
      <c r="K202" s="458"/>
      <c r="L202" s="163"/>
      <c r="M202" s="163"/>
      <c r="O202" s="329">
        <f>I202/I$233</f>
        <v>38.840609145778295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'[62]Sch C'!D211</f>
        <v>246254.51</v>
      </c>
      <c r="D205" s="480">
        <f>'[62]Sch C'!F211</f>
        <v>0</v>
      </c>
      <c r="E205" s="480">
        <f>+'[62]Sch C'!H211</f>
        <v>0</v>
      </c>
      <c r="F205" s="166">
        <f t="shared" ref="F205:F210" si="64">C205+D205+E205</f>
        <v>246254.51</v>
      </c>
      <c r="G205" s="626"/>
      <c r="H205" s="166"/>
      <c r="I205" s="166">
        <f t="shared" ref="I205:I210" si="65">F205+G205+H205</f>
        <v>246254.51</v>
      </c>
      <c r="J205" s="167">
        <f t="shared" ref="J205:J211" si="66">IF($I$213=0,0,I205/$I$213)</f>
        <v>1.727336675022673E-2</v>
      </c>
      <c r="K205" s="458"/>
      <c r="L205" s="176">
        <v>12956.32</v>
      </c>
      <c r="M205" s="176">
        <v>14251.92</v>
      </c>
      <c r="O205" s="329">
        <f t="shared" ref="O205:O210" si="67">I205/I$233</f>
        <v>5.2893122409089939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'[62]Sch C'!D212</f>
        <v>40161.11</v>
      </c>
      <c r="D206" s="480">
        <f>'[62]Sch C'!F212</f>
        <v>0</v>
      </c>
      <c r="E206" s="480">
        <f>+'[62]Sch C'!H212</f>
        <v>0</v>
      </c>
      <c r="F206" s="166">
        <f t="shared" si="64"/>
        <v>40161.11</v>
      </c>
      <c r="G206" s="626">
        <v>-4100</v>
      </c>
      <c r="H206" s="166"/>
      <c r="I206" s="166">
        <f t="shared" si="65"/>
        <v>36061.11</v>
      </c>
      <c r="J206" s="167">
        <f t="shared" si="66"/>
        <v>2.529483737984204E-3</v>
      </c>
      <c r="K206" s="458"/>
      <c r="L206" s="163"/>
      <c r="M206" s="163"/>
      <c r="O206" s="329">
        <f t="shared" si="67"/>
        <v>0.77455828339454869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'[62]Sch C'!D213</f>
        <v>26584.77</v>
      </c>
      <c r="D207" s="480">
        <f>'[62]Sch C'!F213</f>
        <v>0</v>
      </c>
      <c r="E207" s="480">
        <f>+'[62]Sch C'!H213</f>
        <v>0</v>
      </c>
      <c r="F207" s="166">
        <f t="shared" si="64"/>
        <v>26584.77</v>
      </c>
      <c r="G207" s="626"/>
      <c r="H207" s="166"/>
      <c r="I207" s="166">
        <f t="shared" si="65"/>
        <v>26584.77</v>
      </c>
      <c r="J207" s="167">
        <f t="shared" si="66"/>
        <v>1.8647718662306938E-3</v>
      </c>
      <c r="K207" s="458"/>
      <c r="L207" s="163"/>
      <c r="M207" s="163"/>
      <c r="O207" s="329">
        <f t="shared" si="67"/>
        <v>0.57101552935111799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'[62]Sch C'!D214</f>
        <v>0</v>
      </c>
      <c r="D208" s="480">
        <f>'[62]Sch C'!F214</f>
        <v>0</v>
      </c>
      <c r="E208" s="480">
        <f>+'[62]Sch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'[62]Sch C'!D215</f>
        <v>0</v>
      </c>
      <c r="D209" s="480">
        <f>'[62]Sch C'!F215</f>
        <v>0</v>
      </c>
      <c r="E209" s="480">
        <f>+'[62]Sch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'[62]Sch C'!D216</f>
        <v>1178.71</v>
      </c>
      <c r="D210" s="480">
        <f>'[62]Sch C'!F216</f>
        <v>0</v>
      </c>
      <c r="E210" s="480">
        <f>+'[62]Sch C'!H216</f>
        <v>0</v>
      </c>
      <c r="F210" s="166">
        <f t="shared" si="64"/>
        <v>1178.71</v>
      </c>
      <c r="G210" s="626"/>
      <c r="H210" s="166"/>
      <c r="I210" s="166">
        <f t="shared" si="65"/>
        <v>1178.71</v>
      </c>
      <c r="J210" s="167">
        <f t="shared" si="66"/>
        <v>8.2679866948060147E-5</v>
      </c>
      <c r="K210" s="458"/>
      <c r="L210" s="163"/>
      <c r="M210" s="163"/>
      <c r="O210" s="329">
        <f t="shared" si="67"/>
        <v>2.5317567712696266E-2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314179.10000000003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314179.10000000003</v>
      </c>
      <c r="G211" s="166">
        <f t="shared" si="69"/>
        <v>-4100</v>
      </c>
      <c r="H211" s="166">
        <f t="shared" si="69"/>
        <v>0</v>
      </c>
      <c r="I211" s="166">
        <f t="shared" si="69"/>
        <v>310079.10000000003</v>
      </c>
      <c r="J211" s="167">
        <f t="shared" si="66"/>
        <v>2.175030222138969E-2</v>
      </c>
      <c r="K211" s="458"/>
      <c r="L211" s="163"/>
      <c r="M211" s="163"/>
      <c r="O211" s="329">
        <f>I211/I$233</f>
        <v>6.6602036213673568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15254887.160000002</v>
      </c>
      <c r="D213" s="480">
        <f t="shared" si="70"/>
        <v>-472746.25999999995</v>
      </c>
      <c r="E213" s="480">
        <f t="shared" si="70"/>
        <v>-635883.65</v>
      </c>
      <c r="F213" s="166">
        <f t="shared" ref="F213:I213" si="71">SUM(F30:F211)/2</f>
        <v>14146257.25</v>
      </c>
      <c r="G213" s="166">
        <f t="shared" si="71"/>
        <v>-10344</v>
      </c>
      <c r="H213" s="166">
        <f t="shared" si="71"/>
        <v>120399</v>
      </c>
      <c r="I213" s="166">
        <f t="shared" si="71"/>
        <v>14256312.25</v>
      </c>
      <c r="J213" s="167">
        <f>IF($I$213=0,0,I213/$I$213)</f>
        <v>1</v>
      </c>
      <c r="K213" s="458"/>
      <c r="L213" s="176">
        <f>SUM(L30:L205)</f>
        <v>292697.94000000006</v>
      </c>
      <c r="M213" s="176">
        <f>SUM(M30:M205)</f>
        <v>314937.75999999995</v>
      </c>
      <c r="O213" s="329">
        <f>I213/I$233</f>
        <v>306.21200356552185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'[62]Sch C'!D221</f>
        <v>15254887.15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1.0000001639127731E-2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-1377001.2400000021</v>
      </c>
      <c r="D220" s="480">
        <f t="shared" si="72"/>
        <v>3474412.4499999997</v>
      </c>
      <c r="E220" s="480">
        <f t="shared" si="72"/>
        <v>635883.65</v>
      </c>
      <c r="F220" s="166">
        <f t="shared" ref="F220:I220" si="73">F26-F213</f>
        <v>2733294.8599999994</v>
      </c>
      <c r="G220" s="166">
        <f t="shared" si="73"/>
        <v>0</v>
      </c>
      <c r="H220" s="166">
        <f t="shared" si="73"/>
        <v>-120399</v>
      </c>
      <c r="I220" s="166">
        <f t="shared" si="73"/>
        <v>2612895.8599999994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'[62]Sch D'!C9</f>
        <v>27165</v>
      </c>
      <c r="D224" s="480"/>
      <c r="E224" s="480"/>
      <c r="F224" s="224">
        <f>C224+D224+E224</f>
        <v>27165</v>
      </c>
      <c r="G224" s="627"/>
      <c r="H224" s="224"/>
      <c r="I224" s="224">
        <f>F224+G224+H224</f>
        <v>27165</v>
      </c>
      <c r="J224" s="167">
        <f t="shared" ref="J224:J233" si="74">IF($I$233=0,0,I224/$I$233)</f>
        <v>0.58347831690186225</v>
      </c>
      <c r="K224" s="458"/>
      <c r="L224" s="163"/>
      <c r="M224" s="163"/>
    </row>
    <row r="225" spans="1:13">
      <c r="A225" s="158"/>
      <c r="B225" s="165" t="s">
        <v>201</v>
      </c>
      <c r="C225" s="504">
        <f>'[62]Sch D'!D9</f>
        <v>812</v>
      </c>
      <c r="D225" s="480"/>
      <c r="E225" s="480"/>
      <c r="F225" s="224">
        <f t="shared" ref="F225:F232" si="75">C225+D225+E225</f>
        <v>812</v>
      </c>
      <c r="G225" s="627"/>
      <c r="H225" s="224"/>
      <c r="I225" s="224">
        <f t="shared" ref="I225:I232" si="76">F225+G225+H225</f>
        <v>812</v>
      </c>
      <c r="J225" s="167">
        <f t="shared" si="74"/>
        <v>1.7440986317846942E-2</v>
      </c>
      <c r="K225" s="458"/>
      <c r="L225" s="163"/>
      <c r="M225" s="163"/>
    </row>
    <row r="226" spans="1:13">
      <c r="A226" s="158"/>
      <c r="B226" s="165" t="s">
        <v>64</v>
      </c>
      <c r="C226" s="504">
        <f>'[62]Sch D'!E9</f>
        <v>6649</v>
      </c>
      <c r="D226" s="480"/>
      <c r="E226" s="480"/>
      <c r="F226" s="224">
        <f t="shared" si="75"/>
        <v>6649</v>
      </c>
      <c r="G226" s="627"/>
      <c r="H226" s="224"/>
      <c r="I226" s="224">
        <f t="shared" si="76"/>
        <v>6649</v>
      </c>
      <c r="J226" s="167">
        <f t="shared" si="74"/>
        <v>0.14281418476276392</v>
      </c>
      <c r="K226" s="458"/>
      <c r="L226" s="163"/>
      <c r="M226" s="163"/>
    </row>
    <row r="227" spans="1:13">
      <c r="A227" s="158"/>
      <c r="B227" s="194" t="s">
        <v>315</v>
      </c>
      <c r="C227" s="504">
        <f>'[62]Sch D'!F9</f>
        <v>3291</v>
      </c>
      <c r="D227" s="480"/>
      <c r="E227" s="480"/>
      <c r="F227" s="224">
        <f t="shared" si="75"/>
        <v>3291</v>
      </c>
      <c r="G227" s="627"/>
      <c r="H227" s="224"/>
      <c r="I227" s="224">
        <f t="shared" si="76"/>
        <v>3291</v>
      </c>
      <c r="J227" s="167">
        <f t="shared" si="74"/>
        <v>7.0687544300534824E-2</v>
      </c>
      <c r="K227" s="458"/>
      <c r="L227" s="163"/>
      <c r="M227" s="163"/>
    </row>
    <row r="228" spans="1:13">
      <c r="A228" s="158"/>
      <c r="B228" s="165" t="s">
        <v>65</v>
      </c>
      <c r="C228" s="504">
        <f>'[62]Sch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'[62]Sch D'!H9</f>
        <v>3568</v>
      </c>
      <c r="D229" s="480"/>
      <c r="E229" s="480"/>
      <c r="F229" s="224">
        <f t="shared" si="75"/>
        <v>3568</v>
      </c>
      <c r="G229" s="627"/>
      <c r="H229" s="224"/>
      <c r="I229" s="224">
        <f t="shared" si="76"/>
        <v>3568</v>
      </c>
      <c r="J229" s="167">
        <f t="shared" si="74"/>
        <v>7.6637240372017093E-2</v>
      </c>
      <c r="K229" s="458"/>
      <c r="L229" s="163"/>
      <c r="M229" s="163"/>
    </row>
    <row r="230" spans="1:13">
      <c r="A230" s="158"/>
      <c r="B230" s="165" t="s">
        <v>219</v>
      </c>
      <c r="C230" s="504">
        <f>'[62]Sch D'!I9</f>
        <v>4876</v>
      </c>
      <c r="D230" s="480"/>
      <c r="E230" s="480"/>
      <c r="F230" s="224">
        <f t="shared" si="75"/>
        <v>4876</v>
      </c>
      <c r="G230" s="627"/>
      <c r="H230" s="224"/>
      <c r="I230" s="224">
        <f t="shared" si="76"/>
        <v>4876</v>
      </c>
      <c r="J230" s="167">
        <f t="shared" si="74"/>
        <v>0.10473183409583951</v>
      </c>
      <c r="K230" s="458"/>
      <c r="L230" s="163"/>
      <c r="M230" s="163"/>
    </row>
    <row r="231" spans="1:13">
      <c r="A231" s="158"/>
      <c r="B231" s="165" t="s">
        <v>218</v>
      </c>
      <c r="C231" s="504">
        <f>'[62]Sch D'!J9</f>
        <v>149</v>
      </c>
      <c r="D231" s="480"/>
      <c r="E231" s="480"/>
      <c r="F231" s="224">
        <f t="shared" si="75"/>
        <v>149</v>
      </c>
      <c r="G231" s="627"/>
      <c r="H231" s="224"/>
      <c r="I231" s="224">
        <f t="shared" si="76"/>
        <v>149</v>
      </c>
      <c r="J231" s="167">
        <f>IF($I$233=0,0,I231/$I$233)</f>
        <v>3.2003780312305345E-3</v>
      </c>
      <c r="K231" s="458"/>
      <c r="L231" s="163"/>
      <c r="M231" s="163"/>
    </row>
    <row r="232" spans="1:13">
      <c r="A232" s="158"/>
      <c r="B232" s="165" t="s">
        <v>170</v>
      </c>
      <c r="C232" s="504">
        <f>'[62]Sch D'!K9</f>
        <v>47</v>
      </c>
      <c r="D232" s="480"/>
      <c r="E232" s="480"/>
      <c r="F232" s="224">
        <f t="shared" si="75"/>
        <v>47</v>
      </c>
      <c r="G232" s="627"/>
      <c r="H232" s="224"/>
      <c r="I232" s="224">
        <f t="shared" si="76"/>
        <v>47</v>
      </c>
      <c r="J232" s="167">
        <f t="shared" si="74"/>
        <v>1.0095152179049338E-3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46557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46557</v>
      </c>
      <c r="G233" s="226">
        <f t="shared" si="78"/>
        <v>0</v>
      </c>
      <c r="H233" s="226">
        <f t="shared" si="78"/>
        <v>0</v>
      </c>
      <c r="I233" s="226">
        <f t="shared" si="78"/>
        <v>46557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'[62]Sch D'!N22</f>
        <v>168</v>
      </c>
      <c r="D236" s="480"/>
      <c r="E236" s="480"/>
      <c r="F236" s="224">
        <f>C236+E236</f>
        <v>168</v>
      </c>
      <c r="G236" s="627"/>
      <c r="H236" s="224"/>
      <c r="I236" s="224">
        <f>F236+G236+H236</f>
        <v>168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'[62]Sch D'!N24</f>
        <v>168</v>
      </c>
      <c r="D237" s="480"/>
      <c r="E237" s="480"/>
      <c r="F237" s="224">
        <f>C237+E237</f>
        <v>168</v>
      </c>
      <c r="G237" s="627"/>
      <c r="H237" s="224"/>
      <c r="I237" s="224">
        <f>F237+G237+H237</f>
        <v>168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'[62]Sch D'!N28</f>
        <v>61320</v>
      </c>
      <c r="D240" s="427"/>
      <c r="E240" s="427"/>
      <c r="F240" s="223">
        <f>F236*F238</f>
        <v>61320</v>
      </c>
      <c r="G240"/>
      <c r="H240" s="228"/>
      <c r="I240" s="223">
        <f>I236*I238</f>
        <v>61320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'[62]Sch D'!N30</f>
        <v>0.75924657534246576</v>
      </c>
      <c r="D241" s="228"/>
      <c r="E241" s="228"/>
      <c r="F241" s="232">
        <f>F233/F240</f>
        <v>0.75924657534246576</v>
      </c>
      <c r="G241"/>
      <c r="H241" s="233"/>
      <c r="I241" s="232">
        <f>I233/I240</f>
        <v>0.75924657534246576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'[62]Sch D'!N32</f>
        <v>0.45624592302674494</v>
      </c>
      <c r="D242" s="228"/>
      <c r="E242" s="228"/>
      <c r="F242" s="232">
        <f>(F224+F225)/F240</f>
        <v>0.45624592302674494</v>
      </c>
      <c r="G242"/>
      <c r="H242" s="233"/>
      <c r="I242" s="232">
        <f>(I224+I225)/I240</f>
        <v>0.45624592302674494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'[62]Sch D'!N34</f>
        <v>0.60091930321970921</v>
      </c>
      <c r="D243" s="228"/>
      <c r="E243" s="228"/>
      <c r="F243" s="232">
        <f>(F242/F241)</f>
        <v>0.60091930321970921</v>
      </c>
      <c r="G243"/>
      <c r="H243" s="233"/>
      <c r="I243" s="232">
        <f>(I242/I241)</f>
        <v>0.60091930321970921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'[61]Sch B'!C90</f>
        <v>307.16588607594935</v>
      </c>
      <c r="K246" s="460"/>
    </row>
    <row r="247" spans="1:13">
      <c r="H247" s="140" t="s">
        <v>322</v>
      </c>
      <c r="I247" s="480">
        <f>'[61]Sch B'!E90</f>
        <v>319.16344736842103</v>
      </c>
      <c r="K247" s="460"/>
    </row>
    <row r="248" spans="1:13">
      <c r="H248" s="140" t="s">
        <v>323</v>
      </c>
      <c r="I248" s="480">
        <f>'[61]Sch B'!G90</f>
        <v>283.99331908831914</v>
      </c>
      <c r="K248" s="460"/>
    </row>
    <row r="249" spans="1:13">
      <c r="H249" s="140" t="s">
        <v>324</v>
      </c>
      <c r="I249" s="480">
        <f>'[61]Sch B'!I90</f>
        <v>291.92971124620067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389</v>
      </c>
      <c r="D2" s="234"/>
      <c r="E2" s="234"/>
      <c r="F2" s="142"/>
      <c r="G2" s="142"/>
      <c r="H2" s="244"/>
    </row>
    <row r="3" spans="1:16" ht="15.5">
      <c r="A3" s="143"/>
      <c r="B3" s="138" t="s">
        <v>71</v>
      </c>
      <c r="C3" s="557">
        <f>'[63]Sch A Pg 1'!B39</f>
        <v>42917</v>
      </c>
      <c r="D3" s="620"/>
      <c r="E3" s="142"/>
      <c r="F3" s="144"/>
      <c r="G3" s="144"/>
      <c r="H3"/>
    </row>
    <row r="4" spans="1:16" ht="15.5">
      <c r="A4" s="143"/>
      <c r="B4" s="145" t="s">
        <v>72</v>
      </c>
      <c r="C4" s="557">
        <f>'[63]Sch A Pg 1'!G39</f>
        <v>43281</v>
      </c>
      <c r="D4" s="620"/>
      <c r="E4" s="142"/>
      <c r="F4" s="146"/>
      <c r="G4" s="146"/>
      <c r="H4"/>
      <c r="I4" s="147"/>
    </row>
    <row r="5" spans="1:16" ht="15.5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360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'[63]Sch B'!E10</f>
        <v>2233396.6</v>
      </c>
      <c r="D12" s="480">
        <f>'[63]Sch B'!G10</f>
        <v>-67688.460000000006</v>
      </c>
      <c r="E12" s="480"/>
      <c r="F12" s="166">
        <f>C12+D12+E12</f>
        <v>2165708.14</v>
      </c>
      <c r="G12" s="626"/>
      <c r="H12" s="484"/>
      <c r="I12" s="166">
        <f>F12+G12+H12</f>
        <v>2165708.14</v>
      </c>
      <c r="J12" s="167">
        <f>IF($I$26=0,0,I12/$I$26)</f>
        <v>0.3932925174826194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'[63]Sch B'!E12</f>
        <v>0</v>
      </c>
      <c r="D13" s="480">
        <f>'[63]Sch B'!G12</f>
        <v>1476153.93</v>
      </c>
      <c r="E13" s="480"/>
      <c r="F13" s="166">
        <f t="shared" ref="F13:F25" si="0">C13+D13+E13</f>
        <v>1476153.93</v>
      </c>
      <c r="G13" s="626"/>
      <c r="H13" s="484"/>
      <c r="I13" s="166">
        <f t="shared" ref="I13:I25" si="1">F13+G13+H13</f>
        <v>1476153.93</v>
      </c>
      <c r="J13" s="167">
        <f>IF($I$26=0,0,I13/$I$26)</f>
        <v>0.26806949865440421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'[63]Sch B'!E13</f>
        <v>-6993.8599999999933</v>
      </c>
      <c r="D14" s="480">
        <f>'[63]Sch B'!G13</f>
        <v>0</v>
      </c>
      <c r="E14" s="480"/>
      <c r="F14" s="166">
        <f t="shared" si="0"/>
        <v>-6993.8599999999933</v>
      </c>
      <c r="G14" s="626"/>
      <c r="H14" s="484"/>
      <c r="I14" s="166">
        <f t="shared" si="1"/>
        <v>-6993.8599999999933</v>
      </c>
      <c r="J14" s="167">
        <f>IF($I$26=0,0,I14/$I$26)</f>
        <v>-1.2700847152566871E-3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'[63]Sch B'!E14</f>
        <v>0</v>
      </c>
      <c r="D15" s="480">
        <f>'[63]Sch B'!G14</f>
        <v>34572.46</v>
      </c>
      <c r="E15" s="480"/>
      <c r="F15" s="166">
        <f t="shared" si="0"/>
        <v>34572.46</v>
      </c>
      <c r="G15" s="626"/>
      <c r="H15" s="484"/>
      <c r="I15" s="166">
        <f t="shared" si="1"/>
        <v>34572.46</v>
      </c>
      <c r="J15" s="167">
        <f>IF($I$26=0,0,I15/$I$26)</f>
        <v>6.2783574470783301E-3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'[63]Sch B'!E15</f>
        <v>2226402.7400000002</v>
      </c>
      <c r="D16" s="480">
        <f>'[63]Sch B'!G15</f>
        <v>1443037.93</v>
      </c>
      <c r="E16" s="480"/>
      <c r="F16" s="166">
        <f t="shared" si="0"/>
        <v>3669440.67</v>
      </c>
      <c r="G16" s="626"/>
      <c r="H16" s="484"/>
      <c r="I16" s="166">
        <f>SUM(I12:I15)</f>
        <v>3669440.6700000004</v>
      </c>
      <c r="J16" s="167">
        <f t="shared" ref="J16:J26" si="2">IF($I$26=0,0,I16/$I$26)</f>
        <v>0.66637028886884531</v>
      </c>
      <c r="K16" s="457"/>
      <c r="L16" s="333" t="s">
        <v>325</v>
      </c>
      <c r="M16" s="334">
        <f>I26</f>
        <v>5506609.0599999996</v>
      </c>
      <c r="O16" s="324">
        <f>IFERROR(I16/I224,0)</f>
        <v>308.40819213313165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'[63]Sch B'!E20</f>
        <v>0</v>
      </c>
      <c r="D17" s="480">
        <f>'[63]Sch B'!G20</f>
        <v>67688.460000000006</v>
      </c>
      <c r="E17" s="480"/>
      <c r="F17" s="166">
        <f t="shared" si="0"/>
        <v>67688.460000000006</v>
      </c>
      <c r="G17" s="626"/>
      <c r="H17" s="484"/>
      <c r="I17" s="166">
        <f t="shared" si="1"/>
        <v>67688.460000000006</v>
      </c>
      <c r="J17" s="167">
        <f t="shared" si="2"/>
        <v>1.2292221812456032E-2</v>
      </c>
      <c r="K17" s="458"/>
      <c r="L17" s="335" t="s">
        <v>326</v>
      </c>
      <c r="M17" s="336">
        <f>I213</f>
        <v>5139755.0299999993</v>
      </c>
      <c r="O17" s="324">
        <f t="shared" ref="O17:O24" si="3">IFERROR(I17/I225,0)</f>
        <v>177.66000000000003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'[63]Sch B'!E26</f>
        <v>953755.87</v>
      </c>
      <c r="D18" s="480">
        <f>'[63]Sch B'!G26</f>
        <v>0</v>
      </c>
      <c r="E18" s="480"/>
      <c r="F18" s="166">
        <f t="shared" si="0"/>
        <v>953755.87</v>
      </c>
      <c r="G18" s="626"/>
      <c r="H18" s="484"/>
      <c r="I18" s="166">
        <f t="shared" si="1"/>
        <v>953755.87</v>
      </c>
      <c r="J18" s="167">
        <f t="shared" si="2"/>
        <v>0.17320203043431598</v>
      </c>
      <c r="K18" s="458"/>
      <c r="L18" s="335" t="s">
        <v>327</v>
      </c>
      <c r="M18" s="336">
        <f>I233</f>
        <v>17307</v>
      </c>
      <c r="O18" s="324">
        <f t="shared" si="3"/>
        <v>546.25193012600232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'[63]Sch B'!E32</f>
        <v>211313.58999999997</v>
      </c>
      <c r="D19" s="480">
        <f>'[63]Sch B'!G32</f>
        <v>0</v>
      </c>
      <c r="E19" s="480"/>
      <c r="F19" s="166">
        <f t="shared" si="0"/>
        <v>211313.58999999997</v>
      </c>
      <c r="G19" s="626"/>
      <c r="H19" s="484"/>
      <c r="I19" s="166">
        <f t="shared" si="1"/>
        <v>211313.58999999997</v>
      </c>
      <c r="J19" s="170">
        <f t="shared" si="2"/>
        <v>3.837454006586042E-2</v>
      </c>
      <c r="K19" s="464"/>
      <c r="L19" s="335" t="s">
        <v>328</v>
      </c>
      <c r="M19" s="336">
        <f>I236</f>
        <v>61</v>
      </c>
      <c r="O19" s="324">
        <f t="shared" si="3"/>
        <v>430.37391038696529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'[63]Sch B'!E37</f>
        <v>0</v>
      </c>
      <c r="D20" s="480">
        <f>'[63]Sch B'!G37</f>
        <v>0</v>
      </c>
      <c r="E20" s="480"/>
      <c r="F20" s="166">
        <f t="shared" si="0"/>
        <v>0</v>
      </c>
      <c r="G20" s="626"/>
      <c r="H20" s="484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22265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'[63]Sch B'!E42</f>
        <v>199876.46</v>
      </c>
      <c r="D21" s="480">
        <f>'[63]Sch B'!G42</f>
        <v>0</v>
      </c>
      <c r="E21" s="480"/>
      <c r="F21" s="166">
        <f t="shared" si="0"/>
        <v>199876.46</v>
      </c>
      <c r="G21" s="626"/>
      <c r="H21" s="484"/>
      <c r="I21" s="166">
        <f t="shared" si="1"/>
        <v>199876.46</v>
      </c>
      <c r="J21" s="167">
        <f t="shared" si="2"/>
        <v>3.6297557684256597E-2</v>
      </c>
      <c r="K21" s="458"/>
      <c r="L21" s="337"/>
      <c r="M21" s="336"/>
      <c r="O21" s="324">
        <f t="shared" si="3"/>
        <v>328.74417763157891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'[63]Sch B'!E47</f>
        <v>0</v>
      </c>
      <c r="D22" s="480">
        <f>'[63]Sch B'!G47</f>
        <v>308303.89</v>
      </c>
      <c r="E22" s="480"/>
      <c r="F22" s="166">
        <f t="shared" si="0"/>
        <v>308303.89</v>
      </c>
      <c r="G22" s="626"/>
      <c r="H22" s="484"/>
      <c r="I22" s="166">
        <f t="shared" si="1"/>
        <v>308303.89</v>
      </c>
      <c r="J22" s="167">
        <f t="shared" si="2"/>
        <v>5.5987974929892707E-2</v>
      </c>
      <c r="K22" s="458"/>
      <c r="L22" s="335" t="s">
        <v>148</v>
      </c>
      <c r="M22" s="336">
        <f>L213</f>
        <v>89258.37</v>
      </c>
      <c r="O22" s="324">
        <f t="shared" si="3"/>
        <v>185.1675015015015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'[63]Sch B'!E52</f>
        <v>403251.28</v>
      </c>
      <c r="D23" s="480">
        <f>'[63]Sch B'!G52</f>
        <v>-308304</v>
      </c>
      <c r="E23" s="480"/>
      <c r="F23" s="166">
        <f t="shared" si="0"/>
        <v>94947.280000000028</v>
      </c>
      <c r="G23" s="626"/>
      <c r="H23" s="484"/>
      <c r="I23" s="166">
        <f t="shared" si="1"/>
        <v>94947.280000000028</v>
      </c>
      <c r="J23" s="167">
        <f t="shared" si="2"/>
        <v>1.7242422508199635E-2</v>
      </c>
      <c r="K23" s="458"/>
      <c r="L23" s="338" t="s">
        <v>233</v>
      </c>
      <c r="M23" s="339">
        <f>M213</f>
        <v>97021.07</v>
      </c>
      <c r="O23" s="324">
        <f t="shared" si="3"/>
        <v>183.2959073359074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'[63]Sch B'!E57</f>
        <v>0</v>
      </c>
      <c r="D24" s="480">
        <f>'[63]Sch B'!G57</f>
        <v>0</v>
      </c>
      <c r="E24" s="480"/>
      <c r="F24" s="166">
        <f t="shared" si="0"/>
        <v>0</v>
      </c>
      <c r="G24" s="626"/>
      <c r="H24" s="484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'[63]Sch B'!E72</f>
        <v>-291443.36</v>
      </c>
      <c r="D25" s="480">
        <f>'[63]Sch B'!G72</f>
        <v>292726.2</v>
      </c>
      <c r="E25" s="480"/>
      <c r="F25" s="166">
        <f t="shared" si="0"/>
        <v>1282.8400000000256</v>
      </c>
      <c r="G25" s="626"/>
      <c r="H25" s="484"/>
      <c r="I25" s="166">
        <f t="shared" si="1"/>
        <v>1282.8400000000256</v>
      </c>
      <c r="J25" s="167">
        <f t="shared" si="2"/>
        <v>2.3296369617348969E-4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3703156.5800000005</v>
      </c>
      <c r="D26" s="480">
        <f t="shared" ref="D26:F26" si="4">SUM(D16:D25)</f>
        <v>1803452.4799999997</v>
      </c>
      <c r="E26" s="480">
        <f t="shared" si="4"/>
        <v>0</v>
      </c>
      <c r="F26" s="166">
        <f t="shared" si="4"/>
        <v>5506609.0599999996</v>
      </c>
      <c r="G26" s="166">
        <f>SUM(G12:G25)</f>
        <v>0</v>
      </c>
      <c r="H26" s="166">
        <f>SUM(H12:H25)</f>
        <v>0</v>
      </c>
      <c r="I26" s="166">
        <f>SUM(I16:I25)</f>
        <v>5506609.0599999996</v>
      </c>
      <c r="J26" s="167">
        <f t="shared" si="2"/>
        <v>1</v>
      </c>
      <c r="K26" s="458"/>
      <c r="L26" s="163"/>
      <c r="M26" s="163"/>
      <c r="O26" s="324">
        <f>IFERROR(I26/I233,0)</f>
        <v>318.17236147223662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'[63]Sch C'!D10</f>
        <v>0</v>
      </c>
      <c r="D30" s="480">
        <f>'[63]Sch C'!F10</f>
        <v>87463.66</v>
      </c>
      <c r="E30" s="480">
        <f>+'[63]Sch C'!H10</f>
        <v>0</v>
      </c>
      <c r="F30" s="166">
        <f t="shared" ref="F30:F65" si="5">C30+D30+E30</f>
        <v>87463.66</v>
      </c>
      <c r="G30" s="626"/>
      <c r="H30" s="484"/>
      <c r="I30" s="166">
        <f t="shared" ref="I30:I65" si="6">F30+G30+H30</f>
        <v>87463.66</v>
      </c>
      <c r="J30" s="167">
        <f>IF($I$213=0,0,I30/$I$213)</f>
        <v>1.7017087291026013E-2</v>
      </c>
      <c r="K30" s="458"/>
      <c r="L30" s="176">
        <v>1794.07</v>
      </c>
      <c r="M30" s="176">
        <v>2014.27</v>
      </c>
      <c r="O30" s="324">
        <f>I30/I$233</f>
        <v>5.0536580574334087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'[63]Sch C'!D11</f>
        <v>0</v>
      </c>
      <c r="D31" s="480">
        <f>'[63]Sch C'!F11</f>
        <v>0</v>
      </c>
      <c r="E31" s="480">
        <f>+'[63]Sch C'!H11</f>
        <v>0</v>
      </c>
      <c r="F31" s="166">
        <f t="shared" si="5"/>
        <v>0</v>
      </c>
      <c r="G31" s="626"/>
      <c r="H31" s="484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'[63]Sch C'!D12</f>
        <v>118579.29</v>
      </c>
      <c r="D32" s="480">
        <f>'[63]Sch C'!F12</f>
        <v>0</v>
      </c>
      <c r="E32" s="480">
        <f>+'[63]Sch C'!H12</f>
        <v>0</v>
      </c>
      <c r="F32" s="166">
        <f t="shared" si="5"/>
        <v>118579.29</v>
      </c>
      <c r="G32" s="626"/>
      <c r="H32" s="484"/>
      <c r="I32" s="166">
        <f t="shared" si="6"/>
        <v>118579.29</v>
      </c>
      <c r="J32" s="167">
        <f t="shared" si="7"/>
        <v>2.3071000331313457E-2</v>
      </c>
      <c r="K32" s="458"/>
      <c r="L32" s="176">
        <v>5944.3</v>
      </c>
      <c r="M32" s="176">
        <v>6345.52</v>
      </c>
      <c r="O32" s="324">
        <f t="shared" si="8"/>
        <v>6.851521927543768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'[63]Sch C'!D13</f>
        <v>37516.49</v>
      </c>
      <c r="D33" s="480">
        <f>'[63]Sch C'!F13</f>
        <v>8571.44</v>
      </c>
      <c r="E33" s="480">
        <f>+'[63]Sch C'!H13</f>
        <v>0</v>
      </c>
      <c r="F33" s="166">
        <f t="shared" si="5"/>
        <v>46087.93</v>
      </c>
      <c r="G33" s="626"/>
      <c r="H33" s="484"/>
      <c r="I33" s="166">
        <f t="shared" si="6"/>
        <v>46087.93</v>
      </c>
      <c r="J33" s="167">
        <f t="shared" si="7"/>
        <v>8.9669507069872947E-3</v>
      </c>
      <c r="K33" s="458"/>
      <c r="L33" s="163"/>
      <c r="M33" s="163"/>
      <c r="O33" s="324">
        <f t="shared" si="8"/>
        <v>2.6629646963656324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'[63]Sch C'!D14</f>
        <v>42.81</v>
      </c>
      <c r="D34" s="480">
        <f>'[63]Sch C'!F14</f>
        <v>0</v>
      </c>
      <c r="E34" s="480">
        <f>+'[63]Sch C'!H14</f>
        <v>0</v>
      </c>
      <c r="F34" s="166">
        <f t="shared" si="5"/>
        <v>42.81</v>
      </c>
      <c r="G34" s="626"/>
      <c r="H34" s="484"/>
      <c r="I34" s="166">
        <f t="shared" si="6"/>
        <v>42.81</v>
      </c>
      <c r="J34" s="167">
        <f t="shared" si="7"/>
        <v>8.3291907396606037E-6</v>
      </c>
      <c r="K34" s="458"/>
      <c r="L34" s="163"/>
      <c r="M34" s="163"/>
      <c r="O34" s="324">
        <f t="shared" si="8"/>
        <v>2.4735656092910382E-3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'[63]Sch C'!D15</f>
        <v>0</v>
      </c>
      <c r="D35" s="480">
        <f>'[63]Sch C'!F15</f>
        <v>0</v>
      </c>
      <c r="E35" s="480">
        <f>+'[63]Sch C'!H15</f>
        <v>0</v>
      </c>
      <c r="F35" s="166">
        <f t="shared" si="5"/>
        <v>0</v>
      </c>
      <c r="G35" s="626"/>
      <c r="H35" s="484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'[63]Sch C'!D16</f>
        <v>198844</v>
      </c>
      <c r="D36" s="480">
        <f>'[63]Sch C'!F16-69760</f>
        <v>0</v>
      </c>
      <c r="E36" s="480">
        <f>+'[63]Sch C'!H16</f>
        <v>-12894</v>
      </c>
      <c r="F36" s="166">
        <f t="shared" si="5"/>
        <v>185950</v>
      </c>
      <c r="G36" s="626"/>
      <c r="H36" s="480">
        <v>69760</v>
      </c>
      <c r="I36" s="166">
        <f t="shared" si="6"/>
        <v>255710</v>
      </c>
      <c r="J36" s="167">
        <f t="shared" si="7"/>
        <v>4.9751398365769979E-2</v>
      </c>
      <c r="K36" s="458"/>
      <c r="L36" s="163"/>
      <c r="M36" s="163"/>
      <c r="O36" s="324">
        <f t="shared" si="8"/>
        <v>14.774946553417692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'[63]Sch C'!D17</f>
        <v>13689.99</v>
      </c>
      <c r="D37" s="480">
        <f>'[63]Sch C'!F17</f>
        <v>-13690</v>
      </c>
      <c r="E37" s="480">
        <f>+'[63]Sch C'!H17</f>
        <v>0</v>
      </c>
      <c r="F37" s="166">
        <f t="shared" si="5"/>
        <v>-1.0000000000218279E-2</v>
      </c>
      <c r="G37" s="626"/>
      <c r="H37" s="484"/>
      <c r="I37" s="166">
        <f t="shared" si="6"/>
        <v>-1.0000000000218279E-2</v>
      </c>
      <c r="J37" s="167">
        <f t="shared" si="7"/>
        <v>-1.9456180191175923E-9</v>
      </c>
      <c r="K37" s="458"/>
      <c r="L37" s="163"/>
      <c r="M37" s="163"/>
      <c r="O37" s="324">
        <f t="shared" si="8"/>
        <v>-5.7780088982598243E-7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'[63]Sch C'!D18</f>
        <v>3638.25</v>
      </c>
      <c r="D38" s="480">
        <f>'[63]Sch C'!F18</f>
        <v>0</v>
      </c>
      <c r="E38" s="480">
        <f>+'[63]Sch C'!H18</f>
        <v>0</v>
      </c>
      <c r="F38" s="166">
        <f t="shared" si="5"/>
        <v>3638.25</v>
      </c>
      <c r="G38" s="626"/>
      <c r="H38" s="484"/>
      <c r="I38" s="166">
        <f t="shared" si="6"/>
        <v>3638.25</v>
      </c>
      <c r="J38" s="167">
        <f t="shared" si="7"/>
        <v>7.0786447579000678E-4</v>
      </c>
      <c r="K38" s="458"/>
      <c r="L38" s="163"/>
      <c r="M38" s="163"/>
      <c r="O38" s="324">
        <f t="shared" si="8"/>
        <v>0.21021840873634945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'[63]Sch C'!D19</f>
        <v>25629.56</v>
      </c>
      <c r="D39" s="480">
        <f>'[63]Sch C'!F19</f>
        <v>0</v>
      </c>
      <c r="E39" s="480">
        <f>+'[63]Sch C'!H19</f>
        <v>0</v>
      </c>
      <c r="F39" s="166">
        <f t="shared" si="5"/>
        <v>25629.56</v>
      </c>
      <c r="G39" s="626"/>
      <c r="H39" s="484"/>
      <c r="I39" s="166">
        <f t="shared" si="6"/>
        <v>25629.56</v>
      </c>
      <c r="J39" s="167">
        <f t="shared" si="7"/>
        <v>4.9865333756967025E-3</v>
      </c>
      <c r="K39" s="458"/>
      <c r="L39" s="163"/>
      <c r="M39" s="163"/>
      <c r="O39" s="324">
        <f t="shared" si="8"/>
        <v>1.4808782573525163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'[63]Sch C'!D20</f>
        <v>12097.87</v>
      </c>
      <c r="D40" s="480">
        <f>'[63]Sch C'!F20</f>
        <v>0</v>
      </c>
      <c r="E40" s="480">
        <f>+'[63]Sch C'!H20</f>
        <v>0</v>
      </c>
      <c r="F40" s="166">
        <f t="shared" si="5"/>
        <v>12097.87</v>
      </c>
      <c r="G40" s="626"/>
      <c r="H40" s="484"/>
      <c r="I40" s="166">
        <f t="shared" si="6"/>
        <v>12097.87</v>
      </c>
      <c r="J40" s="167">
        <f t="shared" si="7"/>
        <v>2.3537833864428364E-3</v>
      </c>
      <c r="K40" s="458"/>
      <c r="L40" s="163"/>
      <c r="M40" s="163"/>
      <c r="O40" s="324">
        <f t="shared" si="8"/>
        <v>0.6990160050846479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'[63]Sch C'!D21</f>
        <v>67398.59</v>
      </c>
      <c r="D41" s="480">
        <f>'[63]Sch C'!F21</f>
        <v>0</v>
      </c>
      <c r="E41" s="480">
        <f>+'[63]Sch C'!H21</f>
        <v>0</v>
      </c>
      <c r="F41" s="166">
        <f t="shared" si="5"/>
        <v>67398.59</v>
      </c>
      <c r="G41" s="626"/>
      <c r="H41" s="484"/>
      <c r="I41" s="166">
        <f t="shared" si="6"/>
        <v>67398.59</v>
      </c>
      <c r="J41" s="167">
        <f t="shared" si="7"/>
        <v>1.3113191116425641E-2</v>
      </c>
      <c r="K41" s="458"/>
      <c r="L41" s="163"/>
      <c r="M41" s="163"/>
      <c r="O41" s="324">
        <f t="shared" si="8"/>
        <v>3.8942965274166519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'[63]Sch C'!D22</f>
        <v>0</v>
      </c>
      <c r="D42" s="480">
        <f>'[63]Sch C'!F22</f>
        <v>0</v>
      </c>
      <c r="E42" s="480">
        <f>+'[63]Sch C'!H22</f>
        <v>0</v>
      </c>
      <c r="F42" s="166">
        <f t="shared" si="5"/>
        <v>0</v>
      </c>
      <c r="G42" s="626"/>
      <c r="H42" s="484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'[63]Sch C'!D23</f>
        <v>19916.68</v>
      </c>
      <c r="D43" s="480">
        <f>'[63]Sch C'!F23</f>
        <v>0</v>
      </c>
      <c r="E43" s="480">
        <f>+'[63]Sch C'!H23</f>
        <v>0</v>
      </c>
      <c r="F43" s="166">
        <f t="shared" si="5"/>
        <v>19916.68</v>
      </c>
      <c r="G43" s="626"/>
      <c r="H43" s="484"/>
      <c r="I43" s="166">
        <f t="shared" si="6"/>
        <v>19916.68</v>
      </c>
      <c r="J43" s="167">
        <f t="shared" si="7"/>
        <v>3.8750251488153128E-3</v>
      </c>
      <c r="K43" s="458"/>
      <c r="L43" s="163"/>
      <c r="M43" s="163"/>
      <c r="O43" s="324">
        <f t="shared" si="8"/>
        <v>1.1507875426128156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'[63]Sch C'!D24</f>
        <v>53456.67</v>
      </c>
      <c r="D44" s="480">
        <f>'[63]Sch C'!F24</f>
        <v>0</v>
      </c>
      <c r="E44" s="480">
        <f>+'[63]Sch C'!H24</f>
        <v>-2708</v>
      </c>
      <c r="F44" s="166">
        <f t="shared" si="5"/>
        <v>50748.67</v>
      </c>
      <c r="G44" s="626"/>
      <c r="H44" s="484"/>
      <c r="I44" s="166">
        <f t="shared" si="6"/>
        <v>50748.67</v>
      </c>
      <c r="J44" s="167">
        <f t="shared" si="7"/>
        <v>9.8737526796097135E-3</v>
      </c>
      <c r="K44" s="458"/>
      <c r="L44" s="163"/>
      <c r="M44" s="163"/>
      <c r="O44" s="324">
        <f t="shared" si="8"/>
        <v>2.9322626682845092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'[63]Sch C'!D25</f>
        <v>0</v>
      </c>
      <c r="D45" s="480">
        <f>'[63]Sch C'!F25</f>
        <v>0</v>
      </c>
      <c r="E45" s="480">
        <f>+'[63]Sch C'!H25</f>
        <v>0</v>
      </c>
      <c r="F45" s="166">
        <f t="shared" si="5"/>
        <v>0</v>
      </c>
      <c r="G45" s="626"/>
      <c r="H45" s="484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'[63]Sch C'!D26</f>
        <v>316592.95</v>
      </c>
      <c r="D46" s="480">
        <f>'[63]Sch C'!F26</f>
        <v>0</v>
      </c>
      <c r="E46" s="480">
        <f>+'[63]Sch C'!H26</f>
        <v>0</v>
      </c>
      <c r="F46" s="166">
        <f t="shared" si="5"/>
        <v>316592.95</v>
      </c>
      <c r="G46" s="626"/>
      <c r="H46" s="484"/>
      <c r="I46" s="166">
        <f t="shared" si="6"/>
        <v>316592.95</v>
      </c>
      <c r="J46" s="167">
        <f t="shared" si="7"/>
        <v>6.1596894823214961E-2</v>
      </c>
      <c r="K46" s="458"/>
      <c r="L46" s="163"/>
      <c r="M46" s="163"/>
      <c r="O46" s="324">
        <f t="shared" si="8"/>
        <v>18.292768821863987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'[63]Sch C'!D27</f>
        <v>3194.72</v>
      </c>
      <c r="D47" s="480">
        <f>'[63]Sch C'!F27</f>
        <v>66119.16</v>
      </c>
      <c r="E47" s="480">
        <f>+'[63]Sch C'!H27</f>
        <v>0</v>
      </c>
      <c r="F47" s="166">
        <f t="shared" si="5"/>
        <v>69313.88</v>
      </c>
      <c r="G47" s="626"/>
      <c r="H47" s="484"/>
      <c r="I47" s="166">
        <f t="shared" si="6"/>
        <v>69313.88</v>
      </c>
      <c r="J47" s="167">
        <f t="shared" si="7"/>
        <v>1.3485833390001083E-2</v>
      </c>
      <c r="K47" s="458"/>
      <c r="L47" s="163"/>
      <c r="M47" s="163"/>
      <c r="O47" s="324">
        <f t="shared" si="8"/>
        <v>4.0049621540417171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'[63]Sch C'!D28</f>
        <v>0</v>
      </c>
      <c r="D48" s="480">
        <f>'[63]Sch C'!F28</f>
        <v>0</v>
      </c>
      <c r="E48" s="480">
        <f>+'[63]Sch C'!H28</f>
        <v>0</v>
      </c>
      <c r="F48" s="166">
        <f t="shared" si="5"/>
        <v>0</v>
      </c>
      <c r="G48" s="626"/>
      <c r="H48" s="484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'[63]Sch C'!D29</f>
        <v>173918.54</v>
      </c>
      <c r="D49" s="480">
        <f>'[63]Sch C'!F29</f>
        <v>-173918.54</v>
      </c>
      <c r="E49" s="480">
        <f>+'[63]Sch C'!H29</f>
        <v>0</v>
      </c>
      <c r="F49" s="166">
        <f t="shared" si="5"/>
        <v>0</v>
      </c>
      <c r="G49" s="626"/>
      <c r="H49" s="484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'[63]Sch C'!D30</f>
        <v>0</v>
      </c>
      <c r="D50" s="480">
        <f>'[63]Sch C'!F30</f>
        <v>0</v>
      </c>
      <c r="E50" s="480">
        <f>+'[63]Sch C'!H30</f>
        <v>191422.66</v>
      </c>
      <c r="F50" s="166">
        <f t="shared" si="5"/>
        <v>191422.66</v>
      </c>
      <c r="G50" s="626"/>
      <c r="H50" s="626">
        <v>-191422.66</v>
      </c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'[63]Sch C'!D31</f>
        <v>862.71</v>
      </c>
      <c r="D51" s="480">
        <f>'[63]Sch C'!F31</f>
        <v>0</v>
      </c>
      <c r="E51" s="480">
        <f>+'[63]Sch C'!H31</f>
        <v>0</v>
      </c>
      <c r="F51" s="166">
        <f t="shared" si="5"/>
        <v>862.71</v>
      </c>
      <c r="G51" s="626">
        <v>29702</v>
      </c>
      <c r="H51" s="484"/>
      <c r="I51" s="166">
        <f t="shared" si="6"/>
        <v>30564.71</v>
      </c>
      <c r="J51" s="167">
        <f t="shared" si="7"/>
        <v>5.9467250523805616E-3</v>
      </c>
      <c r="K51" s="458"/>
      <c r="L51" s="163"/>
      <c r="M51" s="163"/>
      <c r="O51" s="324">
        <f t="shared" si="8"/>
        <v>1.7660316634887616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'[63]Sch C'!D32</f>
        <v>0</v>
      </c>
      <c r="D52" s="480">
        <f>'[63]Sch C'!F32</f>
        <v>15749</v>
      </c>
      <c r="E52" s="480">
        <f>+'[63]Sch C'!H32</f>
        <v>0</v>
      </c>
      <c r="F52" s="166">
        <f t="shared" si="5"/>
        <v>15749</v>
      </c>
      <c r="G52" s="626"/>
      <c r="H52" s="484"/>
      <c r="I52" s="166">
        <f t="shared" si="6"/>
        <v>15749</v>
      </c>
      <c r="J52" s="167">
        <f t="shared" si="7"/>
        <v>3.0641538182414117E-3</v>
      </c>
      <c r="K52" s="458"/>
      <c r="L52" s="163"/>
      <c r="M52" s="163"/>
      <c r="O52" s="324">
        <f t="shared" si="8"/>
        <v>0.90997862136707686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'[63]Sch C'!D33</f>
        <v>3.47</v>
      </c>
      <c r="D53" s="480">
        <f>'[63]Sch C'!F33</f>
        <v>-3.47</v>
      </c>
      <c r="E53" s="480">
        <f>+'[63]Sch C'!H33</f>
        <v>0</v>
      </c>
      <c r="F53" s="166">
        <f t="shared" si="5"/>
        <v>0</v>
      </c>
      <c r="G53" s="626"/>
      <c r="H53" s="484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'[63]Sch C'!D34</f>
        <v>0</v>
      </c>
      <c r="D54" s="480">
        <f>'[63]Sch C'!F34</f>
        <v>0</v>
      </c>
      <c r="E54" s="480">
        <f>+'[63]Sch C'!H34</f>
        <v>0</v>
      </c>
      <c r="F54" s="166">
        <f t="shared" si="5"/>
        <v>0</v>
      </c>
      <c r="G54" s="626"/>
      <c r="H54" s="484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'[63]Sch C'!D35</f>
        <v>3822.65</v>
      </c>
      <c r="D55" s="480">
        <f>'[63]Sch C'!F35</f>
        <v>-3822.65</v>
      </c>
      <c r="E55" s="480">
        <f>+'[63]Sch C'!H35</f>
        <v>0</v>
      </c>
      <c r="F55" s="166">
        <f t="shared" si="5"/>
        <v>0</v>
      </c>
      <c r="G55" s="626"/>
      <c r="H55" s="484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'[63]Sch C'!D36</f>
        <v>0</v>
      </c>
      <c r="D56" s="480">
        <f>'[63]Sch C'!F36</f>
        <v>0</v>
      </c>
      <c r="E56" s="480">
        <f>+'[63]Sch C'!H36</f>
        <v>0</v>
      </c>
      <c r="F56" s="166">
        <f t="shared" si="5"/>
        <v>0</v>
      </c>
      <c r="G56" s="626"/>
      <c r="H56" s="484"/>
      <c r="I56" s="166">
        <f t="shared" si="6"/>
        <v>0</v>
      </c>
      <c r="J56" s="167">
        <f t="shared" si="7"/>
        <v>0</v>
      </c>
      <c r="K56" s="458"/>
      <c r="L56" s="176">
        <v>2791</v>
      </c>
      <c r="M56" s="176">
        <v>3017.53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'[63]Sch C'!D37</f>
        <v>0</v>
      </c>
      <c r="D57" s="480">
        <f>'[63]Sch C'!F37</f>
        <v>0</v>
      </c>
      <c r="E57" s="480">
        <f>+'[63]Sch C'!H37</f>
        <v>0</v>
      </c>
      <c r="F57" s="166">
        <f t="shared" si="5"/>
        <v>0</v>
      </c>
      <c r="G57" s="626"/>
      <c r="H57" s="484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'[63]Sch C'!D38</f>
        <v>0</v>
      </c>
      <c r="D58" s="480">
        <f>'[63]Sch C'!F38</f>
        <v>0</v>
      </c>
      <c r="E58" s="480">
        <f>+'[63]Sch C'!H38</f>
        <v>0</v>
      </c>
      <c r="F58" s="166">
        <f t="shared" si="5"/>
        <v>0</v>
      </c>
      <c r="G58" s="626"/>
      <c r="H58" s="484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'[63]Sch C'!D39</f>
        <v>5499.43</v>
      </c>
      <c r="D59" s="480">
        <f>'[63]Sch C'!F39</f>
        <v>0</v>
      </c>
      <c r="E59" s="480">
        <f>+'[63]Sch C'!H39</f>
        <v>0</v>
      </c>
      <c r="F59" s="166">
        <f t="shared" si="5"/>
        <v>5499.43</v>
      </c>
      <c r="G59" s="626"/>
      <c r="H59" s="484"/>
      <c r="I59" s="166">
        <f t="shared" si="6"/>
        <v>5499.43</v>
      </c>
      <c r="J59" s="167">
        <f t="shared" si="7"/>
        <v>1.0699790102642306E-3</v>
      </c>
      <c r="K59" s="458"/>
      <c r="L59" s="163"/>
      <c r="M59" s="163"/>
      <c r="O59" s="324">
        <f t="shared" si="8"/>
        <v>0.31775755474663431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'[63]Sch C'!D40</f>
        <v>13452.62</v>
      </c>
      <c r="D60" s="480">
        <f>'[63]Sch C'!F40</f>
        <v>0</v>
      </c>
      <c r="E60" s="480">
        <f>+'[63]Sch C'!H40</f>
        <v>0</v>
      </c>
      <c r="F60" s="166">
        <f t="shared" si="5"/>
        <v>13452.62</v>
      </c>
      <c r="G60" s="626"/>
      <c r="H60" s="484"/>
      <c r="I60" s="166">
        <f t="shared" si="6"/>
        <v>13452.62</v>
      </c>
      <c r="J60" s="167">
        <f t="shared" si="7"/>
        <v>2.6173659875770388E-3</v>
      </c>
      <c r="K60" s="458"/>
      <c r="L60" s="163"/>
      <c r="M60" s="163"/>
      <c r="O60" s="324">
        <f t="shared" si="8"/>
        <v>0.77729358063211418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'[63]Sch C'!D41</f>
        <v>67540.67</v>
      </c>
      <c r="D61" s="480">
        <f>'[63]Sch C'!F41</f>
        <v>0</v>
      </c>
      <c r="E61" s="480">
        <f>+'[63]Sch C'!H41</f>
        <v>-2690</v>
      </c>
      <c r="F61" s="166">
        <f t="shared" si="5"/>
        <v>64850.67</v>
      </c>
      <c r="G61" s="626"/>
      <c r="H61" s="484"/>
      <c r="I61" s="166">
        <f t="shared" si="6"/>
        <v>64850.67</v>
      </c>
      <c r="J61" s="167">
        <f t="shared" si="7"/>
        <v>1.2617463210109453E-2</v>
      </c>
      <c r="K61" s="458"/>
      <c r="L61" s="163"/>
      <c r="M61" s="163"/>
      <c r="O61" s="324">
        <f t="shared" si="8"/>
        <v>3.7470774830993241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'[63]Sch C'!D42</f>
        <v>1028.26</v>
      </c>
      <c r="D62" s="480">
        <f>'[63]Sch C'!F42</f>
        <v>0</v>
      </c>
      <c r="E62" s="480">
        <f>+'[63]Sch C'!H42</f>
        <v>0</v>
      </c>
      <c r="F62" s="166">
        <f t="shared" si="5"/>
        <v>1028.26</v>
      </c>
      <c r="G62" s="626"/>
      <c r="H62" s="484"/>
      <c r="I62" s="166">
        <f t="shared" si="6"/>
        <v>1028.26</v>
      </c>
      <c r="J62" s="167">
        <f t="shared" si="7"/>
        <v>2.0006011842941862E-4</v>
      </c>
      <c r="K62" s="458"/>
      <c r="L62" s="163"/>
      <c r="M62" s="163"/>
      <c r="O62" s="324">
        <f t="shared" si="8"/>
        <v>5.9412954295949616E-2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'[63]Sch C'!D43</f>
        <v>0</v>
      </c>
      <c r="D63" s="480">
        <f>'[63]Sch C'!F43</f>
        <v>0</v>
      </c>
      <c r="E63" s="480">
        <f>+'[63]Sch C'!H43</f>
        <v>0</v>
      </c>
      <c r="F63" s="166">
        <f t="shared" si="5"/>
        <v>0</v>
      </c>
      <c r="G63" s="626"/>
      <c r="H63" s="484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'[63]Sch C'!D44</f>
        <v>0</v>
      </c>
      <c r="D64" s="480">
        <f>'[63]Sch C'!F44</f>
        <v>0</v>
      </c>
      <c r="E64" s="480">
        <f>+'[63]Sch C'!H44</f>
        <v>0</v>
      </c>
      <c r="F64" s="166">
        <f t="shared" si="5"/>
        <v>0</v>
      </c>
      <c r="G64" s="626"/>
      <c r="H64" s="484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'[63]Sch C'!D45</f>
        <v>94222.080000000002</v>
      </c>
      <c r="D65" s="480">
        <f>'[63]Sch C'!F45</f>
        <v>-96035</v>
      </c>
      <c r="E65" s="480">
        <f>+'[63]Sch C'!H45</f>
        <v>0</v>
      </c>
      <c r="F65" s="166">
        <f t="shared" si="5"/>
        <v>-1812.9199999999983</v>
      </c>
      <c r="G65" s="626">
        <v>10063</v>
      </c>
      <c r="H65" s="484"/>
      <c r="I65" s="166">
        <f t="shared" si="6"/>
        <v>8250.0800000000017</v>
      </c>
      <c r="J65" s="167">
        <f t="shared" si="7"/>
        <v>1.6051504306811297E-3</v>
      </c>
      <c r="K65" s="458"/>
      <c r="L65" s="163"/>
      <c r="M65" s="163"/>
      <c r="O65" s="324">
        <f t="shared" si="8"/>
        <v>0.47669035650314912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1230948.2999999998</v>
      </c>
      <c r="D66" s="480">
        <f t="shared" si="9"/>
        <v>-109566.39999999999</v>
      </c>
      <c r="E66" s="480">
        <f t="shared" si="9"/>
        <v>173130.66</v>
      </c>
      <c r="F66" s="166">
        <f t="shared" ref="F66:I66" si="10">SUM(F30:F65)</f>
        <v>1294512.56</v>
      </c>
      <c r="G66" s="166">
        <f t="shared" si="10"/>
        <v>39765</v>
      </c>
      <c r="H66" s="166">
        <f t="shared" si="10"/>
        <v>-121662.66</v>
      </c>
      <c r="I66" s="166">
        <f t="shared" si="10"/>
        <v>1212614.8999999999</v>
      </c>
      <c r="J66" s="178">
        <f t="shared" si="7"/>
        <v>0.23592853996389787</v>
      </c>
      <c r="K66" s="465"/>
      <c r="L66" s="163"/>
      <c r="M66" s="163"/>
      <c r="O66" s="329">
        <f>I66/I$233</f>
        <v>70.064996822095097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466"/>
      <c r="M68" s="163"/>
      <c r="O68" s="324"/>
      <c r="P68" s="324"/>
    </row>
    <row r="69" spans="1:16" s="162" customFormat="1">
      <c r="A69" s="180"/>
      <c r="B69" s="181" t="s">
        <v>234</v>
      </c>
      <c r="C69" s="480">
        <f>'[63]Sch C'!D57</f>
        <v>384773</v>
      </c>
      <c r="D69" s="480">
        <f>'[63]Sch C'!F57+41664</f>
        <v>0.15999999997438863</v>
      </c>
      <c r="E69" s="480">
        <f>+'[63]Sch C'!H57</f>
        <v>0</v>
      </c>
      <c r="F69" s="166">
        <f>C69+D69+E69</f>
        <v>384773.16</v>
      </c>
      <c r="G69" s="626"/>
      <c r="H69" s="480">
        <v>-41663.840000000026</v>
      </c>
      <c r="I69" s="166">
        <f>F69+G69+H69</f>
        <v>343109.31999999995</v>
      </c>
      <c r="J69" s="167">
        <f t="shared" ref="J69:J84" si="11">IF($I$213=0,0,I69/$I$213)</f>
        <v>6.6755967550461245E-2</v>
      </c>
      <c r="K69" s="458"/>
      <c r="L69" s="182"/>
      <c r="M69" s="163"/>
      <c r="O69" s="324">
        <f t="shared" ref="O69:O84" si="12">I69/I$233</f>
        <v>19.82488703992604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'[63]Sch C'!D58</f>
        <v>29370.080000000002</v>
      </c>
      <c r="D70" s="480">
        <f>'[63]Sch C'!F58-34927.92</f>
        <v>0</v>
      </c>
      <c r="E70" s="480">
        <f>+'[63]Sch C'!H58</f>
        <v>0</v>
      </c>
      <c r="F70" s="166">
        <f t="shared" ref="F70:F83" si="13">C70+D70+E70</f>
        <v>29370.080000000002</v>
      </c>
      <c r="G70" s="626"/>
      <c r="H70" s="480">
        <v>34927.919999999998</v>
      </c>
      <c r="I70" s="166">
        <f t="shared" ref="I70:I83" si="14">F70+G70+H70</f>
        <v>64298</v>
      </c>
      <c r="J70" s="167">
        <f t="shared" si="11"/>
        <v>1.2509934739049228E-2</v>
      </c>
      <c r="K70" s="458"/>
      <c r="L70" s="182"/>
      <c r="M70" s="163"/>
      <c r="O70" s="324">
        <f t="shared" si="12"/>
        <v>3.7151441613220086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'[63]Sch C'!D59</f>
        <v>0</v>
      </c>
      <c r="D71" s="480">
        <f>'[63]Sch C'!F59-15453</f>
        <v>0</v>
      </c>
      <c r="E71" s="480">
        <f>+'[63]Sch C'!H59</f>
        <v>0</v>
      </c>
      <c r="F71" s="166">
        <f t="shared" si="13"/>
        <v>0</v>
      </c>
      <c r="G71" s="626"/>
      <c r="H71" s="480">
        <v>15453</v>
      </c>
      <c r="I71" s="166">
        <f t="shared" si="14"/>
        <v>15453</v>
      </c>
      <c r="J71" s="167">
        <f t="shared" si="11"/>
        <v>3.0065635248767882E-3</v>
      </c>
      <c r="K71" s="458"/>
      <c r="L71" s="182"/>
      <c r="M71" s="163"/>
      <c r="O71" s="324">
        <f t="shared" si="12"/>
        <v>0.89287571502860119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'[63]Sch C'!D60</f>
        <v>3333.33</v>
      </c>
      <c r="D72" s="480">
        <f>'[63]Sch C'!F60</f>
        <v>0</v>
      </c>
      <c r="E72" s="480">
        <f>+'[63]Sch C'!H60</f>
        <v>0</v>
      </c>
      <c r="F72" s="166">
        <f t="shared" si="13"/>
        <v>3333.33</v>
      </c>
      <c r="G72" s="626"/>
      <c r="H72" s="484"/>
      <c r="I72" s="166">
        <f t="shared" si="14"/>
        <v>3333.33</v>
      </c>
      <c r="J72" s="167">
        <f t="shared" si="11"/>
        <v>6.4853869115236813E-4</v>
      </c>
      <c r="K72" s="458"/>
      <c r="L72" s="185"/>
      <c r="M72" s="163"/>
      <c r="O72" s="324">
        <f t="shared" si="12"/>
        <v>0.19260010400416017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'[63]Sch C'!D61</f>
        <v>15748.82</v>
      </c>
      <c r="D73" s="480">
        <f>'[63]Sch C'!F61</f>
        <v>-15749</v>
      </c>
      <c r="E73" s="480">
        <f>+'[63]Sch C'!H61</f>
        <v>0</v>
      </c>
      <c r="F73" s="166">
        <f t="shared" si="13"/>
        <v>-0.18000000000029104</v>
      </c>
      <c r="G73" s="626"/>
      <c r="H73" s="484"/>
      <c r="I73" s="166">
        <f t="shared" si="14"/>
        <v>-0.18000000000029104</v>
      </c>
      <c r="J73" s="167">
        <f t="shared" si="11"/>
        <v>-3.5021124343408848E-8</v>
      </c>
      <c r="K73" s="458"/>
      <c r="L73" s="185"/>
      <c r="M73" s="163"/>
      <c r="O73" s="324">
        <f t="shared" si="12"/>
        <v>-1.0400416016657482E-5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'[63]Sch C'!D62</f>
        <v>13113.01</v>
      </c>
      <c r="D74" s="480">
        <f>'[63]Sch C'!F62</f>
        <v>0</v>
      </c>
      <c r="E74" s="480">
        <f>+'[63]Sch C'!H62</f>
        <v>0</v>
      </c>
      <c r="F74" s="166">
        <f t="shared" si="13"/>
        <v>13113.01</v>
      </c>
      <c r="G74" s="626"/>
      <c r="H74" s="484"/>
      <c r="I74" s="166">
        <f t="shared" si="14"/>
        <v>13113.01</v>
      </c>
      <c r="J74" s="167">
        <f t="shared" si="11"/>
        <v>2.5512908540312284E-3</v>
      </c>
      <c r="K74" s="458"/>
      <c r="L74" s="187"/>
      <c r="M74" s="163"/>
      <c r="O74" s="324">
        <f t="shared" si="12"/>
        <v>0.75767088461316234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'[63]Sch C'!D63</f>
        <v>0</v>
      </c>
      <c r="D75" s="480">
        <f>'[63]Sch C'!F63</f>
        <v>0</v>
      </c>
      <c r="E75" s="480">
        <f>+'[63]Sch C'!H63</f>
        <v>0</v>
      </c>
      <c r="F75" s="166">
        <f t="shared" si="13"/>
        <v>0</v>
      </c>
      <c r="G75" s="626"/>
      <c r="H75" s="484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'[63]Sch C'!D64</f>
        <v>0</v>
      </c>
      <c r="D76" s="480">
        <f>'[63]Sch C'!F64</f>
        <v>0</v>
      </c>
      <c r="E76" s="480">
        <f>+'[63]Sch C'!H64</f>
        <v>0</v>
      </c>
      <c r="F76" s="166">
        <f t="shared" si="13"/>
        <v>0</v>
      </c>
      <c r="G76" s="626"/>
      <c r="H76" s="484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'[63]Sch C'!D65</f>
        <v>224.11</v>
      </c>
      <c r="D77" s="480">
        <f>'[63]Sch C'!F65</f>
        <v>0</v>
      </c>
      <c r="E77" s="480">
        <f>+'[63]Sch C'!H65</f>
        <v>0</v>
      </c>
      <c r="F77" s="166">
        <f t="shared" si="13"/>
        <v>224.11</v>
      </c>
      <c r="G77" s="626"/>
      <c r="H77" s="484"/>
      <c r="I77" s="166">
        <f t="shared" si="14"/>
        <v>224.11</v>
      </c>
      <c r="J77" s="167">
        <f t="shared" si="11"/>
        <v>4.3603245425492594E-5</v>
      </c>
      <c r="K77" s="458"/>
      <c r="L77" s="187"/>
      <c r="M77" s="163"/>
      <c r="O77" s="324">
        <f t="shared" si="12"/>
        <v>1.2949095741607443E-2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'[63]Sch C'!D66</f>
        <v>5556.91</v>
      </c>
      <c r="D78" s="480">
        <f>'[63]Sch C'!F66</f>
        <v>0</v>
      </c>
      <c r="E78" s="480">
        <f>+'[63]Sch C'!H66</f>
        <v>0</v>
      </c>
      <c r="F78" s="166">
        <f t="shared" si="13"/>
        <v>5556.91</v>
      </c>
      <c r="G78" s="626"/>
      <c r="H78" s="484"/>
      <c r="I78" s="166">
        <f t="shared" si="14"/>
        <v>5556.91</v>
      </c>
      <c r="J78" s="167">
        <f t="shared" si="11"/>
        <v>1.0811624226378744E-3</v>
      </c>
      <c r="K78" s="458"/>
      <c r="L78" s="187"/>
      <c r="M78" s="163"/>
      <c r="O78" s="324">
        <f t="shared" si="12"/>
        <v>0.32107875426128157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'[63]Sch C'!D67</f>
        <v>56065.68</v>
      </c>
      <c r="D79" s="480">
        <f>'[63]Sch C'!F67</f>
        <v>0</v>
      </c>
      <c r="E79" s="480">
        <f>+'[63]Sch C'!H67</f>
        <v>0</v>
      </c>
      <c r="F79" s="166">
        <f t="shared" si="13"/>
        <v>56065.68</v>
      </c>
      <c r="G79" s="626"/>
      <c r="H79" s="484"/>
      <c r="I79" s="166">
        <f t="shared" si="14"/>
        <v>56065.68</v>
      </c>
      <c r="J79" s="167">
        <f t="shared" si="11"/>
        <v>1.0908239725969977E-2</v>
      </c>
      <c r="K79" s="458"/>
      <c r="L79" s="187"/>
      <c r="M79" s="163"/>
      <c r="O79" s="324">
        <f t="shared" si="12"/>
        <v>3.2394799791991682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'[63]Sch C'!D68</f>
        <v>0</v>
      </c>
      <c r="D80" s="480">
        <f>'[63]Sch C'!F68</f>
        <v>0</v>
      </c>
      <c r="E80" s="480">
        <f>+'[63]Sch C'!H68</f>
        <v>0</v>
      </c>
      <c r="F80" s="166">
        <f t="shared" si="13"/>
        <v>0</v>
      </c>
      <c r="G80" s="626"/>
      <c r="H80" s="484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'[63]Sch C'!D69</f>
        <v>15527.22</v>
      </c>
      <c r="D81" s="480">
        <f>'[63]Sch C'!F69</f>
        <v>0</v>
      </c>
      <c r="E81" s="480">
        <f>+'[63]Sch C'!H69</f>
        <v>0</v>
      </c>
      <c r="F81" s="166">
        <f t="shared" si="13"/>
        <v>15527.22</v>
      </c>
      <c r="G81" s="626"/>
      <c r="H81" s="484"/>
      <c r="I81" s="166">
        <f t="shared" si="14"/>
        <v>15527.22</v>
      </c>
      <c r="J81" s="167">
        <f t="shared" si="11"/>
        <v>3.0210039018143636E-3</v>
      </c>
      <c r="K81" s="458"/>
      <c r="L81" s="187"/>
      <c r="M81" s="163"/>
      <c r="O81" s="324">
        <f t="shared" si="12"/>
        <v>0.89716415323279597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'[63]Sch C'!D70</f>
        <v>0</v>
      </c>
      <c r="D82" s="480">
        <f>'[63]Sch C'!F70</f>
        <v>0</v>
      </c>
      <c r="E82" s="480">
        <f>+'[63]Sch C'!H70</f>
        <v>0</v>
      </c>
      <c r="F82" s="166">
        <f t="shared" si="13"/>
        <v>0</v>
      </c>
      <c r="G82" s="626"/>
      <c r="H82" s="484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'[63]Sch C'!D71</f>
        <v>0</v>
      </c>
      <c r="D83" s="480">
        <f>'[63]Sch C'!F71</f>
        <v>0</v>
      </c>
      <c r="E83" s="480">
        <f>+'[63]Sch C'!H71</f>
        <v>0</v>
      </c>
      <c r="F83" s="166">
        <f t="shared" si="13"/>
        <v>0</v>
      </c>
      <c r="G83" s="626"/>
      <c r="H83" s="484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523712.16</v>
      </c>
      <c r="D84" s="480">
        <f t="shared" si="15"/>
        <v>-15748.840000000026</v>
      </c>
      <c r="E84" s="480">
        <f t="shared" si="15"/>
        <v>0</v>
      </c>
      <c r="F84" s="166">
        <f t="shared" ref="F84:I84" si="16">SUM(F69:F83)</f>
        <v>507963.31999999995</v>
      </c>
      <c r="G84" s="166">
        <f t="shared" si="16"/>
        <v>0</v>
      </c>
      <c r="H84" s="166">
        <f t="shared" si="16"/>
        <v>8717.0799999999726</v>
      </c>
      <c r="I84" s="166">
        <f t="shared" si="16"/>
        <v>516680.39999999991</v>
      </c>
      <c r="J84" s="167">
        <f t="shared" si="11"/>
        <v>0.10052626963429422</v>
      </c>
      <c r="K84" s="458"/>
      <c r="L84" s="187"/>
      <c r="M84" s="163"/>
      <c r="O84" s="324">
        <f t="shared" si="12"/>
        <v>29.853839486912804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'[63]Sch C'!D75</f>
        <v>39026.379999999997</v>
      </c>
      <c r="D87" s="480">
        <f>'[63]Sch C'!F75</f>
        <v>0</v>
      </c>
      <c r="E87" s="480">
        <f>+'[63]Sch C'!H75</f>
        <v>0</v>
      </c>
      <c r="F87" s="166">
        <f t="shared" ref="F87:F97" si="17">C87+D87+E87</f>
        <v>39026.379999999997</v>
      </c>
      <c r="G87" s="626"/>
      <c r="H87" s="484"/>
      <c r="I87" s="166">
        <f t="shared" ref="I87:I97" si="18">F87+G87+H87</f>
        <v>39026.379999999997</v>
      </c>
      <c r="J87" s="167">
        <f t="shared" ref="J87:J98" si="19">IF($I$213=0,0,I87/$I$213)</f>
        <v>7.5930428147273007E-3</v>
      </c>
      <c r="K87" s="458"/>
      <c r="L87" s="176">
        <v>1942</v>
      </c>
      <c r="M87" s="176">
        <v>2255.65</v>
      </c>
      <c r="O87" s="324">
        <f t="shared" ref="O87:O97" si="20">I87/I$233</f>
        <v>2.2549477090194716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'[63]Sch C'!D76</f>
        <v>5533.05</v>
      </c>
      <c r="D88" s="480">
        <f>'[63]Sch C'!F76</f>
        <v>0</v>
      </c>
      <c r="E88" s="480">
        <f>+'[63]Sch C'!H76</f>
        <v>0</v>
      </c>
      <c r="F88" s="166">
        <f t="shared" si="17"/>
        <v>5533.05</v>
      </c>
      <c r="G88" s="626">
        <v>-811</v>
      </c>
      <c r="H88" s="484"/>
      <c r="I88" s="166">
        <f t="shared" si="18"/>
        <v>4722.05</v>
      </c>
      <c r="J88" s="167">
        <f t="shared" si="19"/>
        <v>9.1873055669736863E-4</v>
      </c>
      <c r="K88" s="458"/>
      <c r="L88" s="163"/>
      <c r="M88" s="163"/>
      <c r="O88" s="324">
        <f t="shared" si="20"/>
        <v>0.27284046917432253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'[63]Sch C'!D77</f>
        <v>4545.59</v>
      </c>
      <c r="D89" s="480">
        <f>'[63]Sch C'!F77</f>
        <v>0</v>
      </c>
      <c r="E89" s="480">
        <f>+'[63]Sch C'!H77</f>
        <v>0</v>
      </c>
      <c r="F89" s="166">
        <f t="shared" si="17"/>
        <v>4545.59</v>
      </c>
      <c r="G89" s="626"/>
      <c r="H89" s="484"/>
      <c r="I89" s="166">
        <f t="shared" si="18"/>
        <v>4545.59</v>
      </c>
      <c r="J89" s="167">
        <f t="shared" si="19"/>
        <v>8.8439818113276905E-4</v>
      </c>
      <c r="K89" s="458"/>
      <c r="L89" s="163"/>
      <c r="M89" s="163"/>
      <c r="O89" s="324">
        <f t="shared" si="20"/>
        <v>0.26264459467267581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'[63]Sch C'!D78</f>
        <v>0</v>
      </c>
      <c r="D90" s="480">
        <f>'[63]Sch C'!F78</f>
        <v>0</v>
      </c>
      <c r="E90" s="480">
        <f>+'[63]Sch C'!H78</f>
        <v>0</v>
      </c>
      <c r="F90" s="166">
        <f t="shared" si="17"/>
        <v>0</v>
      </c>
      <c r="G90" s="626"/>
      <c r="H90" s="484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'[63]Sch C'!D79</f>
        <v>18335.849999999999</v>
      </c>
      <c r="D91" s="480">
        <f>'[63]Sch C'!F79</f>
        <v>0</v>
      </c>
      <c r="E91" s="480">
        <f>+'[63]Sch C'!H79</f>
        <v>0</v>
      </c>
      <c r="F91" s="166">
        <f t="shared" si="17"/>
        <v>18335.849999999999</v>
      </c>
      <c r="G91" s="626"/>
      <c r="H91" s="484"/>
      <c r="I91" s="166">
        <f t="shared" si="18"/>
        <v>18335.849999999999</v>
      </c>
      <c r="J91" s="167">
        <f t="shared" si="19"/>
        <v>3.5674560155058597E-3</v>
      </c>
      <c r="K91" s="458"/>
      <c r="L91" s="163"/>
      <c r="M91" s="163"/>
      <c r="O91" s="324">
        <f t="shared" si="20"/>
        <v>1.0594470445484485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'[63]Sch C'!D80</f>
        <v>12429.76</v>
      </c>
      <c r="D92" s="480">
        <f>'[63]Sch C'!F80</f>
        <v>0</v>
      </c>
      <c r="E92" s="480">
        <f>+'[63]Sch C'!H80</f>
        <v>0</v>
      </c>
      <c r="F92" s="166">
        <f t="shared" si="17"/>
        <v>12429.76</v>
      </c>
      <c r="G92" s="626"/>
      <c r="H92" s="484"/>
      <c r="I92" s="166">
        <f t="shared" si="18"/>
        <v>12429.76</v>
      </c>
      <c r="J92" s="167">
        <f t="shared" si="19"/>
        <v>2.4183565028779207E-3</v>
      </c>
      <c r="K92" s="458"/>
      <c r="L92" s="163"/>
      <c r="M92" s="163"/>
      <c r="O92" s="324">
        <f t="shared" si="20"/>
        <v>0.71819263881666384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'[63]Sch C'!D81</f>
        <v>2345.7800000000002</v>
      </c>
      <c r="D93" s="480">
        <f>'[63]Sch C'!F81</f>
        <v>0</v>
      </c>
      <c r="E93" s="480">
        <f>+'[63]Sch C'!H81</f>
        <v>0</v>
      </c>
      <c r="F93" s="166">
        <f t="shared" si="17"/>
        <v>2345.7800000000002</v>
      </c>
      <c r="G93" s="626"/>
      <c r="H93" s="484"/>
      <c r="I93" s="166">
        <f t="shared" si="18"/>
        <v>2345.7800000000002</v>
      </c>
      <c r="J93" s="167">
        <f t="shared" si="19"/>
        <v>4.5639918367860435E-4</v>
      </c>
      <c r="K93" s="458"/>
      <c r="L93" s="163"/>
      <c r="M93" s="163"/>
      <c r="O93" s="324">
        <f t="shared" si="20"/>
        <v>0.13553937713064079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'[63]Sch C'!D82</f>
        <v>7853.79</v>
      </c>
      <c r="D94" s="480">
        <f>'[63]Sch C'!F82</f>
        <v>0</v>
      </c>
      <c r="E94" s="480">
        <f>+'[63]Sch C'!H82</f>
        <v>0</v>
      </c>
      <c r="F94" s="166">
        <f t="shared" si="17"/>
        <v>7853.79</v>
      </c>
      <c r="G94" s="626"/>
      <c r="H94" s="484"/>
      <c r="I94" s="166">
        <f t="shared" si="18"/>
        <v>7853.79</v>
      </c>
      <c r="J94" s="167">
        <f t="shared" si="19"/>
        <v>1.5280475342032012E-3</v>
      </c>
      <c r="K94" s="458"/>
      <c r="L94" s="163"/>
      <c r="M94" s="163"/>
      <c r="O94" s="324">
        <f t="shared" si="20"/>
        <v>0.45379268504073494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'[63]Sch C'!D83</f>
        <v>0</v>
      </c>
      <c r="D95" s="480">
        <f>'[63]Sch C'!F83</f>
        <v>0</v>
      </c>
      <c r="E95" s="480">
        <f>+'[63]Sch C'!H83</f>
        <v>0</v>
      </c>
      <c r="F95" s="166">
        <f t="shared" si="17"/>
        <v>0</v>
      </c>
      <c r="G95" s="626"/>
      <c r="H95" s="484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'[63]Sch C'!D84</f>
        <v>67098.080000000002</v>
      </c>
      <c r="D96" s="480">
        <f>'[63]Sch C'!F84</f>
        <v>0</v>
      </c>
      <c r="E96" s="480">
        <f>+'[63]Sch C'!H84</f>
        <v>0</v>
      </c>
      <c r="F96" s="166">
        <f t="shared" si="17"/>
        <v>67098.080000000002</v>
      </c>
      <c r="G96" s="626"/>
      <c r="H96" s="484"/>
      <c r="I96" s="166">
        <f t="shared" si="18"/>
        <v>67098.080000000002</v>
      </c>
      <c r="J96" s="167">
        <f t="shared" si="19"/>
        <v>1.3054723349334416E-2</v>
      </c>
      <c r="K96" s="458"/>
      <c r="L96" s="163"/>
      <c r="M96" s="163"/>
      <c r="O96" s="324">
        <f t="shared" si="20"/>
        <v>3.8769330328768707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'[63]Sch C'!D85</f>
        <v>0</v>
      </c>
      <c r="D97" s="480">
        <f>'[63]Sch C'!F85</f>
        <v>0</v>
      </c>
      <c r="E97" s="480">
        <f>+'[63]Sch C'!H85</f>
        <v>0</v>
      </c>
      <c r="F97" s="166">
        <f t="shared" si="17"/>
        <v>0</v>
      </c>
      <c r="G97" s="626"/>
      <c r="H97" s="484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157168.27999999997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157168.27999999997</v>
      </c>
      <c r="G98" s="166">
        <f t="shared" si="22"/>
        <v>-811</v>
      </c>
      <c r="H98" s="166">
        <f t="shared" si="22"/>
        <v>0</v>
      </c>
      <c r="I98" s="166">
        <f t="shared" si="22"/>
        <v>156357.27999999997</v>
      </c>
      <c r="J98" s="167">
        <f t="shared" si="19"/>
        <v>3.0421154138157436E-2</v>
      </c>
      <c r="K98" s="458"/>
      <c r="L98" s="163"/>
      <c r="M98" s="163"/>
      <c r="O98" s="329">
        <f>I98/I$233</f>
        <v>9.0343375512798278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'[63]Sch C'!D89</f>
        <v>184406.15</v>
      </c>
      <c r="D101" s="480">
        <f>'[63]Sch C'!F89</f>
        <v>0</v>
      </c>
      <c r="E101" s="480">
        <f>+'[63]Sch C'!H89</f>
        <v>0</v>
      </c>
      <c r="F101" s="166">
        <f t="shared" ref="F101:F106" si="23">C101+D101+E101</f>
        <v>184406.15</v>
      </c>
      <c r="G101" s="626"/>
      <c r="H101" s="484"/>
      <c r="I101" s="166">
        <f t="shared" ref="I101:I106" si="24">F101+G101+H101</f>
        <v>184406.15</v>
      </c>
      <c r="J101" s="167">
        <f t="shared" ref="J101:J107" si="25">IF($I$213=0,0,I101/$I$213)</f>
        <v>3.5878392826827005E-2</v>
      </c>
      <c r="K101" s="458"/>
      <c r="L101" s="176">
        <v>12865</v>
      </c>
      <c r="M101" s="176">
        <v>13668.39</v>
      </c>
      <c r="O101" s="329">
        <f t="shared" ref="O101:O106" si="26">I101/I$233</f>
        <v>10.655003755705783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'[63]Sch C'!D90</f>
        <v>33883.11</v>
      </c>
      <c r="D102" s="480">
        <f>'[63]Sch C'!F90</f>
        <v>0</v>
      </c>
      <c r="E102" s="480">
        <f>+'[63]Sch C'!H90</f>
        <v>0</v>
      </c>
      <c r="F102" s="166">
        <f t="shared" si="23"/>
        <v>33883.11</v>
      </c>
      <c r="G102" s="626">
        <v>-3590</v>
      </c>
      <c r="H102" s="484"/>
      <c r="I102" s="166">
        <f t="shared" si="24"/>
        <v>30293.11</v>
      </c>
      <c r="J102" s="167">
        <f t="shared" si="25"/>
        <v>5.8938820669824808E-3</v>
      </c>
      <c r="K102" s="458"/>
      <c r="L102" s="163"/>
      <c r="M102" s="163"/>
      <c r="O102" s="329">
        <f t="shared" si="26"/>
        <v>1.7503385913214307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'[63]Sch C'!D91</f>
        <v>7671.78</v>
      </c>
      <c r="D103" s="480">
        <f>'[63]Sch C'!F91</f>
        <v>0</v>
      </c>
      <c r="E103" s="480">
        <f>+'[63]Sch C'!H91</f>
        <v>0</v>
      </c>
      <c r="F103" s="166">
        <f t="shared" si="23"/>
        <v>7671.78</v>
      </c>
      <c r="G103" s="626"/>
      <c r="H103" s="484"/>
      <c r="I103" s="166">
        <f t="shared" si="24"/>
        <v>7671.78</v>
      </c>
      <c r="J103" s="167">
        <f t="shared" si="25"/>
        <v>1.4926353406380149E-3</v>
      </c>
      <c r="K103" s="458"/>
      <c r="L103" s="163"/>
      <c r="M103" s="163"/>
      <c r="O103" s="329">
        <f t="shared" si="26"/>
        <v>0.44327613104524177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'[63]Sch C'!D92</f>
        <v>127597.55</v>
      </c>
      <c r="D104" s="480">
        <f>'[63]Sch C'!F92</f>
        <v>0</v>
      </c>
      <c r="E104" s="480">
        <f>+'[63]Sch C'!H92</f>
        <v>0</v>
      </c>
      <c r="F104" s="166">
        <f t="shared" si="23"/>
        <v>127597.55</v>
      </c>
      <c r="G104" s="626"/>
      <c r="H104" s="484"/>
      <c r="I104" s="166">
        <f t="shared" si="24"/>
        <v>127597.55</v>
      </c>
      <c r="J104" s="167">
        <f t="shared" si="25"/>
        <v>2.4825609246983901E-2</v>
      </c>
      <c r="K104" s="458"/>
      <c r="L104" s="163"/>
      <c r="M104" s="163"/>
      <c r="O104" s="329">
        <f t="shared" si="26"/>
        <v>7.372597792800601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'[63]Sch C'!D93</f>
        <v>19007.060000000001</v>
      </c>
      <c r="D105" s="480">
        <f>'[63]Sch C'!F93</f>
        <v>0</v>
      </c>
      <c r="E105" s="480">
        <f>+'[63]Sch C'!H93</f>
        <v>0</v>
      </c>
      <c r="F105" s="166">
        <f t="shared" si="23"/>
        <v>19007.060000000001</v>
      </c>
      <c r="G105" s="626"/>
      <c r="H105" s="484"/>
      <c r="I105" s="166">
        <f t="shared" si="24"/>
        <v>19007.060000000001</v>
      </c>
      <c r="J105" s="167">
        <f t="shared" si="25"/>
        <v>3.6980478425642019E-3</v>
      </c>
      <c r="K105" s="458"/>
      <c r="L105" s="163"/>
      <c r="M105" s="163"/>
      <c r="O105" s="329">
        <f t="shared" si="26"/>
        <v>1.098229618073612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'[63]Sch C'!D94</f>
        <v>330</v>
      </c>
      <c r="D106" s="480">
        <f>'[63]Sch C'!F94</f>
        <v>0</v>
      </c>
      <c r="E106" s="480">
        <f>+'[63]Sch C'!H94</f>
        <v>0</v>
      </c>
      <c r="F106" s="166">
        <f t="shared" si="23"/>
        <v>330</v>
      </c>
      <c r="G106" s="626"/>
      <c r="H106" s="484"/>
      <c r="I106" s="166">
        <f t="shared" si="24"/>
        <v>330</v>
      </c>
      <c r="J106" s="167">
        <f t="shared" si="25"/>
        <v>6.4205394629479078E-5</v>
      </c>
      <c r="K106" s="458"/>
      <c r="L106" s="163"/>
      <c r="M106" s="163"/>
      <c r="O106" s="329">
        <f t="shared" si="26"/>
        <v>1.9067429363841221E-2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372895.65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372895.65</v>
      </c>
      <c r="G107" s="166">
        <f t="shared" si="28"/>
        <v>-3590</v>
      </c>
      <c r="H107" s="166">
        <f t="shared" si="28"/>
        <v>0</v>
      </c>
      <c r="I107" s="166">
        <f t="shared" si="28"/>
        <v>369305.65</v>
      </c>
      <c r="J107" s="167">
        <f t="shared" si="25"/>
        <v>7.1852772718625085E-2</v>
      </c>
      <c r="K107" s="458"/>
      <c r="L107" s="163"/>
      <c r="M107" s="163"/>
      <c r="O107" s="329">
        <f>I107/I$233</f>
        <v>21.338513318310511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'[63]Sch C'!D98</f>
        <v>1173.8800000000001</v>
      </c>
      <c r="D110" s="480">
        <f>'[63]Sch C'!F98</f>
        <v>0</v>
      </c>
      <c r="E110" s="480">
        <f>+'[63]Sch C'!H98</f>
        <v>0</v>
      </c>
      <c r="F110" s="166">
        <f t="shared" ref="F110:F115" si="29">C110+D110+E110</f>
        <v>1173.8800000000001</v>
      </c>
      <c r="G110" s="626"/>
      <c r="H110" s="484"/>
      <c r="I110" s="166">
        <f t="shared" ref="I110:I115" si="30">F110+G110+H110</f>
        <v>1173.8800000000001</v>
      </c>
      <c r="J110" s="167">
        <f t="shared" ref="J110:J116" si="31">IF($I$213=0,0,I110/$I$213)</f>
        <v>2.2839220802319061E-4</v>
      </c>
      <c r="K110" s="458"/>
      <c r="L110" s="176">
        <v>91</v>
      </c>
      <c r="M110" s="176">
        <v>246.99</v>
      </c>
      <c r="O110" s="329">
        <f t="shared" ref="O110:O115" si="32">I110/I$233</f>
        <v>6.7826890853411925E-2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'[63]Sch C'!D99</f>
        <v>249.33</v>
      </c>
      <c r="D111" s="480">
        <f>'[63]Sch C'!F99</f>
        <v>0</v>
      </c>
      <c r="E111" s="480">
        <f>+'[63]Sch C'!H99</f>
        <v>0</v>
      </c>
      <c r="F111" s="166">
        <f t="shared" si="29"/>
        <v>249.33</v>
      </c>
      <c r="G111" s="626">
        <v>-50</v>
      </c>
      <c r="H111" s="484"/>
      <c r="I111" s="166">
        <f t="shared" si="30"/>
        <v>199.33</v>
      </c>
      <c r="J111" s="167">
        <f t="shared" si="31"/>
        <v>3.8782003974224435E-5</v>
      </c>
      <c r="K111" s="458"/>
      <c r="L111" s="163"/>
      <c r="M111" s="163"/>
      <c r="O111" s="329">
        <f t="shared" si="32"/>
        <v>1.151730513664991E-2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'[63]Sch C'!D100</f>
        <v>568.64</v>
      </c>
      <c r="D112" s="480">
        <f>'[63]Sch C'!F100</f>
        <v>0</v>
      </c>
      <c r="E112" s="480">
        <f>+'[63]Sch C'!H100</f>
        <v>0</v>
      </c>
      <c r="F112" s="166">
        <f t="shared" si="29"/>
        <v>568.64</v>
      </c>
      <c r="G112" s="626"/>
      <c r="H112" s="484"/>
      <c r="I112" s="166">
        <f t="shared" si="30"/>
        <v>568.64</v>
      </c>
      <c r="J112" s="167">
        <f t="shared" si="31"/>
        <v>1.1063562303668781E-4</v>
      </c>
      <c r="K112" s="458"/>
      <c r="L112" s="163"/>
      <c r="M112" s="163"/>
      <c r="O112" s="329">
        <f t="shared" si="32"/>
        <v>3.2856069798347487E-2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'[63]Sch C'!D101</f>
        <v>0</v>
      </c>
      <c r="D113" s="480">
        <f>'[63]Sch C'!F101</f>
        <v>0</v>
      </c>
      <c r="E113" s="480">
        <f>+'[63]Sch C'!H101</f>
        <v>0</v>
      </c>
      <c r="F113" s="166">
        <f t="shared" si="29"/>
        <v>0</v>
      </c>
      <c r="G113" s="626"/>
      <c r="H113" s="484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'[63]Sch C'!D102</f>
        <v>3538.75</v>
      </c>
      <c r="D114" s="480">
        <f>'[63]Sch C'!F102</f>
        <v>0</v>
      </c>
      <c r="E114" s="480">
        <f>+'[63]Sch C'!H102</f>
        <v>0</v>
      </c>
      <c r="F114" s="166">
        <f t="shared" si="29"/>
        <v>3538.75</v>
      </c>
      <c r="G114" s="626"/>
      <c r="H114" s="484"/>
      <c r="I114" s="166">
        <f t="shared" si="30"/>
        <v>3538.75</v>
      </c>
      <c r="J114" s="167">
        <f t="shared" si="31"/>
        <v>6.8850557650020929E-4</v>
      </c>
      <c r="K114" s="458"/>
      <c r="L114" s="163"/>
      <c r="M114" s="163"/>
      <c r="O114" s="329">
        <f t="shared" si="32"/>
        <v>0.20446928988270641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'[63]Sch C'!D103</f>
        <v>0</v>
      </c>
      <c r="D115" s="480">
        <f>'[63]Sch C'!F103</f>
        <v>0</v>
      </c>
      <c r="E115" s="480">
        <f>+'[63]Sch C'!H103</f>
        <v>0</v>
      </c>
      <c r="F115" s="166">
        <f t="shared" si="29"/>
        <v>0</v>
      </c>
      <c r="G115" s="626"/>
      <c r="H115" s="484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5530.6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5530.6</v>
      </c>
      <c r="G116" s="166">
        <f t="shared" si="34"/>
        <v>-50</v>
      </c>
      <c r="H116" s="166">
        <f t="shared" si="34"/>
        <v>0</v>
      </c>
      <c r="I116" s="166">
        <f t="shared" si="34"/>
        <v>5480.6</v>
      </c>
      <c r="J116" s="167">
        <f t="shared" si="31"/>
        <v>1.0663154115343122E-3</v>
      </c>
      <c r="K116" s="458"/>
      <c r="L116" s="163"/>
      <c r="M116" s="163"/>
      <c r="O116" s="329">
        <f>I116/I$233</f>
        <v>0.31666955567111577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'[63]Sch C'!D115</f>
        <v>88693.73</v>
      </c>
      <c r="D119" s="480">
        <f>'[63]Sch C'!F115</f>
        <v>0</v>
      </c>
      <c r="E119" s="480">
        <f>+'[63]Sch C'!H115</f>
        <v>0</v>
      </c>
      <c r="F119" s="166">
        <f t="shared" ref="F119:F123" si="35">C119+D119+E119</f>
        <v>88693.73</v>
      </c>
      <c r="G119" s="626"/>
      <c r="H119" s="484"/>
      <c r="I119" s="166">
        <f t="shared" ref="I119:I123" si="36">F119+G119+H119</f>
        <v>88693.73</v>
      </c>
      <c r="J119" s="167">
        <f t="shared" ref="J119:J124" si="37">IF($I$213=0,0,I119/$I$213)</f>
        <v>1.7256411926698384E-2</v>
      </c>
      <c r="K119" s="458"/>
      <c r="L119" s="176">
        <v>8062</v>
      </c>
      <c r="M119" s="176">
        <v>8680.92</v>
      </c>
      <c r="O119" s="329">
        <f t="shared" ref="O119:O124" si="38">I119/I$233</f>
        <v>5.1247316114866814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'[63]Sch C'!D116</f>
        <v>10385.66</v>
      </c>
      <c r="D120" s="480">
        <f>'[63]Sch C'!F116</f>
        <v>0</v>
      </c>
      <c r="E120" s="480">
        <f>+'[63]Sch C'!H116</f>
        <v>0</v>
      </c>
      <c r="F120" s="166">
        <f t="shared" si="35"/>
        <v>10385.66</v>
      </c>
      <c r="G120" s="626">
        <v>-1759</v>
      </c>
      <c r="H120" s="484"/>
      <c r="I120" s="166">
        <f t="shared" si="36"/>
        <v>8626.66</v>
      </c>
      <c r="J120" s="167">
        <f t="shared" si="37"/>
        <v>1.6784185140434605E-3</v>
      </c>
      <c r="K120" s="458"/>
      <c r="L120" s="163"/>
      <c r="M120" s="163"/>
      <c r="O120" s="329">
        <f t="shared" si="38"/>
        <v>0.49844918241174091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'[63]Sch C'!D117</f>
        <v>3586.18</v>
      </c>
      <c r="D121" s="480">
        <f>'[63]Sch C'!F117</f>
        <v>0</v>
      </c>
      <c r="E121" s="480">
        <f>+'[63]Sch C'!H117</f>
        <v>0</v>
      </c>
      <c r="F121" s="166">
        <f t="shared" si="35"/>
        <v>3586.18</v>
      </c>
      <c r="G121" s="626"/>
      <c r="H121" s="484"/>
      <c r="I121" s="166">
        <f t="shared" si="36"/>
        <v>3586.18</v>
      </c>
      <c r="J121" s="167">
        <f t="shared" si="37"/>
        <v>6.9773364276468259E-4</v>
      </c>
      <c r="K121" s="458"/>
      <c r="L121" s="163"/>
      <c r="M121" s="163"/>
      <c r="O121" s="329">
        <f t="shared" si="38"/>
        <v>0.20720979950309124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'[63]Sch C'!D118</f>
        <v>1636.25</v>
      </c>
      <c r="D122" s="480">
        <f>'[63]Sch C'!F118</f>
        <v>0</v>
      </c>
      <c r="E122" s="480">
        <f>+'[63]Sch C'!H118</f>
        <v>0</v>
      </c>
      <c r="F122" s="166">
        <f t="shared" si="35"/>
        <v>1636.25</v>
      </c>
      <c r="G122" s="626"/>
      <c r="H122" s="484"/>
      <c r="I122" s="166">
        <f t="shared" si="36"/>
        <v>1636.25</v>
      </c>
      <c r="J122" s="167">
        <f t="shared" si="37"/>
        <v>3.1835174837116704E-4</v>
      </c>
      <c r="K122" s="458"/>
      <c r="L122" s="163"/>
      <c r="M122" s="163"/>
      <c r="O122" s="329">
        <f t="shared" si="38"/>
        <v>9.4542670595712711E-2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'[63]Sch C'!D119</f>
        <v>0</v>
      </c>
      <c r="D123" s="480">
        <f>'[63]Sch C'!F119</f>
        <v>0</v>
      </c>
      <c r="E123" s="480">
        <f>+'[63]Sch C'!H119</f>
        <v>0</v>
      </c>
      <c r="F123" s="166">
        <f t="shared" si="35"/>
        <v>0</v>
      </c>
      <c r="G123" s="626"/>
      <c r="H123" s="484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104301.81999999999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104301.81999999999</v>
      </c>
      <c r="G124" s="166">
        <f t="shared" si="40"/>
        <v>-1759</v>
      </c>
      <c r="H124" s="166">
        <f t="shared" si="40"/>
        <v>0</v>
      </c>
      <c r="I124" s="166">
        <f t="shared" si="40"/>
        <v>102542.81999999999</v>
      </c>
      <c r="J124" s="167">
        <f t="shared" si="37"/>
        <v>1.9950915831877691E-2</v>
      </c>
      <c r="K124" s="458"/>
      <c r="L124" s="163"/>
      <c r="M124" s="163"/>
      <c r="O124" s="329">
        <f t="shared" si="38"/>
        <v>5.9249332639972261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'[63]Sch C'!D124</f>
        <v>0</v>
      </c>
      <c r="D128" s="480">
        <f>'[63]Sch C'!F124</f>
        <v>0</v>
      </c>
      <c r="E128" s="480">
        <f>+'[63]Sch C'!H124</f>
        <v>0</v>
      </c>
      <c r="F128" s="166">
        <f t="shared" ref="F128:F132" si="41">C128+D128+E128</f>
        <v>0</v>
      </c>
      <c r="G128" s="626"/>
      <c r="H128" s="484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'[63]Sch C'!D125</f>
        <v>264134.24</v>
      </c>
      <c r="D129" s="480">
        <f>'[63]Sch C'!F125</f>
        <v>0</v>
      </c>
      <c r="E129" s="480">
        <f>+'[63]Sch C'!H125</f>
        <v>0</v>
      </c>
      <c r="F129" s="166">
        <f t="shared" si="41"/>
        <v>264134.24</v>
      </c>
      <c r="G129" s="626"/>
      <c r="H129" s="484"/>
      <c r="I129" s="166">
        <f t="shared" si="42"/>
        <v>264134.24</v>
      </c>
      <c r="J129" s="167">
        <f>IF($I$213=0,0,I129/$I$213)</f>
        <v>5.1390433679871318E-2</v>
      </c>
      <c r="K129" s="458"/>
      <c r="L129" s="176">
        <v>5816</v>
      </c>
      <c r="M129" s="176">
        <v>6220.21</v>
      </c>
      <c r="O129" s="329">
        <f t="shared" si="43"/>
        <v>15.26169989021783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'[63]Sch C'!D126</f>
        <v>0</v>
      </c>
      <c r="D130" s="480">
        <f>'[63]Sch C'!F126</f>
        <v>0</v>
      </c>
      <c r="E130" s="480">
        <f>+'[63]Sch C'!H126</f>
        <v>0</v>
      </c>
      <c r="F130" s="166">
        <f t="shared" si="41"/>
        <v>0</v>
      </c>
      <c r="G130" s="626"/>
      <c r="H130" s="484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'[63]Sch C'!D127</f>
        <v>1399.53</v>
      </c>
      <c r="D131" s="480">
        <f>'[63]Sch C'!F127</f>
        <v>0</v>
      </c>
      <c r="E131" s="480">
        <f>+'[63]Sch C'!H127</f>
        <v>0</v>
      </c>
      <c r="F131" s="166">
        <f t="shared" si="41"/>
        <v>1399.53</v>
      </c>
      <c r="G131" s="626"/>
      <c r="H131" s="484"/>
      <c r="I131" s="166">
        <f t="shared" si="42"/>
        <v>1399.53</v>
      </c>
      <c r="J131" s="167">
        <f>IF($I$213=0,0,I131/$I$213)</f>
        <v>2.7229507862362072E-4</v>
      </c>
      <c r="K131" s="458"/>
      <c r="L131" s="176">
        <v>85</v>
      </c>
      <c r="M131" s="176">
        <v>92.62</v>
      </c>
      <c r="O131" s="329">
        <f t="shared" si="43"/>
        <v>8.0864967932050613E-2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'[63]Sch C'!D128</f>
        <v>36414.300000000003</v>
      </c>
      <c r="D132" s="480">
        <f>'[63]Sch C'!F128</f>
        <v>0</v>
      </c>
      <c r="E132" s="480">
        <f>+'[63]Sch C'!H128</f>
        <v>0</v>
      </c>
      <c r="F132" s="166">
        <f t="shared" si="41"/>
        <v>36414.300000000003</v>
      </c>
      <c r="G132" s="626"/>
      <c r="H132" s="484"/>
      <c r="I132" s="166">
        <f t="shared" si="42"/>
        <v>36414.300000000003</v>
      </c>
      <c r="J132" s="167">
        <f>IF($I$213=0,0,I132/$I$213)</f>
        <v>7.084831823200727E-3</v>
      </c>
      <c r="K132" s="458"/>
      <c r="L132" s="176">
        <v>1958</v>
      </c>
      <c r="M132" s="176">
        <v>2217</v>
      </c>
      <c r="O132" s="329">
        <f t="shared" si="43"/>
        <v>2.104021494193101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'[63]Sch C'!D130</f>
        <v>0</v>
      </c>
      <c r="D134" s="480">
        <f>'[63]Sch C'!F130</f>
        <v>0</v>
      </c>
      <c r="E134" s="480">
        <f>+'[63]Sch C'!H130</f>
        <v>0</v>
      </c>
      <c r="F134" s="166">
        <f t="shared" ref="F134:F138" si="44">C134+D134+E134</f>
        <v>0</v>
      </c>
      <c r="G134" s="626"/>
      <c r="H134" s="484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'[63]Sch C'!D131</f>
        <v>47499.15</v>
      </c>
      <c r="D135" s="480">
        <f>'[63]Sch C'!F131</f>
        <v>0</v>
      </c>
      <c r="E135" s="480">
        <f>+'[63]Sch C'!H131</f>
        <v>0</v>
      </c>
      <c r="F135" s="166">
        <f t="shared" si="44"/>
        <v>47499.15</v>
      </c>
      <c r="G135" s="626">
        <v>-4610</v>
      </c>
      <c r="H135" s="484"/>
      <c r="I135" s="166">
        <f t="shared" si="45"/>
        <v>42889.15</v>
      </c>
      <c r="J135" s="167">
        <f>IF($I$213=0,0,I135/$I$213)</f>
        <v>8.3445903062815824E-3</v>
      </c>
      <c r="K135" s="458"/>
      <c r="L135" s="196"/>
      <c r="M135" s="196"/>
      <c r="O135" s="329">
        <f t="shared" si="43"/>
        <v>2.4781389033339112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'[63]Sch C'!D132</f>
        <v>0</v>
      </c>
      <c r="D136" s="480">
        <f>'[63]Sch C'!F132</f>
        <v>0</v>
      </c>
      <c r="E136" s="480">
        <f>+'[63]Sch C'!H132</f>
        <v>0</v>
      </c>
      <c r="F136" s="166">
        <f t="shared" si="44"/>
        <v>0</v>
      </c>
      <c r="G136" s="626"/>
      <c r="H136" s="484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'[63]Sch C'!D133</f>
        <v>232.81</v>
      </c>
      <c r="D137" s="480">
        <f>'[63]Sch C'!F133</f>
        <v>0</v>
      </c>
      <c r="E137" s="480">
        <f>+'[63]Sch C'!H133</f>
        <v>0</v>
      </c>
      <c r="F137" s="166">
        <f t="shared" si="44"/>
        <v>232.81</v>
      </c>
      <c r="G137" s="626">
        <v>-52</v>
      </c>
      <c r="H137" s="484"/>
      <c r="I137" s="166">
        <f t="shared" si="45"/>
        <v>180.81</v>
      </c>
      <c r="J137" s="167">
        <f>IF($I$213=0,0,I137/$I$213)</f>
        <v>3.5178719402897308E-5</v>
      </c>
      <c r="K137" s="458"/>
      <c r="L137" s="163"/>
      <c r="M137" s="163"/>
      <c r="O137" s="329">
        <f t="shared" si="43"/>
        <v>1.0447217888715549E-2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'[63]Sch C'!D134</f>
        <v>12184.03</v>
      </c>
      <c r="D138" s="480">
        <f>'[63]Sch C'!F134</f>
        <v>0</v>
      </c>
      <c r="E138" s="480">
        <f>+'[63]Sch C'!H134</f>
        <v>0</v>
      </c>
      <c r="F138" s="166">
        <f t="shared" si="44"/>
        <v>12184.03</v>
      </c>
      <c r="G138" s="626">
        <v>-665</v>
      </c>
      <c r="H138" s="484"/>
      <c r="I138" s="166">
        <f t="shared" si="45"/>
        <v>11519.03</v>
      </c>
      <c r="J138" s="167">
        <f>IF($I$213=0,0,I138/$I$213)</f>
        <v>2.2411632330266921E-3</v>
      </c>
      <c r="K138" s="458"/>
      <c r="L138" s="163"/>
      <c r="M138" s="163"/>
      <c r="O138" s="329">
        <f t="shared" si="43"/>
        <v>0.66557057837869071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'[63]Sch C'!D136</f>
        <v>318814.87</v>
      </c>
      <c r="D140" s="480">
        <f>'[63]Sch C'!F136</f>
        <v>0</v>
      </c>
      <c r="E140" s="480">
        <f>+'[63]Sch C'!H136</f>
        <v>0</v>
      </c>
      <c r="F140" s="166">
        <f t="shared" ref="F140:F143" si="46">C140+D140+E140</f>
        <v>318814.87</v>
      </c>
      <c r="G140" s="626"/>
      <c r="H140" s="484"/>
      <c r="I140" s="166">
        <f t="shared" ref="I140:I143" si="47">F140+G140+H140</f>
        <v>318814.87</v>
      </c>
      <c r="J140" s="167">
        <f>IF($I$213=0,0,I140/$I$213)</f>
        <v>6.2029195582109294E-2</v>
      </c>
      <c r="K140" s="458"/>
      <c r="L140" s="176">
        <v>8102</v>
      </c>
      <c r="M140" s="176">
        <v>8946</v>
      </c>
      <c r="O140" s="329">
        <f t="shared" si="43"/>
        <v>18.421151557173399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'[63]Sch C'!D137</f>
        <v>187787.45</v>
      </c>
      <c r="D141" s="480">
        <f>'[63]Sch C'!F137</f>
        <v>0</v>
      </c>
      <c r="E141" s="480">
        <f>+'[63]Sch C'!H137</f>
        <v>0</v>
      </c>
      <c r="F141" s="166">
        <f t="shared" si="46"/>
        <v>187787.45</v>
      </c>
      <c r="G141" s="626"/>
      <c r="H141" s="484"/>
      <c r="I141" s="166">
        <f t="shared" si="47"/>
        <v>187787.45</v>
      </c>
      <c r="J141" s="167">
        <f>IF($I$213=0,0,I141/$I$213)</f>
        <v>3.6536264647616883E-2</v>
      </c>
      <c r="K141" s="458"/>
      <c r="L141" s="176">
        <v>5983</v>
      </c>
      <c r="M141" s="176">
        <v>6144.49</v>
      </c>
      <c r="O141" s="329">
        <f t="shared" si="43"/>
        <v>10.850375570578379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'[63]Sch C'!D138</f>
        <v>368501.63</v>
      </c>
      <c r="D142" s="480">
        <f>'[63]Sch C'!F138</f>
        <v>0</v>
      </c>
      <c r="E142" s="480">
        <f>+'[63]Sch C'!H138</f>
        <v>0</v>
      </c>
      <c r="F142" s="166">
        <f t="shared" si="46"/>
        <v>368501.63</v>
      </c>
      <c r="G142" s="626"/>
      <c r="H142" s="484"/>
      <c r="I142" s="166">
        <f t="shared" si="47"/>
        <v>368501.63</v>
      </c>
      <c r="J142" s="167">
        <f>IF($I$213=0,0,I142/$I$213)</f>
        <v>7.1696341138655403E-2</v>
      </c>
      <c r="K142" s="458"/>
      <c r="L142" s="176">
        <v>26225</v>
      </c>
      <c r="M142" s="176">
        <v>27836.12</v>
      </c>
      <c r="O142" s="329">
        <f t="shared" si="43"/>
        <v>21.292056971167735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'[63]Sch C'!D139</f>
        <v>40247.72</v>
      </c>
      <c r="D143" s="480">
        <f>'[63]Sch C'!F139</f>
        <v>0</v>
      </c>
      <c r="E143" s="480">
        <f>+'[63]Sch C'!H139</f>
        <v>0</v>
      </c>
      <c r="F143" s="166">
        <f t="shared" si="46"/>
        <v>40247.72</v>
      </c>
      <c r="G143" s="626"/>
      <c r="H143" s="484"/>
      <c r="I143" s="166">
        <f t="shared" si="47"/>
        <v>40247.72</v>
      </c>
      <c r="J143" s="167">
        <f>IF($I$213=0,0,I143/$I$213)</f>
        <v>7.8306689258690228E-3</v>
      </c>
      <c r="K143" s="458"/>
      <c r="L143" s="176">
        <v>2336</v>
      </c>
      <c r="M143" s="176">
        <v>2476.36</v>
      </c>
      <c r="O143" s="329">
        <f t="shared" si="43"/>
        <v>2.3255168428959383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'[63]Sch C'!D141</f>
        <v>61882.23</v>
      </c>
      <c r="D145" s="480">
        <f>'[63]Sch C'!F141</f>
        <v>0</v>
      </c>
      <c r="E145" s="480">
        <f>+'[63]Sch C'!H141</f>
        <v>0</v>
      </c>
      <c r="F145" s="166">
        <f t="shared" ref="F145:F148" si="48">C145+D145+E145</f>
        <v>61882.23</v>
      </c>
      <c r="G145" s="626">
        <v>-5999</v>
      </c>
      <c r="H145" s="484"/>
      <c r="I145" s="166">
        <f t="shared" ref="I145:I148" si="49">F145+G145+H145</f>
        <v>55883.23</v>
      </c>
      <c r="J145" s="167">
        <f>IF($I$213=0,0,I145/$I$213)</f>
        <v>1.087274192521195E-2</v>
      </c>
      <c r="K145" s="458"/>
      <c r="L145" s="163"/>
      <c r="M145" s="163"/>
      <c r="O145" s="329">
        <f t="shared" si="43"/>
        <v>3.2289380019645231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'[63]Sch C'!D142</f>
        <v>36449.699999999997</v>
      </c>
      <c r="D146" s="480">
        <f>'[63]Sch C'!F142</f>
        <v>0</v>
      </c>
      <c r="E146" s="480">
        <f>+'[63]Sch C'!H142</f>
        <v>0</v>
      </c>
      <c r="F146" s="166">
        <f t="shared" si="48"/>
        <v>36449.699999999997</v>
      </c>
      <c r="G146" s="626">
        <v>-3534</v>
      </c>
      <c r="H146" s="484"/>
      <c r="I146" s="166">
        <f t="shared" si="49"/>
        <v>32915.699999999997</v>
      </c>
      <c r="J146" s="167">
        <f>IF($I$213=0,0,I146/$I$213)</f>
        <v>6.4041379030471031E-3</v>
      </c>
      <c r="K146" s="458"/>
      <c r="L146" s="163"/>
      <c r="M146" s="163"/>
      <c r="O146" s="329">
        <f t="shared" si="43"/>
        <v>1.9018720748829951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'[63]Sch C'!D143</f>
        <v>71526.47</v>
      </c>
      <c r="D147" s="480">
        <f>'[63]Sch C'!F143</f>
        <v>0</v>
      </c>
      <c r="E147" s="480">
        <f>+'[63]Sch C'!H143</f>
        <v>0</v>
      </c>
      <c r="F147" s="166">
        <f t="shared" si="48"/>
        <v>71526.47</v>
      </c>
      <c r="G147" s="626">
        <v>-6935</v>
      </c>
      <c r="H147" s="484"/>
      <c r="I147" s="166">
        <f t="shared" si="49"/>
        <v>64591.47</v>
      </c>
      <c r="J147" s="167">
        <f>IF($I$213=0,0,I147/$I$213)</f>
        <v>1.2567032791055026E-2</v>
      </c>
      <c r="K147" s="458"/>
      <c r="L147" s="163"/>
      <c r="M147" s="163"/>
      <c r="O147" s="329">
        <f t="shared" si="43"/>
        <v>3.7321008840353613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'[63]Sch C'!D144</f>
        <v>3692.92</v>
      </c>
      <c r="D148" s="480">
        <f>'[63]Sch C'!F144</f>
        <v>0</v>
      </c>
      <c r="E148" s="480">
        <f>+'[63]Sch C'!H144</f>
        <v>0</v>
      </c>
      <c r="F148" s="166">
        <f t="shared" si="48"/>
        <v>3692.92</v>
      </c>
      <c r="G148" s="626">
        <v>-742</v>
      </c>
      <c r="H148" s="484"/>
      <c r="I148" s="166">
        <f t="shared" si="49"/>
        <v>2950.92</v>
      </c>
      <c r="J148" s="167">
        <f>IF($I$213=0,0,I148/$I$213)</f>
        <v>5.7413631248491635E-4</v>
      </c>
      <c r="K148" s="458"/>
      <c r="L148" s="163"/>
      <c r="M148" s="163"/>
      <c r="O148" s="329">
        <f t="shared" si="43"/>
        <v>0.17050442017680709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'[63]Sch C'!D146</f>
        <v>28800</v>
      </c>
      <c r="D150" s="480">
        <f>'[63]Sch C'!F146</f>
        <v>0</v>
      </c>
      <c r="E150" s="480">
        <f>+'[63]Sch C'!H146</f>
        <v>0</v>
      </c>
      <c r="F150" s="166">
        <f t="shared" ref="F150:F158" si="50">C150+D150+E150</f>
        <v>28800</v>
      </c>
      <c r="G150" s="626"/>
      <c r="H150" s="484"/>
      <c r="I150" s="166">
        <f t="shared" ref="I150:I158" si="51">F150+G150+H150</f>
        <v>28800</v>
      </c>
      <c r="J150" s="167">
        <f t="shared" ref="J150:J158" si="52">IF($I$213=0,0,I150/$I$213)</f>
        <v>5.6033798949363554E-3</v>
      </c>
      <c r="K150" s="458"/>
      <c r="L150" s="176">
        <v>0</v>
      </c>
      <c r="M150" s="176">
        <v>0</v>
      </c>
      <c r="O150" s="329">
        <f t="shared" si="43"/>
        <v>1.6640665626625064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'[63]Sch C'!D147</f>
        <v>152138.79</v>
      </c>
      <c r="D151" s="480">
        <f>'[63]Sch C'!F147</f>
        <v>0</v>
      </c>
      <c r="E151" s="480">
        <f>+'[63]Sch C'!H147</f>
        <v>0</v>
      </c>
      <c r="F151" s="166">
        <f t="shared" si="50"/>
        <v>152138.79</v>
      </c>
      <c r="G151" s="626"/>
      <c r="H151" s="484"/>
      <c r="I151" s="166">
        <f t="shared" si="51"/>
        <v>152138.79</v>
      </c>
      <c r="J151" s="167">
        <f t="shared" si="52"/>
        <v>2.960039712242862E-2</v>
      </c>
      <c r="K151" s="458"/>
      <c r="L151" s="176">
        <v>0</v>
      </c>
      <c r="M151" s="176">
        <v>0</v>
      </c>
      <c r="O151" s="329">
        <f t="shared" si="43"/>
        <v>8.7905928237129487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'[63]Sch C'!D148</f>
        <v>37589.699999999997</v>
      </c>
      <c r="D152" s="480">
        <f>'[63]Sch C'!F148</f>
        <v>0</v>
      </c>
      <c r="E152" s="480">
        <f>+'[63]Sch C'!H148</f>
        <v>0</v>
      </c>
      <c r="F152" s="166">
        <f t="shared" si="50"/>
        <v>37589.699999999997</v>
      </c>
      <c r="G152" s="626"/>
      <c r="H152" s="484"/>
      <c r="I152" s="166">
        <f t="shared" si="51"/>
        <v>37589.699999999997</v>
      </c>
      <c r="J152" s="167">
        <f t="shared" si="52"/>
        <v>7.313519765162816E-3</v>
      </c>
      <c r="K152" s="458"/>
      <c r="L152" s="176">
        <v>0</v>
      </c>
      <c r="M152" s="176">
        <v>0</v>
      </c>
      <c r="O152" s="329">
        <f t="shared" si="43"/>
        <v>2.1719362107817646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'[63]Sch C'!D149</f>
        <v>412837.09</v>
      </c>
      <c r="D153" s="480">
        <f>'[63]Sch C'!F149</f>
        <v>0</v>
      </c>
      <c r="E153" s="480">
        <f>+'[63]Sch C'!H149</f>
        <v>0</v>
      </c>
      <c r="F153" s="166">
        <f t="shared" si="50"/>
        <v>412837.09</v>
      </c>
      <c r="G153" s="626"/>
      <c r="H153" s="484"/>
      <c r="I153" s="166">
        <f t="shared" si="51"/>
        <v>412837.09</v>
      </c>
      <c r="J153" s="167">
        <f t="shared" si="52"/>
        <v>8.0322328124653841E-2</v>
      </c>
      <c r="K153" s="458"/>
      <c r="L153" s="176">
        <v>0</v>
      </c>
      <c r="M153" s="176">
        <v>0</v>
      </c>
      <c r="O153" s="329">
        <f t="shared" si="43"/>
        <v>23.853763794996247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'[63]Sch C'!D150</f>
        <v>4817.5</v>
      </c>
      <c r="D154" s="480">
        <f>'[63]Sch C'!F150</f>
        <v>0</v>
      </c>
      <c r="E154" s="480">
        <f>+'[63]Sch C'!H150</f>
        <v>0</v>
      </c>
      <c r="F154" s="166">
        <f t="shared" si="50"/>
        <v>4817.5</v>
      </c>
      <c r="G154" s="626"/>
      <c r="H154" s="484"/>
      <c r="I154" s="166">
        <f t="shared" si="51"/>
        <v>4817.5</v>
      </c>
      <c r="J154" s="167">
        <f t="shared" si="52"/>
        <v>9.373014806894407E-4</v>
      </c>
      <c r="K154" s="458"/>
      <c r="L154" s="176">
        <v>0</v>
      </c>
      <c r="M154" s="176">
        <v>0</v>
      </c>
      <c r="O154" s="329">
        <f t="shared" si="43"/>
        <v>0.27835557866759114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'[63]Sch C'!D151</f>
        <v>72989.440000000002</v>
      </c>
      <c r="D155" s="480">
        <f>'[63]Sch C'!F151</f>
        <v>0</v>
      </c>
      <c r="E155" s="480">
        <f>+'[63]Sch C'!H151</f>
        <v>0</v>
      </c>
      <c r="F155" s="166">
        <f t="shared" si="50"/>
        <v>72989.440000000002</v>
      </c>
      <c r="G155" s="626"/>
      <c r="H155" s="484"/>
      <c r="I155" s="166">
        <f t="shared" si="51"/>
        <v>72989.440000000002</v>
      </c>
      <c r="J155" s="167">
        <f t="shared" si="52"/>
        <v>1.4200956966620258E-2</v>
      </c>
      <c r="K155" s="458"/>
      <c r="L155" s="163"/>
      <c r="M155" s="163"/>
      <c r="O155" s="329">
        <f t="shared" si="43"/>
        <v>4.2173363378979607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'[63]Sch C'!D152</f>
        <v>2752.31</v>
      </c>
      <c r="D156" s="480">
        <f>'[63]Sch C'!F152</f>
        <v>0</v>
      </c>
      <c r="E156" s="480">
        <f>+'[63]Sch C'!H152</f>
        <v>0</v>
      </c>
      <c r="F156" s="166">
        <f t="shared" si="50"/>
        <v>2752.31</v>
      </c>
      <c r="G156" s="626"/>
      <c r="H156" s="484"/>
      <c r="I156" s="166">
        <f t="shared" si="51"/>
        <v>2752.31</v>
      </c>
      <c r="J156" s="167">
        <f t="shared" si="52"/>
        <v>5.3549439300806529E-4</v>
      </c>
      <c r="K156" s="458"/>
      <c r="L156" s="163"/>
      <c r="M156" s="163"/>
      <c r="O156" s="329">
        <f t="shared" si="43"/>
        <v>0.15902871670422372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'[63]Sch C'!D153</f>
        <v>4330.17</v>
      </c>
      <c r="D157" s="480">
        <f>'[63]Sch C'!F153</f>
        <v>0</v>
      </c>
      <c r="E157" s="480">
        <f>+'[63]Sch C'!H153</f>
        <v>0</v>
      </c>
      <c r="F157" s="166">
        <f t="shared" si="50"/>
        <v>4330.17</v>
      </c>
      <c r="G157" s="626"/>
      <c r="H157" s="484"/>
      <c r="I157" s="166">
        <f t="shared" si="51"/>
        <v>4330.17</v>
      </c>
      <c r="J157" s="167">
        <f t="shared" si="52"/>
        <v>8.4248567776585269E-4</v>
      </c>
      <c r="K157" s="458"/>
      <c r="L157" s="163"/>
      <c r="M157" s="163"/>
      <c r="O157" s="329">
        <f t="shared" si="43"/>
        <v>0.25019760790431617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'[63]Sch C'!D154</f>
        <v>0</v>
      </c>
      <c r="D158" s="480">
        <f>'[63]Sch C'!F154</f>
        <v>0</v>
      </c>
      <c r="E158" s="480">
        <f>+'[63]Sch C'!H154</f>
        <v>0</v>
      </c>
      <c r="F158" s="166">
        <f t="shared" si="50"/>
        <v>0</v>
      </c>
      <c r="G158" s="626"/>
      <c r="H158" s="484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'[63]Sch C'!D156</f>
        <v>0</v>
      </c>
      <c r="D160" s="480">
        <f>'[63]Sch C'!F156</f>
        <v>0</v>
      </c>
      <c r="E160" s="480">
        <f>+'[63]Sch C'!H156</f>
        <v>0</v>
      </c>
      <c r="F160" s="166">
        <f t="shared" ref="F160:F165" si="53">C160+D160+E160</f>
        <v>0</v>
      </c>
      <c r="G160" s="626"/>
      <c r="H160" s="484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'[63]Sch C'!D157</f>
        <v>0</v>
      </c>
      <c r="D161" s="480">
        <f>'[63]Sch C'!F157</f>
        <v>0</v>
      </c>
      <c r="E161" s="480">
        <f>+'[63]Sch C'!H157</f>
        <v>0</v>
      </c>
      <c r="F161" s="166">
        <f t="shared" si="53"/>
        <v>0</v>
      </c>
      <c r="G161" s="626"/>
      <c r="H161" s="484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'[63]Sch C'!D158</f>
        <v>0</v>
      </c>
      <c r="D162" s="480">
        <f>'[63]Sch C'!F158</f>
        <v>0</v>
      </c>
      <c r="E162" s="480">
        <f>+'[63]Sch C'!H158</f>
        <v>0</v>
      </c>
      <c r="F162" s="166">
        <f t="shared" si="53"/>
        <v>0</v>
      </c>
      <c r="G162" s="626"/>
      <c r="H162" s="484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'[63]Sch C'!D159</f>
        <v>0</v>
      </c>
      <c r="D163" s="480">
        <f>'[63]Sch C'!F159</f>
        <v>0</v>
      </c>
      <c r="E163" s="480">
        <f>+'[63]Sch C'!H159</f>
        <v>0</v>
      </c>
      <c r="F163" s="166">
        <f t="shared" si="53"/>
        <v>0</v>
      </c>
      <c r="G163" s="626"/>
      <c r="H163" s="484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'[63]Sch C'!D160</f>
        <v>620.58000000000004</v>
      </c>
      <c r="D164" s="480">
        <f>'[63]Sch C'!F160</f>
        <v>0</v>
      </c>
      <c r="E164" s="480">
        <f>+'[63]Sch C'!H160</f>
        <v>0</v>
      </c>
      <c r="F164" s="166">
        <f t="shared" si="53"/>
        <v>620.58000000000004</v>
      </c>
      <c r="G164" s="626"/>
      <c r="H164" s="484"/>
      <c r="I164" s="166">
        <f t="shared" si="54"/>
        <v>620.58000000000004</v>
      </c>
      <c r="J164" s="167">
        <f>IF($I$213=0,0,I164/$I$213)</f>
        <v>1.2074116302776402E-4</v>
      </c>
      <c r="K164" s="458"/>
      <c r="L164" s="163"/>
      <c r="M164" s="163"/>
      <c r="O164" s="329">
        <f t="shared" si="43"/>
        <v>3.5857167620038134E-2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'[63]Sch C'!D161</f>
        <v>30431.97</v>
      </c>
      <c r="D165" s="480">
        <f>'[63]Sch C'!F161</f>
        <v>0</v>
      </c>
      <c r="E165" s="480">
        <f>+'[63]Sch C'!H161</f>
        <v>0</v>
      </c>
      <c r="F165" s="166">
        <f t="shared" si="53"/>
        <v>30431.97</v>
      </c>
      <c r="G165" s="626">
        <v>-10063</v>
      </c>
      <c r="H165" s="484"/>
      <c r="I165" s="166">
        <f t="shared" si="54"/>
        <v>20368.97</v>
      </c>
      <c r="J165" s="167">
        <f t="shared" si="55"/>
        <v>3.9630235062000614E-3</v>
      </c>
      <c r="K165" s="458"/>
      <c r="L165" s="163"/>
      <c r="M165" s="163"/>
      <c r="O165" s="329">
        <f t="shared" si="43"/>
        <v>1.1769208990581845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2198074.6000000006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2198074.6000000006</v>
      </c>
      <c r="G166" s="166">
        <f t="shared" si="57"/>
        <v>-32600</v>
      </c>
      <c r="H166" s="166">
        <f t="shared" si="57"/>
        <v>0</v>
      </c>
      <c r="I166" s="166">
        <f t="shared" si="57"/>
        <v>2165474.6000000006</v>
      </c>
      <c r="J166" s="167">
        <f t="shared" si="55"/>
        <v>0.42131864016094961</v>
      </c>
      <c r="K166" s="458"/>
      <c r="L166" s="163"/>
      <c r="M166" s="163"/>
      <c r="O166" s="329">
        <f>I166/I$233</f>
        <v>125.12131507482525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'[63]Sch C'!D175</f>
        <v>0</v>
      </c>
      <c r="D169" s="480">
        <f>'[63]Sch C'!F175</f>
        <v>0</v>
      </c>
      <c r="E169" s="480">
        <f>+'[63]Sch C'!H175</f>
        <v>0</v>
      </c>
      <c r="F169" s="166">
        <f t="shared" ref="F169:F201" si="58">C169+D169+E169</f>
        <v>0</v>
      </c>
      <c r="G169" s="626"/>
      <c r="H169" s="484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'[63]Sch C'!D176</f>
        <v>0</v>
      </c>
      <c r="D170" s="480">
        <f>'[63]Sch C'!F176</f>
        <v>0</v>
      </c>
      <c r="E170" s="480">
        <f>+'[63]Sch C'!H176</f>
        <v>0</v>
      </c>
      <c r="F170" s="166">
        <f t="shared" si="58"/>
        <v>0</v>
      </c>
      <c r="G170" s="626"/>
      <c r="H170" s="484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'[63]Sch C'!D177</f>
        <v>0</v>
      </c>
      <c r="D171" s="480">
        <f>'[63]Sch C'!F177</f>
        <v>0</v>
      </c>
      <c r="E171" s="480">
        <f>+'[63]Sch C'!H177</f>
        <v>0</v>
      </c>
      <c r="F171" s="166">
        <f t="shared" si="58"/>
        <v>0</v>
      </c>
      <c r="G171" s="626"/>
      <c r="H171" s="484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'[63]Sch C'!D178</f>
        <v>0</v>
      </c>
      <c r="D172" s="480">
        <f>'[63]Sch C'!F178</f>
        <v>0</v>
      </c>
      <c r="E172" s="480">
        <f>+'[63]Sch C'!H178</f>
        <v>0</v>
      </c>
      <c r="F172" s="166">
        <f t="shared" si="58"/>
        <v>0</v>
      </c>
      <c r="G172" s="626"/>
      <c r="H172" s="484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'[63]Sch C'!D179</f>
        <v>0</v>
      </c>
      <c r="D173" s="480">
        <f>'[63]Sch C'!F179</f>
        <v>0</v>
      </c>
      <c r="E173" s="480">
        <f>+'[63]Sch C'!H179</f>
        <v>0</v>
      </c>
      <c r="F173" s="166">
        <f t="shared" si="58"/>
        <v>0</v>
      </c>
      <c r="G173" s="626"/>
      <c r="H173" s="484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'[63]Sch C'!D180</f>
        <v>0</v>
      </c>
      <c r="D174" s="480">
        <f>'[63]Sch C'!F180</f>
        <v>0</v>
      </c>
      <c r="E174" s="480">
        <f>+'[63]Sch C'!H180</f>
        <v>0</v>
      </c>
      <c r="F174" s="166">
        <f t="shared" si="58"/>
        <v>0</v>
      </c>
      <c r="G174" s="626"/>
      <c r="H174" s="484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'[63]Sch C'!D181</f>
        <v>0</v>
      </c>
      <c r="D175" s="480">
        <f>'[63]Sch C'!F181</f>
        <v>0</v>
      </c>
      <c r="E175" s="480">
        <f>+'[63]Sch C'!H181</f>
        <v>0</v>
      </c>
      <c r="F175" s="166">
        <f t="shared" si="58"/>
        <v>0</v>
      </c>
      <c r="G175" s="626"/>
      <c r="H175" s="484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'[63]Sch C'!D182</f>
        <v>0</v>
      </c>
      <c r="D176" s="480">
        <f>'[63]Sch C'!F182</f>
        <v>0</v>
      </c>
      <c r="E176" s="480">
        <f>+'[63]Sch C'!H182</f>
        <v>0</v>
      </c>
      <c r="F176" s="166">
        <f t="shared" si="58"/>
        <v>0</v>
      </c>
      <c r="G176" s="626"/>
      <c r="H176" s="484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'[63]Sch C'!D183</f>
        <v>0</v>
      </c>
      <c r="D177" s="480">
        <f>'[63]Sch C'!F183</f>
        <v>0</v>
      </c>
      <c r="E177" s="480">
        <f>+'[63]Sch C'!H183</f>
        <v>0</v>
      </c>
      <c r="F177" s="166">
        <f t="shared" si="58"/>
        <v>0</v>
      </c>
      <c r="G177" s="626"/>
      <c r="H177" s="484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'[63]Sch C'!D184</f>
        <v>0</v>
      </c>
      <c r="D178" s="480">
        <f>'[63]Sch C'!F184</f>
        <v>0</v>
      </c>
      <c r="E178" s="480">
        <f>+'[63]Sch C'!H184</f>
        <v>0</v>
      </c>
      <c r="F178" s="166">
        <f t="shared" si="58"/>
        <v>0</v>
      </c>
      <c r="G178" s="626"/>
      <c r="H178" s="484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'[63]Sch C'!D185</f>
        <v>0</v>
      </c>
      <c r="D179" s="480">
        <f>'[63]Sch C'!F185</f>
        <v>0</v>
      </c>
      <c r="E179" s="480">
        <f>+'[63]Sch C'!H185</f>
        <v>0</v>
      </c>
      <c r="F179" s="166">
        <f t="shared" si="58"/>
        <v>0</v>
      </c>
      <c r="G179" s="626"/>
      <c r="H179" s="484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'[63]Sch C'!D186</f>
        <v>0</v>
      </c>
      <c r="D180" s="480">
        <f>'[63]Sch C'!F186</f>
        <v>0</v>
      </c>
      <c r="E180" s="480">
        <f>+'[63]Sch C'!H186</f>
        <v>0</v>
      </c>
      <c r="F180" s="166">
        <f t="shared" si="58"/>
        <v>0</v>
      </c>
      <c r="G180" s="626"/>
      <c r="H180" s="484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'[63]Sch C'!D187</f>
        <v>0</v>
      </c>
      <c r="D181" s="480">
        <f>'[63]Sch C'!F187</f>
        <v>0</v>
      </c>
      <c r="E181" s="480">
        <f>+'[63]Sch C'!H187</f>
        <v>0</v>
      </c>
      <c r="F181" s="166">
        <f t="shared" si="58"/>
        <v>0</v>
      </c>
      <c r="G181" s="626"/>
      <c r="H181" s="484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'[63]Sch C'!D188</f>
        <v>0</v>
      </c>
      <c r="D182" s="480">
        <f>'[63]Sch C'!F188</f>
        <v>0</v>
      </c>
      <c r="E182" s="480">
        <f>+'[63]Sch C'!H188</f>
        <v>0</v>
      </c>
      <c r="F182" s="166">
        <f t="shared" si="58"/>
        <v>0</v>
      </c>
      <c r="G182" s="626"/>
      <c r="H182" s="484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'[63]Sch C'!D189</f>
        <v>0</v>
      </c>
      <c r="D183" s="480">
        <f>'[63]Sch C'!F189</f>
        <v>0</v>
      </c>
      <c r="E183" s="480">
        <f>+'[63]Sch C'!H189</f>
        <v>0</v>
      </c>
      <c r="F183" s="166">
        <f t="shared" si="58"/>
        <v>0</v>
      </c>
      <c r="G183" s="626"/>
      <c r="H183" s="484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'[63]Sch C'!D190</f>
        <v>0</v>
      </c>
      <c r="D184" s="480">
        <f>'[63]Sch C'!F190</f>
        <v>0</v>
      </c>
      <c r="E184" s="480">
        <f>+'[63]Sch C'!H190</f>
        <v>0</v>
      </c>
      <c r="F184" s="166">
        <f t="shared" si="58"/>
        <v>0</v>
      </c>
      <c r="G184" s="626"/>
      <c r="H184" s="484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'[63]Sch C'!D191</f>
        <v>0</v>
      </c>
      <c r="D185" s="480">
        <f>'[63]Sch C'!F191</f>
        <v>0</v>
      </c>
      <c r="E185" s="480">
        <f>+'[63]Sch C'!H191</f>
        <v>0</v>
      </c>
      <c r="F185" s="166">
        <f t="shared" si="58"/>
        <v>0</v>
      </c>
      <c r="G185" s="626"/>
      <c r="H185" s="484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'[63]Sch C'!D192</f>
        <v>0</v>
      </c>
      <c r="D186" s="480">
        <f>'[63]Sch C'!F192</f>
        <v>0</v>
      </c>
      <c r="E186" s="480">
        <f>+'[63]Sch C'!H192</f>
        <v>0</v>
      </c>
      <c r="F186" s="166">
        <f t="shared" si="58"/>
        <v>0</v>
      </c>
      <c r="G186" s="626"/>
      <c r="H186" s="484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'[63]Sch C'!D193</f>
        <v>0</v>
      </c>
      <c r="D187" s="480">
        <f>'[63]Sch C'!F193</f>
        <v>0</v>
      </c>
      <c r="E187" s="480">
        <f>+'[63]Sch C'!H193</f>
        <v>0</v>
      </c>
      <c r="F187" s="166">
        <f t="shared" si="58"/>
        <v>0</v>
      </c>
      <c r="G187" s="626"/>
      <c r="H187" s="484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'[63]Sch C'!D194</f>
        <v>167362.76999999999</v>
      </c>
      <c r="D188" s="480">
        <f>'[63]Sch C'!F194</f>
        <v>0</v>
      </c>
      <c r="E188" s="480">
        <f>+'[63]Sch C'!H194</f>
        <v>-4204.8100000000004</v>
      </c>
      <c r="F188" s="166">
        <f t="shared" si="58"/>
        <v>163157.96</v>
      </c>
      <c r="G188" s="626"/>
      <c r="H188" s="484"/>
      <c r="I188" s="166">
        <f t="shared" si="59"/>
        <v>163157.96</v>
      </c>
      <c r="J188" s="167">
        <f t="shared" si="60"/>
        <v>3.1744306693153819E-2</v>
      </c>
      <c r="K188" s="458"/>
      <c r="L188" s="213"/>
      <c r="M188" s="208"/>
      <c r="O188" s="329">
        <f t="shared" si="61"/>
        <v>9.4272814468134278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'[63]Sch C'!D195</f>
        <v>24129.07</v>
      </c>
      <c r="D189" s="480">
        <f>'[63]Sch C'!F195</f>
        <v>0</v>
      </c>
      <c r="E189" s="480">
        <f>+'[63]Sch C'!H195</f>
        <v>-606.21</v>
      </c>
      <c r="F189" s="166">
        <f t="shared" si="58"/>
        <v>23522.86</v>
      </c>
      <c r="G189" s="626"/>
      <c r="H189" s="484"/>
      <c r="I189" s="166">
        <f t="shared" si="59"/>
        <v>23522.86</v>
      </c>
      <c r="J189" s="167">
        <f t="shared" si="60"/>
        <v>4.5766500276181454E-3</v>
      </c>
      <c r="K189" s="458"/>
      <c r="L189" s="213"/>
      <c r="M189" s="208"/>
      <c r="O189" s="329">
        <f t="shared" si="61"/>
        <v>1.3591529438955336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'[63]Sch C'!D196</f>
        <v>0</v>
      </c>
      <c r="D190" s="480">
        <f>'[63]Sch C'!F196</f>
        <v>0</v>
      </c>
      <c r="E190" s="480">
        <f>+'[63]Sch C'!H196</f>
        <v>0</v>
      </c>
      <c r="F190" s="166">
        <f t="shared" si="58"/>
        <v>0</v>
      </c>
      <c r="G190" s="626"/>
      <c r="H190" s="484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'[63]Sch C'!D197</f>
        <v>154688.47</v>
      </c>
      <c r="D191" s="480">
        <f>'[63]Sch C'!F197</f>
        <v>0</v>
      </c>
      <c r="E191" s="480">
        <f>+'[63]Sch C'!H197</f>
        <v>-3886.36</v>
      </c>
      <c r="F191" s="166">
        <f t="shared" si="58"/>
        <v>150802.11000000002</v>
      </c>
      <c r="G191" s="626"/>
      <c r="H191" s="484"/>
      <c r="I191" s="166">
        <f t="shared" si="59"/>
        <v>150802.11000000002</v>
      </c>
      <c r="J191" s="167">
        <f t="shared" si="60"/>
        <v>2.9340330253054887E-2</v>
      </c>
      <c r="K191" s="458"/>
      <c r="L191" s="213"/>
      <c r="M191" s="208"/>
      <c r="O191" s="329">
        <f t="shared" si="61"/>
        <v>8.7133593343733757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'[63]Sch C'!D198</f>
        <v>19515.78</v>
      </c>
      <c r="D192" s="480">
        <f>'[63]Sch C'!F198</f>
        <v>0</v>
      </c>
      <c r="E192" s="480">
        <f>+'[63]Sch C'!H198</f>
        <v>0</v>
      </c>
      <c r="F192" s="166">
        <f t="shared" si="58"/>
        <v>19515.78</v>
      </c>
      <c r="G192" s="626"/>
      <c r="H192" s="484"/>
      <c r="I192" s="166">
        <f t="shared" si="59"/>
        <v>19515.78</v>
      </c>
      <c r="J192" s="167">
        <f t="shared" si="60"/>
        <v>3.7970253224305908E-3</v>
      </c>
      <c r="K192" s="458"/>
      <c r="L192" s="213"/>
      <c r="M192" s="208"/>
      <c r="O192" s="329">
        <f t="shared" si="61"/>
        <v>1.1276235049401975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'[63]Sch C'!D199</f>
        <v>0</v>
      </c>
      <c r="D193" s="480">
        <f>'[63]Sch C'!F199</f>
        <v>0</v>
      </c>
      <c r="E193" s="480">
        <f>+'[63]Sch C'!H199</f>
        <v>0</v>
      </c>
      <c r="F193" s="166">
        <f t="shared" si="58"/>
        <v>0</v>
      </c>
      <c r="G193" s="626"/>
      <c r="H193" s="484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'[63]Sch C'!D200</f>
        <v>0</v>
      </c>
      <c r="D194" s="480">
        <f>'[63]Sch C'!F200</f>
        <v>0</v>
      </c>
      <c r="E194" s="480">
        <f>+'[63]Sch C'!H200</f>
        <v>0</v>
      </c>
      <c r="F194" s="166">
        <f t="shared" si="58"/>
        <v>0</v>
      </c>
      <c r="G194" s="626"/>
      <c r="H194" s="484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'[63]Sch C'!D201</f>
        <v>0</v>
      </c>
      <c r="D195" s="480">
        <f>'[63]Sch C'!F201</f>
        <v>0</v>
      </c>
      <c r="E195" s="480">
        <f>+'[63]Sch C'!H201</f>
        <v>0</v>
      </c>
      <c r="F195" s="166">
        <f t="shared" si="58"/>
        <v>0</v>
      </c>
      <c r="G195" s="626"/>
      <c r="H195" s="484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'[63]Sch C'!D202</f>
        <v>0</v>
      </c>
      <c r="D196" s="480">
        <f>'[63]Sch C'!F202</f>
        <v>0</v>
      </c>
      <c r="E196" s="480">
        <f>+'[63]Sch C'!H202</f>
        <v>0</v>
      </c>
      <c r="F196" s="166">
        <f t="shared" si="58"/>
        <v>0</v>
      </c>
      <c r="G196" s="626"/>
      <c r="H196" s="484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'[63]Sch C'!D203</f>
        <v>0</v>
      </c>
      <c r="D197" s="480">
        <f>'[63]Sch C'!F203</f>
        <v>0</v>
      </c>
      <c r="E197" s="480">
        <f>+'[63]Sch C'!H203</f>
        <v>0</v>
      </c>
      <c r="F197" s="166">
        <f t="shared" si="58"/>
        <v>0</v>
      </c>
      <c r="G197" s="626"/>
      <c r="H197" s="484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'[63]Sch C'!D204</f>
        <v>0</v>
      </c>
      <c r="D198" s="480">
        <f>'[63]Sch C'!F204</f>
        <v>0</v>
      </c>
      <c r="E198" s="480">
        <f>+'[63]Sch C'!H204</f>
        <v>0</v>
      </c>
      <c r="F198" s="166">
        <f t="shared" si="58"/>
        <v>0</v>
      </c>
      <c r="G198" s="626"/>
      <c r="H198" s="484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'[63]Sch C'!D205</f>
        <v>181619.91</v>
      </c>
      <c r="D199" s="480">
        <f>'[63]Sch C'!F205</f>
        <v>0</v>
      </c>
      <c r="E199" s="480">
        <f>+'[63]Sch C'!H205</f>
        <v>-109853</v>
      </c>
      <c r="F199" s="166">
        <f t="shared" si="58"/>
        <v>71766.91</v>
      </c>
      <c r="G199" s="626"/>
      <c r="H199" s="484"/>
      <c r="I199" s="166">
        <f t="shared" si="59"/>
        <v>71766.91</v>
      </c>
      <c r="J199" s="167">
        <f t="shared" si="60"/>
        <v>1.3963099326934268E-2</v>
      </c>
      <c r="K199" s="458"/>
      <c r="L199" s="213"/>
      <c r="M199" s="208"/>
      <c r="O199" s="329">
        <f t="shared" si="61"/>
        <v>4.1466984457156064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'[63]Sch C'!D206</f>
        <v>14983.6</v>
      </c>
      <c r="D200" s="480">
        <f>'[63]Sch C'!F206</f>
        <v>0</v>
      </c>
      <c r="E200" s="480">
        <f>+'[63]Sch C'!H206</f>
        <v>0</v>
      </c>
      <c r="F200" s="166">
        <f t="shared" si="58"/>
        <v>14983.6</v>
      </c>
      <c r="G200" s="626"/>
      <c r="H200" s="484"/>
      <c r="I200" s="166">
        <f t="shared" si="59"/>
        <v>14983.6</v>
      </c>
      <c r="J200" s="167">
        <f t="shared" si="60"/>
        <v>2.9152362150614017E-3</v>
      </c>
      <c r="K200" s="458"/>
      <c r="L200" s="213"/>
      <c r="M200" s="208"/>
      <c r="O200" s="329">
        <f t="shared" si="61"/>
        <v>0.86575374126076154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'[63]Sch C'!D207</f>
        <v>35203.18</v>
      </c>
      <c r="D201" s="480">
        <f>'[63]Sch C'!F207</f>
        <v>0</v>
      </c>
      <c r="E201" s="480">
        <f>+'[63]Sch C'!H207</f>
        <v>0</v>
      </c>
      <c r="F201" s="166">
        <f t="shared" si="58"/>
        <v>35203.18</v>
      </c>
      <c r="G201" s="626"/>
      <c r="H201" s="484"/>
      <c r="I201" s="166">
        <f t="shared" si="59"/>
        <v>35203.18</v>
      </c>
      <c r="J201" s="167">
        <f t="shared" si="60"/>
        <v>6.8491941336745006E-3</v>
      </c>
      <c r="K201" s="458"/>
      <c r="L201" s="213"/>
      <c r="M201" s="208"/>
      <c r="O201" s="329">
        <f t="shared" si="61"/>
        <v>2.0340428728260243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597502.78</v>
      </c>
      <c r="D202" s="480">
        <f t="shared" si="62"/>
        <v>0</v>
      </c>
      <c r="E202" s="480">
        <f t="shared" si="62"/>
        <v>-118550.38</v>
      </c>
      <c r="F202" s="166">
        <f t="shared" ref="F202:I202" si="63">SUM(F169:F201)</f>
        <v>478952.40000000008</v>
      </c>
      <c r="G202" s="166">
        <f t="shared" si="63"/>
        <v>0</v>
      </c>
      <c r="H202" s="166">
        <f t="shared" si="63"/>
        <v>0</v>
      </c>
      <c r="I202" s="166">
        <f t="shared" si="63"/>
        <v>478952.40000000008</v>
      </c>
      <c r="J202" s="167">
        <f>IF($I$213=0,0,I202/$I$213)</f>
        <v>9.3185841971927627E-2</v>
      </c>
      <c r="K202" s="458"/>
      <c r="L202" s="163"/>
      <c r="M202" s="163"/>
      <c r="O202" s="329">
        <f>I202/I$233</f>
        <v>27.67391228982493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'[63]Sch C'!D211</f>
        <v>100980.44</v>
      </c>
      <c r="D205" s="480">
        <f>'[63]Sch C'!F211</f>
        <v>0</v>
      </c>
      <c r="E205" s="480">
        <f>+'[63]Sch C'!H211</f>
        <v>0</v>
      </c>
      <c r="F205" s="166">
        <f t="shared" ref="F205:F210" si="64">C205+D205+E205</f>
        <v>100980.44</v>
      </c>
      <c r="G205" s="626"/>
      <c r="H205" s="484"/>
      <c r="I205" s="166">
        <f t="shared" ref="I205:I210" si="65">F205+G205+H205</f>
        <v>100980.44</v>
      </c>
      <c r="J205" s="167">
        <f t="shared" ref="J205:J211" si="66">IF($I$213=0,0,I205/$I$213)</f>
        <v>1.9646936363813435E-2</v>
      </c>
      <c r="K205" s="458"/>
      <c r="L205" s="176">
        <v>5264</v>
      </c>
      <c r="M205" s="176">
        <v>6859</v>
      </c>
      <c r="O205" s="329">
        <f t="shared" ref="O205:O210" si="67">I205/I$233</f>
        <v>5.8346588085745656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'[63]Sch C'!D212</f>
        <v>22627.16</v>
      </c>
      <c r="D206" s="480">
        <f>'[63]Sch C'!F212</f>
        <v>0</v>
      </c>
      <c r="E206" s="480">
        <f>+'[63]Sch C'!H212</f>
        <v>0</v>
      </c>
      <c r="F206" s="166">
        <f t="shared" si="64"/>
        <v>22627.16</v>
      </c>
      <c r="G206" s="626">
        <v>-955</v>
      </c>
      <c r="H206" s="484"/>
      <c r="I206" s="166">
        <f t="shared" si="65"/>
        <v>21672.16</v>
      </c>
      <c r="J206" s="167">
        <f t="shared" si="66"/>
        <v>4.2165745008279128E-3</v>
      </c>
      <c r="K206" s="458"/>
      <c r="L206" s="163"/>
      <c r="M206" s="163"/>
      <c r="O206" s="329">
        <f t="shared" si="67"/>
        <v>1.2522193332177731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'[63]Sch C'!D213</f>
        <v>8053</v>
      </c>
      <c r="D207" s="480">
        <f>'[63]Sch C'!F213</f>
        <v>0</v>
      </c>
      <c r="E207" s="480">
        <f>+'[63]Sch C'!H213</f>
        <v>0</v>
      </c>
      <c r="F207" s="166">
        <f t="shared" si="64"/>
        <v>8053</v>
      </c>
      <c r="G207" s="626"/>
      <c r="H207" s="484"/>
      <c r="I207" s="166">
        <f t="shared" si="65"/>
        <v>8053</v>
      </c>
      <c r="J207" s="167">
        <f t="shared" si="66"/>
        <v>1.5668061907611968E-3</v>
      </c>
      <c r="K207" s="458"/>
      <c r="L207" s="163"/>
      <c r="M207" s="163"/>
      <c r="O207" s="329">
        <f t="shared" si="67"/>
        <v>0.46530305656670712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'[63]Sch C'!D214</f>
        <v>0</v>
      </c>
      <c r="D208" s="480">
        <f>'[63]Sch C'!F214</f>
        <v>0</v>
      </c>
      <c r="E208" s="480">
        <f>+'[63]Sch C'!H214</f>
        <v>0</v>
      </c>
      <c r="F208" s="166">
        <f t="shared" si="64"/>
        <v>0</v>
      </c>
      <c r="G208" s="626"/>
      <c r="H208" s="484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'[63]Sch C'!D215</f>
        <v>0</v>
      </c>
      <c r="D209" s="480">
        <f>'[63]Sch C'!F215</f>
        <v>0</v>
      </c>
      <c r="E209" s="480">
        <f>+'[63]Sch C'!H215</f>
        <v>0</v>
      </c>
      <c r="F209" s="166">
        <f t="shared" si="64"/>
        <v>0</v>
      </c>
      <c r="G209" s="626"/>
      <c r="H209" s="484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'[63]Sch C'!D216</f>
        <v>1640.78</v>
      </c>
      <c r="D210" s="480">
        <f>'[63]Sch C'!F216</f>
        <v>0</v>
      </c>
      <c r="E210" s="480">
        <f>+'[63]Sch C'!H216</f>
        <v>0</v>
      </c>
      <c r="F210" s="166">
        <f t="shared" si="64"/>
        <v>1640.78</v>
      </c>
      <c r="G210" s="626"/>
      <c r="H210" s="484"/>
      <c r="I210" s="166">
        <f t="shared" si="65"/>
        <v>1640.78</v>
      </c>
      <c r="J210" s="167">
        <f t="shared" si="66"/>
        <v>3.1923311333380809E-4</v>
      </c>
      <c r="K210" s="458"/>
      <c r="L210" s="163"/>
      <c r="M210" s="163"/>
      <c r="O210" s="329">
        <f t="shared" si="67"/>
        <v>9.4804414398798179E-2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133301.38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133301.38</v>
      </c>
      <c r="G211" s="166">
        <f t="shared" si="69"/>
        <v>-955</v>
      </c>
      <c r="H211" s="166">
        <f t="shared" si="69"/>
        <v>0</v>
      </c>
      <c r="I211" s="166">
        <f t="shared" si="69"/>
        <v>132346.38</v>
      </c>
      <c r="J211" s="167">
        <f t="shared" si="66"/>
        <v>2.5749550168736354E-2</v>
      </c>
      <c r="K211" s="458"/>
      <c r="L211" s="163"/>
      <c r="M211" s="163"/>
      <c r="O211" s="329">
        <f>I211/I$233</f>
        <v>7.6469856127578435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5323435.5699999994</v>
      </c>
      <c r="D213" s="480">
        <f t="shared" si="70"/>
        <v>-125315.24000000002</v>
      </c>
      <c r="E213" s="480">
        <f t="shared" si="70"/>
        <v>54580.28</v>
      </c>
      <c r="F213" s="166">
        <f t="shared" ref="F213:I213" si="71">SUM(F30:F211)/2</f>
        <v>5252700.6099999994</v>
      </c>
      <c r="G213" s="166">
        <f t="shared" si="71"/>
        <v>0</v>
      </c>
      <c r="H213" s="166">
        <f t="shared" si="71"/>
        <v>-112945.58000000005</v>
      </c>
      <c r="I213" s="166">
        <f t="shared" si="71"/>
        <v>5139755.0299999993</v>
      </c>
      <c r="J213" s="167">
        <f>IF($I$213=0,0,I213/$I$213)</f>
        <v>1</v>
      </c>
      <c r="K213" s="458"/>
      <c r="L213" s="176">
        <f>SUM(L30:L205)</f>
        <v>89258.37</v>
      </c>
      <c r="M213" s="176">
        <f>SUM(M30:M205)</f>
        <v>97021.07</v>
      </c>
      <c r="O213" s="329">
        <f>I213/I$233</f>
        <v>296.97550297567454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'[63]Sch C'!D221</f>
        <v>5323435.58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-1.0000000707805157E-2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-1620278.9899999988</v>
      </c>
      <c r="D220" s="480">
        <f t="shared" si="72"/>
        <v>1928767.7199999997</v>
      </c>
      <c r="E220" s="480">
        <f t="shared" si="72"/>
        <v>-54580.28</v>
      </c>
      <c r="F220" s="166">
        <f t="shared" ref="F220:I220" si="73">F26-F213</f>
        <v>253908.45000000019</v>
      </c>
      <c r="G220" s="166">
        <f t="shared" si="73"/>
        <v>0</v>
      </c>
      <c r="H220" s="166">
        <f t="shared" si="73"/>
        <v>112945.58000000005</v>
      </c>
      <c r="I220" s="166">
        <f t="shared" si="73"/>
        <v>366854.03000000026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'[63]Sch D'!C9</f>
        <v>11898</v>
      </c>
      <c r="D224" s="480"/>
      <c r="E224" s="480"/>
      <c r="F224" s="224">
        <f>C224+D224+E224</f>
        <v>11898</v>
      </c>
      <c r="G224" s="627"/>
      <c r="H224" s="223"/>
      <c r="I224" s="224">
        <f>F224+G224+H224</f>
        <v>11898</v>
      </c>
      <c r="J224" s="167">
        <f t="shared" ref="J224:J233" si="74">IF($I$233=0,0,I224/$I$233)</f>
        <v>0.68746749869994794</v>
      </c>
      <c r="K224" s="458"/>
      <c r="L224" s="163"/>
      <c r="M224" s="163"/>
    </row>
    <row r="225" spans="1:13">
      <c r="A225" s="158"/>
      <c r="B225" s="165" t="s">
        <v>201</v>
      </c>
      <c r="C225" s="504">
        <f>'[63]Sch D'!D9</f>
        <v>381</v>
      </c>
      <c r="D225" s="480"/>
      <c r="E225" s="480"/>
      <c r="F225" s="224">
        <f t="shared" ref="F225:F232" si="75">C225+D225+E225</f>
        <v>381</v>
      </c>
      <c r="G225" s="627"/>
      <c r="H225" s="223"/>
      <c r="I225" s="224">
        <f t="shared" ref="I225:I232" si="76">F225+G225+H225</f>
        <v>381</v>
      </c>
      <c r="J225" s="167">
        <f t="shared" si="74"/>
        <v>2.2014213901889408E-2</v>
      </c>
      <c r="K225" s="458"/>
      <c r="L225" s="163"/>
      <c r="M225" s="163"/>
    </row>
    <row r="226" spans="1:13">
      <c r="A226" s="158"/>
      <c r="B226" s="165" t="s">
        <v>64</v>
      </c>
      <c r="C226" s="504">
        <f>'[63]Sch D'!E9</f>
        <v>1746</v>
      </c>
      <c r="D226" s="480"/>
      <c r="E226" s="480"/>
      <c r="F226" s="224">
        <f t="shared" si="75"/>
        <v>1746</v>
      </c>
      <c r="G226" s="627"/>
      <c r="H226" s="223"/>
      <c r="I226" s="224">
        <f t="shared" si="76"/>
        <v>1746</v>
      </c>
      <c r="J226" s="167">
        <f t="shared" si="74"/>
        <v>0.10088403536141445</v>
      </c>
      <c r="K226" s="458"/>
      <c r="L226" s="163"/>
      <c r="M226" s="163"/>
    </row>
    <row r="227" spans="1:13">
      <c r="A227" s="158"/>
      <c r="B227" s="194" t="s">
        <v>315</v>
      </c>
      <c r="C227" s="504">
        <f>'[63]Sch D'!F9</f>
        <v>491</v>
      </c>
      <c r="D227" s="480"/>
      <c r="E227" s="480"/>
      <c r="F227" s="224">
        <f t="shared" si="75"/>
        <v>491</v>
      </c>
      <c r="G227" s="627"/>
      <c r="H227" s="223"/>
      <c r="I227" s="224">
        <f t="shared" si="76"/>
        <v>491</v>
      </c>
      <c r="J227" s="167">
        <f t="shared" si="74"/>
        <v>2.8370023689836481E-2</v>
      </c>
      <c r="K227" s="458"/>
      <c r="L227" s="163"/>
      <c r="M227" s="163"/>
    </row>
    <row r="228" spans="1:13">
      <c r="A228" s="158"/>
      <c r="B228" s="165" t="s">
        <v>65</v>
      </c>
      <c r="C228" s="504">
        <f>'[63]Sch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'[63]Sch D'!H9</f>
        <v>608</v>
      </c>
      <c r="D229" s="480"/>
      <c r="E229" s="480"/>
      <c r="F229" s="224">
        <f t="shared" si="75"/>
        <v>608</v>
      </c>
      <c r="G229" s="627"/>
      <c r="H229" s="223"/>
      <c r="I229" s="224">
        <f t="shared" si="76"/>
        <v>608</v>
      </c>
      <c r="J229" s="167">
        <f t="shared" si="74"/>
        <v>3.5130294100652916E-2</v>
      </c>
      <c r="K229" s="458"/>
      <c r="L229" s="163"/>
      <c r="M229" s="163"/>
    </row>
    <row r="230" spans="1:13">
      <c r="A230" s="158"/>
      <c r="B230" s="165" t="s">
        <v>219</v>
      </c>
      <c r="C230" s="504">
        <f>'[63]Sch D'!I9</f>
        <v>1665</v>
      </c>
      <c r="D230" s="480"/>
      <c r="E230" s="480"/>
      <c r="F230" s="224">
        <f t="shared" si="75"/>
        <v>1665</v>
      </c>
      <c r="G230" s="627"/>
      <c r="H230" s="223"/>
      <c r="I230" s="224">
        <f t="shared" si="76"/>
        <v>1665</v>
      </c>
      <c r="J230" s="167">
        <f t="shared" si="74"/>
        <v>9.6203848153926158E-2</v>
      </c>
      <c r="K230" s="458"/>
      <c r="L230" s="163"/>
      <c r="M230" s="163"/>
    </row>
    <row r="231" spans="1:13">
      <c r="A231" s="158"/>
      <c r="B231" s="165" t="s">
        <v>218</v>
      </c>
      <c r="C231" s="504">
        <f>'[63]Sch D'!J9</f>
        <v>518</v>
      </c>
      <c r="D231" s="480"/>
      <c r="E231" s="480"/>
      <c r="F231" s="224">
        <f t="shared" si="75"/>
        <v>518</v>
      </c>
      <c r="G231" s="627"/>
      <c r="H231" s="223"/>
      <c r="I231" s="224">
        <f t="shared" si="76"/>
        <v>518</v>
      </c>
      <c r="J231" s="167">
        <f>IF($I$233=0,0,I231/$I$233)</f>
        <v>2.9930086092332581E-2</v>
      </c>
      <c r="K231" s="458"/>
      <c r="L231" s="163"/>
      <c r="M231" s="163"/>
    </row>
    <row r="232" spans="1:13">
      <c r="A232" s="158"/>
      <c r="B232" s="165" t="s">
        <v>170</v>
      </c>
      <c r="C232" s="504">
        <f>'[63]Sch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17307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17307</v>
      </c>
      <c r="G233" s="226">
        <f t="shared" si="78"/>
        <v>0</v>
      </c>
      <c r="H233" s="226">
        <f t="shared" si="78"/>
        <v>0</v>
      </c>
      <c r="I233" s="226">
        <f t="shared" si="78"/>
        <v>17307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02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'[63]Sch D'!N22</f>
        <v>61</v>
      </c>
      <c r="D236" s="480"/>
      <c r="E236" s="480"/>
      <c r="F236" s="224">
        <f>C236+E236</f>
        <v>61</v>
      </c>
      <c r="G236" s="627"/>
      <c r="H236" s="224"/>
      <c r="I236" s="224">
        <f>F236+G236+H236</f>
        <v>61</v>
      </c>
      <c r="J236" s="442"/>
      <c r="K236" s="460"/>
      <c r="L236" s="163"/>
      <c r="M236" s="163"/>
    </row>
    <row r="237" spans="1:13">
      <c r="A237" s="158"/>
      <c r="B237" s="194" t="s">
        <v>271</v>
      </c>
      <c r="C237" s="504">
        <f>'[63]Sch D'!N24</f>
        <v>61</v>
      </c>
      <c r="D237" s="480"/>
      <c r="E237" s="480"/>
      <c r="F237" s="224">
        <f>C237+E237</f>
        <v>61</v>
      </c>
      <c r="G237" s="627"/>
      <c r="H237" s="224"/>
      <c r="I237" s="224">
        <f>F237+G237+H237</f>
        <v>61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'[63]Sch D'!N28</f>
        <v>22265</v>
      </c>
      <c r="D240" s="427"/>
      <c r="E240" s="427"/>
      <c r="F240" s="223">
        <f>F236*F238</f>
        <v>22265</v>
      </c>
      <c r="G240"/>
      <c r="H240" s="228"/>
      <c r="I240" s="223">
        <f>I236*I238</f>
        <v>22265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'[63]Sch D'!N30</f>
        <v>0.77731866157646534</v>
      </c>
      <c r="D241" s="228"/>
      <c r="E241" s="228"/>
      <c r="F241" s="232">
        <f>F233/F240</f>
        <v>0.77731866157646534</v>
      </c>
      <c r="G241"/>
      <c r="H241" s="233"/>
      <c r="I241" s="232">
        <f>I233/I240</f>
        <v>0.77731866157646534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'[63]Sch D'!N32</f>
        <v>0.55149337525263864</v>
      </c>
      <c r="D242" s="228"/>
      <c r="E242" s="228"/>
      <c r="F242" s="232">
        <f>(F224+F225)/F240</f>
        <v>0.55149337525263864</v>
      </c>
      <c r="G242"/>
      <c r="H242" s="233"/>
      <c r="I242" s="232">
        <f>(I224+I225)/I240</f>
        <v>0.55149337525263864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'[63]Sch D'!N34</f>
        <v>0.70948171260183734</v>
      </c>
      <c r="D243" s="228"/>
      <c r="E243" s="228"/>
      <c r="F243" s="232">
        <f>(F242/F241)</f>
        <v>0.70948171260183734</v>
      </c>
      <c r="G243"/>
      <c r="H243" s="233"/>
      <c r="I243" s="232">
        <f>(I242/I241)</f>
        <v>0.70948171260183734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'[63]Sch B'!C90</f>
        <v>360.5412612612613</v>
      </c>
      <c r="K246" s="460"/>
    </row>
    <row r="247" spans="1:13">
      <c r="B247" s="411"/>
      <c r="H247" s="140" t="s">
        <v>322</v>
      </c>
      <c r="I247" s="480">
        <f>'[63]Sch B'!E90</f>
        <v>331.88600000000002</v>
      </c>
      <c r="K247" s="460"/>
    </row>
    <row r="248" spans="1:13">
      <c r="B248" s="411"/>
      <c r="H248" s="140" t="s">
        <v>323</v>
      </c>
      <c r="I248" s="480">
        <f>'[63]Sch B'!G90</f>
        <v>335.40994680851065</v>
      </c>
      <c r="K248" s="460"/>
    </row>
    <row r="249" spans="1:13">
      <c r="H249" s="140" t="s">
        <v>324</v>
      </c>
      <c r="I249" s="480">
        <f>'[63]Sch B'!I90</f>
        <v>299.74374301675982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369</v>
      </c>
      <c r="D2" s="234"/>
      <c r="E2" s="234"/>
      <c r="F2" s="429" t="s">
        <v>361</v>
      </c>
      <c r="G2" s="429"/>
    </row>
    <row r="3" spans="1:16">
      <c r="A3" s="143"/>
      <c r="B3" s="138" t="s">
        <v>71</v>
      </c>
      <c r="C3" s="557">
        <f>'[7]Sch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'[7]Sch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'[7]Sch B'!E10</f>
        <v>4982498</v>
      </c>
      <c r="D12" s="480">
        <f>'[7]Sch B'!G10</f>
        <v>0</v>
      </c>
      <c r="E12" s="480"/>
      <c r="F12" s="166">
        <f>C12+D12+E12</f>
        <v>4982498</v>
      </c>
      <c r="G12" s="626"/>
      <c r="H12" s="166"/>
      <c r="I12" s="166">
        <f>F12+G12+H12</f>
        <v>4982498</v>
      </c>
      <c r="J12" s="167">
        <f>IF($I$26=0,0,I12/$I$26)</f>
        <v>0.52656020405920223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'[7]Sch B'!E12</f>
        <v>0</v>
      </c>
      <c r="D13" s="480">
        <f>'[7]Sch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'[7]Sch B'!E13</f>
        <v>172321</v>
      </c>
      <c r="D14" s="480">
        <f>'[7]Sch B'!G13</f>
        <v>0</v>
      </c>
      <c r="E14" s="480"/>
      <c r="F14" s="166">
        <f t="shared" si="0"/>
        <v>172321</v>
      </c>
      <c r="G14" s="626"/>
      <c r="H14" s="166"/>
      <c r="I14" s="166">
        <f t="shared" si="1"/>
        <v>172321</v>
      </c>
      <c r="J14" s="167">
        <f>IF($I$26=0,0,I14/$I$26)</f>
        <v>1.8211222748847219E-2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'[7]Sch B'!E14</f>
        <v>0</v>
      </c>
      <c r="D15" s="480">
        <f>'[7]Sch B'!G14</f>
        <v>0</v>
      </c>
      <c r="E15" s="480"/>
      <c r="F15" s="166">
        <f t="shared" si="0"/>
        <v>0</v>
      </c>
      <c r="G15" s="166">
        <v>87063.679999999993</v>
      </c>
      <c r="H15" s="166"/>
      <c r="I15" s="166">
        <f t="shared" si="1"/>
        <v>87063.679999999993</v>
      </c>
      <c r="J15" s="167">
        <f>IF($I$26=0,0,I15/$I$26)</f>
        <v>9.2010612160697454E-3</v>
      </c>
      <c r="K15" s="162" t="s">
        <v>646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'[7]Sch B'!E15</f>
        <v>5154819</v>
      </c>
      <c r="D16" s="480">
        <f>'[7]Sch B'!G15</f>
        <v>0</v>
      </c>
      <c r="E16" s="480"/>
      <c r="F16" s="166">
        <f t="shared" si="0"/>
        <v>5154819</v>
      </c>
      <c r="G16" s="626"/>
      <c r="H16" s="166"/>
      <c r="I16" s="166">
        <f>SUM(I12:I15)</f>
        <v>5241882.68</v>
      </c>
      <c r="J16" s="167">
        <f t="shared" ref="J16:J26" si="2">IF($I$26=0,0,I16/$I$26)</f>
        <v>0.55397248802411914</v>
      </c>
      <c r="K16" s="458"/>
      <c r="L16" s="333" t="s">
        <v>325</v>
      </c>
      <c r="M16" s="334">
        <f>I26</f>
        <v>9462352</v>
      </c>
      <c r="O16" s="324">
        <f>IFERROR(I16/I224,0)</f>
        <v>204.24245782193648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'[7]Sch B'!E20</f>
        <v>0</v>
      </c>
      <c r="D17" s="480">
        <f>'[7]Sch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9735506.0999999996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'[7]Sch B'!E26</f>
        <v>1491581</v>
      </c>
      <c r="D18" s="480">
        <f>'[7]Sch B'!G26</f>
        <v>0</v>
      </c>
      <c r="E18" s="480"/>
      <c r="F18" s="166">
        <f t="shared" si="0"/>
        <v>1491581</v>
      </c>
      <c r="G18" s="626"/>
      <c r="H18" s="166"/>
      <c r="I18" s="166">
        <f t="shared" si="1"/>
        <v>1491581</v>
      </c>
      <c r="J18" s="167">
        <f t="shared" si="2"/>
        <v>0.15763321846407743</v>
      </c>
      <c r="K18" s="458"/>
      <c r="L18" s="335" t="s">
        <v>327</v>
      </c>
      <c r="M18" s="336">
        <f>I233</f>
        <v>37006</v>
      </c>
      <c r="O18" s="324">
        <f t="shared" si="3"/>
        <v>623.31007104053492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'[7]Sch B'!E32</f>
        <v>1390128</v>
      </c>
      <c r="D19" s="480">
        <f>'[7]Sch B'!G32</f>
        <v>0</v>
      </c>
      <c r="E19" s="480"/>
      <c r="F19" s="166">
        <f t="shared" si="0"/>
        <v>1390128</v>
      </c>
      <c r="G19" s="626"/>
      <c r="H19" s="166"/>
      <c r="I19" s="166">
        <f t="shared" si="1"/>
        <v>1390128</v>
      </c>
      <c r="J19" s="170">
        <f t="shared" si="2"/>
        <v>0.14691146556374143</v>
      </c>
      <c r="K19" s="464"/>
      <c r="L19" s="335" t="s">
        <v>328</v>
      </c>
      <c r="M19" s="336">
        <f>I236</f>
        <v>120</v>
      </c>
      <c r="O19" s="324">
        <f t="shared" si="3"/>
        <v>414.83974932855864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'[7]Sch B'!E37</f>
        <v>0</v>
      </c>
      <c r="D20" s="480">
        <f>'[7]Sch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'[7]Sch B'!E42</f>
        <v>384818</v>
      </c>
      <c r="D21" s="480">
        <f>'[7]Sch B'!G42</f>
        <v>0</v>
      </c>
      <c r="E21" s="480"/>
      <c r="F21" s="166">
        <f t="shared" si="0"/>
        <v>384818</v>
      </c>
      <c r="G21" s="626"/>
      <c r="H21" s="166"/>
      <c r="I21" s="166">
        <f t="shared" si="1"/>
        <v>384818</v>
      </c>
      <c r="J21" s="167">
        <f t="shared" si="2"/>
        <v>4.0668324323593116E-2</v>
      </c>
      <c r="K21" s="458"/>
      <c r="L21" s="337"/>
      <c r="M21" s="336"/>
      <c r="O21" s="324">
        <f t="shared" si="3"/>
        <v>250.36955107351983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'[7]Sch B'!E47</f>
        <v>648732</v>
      </c>
      <c r="D22" s="480">
        <f>'[7]Sch B'!G47</f>
        <v>0</v>
      </c>
      <c r="E22" s="480"/>
      <c r="F22" s="166">
        <f t="shared" si="0"/>
        <v>648732</v>
      </c>
      <c r="G22" s="626"/>
      <c r="H22" s="166"/>
      <c r="I22" s="166">
        <f t="shared" si="1"/>
        <v>648732</v>
      </c>
      <c r="J22" s="167">
        <f t="shared" si="2"/>
        <v>6.855927574877789E-2</v>
      </c>
      <c r="K22" s="458"/>
      <c r="L22" s="335" t="s">
        <v>148</v>
      </c>
      <c r="M22" s="336">
        <f>L213</f>
        <v>164023</v>
      </c>
      <c r="O22" s="324">
        <f t="shared" si="3"/>
        <v>203.30053274835475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'[7]Sch B'!E52</f>
        <v>0</v>
      </c>
      <c r="D23" s="480">
        <f>'[7]Sch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172988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'[7]Sch B'!E57</f>
        <v>303101</v>
      </c>
      <c r="D24" s="480">
        <f>'[7]Sch B'!G57</f>
        <v>0</v>
      </c>
      <c r="E24" s="480"/>
      <c r="F24" s="166">
        <f t="shared" si="0"/>
        <v>303101</v>
      </c>
      <c r="G24" s="626"/>
      <c r="H24" s="166"/>
      <c r="I24" s="166">
        <f t="shared" si="1"/>
        <v>303101</v>
      </c>
      <c r="J24" s="167">
        <f t="shared" si="2"/>
        <v>3.2032310782773667E-2</v>
      </c>
      <c r="K24" s="458"/>
      <c r="L24" s="163"/>
      <c r="M24" s="163"/>
      <c r="O24" s="324">
        <f t="shared" si="3"/>
        <v>348.7928653624856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'[7]Sch B'!E72</f>
        <v>110946</v>
      </c>
      <c r="D25" s="480">
        <f>'[7]Sch B'!G72</f>
        <v>-21773</v>
      </c>
      <c r="E25" s="480"/>
      <c r="F25" s="166">
        <f t="shared" si="0"/>
        <v>89173</v>
      </c>
      <c r="G25" s="166">
        <v>-87063.679999999993</v>
      </c>
      <c r="H25" s="166"/>
      <c r="I25" s="166">
        <f t="shared" si="1"/>
        <v>2109.320000000007</v>
      </c>
      <c r="J25" s="167">
        <f t="shared" si="2"/>
        <v>2.2291709291727966E-4</v>
      </c>
      <c r="K25" s="162" t="s">
        <v>646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9484125</v>
      </c>
      <c r="D26" s="480">
        <f t="shared" ref="D26:F26" si="4">SUM(D16:D25)</f>
        <v>-21773</v>
      </c>
      <c r="E26" s="480">
        <f t="shared" si="4"/>
        <v>0</v>
      </c>
      <c r="F26" s="166">
        <f t="shared" si="4"/>
        <v>9462352</v>
      </c>
      <c r="G26" s="166">
        <f>SUM(G12:G25)</f>
        <v>0</v>
      </c>
      <c r="H26" s="166">
        <f>SUM(H12:H25)</f>
        <v>0</v>
      </c>
      <c r="I26" s="166">
        <f>SUM(I16:I25)</f>
        <v>9462352</v>
      </c>
      <c r="J26" s="167">
        <f t="shared" si="2"/>
        <v>1</v>
      </c>
      <c r="K26" s="458"/>
      <c r="L26" s="163"/>
      <c r="M26" s="163"/>
      <c r="O26" s="324">
        <f>IFERROR(I26/I233,0)</f>
        <v>255.69777873858294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H29" s="162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'[7]Sch C'!D10</f>
        <v>0</v>
      </c>
      <c r="D30" s="480">
        <f>'[7]Sch C'!F10</f>
        <v>131112</v>
      </c>
      <c r="E30" s="480">
        <f>+'[7]Sch C'!H10</f>
        <v>0</v>
      </c>
      <c r="F30" s="166">
        <f t="shared" ref="F30:F65" si="5">C30+D30+E30</f>
        <v>131112</v>
      </c>
      <c r="G30" s="626"/>
      <c r="H30" s="166"/>
      <c r="I30" s="166">
        <f t="shared" ref="I30:I65" si="6">F30+G30+H30</f>
        <v>131112</v>
      </c>
      <c r="J30" s="167">
        <f>IF($I$213=0,0,I30/$I$213)</f>
        <v>1.346740463754627E-2</v>
      </c>
      <c r="K30" s="458"/>
      <c r="L30" s="176">
        <v>1960</v>
      </c>
      <c r="M30" s="176">
        <v>2039</v>
      </c>
      <c r="O30" s="324">
        <f>I30/I$233</f>
        <v>3.5429930281575959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'[7]Sch C'!D11</f>
        <v>0</v>
      </c>
      <c r="D31" s="480">
        <f>'[7]Sch C'!F11</f>
        <v>0</v>
      </c>
      <c r="E31" s="480">
        <f>+'[7]Sch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'[7]Sch C'!D12</f>
        <v>282308</v>
      </c>
      <c r="D32" s="480">
        <f>'[7]Sch C'!F12</f>
        <v>-131112</v>
      </c>
      <c r="E32" s="480">
        <f>+'[7]Sch C'!H12</f>
        <v>0</v>
      </c>
      <c r="F32" s="166">
        <f t="shared" si="5"/>
        <v>151196</v>
      </c>
      <c r="G32" s="626"/>
      <c r="H32" s="166"/>
      <c r="I32" s="166">
        <f t="shared" si="6"/>
        <v>151196</v>
      </c>
      <c r="J32" s="167">
        <f t="shared" si="7"/>
        <v>1.5530368780725227E-2</v>
      </c>
      <c r="K32" s="458"/>
      <c r="L32" s="176">
        <v>7461</v>
      </c>
      <c r="M32" s="176">
        <v>8082</v>
      </c>
      <c r="O32" s="324">
        <f t="shared" si="8"/>
        <v>4.0857158298654275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'[7]Sch C'!D13</f>
        <v>41861</v>
      </c>
      <c r="D33" s="480">
        <f>'[7]Sch C'!F13</f>
        <v>0</v>
      </c>
      <c r="E33" s="480">
        <f>+'[7]Sch C'!H13</f>
        <v>0</v>
      </c>
      <c r="F33" s="166">
        <f t="shared" si="5"/>
        <v>41861</v>
      </c>
      <c r="G33" s="626"/>
      <c r="H33" s="166"/>
      <c r="I33" s="166">
        <f t="shared" si="6"/>
        <v>41861</v>
      </c>
      <c r="J33" s="167">
        <f t="shared" si="7"/>
        <v>4.2998278230240135E-3</v>
      </c>
      <c r="K33" s="458"/>
      <c r="L33" s="163"/>
      <c r="M33" s="163"/>
      <c r="O33" s="324">
        <f t="shared" si="8"/>
        <v>1.1311949413608604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'[7]Sch C'!D14</f>
        <v>0</v>
      </c>
      <c r="D34" s="480">
        <f>'[7]Sch C'!F14</f>
        <v>0</v>
      </c>
      <c r="E34" s="480">
        <f>+'[7]Sch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'[7]Sch C'!D15</f>
        <v>0</v>
      </c>
      <c r="D35" s="480">
        <f>'[7]Sch C'!F15</f>
        <v>0</v>
      </c>
      <c r="E35" s="480">
        <f>+'[7]Sch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'[7]Sch C'!D16</f>
        <v>474076</v>
      </c>
      <c r="D36" s="480">
        <f>'[7]Sch C'!F16</f>
        <v>0</v>
      </c>
      <c r="E36" s="480">
        <f>+'[7]Sch C'!H16</f>
        <v>-1820</v>
      </c>
      <c r="F36" s="166">
        <f t="shared" si="5"/>
        <v>472256</v>
      </c>
      <c r="G36" s="626"/>
      <c r="H36" s="166"/>
      <c r="I36" s="166">
        <f t="shared" si="6"/>
        <v>472256</v>
      </c>
      <c r="J36" s="167">
        <f t="shared" si="7"/>
        <v>4.8508623501350386E-2</v>
      </c>
      <c r="K36" s="458"/>
      <c r="L36" s="163"/>
      <c r="M36" s="163"/>
      <c r="O36" s="324">
        <f t="shared" si="8"/>
        <v>12.761606226017403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'[7]Sch C'!D17</f>
        <v>300</v>
      </c>
      <c r="D37" s="480">
        <f>'[7]Sch C'!F17</f>
        <v>-300</v>
      </c>
      <c r="E37" s="480">
        <f>+'[7]Sch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'[7]Sch C'!D18</f>
        <v>11924</v>
      </c>
      <c r="D38" s="480">
        <f>'[7]Sch C'!F18</f>
        <v>0</v>
      </c>
      <c r="E38" s="480">
        <f>+'[7]Sch C'!H18</f>
        <v>0</v>
      </c>
      <c r="F38" s="166">
        <f t="shared" si="5"/>
        <v>11924</v>
      </c>
      <c r="G38" s="626"/>
      <c r="H38" s="166"/>
      <c r="I38" s="166">
        <f t="shared" si="6"/>
        <v>11924</v>
      </c>
      <c r="J38" s="167">
        <f t="shared" si="7"/>
        <v>1.2247950828154688E-3</v>
      </c>
      <c r="K38" s="458"/>
      <c r="L38" s="163"/>
      <c r="M38" s="163"/>
      <c r="O38" s="324">
        <f t="shared" si="8"/>
        <v>0.32221801869967032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'[7]Sch C'!D19</f>
        <v>13953</v>
      </c>
      <c r="D39" s="480">
        <f>'[7]Sch C'!F19</f>
        <v>0</v>
      </c>
      <c r="E39" s="480">
        <f>+'[7]Sch C'!H19</f>
        <v>0</v>
      </c>
      <c r="F39" s="166">
        <f t="shared" si="5"/>
        <v>13953</v>
      </c>
      <c r="G39" s="626"/>
      <c r="H39" s="166"/>
      <c r="I39" s="166">
        <f t="shared" si="6"/>
        <v>13953</v>
      </c>
      <c r="J39" s="167">
        <f t="shared" si="7"/>
        <v>1.4332074631435957E-3</v>
      </c>
      <c r="K39" s="458"/>
      <c r="L39" s="163"/>
      <c r="M39" s="163"/>
      <c r="O39" s="324">
        <f t="shared" si="8"/>
        <v>0.37704696535696913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'[7]Sch C'!D20</f>
        <v>23320</v>
      </c>
      <c r="D40" s="480">
        <f>'[7]Sch C'!F20</f>
        <v>0</v>
      </c>
      <c r="E40" s="480">
        <f>+'[7]Sch C'!H20</f>
        <v>0</v>
      </c>
      <c r="F40" s="166">
        <f t="shared" si="5"/>
        <v>23320</v>
      </c>
      <c r="G40" s="626"/>
      <c r="H40" s="166"/>
      <c r="I40" s="166">
        <f t="shared" si="6"/>
        <v>23320</v>
      </c>
      <c r="J40" s="167">
        <f t="shared" si="7"/>
        <v>2.3953556970191824E-3</v>
      </c>
      <c r="K40" s="458"/>
      <c r="L40" s="163"/>
      <c r="M40" s="163"/>
      <c r="O40" s="324">
        <f t="shared" si="8"/>
        <v>0.6301680808517538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'[7]Sch C'!D21</f>
        <v>22548</v>
      </c>
      <c r="D41" s="480">
        <f>'[7]Sch C'!F21</f>
        <v>0</v>
      </c>
      <c r="E41" s="480">
        <f>+'[7]Sch C'!H21</f>
        <v>0</v>
      </c>
      <c r="F41" s="166">
        <f t="shared" si="5"/>
        <v>22548</v>
      </c>
      <c r="G41" s="626"/>
      <c r="H41" s="166"/>
      <c r="I41" s="166">
        <f t="shared" si="6"/>
        <v>22548</v>
      </c>
      <c r="J41" s="167">
        <f t="shared" si="7"/>
        <v>2.316058330033813E-3</v>
      </c>
      <c r="K41" s="458"/>
      <c r="L41" s="163"/>
      <c r="M41" s="163"/>
      <c r="O41" s="324">
        <f t="shared" si="8"/>
        <v>0.60930659892990324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'[7]Sch C'!D22</f>
        <v>0</v>
      </c>
      <c r="D42" s="480">
        <f>'[7]Sch C'!F22</f>
        <v>0</v>
      </c>
      <c r="E42" s="480">
        <f>+'[7]Sch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'[7]Sch C'!D23</f>
        <v>7968</v>
      </c>
      <c r="D43" s="480">
        <f>'[7]Sch C'!F23</f>
        <v>0</v>
      </c>
      <c r="E43" s="480">
        <f>+'[7]Sch C'!H23</f>
        <v>0</v>
      </c>
      <c r="F43" s="166">
        <f t="shared" si="5"/>
        <v>7968</v>
      </c>
      <c r="G43" s="626"/>
      <c r="H43" s="166"/>
      <c r="I43" s="166">
        <f t="shared" si="6"/>
        <v>7968</v>
      </c>
      <c r="J43" s="167">
        <f t="shared" si="7"/>
        <v>8.1844743541375836E-4</v>
      </c>
      <c r="K43" s="458"/>
      <c r="L43" s="163"/>
      <c r="M43" s="163"/>
      <c r="O43" s="324">
        <f t="shared" si="8"/>
        <v>0.21531643517267471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'[7]Sch C'!D24</f>
        <v>0</v>
      </c>
      <c r="D44" s="480">
        <f>'[7]Sch C'!F24</f>
        <v>0</v>
      </c>
      <c r="E44" s="480">
        <f>+'[7]Sch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'[7]Sch C'!D25</f>
        <v>17283</v>
      </c>
      <c r="D45" s="480">
        <f>'[7]Sch C'!F25</f>
        <v>0</v>
      </c>
      <c r="E45" s="480">
        <f>+'[7]Sch C'!H25</f>
        <v>0</v>
      </c>
      <c r="F45" s="166">
        <f t="shared" si="5"/>
        <v>17283</v>
      </c>
      <c r="G45" s="626"/>
      <c r="H45" s="166"/>
      <c r="I45" s="166">
        <f t="shared" si="6"/>
        <v>17283</v>
      </c>
      <c r="J45" s="167">
        <f t="shared" si="7"/>
        <v>1.77525439586546E-3</v>
      </c>
      <c r="K45" s="458"/>
      <c r="L45" s="163"/>
      <c r="M45" s="163"/>
      <c r="O45" s="324">
        <f t="shared" si="8"/>
        <v>0.46703237312868184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'[7]Sch C'!D26</f>
        <v>658248</v>
      </c>
      <c r="D46" s="480">
        <f>'[7]Sch C'!F26</f>
        <v>0</v>
      </c>
      <c r="E46" s="480">
        <f>+'[7]Sch C'!H26</f>
        <v>0</v>
      </c>
      <c r="F46" s="166">
        <f t="shared" si="5"/>
        <v>658248</v>
      </c>
      <c r="G46" s="626"/>
      <c r="H46" s="166"/>
      <c r="I46" s="166">
        <f t="shared" si="6"/>
        <v>658248</v>
      </c>
      <c r="J46" s="167">
        <f t="shared" si="7"/>
        <v>6.7613125937027563E-2</v>
      </c>
      <c r="K46" s="458"/>
      <c r="L46" s="163"/>
      <c r="M46" s="163"/>
      <c r="O46" s="324">
        <f t="shared" si="8"/>
        <v>17.787602010484786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'[7]Sch C'!D27</f>
        <v>81826</v>
      </c>
      <c r="D47" s="480">
        <f>'[7]Sch C'!F27</f>
        <v>-1950</v>
      </c>
      <c r="E47" s="480">
        <f>+'[7]Sch C'!H27</f>
        <v>0</v>
      </c>
      <c r="F47" s="166">
        <f t="shared" si="5"/>
        <v>79876</v>
      </c>
      <c r="G47" s="626"/>
      <c r="H47" s="166"/>
      <c r="I47" s="166">
        <f t="shared" si="6"/>
        <v>79876</v>
      </c>
      <c r="J47" s="167">
        <f t="shared" si="7"/>
        <v>8.2046068462737643E-3</v>
      </c>
      <c r="K47" s="458"/>
      <c r="L47" s="163"/>
      <c r="M47" s="163"/>
      <c r="O47" s="324">
        <f t="shared" si="8"/>
        <v>2.1584607901421391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'[7]Sch C'!D28</f>
        <v>0</v>
      </c>
      <c r="D48" s="480">
        <f>'[7]Sch C'!F28</f>
        <v>0</v>
      </c>
      <c r="E48" s="480">
        <f>+'[7]Sch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'[7]Sch C'!D29</f>
        <v>231587</v>
      </c>
      <c r="D49" s="480">
        <f>'[7]Sch C'!F29</f>
        <v>-231587</v>
      </c>
      <c r="E49" s="480">
        <f>+'[7]Sch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'[7]Sch C'!D30</f>
        <v>0</v>
      </c>
      <c r="D50" s="480">
        <f>'[7]Sch C'!F30</f>
        <v>0</v>
      </c>
      <c r="E50" s="480">
        <f>+'[7]Sch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'[7]Sch C'!D31</f>
        <v>0</v>
      </c>
      <c r="D51" s="480">
        <f>'[7]Sch C'!F31</f>
        <v>0</v>
      </c>
      <c r="E51" s="480">
        <f>+'[7]Sch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'[7]Sch C'!D32</f>
        <v>92138</v>
      </c>
      <c r="D52" s="480">
        <f>'[7]Sch C'!F32</f>
        <v>0</v>
      </c>
      <c r="E52" s="480">
        <f>+'[7]Sch C'!H32</f>
        <v>0</v>
      </c>
      <c r="F52" s="166">
        <f t="shared" si="5"/>
        <v>92138</v>
      </c>
      <c r="G52" s="626"/>
      <c r="H52" s="166"/>
      <c r="I52" s="166">
        <f t="shared" si="6"/>
        <v>92138</v>
      </c>
      <c r="J52" s="167">
        <f t="shared" si="7"/>
        <v>9.4641202063444861E-3</v>
      </c>
      <c r="K52" s="458"/>
      <c r="L52" s="163"/>
      <c r="M52" s="163"/>
      <c r="O52" s="324">
        <f t="shared" si="8"/>
        <v>2.4898124628438634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'[7]Sch C'!D33</f>
        <v>0</v>
      </c>
      <c r="D53" s="480">
        <f>'[7]Sch C'!F33</f>
        <v>0</v>
      </c>
      <c r="E53" s="480">
        <f>+'[7]Sch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'[7]Sch C'!D34</f>
        <v>306</v>
      </c>
      <c r="D54" s="480">
        <f>'[7]Sch C'!F34</f>
        <v>0</v>
      </c>
      <c r="E54" s="480">
        <f>+'[7]Sch C'!H34</f>
        <v>0</v>
      </c>
      <c r="F54" s="166">
        <f t="shared" si="5"/>
        <v>306</v>
      </c>
      <c r="G54" s="626"/>
      <c r="H54" s="166"/>
      <c r="I54" s="166">
        <f t="shared" si="6"/>
        <v>306</v>
      </c>
      <c r="J54" s="167">
        <f t="shared" si="7"/>
        <v>3.1431339763630782E-5</v>
      </c>
      <c r="K54" s="458"/>
      <c r="L54" s="163"/>
      <c r="M54" s="163"/>
      <c r="O54" s="324">
        <f t="shared" si="8"/>
        <v>8.2689293628060313E-3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'[7]Sch C'!D35</f>
        <v>17037</v>
      </c>
      <c r="D55" s="480">
        <f>'[7]Sch C'!F35</f>
        <v>-17037</v>
      </c>
      <c r="E55" s="480">
        <f>+'[7]Sch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'[7]Sch C'!D36</f>
        <v>0</v>
      </c>
      <c r="D56" s="480">
        <f>'[7]Sch C'!F36</f>
        <v>0</v>
      </c>
      <c r="E56" s="480">
        <f>+'[7]Sch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'[7]Sch C'!D37</f>
        <v>0</v>
      </c>
      <c r="D57" s="480">
        <f>'[7]Sch C'!F37</f>
        <v>0</v>
      </c>
      <c r="E57" s="480">
        <f>+'[7]Sch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'[7]Sch C'!D38</f>
        <v>40</v>
      </c>
      <c r="D58" s="480">
        <f>'[7]Sch C'!F38</f>
        <v>-40</v>
      </c>
      <c r="E58" s="480">
        <f>+'[7]Sch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'[7]Sch C'!D39</f>
        <v>2556</v>
      </c>
      <c r="D59" s="480">
        <f>'[7]Sch C'!F39</f>
        <v>0</v>
      </c>
      <c r="E59" s="480">
        <f>+'[7]Sch C'!H39</f>
        <v>0</v>
      </c>
      <c r="F59" s="166">
        <f t="shared" si="5"/>
        <v>2556</v>
      </c>
      <c r="G59" s="626"/>
      <c r="H59" s="166"/>
      <c r="I59" s="166">
        <f t="shared" si="6"/>
        <v>2556</v>
      </c>
      <c r="J59" s="167">
        <f t="shared" si="7"/>
        <v>2.6254413214326885E-4</v>
      </c>
      <c r="K59" s="458"/>
      <c r="L59" s="163"/>
      <c r="M59" s="163"/>
      <c r="O59" s="324">
        <f t="shared" si="8"/>
        <v>6.9069880559909202E-2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'[7]Sch C'!D40</f>
        <v>3541</v>
      </c>
      <c r="D60" s="480">
        <f>'[7]Sch C'!F40</f>
        <v>-3541</v>
      </c>
      <c r="E60" s="480">
        <f>+'[7]Sch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'[7]Sch C'!D41</f>
        <v>280227</v>
      </c>
      <c r="D61" s="480">
        <f>'[7]Sch C'!F41</f>
        <v>0</v>
      </c>
      <c r="E61" s="480">
        <f>+'[7]Sch C'!H41</f>
        <v>-7550</v>
      </c>
      <c r="F61" s="166">
        <f t="shared" si="5"/>
        <v>272677</v>
      </c>
      <c r="G61" s="626"/>
      <c r="H61" s="166"/>
      <c r="I61" s="166">
        <f t="shared" si="6"/>
        <v>272677</v>
      </c>
      <c r="J61" s="167">
        <f t="shared" si="7"/>
        <v>2.8008507950090033E-2</v>
      </c>
      <c r="K61" s="458"/>
      <c r="L61" s="163"/>
      <c r="M61" s="163"/>
      <c r="O61" s="324">
        <f t="shared" si="8"/>
        <v>7.3684537642544452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'[7]Sch C'!D42</f>
        <v>0</v>
      </c>
      <c r="D62" s="480">
        <f>'[7]Sch C'!F42</f>
        <v>0</v>
      </c>
      <c r="E62" s="480">
        <f>+'[7]Sch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'[7]Sch C'!D43</f>
        <v>19704</v>
      </c>
      <c r="D63" s="480">
        <f>'[7]Sch C'!F43</f>
        <v>-19704</v>
      </c>
      <c r="E63" s="480">
        <f>+'[7]Sch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'[7]Sch C'!D44</f>
        <v>0</v>
      </c>
      <c r="D64" s="480">
        <f>'[7]Sch C'!F44</f>
        <v>0</v>
      </c>
      <c r="E64" s="480">
        <f>+'[7]Sch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'[7]Sch C'!D45</f>
        <v>11168</v>
      </c>
      <c r="D65" s="480">
        <f>'[7]Sch C'!F45</f>
        <v>-16659</v>
      </c>
      <c r="E65" s="480">
        <f>+'[7]Sch C'!H45</f>
        <v>0</v>
      </c>
      <c r="F65" s="166">
        <f t="shared" si="5"/>
        <v>-5491</v>
      </c>
      <c r="G65" s="626">
        <f>-1767.35-1216.55</f>
        <v>-2983.8999999999996</v>
      </c>
      <c r="H65" s="166"/>
      <c r="I65" s="166">
        <f t="shared" si="6"/>
        <v>-8474.9</v>
      </c>
      <c r="J65" s="167">
        <f t="shared" si="7"/>
        <v>-8.7051457961697548E-4</v>
      </c>
      <c r="K65" s="458" t="s">
        <v>580</v>
      </c>
      <c r="L65" s="163"/>
      <c r="M65" s="163"/>
      <c r="O65" s="324">
        <f t="shared" si="8"/>
        <v>-0.22901421391125762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2293919</v>
      </c>
      <c r="D66" s="480">
        <f t="shared" si="9"/>
        <v>-290818</v>
      </c>
      <c r="E66" s="480">
        <f t="shared" si="9"/>
        <v>-9370</v>
      </c>
      <c r="F66" s="166">
        <f t="shared" ref="F66:I66" si="10">SUM(F30:F65)</f>
        <v>1993731</v>
      </c>
      <c r="G66" s="166">
        <f t="shared" si="10"/>
        <v>-2983.8999999999996</v>
      </c>
      <c r="H66" s="166">
        <f t="shared" si="10"/>
        <v>0</v>
      </c>
      <c r="I66" s="166">
        <f t="shared" si="10"/>
        <v>1990747.1</v>
      </c>
      <c r="J66" s="178">
        <f t="shared" si="7"/>
        <v>0.20448316497896296</v>
      </c>
      <c r="K66" s="465"/>
      <c r="L66" s="163"/>
      <c r="M66" s="163"/>
      <c r="O66" s="329">
        <f>I66/I$233</f>
        <v>53.795252121277635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'[7]Sch C'!D57</f>
        <v>909302</v>
      </c>
      <c r="D69" s="480">
        <f>'[7]Sch C'!F57</f>
        <v>0</v>
      </c>
      <c r="E69" s="480">
        <f>+'[7]Sch C'!H57</f>
        <v>0</v>
      </c>
      <c r="F69" s="166">
        <f>C69+D69+E69</f>
        <v>909302</v>
      </c>
      <c r="G69" s="626"/>
      <c r="H69" s="166"/>
      <c r="I69" s="166">
        <f>F69+G69+H69</f>
        <v>909302</v>
      </c>
      <c r="J69" s="167">
        <f t="shared" ref="J69:J84" si="11">IF($I$213=0,0,I69/$I$213)</f>
        <v>9.3400588593950964E-2</v>
      </c>
      <c r="K69" s="458"/>
      <c r="L69" s="182"/>
      <c r="M69" s="163"/>
      <c r="O69" s="324">
        <f t="shared" ref="O69:O84" si="12">I69/I$233</f>
        <v>24.571745122412583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'[7]Sch C'!D58</f>
        <v>28576</v>
      </c>
      <c r="D70" s="480">
        <f>'[7]Sch C'!F58</f>
        <v>0</v>
      </c>
      <c r="E70" s="480">
        <f>+'[7]Sch C'!H58</f>
        <v>0</v>
      </c>
      <c r="F70" s="166">
        <f t="shared" ref="F70:F83" si="13">C70+D70+E70</f>
        <v>28576</v>
      </c>
      <c r="G70" s="626"/>
      <c r="H70" s="166"/>
      <c r="I70" s="166">
        <f t="shared" ref="I70:I83" si="14">F70+G70+H70</f>
        <v>28576</v>
      </c>
      <c r="J70" s="167">
        <f t="shared" si="11"/>
        <v>2.935235180018017E-3</v>
      </c>
      <c r="K70" s="458"/>
      <c r="L70" s="182"/>
      <c r="M70" s="163"/>
      <c r="O70" s="324">
        <f t="shared" si="12"/>
        <v>0.77219910284818682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'[7]Sch C'!D59</f>
        <v>0</v>
      </c>
      <c r="D71" s="480">
        <f>'[7]Sch C'!F59</f>
        <v>0</v>
      </c>
      <c r="E71" s="480">
        <f>+'[7]Sch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'[7]Sch C'!D60</f>
        <v>30000</v>
      </c>
      <c r="D72" s="480">
        <f>'[7]Sch C'!F60</f>
        <v>0</v>
      </c>
      <c r="E72" s="480">
        <f>+'[7]Sch C'!H60</f>
        <v>0</v>
      </c>
      <c r="F72" s="166">
        <f t="shared" si="13"/>
        <v>30000</v>
      </c>
      <c r="G72" s="626"/>
      <c r="H72" s="166"/>
      <c r="I72" s="166">
        <f t="shared" si="14"/>
        <v>30000</v>
      </c>
      <c r="J72" s="167">
        <f t="shared" si="11"/>
        <v>3.0815038983951744E-3</v>
      </c>
      <c r="K72" s="458"/>
      <c r="L72" s="185"/>
      <c r="M72" s="163"/>
      <c r="O72" s="324">
        <f t="shared" si="12"/>
        <v>0.81067934929470897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'[7]Sch C'!D61</f>
        <v>4013</v>
      </c>
      <c r="D73" s="480">
        <f>'[7]Sch C'!F61</f>
        <v>0</v>
      </c>
      <c r="E73" s="480">
        <f>+'[7]Sch C'!H61</f>
        <v>0</v>
      </c>
      <c r="F73" s="166">
        <f t="shared" si="13"/>
        <v>4013</v>
      </c>
      <c r="G73" s="626"/>
      <c r="H73" s="166"/>
      <c r="I73" s="166">
        <f t="shared" si="14"/>
        <v>4013</v>
      </c>
      <c r="J73" s="167">
        <f t="shared" si="11"/>
        <v>4.1220250480866115E-4</v>
      </c>
      <c r="K73" s="458"/>
      <c r="L73" s="185"/>
      <c r="M73" s="163"/>
      <c r="O73" s="324">
        <f t="shared" si="12"/>
        <v>0.10844187429065556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'[7]Sch C'!D62</f>
        <v>0</v>
      </c>
      <c r="D74" s="480">
        <f>'[7]Sch C'!F62</f>
        <v>0</v>
      </c>
      <c r="E74" s="480">
        <f>+'[7]Sch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'[7]Sch C'!D63</f>
        <v>0</v>
      </c>
      <c r="D75" s="480">
        <f>'[7]Sch C'!F63</f>
        <v>0</v>
      </c>
      <c r="E75" s="480">
        <f>+'[7]Sch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'[7]Sch C'!D64</f>
        <v>0</v>
      </c>
      <c r="D76" s="480">
        <f>'[7]Sch C'!F64</f>
        <v>0</v>
      </c>
      <c r="E76" s="480">
        <f>+'[7]Sch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'[7]Sch C'!D65</f>
        <v>1702</v>
      </c>
      <c r="D77" s="480">
        <f>'[7]Sch C'!F65</f>
        <v>0</v>
      </c>
      <c r="E77" s="480">
        <f>+'[7]Sch C'!H65</f>
        <v>0</v>
      </c>
      <c r="F77" s="166">
        <f t="shared" si="13"/>
        <v>1702</v>
      </c>
      <c r="G77" s="626"/>
      <c r="H77" s="166"/>
      <c r="I77" s="166">
        <f t="shared" si="14"/>
        <v>1702</v>
      </c>
      <c r="J77" s="167">
        <f t="shared" si="11"/>
        <v>1.7482398783561957E-4</v>
      </c>
      <c r="K77" s="458"/>
      <c r="L77" s="187"/>
      <c r="M77" s="163"/>
      <c r="O77" s="324">
        <f t="shared" si="12"/>
        <v>4.5992541749986487E-2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'[7]Sch C'!D66</f>
        <v>95586</v>
      </c>
      <c r="D78" s="480">
        <f>'[7]Sch C'!F66</f>
        <v>0</v>
      </c>
      <c r="E78" s="480">
        <f>+'[7]Sch C'!H66</f>
        <v>-1195</v>
      </c>
      <c r="F78" s="166">
        <f t="shared" si="13"/>
        <v>94391</v>
      </c>
      <c r="G78" s="626"/>
      <c r="H78" s="166"/>
      <c r="I78" s="166">
        <f t="shared" si="14"/>
        <v>94391</v>
      </c>
      <c r="J78" s="167">
        <f t="shared" si="11"/>
        <v>9.6955411491139645E-3</v>
      </c>
      <c r="K78" s="458"/>
      <c r="L78" s="187"/>
      <c r="M78" s="163"/>
      <c r="O78" s="324">
        <f t="shared" si="12"/>
        <v>2.5506944819758957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'[7]Sch C'!D67</f>
        <v>41929</v>
      </c>
      <c r="D79" s="480">
        <f>'[7]Sch C'!F67</f>
        <v>0</v>
      </c>
      <c r="E79" s="480">
        <f>+'[7]Sch C'!H67</f>
        <v>0</v>
      </c>
      <c r="F79" s="166">
        <f t="shared" si="13"/>
        <v>41929</v>
      </c>
      <c r="G79" s="626"/>
      <c r="H79" s="166"/>
      <c r="I79" s="166">
        <f t="shared" si="14"/>
        <v>41929</v>
      </c>
      <c r="J79" s="167">
        <f t="shared" si="11"/>
        <v>4.3068125651937088E-3</v>
      </c>
      <c r="K79" s="458"/>
      <c r="L79" s="187"/>
      <c r="M79" s="163"/>
      <c r="O79" s="324">
        <f t="shared" si="12"/>
        <v>1.1330324812192618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'[7]Sch C'!D68</f>
        <v>0</v>
      </c>
      <c r="D80" s="480">
        <f>'[7]Sch C'!F68</f>
        <v>0</v>
      </c>
      <c r="E80" s="480">
        <f>+'[7]Sch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'[7]Sch C'!D69</f>
        <v>4289</v>
      </c>
      <c r="D81" s="480">
        <f>'[7]Sch C'!F69</f>
        <v>0</v>
      </c>
      <c r="E81" s="480">
        <f>+'[7]Sch C'!H69</f>
        <v>0</v>
      </c>
      <c r="F81" s="166">
        <f t="shared" si="13"/>
        <v>4289</v>
      </c>
      <c r="G81" s="626"/>
      <c r="H81" s="166"/>
      <c r="I81" s="166">
        <f t="shared" si="14"/>
        <v>4289</v>
      </c>
      <c r="J81" s="167">
        <f t="shared" si="11"/>
        <v>4.4055234067389679E-4</v>
      </c>
      <c r="K81" s="458"/>
      <c r="L81" s="187"/>
      <c r="M81" s="163"/>
      <c r="O81" s="324">
        <f t="shared" si="12"/>
        <v>0.11590012430416689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'[7]Sch C'!D70</f>
        <v>0</v>
      </c>
      <c r="D82" s="480">
        <f>'[7]Sch C'!F70</f>
        <v>0</v>
      </c>
      <c r="E82" s="480">
        <f>+'[7]Sch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'[7]Sch C'!D71</f>
        <v>0</v>
      </c>
      <c r="D83" s="480">
        <f>'[7]Sch C'!F71</f>
        <v>0</v>
      </c>
      <c r="E83" s="480">
        <f>+'[7]Sch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1115397</v>
      </c>
      <c r="D84" s="480">
        <f t="shared" si="15"/>
        <v>0</v>
      </c>
      <c r="E84" s="480">
        <f t="shared" si="15"/>
        <v>-1195</v>
      </c>
      <c r="F84" s="166">
        <f t="shared" ref="F84:I84" si="16">SUM(F69:F83)</f>
        <v>1114202</v>
      </c>
      <c r="G84" s="166">
        <f t="shared" si="16"/>
        <v>0</v>
      </c>
      <c r="H84" s="166">
        <f t="shared" si="16"/>
        <v>0</v>
      </c>
      <c r="I84" s="166">
        <f t="shared" si="16"/>
        <v>1114202</v>
      </c>
      <c r="J84" s="167">
        <f t="shared" si="11"/>
        <v>0.11444726021999001</v>
      </c>
      <c r="K84" s="458"/>
      <c r="L84" s="187"/>
      <c r="M84" s="163"/>
      <c r="O84" s="324">
        <f t="shared" si="12"/>
        <v>30.108685078095444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'[7]Sch C'!D75</f>
        <v>38266</v>
      </c>
      <c r="D87" s="480">
        <f>'[7]Sch C'!F75</f>
        <v>0</v>
      </c>
      <c r="E87" s="480">
        <f>+'[7]Sch C'!H75</f>
        <v>0</v>
      </c>
      <c r="F87" s="166">
        <f t="shared" ref="F87:F97" si="17">C87+D87+E87</f>
        <v>38266</v>
      </c>
      <c r="G87" s="626"/>
      <c r="H87" s="166"/>
      <c r="I87" s="166">
        <f t="shared" ref="I87:I97" si="18">F87+G87+H87</f>
        <v>38266</v>
      </c>
      <c r="J87" s="167">
        <f t="shared" ref="J87:J98" si="19">IF($I$213=0,0,I87/$I$213)</f>
        <v>3.9305609391996586E-3</v>
      </c>
      <c r="K87" s="458"/>
      <c r="L87" s="176">
        <v>1892</v>
      </c>
      <c r="M87" s="176">
        <v>2076</v>
      </c>
      <c r="O87" s="324">
        <f t="shared" ref="O87:O97" si="20">I87/I$233</f>
        <v>1.0340485326703779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'[7]Sch C'!D76</f>
        <v>17905</v>
      </c>
      <c r="D88" s="480">
        <f>'[7]Sch C'!F76</f>
        <v>0</v>
      </c>
      <c r="E88" s="480">
        <f>+'[7]Sch C'!H76</f>
        <v>0</v>
      </c>
      <c r="F88" s="166">
        <f t="shared" si="17"/>
        <v>17905</v>
      </c>
      <c r="G88" s="626"/>
      <c r="H88" s="166"/>
      <c r="I88" s="166">
        <f t="shared" si="18"/>
        <v>17905</v>
      </c>
      <c r="J88" s="167">
        <f t="shared" si="19"/>
        <v>1.8391442433588533E-3</v>
      </c>
      <c r="K88" s="458"/>
      <c r="L88" s="163"/>
      <c r="M88" s="163"/>
      <c r="O88" s="324">
        <f t="shared" si="20"/>
        <v>0.48384045830405881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'[7]Sch C'!D77</f>
        <v>24251</v>
      </c>
      <c r="D89" s="480">
        <f>'[7]Sch C'!F77</f>
        <v>0</v>
      </c>
      <c r="E89" s="480">
        <f>+'[7]Sch C'!H77</f>
        <v>0</v>
      </c>
      <c r="F89" s="166">
        <f t="shared" si="17"/>
        <v>24251</v>
      </c>
      <c r="G89" s="626"/>
      <c r="H89" s="166"/>
      <c r="I89" s="166">
        <f t="shared" si="18"/>
        <v>24251</v>
      </c>
      <c r="J89" s="167">
        <f t="shared" si="19"/>
        <v>2.4909850346660459E-3</v>
      </c>
      <c r="K89" s="458"/>
      <c r="L89" s="163"/>
      <c r="M89" s="163"/>
      <c r="O89" s="324">
        <f t="shared" si="20"/>
        <v>0.65532616332486626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'[7]Sch C'!D78</f>
        <v>0</v>
      </c>
      <c r="D90" s="480">
        <f>'[7]Sch C'!F78</f>
        <v>0</v>
      </c>
      <c r="E90" s="480">
        <f>+'[7]Sch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'[7]Sch C'!D79</f>
        <v>3014</v>
      </c>
      <c r="D91" s="480">
        <f>'[7]Sch C'!F79</f>
        <v>0</v>
      </c>
      <c r="E91" s="480">
        <f>+'[7]Sch C'!H79</f>
        <v>0</v>
      </c>
      <c r="F91" s="166">
        <f t="shared" si="17"/>
        <v>3014</v>
      </c>
      <c r="G91" s="626"/>
      <c r="H91" s="166"/>
      <c r="I91" s="166">
        <f t="shared" si="18"/>
        <v>3014</v>
      </c>
      <c r="J91" s="167">
        <f t="shared" si="19"/>
        <v>3.0958842499210186E-4</v>
      </c>
      <c r="K91" s="458"/>
      <c r="L91" s="163"/>
      <c r="M91" s="163"/>
      <c r="O91" s="324">
        <f t="shared" si="20"/>
        <v>8.1446251959141763E-2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'[7]Sch C'!D80</f>
        <v>42570</v>
      </c>
      <c r="D92" s="480">
        <f>'[7]Sch C'!F80</f>
        <v>0</v>
      </c>
      <c r="E92" s="480">
        <f>+'[7]Sch C'!H80</f>
        <v>0</v>
      </c>
      <c r="F92" s="166">
        <f t="shared" si="17"/>
        <v>42570</v>
      </c>
      <c r="G92" s="626"/>
      <c r="H92" s="166"/>
      <c r="I92" s="166">
        <f t="shared" si="18"/>
        <v>42570</v>
      </c>
      <c r="J92" s="167">
        <f t="shared" si="19"/>
        <v>4.3726540318227529E-3</v>
      </c>
      <c r="K92" s="458"/>
      <c r="L92" s="163"/>
      <c r="M92" s="163"/>
      <c r="O92" s="324">
        <f t="shared" si="20"/>
        <v>1.150353996649192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'[7]Sch C'!D81</f>
        <v>29532</v>
      </c>
      <c r="D93" s="480">
        <f>'[7]Sch C'!F81</f>
        <v>0</v>
      </c>
      <c r="E93" s="480">
        <f>+'[7]Sch C'!H81</f>
        <v>0</v>
      </c>
      <c r="F93" s="166">
        <f t="shared" si="17"/>
        <v>29532</v>
      </c>
      <c r="G93" s="626"/>
      <c r="H93" s="166"/>
      <c r="I93" s="166">
        <f t="shared" si="18"/>
        <v>29532</v>
      </c>
      <c r="J93" s="167">
        <f t="shared" si="19"/>
        <v>3.0334324375802099E-3</v>
      </c>
      <c r="K93" s="458"/>
      <c r="L93" s="163"/>
      <c r="M93" s="163"/>
      <c r="O93" s="324">
        <f t="shared" si="20"/>
        <v>0.79803275144571151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'[7]Sch C'!D82</f>
        <v>26463</v>
      </c>
      <c r="D94" s="480">
        <f>'[7]Sch C'!F82</f>
        <v>0</v>
      </c>
      <c r="E94" s="480">
        <f>+'[7]Sch C'!H82</f>
        <v>0</v>
      </c>
      <c r="F94" s="166">
        <f t="shared" si="17"/>
        <v>26463</v>
      </c>
      <c r="G94" s="626"/>
      <c r="H94" s="166"/>
      <c r="I94" s="166">
        <f t="shared" si="18"/>
        <v>26463</v>
      </c>
      <c r="J94" s="167">
        <f t="shared" si="19"/>
        <v>2.7181945887743836E-3</v>
      </c>
      <c r="K94" s="458"/>
      <c r="L94" s="163"/>
      <c r="M94" s="163"/>
      <c r="O94" s="324">
        <f t="shared" si="20"/>
        <v>0.71510025401286281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'[7]Sch C'!D83</f>
        <v>0</v>
      </c>
      <c r="D95" s="480">
        <f>'[7]Sch C'!F83</f>
        <v>0</v>
      </c>
      <c r="E95" s="480">
        <f>+'[7]Sch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'[7]Sch C'!D84</f>
        <v>135433</v>
      </c>
      <c r="D96" s="480">
        <f>'[7]Sch C'!F84</f>
        <v>0</v>
      </c>
      <c r="E96" s="480">
        <f>+'[7]Sch C'!H84</f>
        <v>0</v>
      </c>
      <c r="F96" s="166">
        <f t="shared" si="17"/>
        <v>135433</v>
      </c>
      <c r="G96" s="626"/>
      <c r="H96" s="166"/>
      <c r="I96" s="166">
        <f t="shared" si="18"/>
        <v>135433</v>
      </c>
      <c r="J96" s="167">
        <f t="shared" si="19"/>
        <v>1.391124391571179E-2</v>
      </c>
      <c r="K96" s="458"/>
      <c r="L96" s="163"/>
      <c r="M96" s="163"/>
      <c r="O96" s="324">
        <f t="shared" si="20"/>
        <v>3.6597578771010109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'[7]Sch C'!D85</f>
        <v>0</v>
      </c>
      <c r="D97" s="480">
        <f>'[7]Sch C'!F85</f>
        <v>0</v>
      </c>
      <c r="E97" s="480">
        <f>+'[7]Sch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317434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317434</v>
      </c>
      <c r="G98" s="166">
        <f t="shared" si="22"/>
        <v>0</v>
      </c>
      <c r="H98" s="166">
        <f t="shared" si="22"/>
        <v>0</v>
      </c>
      <c r="I98" s="166">
        <f t="shared" si="22"/>
        <v>317434</v>
      </c>
      <c r="J98" s="167">
        <f t="shared" si="19"/>
        <v>3.2605803616105794E-2</v>
      </c>
      <c r="K98" s="458"/>
      <c r="L98" s="163"/>
      <c r="M98" s="163"/>
      <c r="O98" s="329">
        <f>I98/I$233</f>
        <v>8.5779062854672219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'[7]Sch C'!D89</f>
        <v>0</v>
      </c>
      <c r="D101" s="480">
        <f>'[7]Sch C'!F89</f>
        <v>0</v>
      </c>
      <c r="E101" s="480">
        <f>+'[7]Sch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'[7]Sch C'!D90</f>
        <v>0</v>
      </c>
      <c r="D102" s="480">
        <f>'[7]Sch C'!F90</f>
        <v>0</v>
      </c>
      <c r="E102" s="480">
        <f>+'[7]Sch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'[7]Sch C'!D91</f>
        <v>553414</v>
      </c>
      <c r="D103" s="480">
        <f>'[7]Sch C'!F91</f>
        <v>-3164</v>
      </c>
      <c r="E103" s="480">
        <f>+'[7]Sch C'!H91</f>
        <v>0</v>
      </c>
      <c r="F103" s="166">
        <f t="shared" si="23"/>
        <v>550250</v>
      </c>
      <c r="G103" s="626"/>
      <c r="H103" s="166"/>
      <c r="I103" s="166">
        <f t="shared" si="24"/>
        <v>550250</v>
      </c>
      <c r="J103" s="167">
        <f t="shared" si="25"/>
        <v>5.6519917336398155E-2</v>
      </c>
      <c r="K103" s="458"/>
      <c r="L103" s="163"/>
      <c r="M103" s="163"/>
      <c r="O103" s="329">
        <f t="shared" si="26"/>
        <v>14.869210398313786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'[7]Sch C'!D92</f>
        <v>732</v>
      </c>
      <c r="D104" s="480">
        <f>'[7]Sch C'!F92</f>
        <v>0</v>
      </c>
      <c r="E104" s="480">
        <f>+'[7]Sch C'!H92</f>
        <v>0</v>
      </c>
      <c r="F104" s="166">
        <f t="shared" si="23"/>
        <v>732</v>
      </c>
      <c r="G104" s="626"/>
      <c r="H104" s="166"/>
      <c r="I104" s="166">
        <f t="shared" si="24"/>
        <v>732</v>
      </c>
      <c r="J104" s="167">
        <f t="shared" si="25"/>
        <v>7.5188695120842261E-5</v>
      </c>
      <c r="K104" s="458"/>
      <c r="L104" s="163"/>
      <c r="M104" s="163"/>
      <c r="O104" s="329">
        <f t="shared" si="26"/>
        <v>1.97805761227909E-2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'[7]Sch C'!D93</f>
        <v>4695</v>
      </c>
      <c r="D105" s="480">
        <f>'[7]Sch C'!F93</f>
        <v>0</v>
      </c>
      <c r="E105" s="480">
        <f>+'[7]Sch C'!H93</f>
        <v>0</v>
      </c>
      <c r="F105" s="166">
        <f t="shared" si="23"/>
        <v>4695</v>
      </c>
      <c r="G105" s="626"/>
      <c r="H105" s="166"/>
      <c r="I105" s="166">
        <f t="shared" si="24"/>
        <v>4695</v>
      </c>
      <c r="J105" s="167">
        <f t="shared" si="25"/>
        <v>4.822553600988448E-4</v>
      </c>
      <c r="K105" s="458"/>
      <c r="L105" s="163"/>
      <c r="M105" s="163"/>
      <c r="O105" s="329">
        <f t="shared" si="26"/>
        <v>0.12687131816462197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'[7]Sch C'!D94</f>
        <v>0</v>
      </c>
      <c r="D106" s="480">
        <f>'[7]Sch C'!F94</f>
        <v>0</v>
      </c>
      <c r="E106" s="480">
        <f>+'[7]Sch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558841</v>
      </c>
      <c r="D107" s="480">
        <f t="shared" si="27"/>
        <v>-3164</v>
      </c>
      <c r="E107" s="480">
        <f t="shared" si="27"/>
        <v>0</v>
      </c>
      <c r="F107" s="166">
        <f t="shared" ref="F107:I107" si="28">SUM(F101:F106)</f>
        <v>555677</v>
      </c>
      <c r="G107" s="166">
        <f t="shared" si="28"/>
        <v>0</v>
      </c>
      <c r="H107" s="166">
        <f t="shared" si="28"/>
        <v>0</v>
      </c>
      <c r="I107" s="166">
        <f t="shared" si="28"/>
        <v>555677</v>
      </c>
      <c r="J107" s="167">
        <f t="shared" si="25"/>
        <v>5.7077361391617842E-2</v>
      </c>
      <c r="K107" s="458"/>
      <c r="L107" s="163"/>
      <c r="M107" s="163"/>
      <c r="O107" s="329">
        <f>I107/I$233</f>
        <v>15.0158622926012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'[7]Sch C'!D98</f>
        <v>0</v>
      </c>
      <c r="D110" s="480">
        <f>'[7]Sch C'!F98</f>
        <v>0</v>
      </c>
      <c r="E110" s="480">
        <f>+'[7]Sch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'[7]Sch C'!D99</f>
        <v>0</v>
      </c>
      <c r="D111" s="480">
        <f>'[7]Sch C'!F99</f>
        <v>0</v>
      </c>
      <c r="E111" s="480">
        <f>+'[7]Sch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'[7]Sch C'!D100</f>
        <v>0</v>
      </c>
      <c r="D112" s="480">
        <f>'[7]Sch C'!F100</f>
        <v>0</v>
      </c>
      <c r="E112" s="480">
        <f>+'[7]Sch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'[7]Sch C'!D101</f>
        <v>96122</v>
      </c>
      <c r="D113" s="480">
        <f>'[7]Sch C'!F101</f>
        <v>0</v>
      </c>
      <c r="E113" s="480">
        <f>+'[7]Sch C'!H101</f>
        <v>0</v>
      </c>
      <c r="F113" s="166">
        <f t="shared" si="29"/>
        <v>96122</v>
      </c>
      <c r="G113" s="626"/>
      <c r="H113" s="166"/>
      <c r="I113" s="166">
        <f t="shared" si="30"/>
        <v>96122</v>
      </c>
      <c r="J113" s="167">
        <f t="shared" si="31"/>
        <v>9.8733439240513646E-3</v>
      </c>
      <c r="K113" s="458"/>
      <c r="L113" s="163"/>
      <c r="M113" s="163"/>
      <c r="O113" s="329">
        <f t="shared" si="32"/>
        <v>2.5974706804302006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'[7]Sch C'!D102</f>
        <v>6302</v>
      </c>
      <c r="D114" s="480">
        <f>'[7]Sch C'!F102</f>
        <v>0</v>
      </c>
      <c r="E114" s="480">
        <f>+'[7]Sch C'!H102</f>
        <v>0</v>
      </c>
      <c r="F114" s="166">
        <f t="shared" si="29"/>
        <v>6302</v>
      </c>
      <c r="G114" s="626"/>
      <c r="H114" s="166"/>
      <c r="I114" s="166">
        <f t="shared" si="30"/>
        <v>6302</v>
      </c>
      <c r="J114" s="167">
        <f t="shared" si="31"/>
        <v>6.4732125225621295E-4</v>
      </c>
      <c r="K114" s="458"/>
      <c r="L114" s="163"/>
      <c r="M114" s="163"/>
      <c r="O114" s="329">
        <f t="shared" si="32"/>
        <v>0.17029670864184188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'[7]Sch C'!D103</f>
        <v>0</v>
      </c>
      <c r="D115" s="480">
        <f>'[7]Sch C'!F103</f>
        <v>0</v>
      </c>
      <c r="E115" s="480">
        <f>+'[7]Sch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102424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102424</v>
      </c>
      <c r="G116" s="166">
        <f t="shared" si="34"/>
        <v>0</v>
      </c>
      <c r="H116" s="166">
        <f t="shared" si="34"/>
        <v>0</v>
      </c>
      <c r="I116" s="166">
        <f t="shared" si="34"/>
        <v>102424</v>
      </c>
      <c r="J116" s="167">
        <f t="shared" si="31"/>
        <v>1.0520665176307578E-2</v>
      </c>
      <c r="K116" s="458"/>
      <c r="L116" s="163"/>
      <c r="M116" s="163"/>
      <c r="O116" s="329">
        <f>I116/I$233</f>
        <v>2.7677673890720422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'[7]Sch C'!D115</f>
        <v>0</v>
      </c>
      <c r="D119" s="480">
        <f>'[7]Sch C'!F115</f>
        <v>0</v>
      </c>
      <c r="E119" s="480">
        <f>+'[7]Sch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'[7]Sch C'!D116</f>
        <v>0</v>
      </c>
      <c r="D120" s="480">
        <f>'[7]Sch C'!F116</f>
        <v>0</v>
      </c>
      <c r="E120" s="480">
        <f>+'[7]Sch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'[7]Sch C'!D117</f>
        <v>16668</v>
      </c>
      <c r="D121" s="480">
        <f>'[7]Sch C'!F117</f>
        <v>0</v>
      </c>
      <c r="E121" s="480">
        <f>+'[7]Sch C'!H117</f>
        <v>0</v>
      </c>
      <c r="F121" s="166">
        <f t="shared" si="35"/>
        <v>16668</v>
      </c>
      <c r="G121" s="626"/>
      <c r="H121" s="166"/>
      <c r="I121" s="166">
        <f t="shared" si="36"/>
        <v>16668</v>
      </c>
      <c r="J121" s="167">
        <f t="shared" si="37"/>
        <v>1.712083565948359E-3</v>
      </c>
      <c r="K121" s="458"/>
      <c r="L121" s="163"/>
      <c r="M121" s="163"/>
      <c r="O121" s="329">
        <f t="shared" si="38"/>
        <v>0.4504134464681403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'[7]Sch C'!D118</f>
        <v>145961</v>
      </c>
      <c r="D122" s="480">
        <f>'[7]Sch C'!F118</f>
        <v>0</v>
      </c>
      <c r="E122" s="480">
        <f>+'[7]Sch C'!H118</f>
        <v>0</v>
      </c>
      <c r="F122" s="166">
        <f t="shared" si="35"/>
        <v>145961</v>
      </c>
      <c r="G122" s="626"/>
      <c r="H122" s="166"/>
      <c r="I122" s="166">
        <f t="shared" si="36"/>
        <v>145961</v>
      </c>
      <c r="J122" s="167">
        <f t="shared" si="37"/>
        <v>1.4992646350455269E-2</v>
      </c>
      <c r="K122" s="458"/>
      <c r="L122" s="163"/>
      <c r="M122" s="163"/>
      <c r="O122" s="329">
        <f t="shared" si="38"/>
        <v>3.9442522834135003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'[7]Sch C'!D119</f>
        <v>0</v>
      </c>
      <c r="D123" s="480">
        <f>'[7]Sch C'!F119</f>
        <v>0</v>
      </c>
      <c r="E123" s="480">
        <f>+'[7]Sch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162629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162629</v>
      </c>
      <c r="G124" s="166">
        <f t="shared" si="40"/>
        <v>0</v>
      </c>
      <c r="H124" s="166">
        <f t="shared" si="40"/>
        <v>0</v>
      </c>
      <c r="I124" s="166">
        <f t="shared" si="40"/>
        <v>162629</v>
      </c>
      <c r="J124" s="167">
        <f t="shared" si="37"/>
        <v>1.6704729916403628E-2</v>
      </c>
      <c r="K124" s="458"/>
      <c r="L124" s="163"/>
      <c r="M124" s="163"/>
      <c r="O124" s="329">
        <f t="shared" si="38"/>
        <v>4.3946657298816412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'[7]Sch C'!D124</f>
        <v>0</v>
      </c>
      <c r="D128" s="480">
        <f>'[7]Sch C'!F124</f>
        <v>0</v>
      </c>
      <c r="E128" s="480">
        <f>+'[7]Sch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'[7]Sch C'!D125</f>
        <v>213323</v>
      </c>
      <c r="D129" s="480">
        <f>'[7]Sch C'!F125</f>
        <v>0</v>
      </c>
      <c r="E129" s="480">
        <f>+'[7]Sch C'!H125</f>
        <v>0</v>
      </c>
      <c r="F129" s="166">
        <f t="shared" si="41"/>
        <v>213323</v>
      </c>
      <c r="G129" s="626"/>
      <c r="H129" s="166"/>
      <c r="I129" s="166">
        <f t="shared" si="42"/>
        <v>213323</v>
      </c>
      <c r="J129" s="167">
        <f>IF($I$213=0,0,I129/$I$213)</f>
        <v>2.1911855203911795E-2</v>
      </c>
      <c r="K129" s="458"/>
      <c r="L129" s="176">
        <v>7146</v>
      </c>
      <c r="M129" s="176">
        <v>7373</v>
      </c>
      <c r="O129" s="329">
        <f t="shared" si="43"/>
        <v>5.7645516943198398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'[7]Sch C'!D126</f>
        <v>0</v>
      </c>
      <c r="D130" s="480">
        <f>'[7]Sch C'!F126</f>
        <v>0</v>
      </c>
      <c r="E130" s="480">
        <f>+'[7]Sch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'[7]Sch C'!D127</f>
        <v>0</v>
      </c>
      <c r="D131" s="480">
        <f>'[7]Sch C'!F127</f>
        <v>0</v>
      </c>
      <c r="E131" s="480">
        <f>+'[7]Sch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'[7]Sch C'!D128</f>
        <v>65689</v>
      </c>
      <c r="D132" s="480">
        <f>'[7]Sch C'!F128</f>
        <v>0</v>
      </c>
      <c r="E132" s="480">
        <f>+'[7]Sch C'!H128</f>
        <v>0</v>
      </c>
      <c r="F132" s="166">
        <f t="shared" si="41"/>
        <v>65689</v>
      </c>
      <c r="G132" s="626"/>
      <c r="H132" s="166"/>
      <c r="I132" s="166">
        <f t="shared" si="42"/>
        <v>65689</v>
      </c>
      <c r="J132" s="167">
        <f>IF($I$213=0,0,I132/$I$213)</f>
        <v>6.7473636527226868E-3</v>
      </c>
      <c r="K132" s="458"/>
      <c r="L132" s="176">
        <v>3791</v>
      </c>
      <c r="M132" s="176">
        <v>4050</v>
      </c>
      <c r="O132" s="329">
        <f t="shared" si="43"/>
        <v>1.7750905258606713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'[7]Sch C'!D130</f>
        <v>0</v>
      </c>
      <c r="D134" s="480">
        <f>'[7]Sch C'!F130</f>
        <v>0</v>
      </c>
      <c r="E134" s="480">
        <f>+'[7]Sch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'[7]Sch C'!D131</f>
        <v>26294</v>
      </c>
      <c r="D135" s="480">
        <f>'[7]Sch C'!F131</f>
        <v>0</v>
      </c>
      <c r="E135" s="480">
        <f>+'[7]Sch C'!H131</f>
        <v>0</v>
      </c>
      <c r="F135" s="166">
        <f t="shared" si="44"/>
        <v>26294</v>
      </c>
      <c r="G135" s="626"/>
      <c r="H135" s="166"/>
      <c r="I135" s="166">
        <f t="shared" si="45"/>
        <v>26294</v>
      </c>
      <c r="J135" s="167">
        <f>IF($I$213=0,0,I135/$I$213)</f>
        <v>2.7008354501467571E-3</v>
      </c>
      <c r="K135" s="458"/>
      <c r="L135" s="196"/>
      <c r="M135" s="196"/>
      <c r="O135" s="329">
        <f t="shared" si="43"/>
        <v>0.71053342701183597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'[7]Sch C'!D132</f>
        <v>0</v>
      </c>
      <c r="D136" s="480">
        <f>'[7]Sch C'!F132</f>
        <v>0</v>
      </c>
      <c r="E136" s="480">
        <f>+'[7]Sch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'[7]Sch C'!D133</f>
        <v>0</v>
      </c>
      <c r="D137" s="480">
        <f>'[7]Sch C'!F133</f>
        <v>0</v>
      </c>
      <c r="E137" s="480">
        <f>+'[7]Sch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'[7]Sch C'!D134</f>
        <v>19592</v>
      </c>
      <c r="D138" s="480">
        <f>'[7]Sch C'!F134</f>
        <v>0</v>
      </c>
      <c r="E138" s="480">
        <f>+'[7]Sch C'!H134</f>
        <v>0</v>
      </c>
      <c r="F138" s="166">
        <f t="shared" si="44"/>
        <v>19592</v>
      </c>
      <c r="G138" s="626"/>
      <c r="H138" s="166"/>
      <c r="I138" s="166">
        <f t="shared" si="45"/>
        <v>19592</v>
      </c>
      <c r="J138" s="167">
        <f>IF($I$213=0,0,I138/$I$213)</f>
        <v>2.0124274792452752E-3</v>
      </c>
      <c r="K138" s="458"/>
      <c r="L138" s="163"/>
      <c r="M138" s="163"/>
      <c r="O138" s="329">
        <f t="shared" si="43"/>
        <v>0.52942766037939792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'[7]Sch C'!D136</f>
        <v>982342</v>
      </c>
      <c r="D140" s="480">
        <f>'[7]Sch C'!F136</f>
        <v>0</v>
      </c>
      <c r="E140" s="480">
        <f>+'[7]Sch C'!H136</f>
        <v>0</v>
      </c>
      <c r="F140" s="166">
        <f t="shared" ref="F140:F143" si="46">C140+D140+E140</f>
        <v>982342</v>
      </c>
      <c r="G140" s="626"/>
      <c r="H140" s="166"/>
      <c r="I140" s="166">
        <f t="shared" ref="I140:I143" si="47">F140+G140+H140</f>
        <v>982342</v>
      </c>
      <c r="J140" s="167">
        <f>IF($I$213=0,0,I140/$I$213)</f>
        <v>0.10090302341857708</v>
      </c>
      <c r="K140" s="458"/>
      <c r="L140" s="176">
        <v>30216</v>
      </c>
      <c r="M140" s="176">
        <v>32307</v>
      </c>
      <c r="O140" s="329">
        <f t="shared" si="43"/>
        <v>26.545479111495432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'[7]Sch C'!D137</f>
        <v>317191</v>
      </c>
      <c r="D141" s="480">
        <f>'[7]Sch C'!F137</f>
        <v>0</v>
      </c>
      <c r="E141" s="480">
        <f>+'[7]Sch C'!H137</f>
        <v>0</v>
      </c>
      <c r="F141" s="166">
        <f t="shared" si="46"/>
        <v>317191</v>
      </c>
      <c r="G141" s="626"/>
      <c r="H141" s="166"/>
      <c r="I141" s="166">
        <f t="shared" si="47"/>
        <v>317191</v>
      </c>
      <c r="J141" s="167">
        <f>IF($I$213=0,0,I141/$I$213)</f>
        <v>3.2580843434528793E-2</v>
      </c>
      <c r="K141" s="458"/>
      <c r="L141" s="176">
        <v>11350</v>
      </c>
      <c r="M141" s="176">
        <v>12069</v>
      </c>
      <c r="O141" s="329">
        <f t="shared" si="43"/>
        <v>8.571339782737935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'[7]Sch C'!D138</f>
        <v>1049894</v>
      </c>
      <c r="D142" s="480">
        <f>'[7]Sch C'!F138</f>
        <v>19532</v>
      </c>
      <c r="E142" s="480">
        <f>+'[7]Sch C'!H138</f>
        <v>0</v>
      </c>
      <c r="F142" s="166">
        <f t="shared" si="46"/>
        <v>1069426</v>
      </c>
      <c r="G142" s="626"/>
      <c r="H142" s="166"/>
      <c r="I142" s="166">
        <f t="shared" si="47"/>
        <v>1069426</v>
      </c>
      <c r="J142" s="167">
        <f>IF($I$213=0,0,I142/$I$213)</f>
        <v>0.10984801293483859</v>
      </c>
      <c r="K142" s="458"/>
      <c r="L142" s="176">
        <v>78615</v>
      </c>
      <c r="M142" s="176">
        <v>83052</v>
      </c>
      <c r="O142" s="329">
        <f t="shared" si="43"/>
        <v>28.898719126628116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'[7]Sch C'!D139</f>
        <v>19532</v>
      </c>
      <c r="D143" s="480">
        <f>'[7]Sch C'!F139</f>
        <v>-19532</v>
      </c>
      <c r="E143" s="480">
        <f>+'[7]Sch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'[7]Sch C'!D141</f>
        <v>419540</v>
      </c>
      <c r="D145" s="480">
        <f>'[7]Sch C'!F141</f>
        <v>-245568</v>
      </c>
      <c r="E145" s="480">
        <f>+'[7]Sch C'!H141</f>
        <v>0</v>
      </c>
      <c r="F145" s="166">
        <f t="shared" ref="F145:F148" si="48">C145+D145+E145</f>
        <v>173972</v>
      </c>
      <c r="G145" s="626"/>
      <c r="H145" s="166"/>
      <c r="I145" s="166">
        <f t="shared" ref="I145:I148" si="49">F145+G145+H145</f>
        <v>173972</v>
      </c>
      <c r="J145" s="167">
        <f>IF($I$213=0,0,I145/$I$213)</f>
        <v>1.7869846540386845E-2</v>
      </c>
      <c r="K145" s="458"/>
      <c r="L145" s="163"/>
      <c r="M145" s="163"/>
      <c r="O145" s="329">
        <f t="shared" si="43"/>
        <v>4.7011835918499703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'[7]Sch C'!D142</f>
        <v>0</v>
      </c>
      <c r="D146" s="480">
        <f>'[7]Sch C'!F142</f>
        <v>56174</v>
      </c>
      <c r="E146" s="480">
        <f>+'[7]Sch C'!H142</f>
        <v>0</v>
      </c>
      <c r="F146" s="166">
        <f t="shared" si="48"/>
        <v>56174</v>
      </c>
      <c r="G146" s="626"/>
      <c r="H146" s="166"/>
      <c r="I146" s="166">
        <f t="shared" si="49"/>
        <v>56174</v>
      </c>
      <c r="J146" s="167">
        <f>IF($I$213=0,0,I146/$I$213)</f>
        <v>5.7700133329483512E-3</v>
      </c>
      <c r="K146" s="458"/>
      <c r="L146" s="163"/>
      <c r="M146" s="163"/>
      <c r="O146" s="329">
        <f t="shared" si="43"/>
        <v>1.5179700589093661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'[7]Sch C'!D143</f>
        <v>0</v>
      </c>
      <c r="D147" s="480">
        <f>'[7]Sch C'!F143</f>
        <v>189394</v>
      </c>
      <c r="E147" s="480">
        <f>+'[7]Sch C'!H143</f>
        <v>0</v>
      </c>
      <c r="F147" s="166">
        <f t="shared" si="48"/>
        <v>189394</v>
      </c>
      <c r="G147" s="626"/>
      <c r="H147" s="166"/>
      <c r="I147" s="166">
        <f t="shared" si="49"/>
        <v>189394</v>
      </c>
      <c r="J147" s="167">
        <f>IF($I$213=0,0,I147/$I$213)</f>
        <v>1.945394497775519E-2</v>
      </c>
      <c r="K147" s="458"/>
      <c r="L147" s="163"/>
      <c r="M147" s="163"/>
      <c r="O147" s="329">
        <f t="shared" si="43"/>
        <v>5.1179268226774033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'[7]Sch C'!D144</f>
        <v>0</v>
      </c>
      <c r="D148" s="480">
        <f>'[7]Sch C'!F144</f>
        <v>0</v>
      </c>
      <c r="E148" s="480">
        <f>+'[7]Sch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'[7]Sch C'!D146</f>
        <v>37850</v>
      </c>
      <c r="D150" s="480">
        <f>'[7]Sch C'!F146</f>
        <v>0</v>
      </c>
      <c r="E150" s="480">
        <f>+'[7]Sch C'!H146</f>
        <v>0</v>
      </c>
      <c r="F150" s="166">
        <f t="shared" ref="F150:F158" si="50">C150+D150+E150</f>
        <v>37850</v>
      </c>
      <c r="G150" s="626"/>
      <c r="H150" s="166"/>
      <c r="I150" s="166">
        <f t="shared" ref="I150:I158" si="51">F150+G150+H150</f>
        <v>37850</v>
      </c>
      <c r="J150" s="167">
        <f t="shared" ref="J150:J158" si="52">IF($I$213=0,0,I150/$I$213)</f>
        <v>3.8878307518085786E-3</v>
      </c>
      <c r="K150" s="458"/>
      <c r="L150" s="176">
        <v>151</v>
      </c>
      <c r="M150" s="176">
        <v>151</v>
      </c>
      <c r="O150" s="329">
        <f t="shared" si="43"/>
        <v>1.0228071123601579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'[7]Sch C'!D147</f>
        <v>385208</v>
      </c>
      <c r="D151" s="480">
        <f>'[7]Sch C'!F147</f>
        <v>0</v>
      </c>
      <c r="E151" s="480">
        <f>+'[7]Sch C'!H147</f>
        <v>0</v>
      </c>
      <c r="F151" s="166">
        <f t="shared" si="50"/>
        <v>385208</v>
      </c>
      <c r="G151" s="626"/>
      <c r="H151" s="166"/>
      <c r="I151" s="166">
        <f t="shared" si="51"/>
        <v>385208</v>
      </c>
      <c r="J151" s="167">
        <f t="shared" si="52"/>
        <v>3.9567331789766944E-2</v>
      </c>
      <c r="K151" s="458"/>
      <c r="L151" s="176">
        <v>6408</v>
      </c>
      <c r="M151" s="176">
        <v>6408</v>
      </c>
      <c r="O151" s="329">
        <f t="shared" si="43"/>
        <v>10.409339026103876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'[7]Sch C'!D148</f>
        <v>84526</v>
      </c>
      <c r="D152" s="480">
        <f>'[7]Sch C'!F148</f>
        <v>0</v>
      </c>
      <c r="E152" s="480">
        <f>+'[7]Sch C'!H148</f>
        <v>0</v>
      </c>
      <c r="F152" s="166">
        <f t="shared" si="50"/>
        <v>84526</v>
      </c>
      <c r="G152" s="626"/>
      <c r="H152" s="166"/>
      <c r="I152" s="166">
        <f t="shared" si="51"/>
        <v>84526</v>
      </c>
      <c r="J152" s="167">
        <f t="shared" si="52"/>
        <v>8.6822399505250177E-3</v>
      </c>
      <c r="K152" s="458"/>
      <c r="L152" s="176">
        <v>1878</v>
      </c>
      <c r="M152" s="176">
        <v>1878</v>
      </c>
      <c r="O152" s="329">
        <f t="shared" si="43"/>
        <v>2.284116089282819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'[7]Sch C'!D149</f>
        <v>114721</v>
      </c>
      <c r="D153" s="480">
        <f>'[7]Sch C'!F149</f>
        <v>0</v>
      </c>
      <c r="E153" s="480">
        <f>+'[7]Sch C'!H149</f>
        <v>0</v>
      </c>
      <c r="F153" s="166">
        <f t="shared" si="50"/>
        <v>114721</v>
      </c>
      <c r="G153" s="626"/>
      <c r="H153" s="166"/>
      <c r="I153" s="166">
        <f t="shared" si="51"/>
        <v>114721</v>
      </c>
      <c r="J153" s="167">
        <f t="shared" si="52"/>
        <v>1.1783773624259761E-2</v>
      </c>
      <c r="K153" s="458"/>
      <c r="L153" s="176">
        <v>4320</v>
      </c>
      <c r="M153" s="176">
        <v>4320</v>
      </c>
      <c r="O153" s="329">
        <f t="shared" si="43"/>
        <v>3.1000648543479437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'[7]Sch C'!D150</f>
        <v>7443</v>
      </c>
      <c r="D154" s="480">
        <f>'[7]Sch C'!F150</f>
        <v>0</v>
      </c>
      <c r="E154" s="480">
        <f>+'[7]Sch C'!H150</f>
        <v>0</v>
      </c>
      <c r="F154" s="166">
        <f t="shared" si="50"/>
        <v>7443</v>
      </c>
      <c r="G154" s="626"/>
      <c r="H154" s="166"/>
      <c r="I154" s="166">
        <f t="shared" si="51"/>
        <v>7443</v>
      </c>
      <c r="J154" s="167">
        <f t="shared" si="52"/>
        <v>7.6452111719184281E-4</v>
      </c>
      <c r="K154" s="458"/>
      <c r="L154" s="176">
        <v>0</v>
      </c>
      <c r="M154" s="176">
        <v>0</v>
      </c>
      <c r="O154" s="329">
        <f t="shared" si="43"/>
        <v>0.2011295465600173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'[7]Sch C'!D151</f>
        <v>222699</v>
      </c>
      <c r="D155" s="480">
        <f>'[7]Sch C'!F151</f>
        <v>0</v>
      </c>
      <c r="E155" s="480">
        <f>+'[7]Sch C'!H151</f>
        <v>0</v>
      </c>
      <c r="F155" s="166">
        <f t="shared" si="50"/>
        <v>222699</v>
      </c>
      <c r="G155" s="626"/>
      <c r="H155" s="166"/>
      <c r="I155" s="166">
        <f t="shared" si="51"/>
        <v>222699</v>
      </c>
      <c r="J155" s="167">
        <f t="shared" si="52"/>
        <v>2.2874927888956897E-2</v>
      </c>
      <c r="K155" s="458"/>
      <c r="L155" s="163"/>
      <c r="M155" s="163"/>
      <c r="O155" s="329">
        <f t="shared" si="43"/>
        <v>6.0179160136194128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'[7]Sch C'!D152</f>
        <v>6247</v>
      </c>
      <c r="D156" s="480">
        <f>'[7]Sch C'!F152</f>
        <v>0</v>
      </c>
      <c r="E156" s="480">
        <f>+'[7]Sch C'!H152</f>
        <v>0</v>
      </c>
      <c r="F156" s="166">
        <f t="shared" si="50"/>
        <v>6247</v>
      </c>
      <c r="G156" s="626"/>
      <c r="H156" s="166"/>
      <c r="I156" s="166">
        <f t="shared" si="51"/>
        <v>6247</v>
      </c>
      <c r="J156" s="167">
        <f t="shared" si="52"/>
        <v>6.4167182844248845E-4</v>
      </c>
      <c r="K156" s="458"/>
      <c r="L156" s="163"/>
      <c r="M156" s="163"/>
      <c r="O156" s="329">
        <f t="shared" si="43"/>
        <v>0.16881046316813489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'[7]Sch C'!D153</f>
        <v>0</v>
      </c>
      <c r="D157" s="480">
        <f>'[7]Sch C'!F153</f>
        <v>0</v>
      </c>
      <c r="E157" s="480">
        <f>+'[7]Sch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'[7]Sch C'!D154</f>
        <v>0</v>
      </c>
      <c r="D158" s="480">
        <f>'[7]Sch C'!F154</f>
        <v>0</v>
      </c>
      <c r="E158" s="480">
        <f>+'[7]Sch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'[7]Sch C'!D156</f>
        <v>0</v>
      </c>
      <c r="D160" s="480">
        <f>'[7]Sch C'!F156</f>
        <v>0</v>
      </c>
      <c r="E160" s="480">
        <f>+'[7]Sch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'[7]Sch C'!D157</f>
        <v>0</v>
      </c>
      <c r="D161" s="480">
        <f>'[7]Sch C'!F157</f>
        <v>0</v>
      </c>
      <c r="E161" s="480">
        <f>+'[7]Sch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'[7]Sch C'!D158</f>
        <v>1800</v>
      </c>
      <c r="D162" s="480">
        <f>'[7]Sch C'!F158</f>
        <v>0</v>
      </c>
      <c r="E162" s="480">
        <f>+'[7]Sch C'!H158</f>
        <v>0</v>
      </c>
      <c r="F162" s="166">
        <f t="shared" si="53"/>
        <v>1800</v>
      </c>
      <c r="G162" s="626"/>
      <c r="H162" s="166"/>
      <c r="I162" s="166">
        <f t="shared" si="54"/>
        <v>1800</v>
      </c>
      <c r="J162" s="167">
        <f t="shared" si="55"/>
        <v>1.8489023390371047E-4</v>
      </c>
      <c r="K162" s="458"/>
      <c r="L162" s="163"/>
      <c r="M162" s="163"/>
      <c r="O162" s="329">
        <f t="shared" si="43"/>
        <v>4.8640760957682536E-2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'[7]Sch C'!D159</f>
        <v>0</v>
      </c>
      <c r="D163" s="480">
        <f>'[7]Sch C'!F159</f>
        <v>0</v>
      </c>
      <c r="E163" s="480">
        <f>+'[7]Sch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'[7]Sch C'!D160</f>
        <v>0</v>
      </c>
      <c r="D164" s="480">
        <f>'[7]Sch C'!F160</f>
        <v>0</v>
      </c>
      <c r="E164" s="480">
        <f>+'[7]Sch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'[7]Sch C'!D161</f>
        <v>19552</v>
      </c>
      <c r="D165" s="480">
        <f>'[7]Sch C'!F161</f>
        <v>0</v>
      </c>
      <c r="E165" s="480">
        <f>+'[7]Sch C'!H161</f>
        <v>0</v>
      </c>
      <c r="F165" s="166">
        <f t="shared" si="53"/>
        <v>19552</v>
      </c>
      <c r="G165" s="626"/>
      <c r="H165" s="166"/>
      <c r="I165" s="166">
        <f t="shared" si="54"/>
        <v>19552</v>
      </c>
      <c r="J165" s="167">
        <f t="shared" si="55"/>
        <v>2.0083188073807485E-3</v>
      </c>
      <c r="K165" s="458"/>
      <c r="L165" s="163"/>
      <c r="M165" s="163"/>
      <c r="O165" s="329">
        <f t="shared" si="43"/>
        <v>0.52834675458033831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3993443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3993443</v>
      </c>
      <c r="G166" s="166">
        <f t="shared" si="57"/>
        <v>0</v>
      </c>
      <c r="H166" s="166">
        <f t="shared" si="57"/>
        <v>0</v>
      </c>
      <c r="I166" s="166">
        <f t="shared" si="57"/>
        <v>3993443</v>
      </c>
      <c r="J166" s="167">
        <f t="shared" si="55"/>
        <v>0.41019367241729737</v>
      </c>
      <c r="K166" s="458"/>
      <c r="L166" s="163"/>
      <c r="M166" s="163"/>
      <c r="O166" s="329">
        <f>I166/I$233</f>
        <v>107.91339242285035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'[7]Sch C'!D175</f>
        <v>0</v>
      </c>
      <c r="D169" s="480">
        <f>'[7]Sch C'!F175</f>
        <v>0</v>
      </c>
      <c r="E169" s="480">
        <f>+'[7]Sch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'[7]Sch C'!D176</f>
        <v>0</v>
      </c>
      <c r="D170" s="480">
        <f>'[7]Sch C'!F176</f>
        <v>0</v>
      </c>
      <c r="E170" s="480">
        <f>+'[7]Sch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'[7]Sch C'!D177</f>
        <v>0</v>
      </c>
      <c r="D171" s="480">
        <f>'[7]Sch C'!F177</f>
        <v>0</v>
      </c>
      <c r="E171" s="480">
        <f>+'[7]Sch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'[7]Sch C'!D178</f>
        <v>0</v>
      </c>
      <c r="D172" s="480">
        <f>'[7]Sch C'!F178</f>
        <v>0</v>
      </c>
      <c r="E172" s="480">
        <f>+'[7]Sch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'[7]Sch C'!D179</f>
        <v>0</v>
      </c>
      <c r="D173" s="480">
        <f>'[7]Sch C'!F179</f>
        <v>0</v>
      </c>
      <c r="E173" s="480">
        <f>+'[7]Sch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'[7]Sch C'!D180</f>
        <v>0</v>
      </c>
      <c r="D174" s="480">
        <f>'[7]Sch C'!F180</f>
        <v>0</v>
      </c>
      <c r="E174" s="480">
        <f>+'[7]Sch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'[7]Sch C'!D181</f>
        <v>0</v>
      </c>
      <c r="D175" s="480">
        <f>'[7]Sch C'!F181</f>
        <v>0</v>
      </c>
      <c r="E175" s="480">
        <f>+'[7]Sch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'[7]Sch C'!D182</f>
        <v>0</v>
      </c>
      <c r="D176" s="480">
        <f>'[7]Sch C'!F182</f>
        <v>0</v>
      </c>
      <c r="E176" s="480">
        <f>+'[7]Sch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'[7]Sch C'!D183</f>
        <v>0</v>
      </c>
      <c r="D177" s="480">
        <f>'[7]Sch C'!F183</f>
        <v>0</v>
      </c>
      <c r="E177" s="480">
        <f>+'[7]Sch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'[7]Sch C'!D184</f>
        <v>0</v>
      </c>
      <c r="D178" s="480">
        <f>'[7]Sch C'!F184</f>
        <v>0</v>
      </c>
      <c r="E178" s="480">
        <f>+'[7]Sch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'[7]Sch C'!D185</f>
        <v>0</v>
      </c>
      <c r="D179" s="480">
        <f>'[7]Sch C'!F185</f>
        <v>0</v>
      </c>
      <c r="E179" s="480">
        <f>+'[7]Sch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'[7]Sch C'!D186</f>
        <v>0</v>
      </c>
      <c r="D180" s="480">
        <f>'[7]Sch C'!F186</f>
        <v>0</v>
      </c>
      <c r="E180" s="480">
        <f>+'[7]Sch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'[7]Sch C'!D187</f>
        <v>0</v>
      </c>
      <c r="D181" s="480">
        <f>'[7]Sch C'!F187</f>
        <v>0</v>
      </c>
      <c r="E181" s="480">
        <f>+'[7]Sch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'[7]Sch C'!D188</f>
        <v>0</v>
      </c>
      <c r="D182" s="480">
        <f>'[7]Sch C'!F188</f>
        <v>0</v>
      </c>
      <c r="E182" s="480">
        <f>+'[7]Sch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'[7]Sch C'!D189</f>
        <v>0</v>
      </c>
      <c r="D183" s="480">
        <f>'[7]Sch C'!F189</f>
        <v>0</v>
      </c>
      <c r="E183" s="480">
        <f>+'[7]Sch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'[7]Sch C'!D190</f>
        <v>0</v>
      </c>
      <c r="D184" s="480">
        <f>'[7]Sch C'!F190</f>
        <v>0</v>
      </c>
      <c r="E184" s="480">
        <f>+'[7]Sch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'[7]Sch C'!D191</f>
        <v>43</v>
      </c>
      <c r="D185" s="480">
        <f>'[7]Sch C'!F191</f>
        <v>0</v>
      </c>
      <c r="E185" s="480">
        <f>+'[7]Sch C'!H191</f>
        <v>0</v>
      </c>
      <c r="F185" s="166">
        <f t="shared" si="58"/>
        <v>43</v>
      </c>
      <c r="G185" s="626"/>
      <c r="H185" s="166"/>
      <c r="I185" s="166">
        <f t="shared" si="59"/>
        <v>43</v>
      </c>
      <c r="J185" s="167">
        <f t="shared" si="60"/>
        <v>4.4168222543664166E-6</v>
      </c>
      <c r="K185" s="458"/>
      <c r="L185" s="213"/>
      <c r="M185" s="208"/>
      <c r="N185" s="210"/>
      <c r="O185" s="329">
        <f t="shared" si="61"/>
        <v>1.1619737339890828E-3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'[7]Sch C'!D192</f>
        <v>0</v>
      </c>
      <c r="D186" s="480">
        <f>'[7]Sch C'!F192</f>
        <v>0</v>
      </c>
      <c r="E186" s="480">
        <f>+'[7]Sch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'[7]Sch C'!D193</f>
        <v>2530</v>
      </c>
      <c r="D187" s="480">
        <f>'[7]Sch C'!F193</f>
        <v>0</v>
      </c>
      <c r="E187" s="480">
        <f>+'[7]Sch C'!H193</f>
        <v>0</v>
      </c>
      <c r="F187" s="166">
        <f t="shared" si="58"/>
        <v>2530</v>
      </c>
      <c r="G187" s="626"/>
      <c r="H187" s="166"/>
      <c r="I187" s="166">
        <f t="shared" si="59"/>
        <v>2530</v>
      </c>
      <c r="J187" s="167">
        <f t="shared" si="60"/>
        <v>2.5987349543132637E-4</v>
      </c>
      <c r="K187" s="458"/>
      <c r="L187" s="213"/>
      <c r="M187" s="208"/>
      <c r="N187" s="210"/>
      <c r="O187" s="329">
        <f t="shared" si="61"/>
        <v>6.8367291790520451E-2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'[7]Sch C'!D194</f>
        <v>430403</v>
      </c>
      <c r="D188" s="480">
        <f>'[7]Sch C'!F194</f>
        <v>0</v>
      </c>
      <c r="E188" s="480">
        <f>+'[7]Sch C'!H194</f>
        <v>-7532</v>
      </c>
      <c r="F188" s="166">
        <f t="shared" si="58"/>
        <v>422871</v>
      </c>
      <c r="G188" s="626"/>
      <c r="H188" s="166"/>
      <c r="I188" s="166">
        <f t="shared" si="59"/>
        <v>422871</v>
      </c>
      <c r="J188" s="167">
        <f t="shared" si="60"/>
        <v>4.3435954500608859E-2</v>
      </c>
      <c r="K188" s="458"/>
      <c r="L188" s="213"/>
      <c r="M188" s="208"/>
      <c r="O188" s="329">
        <f t="shared" si="61"/>
        <v>11.427092903853429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'[7]Sch C'!D195</f>
        <v>175280</v>
      </c>
      <c r="D189" s="480">
        <f>'[7]Sch C'!F195</f>
        <v>0</v>
      </c>
      <c r="E189" s="480">
        <f>+'[7]Sch C'!H195</f>
        <v>-3067</v>
      </c>
      <c r="F189" s="166">
        <f t="shared" si="58"/>
        <v>172213</v>
      </c>
      <c r="G189" s="626"/>
      <c r="H189" s="166"/>
      <c r="I189" s="166">
        <f t="shared" si="59"/>
        <v>172213</v>
      </c>
      <c r="J189" s="167">
        <f t="shared" si="60"/>
        <v>1.7689167695144274E-2</v>
      </c>
      <c r="K189" s="458"/>
      <c r="L189" s="213"/>
      <c r="M189" s="208"/>
      <c r="O189" s="329">
        <f t="shared" si="61"/>
        <v>4.6536507593363234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'[7]Sch C'!D196</f>
        <v>0</v>
      </c>
      <c r="D190" s="480">
        <f>'[7]Sch C'!F196</f>
        <v>0</v>
      </c>
      <c r="E190" s="480">
        <f>+'[7]Sch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'[7]Sch C'!D197</f>
        <v>383697</v>
      </c>
      <c r="D191" s="480">
        <f>'[7]Sch C'!F197</f>
        <v>0</v>
      </c>
      <c r="E191" s="480">
        <f>+'[7]Sch C'!H197</f>
        <v>-6715</v>
      </c>
      <c r="F191" s="166">
        <f t="shared" si="58"/>
        <v>376982</v>
      </c>
      <c r="G191" s="626"/>
      <c r="H191" s="166"/>
      <c r="I191" s="166">
        <f t="shared" si="59"/>
        <v>376982</v>
      </c>
      <c r="J191" s="167">
        <f t="shared" si="60"/>
        <v>3.872238342082699E-2</v>
      </c>
      <c r="K191" s="458"/>
      <c r="L191" s="213"/>
      <c r="M191" s="208"/>
      <c r="O191" s="329">
        <f t="shared" si="61"/>
        <v>10.187050748527266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'[7]Sch C'!D198</f>
        <v>57562</v>
      </c>
      <c r="D192" s="480">
        <f>'[7]Sch C'!F198</f>
        <v>0</v>
      </c>
      <c r="E192" s="480">
        <f>+'[7]Sch C'!H198</f>
        <v>0</v>
      </c>
      <c r="F192" s="166">
        <f t="shared" si="58"/>
        <v>57562</v>
      </c>
      <c r="G192" s="626"/>
      <c r="H192" s="166"/>
      <c r="I192" s="166">
        <f t="shared" si="59"/>
        <v>57562</v>
      </c>
      <c r="J192" s="167">
        <f t="shared" si="60"/>
        <v>5.9125842466474345E-3</v>
      </c>
      <c r="K192" s="458"/>
      <c r="L192" s="213"/>
      <c r="M192" s="208"/>
      <c r="O192" s="329">
        <f t="shared" si="61"/>
        <v>1.5554774901367345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'[7]Sch C'!D199</f>
        <v>0</v>
      </c>
      <c r="D193" s="480">
        <f>'[7]Sch C'!F199</f>
        <v>0</v>
      </c>
      <c r="E193" s="480">
        <f>+'[7]Sch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'[7]Sch C'!D200</f>
        <v>0</v>
      </c>
      <c r="D194" s="480">
        <f>'[7]Sch C'!F200</f>
        <v>0</v>
      </c>
      <c r="E194" s="480">
        <f>+'[7]Sch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'[7]Sch C'!D201</f>
        <v>0</v>
      </c>
      <c r="D195" s="480">
        <f>'[7]Sch C'!F201</f>
        <v>0</v>
      </c>
      <c r="E195" s="480">
        <f>+'[7]Sch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'[7]Sch C'!D202</f>
        <v>0</v>
      </c>
      <c r="D196" s="480">
        <f>'[7]Sch C'!F202</f>
        <v>0</v>
      </c>
      <c r="E196" s="480">
        <f>+'[7]Sch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'[7]Sch C'!D203</f>
        <v>0</v>
      </c>
      <c r="D197" s="480">
        <f>'[7]Sch C'!F203</f>
        <v>0</v>
      </c>
      <c r="E197" s="480">
        <f>+'[7]Sch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'[7]Sch C'!D204</f>
        <v>0</v>
      </c>
      <c r="D198" s="480">
        <f>'[7]Sch C'!F204</f>
        <v>0</v>
      </c>
      <c r="E198" s="480">
        <f>+'[7]Sch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'[7]Sch C'!D205</f>
        <v>253896</v>
      </c>
      <c r="D199" s="480">
        <f>'[7]Sch C'!F205</f>
        <v>0</v>
      </c>
      <c r="E199" s="480">
        <f>+'[7]Sch C'!H205</f>
        <v>0</v>
      </c>
      <c r="F199" s="166">
        <f t="shared" si="58"/>
        <v>253896</v>
      </c>
      <c r="G199" s="626"/>
      <c r="H199" s="166"/>
      <c r="I199" s="166">
        <f t="shared" si="59"/>
        <v>253896</v>
      </c>
      <c r="J199" s="167">
        <f t="shared" si="60"/>
        <v>2.607938379289804E-2</v>
      </c>
      <c r="K199" s="458"/>
      <c r="L199" s="213"/>
      <c r="M199" s="208"/>
      <c r="O199" s="329">
        <f t="shared" si="61"/>
        <v>6.8609414689509807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'[7]Sch C'!D206</f>
        <v>10628</v>
      </c>
      <c r="D200" s="480">
        <f>'[7]Sch C'!F206</f>
        <v>0</v>
      </c>
      <c r="E200" s="480">
        <f>+'[7]Sch C'!H206</f>
        <v>0</v>
      </c>
      <c r="F200" s="166">
        <f t="shared" si="58"/>
        <v>10628</v>
      </c>
      <c r="G200" s="626"/>
      <c r="H200" s="166"/>
      <c r="I200" s="166">
        <f t="shared" si="59"/>
        <v>10628</v>
      </c>
      <c r="J200" s="167">
        <f t="shared" si="60"/>
        <v>1.0916741144047972E-3</v>
      </c>
      <c r="K200" s="458"/>
      <c r="L200" s="213"/>
      <c r="M200" s="208"/>
      <c r="O200" s="329">
        <f t="shared" si="61"/>
        <v>0.28719667081013889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'[7]Sch C'!D207</f>
        <v>0</v>
      </c>
      <c r="D201" s="480">
        <f>'[7]Sch C'!F207</f>
        <v>0</v>
      </c>
      <c r="E201" s="480">
        <f>+'[7]Sch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1314039</v>
      </c>
      <c r="D202" s="480">
        <f t="shared" si="62"/>
        <v>0</v>
      </c>
      <c r="E202" s="480">
        <f t="shared" si="62"/>
        <v>-17314</v>
      </c>
      <c r="F202" s="166">
        <f t="shared" ref="F202:I202" si="63">SUM(F169:F201)</f>
        <v>1296725</v>
      </c>
      <c r="G202" s="166">
        <f t="shared" si="63"/>
        <v>0</v>
      </c>
      <c r="H202" s="166">
        <f t="shared" si="63"/>
        <v>0</v>
      </c>
      <c r="I202" s="166">
        <f t="shared" si="63"/>
        <v>1296725</v>
      </c>
      <c r="J202" s="167">
        <f>IF($I$213=0,0,I202/$I$213)</f>
        <v>0.1331954380882161</v>
      </c>
      <c r="K202" s="458"/>
      <c r="L202" s="163"/>
      <c r="M202" s="163"/>
      <c r="O202" s="329">
        <f>I202/I$233</f>
        <v>35.040939307139382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'[7]Sch C'!D211</f>
        <v>146252</v>
      </c>
      <c r="D205" s="480">
        <f>'[7]Sch C'!F211</f>
        <v>0</v>
      </c>
      <c r="E205" s="480">
        <f>+'[7]Sch C'!H211</f>
        <v>0</v>
      </c>
      <c r="F205" s="166">
        <f t="shared" ref="F205:F210" si="64">C205+D205+E205</f>
        <v>146252</v>
      </c>
      <c r="G205" s="626"/>
      <c r="H205" s="166"/>
      <c r="I205" s="166">
        <f t="shared" ref="I205:I210" si="65">F205+G205+H205</f>
        <v>146252</v>
      </c>
      <c r="J205" s="167">
        <f t="shared" ref="J205:J211" si="66">IF($I$213=0,0,I205/$I$213)</f>
        <v>1.5022536938269701E-2</v>
      </c>
      <c r="K205" s="458"/>
      <c r="L205" s="176">
        <v>8835</v>
      </c>
      <c r="M205" s="176">
        <v>9183</v>
      </c>
      <c r="O205" s="329">
        <f t="shared" ref="O205:O210" si="67">I205/I$233</f>
        <v>3.952115873101659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'[7]Sch C'!D212</f>
        <v>42760</v>
      </c>
      <c r="D206" s="480">
        <f>'[7]Sch C'!F212</f>
        <v>0</v>
      </c>
      <c r="E206" s="480">
        <f>+'[7]Sch C'!H212</f>
        <v>0</v>
      </c>
      <c r="F206" s="166">
        <f t="shared" si="64"/>
        <v>42760</v>
      </c>
      <c r="G206" s="626"/>
      <c r="H206" s="166"/>
      <c r="I206" s="166">
        <f t="shared" si="65"/>
        <v>42760</v>
      </c>
      <c r="J206" s="167">
        <f t="shared" si="66"/>
        <v>4.3921702231792554E-3</v>
      </c>
      <c r="K206" s="458"/>
      <c r="L206" s="163"/>
      <c r="M206" s="163"/>
      <c r="O206" s="329">
        <f t="shared" si="67"/>
        <v>1.1554882991947253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'[7]Sch C'!D213</f>
        <v>11256</v>
      </c>
      <c r="D207" s="480">
        <f>'[7]Sch C'!F213</f>
        <v>0</v>
      </c>
      <c r="E207" s="480">
        <f>+'[7]Sch C'!H213</f>
        <v>0</v>
      </c>
      <c r="F207" s="166">
        <f t="shared" si="64"/>
        <v>11256</v>
      </c>
      <c r="G207" s="626"/>
      <c r="H207" s="166"/>
      <c r="I207" s="166">
        <f t="shared" si="65"/>
        <v>11256</v>
      </c>
      <c r="J207" s="167">
        <f t="shared" si="66"/>
        <v>1.1561802626778694E-3</v>
      </c>
      <c r="K207" s="458"/>
      <c r="L207" s="163"/>
      <c r="M207" s="163"/>
      <c r="O207" s="329">
        <f t="shared" si="67"/>
        <v>0.30416689185537482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'[7]Sch C'!D214</f>
        <v>0</v>
      </c>
      <c r="D208" s="480">
        <f>'[7]Sch C'!F214</f>
        <v>0</v>
      </c>
      <c r="E208" s="480">
        <f>+'[7]Sch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'[7]Sch C'!D215</f>
        <v>0</v>
      </c>
      <c r="D209" s="480">
        <f>'[7]Sch C'!F215</f>
        <v>0</v>
      </c>
      <c r="E209" s="480">
        <f>+'[7]Sch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'[7]Sch C'!D216</f>
        <v>1957</v>
      </c>
      <c r="D210" s="480">
        <f>'[7]Sch C'!F216</f>
        <v>0</v>
      </c>
      <c r="E210" s="480">
        <f>+'[7]Sch C'!H216</f>
        <v>0</v>
      </c>
      <c r="F210" s="166">
        <f t="shared" si="64"/>
        <v>1957</v>
      </c>
      <c r="G210" s="626"/>
      <c r="H210" s="166"/>
      <c r="I210" s="166">
        <f t="shared" si="65"/>
        <v>1957</v>
      </c>
      <c r="J210" s="167">
        <f t="shared" si="66"/>
        <v>2.0101677097197855E-4</v>
      </c>
      <c r="K210" s="458"/>
      <c r="L210" s="163"/>
      <c r="M210" s="163"/>
      <c r="O210" s="329">
        <f t="shared" si="67"/>
        <v>5.2883316218991512E-2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202225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202225</v>
      </c>
      <c r="G211" s="166">
        <f t="shared" si="69"/>
        <v>0</v>
      </c>
      <c r="H211" s="166">
        <f t="shared" si="69"/>
        <v>0</v>
      </c>
      <c r="I211" s="166">
        <f t="shared" si="69"/>
        <v>202225</v>
      </c>
      <c r="J211" s="167">
        <f t="shared" si="66"/>
        <v>2.0771904195098806E-2</v>
      </c>
      <c r="K211" s="458"/>
      <c r="L211" s="163"/>
      <c r="M211" s="163"/>
      <c r="O211" s="329">
        <f>I211/I$233</f>
        <v>5.4646543803707504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10060351</v>
      </c>
      <c r="D213" s="480">
        <f t="shared" si="70"/>
        <v>-293982</v>
      </c>
      <c r="E213" s="480">
        <f t="shared" si="70"/>
        <v>-27879</v>
      </c>
      <c r="F213" s="166">
        <f t="shared" ref="F213:I213" si="71">SUM(F30:F211)/2</f>
        <v>9738490</v>
      </c>
      <c r="G213" s="166">
        <f t="shared" si="71"/>
        <v>-2983.8999999999996</v>
      </c>
      <c r="H213" s="166">
        <f t="shared" si="71"/>
        <v>0</v>
      </c>
      <c r="I213" s="166">
        <f t="shared" si="71"/>
        <v>9735506.0999999996</v>
      </c>
      <c r="J213" s="167">
        <f>IF($I$213=0,0,I213/$I$213)</f>
        <v>1</v>
      </c>
      <c r="K213" s="458"/>
      <c r="L213" s="176">
        <f>SUM(L30:L205)</f>
        <v>164023</v>
      </c>
      <c r="M213" s="176">
        <f>SUM(M30:M205)</f>
        <v>172988</v>
      </c>
      <c r="O213" s="329">
        <f>I213/I$233</f>
        <v>263.07912500675565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'[7]Sch C'!D221</f>
        <v>10060351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-576226</v>
      </c>
      <c r="D220" s="480">
        <f t="shared" si="72"/>
        <v>272209</v>
      </c>
      <c r="E220" s="480">
        <f t="shared" si="72"/>
        <v>27879</v>
      </c>
      <c r="F220" s="166">
        <f t="shared" ref="F220:I220" si="73">F26-F213</f>
        <v>-276138</v>
      </c>
      <c r="G220" s="166">
        <f t="shared" si="73"/>
        <v>2983.8999999999996</v>
      </c>
      <c r="H220" s="166">
        <f t="shared" si="73"/>
        <v>0</v>
      </c>
      <c r="I220" s="166">
        <f t="shared" si="73"/>
        <v>-273154.09999999963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'[7]Sch D'!C9</f>
        <v>25665</v>
      </c>
      <c r="D224" s="480"/>
      <c r="E224" s="480"/>
      <c r="F224" s="224">
        <f>C224+D224+E224</f>
        <v>25665</v>
      </c>
      <c r="G224" s="627"/>
      <c r="H224" s="223"/>
      <c r="I224" s="224">
        <f>F224+G224+H224</f>
        <v>25665</v>
      </c>
      <c r="J224" s="167">
        <f t="shared" ref="J224:J233" si="74">IF($I$233=0,0,I224/$I$233)</f>
        <v>0.69353618332162348</v>
      </c>
      <c r="K224" s="458"/>
      <c r="L224" s="163"/>
      <c r="M224" s="163"/>
    </row>
    <row r="225" spans="1:13">
      <c r="A225" s="158"/>
      <c r="B225" s="165" t="s">
        <v>201</v>
      </c>
      <c r="C225" s="504">
        <f>'[7]Sch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'[7]Sch D'!E9</f>
        <v>2393</v>
      </c>
      <c r="D226" s="480"/>
      <c r="E226" s="480"/>
      <c r="F226" s="224">
        <f t="shared" si="75"/>
        <v>2393</v>
      </c>
      <c r="G226" s="627"/>
      <c r="H226" s="223"/>
      <c r="I226" s="224">
        <f t="shared" si="76"/>
        <v>2393</v>
      </c>
      <c r="J226" s="167">
        <f t="shared" si="74"/>
        <v>6.466518942874129E-2</v>
      </c>
      <c r="K226" s="458"/>
      <c r="L226" s="163"/>
      <c r="M226" s="163"/>
    </row>
    <row r="227" spans="1:13">
      <c r="A227" s="158"/>
      <c r="B227" s="194" t="s">
        <v>315</v>
      </c>
      <c r="C227" s="504">
        <f>'[7]Sch D'!F9</f>
        <v>3351</v>
      </c>
      <c r="D227" s="480"/>
      <c r="E227" s="480"/>
      <c r="F227" s="224">
        <f t="shared" si="75"/>
        <v>3351</v>
      </c>
      <c r="G227" s="627"/>
      <c r="H227" s="223"/>
      <c r="I227" s="224">
        <f t="shared" si="76"/>
        <v>3351</v>
      </c>
      <c r="J227" s="167">
        <f t="shared" si="74"/>
        <v>9.0552883316218996E-2</v>
      </c>
      <c r="K227" s="458"/>
      <c r="L227" s="163"/>
      <c r="M227" s="163"/>
    </row>
    <row r="228" spans="1:13">
      <c r="A228" s="158"/>
      <c r="B228" s="165" t="s">
        <v>65</v>
      </c>
      <c r="C228" s="504">
        <f>'[7]Sch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'[7]Sch D'!H9</f>
        <v>1537</v>
      </c>
      <c r="D229" s="480"/>
      <c r="E229" s="480"/>
      <c r="F229" s="224">
        <f t="shared" si="75"/>
        <v>1537</v>
      </c>
      <c r="G229" s="627"/>
      <c r="H229" s="223"/>
      <c r="I229" s="224">
        <f t="shared" si="76"/>
        <v>1537</v>
      </c>
      <c r="J229" s="167">
        <f t="shared" si="74"/>
        <v>4.1533805328865588E-2</v>
      </c>
      <c r="K229" s="458"/>
      <c r="L229" s="163"/>
      <c r="M229" s="163"/>
    </row>
    <row r="230" spans="1:13">
      <c r="A230" s="158"/>
      <c r="B230" s="165" t="s">
        <v>219</v>
      </c>
      <c r="C230" s="504">
        <f>'[7]Sch D'!I9</f>
        <v>3191</v>
      </c>
      <c r="D230" s="480"/>
      <c r="E230" s="480"/>
      <c r="F230" s="224">
        <f t="shared" si="75"/>
        <v>3191</v>
      </c>
      <c r="G230" s="627"/>
      <c r="H230" s="223"/>
      <c r="I230" s="224">
        <f t="shared" si="76"/>
        <v>3191</v>
      </c>
      <c r="J230" s="167">
        <f t="shared" si="74"/>
        <v>8.6229260119980541E-2</v>
      </c>
      <c r="K230" s="458"/>
      <c r="L230" s="163"/>
      <c r="M230" s="163"/>
    </row>
    <row r="231" spans="1:13">
      <c r="A231" s="158"/>
      <c r="B231" s="165" t="s">
        <v>218</v>
      </c>
      <c r="C231" s="504">
        <f>'[7]Sch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'[7]Sch D'!K9</f>
        <v>869</v>
      </c>
      <c r="D232" s="480"/>
      <c r="E232" s="480"/>
      <c r="F232" s="224">
        <f t="shared" si="75"/>
        <v>869</v>
      </c>
      <c r="G232" s="627"/>
      <c r="H232" s="223"/>
      <c r="I232" s="224">
        <f t="shared" si="76"/>
        <v>869</v>
      </c>
      <c r="J232" s="167">
        <f t="shared" si="74"/>
        <v>2.3482678484570068E-2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37006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37006</v>
      </c>
      <c r="G233" s="226">
        <f t="shared" si="78"/>
        <v>0</v>
      </c>
      <c r="H233" s="226">
        <f t="shared" si="78"/>
        <v>0</v>
      </c>
      <c r="I233" s="226">
        <f t="shared" si="78"/>
        <v>37006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'[7]Sch D'!N30</f>
        <v>0.84488584474885842</v>
      </c>
      <c r="D241" s="228"/>
      <c r="E241" s="228"/>
      <c r="F241" s="232">
        <f>F233/F240</f>
        <v>0.84488584474885842</v>
      </c>
      <c r="G241"/>
      <c r="H241" s="233"/>
      <c r="I241" s="232">
        <f>I233/I240</f>
        <v>0.84488584474885842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'[7]Sch D'!N32</f>
        <v>0.58595890410958906</v>
      </c>
      <c r="D242" s="228"/>
      <c r="E242" s="228"/>
      <c r="F242" s="232">
        <f>(F224+F225)/F240</f>
        <v>0.58595890410958906</v>
      </c>
      <c r="G242"/>
      <c r="H242" s="233"/>
      <c r="I242" s="232">
        <f>(I224+I225)/I240</f>
        <v>0.58595890410958906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'[7]Sch D'!N34</f>
        <v>0.69353618332162359</v>
      </c>
      <c r="D243" s="228"/>
      <c r="E243" s="228"/>
      <c r="F243" s="232">
        <f>(F242/F241)</f>
        <v>0.69353618332162359</v>
      </c>
      <c r="G243"/>
      <c r="H243" s="233"/>
      <c r="I243" s="232">
        <f>(I242/I241)</f>
        <v>0.69353618332162359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'[7]Sch B'!C90</f>
        <v>250.36904761904762</v>
      </c>
      <c r="K246" s="460"/>
    </row>
    <row r="247" spans="1:13">
      <c r="H247" s="140" t="s">
        <v>322</v>
      </c>
      <c r="I247" s="480">
        <f>'[7]Sch B'!E90</f>
        <v>250.37026239067055</v>
      </c>
      <c r="K247" s="460"/>
    </row>
    <row r="248" spans="1:13">
      <c r="H248" s="140" t="s">
        <v>323</v>
      </c>
      <c r="I248" s="480">
        <f>'[7]Sch B'!G90</f>
        <v>250.36995515695068</v>
      </c>
      <c r="K248" s="460"/>
    </row>
    <row r="249" spans="1:13">
      <c r="H249" s="140" t="s">
        <v>324</v>
      </c>
      <c r="I249" s="480">
        <f>'[7]Sch B'!I90</f>
        <v>250.36885245901638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9" sqref="F9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2">
    <tabColor rgb="FFE28CAB"/>
  </sheetPr>
  <dimension ref="A1:Q277"/>
  <sheetViews>
    <sheetView showGridLines="0" topLeftCell="A3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450</v>
      </c>
      <c r="D2" s="234"/>
      <c r="E2" s="234"/>
      <c r="F2" s="142"/>
      <c r="G2" s="142"/>
      <c r="H2" s="244"/>
    </row>
    <row r="3" spans="1:16">
      <c r="A3" s="143"/>
      <c r="B3" s="138" t="s">
        <v>71</v>
      </c>
      <c r="C3" s="557">
        <f>'[64]Sch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'[64]Sch A Pg 1'!G39</f>
        <v>43281</v>
      </c>
      <c r="D4" s="620"/>
      <c r="E4" s="142"/>
      <c r="F4" s="146"/>
      <c r="G4" s="146"/>
      <c r="H4" s="506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'[64]Sch B'!E10</f>
        <v>6883504.5899999999</v>
      </c>
      <c r="D12" s="480">
        <f>'[64]Sch B'!G10</f>
        <v>-391931.12</v>
      </c>
      <c r="E12" s="480"/>
      <c r="F12" s="166">
        <f>C12+D12+E12</f>
        <v>6491573.4699999997</v>
      </c>
      <c r="G12" s="626"/>
      <c r="H12" s="166"/>
      <c r="I12" s="166">
        <f>F12+G12+H12</f>
        <v>6491573.4699999997</v>
      </c>
      <c r="J12" s="167">
        <f>IF($I$26=0,0,I12/$I$26)</f>
        <v>0.41164017125214231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'[64]Sch B'!E12</f>
        <v>0</v>
      </c>
      <c r="D13" s="480">
        <f>'[64]Sch B'!G12</f>
        <v>2599998.38</v>
      </c>
      <c r="E13" s="480"/>
      <c r="F13" s="166">
        <f t="shared" ref="F13:F25" si="0">C13+D13+E13</f>
        <v>2599998.38</v>
      </c>
      <c r="G13" s="626"/>
      <c r="H13" s="166"/>
      <c r="I13" s="166">
        <f t="shared" ref="I13:I25" si="1">F13+G13+H13</f>
        <v>2599998.38</v>
      </c>
      <c r="J13" s="167">
        <f>IF($I$26=0,0,I13/$I$26)</f>
        <v>0.16486970121259253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'[64]Sch B'!E13</f>
        <v>-520.3800000003539</v>
      </c>
      <c r="D14" s="480">
        <f>'[64]Sch B'!G13</f>
        <v>0</v>
      </c>
      <c r="E14" s="480"/>
      <c r="F14" s="166">
        <f t="shared" si="0"/>
        <v>-520.3800000003539</v>
      </c>
      <c r="G14" s="626"/>
      <c r="H14" s="166"/>
      <c r="I14" s="166">
        <f t="shared" si="1"/>
        <v>-520.3800000003539</v>
      </c>
      <c r="J14" s="167">
        <f>IF($I$26=0,0,I14/$I$26)</f>
        <v>-3.2998057143815319E-5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'[64]Sch B'!E14</f>
        <v>0</v>
      </c>
      <c r="D15" s="480">
        <f>'[64]Sch B'!G14</f>
        <v>57977.84</v>
      </c>
      <c r="E15" s="480"/>
      <c r="F15" s="166">
        <f t="shared" si="0"/>
        <v>57977.84</v>
      </c>
      <c r="G15" s="626">
        <v>8834.7999999999993</v>
      </c>
      <c r="H15" s="166"/>
      <c r="I15" s="166">
        <f t="shared" si="1"/>
        <v>66812.639999999999</v>
      </c>
      <c r="J15" s="167">
        <f>IF($I$26=0,0,I15/$I$26)</f>
        <v>4.236687252868407E-3</v>
      </c>
      <c r="K15" s="458" t="s">
        <v>710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'[64]Sch B'!E15</f>
        <v>6882984.209999999</v>
      </c>
      <c r="D16" s="480">
        <f>'[64]Sch B'!G15</f>
        <v>2266045.0999999996</v>
      </c>
      <c r="E16" s="480"/>
      <c r="F16" s="166">
        <f t="shared" si="0"/>
        <v>9149029.3099999987</v>
      </c>
      <c r="G16" s="626"/>
      <c r="H16" s="166"/>
      <c r="I16" s="166">
        <f>SUM(I12:I15)</f>
        <v>9157864.1099999994</v>
      </c>
      <c r="J16" s="167">
        <f t="shared" ref="J16:J26" si="2">IF($I$26=0,0,I16/$I$26)</f>
        <v>0.5807135616604594</v>
      </c>
      <c r="K16" s="458"/>
      <c r="L16" s="333" t="s">
        <v>325</v>
      </c>
      <c r="M16" s="334">
        <f>I26</f>
        <v>15770019.360000001</v>
      </c>
      <c r="O16" s="324">
        <f>IFERROR(I16/I224,0)</f>
        <v>398.34119660722052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'[64]Sch B'!E20</f>
        <v>0</v>
      </c>
      <c r="D17" s="480">
        <f>'[64]Sch B'!G20</f>
        <v>136327.93</v>
      </c>
      <c r="E17" s="480"/>
      <c r="F17" s="166">
        <f t="shared" si="0"/>
        <v>136327.93</v>
      </c>
      <c r="G17" s="626"/>
      <c r="H17" s="166"/>
      <c r="I17" s="166">
        <f t="shared" si="1"/>
        <v>136327.93</v>
      </c>
      <c r="J17" s="167">
        <f t="shared" si="2"/>
        <v>8.6447534963584212E-3</v>
      </c>
      <c r="K17" s="458"/>
      <c r="L17" s="335" t="s">
        <v>326</v>
      </c>
      <c r="M17" s="336">
        <f>I213</f>
        <v>12882359.389999999</v>
      </c>
      <c r="O17" s="324">
        <f t="shared" ref="O17:O24" si="3">IFERROR(I17/I225,0)</f>
        <v>438.35347266881024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'[64]Sch B'!E26</f>
        <v>3953651.05</v>
      </c>
      <c r="D18" s="480">
        <f>'[64]Sch B'!G26</f>
        <v>85647.03</v>
      </c>
      <c r="E18" s="480"/>
      <c r="F18" s="166">
        <f t="shared" si="0"/>
        <v>4039298.0799999996</v>
      </c>
      <c r="G18" s="626"/>
      <c r="H18" s="166"/>
      <c r="I18" s="166">
        <f t="shared" si="1"/>
        <v>4039298.0799999996</v>
      </c>
      <c r="J18" s="167">
        <f t="shared" si="2"/>
        <v>0.25613780096209082</v>
      </c>
      <c r="K18" s="458"/>
      <c r="L18" s="335" t="s">
        <v>327</v>
      </c>
      <c r="M18" s="336">
        <f>I233</f>
        <v>37791</v>
      </c>
      <c r="O18" s="324">
        <f t="shared" si="3"/>
        <v>564.54200978336826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'[64]Sch B'!E32</f>
        <v>646268.92999999993</v>
      </c>
      <c r="D19" s="480">
        <f>'[64]Sch B'!G32</f>
        <v>0</v>
      </c>
      <c r="E19" s="480"/>
      <c r="F19" s="166">
        <f t="shared" si="0"/>
        <v>646268.92999999993</v>
      </c>
      <c r="G19" s="626"/>
      <c r="H19" s="166"/>
      <c r="I19" s="166">
        <f t="shared" si="1"/>
        <v>646268.92999999993</v>
      </c>
      <c r="J19" s="170">
        <f t="shared" si="2"/>
        <v>4.0980858377335554E-2</v>
      </c>
      <c r="K19" s="464"/>
      <c r="L19" s="335" t="s">
        <v>328</v>
      </c>
      <c r="M19" s="336">
        <f>I236</f>
        <v>124</v>
      </c>
      <c r="O19" s="324">
        <f t="shared" si="3"/>
        <v>518.67490369181371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'[64]Sch B'!E37</f>
        <v>0</v>
      </c>
      <c r="D20" s="480">
        <f>'[64]Sch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45260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'[64]Sch B'!E42</f>
        <v>1067821.3199999998</v>
      </c>
      <c r="D21" s="480">
        <f>'[64]Sch B'!G42</f>
        <v>169956.16</v>
      </c>
      <c r="E21" s="480"/>
      <c r="F21" s="166">
        <f t="shared" si="0"/>
        <v>1237777.4799999997</v>
      </c>
      <c r="G21" s="626"/>
      <c r="H21" s="166"/>
      <c r="I21" s="166">
        <f t="shared" si="1"/>
        <v>1237777.4799999997</v>
      </c>
      <c r="J21" s="167">
        <f t="shared" si="2"/>
        <v>7.8489280941504161E-2</v>
      </c>
      <c r="K21" s="458"/>
      <c r="L21" s="337"/>
      <c r="M21" s="336"/>
      <c r="O21" s="324">
        <f t="shared" si="3"/>
        <v>364.15930567814058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'[64]Sch B'!E47</f>
        <v>0</v>
      </c>
      <c r="D22" s="480">
        <f>'[64]Sch B'!G47</f>
        <v>445844.72</v>
      </c>
      <c r="E22" s="480"/>
      <c r="F22" s="166">
        <f t="shared" si="0"/>
        <v>445844.72</v>
      </c>
      <c r="G22" s="626"/>
      <c r="H22" s="166"/>
      <c r="I22" s="166">
        <f t="shared" si="1"/>
        <v>445844.72</v>
      </c>
      <c r="J22" s="167">
        <f t="shared" si="2"/>
        <v>2.8271665989888801E-2</v>
      </c>
      <c r="K22" s="458"/>
      <c r="L22" s="335" t="s">
        <v>148</v>
      </c>
      <c r="M22" s="336">
        <f>L213</f>
        <v>243186.74</v>
      </c>
      <c r="O22" s="324">
        <f t="shared" si="3"/>
        <v>208.04699953336444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'[64]Sch B'!E52</f>
        <v>550214.77</v>
      </c>
      <c r="D23" s="480">
        <f>'[64]Sch B'!G52</f>
        <v>-445844.72</v>
      </c>
      <c r="E23" s="480"/>
      <c r="F23" s="166">
        <f t="shared" si="0"/>
        <v>104370.05000000005</v>
      </c>
      <c r="G23" s="626"/>
      <c r="H23" s="166"/>
      <c r="I23" s="166">
        <f t="shared" si="1"/>
        <v>104370.05000000005</v>
      </c>
      <c r="J23" s="167">
        <f t="shared" si="2"/>
        <v>6.618257569469467E-3</v>
      </c>
      <c r="K23" s="458"/>
      <c r="L23" s="338" t="s">
        <v>233</v>
      </c>
      <c r="M23" s="339">
        <f>M213</f>
        <v>259957.24000000002</v>
      </c>
      <c r="O23" s="324">
        <f t="shared" si="3"/>
        <v>206.67336633663376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'[64]Sch B'!E57</f>
        <v>0</v>
      </c>
      <c r="D24" s="480">
        <f>'[64]Sch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'[64]Sch B'!E72</f>
        <v>-20690.3</v>
      </c>
      <c r="D25" s="480">
        <f>'[64]Sch B'!G72</f>
        <v>41807.160000000003</v>
      </c>
      <c r="E25" s="480"/>
      <c r="F25" s="166">
        <f t="shared" si="0"/>
        <v>21116.860000000004</v>
      </c>
      <c r="G25" s="626">
        <f>-1388-8626-8834.8</f>
        <v>-18848.8</v>
      </c>
      <c r="H25" s="166"/>
      <c r="I25" s="166">
        <f t="shared" si="1"/>
        <v>2268.0600000000049</v>
      </c>
      <c r="J25" s="167">
        <f t="shared" si="2"/>
        <v>1.4382100289317621E-4</v>
      </c>
      <c r="K25" s="458" t="s">
        <v>710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13080249.979999997</v>
      </c>
      <c r="D26" s="480">
        <f t="shared" ref="D26:F26" si="4">SUM(D16:D25)</f>
        <v>2699783.38</v>
      </c>
      <c r="E26" s="480">
        <f t="shared" si="4"/>
        <v>0</v>
      </c>
      <c r="F26" s="166">
        <f t="shared" si="4"/>
        <v>15780033.359999999</v>
      </c>
      <c r="G26" s="166">
        <f>SUM(G12:G25)</f>
        <v>-10014</v>
      </c>
      <c r="H26" s="166">
        <f>SUM(H12:H25)</f>
        <v>0</v>
      </c>
      <c r="I26" s="166">
        <f>SUM(I16:I25)</f>
        <v>15770019.360000001</v>
      </c>
      <c r="J26" s="167">
        <f t="shared" si="2"/>
        <v>1</v>
      </c>
      <c r="K26" s="458"/>
      <c r="L26" s="163"/>
      <c r="M26" s="163"/>
      <c r="O26" s="324">
        <f>IFERROR(I26/I233,0)</f>
        <v>417.29563546876244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'[64]Sch C'!D10</f>
        <v>0</v>
      </c>
      <c r="D30" s="480">
        <f>'[64]Sch C'!F10</f>
        <v>121731</v>
      </c>
      <c r="E30" s="480">
        <f>+'[64]Sch C'!H10</f>
        <v>0</v>
      </c>
      <c r="F30" s="166">
        <f t="shared" ref="F30:F65" si="5">C30+D30+E30</f>
        <v>121731</v>
      </c>
      <c r="G30" s="626"/>
      <c r="H30" s="166"/>
      <c r="I30" s="166">
        <f t="shared" ref="I30:I65" si="6">F30+G30+H30</f>
        <v>121731</v>
      </c>
      <c r="J30" s="167">
        <f>IF($I$213=0,0,I30/$I$213)</f>
        <v>9.4494336258383188E-3</v>
      </c>
      <c r="K30" s="458"/>
      <c r="L30" s="176">
        <v>2575.27</v>
      </c>
      <c r="M30" s="176">
        <v>2882.58</v>
      </c>
      <c r="O30" s="324">
        <f>I30/I$233</f>
        <v>3.2211637691513855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'[64]Sch C'!D11</f>
        <v>0</v>
      </c>
      <c r="D31" s="480">
        <f>'[64]Sch C'!F11</f>
        <v>0</v>
      </c>
      <c r="E31" s="480">
        <f>+'[64]Sch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'[64]Sch C'!D12</f>
        <v>209989.53</v>
      </c>
      <c r="D32" s="480">
        <f>'[64]Sch C'!F12</f>
        <v>-82476.820000000007</v>
      </c>
      <c r="E32" s="480">
        <f>+'[64]Sch C'!H12</f>
        <v>0</v>
      </c>
      <c r="F32" s="166">
        <f t="shared" si="5"/>
        <v>127512.70999999999</v>
      </c>
      <c r="G32" s="626"/>
      <c r="H32" s="166"/>
      <c r="I32" s="166">
        <f t="shared" si="6"/>
        <v>127512.70999999999</v>
      </c>
      <c r="J32" s="167">
        <f t="shared" si="7"/>
        <v>9.8982419399805312E-3</v>
      </c>
      <c r="K32" s="458"/>
      <c r="L32" s="176">
        <v>9594.9599999999991</v>
      </c>
      <c r="M32" s="176">
        <v>10183.16</v>
      </c>
      <c r="O32" s="324">
        <f t="shared" si="8"/>
        <v>3.3741554867561057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'[64]Sch C'!D13</f>
        <v>48124.28</v>
      </c>
      <c r="D33" s="480">
        <f>'[64]Sch C'!F13</f>
        <v>3847.2700000000004</v>
      </c>
      <c r="E33" s="480">
        <f>+'[64]Sch C'!H13</f>
        <v>0</v>
      </c>
      <c r="F33" s="166">
        <f t="shared" si="5"/>
        <v>51971.55</v>
      </c>
      <c r="G33" s="626"/>
      <c r="H33" s="166"/>
      <c r="I33" s="166">
        <f t="shared" si="6"/>
        <v>51971.55</v>
      </c>
      <c r="J33" s="167">
        <f t="shared" si="7"/>
        <v>4.0343192133223049E-3</v>
      </c>
      <c r="K33" s="458"/>
      <c r="L33" s="163"/>
      <c r="M33" s="163"/>
      <c r="O33" s="324">
        <f t="shared" si="8"/>
        <v>1.3752361673414306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'[64]Sch C'!D14</f>
        <v>0</v>
      </c>
      <c r="D34" s="480">
        <f>'[64]Sch C'!F14</f>
        <v>0</v>
      </c>
      <c r="E34" s="480">
        <f>+'[64]Sch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'[64]Sch C'!D15</f>
        <v>0</v>
      </c>
      <c r="D35" s="480">
        <f>'[64]Sch C'!F15</f>
        <v>0</v>
      </c>
      <c r="E35" s="480">
        <f>+'[64]Sch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'[64]Sch C'!D16</f>
        <v>656023</v>
      </c>
      <c r="D36" s="480">
        <f>'[64]Sch C'!F16-99785</f>
        <v>0</v>
      </c>
      <c r="E36" s="480">
        <f>+'[64]Sch C'!H16</f>
        <v>51310</v>
      </c>
      <c r="F36" s="166">
        <f t="shared" si="5"/>
        <v>707333</v>
      </c>
      <c r="G36" s="626"/>
      <c r="H36" s="480">
        <v>99785</v>
      </c>
      <c r="I36" s="166">
        <f t="shared" si="6"/>
        <v>807118</v>
      </c>
      <c r="J36" s="167">
        <f t="shared" si="7"/>
        <v>6.2652964070116668E-2</v>
      </c>
      <c r="K36" s="458"/>
      <c r="L36" s="163"/>
      <c r="M36" s="163"/>
      <c r="O36" s="324">
        <f t="shared" si="8"/>
        <v>21.357413140694874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'[64]Sch C'!D17</f>
        <v>13082.05</v>
      </c>
      <c r="D37" s="480">
        <f>'[64]Sch C'!F17</f>
        <v>-13082</v>
      </c>
      <c r="E37" s="480">
        <f>+'[64]Sch C'!H17</f>
        <v>0</v>
      </c>
      <c r="F37" s="166">
        <f t="shared" si="5"/>
        <v>4.9999999999272404E-2</v>
      </c>
      <c r="G37" s="626"/>
      <c r="H37" s="166"/>
      <c r="I37" s="166">
        <f t="shared" si="6"/>
        <v>4.9999999999272404E-2</v>
      </c>
      <c r="J37" s="167">
        <f t="shared" si="7"/>
        <v>3.881276595814054E-9</v>
      </c>
      <c r="K37" s="458"/>
      <c r="L37" s="163"/>
      <c r="M37" s="163"/>
      <c r="O37" s="324">
        <f t="shared" si="8"/>
        <v>1.3230663385269616E-6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'[64]Sch C'!D18</f>
        <v>2993.37</v>
      </c>
      <c r="D38" s="480">
        <f>'[64]Sch C'!F18</f>
        <v>0</v>
      </c>
      <c r="E38" s="480">
        <f>+'[64]Sch C'!H18</f>
        <v>0</v>
      </c>
      <c r="F38" s="166">
        <f t="shared" si="5"/>
        <v>2993.37</v>
      </c>
      <c r="G38" s="626"/>
      <c r="H38" s="166"/>
      <c r="I38" s="166">
        <f t="shared" si="6"/>
        <v>2993.37</v>
      </c>
      <c r="J38" s="167">
        <f t="shared" si="7"/>
        <v>2.3236193847561958E-4</v>
      </c>
      <c r="K38" s="458"/>
      <c r="L38" s="163"/>
      <c r="M38" s="163"/>
      <c r="O38" s="324">
        <f t="shared" si="8"/>
        <v>7.9208541716281652E-2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'[64]Sch C'!D19</f>
        <v>27564</v>
      </c>
      <c r="D39" s="480">
        <f>'[64]Sch C'!F19</f>
        <v>0</v>
      </c>
      <c r="E39" s="480">
        <f>+'[64]Sch C'!H19</f>
        <v>0</v>
      </c>
      <c r="F39" s="166">
        <f t="shared" si="5"/>
        <v>27564</v>
      </c>
      <c r="G39" s="626"/>
      <c r="H39" s="166"/>
      <c r="I39" s="166">
        <f t="shared" si="6"/>
        <v>27564</v>
      </c>
      <c r="J39" s="167">
        <f t="shared" si="7"/>
        <v>2.1396701617715078E-3</v>
      </c>
      <c r="K39" s="458"/>
      <c r="L39" s="163"/>
      <c r="M39" s="163"/>
      <c r="O39" s="324">
        <f t="shared" si="8"/>
        <v>0.72938001111375728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'[64]Sch C'!D20</f>
        <v>19687.89</v>
      </c>
      <c r="D40" s="480">
        <f>'[64]Sch C'!F20</f>
        <v>0</v>
      </c>
      <c r="E40" s="480">
        <f>+'[64]Sch C'!H20</f>
        <v>0</v>
      </c>
      <c r="F40" s="166">
        <f t="shared" si="5"/>
        <v>19687.89</v>
      </c>
      <c r="G40" s="626"/>
      <c r="H40" s="166"/>
      <c r="I40" s="166">
        <f t="shared" si="6"/>
        <v>19687.89</v>
      </c>
      <c r="J40" s="167">
        <f t="shared" si="7"/>
        <v>1.5282829335814703E-3</v>
      </c>
      <c r="K40" s="458"/>
      <c r="L40" s="163"/>
      <c r="M40" s="163"/>
      <c r="O40" s="324">
        <f t="shared" si="8"/>
        <v>0.5209676907200127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'[64]Sch C'!D21</f>
        <v>126013.04</v>
      </c>
      <c r="D41" s="480">
        <f>'[64]Sch C'!F21</f>
        <v>0</v>
      </c>
      <c r="E41" s="480">
        <f>+'[64]Sch C'!H21</f>
        <v>0</v>
      </c>
      <c r="F41" s="166">
        <f t="shared" si="5"/>
        <v>126013.04</v>
      </c>
      <c r="G41" s="626"/>
      <c r="H41" s="166"/>
      <c r="I41" s="166">
        <f t="shared" si="6"/>
        <v>126013.04</v>
      </c>
      <c r="J41" s="167">
        <f t="shared" si="7"/>
        <v>9.781829258529948E-3</v>
      </c>
      <c r="K41" s="458"/>
      <c r="L41" s="163"/>
      <c r="M41" s="163"/>
      <c r="O41" s="324">
        <f t="shared" si="8"/>
        <v>3.3344722288375537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'[64]Sch C'!D22</f>
        <v>0</v>
      </c>
      <c r="D42" s="480">
        <f>'[64]Sch C'!F22</f>
        <v>0</v>
      </c>
      <c r="E42" s="480">
        <f>+'[64]Sch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'[64]Sch C'!D23</f>
        <v>22869.39</v>
      </c>
      <c r="D43" s="480">
        <f>'[64]Sch C'!F23</f>
        <v>0</v>
      </c>
      <c r="E43" s="480">
        <f>+'[64]Sch C'!H23</f>
        <v>0</v>
      </c>
      <c r="F43" s="166">
        <f t="shared" si="5"/>
        <v>22869.39</v>
      </c>
      <c r="G43" s="626"/>
      <c r="H43" s="166"/>
      <c r="I43" s="166">
        <f t="shared" si="6"/>
        <v>22869.39</v>
      </c>
      <c r="J43" s="167">
        <f t="shared" si="7"/>
        <v>1.7752485633767124E-3</v>
      </c>
      <c r="K43" s="458"/>
      <c r="L43" s="163"/>
      <c r="M43" s="163"/>
      <c r="O43" s="324">
        <f t="shared" si="8"/>
        <v>0.60515440184170832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'[64]Sch C'!D24</f>
        <v>105348.95</v>
      </c>
      <c r="D44" s="480">
        <f>'[64]Sch C'!F24</f>
        <v>0</v>
      </c>
      <c r="E44" s="480">
        <f>+'[64]Sch C'!H24</f>
        <v>-6369.65</v>
      </c>
      <c r="F44" s="166">
        <f t="shared" si="5"/>
        <v>98979.3</v>
      </c>
      <c r="G44" s="626"/>
      <c r="H44" s="166"/>
      <c r="I44" s="166">
        <f t="shared" si="6"/>
        <v>98979.3</v>
      </c>
      <c r="J44" s="167">
        <f t="shared" si="7"/>
        <v>7.6833208113129669E-3</v>
      </c>
      <c r="K44" s="458"/>
      <c r="L44" s="163"/>
      <c r="M44" s="163"/>
      <c r="O44" s="324">
        <f t="shared" si="8"/>
        <v>2.6191236008573471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'[64]Sch C'!D25</f>
        <v>0</v>
      </c>
      <c r="D45" s="480">
        <f>'[64]Sch C'!F25</f>
        <v>0</v>
      </c>
      <c r="E45" s="480">
        <f>+'[64]Sch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'[64]Sch C'!D26</f>
        <v>615056.68000000005</v>
      </c>
      <c r="D46" s="480">
        <f>'[64]Sch C'!F26</f>
        <v>0</v>
      </c>
      <c r="E46" s="480">
        <f>+'[64]Sch C'!H26</f>
        <v>0</v>
      </c>
      <c r="F46" s="166">
        <f t="shared" si="5"/>
        <v>615056.68000000005</v>
      </c>
      <c r="G46" s="626"/>
      <c r="H46" s="166"/>
      <c r="I46" s="166">
        <f t="shared" si="6"/>
        <v>615056.68000000005</v>
      </c>
      <c r="J46" s="167">
        <f t="shared" si="7"/>
        <v>4.7744101944356646E-2</v>
      </c>
      <c r="K46" s="458"/>
      <c r="L46" s="163"/>
      <c r="M46" s="163"/>
      <c r="O46" s="324">
        <f t="shared" si="8"/>
        <v>16.27521579211982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'[64]Sch C'!D27</f>
        <v>1387.51</v>
      </c>
      <c r="D47" s="480">
        <f>'[64]Sch C'!F27</f>
        <v>0</v>
      </c>
      <c r="E47" s="480">
        <f>+'[64]Sch C'!H27</f>
        <v>0</v>
      </c>
      <c r="F47" s="166">
        <f t="shared" si="5"/>
        <v>1387.51</v>
      </c>
      <c r="G47" s="626">
        <v>-1388</v>
      </c>
      <c r="H47" s="166"/>
      <c r="I47" s="166">
        <f t="shared" si="6"/>
        <v>-0.49000000000000909</v>
      </c>
      <c r="J47" s="167">
        <f t="shared" si="7"/>
        <v>-3.8036510639531939E-8</v>
      </c>
      <c r="K47" s="458"/>
      <c r="L47" s="163"/>
      <c r="M47" s="163"/>
      <c r="O47" s="324">
        <f t="shared" si="8"/>
        <v>-1.2966050117753144E-5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'[64]Sch C'!D28</f>
        <v>0</v>
      </c>
      <c r="D48" s="480">
        <f>'[64]Sch C'!F28</f>
        <v>0</v>
      </c>
      <c r="E48" s="480">
        <f>+'[64]Sch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'[64]Sch C'!D29</f>
        <v>607736.05000000005</v>
      </c>
      <c r="D49" s="480">
        <f>'[64]Sch C'!F29</f>
        <v>-607736.05000000005</v>
      </c>
      <c r="E49" s="480">
        <f>+'[64]Sch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'[64]Sch C'!D30</f>
        <v>0</v>
      </c>
      <c r="D50" s="480">
        <f>'[64]Sch C'!F30</f>
        <v>0</v>
      </c>
      <c r="E50" s="480">
        <f>+'[64]Sch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'[64]Sch C'!D31</f>
        <v>1273.58</v>
      </c>
      <c r="D51" s="480">
        <f>'[64]Sch C'!F31</f>
        <v>0</v>
      </c>
      <c r="E51" s="480">
        <f>+'[64]Sch C'!H31</f>
        <v>0</v>
      </c>
      <c r="F51" s="166">
        <f t="shared" si="5"/>
        <v>1273.58</v>
      </c>
      <c r="G51" s="626">
        <v>88346</v>
      </c>
      <c r="H51" s="166"/>
      <c r="I51" s="166">
        <f t="shared" si="6"/>
        <v>89619.58</v>
      </c>
      <c r="J51" s="167">
        <f t="shared" si="7"/>
        <v>6.9567675677149393E-3</v>
      </c>
      <c r="K51" s="458"/>
      <c r="L51" s="163"/>
      <c r="M51" s="163"/>
      <c r="O51" s="324">
        <f t="shared" si="8"/>
        <v>2.3714529914529914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'[64]Sch C'!D32</f>
        <v>0</v>
      </c>
      <c r="D52" s="480">
        <f>'[64]Sch C'!F32</f>
        <v>21794</v>
      </c>
      <c r="E52" s="480">
        <f>+'[64]Sch C'!H32</f>
        <v>0</v>
      </c>
      <c r="F52" s="166">
        <f t="shared" si="5"/>
        <v>21794</v>
      </c>
      <c r="G52" s="626"/>
      <c r="H52" s="166"/>
      <c r="I52" s="166">
        <f t="shared" si="6"/>
        <v>21794</v>
      </c>
      <c r="J52" s="167">
        <f t="shared" si="7"/>
        <v>1.6917708426080482E-3</v>
      </c>
      <c r="K52" s="458"/>
      <c r="L52" s="163"/>
      <c r="M52" s="163"/>
      <c r="O52" s="324">
        <f t="shared" si="8"/>
        <v>0.57669815564552407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'[64]Sch C'!D33</f>
        <v>0</v>
      </c>
      <c r="D53" s="480">
        <f>'[64]Sch C'!F33</f>
        <v>0</v>
      </c>
      <c r="E53" s="480">
        <f>+'[64]Sch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'[64]Sch C'!D34</f>
        <v>0</v>
      </c>
      <c r="D54" s="480">
        <f>'[64]Sch C'!F34</f>
        <v>0</v>
      </c>
      <c r="E54" s="480">
        <f>+'[64]Sch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'[64]Sch C'!D35</f>
        <v>79726.8</v>
      </c>
      <c r="D55" s="480">
        <f>'[64]Sch C'!F35</f>
        <v>-79726.8</v>
      </c>
      <c r="E55" s="480">
        <f>+'[64]Sch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'[64]Sch C'!D36</f>
        <v>0</v>
      </c>
      <c r="D56" s="480">
        <f>'[64]Sch C'!F36</f>
        <v>82476.820000000007</v>
      </c>
      <c r="E56" s="480">
        <f>+'[64]Sch C'!H36</f>
        <v>0</v>
      </c>
      <c r="F56" s="166">
        <f t="shared" si="5"/>
        <v>82476.820000000007</v>
      </c>
      <c r="G56" s="626"/>
      <c r="H56" s="166"/>
      <c r="I56" s="166">
        <f t="shared" si="6"/>
        <v>82476.820000000007</v>
      </c>
      <c r="J56" s="167">
        <f t="shared" si="7"/>
        <v>6.4023070233565358E-3</v>
      </c>
      <c r="K56" s="458"/>
      <c r="L56" s="176">
        <v>5356.92</v>
      </c>
      <c r="M56" s="176">
        <v>5639.75</v>
      </c>
      <c r="O56" s="324">
        <f t="shared" si="8"/>
        <v>2.1824460850467045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'[64]Sch C'!D37</f>
        <v>0</v>
      </c>
      <c r="D57" s="480">
        <f>'[64]Sch C'!F37</f>
        <v>8082.73</v>
      </c>
      <c r="E57" s="480">
        <f>+'[64]Sch C'!H37</f>
        <v>0</v>
      </c>
      <c r="F57" s="166">
        <f t="shared" si="5"/>
        <v>8082.73</v>
      </c>
      <c r="G57" s="626"/>
      <c r="H57" s="166"/>
      <c r="I57" s="166">
        <f t="shared" si="6"/>
        <v>8082.73</v>
      </c>
      <c r="J57" s="167">
        <f t="shared" si="7"/>
        <v>6.2742621559481277E-4</v>
      </c>
      <c r="K57" s="458"/>
      <c r="L57" s="163"/>
      <c r="M57" s="163"/>
      <c r="O57" s="324">
        <f t="shared" si="8"/>
        <v>0.21387975973115292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'[64]Sch C'!D38</f>
        <v>491.2</v>
      </c>
      <c r="D58" s="480">
        <f>'[64]Sch C'!F38</f>
        <v>0</v>
      </c>
      <c r="E58" s="480">
        <f>+'[64]Sch C'!H38</f>
        <v>0</v>
      </c>
      <c r="F58" s="166">
        <f t="shared" si="5"/>
        <v>491.2</v>
      </c>
      <c r="G58" s="626"/>
      <c r="H58" s="166"/>
      <c r="I58" s="166">
        <f t="shared" si="6"/>
        <v>491.2</v>
      </c>
      <c r="J58" s="167">
        <f t="shared" si="7"/>
        <v>3.8129661277832121E-5</v>
      </c>
      <c r="K58" s="458"/>
      <c r="L58" s="163"/>
      <c r="M58" s="163"/>
      <c r="O58" s="324">
        <f t="shared" si="8"/>
        <v>1.2997803709878013E-2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'[64]Sch C'!D39</f>
        <v>3853.1</v>
      </c>
      <c r="D59" s="480">
        <f>'[64]Sch C'!F39</f>
        <v>0</v>
      </c>
      <c r="E59" s="480">
        <f>+'[64]Sch C'!H39</f>
        <v>0</v>
      </c>
      <c r="F59" s="166">
        <f t="shared" si="5"/>
        <v>3853.1</v>
      </c>
      <c r="G59" s="626"/>
      <c r="H59" s="166"/>
      <c r="I59" s="166">
        <f t="shared" si="6"/>
        <v>3853.1</v>
      </c>
      <c r="J59" s="167">
        <f t="shared" si="7"/>
        <v>2.9909893703097508E-4</v>
      </c>
      <c r="K59" s="458"/>
      <c r="L59" s="163"/>
      <c r="M59" s="163"/>
      <c r="O59" s="324">
        <f t="shared" si="8"/>
        <v>0.1019581381810484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'[64]Sch C'!D40</f>
        <v>26658.57</v>
      </c>
      <c r="D60" s="480">
        <f>'[64]Sch C'!F40</f>
        <v>0</v>
      </c>
      <c r="E60" s="480">
        <f>+'[64]Sch C'!H40</f>
        <v>0</v>
      </c>
      <c r="F60" s="166">
        <f t="shared" si="5"/>
        <v>26658.57</v>
      </c>
      <c r="G60" s="626"/>
      <c r="H60" s="166"/>
      <c r="I60" s="166">
        <f t="shared" si="6"/>
        <v>26658.57</v>
      </c>
      <c r="J60" s="167">
        <f t="shared" si="7"/>
        <v>2.0693856764075268E-3</v>
      </c>
      <c r="K60" s="458"/>
      <c r="L60" s="163"/>
      <c r="M60" s="163"/>
      <c r="O60" s="324">
        <f t="shared" si="8"/>
        <v>0.70542113201555923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'[64]Sch C'!D41</f>
        <v>120664.01</v>
      </c>
      <c r="D61" s="480">
        <f>'[64]Sch C'!F41</f>
        <v>0</v>
      </c>
      <c r="E61" s="480">
        <f>+'[64]Sch C'!H41</f>
        <v>-10628.41</v>
      </c>
      <c r="F61" s="166">
        <f t="shared" si="5"/>
        <v>110035.59999999999</v>
      </c>
      <c r="G61" s="626"/>
      <c r="H61" s="166"/>
      <c r="I61" s="166">
        <f t="shared" si="6"/>
        <v>110035.59999999999</v>
      </c>
      <c r="J61" s="167">
        <f t="shared" si="7"/>
        <v>8.5415719798514339E-3</v>
      </c>
      <c r="K61" s="458"/>
      <c r="L61" s="163"/>
      <c r="M61" s="163"/>
      <c r="O61" s="324">
        <f t="shared" si="8"/>
        <v>2.911687968034717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'[64]Sch C'!D42</f>
        <v>5940.82</v>
      </c>
      <c r="D62" s="480">
        <f>'[64]Sch C'!F42</f>
        <v>0</v>
      </c>
      <c r="E62" s="480">
        <f>+'[64]Sch C'!H42</f>
        <v>0</v>
      </c>
      <c r="F62" s="166">
        <f t="shared" si="5"/>
        <v>5940.82</v>
      </c>
      <c r="G62" s="626"/>
      <c r="H62" s="166"/>
      <c r="I62" s="166">
        <f t="shared" si="6"/>
        <v>5940.82</v>
      </c>
      <c r="J62" s="167">
        <f t="shared" si="7"/>
        <v>4.6115931252559166E-4</v>
      </c>
      <c r="K62" s="458"/>
      <c r="L62" s="163"/>
      <c r="M62" s="163"/>
      <c r="O62" s="324">
        <f t="shared" si="8"/>
        <v>0.15720197930724245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'[64]Sch C'!D43</f>
        <v>0</v>
      </c>
      <c r="D63" s="480">
        <f>'[64]Sch C'!F43</f>
        <v>0</v>
      </c>
      <c r="E63" s="480">
        <f>+'[64]Sch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'[64]Sch C'!D44</f>
        <v>0</v>
      </c>
      <c r="D64" s="480">
        <f>'[64]Sch C'!F44</f>
        <v>0</v>
      </c>
      <c r="E64" s="480">
        <f>+'[64]Sch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'[64]Sch C'!D45</f>
        <v>156879.43</v>
      </c>
      <c r="D65" s="480">
        <f>'[64]Sch C'!F45</f>
        <v>-133661</v>
      </c>
      <c r="E65" s="480">
        <f>+'[64]Sch C'!H45</f>
        <v>0</v>
      </c>
      <c r="F65" s="166">
        <f t="shared" si="5"/>
        <v>23218.429999999993</v>
      </c>
      <c r="G65" s="626">
        <f>34746</f>
        <v>34746</v>
      </c>
      <c r="H65" s="166"/>
      <c r="I65" s="166">
        <f t="shared" si="6"/>
        <v>57964.429999999993</v>
      </c>
      <c r="J65" s="167">
        <f t="shared" si="7"/>
        <v>4.4995197110395159E-3</v>
      </c>
      <c r="K65" s="458"/>
      <c r="L65" s="163"/>
      <c r="M65" s="163"/>
      <c r="O65" s="324">
        <f t="shared" si="8"/>
        <v>1.5338157233203671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2851363.25</v>
      </c>
      <c r="D66" s="480">
        <f t="shared" si="9"/>
        <v>-678750.85000000009</v>
      </c>
      <c r="E66" s="480">
        <f t="shared" si="9"/>
        <v>34311.94</v>
      </c>
      <c r="F66" s="166">
        <f t="shared" ref="F66:I66" si="10">SUM(F30:F65)</f>
        <v>2206924.3400000003</v>
      </c>
      <c r="G66" s="166">
        <f t="shared" si="10"/>
        <v>121704</v>
      </c>
      <c r="H66" s="166">
        <f t="shared" si="10"/>
        <v>99785</v>
      </c>
      <c r="I66" s="166">
        <f t="shared" si="10"/>
        <v>2428413.34</v>
      </c>
      <c r="J66" s="178">
        <f t="shared" si="7"/>
        <v>0.18850687723283585</v>
      </c>
      <c r="K66" s="465"/>
      <c r="L66" s="163"/>
      <c r="M66" s="163"/>
      <c r="O66" s="329">
        <f>I66/I$233</f>
        <v>64.259038924611673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'[64]Sch C'!D57</f>
        <v>900250</v>
      </c>
      <c r="D69" s="480">
        <f>'[64]Sch C'!F57</f>
        <v>0</v>
      </c>
      <c r="E69" s="480">
        <f>+'[64]Sch C'!H57</f>
        <v>-900250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'[64]Sch C'!D58</f>
        <v>32244.27</v>
      </c>
      <c r="D70" s="480">
        <f>'[64]Sch C'!F58</f>
        <v>0</v>
      </c>
      <c r="E70" s="480">
        <f>+'[64]Sch C'!H58</f>
        <v>-32244</v>
      </c>
      <c r="F70" s="166">
        <f t="shared" ref="F70:F83" si="13">C70+D70+E70</f>
        <v>0.27000000000043656</v>
      </c>
      <c r="G70" s="626"/>
      <c r="H70" s="166">
        <v>554890</v>
      </c>
      <c r="I70" s="166">
        <f t="shared" ref="I70:I83" si="14">F70+G70+H70</f>
        <v>554890.27</v>
      </c>
      <c r="J70" s="167">
        <f t="shared" si="11"/>
        <v>4.3073652364545627E-2</v>
      </c>
      <c r="K70" s="458"/>
      <c r="L70" s="182"/>
      <c r="M70" s="163"/>
      <c r="O70" s="324">
        <f t="shared" si="12"/>
        <v>14.683132756476411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'[64]Sch C'!D59</f>
        <v>0</v>
      </c>
      <c r="D71" s="480">
        <f>'[64]Sch C'!F59</f>
        <v>0</v>
      </c>
      <c r="E71" s="480">
        <f>+'[64]Sch C'!H59</f>
        <v>0</v>
      </c>
      <c r="F71" s="166">
        <f t="shared" si="13"/>
        <v>0</v>
      </c>
      <c r="G71" s="626"/>
      <c r="H71" s="166">
        <v>446730</v>
      </c>
      <c r="I71" s="166">
        <f t="shared" si="14"/>
        <v>446730</v>
      </c>
      <c r="J71" s="167">
        <f t="shared" si="11"/>
        <v>3.4677653873464873E-2</v>
      </c>
      <c r="K71" s="458"/>
      <c r="L71" s="182"/>
      <c r="M71" s="163"/>
      <c r="O71" s="324">
        <f t="shared" si="12"/>
        <v>11.82106850837501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'[64]Sch C'!D60</f>
        <v>0</v>
      </c>
      <c r="D72" s="480">
        <f>'[64]Sch C'!F60</f>
        <v>0</v>
      </c>
      <c r="E72" s="480">
        <f>+'[64]Sch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'[64]Sch C'!D61</f>
        <v>21794.080000000002</v>
      </c>
      <c r="D73" s="480">
        <f>'[64]Sch C'!F61</f>
        <v>-21794</v>
      </c>
      <c r="E73" s="480">
        <f>+'[64]Sch C'!H61</f>
        <v>0</v>
      </c>
      <c r="F73" s="166">
        <f t="shared" si="13"/>
        <v>8.000000000174623E-2</v>
      </c>
      <c r="G73" s="626"/>
      <c r="H73" s="166">
        <v>26011</v>
      </c>
      <c r="I73" s="166">
        <f t="shared" si="14"/>
        <v>26011.08</v>
      </c>
      <c r="J73" s="167">
        <f t="shared" si="11"/>
        <v>2.0191239207463228E-3</v>
      </c>
      <c r="K73" s="458"/>
      <c r="L73" s="185"/>
      <c r="M73" s="163"/>
      <c r="O73" s="324">
        <f t="shared" si="12"/>
        <v>0.68828768754465353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'[64]Sch C'!D62</f>
        <v>20370</v>
      </c>
      <c r="D74" s="480">
        <f>'[64]Sch C'!F62</f>
        <v>0</v>
      </c>
      <c r="E74" s="480">
        <f>+'[64]Sch C'!H62</f>
        <v>0</v>
      </c>
      <c r="F74" s="166">
        <f t="shared" si="13"/>
        <v>20370</v>
      </c>
      <c r="G74" s="626"/>
      <c r="H74" s="166"/>
      <c r="I74" s="166">
        <f t="shared" si="14"/>
        <v>20370</v>
      </c>
      <c r="J74" s="167">
        <f t="shared" si="11"/>
        <v>1.5812320851576554E-3</v>
      </c>
      <c r="K74" s="458"/>
      <c r="L74" s="187"/>
      <c r="M74" s="163"/>
      <c r="O74" s="324">
        <f t="shared" si="12"/>
        <v>0.53901722632372784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'[64]Sch C'!D63</f>
        <v>0</v>
      </c>
      <c r="D75" s="480">
        <f>'[64]Sch C'!F63</f>
        <v>0</v>
      </c>
      <c r="E75" s="480">
        <f>+'[64]Sch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'[64]Sch C'!D64</f>
        <v>0</v>
      </c>
      <c r="D76" s="480">
        <f>'[64]Sch C'!F64</f>
        <v>0</v>
      </c>
      <c r="E76" s="480">
        <f>+'[64]Sch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'[64]Sch C'!D65</f>
        <v>194.6</v>
      </c>
      <c r="D77" s="480">
        <f>'[64]Sch C'!F65</f>
        <v>0</v>
      </c>
      <c r="E77" s="480">
        <f>+'[64]Sch C'!H65</f>
        <v>0</v>
      </c>
      <c r="F77" s="166">
        <f t="shared" si="13"/>
        <v>194.6</v>
      </c>
      <c r="G77" s="626"/>
      <c r="H77" s="166"/>
      <c r="I77" s="166">
        <f t="shared" si="14"/>
        <v>194.6</v>
      </c>
      <c r="J77" s="167">
        <f t="shared" si="11"/>
        <v>1.5105928511128117E-5</v>
      </c>
      <c r="K77" s="458"/>
      <c r="L77" s="187"/>
      <c r="M77" s="163"/>
      <c r="O77" s="324">
        <f t="shared" si="12"/>
        <v>5.1493741896218677E-3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'[64]Sch C'!D66</f>
        <v>8638.86</v>
      </c>
      <c r="D78" s="480">
        <f>'[64]Sch C'!F66</f>
        <v>0</v>
      </c>
      <c r="E78" s="480">
        <f>+'[64]Sch C'!H66</f>
        <v>0</v>
      </c>
      <c r="F78" s="166">
        <f t="shared" si="13"/>
        <v>8638.86</v>
      </c>
      <c r="G78" s="626">
        <v>1490</v>
      </c>
      <c r="H78" s="166"/>
      <c r="I78" s="166">
        <f t="shared" si="14"/>
        <v>10128.86</v>
      </c>
      <c r="J78" s="167">
        <f t="shared" si="11"/>
        <v>7.8625814521698434E-4</v>
      </c>
      <c r="K78" s="458"/>
      <c r="L78" s="187"/>
      <c r="M78" s="163"/>
      <c r="O78" s="324">
        <f t="shared" si="12"/>
        <v>0.26802307427694427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'[64]Sch C'!D67</f>
        <v>128445.06</v>
      </c>
      <c r="D79" s="480">
        <f>'[64]Sch C'!F67</f>
        <v>0</v>
      </c>
      <c r="E79" s="480">
        <f>+'[64]Sch C'!H67</f>
        <v>0</v>
      </c>
      <c r="F79" s="166">
        <f t="shared" si="13"/>
        <v>128445.06</v>
      </c>
      <c r="G79" s="626"/>
      <c r="H79" s="166">
        <v>59032</v>
      </c>
      <c r="I79" s="166">
        <f t="shared" si="14"/>
        <v>187477.06</v>
      </c>
      <c r="J79" s="167">
        <f t="shared" si="11"/>
        <v>1.4553006504812315E-2</v>
      </c>
      <c r="K79" s="458"/>
      <c r="L79" s="187"/>
      <c r="M79" s="163"/>
      <c r="O79" s="324">
        <f t="shared" si="12"/>
        <v>4.9608917467121803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'[64]Sch C'!D68</f>
        <v>0</v>
      </c>
      <c r="D80" s="480">
        <f>'[64]Sch C'!F68</f>
        <v>0</v>
      </c>
      <c r="E80" s="480">
        <f>+'[64]Sch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'[64]Sch C'!D69</f>
        <v>1259.48</v>
      </c>
      <c r="D81" s="480">
        <f>'[64]Sch C'!F69</f>
        <v>0</v>
      </c>
      <c r="E81" s="480">
        <f>+'[64]Sch C'!H69</f>
        <v>0</v>
      </c>
      <c r="F81" s="166">
        <f t="shared" si="13"/>
        <v>1259.48</v>
      </c>
      <c r="G81" s="626"/>
      <c r="H81" s="166"/>
      <c r="I81" s="166">
        <f t="shared" si="14"/>
        <v>1259.48</v>
      </c>
      <c r="J81" s="167">
        <f t="shared" si="11"/>
        <v>9.7767804939340403E-5</v>
      </c>
      <c r="K81" s="458"/>
      <c r="L81" s="187"/>
      <c r="M81" s="163"/>
      <c r="O81" s="324">
        <f t="shared" si="12"/>
        <v>3.3327511841443731E-2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'[64]Sch C'!D70</f>
        <v>0</v>
      </c>
      <c r="D82" s="480">
        <f>'[64]Sch C'!F70</f>
        <v>0</v>
      </c>
      <c r="E82" s="480">
        <f>+'[64]Sch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'[64]Sch C'!D71</f>
        <v>0</v>
      </c>
      <c r="D83" s="480">
        <f>'[64]Sch C'!F71</f>
        <v>0</v>
      </c>
      <c r="E83" s="480">
        <f>+'[64]Sch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1113196.3499999999</v>
      </c>
      <c r="D84" s="480">
        <f t="shared" si="15"/>
        <v>-21794</v>
      </c>
      <c r="E84" s="480">
        <f t="shared" si="15"/>
        <v>-932494</v>
      </c>
      <c r="F84" s="166">
        <f t="shared" ref="F84:I84" si="16">SUM(F69:F83)</f>
        <v>158908.35</v>
      </c>
      <c r="G84" s="166">
        <f t="shared" si="16"/>
        <v>1490</v>
      </c>
      <c r="H84" s="166">
        <f t="shared" si="16"/>
        <v>1086663</v>
      </c>
      <c r="I84" s="166">
        <f t="shared" si="16"/>
        <v>1247061.3500000001</v>
      </c>
      <c r="J84" s="167">
        <f t="shared" si="11"/>
        <v>9.6803800627394257E-2</v>
      </c>
      <c r="K84" s="458"/>
      <c r="L84" s="187"/>
      <c r="M84" s="163"/>
      <c r="O84" s="324">
        <f t="shared" si="12"/>
        <v>32.998897885739993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'[64]Sch C'!D75</f>
        <v>34675.160000000003</v>
      </c>
      <c r="D87" s="480">
        <f>'[64]Sch C'!F75</f>
        <v>0</v>
      </c>
      <c r="E87" s="480">
        <f>+'[64]Sch C'!H75</f>
        <v>0</v>
      </c>
      <c r="F87" s="166">
        <f t="shared" ref="F87:F97" si="17">C87+D87+E87</f>
        <v>34675.160000000003</v>
      </c>
      <c r="G87" s="626"/>
      <c r="H87" s="166"/>
      <c r="I87" s="166">
        <f t="shared" ref="I87:I97" si="18">F87+G87+H87</f>
        <v>34675.160000000003</v>
      </c>
      <c r="J87" s="167">
        <f t="shared" ref="J87:J98" si="19">IF($I$213=0,0,I87/$I$213)</f>
        <v>2.691677739321322E-3</v>
      </c>
      <c r="K87" s="458"/>
      <c r="L87" s="176">
        <v>2132.88</v>
      </c>
      <c r="M87" s="176">
        <v>2248.5100000000002</v>
      </c>
      <c r="O87" s="324">
        <f t="shared" ref="O87:O97" si="20">I87/I$233</f>
        <v>0.91755073959408329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'[64]Sch C'!D76</f>
        <v>8661.33</v>
      </c>
      <c r="D88" s="480">
        <f>'[64]Sch C'!F76</f>
        <v>0</v>
      </c>
      <c r="E88" s="480">
        <f>+'[64]Sch C'!H76</f>
        <v>0</v>
      </c>
      <c r="F88" s="166">
        <f t="shared" si="17"/>
        <v>8661.33</v>
      </c>
      <c r="G88" s="626">
        <v>-212</v>
      </c>
      <c r="H88" s="166"/>
      <c r="I88" s="166">
        <f t="shared" si="18"/>
        <v>8449.33</v>
      </c>
      <c r="J88" s="167">
        <f t="shared" si="19"/>
        <v>6.5588373559573548E-4</v>
      </c>
      <c r="K88" s="458"/>
      <c r="L88" s="163"/>
      <c r="M88" s="163"/>
      <c r="O88" s="324">
        <f t="shared" si="20"/>
        <v>0.22358048212537376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'[64]Sch C'!D77</f>
        <v>21127.54</v>
      </c>
      <c r="D89" s="480">
        <f>'[64]Sch C'!F77</f>
        <v>0</v>
      </c>
      <c r="E89" s="480">
        <f>+'[64]Sch C'!H77</f>
        <v>0</v>
      </c>
      <c r="F89" s="166">
        <f t="shared" si="17"/>
        <v>21127.54</v>
      </c>
      <c r="G89" s="626"/>
      <c r="H89" s="166"/>
      <c r="I89" s="166">
        <f t="shared" si="18"/>
        <v>21127.54</v>
      </c>
      <c r="J89" s="167">
        <f t="shared" si="19"/>
        <v>1.6400365306063708E-3</v>
      </c>
      <c r="K89" s="458"/>
      <c r="L89" s="163"/>
      <c r="M89" s="163"/>
      <c r="O89" s="324">
        <f t="shared" si="20"/>
        <v>0.55906273980577392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'[64]Sch C'!D78</f>
        <v>0</v>
      </c>
      <c r="D90" s="480">
        <f>'[64]Sch C'!F78</f>
        <v>0</v>
      </c>
      <c r="E90" s="480">
        <f>+'[64]Sch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'[64]Sch C'!D79</f>
        <v>33000.46</v>
      </c>
      <c r="D91" s="480">
        <f>'[64]Sch C'!F79</f>
        <v>0</v>
      </c>
      <c r="E91" s="480">
        <f>+'[64]Sch C'!H79</f>
        <v>0</v>
      </c>
      <c r="F91" s="166">
        <f t="shared" si="17"/>
        <v>33000.46</v>
      </c>
      <c r="G91" s="626">
        <v>-130</v>
      </c>
      <c r="H91" s="166"/>
      <c r="I91" s="166">
        <f t="shared" si="18"/>
        <v>32870.46</v>
      </c>
      <c r="J91" s="167">
        <f t="shared" si="19"/>
        <v>2.5515869418699707E-3</v>
      </c>
      <c r="K91" s="458"/>
      <c r="L91" s="163"/>
      <c r="M91" s="163"/>
      <c r="O91" s="324">
        <f t="shared" si="20"/>
        <v>0.86979598317059614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'[64]Sch C'!D80</f>
        <v>16969.48</v>
      </c>
      <c r="D92" s="480">
        <f>'[64]Sch C'!F80</f>
        <v>0</v>
      </c>
      <c r="E92" s="480">
        <f>+'[64]Sch C'!H80</f>
        <v>0</v>
      </c>
      <c r="F92" s="166">
        <f t="shared" si="17"/>
        <v>16969.48</v>
      </c>
      <c r="G92" s="626"/>
      <c r="H92" s="166"/>
      <c r="I92" s="166">
        <f t="shared" si="18"/>
        <v>16969.48</v>
      </c>
      <c r="J92" s="167">
        <f t="shared" si="19"/>
        <v>1.3172649113618621E-3</v>
      </c>
      <c r="K92" s="458"/>
      <c r="L92" s="163"/>
      <c r="M92" s="163"/>
      <c r="O92" s="324">
        <f t="shared" si="20"/>
        <v>0.44903495541266436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'[64]Sch C'!D81</f>
        <v>6837.71</v>
      </c>
      <c r="D93" s="480">
        <f>'[64]Sch C'!F81</f>
        <v>0</v>
      </c>
      <c r="E93" s="480">
        <f>+'[64]Sch C'!H81</f>
        <v>0</v>
      </c>
      <c r="F93" s="166">
        <f t="shared" si="17"/>
        <v>6837.71</v>
      </c>
      <c r="G93" s="626"/>
      <c r="H93" s="166"/>
      <c r="I93" s="166">
        <f t="shared" si="18"/>
        <v>6837.71</v>
      </c>
      <c r="J93" s="167">
        <f t="shared" si="19"/>
        <v>5.3078087584699813E-4</v>
      </c>
      <c r="K93" s="458"/>
      <c r="L93" s="163"/>
      <c r="M93" s="163"/>
      <c r="O93" s="324">
        <f t="shared" si="20"/>
        <v>0.18093487867481675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'[64]Sch C'!D82</f>
        <v>28800.07</v>
      </c>
      <c r="D94" s="480">
        <f>'[64]Sch C'!F82</f>
        <v>0</v>
      </c>
      <c r="E94" s="480">
        <f>+'[64]Sch C'!H82</f>
        <v>0</v>
      </c>
      <c r="F94" s="166">
        <f t="shared" si="17"/>
        <v>28800.07</v>
      </c>
      <c r="G94" s="626"/>
      <c r="H94" s="166"/>
      <c r="I94" s="166">
        <f t="shared" si="18"/>
        <v>28800.07</v>
      </c>
      <c r="J94" s="167">
        <f t="shared" si="19"/>
        <v>2.2356207530086617E-3</v>
      </c>
      <c r="K94" s="458"/>
      <c r="L94" s="163"/>
      <c r="M94" s="163"/>
      <c r="O94" s="324">
        <f t="shared" si="20"/>
        <v>0.76208806329549361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'[64]Sch C'!D83</f>
        <v>0</v>
      </c>
      <c r="D95" s="480">
        <f>'[64]Sch C'!F83</f>
        <v>0</v>
      </c>
      <c r="E95" s="480">
        <f>+'[64]Sch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'[64]Sch C'!D84</f>
        <v>114776.43</v>
      </c>
      <c r="D96" s="480">
        <f>'[64]Sch C'!F84</f>
        <v>0</v>
      </c>
      <c r="E96" s="480">
        <f>+'[64]Sch C'!H84</f>
        <v>0</v>
      </c>
      <c r="F96" s="166">
        <f t="shared" si="17"/>
        <v>114776.43</v>
      </c>
      <c r="G96" s="626"/>
      <c r="H96" s="166"/>
      <c r="I96" s="166">
        <f t="shared" si="18"/>
        <v>114776.43</v>
      </c>
      <c r="J96" s="167">
        <f t="shared" si="19"/>
        <v>8.9095814303314508E-3</v>
      </c>
      <c r="K96" s="458"/>
      <c r="L96" s="163"/>
      <c r="M96" s="163"/>
      <c r="O96" s="324">
        <f t="shared" si="20"/>
        <v>3.0371366198301182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'[64]Sch C'!D85</f>
        <v>797.89</v>
      </c>
      <c r="D97" s="480">
        <f>'[64]Sch C'!F85</f>
        <v>0</v>
      </c>
      <c r="E97" s="480">
        <f>+'[64]Sch C'!H85</f>
        <v>0</v>
      </c>
      <c r="F97" s="166">
        <f t="shared" si="17"/>
        <v>797.89</v>
      </c>
      <c r="G97" s="626"/>
      <c r="H97" s="166"/>
      <c r="I97" s="166">
        <f t="shared" si="18"/>
        <v>797.89</v>
      </c>
      <c r="J97" s="167">
        <f t="shared" si="19"/>
        <v>6.1936635661582803E-5</v>
      </c>
      <c r="K97" s="458"/>
      <c r="L97" s="163"/>
      <c r="M97" s="163"/>
      <c r="O97" s="324">
        <f t="shared" si="20"/>
        <v>2.1113228017252784E-2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265646.07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265646.07</v>
      </c>
      <c r="G98" s="166">
        <f t="shared" si="22"/>
        <v>-342</v>
      </c>
      <c r="H98" s="166">
        <f t="shared" si="22"/>
        <v>0</v>
      </c>
      <c r="I98" s="166">
        <f t="shared" si="22"/>
        <v>265304.07</v>
      </c>
      <c r="J98" s="167">
        <f t="shared" si="19"/>
        <v>2.0594369553603956E-2</v>
      </c>
      <c r="K98" s="458"/>
      <c r="L98" s="163"/>
      <c r="M98" s="163"/>
      <c r="O98" s="329">
        <f>I98/I$233</f>
        <v>7.0202976899261733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'[64]Sch C'!D89</f>
        <v>335341.27</v>
      </c>
      <c r="D101" s="480">
        <f>'[64]Sch C'!F89</f>
        <v>0</v>
      </c>
      <c r="E101" s="480">
        <f>+'[64]Sch C'!H89</f>
        <v>0</v>
      </c>
      <c r="F101" s="166">
        <f t="shared" ref="F101:F106" si="23">C101+D101+E101</f>
        <v>335341.27</v>
      </c>
      <c r="G101" s="626"/>
      <c r="H101" s="166"/>
      <c r="I101" s="166">
        <f t="shared" ref="I101:I106" si="24">F101+G101+H101</f>
        <v>335341.27</v>
      </c>
      <c r="J101" s="167">
        <f t="shared" ref="J101:J107" si="25">IF($I$213=0,0,I101/$I$213)</f>
        <v>2.6031044457610033E-2</v>
      </c>
      <c r="K101" s="458"/>
      <c r="L101" s="176">
        <v>22045.89</v>
      </c>
      <c r="M101" s="176">
        <v>23333.360000000001</v>
      </c>
      <c r="O101" s="329">
        <f t="shared" ref="O101:O106" si="26">I101/I$233</f>
        <v>8.8735749252467517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'[64]Sch C'!D90</f>
        <v>71900.66</v>
      </c>
      <c r="D102" s="480">
        <f>'[64]Sch C'!F90</f>
        <v>0</v>
      </c>
      <c r="E102" s="480">
        <f>+'[64]Sch C'!H90</f>
        <v>0</v>
      </c>
      <c r="F102" s="166">
        <f t="shared" si="23"/>
        <v>71900.66</v>
      </c>
      <c r="G102" s="626">
        <v>-6567</v>
      </c>
      <c r="H102" s="166"/>
      <c r="I102" s="166">
        <f t="shared" si="24"/>
        <v>65333.66</v>
      </c>
      <c r="J102" s="167">
        <f t="shared" si="25"/>
        <v>5.0715601096112577E-3</v>
      </c>
      <c r="K102" s="458"/>
      <c r="L102" s="163"/>
      <c r="M102" s="163"/>
      <c r="O102" s="329">
        <f t="shared" si="26"/>
        <v>1.7288153264004658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'[64]Sch C'!D91</f>
        <v>16293.43</v>
      </c>
      <c r="D103" s="480">
        <f>'[64]Sch C'!F91</f>
        <v>0</v>
      </c>
      <c r="E103" s="480">
        <f>+'[64]Sch C'!H91</f>
        <v>0</v>
      </c>
      <c r="F103" s="166">
        <f t="shared" si="23"/>
        <v>16293.43</v>
      </c>
      <c r="G103" s="626"/>
      <c r="H103" s="166"/>
      <c r="I103" s="166">
        <f t="shared" si="24"/>
        <v>16293.43</v>
      </c>
      <c r="J103" s="167">
        <f t="shared" si="25"/>
        <v>1.2647861705090966E-3</v>
      </c>
      <c r="K103" s="458"/>
      <c r="L103" s="163"/>
      <c r="M103" s="163"/>
      <c r="O103" s="329">
        <f t="shared" si="26"/>
        <v>0.43114577544918103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'[64]Sch C'!D92</f>
        <v>366497.48</v>
      </c>
      <c r="D104" s="480">
        <f>'[64]Sch C'!F92</f>
        <v>0</v>
      </c>
      <c r="E104" s="480">
        <f>+'[64]Sch C'!H92</f>
        <v>0</v>
      </c>
      <c r="F104" s="166">
        <f t="shared" si="23"/>
        <v>366497.48</v>
      </c>
      <c r="G104" s="626">
        <f>-2137-8626</f>
        <v>-10763</v>
      </c>
      <c r="H104" s="166"/>
      <c r="I104" s="166">
        <f t="shared" si="24"/>
        <v>355734.48</v>
      </c>
      <c r="J104" s="167">
        <f t="shared" si="25"/>
        <v>2.7614078231363488E-2</v>
      </c>
      <c r="K104" s="458"/>
      <c r="L104" s="163"/>
      <c r="M104" s="163"/>
      <c r="O104" s="329">
        <f t="shared" si="26"/>
        <v>9.4132063189648321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'[64]Sch C'!D93</f>
        <v>40394.44</v>
      </c>
      <c r="D105" s="480">
        <f>'[64]Sch C'!F93</f>
        <v>0</v>
      </c>
      <c r="E105" s="480">
        <f>+'[64]Sch C'!H93</f>
        <v>0</v>
      </c>
      <c r="F105" s="166">
        <f t="shared" si="23"/>
        <v>40394.44</v>
      </c>
      <c r="G105" s="626"/>
      <c r="H105" s="166"/>
      <c r="I105" s="166">
        <f t="shared" si="24"/>
        <v>40394.44</v>
      </c>
      <c r="J105" s="167">
        <f t="shared" si="25"/>
        <v>3.1356398915059307E-3</v>
      </c>
      <c r="K105" s="458"/>
      <c r="L105" s="163"/>
      <c r="M105" s="163"/>
      <c r="O105" s="329">
        <f t="shared" si="26"/>
        <v>1.0688904765684952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'[64]Sch C'!D94</f>
        <v>2405.88</v>
      </c>
      <c r="D106" s="480">
        <f>'[64]Sch C'!F94</f>
        <v>0</v>
      </c>
      <c r="E106" s="480">
        <f>+'[64]Sch C'!H94</f>
        <v>0</v>
      </c>
      <c r="F106" s="166">
        <f t="shared" si="23"/>
        <v>2405.88</v>
      </c>
      <c r="G106" s="626"/>
      <c r="H106" s="166"/>
      <c r="I106" s="166">
        <f t="shared" si="24"/>
        <v>2405.88</v>
      </c>
      <c r="J106" s="167">
        <f t="shared" si="25"/>
        <v>1.8675771472946001E-4</v>
      </c>
      <c r="K106" s="458"/>
      <c r="L106" s="163"/>
      <c r="M106" s="163"/>
      <c r="O106" s="329">
        <f t="shared" si="26"/>
        <v>6.3662776851631339E-2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832833.16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832833.16</v>
      </c>
      <c r="G107" s="166">
        <f t="shared" si="28"/>
        <v>-17330</v>
      </c>
      <c r="H107" s="166">
        <f t="shared" si="28"/>
        <v>0</v>
      </c>
      <c r="I107" s="166">
        <f t="shared" si="28"/>
        <v>815503.16</v>
      </c>
      <c r="J107" s="167">
        <f t="shared" si="25"/>
        <v>6.3303866575329271E-2</v>
      </c>
      <c r="K107" s="458"/>
      <c r="L107" s="163"/>
      <c r="M107" s="163"/>
      <c r="O107" s="329">
        <f>I107/I$233</f>
        <v>21.579295599481359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'[64]Sch C'!D98</f>
        <v>50218.36</v>
      </c>
      <c r="D110" s="480">
        <f>'[64]Sch C'!F98</f>
        <v>0</v>
      </c>
      <c r="E110" s="480">
        <f>+'[64]Sch C'!H98</f>
        <v>0</v>
      </c>
      <c r="F110" s="166">
        <f t="shared" ref="F110:F115" si="29">C110+D110+E110</f>
        <v>50218.36</v>
      </c>
      <c r="G110" s="626"/>
      <c r="H110" s="166"/>
      <c r="I110" s="166">
        <f t="shared" ref="I110:I115" si="30">F110+G110+H110</f>
        <v>50218.36</v>
      </c>
      <c r="J110" s="167">
        <f t="shared" ref="J110:J116" si="31">IF($I$213=0,0,I110/$I$213)</f>
        <v>3.8982269070200197E-3</v>
      </c>
      <c r="K110" s="458"/>
      <c r="L110" s="176">
        <v>5187.9799999999996</v>
      </c>
      <c r="M110" s="176">
        <v>5430.24</v>
      </c>
      <c r="O110" s="329">
        <f t="shared" ref="O110:O115" si="32">I110/I$233</f>
        <v>1.3288444338599137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'[64]Sch C'!D99</f>
        <v>4931.3900000000003</v>
      </c>
      <c r="D111" s="480">
        <f>'[64]Sch C'!F99</f>
        <v>0</v>
      </c>
      <c r="E111" s="480">
        <f>+'[64]Sch C'!H99</f>
        <v>0</v>
      </c>
      <c r="F111" s="166">
        <f t="shared" si="29"/>
        <v>4931.3900000000003</v>
      </c>
      <c r="G111" s="626">
        <v>-1013</v>
      </c>
      <c r="H111" s="166"/>
      <c r="I111" s="166">
        <f t="shared" si="30"/>
        <v>3918.3900000000003</v>
      </c>
      <c r="J111" s="167">
        <f t="shared" si="31"/>
        <v>3.0416710800986282E-4</v>
      </c>
      <c r="K111" s="458"/>
      <c r="L111" s="163"/>
      <c r="M111" s="163"/>
      <c r="O111" s="329">
        <f t="shared" si="32"/>
        <v>0.10368579820592205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'[64]Sch C'!D100</f>
        <v>8596.84</v>
      </c>
      <c r="D112" s="480">
        <f>'[64]Sch C'!F100</f>
        <v>0</v>
      </c>
      <c r="E112" s="480">
        <f>+'[64]Sch C'!H100</f>
        <v>0</v>
      </c>
      <c r="F112" s="166">
        <f t="shared" si="29"/>
        <v>8596.84</v>
      </c>
      <c r="G112" s="626"/>
      <c r="H112" s="166"/>
      <c r="I112" s="166">
        <f t="shared" si="30"/>
        <v>8596.84</v>
      </c>
      <c r="J112" s="167">
        <f t="shared" si="31"/>
        <v>6.6733427780887281E-4</v>
      </c>
      <c r="K112" s="458"/>
      <c r="L112" s="163"/>
      <c r="M112" s="163"/>
      <c r="O112" s="329">
        <f t="shared" si="32"/>
        <v>0.22748379243735281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'[64]Sch C'!D101</f>
        <v>0</v>
      </c>
      <c r="D113" s="480">
        <f>'[64]Sch C'!F101</f>
        <v>0</v>
      </c>
      <c r="E113" s="480">
        <f>+'[64]Sch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'[64]Sch C'!D102</f>
        <v>4742.2700000000004</v>
      </c>
      <c r="D114" s="480">
        <f>'[64]Sch C'!F102</f>
        <v>0</v>
      </c>
      <c r="E114" s="480">
        <f>+'[64]Sch C'!H102</f>
        <v>0</v>
      </c>
      <c r="F114" s="166">
        <f t="shared" si="29"/>
        <v>4742.2700000000004</v>
      </c>
      <c r="G114" s="626"/>
      <c r="H114" s="166"/>
      <c r="I114" s="166">
        <f t="shared" si="30"/>
        <v>4742.2700000000004</v>
      </c>
      <c r="J114" s="167">
        <f t="shared" si="31"/>
        <v>3.6812123124597913E-4</v>
      </c>
      <c r="K114" s="458"/>
      <c r="L114" s="163"/>
      <c r="M114" s="163"/>
      <c r="O114" s="329">
        <f t="shared" si="32"/>
        <v>0.12548675610595117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'[64]Sch C'!D103</f>
        <v>-81.680000000000007</v>
      </c>
      <c r="D115" s="480">
        <f>'[64]Sch C'!F103</f>
        <v>0</v>
      </c>
      <c r="E115" s="480">
        <f>+'[64]Sch C'!H103</f>
        <v>0</v>
      </c>
      <c r="F115" s="166">
        <f t="shared" si="29"/>
        <v>-81.680000000000007</v>
      </c>
      <c r="G115" s="626"/>
      <c r="H115" s="166"/>
      <c r="I115" s="166">
        <f t="shared" si="30"/>
        <v>-81.680000000000007</v>
      </c>
      <c r="J115" s="167">
        <f t="shared" si="31"/>
        <v>-6.3404534470141047E-6</v>
      </c>
      <c r="K115" s="458"/>
      <c r="L115" s="163"/>
      <c r="M115" s="163"/>
      <c r="O115" s="329">
        <f t="shared" si="32"/>
        <v>-2.1613611706490965E-3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68407.180000000008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68407.180000000008</v>
      </c>
      <c r="G116" s="166">
        <f t="shared" si="34"/>
        <v>-1013</v>
      </c>
      <c r="H116" s="166">
        <f t="shared" si="34"/>
        <v>0</v>
      </c>
      <c r="I116" s="166">
        <f t="shared" si="34"/>
        <v>67394.180000000008</v>
      </c>
      <c r="J116" s="167">
        <f t="shared" si="31"/>
        <v>5.231509070637721E-3</v>
      </c>
      <c r="K116" s="458"/>
      <c r="L116" s="163"/>
      <c r="M116" s="163"/>
      <c r="O116" s="329">
        <f>I116/I$233</f>
        <v>1.7833394194384908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'[64]Sch C'!D115</f>
        <v>148315.18</v>
      </c>
      <c r="D119" s="480">
        <f>'[64]Sch C'!F115</f>
        <v>0</v>
      </c>
      <c r="E119" s="480">
        <f>+'[64]Sch C'!H115</f>
        <v>0</v>
      </c>
      <c r="F119" s="166">
        <f t="shared" ref="F119:F123" si="35">C119+D119+E119</f>
        <v>148315.18</v>
      </c>
      <c r="G119" s="626"/>
      <c r="H119" s="166"/>
      <c r="I119" s="166">
        <f t="shared" ref="I119:I123" si="36">F119+G119+H119</f>
        <v>148315.18</v>
      </c>
      <c r="J119" s="167">
        <f t="shared" ref="J119:J124" si="37">IF($I$213=0,0,I119/$I$213)</f>
        <v>1.1513044738926509E-2</v>
      </c>
      <c r="K119" s="458"/>
      <c r="L119" s="176">
        <v>13276</v>
      </c>
      <c r="M119" s="176">
        <v>14329.67</v>
      </c>
      <c r="O119" s="329">
        <f t="shared" ref="O119:O124" si="38">I119/I$233</f>
        <v>3.9246164430684551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'[64]Sch C'!D116</f>
        <v>31271.07</v>
      </c>
      <c r="D120" s="480">
        <f>'[64]Sch C'!F116</f>
        <v>0</v>
      </c>
      <c r="E120" s="480">
        <f>+'[64]Sch C'!H116</f>
        <v>0</v>
      </c>
      <c r="F120" s="166">
        <f t="shared" si="35"/>
        <v>31271.07</v>
      </c>
      <c r="G120" s="626">
        <v>-3067</v>
      </c>
      <c r="H120" s="166"/>
      <c r="I120" s="166">
        <f t="shared" si="36"/>
        <v>28204.07</v>
      </c>
      <c r="J120" s="167">
        <f t="shared" si="37"/>
        <v>2.1893559359858848E-3</v>
      </c>
      <c r="K120" s="458"/>
      <c r="L120" s="163"/>
      <c r="M120" s="163"/>
      <c r="O120" s="329">
        <f t="shared" si="38"/>
        <v>0.74631711254002275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'[64]Sch C'!D117</f>
        <v>31264.65</v>
      </c>
      <c r="D121" s="480">
        <f>'[64]Sch C'!F117</f>
        <v>0</v>
      </c>
      <c r="E121" s="480">
        <f>+'[64]Sch C'!H117</f>
        <v>0</v>
      </c>
      <c r="F121" s="166">
        <f t="shared" si="35"/>
        <v>31264.65</v>
      </c>
      <c r="G121" s="626"/>
      <c r="H121" s="166"/>
      <c r="I121" s="166">
        <f t="shared" si="36"/>
        <v>31264.65</v>
      </c>
      <c r="J121" s="167">
        <f t="shared" si="37"/>
        <v>2.4269350864616736E-3</v>
      </c>
      <c r="K121" s="458"/>
      <c r="L121" s="163"/>
      <c r="M121" s="163"/>
      <c r="O121" s="329">
        <f t="shared" si="38"/>
        <v>0.82730412002857823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'[64]Sch C'!D118</f>
        <v>2884</v>
      </c>
      <c r="D122" s="480">
        <f>'[64]Sch C'!F118</f>
        <v>0</v>
      </c>
      <c r="E122" s="480">
        <f>+'[64]Sch C'!H118</f>
        <v>0</v>
      </c>
      <c r="F122" s="166">
        <f t="shared" si="35"/>
        <v>2884</v>
      </c>
      <c r="G122" s="626"/>
      <c r="H122" s="166"/>
      <c r="I122" s="166">
        <f t="shared" si="36"/>
        <v>2884</v>
      </c>
      <c r="J122" s="167">
        <f t="shared" si="37"/>
        <v>2.2387203404981238E-4</v>
      </c>
      <c r="K122" s="458"/>
      <c r="L122" s="163"/>
      <c r="M122" s="163"/>
      <c r="O122" s="329">
        <f t="shared" si="38"/>
        <v>7.6314466407345669E-2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'[64]Sch C'!D119</f>
        <v>1889.9</v>
      </c>
      <c r="D123" s="480">
        <f>'[64]Sch C'!F119</f>
        <v>0</v>
      </c>
      <c r="E123" s="480">
        <f>+'[64]Sch C'!H119</f>
        <v>0</v>
      </c>
      <c r="F123" s="166">
        <f t="shared" si="35"/>
        <v>1889.9</v>
      </c>
      <c r="G123" s="626"/>
      <c r="H123" s="166"/>
      <c r="I123" s="166">
        <f t="shared" si="36"/>
        <v>1889.9</v>
      </c>
      <c r="J123" s="167">
        <f t="shared" si="37"/>
        <v>1.4670449277071445E-4</v>
      </c>
      <c r="K123" s="458"/>
      <c r="L123" s="163"/>
      <c r="M123" s="163"/>
      <c r="O123" s="329">
        <f t="shared" si="38"/>
        <v>5.0009261464369827E-2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215624.8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215624.8</v>
      </c>
      <c r="G124" s="166">
        <f t="shared" si="40"/>
        <v>-3067</v>
      </c>
      <c r="H124" s="166">
        <f t="shared" si="40"/>
        <v>0</v>
      </c>
      <c r="I124" s="166">
        <f t="shared" si="40"/>
        <v>212557.8</v>
      </c>
      <c r="J124" s="167">
        <f t="shared" si="37"/>
        <v>1.6499912288194595E-2</v>
      </c>
      <c r="K124" s="458"/>
      <c r="L124" s="163"/>
      <c r="M124" s="163"/>
      <c r="O124" s="329">
        <f t="shared" si="38"/>
        <v>5.6245614035087712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'[64]Sch C'!D124</f>
        <v>0</v>
      </c>
      <c r="D128" s="480">
        <f>'[64]Sch C'!F124</f>
        <v>0</v>
      </c>
      <c r="E128" s="480">
        <f>+'[64]Sch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'[64]Sch C'!D125</f>
        <v>664792.80000000005</v>
      </c>
      <c r="D129" s="480">
        <f>'[64]Sch C'!F125</f>
        <v>0</v>
      </c>
      <c r="E129" s="480">
        <f>+'[64]Sch C'!H125</f>
        <v>0</v>
      </c>
      <c r="F129" s="166">
        <f t="shared" si="41"/>
        <v>664792.80000000005</v>
      </c>
      <c r="G129" s="626"/>
      <c r="H129" s="166"/>
      <c r="I129" s="166">
        <f t="shared" si="42"/>
        <v>664792.80000000005</v>
      </c>
      <c r="J129" s="167">
        <f>IF($I$213=0,0,I129/$I$213)</f>
        <v>5.1604894714864812E-2</v>
      </c>
      <c r="K129" s="458"/>
      <c r="L129" s="176">
        <v>11137.92</v>
      </c>
      <c r="M129" s="176">
        <v>11623.73</v>
      </c>
      <c r="O129" s="329">
        <f t="shared" si="43"/>
        <v>17.591299515757722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'[64]Sch C'!D126</f>
        <v>0</v>
      </c>
      <c r="D130" s="480">
        <f>'[64]Sch C'!F126</f>
        <v>0</v>
      </c>
      <c r="E130" s="480">
        <f>+'[64]Sch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'[64]Sch C'!D127</f>
        <v>40766.74</v>
      </c>
      <c r="D131" s="480">
        <f>'[64]Sch C'!F127</f>
        <v>0</v>
      </c>
      <c r="E131" s="480">
        <f>+'[64]Sch C'!H127</f>
        <v>0</v>
      </c>
      <c r="F131" s="166">
        <f t="shared" si="41"/>
        <v>40766.74</v>
      </c>
      <c r="G131" s="626"/>
      <c r="H131" s="166"/>
      <c r="I131" s="166">
        <f t="shared" si="42"/>
        <v>40766.74</v>
      </c>
      <c r="J131" s="167">
        <f>IF($I$213=0,0,I131/$I$213)</f>
        <v>3.1645398770387824E-3</v>
      </c>
      <c r="K131" s="458"/>
      <c r="L131" s="176">
        <v>2873.11</v>
      </c>
      <c r="M131" s="176">
        <v>3098.32</v>
      </c>
      <c r="O131" s="329">
        <f t="shared" si="43"/>
        <v>1.0787420285253102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'[64]Sch C'!D128</f>
        <v>42022.33</v>
      </c>
      <c r="D132" s="480">
        <f>'[64]Sch C'!F128</f>
        <v>0</v>
      </c>
      <c r="E132" s="480">
        <f>+'[64]Sch C'!H128</f>
        <v>0</v>
      </c>
      <c r="F132" s="166">
        <f t="shared" si="41"/>
        <v>42022.33</v>
      </c>
      <c r="G132" s="626"/>
      <c r="H132" s="166"/>
      <c r="I132" s="166">
        <f t="shared" si="42"/>
        <v>42022.33</v>
      </c>
      <c r="J132" s="167">
        <f>IF($I$213=0,0,I132/$I$213)</f>
        <v>3.262005718658964E-3</v>
      </c>
      <c r="K132" s="458"/>
      <c r="L132" s="176">
        <v>7728.33</v>
      </c>
      <c r="M132" s="176">
        <v>8182.74</v>
      </c>
      <c r="O132" s="329">
        <f t="shared" si="43"/>
        <v>1.1119666058056152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'[64]Sch C'!D130</f>
        <v>0</v>
      </c>
      <c r="D134" s="480">
        <f>'[64]Sch C'!F130</f>
        <v>0</v>
      </c>
      <c r="E134" s="480">
        <f>+'[64]Sch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'[64]Sch C'!D131</f>
        <v>68146.149999999994</v>
      </c>
      <c r="D135" s="480">
        <f>'[64]Sch C'!F131</f>
        <v>0</v>
      </c>
      <c r="E135" s="480">
        <f>+'[64]Sch C'!H131</f>
        <v>0</v>
      </c>
      <c r="F135" s="166">
        <f t="shared" si="44"/>
        <v>68146.149999999994</v>
      </c>
      <c r="G135" s="626">
        <v>-11250</v>
      </c>
      <c r="H135" s="166"/>
      <c r="I135" s="166">
        <f t="shared" si="45"/>
        <v>56896.149999999994</v>
      </c>
      <c r="J135" s="167">
        <f>IF($I$213=0,0,I135/$I$213)</f>
        <v>4.4165939078027851E-3</v>
      </c>
      <c r="K135" s="458"/>
      <c r="L135" s="196"/>
      <c r="M135" s="196"/>
      <c r="O135" s="329">
        <f t="shared" si="43"/>
        <v>1.5055476171575242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'[64]Sch C'!D132</f>
        <v>0</v>
      </c>
      <c r="D136" s="480">
        <f>'[64]Sch C'!F132</f>
        <v>0</v>
      </c>
      <c r="E136" s="480">
        <f>+'[64]Sch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'[64]Sch C'!D133</f>
        <v>24660.23</v>
      </c>
      <c r="D137" s="480">
        <f>'[64]Sch C'!F133</f>
        <v>0</v>
      </c>
      <c r="E137" s="480">
        <f>+'[64]Sch C'!H133</f>
        <v>0</v>
      </c>
      <c r="F137" s="166">
        <f t="shared" si="44"/>
        <v>24660.23</v>
      </c>
      <c r="G137" s="626">
        <v>-218</v>
      </c>
      <c r="H137" s="166"/>
      <c r="I137" s="166">
        <f t="shared" si="45"/>
        <v>24442.23</v>
      </c>
      <c r="J137" s="167">
        <f>IF($I$213=0,0,I137/$I$213)</f>
        <v>1.8973411049976927E-3</v>
      </c>
      <c r="K137" s="458"/>
      <c r="L137" s="163"/>
      <c r="M137" s="163"/>
      <c r="O137" s="329">
        <f t="shared" si="43"/>
        <v>0.6467738350400889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'[64]Sch C'!D134</f>
        <v>9532.2999999999993</v>
      </c>
      <c r="D138" s="480">
        <f>'[64]Sch C'!F134</f>
        <v>0</v>
      </c>
      <c r="E138" s="480">
        <f>+'[64]Sch C'!H134</f>
        <v>0</v>
      </c>
      <c r="F138" s="166">
        <f t="shared" si="44"/>
        <v>9532.2999999999993</v>
      </c>
      <c r="G138" s="626">
        <v>-849</v>
      </c>
      <c r="H138" s="166"/>
      <c r="I138" s="166">
        <f t="shared" si="45"/>
        <v>8683.2999999999993</v>
      </c>
      <c r="J138" s="167">
        <f>IF($I$213=0,0,I138/$I$213)</f>
        <v>6.74045781298452E-4</v>
      </c>
      <c r="K138" s="458"/>
      <c r="L138" s="163"/>
      <c r="M138" s="163"/>
      <c r="O138" s="329">
        <f t="shared" si="43"/>
        <v>0.22977163874996689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'[64]Sch C'!D136</f>
        <v>1312610.81</v>
      </c>
      <c r="D140" s="480">
        <f>'[64]Sch C'!F136</f>
        <v>0</v>
      </c>
      <c r="E140" s="480">
        <f>+'[64]Sch C'!H136</f>
        <v>0</v>
      </c>
      <c r="F140" s="166">
        <f t="shared" ref="F140:F143" si="46">C140+D140+E140</f>
        <v>1312610.81</v>
      </c>
      <c r="G140" s="626"/>
      <c r="H140" s="166"/>
      <c r="I140" s="166">
        <f t="shared" ref="I140:I143" si="47">F140+G140+H140</f>
        <v>1312610.81</v>
      </c>
      <c r="J140" s="167">
        <f>IF($I$213=0,0,I140/$I$213)</f>
        <v>0.10189211232679328</v>
      </c>
      <c r="K140" s="458"/>
      <c r="L140" s="176">
        <v>37605.57</v>
      </c>
      <c r="M140" s="176">
        <v>40777.71</v>
      </c>
      <c r="O140" s="329">
        <f t="shared" si="43"/>
        <v>34.733423566457624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'[64]Sch C'!D137</f>
        <v>324377.51</v>
      </c>
      <c r="D141" s="480">
        <f>'[64]Sch C'!F137</f>
        <v>0</v>
      </c>
      <c r="E141" s="480">
        <f>+'[64]Sch C'!H137</f>
        <v>0</v>
      </c>
      <c r="F141" s="166">
        <f t="shared" si="46"/>
        <v>324377.51</v>
      </c>
      <c r="G141" s="626"/>
      <c r="H141" s="166"/>
      <c r="I141" s="166">
        <f t="shared" si="47"/>
        <v>324377.51</v>
      </c>
      <c r="J141" s="167">
        <f>IF($I$213=0,0,I141/$I$213)</f>
        <v>2.51799767557952E-2</v>
      </c>
      <c r="K141" s="458"/>
      <c r="L141" s="176">
        <v>10058.99</v>
      </c>
      <c r="M141" s="176">
        <v>10739.38</v>
      </c>
      <c r="O141" s="329">
        <f t="shared" si="43"/>
        <v>8.5834592892487631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'[64]Sch C'!D138</f>
        <v>1398063.55</v>
      </c>
      <c r="D142" s="480">
        <f>'[64]Sch C'!F138</f>
        <v>0</v>
      </c>
      <c r="E142" s="480">
        <f>+'[64]Sch C'!H138</f>
        <v>0</v>
      </c>
      <c r="F142" s="166">
        <f t="shared" si="46"/>
        <v>1398063.55</v>
      </c>
      <c r="G142" s="626"/>
      <c r="H142" s="166"/>
      <c r="I142" s="166">
        <f t="shared" si="47"/>
        <v>1398063.55</v>
      </c>
      <c r="J142" s="167">
        <f>IF($I$213=0,0,I142/$I$213)</f>
        <v>0.10852542672309348</v>
      </c>
      <c r="K142" s="458"/>
      <c r="L142" s="176">
        <v>94798.2</v>
      </c>
      <c r="M142" s="176">
        <v>100993.04000000001</v>
      </c>
      <c r="O142" s="329">
        <f t="shared" si="43"/>
        <v>36.994616443068459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'[64]Sch C'!D139</f>
        <v>126401.3</v>
      </c>
      <c r="D143" s="480">
        <f>'[64]Sch C'!F139</f>
        <v>0</v>
      </c>
      <c r="E143" s="480">
        <f>+'[64]Sch C'!H139</f>
        <v>0</v>
      </c>
      <c r="F143" s="166">
        <f t="shared" si="46"/>
        <v>126401.3</v>
      </c>
      <c r="G143" s="626"/>
      <c r="H143" s="166"/>
      <c r="I143" s="166">
        <f t="shared" si="47"/>
        <v>126401.3</v>
      </c>
      <c r="J143" s="167">
        <f>IF($I$213=0,0,I143/$I$213)</f>
        <v>9.8119681475522021E-3</v>
      </c>
      <c r="K143" s="458"/>
      <c r="L143" s="176">
        <v>7681.99</v>
      </c>
      <c r="M143" s="176">
        <v>8211.7800000000007</v>
      </c>
      <c r="O143" s="329">
        <f t="shared" si="43"/>
        <v>3.3447461035696331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'[64]Sch C'!D141</f>
        <v>225356.11</v>
      </c>
      <c r="D145" s="480">
        <f>'[64]Sch C'!F141</f>
        <v>0</v>
      </c>
      <c r="E145" s="480">
        <f>+'[64]Sch C'!H141</f>
        <v>0</v>
      </c>
      <c r="F145" s="166">
        <f t="shared" ref="F145:F148" si="48">C145+D145+E145</f>
        <v>225356.11</v>
      </c>
      <c r="G145" s="626">
        <v>-25730</v>
      </c>
      <c r="H145" s="166"/>
      <c r="I145" s="166">
        <f t="shared" ref="I145:I148" si="49">F145+G145+H145</f>
        <v>199626.11</v>
      </c>
      <c r="J145" s="167">
        <f>IF($I$213=0,0,I145/$I$213)</f>
        <v>1.5496082973353533E-2</v>
      </c>
      <c r="K145" s="458"/>
      <c r="L145" s="163"/>
      <c r="M145" s="163"/>
      <c r="O145" s="329">
        <f t="shared" si="43"/>
        <v>5.2823717287184779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'[64]Sch C'!D142</f>
        <v>55690.879999999997</v>
      </c>
      <c r="D146" s="480">
        <f>'[64]Sch C'!F142</f>
        <v>0</v>
      </c>
      <c r="E146" s="480">
        <f>+'[64]Sch C'!H142</f>
        <v>0</v>
      </c>
      <c r="F146" s="166">
        <f t="shared" si="48"/>
        <v>55690.879999999997</v>
      </c>
      <c r="G146" s="626">
        <v>-6269</v>
      </c>
      <c r="H146" s="166"/>
      <c r="I146" s="166">
        <f t="shared" si="49"/>
        <v>49421.88</v>
      </c>
      <c r="J146" s="167">
        <f>IF($I$213=0,0,I146/$I$213)</f>
        <v>3.8363997233584399E-3</v>
      </c>
      <c r="K146" s="458"/>
      <c r="L146" s="163"/>
      <c r="M146" s="163"/>
      <c r="O146" s="329">
        <f t="shared" si="43"/>
        <v>1.3077685163134078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'[64]Sch C'!D143</f>
        <v>240027.09</v>
      </c>
      <c r="D147" s="480">
        <f>'[64]Sch C'!F143</f>
        <v>0</v>
      </c>
      <c r="E147" s="480">
        <f>+'[64]Sch C'!H143</f>
        <v>0</v>
      </c>
      <c r="F147" s="166">
        <f t="shared" si="48"/>
        <v>240027.09</v>
      </c>
      <c r="G147" s="626">
        <v>-27022</v>
      </c>
      <c r="H147" s="166"/>
      <c r="I147" s="166">
        <f t="shared" si="49"/>
        <v>213005.09</v>
      </c>
      <c r="J147" s="167">
        <f>IF($I$213=0,0,I147/$I$213)</f>
        <v>1.6534633412365933E-2</v>
      </c>
      <c r="K147" s="458"/>
      <c r="L147" s="163"/>
      <c r="M147" s="163"/>
      <c r="O147" s="329">
        <f t="shared" si="43"/>
        <v>5.6363972903601383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'[64]Sch C'!D144</f>
        <v>19895.25</v>
      </c>
      <c r="D148" s="480">
        <f>'[64]Sch C'!F144</f>
        <v>0</v>
      </c>
      <c r="E148" s="480">
        <f>+'[64]Sch C'!H144</f>
        <v>0</v>
      </c>
      <c r="F148" s="166">
        <f t="shared" si="48"/>
        <v>19895.25</v>
      </c>
      <c r="G148" s="626">
        <v>-2268</v>
      </c>
      <c r="H148" s="166"/>
      <c r="I148" s="166">
        <f t="shared" si="49"/>
        <v>17627.25</v>
      </c>
      <c r="J148" s="167">
        <f>IF($I$213=0,0,I148/$I$213)</f>
        <v>1.3683246574911774E-3</v>
      </c>
      <c r="K148" s="458"/>
      <c r="L148" s="163"/>
      <c r="M148" s="163"/>
      <c r="O148" s="329">
        <f t="shared" si="43"/>
        <v>0.46644042232277527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'[64]Sch C'!D146</f>
        <v>66018.350000000006</v>
      </c>
      <c r="D150" s="480">
        <f>'[64]Sch C'!F146</f>
        <v>0</v>
      </c>
      <c r="E150" s="480">
        <f>+'[64]Sch C'!H146</f>
        <v>0</v>
      </c>
      <c r="F150" s="166">
        <f t="shared" ref="F150:F158" si="50">C150+D150+E150</f>
        <v>66018.350000000006</v>
      </c>
      <c r="G150" s="626"/>
      <c r="H150" s="166"/>
      <c r="I150" s="166">
        <f t="shared" ref="I150:I158" si="51">F150+G150+H150</f>
        <v>66018.350000000006</v>
      </c>
      <c r="J150" s="167">
        <f t="shared" ref="J150:J158" si="52">IF($I$213=0,0,I150/$I$213)</f>
        <v>5.1247095350597897E-3</v>
      </c>
      <c r="K150" s="458"/>
      <c r="L150" s="176">
        <v>0</v>
      </c>
      <c r="M150" s="176">
        <v>0</v>
      </c>
      <c r="O150" s="329">
        <f t="shared" si="43"/>
        <v>1.7469331322272501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'[64]Sch C'!D147</f>
        <v>64795.31</v>
      </c>
      <c r="D151" s="480">
        <f>'[64]Sch C'!F147</f>
        <v>0</v>
      </c>
      <c r="E151" s="480">
        <f>+'[64]Sch C'!H147</f>
        <v>0</v>
      </c>
      <c r="F151" s="166">
        <f t="shared" si="50"/>
        <v>64795.31</v>
      </c>
      <c r="G151" s="626">
        <f>1772-6694</f>
        <v>-4922</v>
      </c>
      <c r="H151" s="166"/>
      <c r="I151" s="166">
        <f t="shared" si="51"/>
        <v>59873.31</v>
      </c>
      <c r="J151" s="167">
        <f t="shared" si="52"/>
        <v>4.6476975364060239E-3</v>
      </c>
      <c r="K151" s="458"/>
      <c r="L151" s="176">
        <v>0</v>
      </c>
      <c r="M151" s="176">
        <v>0</v>
      </c>
      <c r="O151" s="329">
        <f t="shared" si="43"/>
        <v>1.5843272207668493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'[64]Sch C'!D148</f>
        <v>235196.52</v>
      </c>
      <c r="D152" s="480">
        <f>'[64]Sch C'!F148</f>
        <v>0</v>
      </c>
      <c r="E152" s="480">
        <f>+'[64]Sch C'!H148</f>
        <v>0</v>
      </c>
      <c r="F152" s="166">
        <f t="shared" si="50"/>
        <v>235196.52</v>
      </c>
      <c r="G152" s="626">
        <f>-62039-7267</f>
        <v>-69306</v>
      </c>
      <c r="H152" s="166"/>
      <c r="I152" s="166">
        <f t="shared" si="51"/>
        <v>165890.51999999999</v>
      </c>
      <c r="J152" s="167">
        <f t="shared" si="52"/>
        <v>1.2877339855055852E-2</v>
      </c>
      <c r="K152" s="458"/>
      <c r="L152" s="176">
        <v>0</v>
      </c>
      <c r="M152" s="176">
        <v>0</v>
      </c>
      <c r="O152" s="329">
        <f t="shared" si="43"/>
        <v>4.3896832579185521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'[64]Sch C'!D149</f>
        <v>133857.01</v>
      </c>
      <c r="D153" s="480">
        <f>'[64]Sch C'!F149</f>
        <v>0</v>
      </c>
      <c r="E153" s="480">
        <f>+'[64]Sch C'!H149</f>
        <v>0</v>
      </c>
      <c r="F153" s="166">
        <f t="shared" si="50"/>
        <v>133857.01</v>
      </c>
      <c r="G153" s="626">
        <f>5495-2517</f>
        <v>2978</v>
      </c>
      <c r="H153" s="166"/>
      <c r="I153" s="166">
        <f t="shared" si="51"/>
        <v>136835.01</v>
      </c>
      <c r="J153" s="167">
        <f t="shared" si="52"/>
        <v>1.062189043617421E-2</v>
      </c>
      <c r="K153" s="458"/>
      <c r="L153" s="176">
        <v>0</v>
      </c>
      <c r="M153" s="176">
        <v>0</v>
      </c>
      <c r="O153" s="329">
        <f t="shared" si="43"/>
        <v>3.6208359133126939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'[64]Sch C'!D150</f>
        <v>11405</v>
      </c>
      <c r="D154" s="480">
        <f>'[64]Sch C'!F150</f>
        <v>0</v>
      </c>
      <c r="E154" s="480">
        <f>+'[64]Sch C'!H150</f>
        <v>0</v>
      </c>
      <c r="F154" s="166">
        <f t="shared" si="50"/>
        <v>11405</v>
      </c>
      <c r="G154" s="626"/>
      <c r="H154" s="166"/>
      <c r="I154" s="166">
        <f t="shared" si="51"/>
        <v>11405</v>
      </c>
      <c r="J154" s="167">
        <f t="shared" si="52"/>
        <v>8.8531919151806874E-4</v>
      </c>
      <c r="K154" s="458"/>
      <c r="L154" s="176">
        <v>0</v>
      </c>
      <c r="M154" s="176">
        <v>0</v>
      </c>
      <c r="O154" s="329">
        <f t="shared" si="43"/>
        <v>0.3017914318223916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'[64]Sch C'!D151</f>
        <v>356730.61</v>
      </c>
      <c r="D155" s="480">
        <f>'[64]Sch C'!F151</f>
        <v>0</v>
      </c>
      <c r="E155" s="480">
        <f>+'[64]Sch C'!H151</f>
        <v>0</v>
      </c>
      <c r="F155" s="166">
        <f t="shared" si="50"/>
        <v>356730.61</v>
      </c>
      <c r="G155" s="626"/>
      <c r="H155" s="166"/>
      <c r="I155" s="166">
        <f t="shared" si="51"/>
        <v>356730.61</v>
      </c>
      <c r="J155" s="167">
        <f t="shared" si="52"/>
        <v>2.7691403352472378E-2</v>
      </c>
      <c r="K155" s="458"/>
      <c r="L155" s="163"/>
      <c r="M155" s="163"/>
      <c r="O155" s="329">
        <f t="shared" si="43"/>
        <v>9.4395652404011532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'[64]Sch C'!D152</f>
        <v>2232.7800000000002</v>
      </c>
      <c r="D156" s="480">
        <f>'[64]Sch C'!F152</f>
        <v>0</v>
      </c>
      <c r="E156" s="480">
        <f>+'[64]Sch C'!H152</f>
        <v>0</v>
      </c>
      <c r="F156" s="166">
        <f t="shared" si="50"/>
        <v>2232.7800000000002</v>
      </c>
      <c r="G156" s="626"/>
      <c r="H156" s="166"/>
      <c r="I156" s="166">
        <f t="shared" si="51"/>
        <v>2232.7800000000002</v>
      </c>
      <c r="J156" s="167">
        <f t="shared" si="52"/>
        <v>1.7332073515455621E-4</v>
      </c>
      <c r="K156" s="458"/>
      <c r="L156" s="163"/>
      <c r="M156" s="163"/>
      <c r="O156" s="329">
        <f t="shared" si="43"/>
        <v>5.9082321187584351E-2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'[64]Sch C'!D153</f>
        <v>29759.11</v>
      </c>
      <c r="D157" s="480">
        <f>'[64]Sch C'!F153</f>
        <v>0</v>
      </c>
      <c r="E157" s="480">
        <f>+'[64]Sch C'!H153</f>
        <v>0</v>
      </c>
      <c r="F157" s="166">
        <f t="shared" si="50"/>
        <v>29759.11</v>
      </c>
      <c r="G157" s="626">
        <f>-1490-1075</f>
        <v>-2565</v>
      </c>
      <c r="H157" s="166"/>
      <c r="I157" s="166">
        <f t="shared" si="51"/>
        <v>27194.11</v>
      </c>
      <c r="J157" s="167">
        <f t="shared" si="52"/>
        <v>2.1109572537705767E-3</v>
      </c>
      <c r="K157" s="458"/>
      <c r="L157" s="163"/>
      <c r="M157" s="163"/>
      <c r="O157" s="329">
        <f t="shared" si="43"/>
        <v>0.71959223095446012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'[64]Sch C'!D154</f>
        <v>193146.95</v>
      </c>
      <c r="D158" s="480">
        <f>'[64]Sch C'!F154</f>
        <v>0</v>
      </c>
      <c r="E158" s="480">
        <f>+'[64]Sch C'!H154</f>
        <v>0</v>
      </c>
      <c r="F158" s="166">
        <f t="shared" si="50"/>
        <v>193146.95</v>
      </c>
      <c r="G158" s="626">
        <v>62039</v>
      </c>
      <c r="H158" s="166"/>
      <c r="I158" s="166">
        <f t="shared" si="51"/>
        <v>255185.95</v>
      </c>
      <c r="J158" s="167">
        <f t="shared" si="52"/>
        <v>1.9808945106599765E-2</v>
      </c>
      <c r="K158" s="458"/>
      <c r="L158" s="163"/>
      <c r="M158" s="163"/>
      <c r="O158" s="329">
        <f t="shared" si="43"/>
        <v>6.7525588102987486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'[64]Sch C'!D156</f>
        <v>0</v>
      </c>
      <c r="D160" s="480">
        <f>'[64]Sch C'!F156</f>
        <v>0</v>
      </c>
      <c r="E160" s="480">
        <f>+'[64]Sch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'[64]Sch C'!D157</f>
        <v>3368.59</v>
      </c>
      <c r="D161" s="480">
        <f>'[64]Sch C'!F157</f>
        <v>0</v>
      </c>
      <c r="E161" s="480">
        <f>+'[64]Sch C'!H157</f>
        <v>0</v>
      </c>
      <c r="F161" s="166">
        <f t="shared" si="53"/>
        <v>3368.59</v>
      </c>
      <c r="G161" s="626"/>
      <c r="H161" s="166"/>
      <c r="I161" s="166">
        <f t="shared" si="54"/>
        <v>3368.59</v>
      </c>
      <c r="J161" s="167">
        <f t="shared" si="55"/>
        <v>2.6148859056167041E-4</v>
      </c>
      <c r="K161" s="458"/>
      <c r="L161" s="163"/>
      <c r="M161" s="163"/>
      <c r="O161" s="329">
        <f t="shared" si="43"/>
        <v>8.9137360747267871E-2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'[64]Sch C'!D158</f>
        <v>0</v>
      </c>
      <c r="D162" s="480">
        <f>'[64]Sch C'!F158</f>
        <v>0</v>
      </c>
      <c r="E162" s="480">
        <f>+'[64]Sch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'[64]Sch C'!D159</f>
        <v>0</v>
      </c>
      <c r="D163" s="480">
        <f>'[64]Sch C'!F159</f>
        <v>0</v>
      </c>
      <c r="E163" s="480">
        <f>+'[64]Sch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'[64]Sch C'!D160</f>
        <v>0</v>
      </c>
      <c r="D164" s="480">
        <f>'[64]Sch C'!F160</f>
        <v>0</v>
      </c>
      <c r="E164" s="480">
        <f>+'[64]Sch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'[64]Sch C'!D161</f>
        <v>94318.49</v>
      </c>
      <c r="D165" s="480">
        <f>'[64]Sch C'!F161</f>
        <v>0</v>
      </c>
      <c r="E165" s="480">
        <f>+'[64]Sch C'!H161</f>
        <v>0</v>
      </c>
      <c r="F165" s="166">
        <f t="shared" si="53"/>
        <v>94318.49</v>
      </c>
      <c r="G165" s="626">
        <f>-34746</f>
        <v>-34746</v>
      </c>
      <c r="H165" s="166"/>
      <c r="I165" s="166">
        <f t="shared" si="54"/>
        <v>59572.490000000005</v>
      </c>
      <c r="J165" s="167">
        <f t="shared" si="55"/>
        <v>4.6243462238946282E-3</v>
      </c>
      <c r="K165" s="458"/>
      <c r="L165" s="163"/>
      <c r="M165" s="163"/>
      <c r="O165" s="329">
        <f t="shared" si="43"/>
        <v>1.5763671244476198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5743171.7699999996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5743171.7699999996</v>
      </c>
      <c r="G166" s="166">
        <f t="shared" si="57"/>
        <v>-120128</v>
      </c>
      <c r="H166" s="166">
        <f t="shared" si="57"/>
        <v>0</v>
      </c>
      <c r="I166" s="166">
        <f t="shared" si="57"/>
        <v>5623043.7699999996</v>
      </c>
      <c r="J166" s="167">
        <f t="shared" si="55"/>
        <v>0.43649176364113224</v>
      </c>
      <c r="K166" s="458"/>
      <c r="L166" s="163"/>
      <c r="M166" s="163"/>
      <c r="O166" s="329">
        <f>I166/I$233</f>
        <v>148.79319864518007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'[64]Sch C'!D175</f>
        <v>0</v>
      </c>
      <c r="D169" s="480">
        <f>'[64]Sch C'!F175</f>
        <v>0</v>
      </c>
      <c r="E169" s="480">
        <f>+'[64]Sch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'[64]Sch C'!D176</f>
        <v>0</v>
      </c>
      <c r="D170" s="480">
        <f>'[64]Sch C'!F176</f>
        <v>0</v>
      </c>
      <c r="E170" s="480">
        <f>+'[64]Sch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'[64]Sch C'!D177</f>
        <v>0</v>
      </c>
      <c r="D171" s="480">
        <f>'[64]Sch C'!F177</f>
        <v>0</v>
      </c>
      <c r="E171" s="480">
        <f>+'[64]Sch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'[64]Sch C'!D178</f>
        <v>0</v>
      </c>
      <c r="D172" s="480">
        <f>'[64]Sch C'!F178</f>
        <v>0</v>
      </c>
      <c r="E172" s="480">
        <f>+'[64]Sch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'[64]Sch C'!D179</f>
        <v>0</v>
      </c>
      <c r="D173" s="480">
        <f>'[64]Sch C'!F179</f>
        <v>0</v>
      </c>
      <c r="E173" s="480">
        <f>+'[64]Sch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'[64]Sch C'!D180</f>
        <v>0</v>
      </c>
      <c r="D174" s="480">
        <f>'[64]Sch C'!F180</f>
        <v>0</v>
      </c>
      <c r="E174" s="480">
        <f>+'[64]Sch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'[64]Sch C'!D181</f>
        <v>0</v>
      </c>
      <c r="D175" s="480">
        <f>'[64]Sch C'!F181</f>
        <v>0</v>
      </c>
      <c r="E175" s="480">
        <f>+'[64]Sch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'[64]Sch C'!D182</f>
        <v>0</v>
      </c>
      <c r="D176" s="480">
        <f>'[64]Sch C'!F182</f>
        <v>0</v>
      </c>
      <c r="E176" s="480">
        <f>+'[64]Sch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'[64]Sch C'!D183</f>
        <v>0</v>
      </c>
      <c r="D177" s="480">
        <f>'[64]Sch C'!F183</f>
        <v>0</v>
      </c>
      <c r="E177" s="480">
        <f>+'[64]Sch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'[64]Sch C'!D184</f>
        <v>0</v>
      </c>
      <c r="D178" s="480">
        <f>'[64]Sch C'!F184</f>
        <v>0</v>
      </c>
      <c r="E178" s="480">
        <f>+'[64]Sch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'[64]Sch C'!D185</f>
        <v>0</v>
      </c>
      <c r="D179" s="480">
        <f>'[64]Sch C'!F185</f>
        <v>0</v>
      </c>
      <c r="E179" s="480">
        <f>+'[64]Sch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'[64]Sch C'!D186</f>
        <v>0</v>
      </c>
      <c r="D180" s="480">
        <f>'[64]Sch C'!F186</f>
        <v>0</v>
      </c>
      <c r="E180" s="480">
        <f>+'[64]Sch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'[64]Sch C'!D187</f>
        <v>0</v>
      </c>
      <c r="D181" s="480">
        <f>'[64]Sch C'!F187</f>
        <v>0</v>
      </c>
      <c r="E181" s="480">
        <f>+'[64]Sch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'[64]Sch C'!D188</f>
        <v>0</v>
      </c>
      <c r="D182" s="480">
        <f>'[64]Sch C'!F188</f>
        <v>0</v>
      </c>
      <c r="E182" s="480">
        <f>+'[64]Sch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'[64]Sch C'!D189</f>
        <v>0</v>
      </c>
      <c r="D183" s="480">
        <f>'[64]Sch C'!F189</f>
        <v>0</v>
      </c>
      <c r="E183" s="480">
        <f>+'[64]Sch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'[64]Sch C'!D190</f>
        <v>0</v>
      </c>
      <c r="D184" s="480">
        <f>'[64]Sch C'!F190</f>
        <v>0</v>
      </c>
      <c r="E184" s="480">
        <f>+'[64]Sch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'[64]Sch C'!D191</f>
        <v>0</v>
      </c>
      <c r="D185" s="480">
        <f>'[64]Sch C'!F191</f>
        <v>0</v>
      </c>
      <c r="E185" s="480">
        <f>+'[64]Sch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'[64]Sch C'!D192</f>
        <v>0</v>
      </c>
      <c r="D186" s="480">
        <f>'[64]Sch C'!F192</f>
        <v>0</v>
      </c>
      <c r="E186" s="480">
        <f>+'[64]Sch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'[64]Sch C'!D193</f>
        <v>0</v>
      </c>
      <c r="D187" s="480">
        <f>'[64]Sch C'!F193</f>
        <v>0</v>
      </c>
      <c r="E187" s="480">
        <f>+'[64]Sch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'[64]Sch C'!D194</f>
        <v>667533.96</v>
      </c>
      <c r="D188" s="480">
        <f>'[64]Sch C'!F194</f>
        <v>0</v>
      </c>
      <c r="E188" s="480">
        <f>+'[64]Sch C'!H194</f>
        <v>-20948.650000000001</v>
      </c>
      <c r="F188" s="166">
        <f t="shared" si="58"/>
        <v>646585.30999999994</v>
      </c>
      <c r="G188" s="626"/>
      <c r="H188" s="166"/>
      <c r="I188" s="166">
        <f t="shared" si="59"/>
        <v>646585.30999999994</v>
      </c>
      <c r="J188" s="167">
        <f t="shared" si="60"/>
        <v>5.0191528618733869E-2</v>
      </c>
      <c r="K188" s="458"/>
      <c r="L188" s="213"/>
      <c r="M188" s="208"/>
      <c r="O188" s="329">
        <f t="shared" si="61"/>
        <v>17.109505173189383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'[64]Sch C'!D195</f>
        <v>203136.27</v>
      </c>
      <c r="D189" s="480">
        <f>'[64]Sch C'!F195</f>
        <v>0</v>
      </c>
      <c r="E189" s="480">
        <f>+'[64]Sch C'!H195</f>
        <v>-6374.84</v>
      </c>
      <c r="F189" s="166">
        <f t="shared" si="58"/>
        <v>196761.43</v>
      </c>
      <c r="G189" s="626"/>
      <c r="H189" s="166"/>
      <c r="I189" s="166">
        <f t="shared" si="59"/>
        <v>196761.43</v>
      </c>
      <c r="J189" s="167">
        <f t="shared" si="60"/>
        <v>1.5273710664580366E-2</v>
      </c>
      <c r="K189" s="458"/>
      <c r="L189" s="213"/>
      <c r="M189" s="208"/>
      <c r="O189" s="329">
        <f t="shared" si="61"/>
        <v>5.2065684951443467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'[64]Sch C'!D196</f>
        <v>0</v>
      </c>
      <c r="D190" s="480">
        <f>'[64]Sch C'!F196</f>
        <v>0</v>
      </c>
      <c r="E190" s="480">
        <f>+'[64]Sch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'[64]Sch C'!D197</f>
        <v>618204.71</v>
      </c>
      <c r="D191" s="480">
        <f>'[64]Sch C'!F197</f>
        <v>0</v>
      </c>
      <c r="E191" s="480">
        <f>+'[64]Sch C'!H197</f>
        <v>-19400.599999999999</v>
      </c>
      <c r="F191" s="166">
        <f t="shared" si="58"/>
        <v>598804.11</v>
      </c>
      <c r="G191" s="626"/>
      <c r="H191" s="166"/>
      <c r="I191" s="166">
        <f t="shared" si="59"/>
        <v>598804.11</v>
      </c>
      <c r="J191" s="167">
        <f t="shared" si="60"/>
        <v>4.6482487553081688E-2</v>
      </c>
      <c r="K191" s="458"/>
      <c r="L191" s="213"/>
      <c r="M191" s="208"/>
      <c r="O191" s="329">
        <f t="shared" si="61"/>
        <v>15.845151226482496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'[64]Sch C'!D198</f>
        <v>86266.08</v>
      </c>
      <c r="D192" s="480">
        <f>'[64]Sch C'!F198</f>
        <v>0</v>
      </c>
      <c r="E192" s="480">
        <f>+'[64]Sch C'!H198</f>
        <v>0</v>
      </c>
      <c r="F192" s="166">
        <f t="shared" si="58"/>
        <v>86266.08</v>
      </c>
      <c r="G192" s="626"/>
      <c r="H192" s="166"/>
      <c r="I192" s="166">
        <f t="shared" si="59"/>
        <v>86266.08</v>
      </c>
      <c r="J192" s="167">
        <f t="shared" si="60"/>
        <v>6.6964503464299026E-3</v>
      </c>
      <c r="K192" s="458"/>
      <c r="L192" s="213"/>
      <c r="M192" s="208"/>
      <c r="O192" s="329">
        <f t="shared" si="61"/>
        <v>2.2827149321266971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'[64]Sch C'!D199</f>
        <v>0</v>
      </c>
      <c r="D193" s="480">
        <f>'[64]Sch C'!F199</f>
        <v>0</v>
      </c>
      <c r="E193" s="480">
        <f>+'[64]Sch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'[64]Sch C'!D200</f>
        <v>0</v>
      </c>
      <c r="D194" s="480">
        <f>'[64]Sch C'!F200</f>
        <v>0</v>
      </c>
      <c r="E194" s="480">
        <f>+'[64]Sch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'[64]Sch C'!D201</f>
        <v>0</v>
      </c>
      <c r="D195" s="480">
        <f>'[64]Sch C'!F201</f>
        <v>0</v>
      </c>
      <c r="E195" s="480">
        <f>+'[64]Sch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'[64]Sch C'!D202</f>
        <v>0</v>
      </c>
      <c r="D196" s="480">
        <f>'[64]Sch C'!F202</f>
        <v>0</v>
      </c>
      <c r="E196" s="480">
        <f>+'[64]Sch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'[64]Sch C'!D203</f>
        <v>0</v>
      </c>
      <c r="D197" s="480">
        <f>'[64]Sch C'!F203</f>
        <v>0</v>
      </c>
      <c r="E197" s="480">
        <f>+'[64]Sch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'[64]Sch C'!D204</f>
        <v>0</v>
      </c>
      <c r="D198" s="480">
        <f>'[64]Sch C'!F204</f>
        <v>0</v>
      </c>
      <c r="E198" s="480">
        <f>+'[64]Sch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'[64]Sch C'!D205</f>
        <v>777604.42</v>
      </c>
      <c r="D199" s="480">
        <f>'[64]Sch C'!F205</f>
        <v>0</v>
      </c>
      <c r="E199" s="480">
        <f>+'[64]Sch C'!H205</f>
        <v>-494204</v>
      </c>
      <c r="F199" s="166">
        <f t="shared" si="58"/>
        <v>283400.42000000004</v>
      </c>
      <c r="G199" s="626"/>
      <c r="H199" s="166"/>
      <c r="I199" s="166">
        <f t="shared" si="59"/>
        <v>283400.42000000004</v>
      </c>
      <c r="J199" s="167">
        <f t="shared" si="60"/>
        <v>2.1999108348117594E-2</v>
      </c>
      <c r="K199" s="458"/>
      <c r="L199" s="213"/>
      <c r="M199" s="208"/>
      <c r="O199" s="329">
        <f t="shared" si="61"/>
        <v>7.4991511206371895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'[64]Sch C'!D206</f>
        <v>69125.19</v>
      </c>
      <c r="D200" s="480">
        <f>'[64]Sch C'!F206</f>
        <v>0</v>
      </c>
      <c r="E200" s="480">
        <f>+'[64]Sch C'!H206</f>
        <v>0</v>
      </c>
      <c r="F200" s="166">
        <f t="shared" si="58"/>
        <v>69125.19</v>
      </c>
      <c r="G200" s="626"/>
      <c r="H200" s="166"/>
      <c r="I200" s="166">
        <f t="shared" si="59"/>
        <v>69125.19</v>
      </c>
      <c r="J200" s="167">
        <f t="shared" si="60"/>
        <v>5.3658796426420772E-3</v>
      </c>
      <c r="K200" s="458"/>
      <c r="L200" s="213"/>
      <c r="M200" s="208"/>
      <c r="O200" s="329">
        <f t="shared" si="61"/>
        <v>1.8291442406922285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'[64]Sch C'!D207</f>
        <v>37962.21</v>
      </c>
      <c r="D201" s="480">
        <f>'[64]Sch C'!F207</f>
        <v>0</v>
      </c>
      <c r="E201" s="480">
        <f>+'[64]Sch C'!H207</f>
        <v>0</v>
      </c>
      <c r="F201" s="166">
        <f t="shared" si="58"/>
        <v>37962.21</v>
      </c>
      <c r="G201" s="626"/>
      <c r="H201" s="166"/>
      <c r="I201" s="166">
        <f t="shared" si="59"/>
        <v>37962.21</v>
      </c>
      <c r="J201" s="167">
        <f t="shared" si="60"/>
        <v>2.9468367440104466E-3</v>
      </c>
      <c r="K201" s="458"/>
      <c r="L201" s="213"/>
      <c r="M201" s="208"/>
      <c r="O201" s="329">
        <f t="shared" si="61"/>
        <v>1.00453044375645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2459832.84</v>
      </c>
      <c r="D202" s="480">
        <f t="shared" si="62"/>
        <v>0</v>
      </c>
      <c r="E202" s="480">
        <f t="shared" si="62"/>
        <v>-540928.09</v>
      </c>
      <c r="F202" s="166">
        <f t="shared" ref="F202:I202" si="63">SUM(F169:F201)</f>
        <v>1918904.75</v>
      </c>
      <c r="G202" s="166">
        <f t="shared" si="63"/>
        <v>0</v>
      </c>
      <c r="H202" s="166">
        <f t="shared" si="63"/>
        <v>0</v>
      </c>
      <c r="I202" s="166">
        <f t="shared" si="63"/>
        <v>1918904.75</v>
      </c>
      <c r="J202" s="167">
        <f>IF($I$213=0,0,I202/$I$213)</f>
        <v>0.14895600191759595</v>
      </c>
      <c r="K202" s="458"/>
      <c r="L202" s="163"/>
      <c r="M202" s="163"/>
      <c r="O202" s="329">
        <f>I202/I$233</f>
        <v>50.776765632028791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'[64]Sch C'!D211</f>
        <v>220518.47</v>
      </c>
      <c r="D205" s="480">
        <f>'[64]Sch C'!F211</f>
        <v>0</v>
      </c>
      <c r="E205" s="480">
        <f>+'[64]Sch C'!H211</f>
        <v>0</v>
      </c>
      <c r="F205" s="166">
        <f t="shared" ref="F205:F210" si="64">C205+D205+E205</f>
        <v>220518.47</v>
      </c>
      <c r="G205" s="626"/>
      <c r="H205" s="166"/>
      <c r="I205" s="166">
        <f t="shared" ref="I205:I210" si="65">F205+G205+H205</f>
        <v>220518.47</v>
      </c>
      <c r="J205" s="167">
        <f t="shared" ref="J205:J211" si="66">IF($I$213=0,0,I205/$I$213)</f>
        <v>1.7117863531363568E-2</v>
      </c>
      <c r="K205" s="458"/>
      <c r="L205" s="176">
        <v>11132.73</v>
      </c>
      <c r="M205" s="176">
        <v>12283.27</v>
      </c>
      <c r="O205" s="329">
        <f t="shared" ref="O205:O210" si="67">I205/I$233</f>
        <v>5.8352112936942655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'[64]Sch C'!D212</f>
        <v>55689.06</v>
      </c>
      <c r="D206" s="480">
        <f>'[64]Sch C'!F212</f>
        <v>0</v>
      </c>
      <c r="E206" s="480">
        <f>+'[64]Sch C'!H212</f>
        <v>0</v>
      </c>
      <c r="F206" s="166">
        <f t="shared" si="64"/>
        <v>55689.06</v>
      </c>
      <c r="G206" s="626">
        <v>-4241</v>
      </c>
      <c r="H206" s="166"/>
      <c r="I206" s="166">
        <f t="shared" si="65"/>
        <v>51448.06</v>
      </c>
      <c r="J206" s="167">
        <f t="shared" si="66"/>
        <v>3.9936830236188591E-3</v>
      </c>
      <c r="K206" s="458"/>
      <c r="L206" s="163"/>
      <c r="M206" s="163"/>
      <c r="O206" s="329">
        <f t="shared" si="67"/>
        <v>1.3613839273901194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'[64]Sch C'!D213</f>
        <v>17500.38</v>
      </c>
      <c r="D207" s="480">
        <f>'[64]Sch C'!F213</f>
        <v>0</v>
      </c>
      <c r="E207" s="480">
        <f>+'[64]Sch C'!H213</f>
        <v>0</v>
      </c>
      <c r="F207" s="166">
        <f t="shared" si="64"/>
        <v>17500.38</v>
      </c>
      <c r="G207" s="626"/>
      <c r="H207" s="166"/>
      <c r="I207" s="166">
        <f t="shared" si="65"/>
        <v>17500.38</v>
      </c>
      <c r="J207" s="167">
        <f t="shared" si="66"/>
        <v>1.3584763062568154E-3</v>
      </c>
      <c r="K207" s="458"/>
      <c r="L207" s="163"/>
      <c r="M207" s="163"/>
      <c r="O207" s="329">
        <f t="shared" si="67"/>
        <v>0.46308327379534814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'[64]Sch C'!D214</f>
        <v>925</v>
      </c>
      <c r="D208" s="480">
        <f>'[64]Sch C'!F214</f>
        <v>0</v>
      </c>
      <c r="E208" s="480">
        <f>+'[64]Sch C'!H214</f>
        <v>0</v>
      </c>
      <c r="F208" s="166">
        <f t="shared" si="64"/>
        <v>925</v>
      </c>
      <c r="G208" s="626"/>
      <c r="H208" s="166"/>
      <c r="I208" s="166">
        <f t="shared" si="65"/>
        <v>925</v>
      </c>
      <c r="J208" s="167">
        <f t="shared" si="66"/>
        <v>7.1803617023604875E-5</v>
      </c>
      <c r="K208" s="458"/>
      <c r="L208" s="163"/>
      <c r="M208" s="163"/>
      <c r="O208" s="329">
        <f t="shared" si="67"/>
        <v>2.4476727263104972E-2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'[64]Sch C'!D215</f>
        <v>0</v>
      </c>
      <c r="D209" s="480">
        <f>'[64]Sch C'!F215</f>
        <v>0</v>
      </c>
      <c r="E209" s="480">
        <f>+'[64]Sch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'[64]Sch C'!D216</f>
        <v>13785.06</v>
      </c>
      <c r="D210" s="480">
        <f>'[64]Sch C'!F216</f>
        <v>0</v>
      </c>
      <c r="E210" s="480">
        <f>+'[64]Sch C'!H216</f>
        <v>0</v>
      </c>
      <c r="F210" s="166">
        <f t="shared" si="64"/>
        <v>13785.06</v>
      </c>
      <c r="G210" s="626"/>
      <c r="H210" s="166"/>
      <c r="I210" s="166">
        <f t="shared" si="65"/>
        <v>13785.06</v>
      </c>
      <c r="J210" s="167">
        <f t="shared" si="66"/>
        <v>1.0700726150134211E-3</v>
      </c>
      <c r="K210" s="458"/>
      <c r="L210" s="163"/>
      <c r="M210" s="163"/>
      <c r="O210" s="329">
        <f t="shared" si="67"/>
        <v>0.36477097721679763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308417.97000000003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308417.97000000003</v>
      </c>
      <c r="G211" s="166">
        <f t="shared" si="69"/>
        <v>-4241</v>
      </c>
      <c r="H211" s="166">
        <f t="shared" si="69"/>
        <v>0</v>
      </c>
      <c r="I211" s="166">
        <f t="shared" si="69"/>
        <v>304176.97000000003</v>
      </c>
      <c r="J211" s="167">
        <f t="shared" si="66"/>
        <v>2.3611899093276271E-2</v>
      </c>
      <c r="K211" s="458"/>
      <c r="L211" s="163"/>
      <c r="M211" s="163"/>
      <c r="O211" s="329">
        <f>I211/I$233</f>
        <v>8.0489261993596362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13858493.390000001</v>
      </c>
      <c r="D213" s="480">
        <f t="shared" si="70"/>
        <v>-700544.85000000009</v>
      </c>
      <c r="E213" s="480">
        <f t="shared" si="70"/>
        <v>-1439110.15</v>
      </c>
      <c r="F213" s="166">
        <f t="shared" ref="F213:I213" si="71">SUM(F30:F211)/2</f>
        <v>11718838.389999997</v>
      </c>
      <c r="G213" s="166">
        <f t="shared" si="71"/>
        <v>-22927</v>
      </c>
      <c r="H213" s="166">
        <f t="shared" si="71"/>
        <v>1186448</v>
      </c>
      <c r="I213" s="166">
        <f t="shared" si="71"/>
        <v>12882359.389999999</v>
      </c>
      <c r="J213" s="167">
        <f>IF($I$213=0,0,I213/$I$213)</f>
        <v>1</v>
      </c>
      <c r="K213" s="458"/>
      <c r="L213" s="176">
        <f>SUM(L30:L205)</f>
        <v>243186.74</v>
      </c>
      <c r="M213" s="176">
        <f>SUM(M30:M205)</f>
        <v>259957.24000000002</v>
      </c>
      <c r="O213" s="329">
        <f>I213/I$233</f>
        <v>340.88432139927494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/>
      <c r="M215"/>
    </row>
    <row r="216" spans="1:16" s="162" customFormat="1" ht="15.5">
      <c r="A216" s="158"/>
      <c r="B216" s="218" t="s">
        <v>172</v>
      </c>
      <c r="C216" s="480">
        <f>'[64]Sch C'!D221</f>
        <v>13858493.390000001</v>
      </c>
      <c r="D216" s="188"/>
      <c r="E216" s="188"/>
      <c r="F216" s="160"/>
      <c r="G216" s="160"/>
      <c r="H216" s="506"/>
      <c r="I216"/>
      <c r="K216" s="460"/>
      <c r="L216"/>
      <c r="M216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11"/>
      <c r="I217"/>
      <c r="K217" s="460"/>
      <c r="L217"/>
      <c r="M217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-778243.41000000387</v>
      </c>
      <c r="D220" s="480">
        <f t="shared" si="72"/>
        <v>3400328.23</v>
      </c>
      <c r="E220" s="480">
        <f t="shared" si="72"/>
        <v>1439110.15</v>
      </c>
      <c r="F220" s="166">
        <f t="shared" ref="F220:I220" si="73">F26-F213</f>
        <v>4061194.9700000025</v>
      </c>
      <c r="G220" s="166">
        <f t="shared" si="73"/>
        <v>12913</v>
      </c>
      <c r="H220" s="166">
        <f t="shared" si="73"/>
        <v>-1186448</v>
      </c>
      <c r="I220" s="166">
        <f t="shared" si="73"/>
        <v>2887659.9700000025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 ht="13.9" customHeight="1">
      <c r="A223" s="158"/>
      <c r="B223" s="222" t="s">
        <v>151</v>
      </c>
      <c r="C223" s="160"/>
      <c r="D223" s="160"/>
      <c r="E223" s="160"/>
      <c r="F223"/>
      <c r="G223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'[64]Sch D'!C9</f>
        <v>22990</v>
      </c>
      <c r="D224" s="480"/>
      <c r="E224" s="480"/>
      <c r="F224" s="224">
        <f>C224+D224+E224</f>
        <v>22990</v>
      </c>
      <c r="G224" s="627"/>
      <c r="H224" s="223"/>
      <c r="I224" s="224">
        <f>F224+G224+H224</f>
        <v>22990</v>
      </c>
      <c r="J224" s="167">
        <f t="shared" ref="J224:J233" si="74">IF($I$233=0,0,I224/$I$233)</f>
        <v>0.60834590246354947</v>
      </c>
      <c r="K224" s="458"/>
      <c r="L224" s="163"/>
      <c r="M224" s="163"/>
    </row>
    <row r="225" spans="1:13">
      <c r="A225" s="158"/>
      <c r="B225" s="165" t="s">
        <v>201</v>
      </c>
      <c r="C225" s="504">
        <f>'[64]Sch D'!D9</f>
        <v>311</v>
      </c>
      <c r="D225" s="480"/>
      <c r="E225" s="480"/>
      <c r="F225" s="224">
        <f t="shared" ref="F225:F232" si="75">C225+D225+E225</f>
        <v>311</v>
      </c>
      <c r="G225" s="627"/>
      <c r="H225" s="223"/>
      <c r="I225" s="224">
        <f t="shared" ref="I225:I232" si="76">F225+G225+H225</f>
        <v>311</v>
      </c>
      <c r="J225" s="167">
        <f t="shared" si="74"/>
        <v>8.2294726257574561E-3</v>
      </c>
      <c r="K225" s="458"/>
      <c r="L225" s="163"/>
      <c r="M225" s="163"/>
    </row>
    <row r="226" spans="1:13">
      <c r="A226" s="158"/>
      <c r="B226" s="165" t="s">
        <v>64</v>
      </c>
      <c r="C226" s="504">
        <f>'[64]Sch D'!E9</f>
        <v>7155</v>
      </c>
      <c r="D226" s="480"/>
      <c r="E226" s="480"/>
      <c r="F226" s="224">
        <f t="shared" si="75"/>
        <v>7155</v>
      </c>
      <c r="G226" s="627"/>
      <c r="H226" s="223"/>
      <c r="I226" s="224">
        <f t="shared" si="76"/>
        <v>7155</v>
      </c>
      <c r="J226" s="167">
        <f t="shared" si="74"/>
        <v>0.18933079304596331</v>
      </c>
      <c r="K226" s="458"/>
      <c r="L226" s="163"/>
      <c r="M226" s="163"/>
    </row>
    <row r="227" spans="1:13">
      <c r="A227" s="158"/>
      <c r="B227" s="194" t="s">
        <v>315</v>
      </c>
      <c r="C227" s="504">
        <f>'[64]Sch D'!F9</f>
        <v>1246</v>
      </c>
      <c r="D227" s="480"/>
      <c r="E227" s="480"/>
      <c r="F227" s="224">
        <f t="shared" si="75"/>
        <v>1246</v>
      </c>
      <c r="G227" s="627"/>
      <c r="H227" s="223"/>
      <c r="I227" s="224">
        <f t="shared" si="76"/>
        <v>1246</v>
      </c>
      <c r="J227" s="167">
        <f t="shared" si="74"/>
        <v>3.2970813156571674E-2</v>
      </c>
      <c r="K227" s="458"/>
      <c r="L227" s="163"/>
      <c r="M227" s="163"/>
    </row>
    <row r="228" spans="1:13">
      <c r="A228" s="158"/>
      <c r="B228" s="165" t="s">
        <v>65</v>
      </c>
      <c r="C228" s="504">
        <f>'[64]Sch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'[64]Sch D'!H9</f>
        <v>3399</v>
      </c>
      <c r="D229" s="480"/>
      <c r="E229" s="480"/>
      <c r="F229" s="224">
        <f t="shared" si="75"/>
        <v>3399</v>
      </c>
      <c r="G229" s="627"/>
      <c r="H229" s="223"/>
      <c r="I229" s="224">
        <f t="shared" si="76"/>
        <v>3399</v>
      </c>
      <c r="J229" s="167">
        <f t="shared" si="74"/>
        <v>8.9942049694371681E-2</v>
      </c>
      <c r="K229" s="458"/>
      <c r="L229" s="163"/>
      <c r="M229" s="163"/>
    </row>
    <row r="230" spans="1:13">
      <c r="A230" s="158"/>
      <c r="B230" s="165" t="s">
        <v>219</v>
      </c>
      <c r="C230" s="504">
        <f>'[64]Sch D'!I9</f>
        <v>2143</v>
      </c>
      <c r="D230" s="480"/>
      <c r="E230" s="480"/>
      <c r="F230" s="224">
        <f t="shared" si="75"/>
        <v>2143</v>
      </c>
      <c r="G230" s="627"/>
      <c r="H230" s="223"/>
      <c r="I230" s="224">
        <f t="shared" si="76"/>
        <v>2143</v>
      </c>
      <c r="J230" s="167">
        <f t="shared" si="74"/>
        <v>5.670662327009076E-2</v>
      </c>
      <c r="K230" s="458"/>
      <c r="L230" s="163"/>
      <c r="M230" s="163"/>
    </row>
    <row r="231" spans="1:13">
      <c r="A231" s="158"/>
      <c r="B231" s="165" t="s">
        <v>218</v>
      </c>
      <c r="C231" s="504">
        <f>'[64]Sch D'!J9</f>
        <v>505</v>
      </c>
      <c r="D231" s="480"/>
      <c r="E231" s="480"/>
      <c r="F231" s="224">
        <f t="shared" si="75"/>
        <v>505</v>
      </c>
      <c r="G231" s="627"/>
      <c r="H231" s="223"/>
      <c r="I231" s="224">
        <f t="shared" si="76"/>
        <v>505</v>
      </c>
      <c r="J231" s="167">
        <f>IF($I$233=0,0,I231/$I$233)</f>
        <v>1.3362970019316769E-2</v>
      </c>
      <c r="K231" s="458"/>
      <c r="L231" s="163"/>
      <c r="M231" s="163"/>
    </row>
    <row r="232" spans="1:13">
      <c r="A232" s="158"/>
      <c r="B232" s="165" t="s">
        <v>170</v>
      </c>
      <c r="C232" s="504">
        <f>'[64]Sch D'!K9</f>
        <v>42</v>
      </c>
      <c r="D232" s="480"/>
      <c r="E232" s="480"/>
      <c r="F232" s="224">
        <f t="shared" si="75"/>
        <v>42</v>
      </c>
      <c r="G232" s="627"/>
      <c r="H232" s="223"/>
      <c r="I232" s="224">
        <f t="shared" si="76"/>
        <v>42</v>
      </c>
      <c r="J232" s="167">
        <f t="shared" si="74"/>
        <v>1.1113757243788203E-3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37791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37791</v>
      </c>
      <c r="G233" s="226">
        <f t="shared" si="78"/>
        <v>0</v>
      </c>
      <c r="H233" s="226">
        <f t="shared" si="78"/>
        <v>0</v>
      </c>
      <c r="I233" s="226">
        <f t="shared" si="78"/>
        <v>37791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'[64]Sch D'!N22</f>
        <v>124</v>
      </c>
      <c r="D236" s="480"/>
      <c r="E236" s="480"/>
      <c r="F236" s="224">
        <f>C236+E236</f>
        <v>124</v>
      </c>
      <c r="G236" s="627"/>
      <c r="H236" s="441"/>
      <c r="I236" s="224">
        <f>F236+G236+H236</f>
        <v>124</v>
      </c>
      <c r="J236" s="442"/>
      <c r="K236" s="460"/>
      <c r="L236" s="163"/>
      <c r="M236" s="163"/>
    </row>
    <row r="237" spans="1:13" ht="15.5">
      <c r="A237" s="158"/>
      <c r="B237" s="194" t="s">
        <v>271</v>
      </c>
      <c r="C237" s="504">
        <f>'[64]Sch D'!N24</f>
        <v>124</v>
      </c>
      <c r="D237" s="480"/>
      <c r="E237" s="480"/>
      <c r="F237" s="224">
        <f>C237+E237</f>
        <v>124</v>
      </c>
      <c r="G237" s="627"/>
      <c r="H237" s="441"/>
      <c r="I237" s="224">
        <f>F237+G237+H237</f>
        <v>124</v>
      </c>
      <c r="J237"/>
      <c r="K237" s="460"/>
      <c r="L237" s="163"/>
      <c r="M237" s="163"/>
    </row>
    <row r="238" spans="1:13" ht="15.5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/>
      <c r="K238" s="460"/>
      <c r="L238" s="163"/>
      <c r="M238" s="163"/>
    </row>
    <row r="239" spans="1:13" ht="15.5">
      <c r="A239" s="158"/>
      <c r="B239" s="229"/>
      <c r="C239" s="550"/>
      <c r="D239" s="228"/>
      <c r="E239" s="228"/>
      <c r="F239" s="230"/>
      <c r="G239" s="228"/>
      <c r="H239" s="228"/>
      <c r="I239" s="230"/>
      <c r="J239"/>
      <c r="K239" s="460"/>
      <c r="L239" s="163"/>
      <c r="M239" s="163"/>
    </row>
    <row r="240" spans="1:13" ht="26.5">
      <c r="A240" s="158"/>
      <c r="B240" s="231" t="s">
        <v>316</v>
      </c>
      <c r="C240" s="504">
        <f>'[64]Sch D'!N28</f>
        <v>45260</v>
      </c>
      <c r="D240" s="427"/>
      <c r="E240" s="427"/>
      <c r="F240" s="223">
        <f>F236*F238</f>
        <v>45260</v>
      </c>
      <c r="G240"/>
      <c r="H240" s="228"/>
      <c r="I240" s="223">
        <f>I236*I238</f>
        <v>45260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'[64]Sch D'!N30</f>
        <v>0.83497569597878918</v>
      </c>
      <c r="D241" s="228"/>
      <c r="E241" s="228"/>
      <c r="F241" s="232">
        <f>F233/F240</f>
        <v>0.83497569597878918</v>
      </c>
      <c r="G241"/>
      <c r="H241" s="233"/>
      <c r="I241" s="232">
        <f>I233/I240</f>
        <v>0.83497569597878918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'[64]Sch D'!N32</f>
        <v>0.51482545293857707</v>
      </c>
      <c r="D242" s="228"/>
      <c r="E242" s="228"/>
      <c r="F242" s="232">
        <f>(F224+F225)/F240</f>
        <v>0.51482545293857707</v>
      </c>
      <c r="G242"/>
      <c r="H242" s="233"/>
      <c r="I242" s="232">
        <f>(I224+I225)/I240</f>
        <v>0.51482545293857707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'[64]Sch D'!N34</f>
        <v>0.61657537508930693</v>
      </c>
      <c r="D243" s="228"/>
      <c r="E243" s="228"/>
      <c r="F243" s="232">
        <f>(F242/F241)</f>
        <v>0.61657537508930693</v>
      </c>
      <c r="G243"/>
      <c r="H243" s="233"/>
      <c r="I243" s="232">
        <f>(I242/I241)</f>
        <v>0.61657537508930693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'[64]Sch B'!C90</f>
        <v>314.86778884462154</v>
      </c>
      <c r="K246" s="460"/>
    </row>
    <row r="247" spans="1:13">
      <c r="H247" s="140" t="s">
        <v>322</v>
      </c>
      <c r="I247" s="480">
        <f>'[64]Sch B'!E90</f>
        <v>368.39897077509528</v>
      </c>
      <c r="K247" s="460"/>
    </row>
    <row r="248" spans="1:13">
      <c r="H248" s="140" t="s">
        <v>323</v>
      </c>
      <c r="I248" s="480">
        <f>'[64]Sch B'!G90</f>
        <v>341.52202623906703</v>
      </c>
      <c r="K248" s="460"/>
    </row>
    <row r="249" spans="1:13">
      <c r="H249" s="140" t="s">
        <v>324</v>
      </c>
      <c r="I249" s="480">
        <f>'[64]Sch B'!I90</f>
        <v>431.0585249457701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3" sqref="B13"/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ignoredErrors>
    <ignoredError sqref="C6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1">
    <tabColor rgb="FFE28CAB"/>
  </sheetPr>
  <dimension ref="A1:Q277"/>
  <sheetViews>
    <sheetView showGridLines="0" topLeftCell="A4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399</v>
      </c>
      <c r="D2" s="234"/>
      <c r="E2" s="142"/>
      <c r="F2" s="142"/>
      <c r="G2" s="142"/>
    </row>
    <row r="3" spans="1:16" ht="15.5">
      <c r="A3" s="143"/>
      <c r="B3" s="138" t="s">
        <v>71</v>
      </c>
      <c r="C3" s="557">
        <f>'[65]Sch A Pg 1'!B39</f>
        <v>42917</v>
      </c>
      <c r="D3" s="620"/>
      <c r="E3" s="142"/>
      <c r="F3" s="144"/>
      <c r="G3" s="144"/>
      <c r="H3"/>
    </row>
    <row r="4" spans="1:16" ht="15.5">
      <c r="A4" s="143"/>
      <c r="B4" s="145" t="s">
        <v>72</v>
      </c>
      <c r="C4" s="557">
        <f>'[65]Sch A Pg 1'!G39</f>
        <v>43281</v>
      </c>
      <c r="D4" s="620"/>
      <c r="E4" s="142"/>
      <c r="F4" s="146"/>
      <c r="G4" s="146"/>
      <c r="H4"/>
      <c r="I4" s="147"/>
    </row>
    <row r="5" spans="1:16" ht="15.5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'[65]Sch B'!E10</f>
        <v>2541291.35</v>
      </c>
      <c r="D12" s="480">
        <f>'[65]Sch B'!G10</f>
        <v>-22075.9</v>
      </c>
      <c r="E12" s="480"/>
      <c r="F12" s="166">
        <f>C12+D12+E12</f>
        <v>2519215.4500000002</v>
      </c>
      <c r="G12" s="626"/>
      <c r="H12" s="166"/>
      <c r="I12" s="166">
        <f>F12+G12+H12</f>
        <v>2519215.4500000002</v>
      </c>
      <c r="J12" s="167">
        <f>IF($I$26=0,0,I12/$I$26)</f>
        <v>0.35041179531837019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'[65]Sch B'!E12</f>
        <v>0</v>
      </c>
      <c r="D13" s="480">
        <f>'[65]Sch B'!G12</f>
        <v>1502668.54</v>
      </c>
      <c r="E13" s="480"/>
      <c r="F13" s="166">
        <f t="shared" ref="F13:F25" si="0">C13+D13+E13</f>
        <v>1502668.54</v>
      </c>
      <c r="G13" s="626"/>
      <c r="H13" s="166"/>
      <c r="I13" s="166">
        <f t="shared" ref="I13:I25" si="1">F13+G13+H13</f>
        <v>1502668.54</v>
      </c>
      <c r="J13" s="167">
        <f>IF($I$26=0,0,I13/$I$26)</f>
        <v>0.20901458859734851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'[65]Sch B'!E13</f>
        <v>0</v>
      </c>
      <c r="D14" s="480">
        <f>'[65]Sch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'[65]Sch B'!E14</f>
        <v>0</v>
      </c>
      <c r="D15" s="480">
        <f>'[65]Sch B'!G14</f>
        <v>63674</v>
      </c>
      <c r="E15" s="480"/>
      <c r="F15" s="166">
        <f t="shared" si="0"/>
        <v>63674</v>
      </c>
      <c r="G15" s="626"/>
      <c r="H15" s="166"/>
      <c r="I15" s="166">
        <f t="shared" si="1"/>
        <v>63674</v>
      </c>
      <c r="J15" s="167">
        <f>IF($I$26=0,0,I15/$I$26)</f>
        <v>8.8567735066494221E-3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'[65]Sch B'!E15</f>
        <v>2541291.35</v>
      </c>
      <c r="D16" s="480">
        <f>'[65]Sch B'!G15</f>
        <v>1544266.6400000001</v>
      </c>
      <c r="E16" s="480"/>
      <c r="F16" s="166">
        <f t="shared" si="0"/>
        <v>4085557.99</v>
      </c>
      <c r="G16" s="626"/>
      <c r="H16" s="166"/>
      <c r="I16" s="166">
        <f>SUM(I12:I15)</f>
        <v>4085557.99</v>
      </c>
      <c r="J16" s="167">
        <f t="shared" ref="J16:J26" si="2">IF($I$26=0,0,I16/$I$26)</f>
        <v>0.56828315742236812</v>
      </c>
      <c r="K16" s="457"/>
      <c r="L16" s="333" t="s">
        <v>325</v>
      </c>
      <c r="M16" s="334">
        <f>I26</f>
        <v>7189299.8000000007</v>
      </c>
      <c r="O16" s="324">
        <f>IFERROR(I16/I224,0)</f>
        <v>276.63064459340512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'[65]Sch B'!E20</f>
        <v>0</v>
      </c>
      <c r="D17" s="480">
        <f>'[65]Sch B'!G20</f>
        <v>22075.9</v>
      </c>
      <c r="E17" s="480"/>
      <c r="F17" s="166">
        <f t="shared" si="0"/>
        <v>22075.9</v>
      </c>
      <c r="G17" s="626"/>
      <c r="H17" s="166"/>
      <c r="I17" s="166">
        <f t="shared" si="1"/>
        <v>22075.9</v>
      </c>
      <c r="J17" s="167">
        <f t="shared" si="2"/>
        <v>3.0706606504294063E-3</v>
      </c>
      <c r="K17" s="458"/>
      <c r="L17" s="335" t="s">
        <v>326</v>
      </c>
      <c r="M17" s="336">
        <f>I213</f>
        <v>6579322.4900000021</v>
      </c>
      <c r="O17" s="324">
        <f t="shared" ref="O17:O24" si="3">IFERROR(I17/I225,0)</f>
        <v>180.95000000000002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'[65]Sch B'!E26</f>
        <v>1807994.2</v>
      </c>
      <c r="D18" s="480">
        <f>'[65]Sch B'!G26</f>
        <v>0</v>
      </c>
      <c r="E18" s="480"/>
      <c r="F18" s="166">
        <f t="shared" si="0"/>
        <v>1807994.2</v>
      </c>
      <c r="G18" s="626"/>
      <c r="H18" s="166"/>
      <c r="I18" s="166">
        <f t="shared" si="1"/>
        <v>1807994.2</v>
      </c>
      <c r="J18" s="167">
        <f t="shared" si="2"/>
        <v>0.25148404577591821</v>
      </c>
      <c r="K18" s="458"/>
      <c r="L18" s="335" t="s">
        <v>327</v>
      </c>
      <c r="M18" s="336">
        <f>I233</f>
        <v>24317</v>
      </c>
      <c r="O18" s="324">
        <f t="shared" si="3"/>
        <v>538.73486293206201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'[65]Sch B'!E32</f>
        <v>151550.03</v>
      </c>
      <c r="D19" s="480">
        <f>'[65]Sch B'!G32</f>
        <v>0</v>
      </c>
      <c r="E19" s="480"/>
      <c r="F19" s="166">
        <f t="shared" si="0"/>
        <v>151550.03</v>
      </c>
      <c r="G19" s="626"/>
      <c r="H19" s="166"/>
      <c r="I19" s="166">
        <f t="shared" si="1"/>
        <v>151550.03</v>
      </c>
      <c r="J19" s="170">
        <f t="shared" si="2"/>
        <v>2.1079943000846896E-2</v>
      </c>
      <c r="K19" s="464"/>
      <c r="L19" s="335" t="s">
        <v>328</v>
      </c>
      <c r="M19" s="336">
        <f>I236</f>
        <v>120</v>
      </c>
      <c r="O19" s="324">
        <f t="shared" si="3"/>
        <v>475.07846394984324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'[65]Sch B'!E37</f>
        <v>0</v>
      </c>
      <c r="D20" s="480">
        <f>'[65]Sch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'[65]Sch B'!E42</f>
        <v>362271.57999999996</v>
      </c>
      <c r="D21" s="480">
        <f>'[65]Sch B'!G42</f>
        <v>0</v>
      </c>
      <c r="E21" s="480"/>
      <c r="F21" s="166">
        <f t="shared" si="0"/>
        <v>362271.57999999996</v>
      </c>
      <c r="G21" s="626"/>
      <c r="H21" s="166"/>
      <c r="I21" s="166">
        <f t="shared" si="1"/>
        <v>362271.57999999996</v>
      </c>
      <c r="J21" s="167">
        <f t="shared" si="2"/>
        <v>5.039038433200406E-2</v>
      </c>
      <c r="K21" s="458"/>
      <c r="L21" s="337"/>
      <c r="M21" s="336"/>
      <c r="O21" s="324">
        <f t="shared" si="3"/>
        <v>250.53359612724756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'[65]Sch B'!E47</f>
        <v>0</v>
      </c>
      <c r="D22" s="480">
        <f>'[65]Sch B'!G47</f>
        <v>566735.71</v>
      </c>
      <c r="E22" s="480"/>
      <c r="F22" s="166">
        <f t="shared" si="0"/>
        <v>566735.71</v>
      </c>
      <c r="G22" s="626"/>
      <c r="H22" s="166"/>
      <c r="I22" s="166">
        <f t="shared" si="1"/>
        <v>566735.71</v>
      </c>
      <c r="J22" s="167">
        <f t="shared" si="2"/>
        <v>7.8830446047054525E-2</v>
      </c>
      <c r="K22" s="458"/>
      <c r="L22" s="335" t="s">
        <v>148</v>
      </c>
      <c r="M22" s="336">
        <f>L213</f>
        <v>145382.41999999998</v>
      </c>
      <c r="O22" s="324">
        <f t="shared" si="3"/>
        <v>170.96099849170437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'[65]Sch B'!E52</f>
        <v>756590.94</v>
      </c>
      <c r="D23" s="480">
        <f>'[65]Sch B'!G52</f>
        <v>-566735.71</v>
      </c>
      <c r="E23" s="480"/>
      <c r="F23" s="166">
        <f t="shared" si="0"/>
        <v>189855.22999999998</v>
      </c>
      <c r="G23" s="626"/>
      <c r="H23" s="166"/>
      <c r="I23" s="166">
        <f t="shared" si="1"/>
        <v>189855.22999999998</v>
      </c>
      <c r="J23" s="167">
        <f t="shared" si="2"/>
        <v>2.6408027941747535E-2</v>
      </c>
      <c r="K23" s="458"/>
      <c r="L23" s="338" t="s">
        <v>233</v>
      </c>
      <c r="M23" s="339">
        <f>M213</f>
        <v>156284.15</v>
      </c>
      <c r="O23" s="324">
        <f t="shared" si="3"/>
        <v>191.77295959595958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'[65]Sch B'!E57</f>
        <v>0</v>
      </c>
      <c r="D24" s="480">
        <f>'[65]Sch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'[65]Sch B'!E72</f>
        <v>-94289.84</v>
      </c>
      <c r="D25" s="480">
        <f>'[65]Sch B'!G72</f>
        <v>97549</v>
      </c>
      <c r="E25" s="480"/>
      <c r="F25" s="166">
        <f t="shared" si="0"/>
        <v>3259.1600000000035</v>
      </c>
      <c r="G25" s="626"/>
      <c r="H25" s="166"/>
      <c r="I25" s="166">
        <f t="shared" si="1"/>
        <v>3259.1600000000035</v>
      </c>
      <c r="J25" s="167">
        <f t="shared" si="2"/>
        <v>4.5333482963111414E-4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5525408.2599999998</v>
      </c>
      <c r="D26" s="480">
        <f t="shared" ref="D26:F26" si="4">SUM(D16:D25)</f>
        <v>1663891.54</v>
      </c>
      <c r="E26" s="480">
        <f t="shared" si="4"/>
        <v>0</v>
      </c>
      <c r="F26" s="166">
        <f t="shared" si="4"/>
        <v>7189299.8000000007</v>
      </c>
      <c r="G26" s="166">
        <f>SUM(G12:G25)</f>
        <v>0</v>
      </c>
      <c r="H26" s="166">
        <f>SUM(H12:H25)</f>
        <v>0</v>
      </c>
      <c r="I26" s="166">
        <f>SUM(I16:I25)</f>
        <v>7189299.8000000007</v>
      </c>
      <c r="J26" s="167">
        <f t="shared" si="2"/>
        <v>1</v>
      </c>
      <c r="K26" s="458"/>
      <c r="L26" s="163"/>
      <c r="M26" s="163"/>
      <c r="O26" s="324">
        <f>IFERROR(I26/I233,0)</f>
        <v>295.64912612575569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'[65]Sch C'!D10</f>
        <v>0</v>
      </c>
      <c r="D30" s="480">
        <f>'[65]Sch C'!F10</f>
        <v>105900.01</v>
      </c>
      <c r="E30" s="480">
        <f>+'[65]Sch C'!H10</f>
        <v>0</v>
      </c>
      <c r="F30" s="166">
        <f t="shared" ref="F30:F65" si="5">C30+D30+E30</f>
        <v>105900.01</v>
      </c>
      <c r="G30" s="626"/>
      <c r="H30" s="166"/>
      <c r="I30" s="166">
        <f t="shared" ref="I30:I65" si="6">F30+G30+H30</f>
        <v>105900.01</v>
      </c>
      <c r="J30" s="167">
        <f>IF($I$213=0,0,I30/$I$213)</f>
        <v>1.6095883757173902E-2</v>
      </c>
      <c r="K30" s="458"/>
      <c r="L30" s="176">
        <v>2080</v>
      </c>
      <c r="M30" s="176">
        <v>2080</v>
      </c>
      <c r="O30" s="324">
        <f>I30/I$233</f>
        <v>4.3549784101657272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'[65]Sch C'!D11</f>
        <v>0</v>
      </c>
      <c r="D31" s="480">
        <f>'[65]Sch C'!F11</f>
        <v>0</v>
      </c>
      <c r="E31" s="480">
        <f>+'[65]Sch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'[65]Sch C'!D12</f>
        <v>166800.66</v>
      </c>
      <c r="D32" s="480">
        <f>'[65]Sch C'!F12</f>
        <v>0</v>
      </c>
      <c r="E32" s="480">
        <f>+'[65]Sch C'!H12</f>
        <v>0</v>
      </c>
      <c r="F32" s="166">
        <f t="shared" si="5"/>
        <v>166800.66</v>
      </c>
      <c r="G32" s="626"/>
      <c r="H32" s="166"/>
      <c r="I32" s="166">
        <f t="shared" si="6"/>
        <v>166800.66</v>
      </c>
      <c r="J32" s="167">
        <f t="shared" si="7"/>
        <v>2.5352254772968263E-2</v>
      </c>
      <c r="K32" s="458"/>
      <c r="L32" s="176">
        <v>7156</v>
      </c>
      <c r="M32" s="176">
        <v>7843</v>
      </c>
      <c r="O32" s="324">
        <f t="shared" si="8"/>
        <v>6.8594259160258257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'[65]Sch C'!D13</f>
        <v>57375.7</v>
      </c>
      <c r="D33" s="480">
        <f>'[65]Sch C'!F13</f>
        <v>10378.200000000001</v>
      </c>
      <c r="E33" s="480">
        <f>+'[65]Sch C'!H13</f>
        <v>0</v>
      </c>
      <c r="F33" s="166">
        <f t="shared" si="5"/>
        <v>67753.899999999994</v>
      </c>
      <c r="G33" s="626"/>
      <c r="H33" s="166"/>
      <c r="I33" s="166">
        <f t="shared" si="6"/>
        <v>67753.899999999994</v>
      </c>
      <c r="J33" s="167">
        <f t="shared" si="7"/>
        <v>1.029800562337232E-2</v>
      </c>
      <c r="K33" s="458"/>
      <c r="L33" s="163"/>
      <c r="M33" s="163"/>
      <c r="O33" s="324">
        <f t="shared" si="8"/>
        <v>2.7862770901015748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'[65]Sch C'!D14</f>
        <v>0</v>
      </c>
      <c r="D34" s="480">
        <f>'[65]Sch C'!F14</f>
        <v>0</v>
      </c>
      <c r="E34" s="480">
        <f>+'[65]Sch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'[65]Sch C'!D15</f>
        <v>0</v>
      </c>
      <c r="D35" s="480">
        <f>'[65]Sch C'!F15</f>
        <v>0</v>
      </c>
      <c r="E35" s="480">
        <f>+'[65]Sch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'[65]Sch C'!D16</f>
        <v>291342</v>
      </c>
      <c r="D36" s="480">
        <f>'[65]Sch C'!F16-59872</f>
        <v>0</v>
      </c>
      <c r="E36" s="480">
        <f>+'[65]Sch C'!H16</f>
        <v>22346</v>
      </c>
      <c r="F36" s="166">
        <f t="shared" si="5"/>
        <v>313688</v>
      </c>
      <c r="G36" s="626"/>
      <c r="H36" s="480">
        <v>59872</v>
      </c>
      <c r="I36" s="166">
        <f t="shared" si="6"/>
        <v>373560</v>
      </c>
      <c r="J36" s="167">
        <f t="shared" si="7"/>
        <v>5.6777882611435862E-2</v>
      </c>
      <c r="K36" s="458"/>
      <c r="L36" s="163"/>
      <c r="M36" s="163"/>
      <c r="O36" s="324">
        <f t="shared" si="8"/>
        <v>15.362092363367191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'[65]Sch C'!D17</f>
        <v>27056.22</v>
      </c>
      <c r="D37" s="480">
        <f>'[65]Sch C'!F17</f>
        <v>-27056</v>
      </c>
      <c r="E37" s="480">
        <f>+'[65]Sch C'!H17</f>
        <v>0</v>
      </c>
      <c r="F37" s="166">
        <f t="shared" si="5"/>
        <v>0.22000000000116415</v>
      </c>
      <c r="G37" s="626"/>
      <c r="H37" s="166"/>
      <c r="I37" s="166">
        <f t="shared" si="6"/>
        <v>0.22000000000116415</v>
      </c>
      <c r="J37" s="167">
        <f t="shared" si="7"/>
        <v>3.3438093410916552E-8</v>
      </c>
      <c r="K37" s="458"/>
      <c r="L37" s="163"/>
      <c r="M37" s="163"/>
      <c r="O37" s="324">
        <f t="shared" si="8"/>
        <v>9.0471686474961621E-6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'[65]Sch C'!D18</f>
        <v>6254.28</v>
      </c>
      <c r="D38" s="480">
        <f>'[65]Sch C'!F18</f>
        <v>0</v>
      </c>
      <c r="E38" s="480">
        <f>+'[65]Sch C'!H18</f>
        <v>0</v>
      </c>
      <c r="F38" s="166">
        <f t="shared" si="5"/>
        <v>6254.28</v>
      </c>
      <c r="G38" s="626"/>
      <c r="H38" s="166"/>
      <c r="I38" s="166">
        <f t="shared" si="6"/>
        <v>6254.28</v>
      </c>
      <c r="J38" s="167">
        <f t="shared" si="7"/>
        <v>9.5059635844054781E-4</v>
      </c>
      <c r="K38" s="458"/>
      <c r="L38" s="163"/>
      <c r="M38" s="163"/>
      <c r="O38" s="324">
        <f t="shared" si="8"/>
        <v>0.25719784512892213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'[65]Sch C'!D19</f>
        <v>23374.78</v>
      </c>
      <c r="D39" s="480">
        <f>'[65]Sch C'!F19</f>
        <v>0</v>
      </c>
      <c r="E39" s="480">
        <f>+'[65]Sch C'!H19</f>
        <v>0</v>
      </c>
      <c r="F39" s="166">
        <f t="shared" si="5"/>
        <v>23374.78</v>
      </c>
      <c r="G39" s="626"/>
      <c r="H39" s="166"/>
      <c r="I39" s="166">
        <f t="shared" si="6"/>
        <v>23374.78</v>
      </c>
      <c r="J39" s="167">
        <f t="shared" si="7"/>
        <v>3.5527639867976727E-3</v>
      </c>
      <c r="K39" s="458"/>
      <c r="L39" s="163"/>
      <c r="M39" s="163"/>
      <c r="O39" s="324">
        <f t="shared" si="8"/>
        <v>0.96125262162273306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'[65]Sch C'!D20</f>
        <v>14478.17</v>
      </c>
      <c r="D40" s="480">
        <f>'[65]Sch C'!F20</f>
        <v>0</v>
      </c>
      <c r="E40" s="480">
        <f>+'[65]Sch C'!H20</f>
        <v>0</v>
      </c>
      <c r="F40" s="166">
        <f t="shared" si="5"/>
        <v>14478.17</v>
      </c>
      <c r="G40" s="626"/>
      <c r="H40" s="166"/>
      <c r="I40" s="166">
        <f t="shared" si="6"/>
        <v>14478.17</v>
      </c>
      <c r="J40" s="167">
        <f t="shared" si="7"/>
        <v>2.2005563676207635E-3</v>
      </c>
      <c r="K40" s="458"/>
      <c r="L40" s="163"/>
      <c r="M40" s="163"/>
      <c r="O40" s="324">
        <f t="shared" si="8"/>
        <v>0.59539293498375623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'[65]Sch C'!D21</f>
        <v>59535.64</v>
      </c>
      <c r="D41" s="480">
        <f>'[65]Sch C'!F21</f>
        <v>0</v>
      </c>
      <c r="E41" s="480">
        <f>+'[65]Sch C'!H21</f>
        <v>0</v>
      </c>
      <c r="F41" s="166">
        <f t="shared" si="5"/>
        <v>59535.64</v>
      </c>
      <c r="G41" s="626"/>
      <c r="H41" s="166"/>
      <c r="I41" s="166">
        <f t="shared" si="6"/>
        <v>59535.64</v>
      </c>
      <c r="J41" s="167">
        <f t="shared" si="7"/>
        <v>9.048901325400753E-3</v>
      </c>
      <c r="K41" s="458"/>
      <c r="L41" s="163"/>
      <c r="M41" s="163"/>
      <c r="O41" s="324">
        <f t="shared" si="8"/>
        <v>2.4483135255171278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'[65]Sch C'!D22</f>
        <v>0</v>
      </c>
      <c r="D42" s="480">
        <f>'[65]Sch C'!F22</f>
        <v>0</v>
      </c>
      <c r="E42" s="480">
        <f>+'[65]Sch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'[65]Sch C'!D23</f>
        <v>22167.56</v>
      </c>
      <c r="D43" s="480">
        <f>'[65]Sch C'!F23</f>
        <v>0</v>
      </c>
      <c r="E43" s="480">
        <f>+'[65]Sch C'!H23</f>
        <v>0</v>
      </c>
      <c r="F43" s="166">
        <f t="shared" si="5"/>
        <v>22167.56</v>
      </c>
      <c r="G43" s="626">
        <v>-707</v>
      </c>
      <c r="H43" s="166"/>
      <c r="I43" s="166">
        <f t="shared" si="6"/>
        <v>21460.560000000001</v>
      </c>
      <c r="J43" s="167">
        <f t="shared" si="7"/>
        <v>3.2618191360308277E-3</v>
      </c>
      <c r="K43" s="458"/>
      <c r="L43" s="163"/>
      <c r="M43" s="163"/>
      <c r="O43" s="324">
        <f t="shared" si="8"/>
        <v>0.88253320722128559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'[65]Sch C'!D24</f>
        <v>48071.95</v>
      </c>
      <c r="D44" s="480">
        <f>'[65]Sch C'!F24</f>
        <v>0</v>
      </c>
      <c r="E44" s="480">
        <f>+'[65]Sch C'!H24</f>
        <v>-3149</v>
      </c>
      <c r="F44" s="166">
        <f t="shared" si="5"/>
        <v>44922.95</v>
      </c>
      <c r="G44" s="626"/>
      <c r="H44" s="166"/>
      <c r="I44" s="166">
        <f t="shared" si="6"/>
        <v>44922.95</v>
      </c>
      <c r="J44" s="167">
        <f t="shared" si="7"/>
        <v>6.8278990835726585E-3</v>
      </c>
      <c r="K44" s="458"/>
      <c r="L44" s="163"/>
      <c r="M44" s="163"/>
      <c r="O44" s="324">
        <f t="shared" si="8"/>
        <v>1.8473886581403955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'[65]Sch C'!D25</f>
        <v>0</v>
      </c>
      <c r="D45" s="480">
        <f>'[65]Sch C'!F25</f>
        <v>0</v>
      </c>
      <c r="E45" s="480">
        <f>+'[65]Sch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'[65]Sch C'!D26</f>
        <v>433330.64</v>
      </c>
      <c r="D46" s="480">
        <f>'[65]Sch C'!F26</f>
        <v>0</v>
      </c>
      <c r="E46" s="480">
        <f>+'[65]Sch C'!H26</f>
        <v>0</v>
      </c>
      <c r="F46" s="166">
        <f t="shared" si="5"/>
        <v>433330.64</v>
      </c>
      <c r="G46" s="626"/>
      <c r="H46" s="166"/>
      <c r="I46" s="166">
        <f t="shared" si="6"/>
        <v>433330.64</v>
      </c>
      <c r="J46" s="167">
        <f t="shared" si="7"/>
        <v>6.5862501900252626E-2</v>
      </c>
      <c r="K46" s="458"/>
      <c r="L46" s="163"/>
      <c r="M46" s="163"/>
      <c r="O46" s="324">
        <f t="shared" si="8"/>
        <v>17.820069909939548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'[65]Sch C'!D27</f>
        <v>31972.94</v>
      </c>
      <c r="D47" s="480">
        <f>'[65]Sch C'!F27</f>
        <v>4351</v>
      </c>
      <c r="E47" s="480">
        <f>+'[65]Sch C'!H27</f>
        <v>0</v>
      </c>
      <c r="F47" s="166">
        <f t="shared" si="5"/>
        <v>36323.94</v>
      </c>
      <c r="G47" s="626"/>
      <c r="H47" s="166"/>
      <c r="I47" s="166">
        <f t="shared" si="6"/>
        <v>36323.94</v>
      </c>
      <c r="J47" s="167">
        <f t="shared" si="7"/>
        <v>5.5209240853004594E-3</v>
      </c>
      <c r="K47" s="458"/>
      <c r="L47" s="163"/>
      <c r="M47" s="163"/>
      <c r="O47" s="324">
        <f t="shared" si="8"/>
        <v>1.4937673232717852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'[65]Sch C'!D28</f>
        <v>0</v>
      </c>
      <c r="D48" s="480">
        <f>'[65]Sch C'!F28</f>
        <v>0</v>
      </c>
      <c r="E48" s="480">
        <f>+'[65]Sch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'[65]Sch C'!D29</f>
        <v>2130.75</v>
      </c>
      <c r="D49" s="480">
        <f>'[65]Sch C'!F29</f>
        <v>-2130.75</v>
      </c>
      <c r="E49" s="480">
        <f>+'[65]Sch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'[65]Sch C'!D30</f>
        <v>0</v>
      </c>
      <c r="D50" s="480">
        <f>'[65]Sch C'!F30</f>
        <v>0</v>
      </c>
      <c r="E50" s="480">
        <f>+'[65]Sch C'!H30</f>
        <v>97000</v>
      </c>
      <c r="F50" s="166">
        <f t="shared" si="5"/>
        <v>97000</v>
      </c>
      <c r="G50" s="626"/>
      <c r="H50" s="626">
        <v>-97000</v>
      </c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'[65]Sch C'!D31</f>
        <v>1480.59</v>
      </c>
      <c r="D51" s="480">
        <f>'[65]Sch C'!F31</f>
        <v>0</v>
      </c>
      <c r="E51" s="480">
        <f>+'[65]Sch C'!H31</f>
        <v>0</v>
      </c>
      <c r="F51" s="166">
        <f>C51+D51+E51</f>
        <v>1480.59</v>
      </c>
      <c r="G51" s="626">
        <v>48957</v>
      </c>
      <c r="H51" s="166"/>
      <c r="I51" s="166">
        <f t="shared" si="6"/>
        <v>50437.59</v>
      </c>
      <c r="J51" s="167">
        <f t="shared" si="7"/>
        <v>7.6660765719662998E-3</v>
      </c>
      <c r="K51" s="458"/>
      <c r="L51" s="163"/>
      <c r="M51" s="163"/>
      <c r="O51" s="324">
        <f t="shared" si="8"/>
        <v>2.0741699222765964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'[65]Sch C'!D32</f>
        <v>179</v>
      </c>
      <c r="D52" s="480">
        <f>'[65]Sch C'!F32</f>
        <v>16996</v>
      </c>
      <c r="E52" s="480">
        <f>+'[65]Sch C'!H32</f>
        <v>0</v>
      </c>
      <c r="F52" s="166">
        <f t="shared" si="5"/>
        <v>17175</v>
      </c>
      <c r="G52" s="626"/>
      <c r="H52" s="166"/>
      <c r="I52" s="166">
        <f t="shared" si="6"/>
        <v>17175</v>
      </c>
      <c r="J52" s="167">
        <f t="shared" si="7"/>
        <v>2.6104511560429674E-3</v>
      </c>
      <c r="K52" s="458"/>
      <c r="L52" s="163"/>
      <c r="M52" s="163"/>
      <c r="O52" s="324">
        <f t="shared" si="8"/>
        <v>0.70629600690874694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'[65]Sch C'!D33</f>
        <v>0</v>
      </c>
      <c r="D53" s="480">
        <f>'[65]Sch C'!F33</f>
        <v>0</v>
      </c>
      <c r="E53" s="480">
        <f>+'[65]Sch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'[65]Sch C'!D34</f>
        <v>0</v>
      </c>
      <c r="D54" s="480">
        <f>'[65]Sch C'!F34</f>
        <v>0</v>
      </c>
      <c r="E54" s="480">
        <f>+'[65]Sch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'[65]Sch C'!D35</f>
        <v>8168.86</v>
      </c>
      <c r="D55" s="480">
        <f>'[65]Sch C'!F35</f>
        <v>-8168.86</v>
      </c>
      <c r="E55" s="480">
        <f>+'[65]Sch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'[65]Sch C'!D36</f>
        <v>0</v>
      </c>
      <c r="D56" s="480">
        <f>'[65]Sch C'!F36</f>
        <v>0</v>
      </c>
      <c r="E56" s="480">
        <f>+'[65]Sch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1199.6199999999999</v>
      </c>
      <c r="M56" s="176">
        <v>1265.6200000000001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'[65]Sch C'!D37</f>
        <v>0</v>
      </c>
      <c r="D57" s="480">
        <f>'[65]Sch C'!F37</f>
        <v>0</v>
      </c>
      <c r="E57" s="480">
        <f>+'[65]Sch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'[65]Sch C'!D38</f>
        <v>90.61</v>
      </c>
      <c r="D58" s="480">
        <f>'[65]Sch C'!F38</f>
        <v>0</v>
      </c>
      <c r="E58" s="480">
        <f>+'[65]Sch C'!H38</f>
        <v>0</v>
      </c>
      <c r="F58" s="166">
        <f t="shared" si="5"/>
        <v>90.61</v>
      </c>
      <c r="G58" s="626"/>
      <c r="H58" s="166"/>
      <c r="I58" s="166">
        <f t="shared" si="6"/>
        <v>90.61</v>
      </c>
      <c r="J58" s="167">
        <f t="shared" si="7"/>
        <v>1.3771934745214165E-5</v>
      </c>
      <c r="K58" s="458"/>
      <c r="L58" s="163"/>
      <c r="M58" s="163"/>
      <c r="O58" s="324">
        <f t="shared" si="8"/>
        <v>3.7261997779331332E-3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'[65]Sch C'!D39</f>
        <v>5297.67</v>
      </c>
      <c r="D59" s="480">
        <f>'[65]Sch C'!F39</f>
        <v>0</v>
      </c>
      <c r="E59" s="480">
        <f>+'[65]Sch C'!H39</f>
        <v>0</v>
      </c>
      <c r="F59" s="166">
        <f t="shared" si="5"/>
        <v>5297.67</v>
      </c>
      <c r="G59" s="626"/>
      <c r="H59" s="166"/>
      <c r="I59" s="166">
        <f t="shared" si="6"/>
        <v>5297.67</v>
      </c>
      <c r="J59" s="167">
        <f t="shared" si="7"/>
        <v>8.0519992872396778E-4</v>
      </c>
      <c r="K59" s="458"/>
      <c r="L59" s="163"/>
      <c r="M59" s="163"/>
      <c r="O59" s="324">
        <f t="shared" si="8"/>
        <v>0.21785869967512439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'[65]Sch C'!D40</f>
        <v>3702.7</v>
      </c>
      <c r="D60" s="480">
        <f>'[65]Sch C'!F40</f>
        <v>0</v>
      </c>
      <c r="E60" s="480">
        <f>+'[65]Sch C'!H40</f>
        <v>0</v>
      </c>
      <c r="F60" s="166">
        <f t="shared" si="5"/>
        <v>3702.7</v>
      </c>
      <c r="G60" s="626"/>
      <c r="H60" s="166"/>
      <c r="I60" s="166">
        <f t="shared" si="6"/>
        <v>3702.7</v>
      </c>
      <c r="J60" s="167">
        <f t="shared" si="7"/>
        <v>5.627783112361162E-4</v>
      </c>
      <c r="K60" s="458"/>
      <c r="L60" s="163"/>
      <c r="M60" s="163"/>
      <c r="O60" s="324">
        <f t="shared" si="8"/>
        <v>0.15226796068593987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'[65]Sch C'!D41</f>
        <v>103094.32</v>
      </c>
      <c r="D61" s="480">
        <f>'[65]Sch C'!F41</f>
        <v>0</v>
      </c>
      <c r="E61" s="480">
        <f>+'[65]Sch C'!H41</f>
        <v>-4244</v>
      </c>
      <c r="F61" s="166">
        <f t="shared" si="5"/>
        <v>98850.32</v>
      </c>
      <c r="G61" s="626"/>
      <c r="H61" s="166"/>
      <c r="I61" s="166">
        <f t="shared" si="6"/>
        <v>98850.32</v>
      </c>
      <c r="J61" s="167">
        <f t="shared" si="7"/>
        <v>1.5024391972006829E-2</v>
      </c>
      <c r="K61" s="458"/>
      <c r="L61" s="163"/>
      <c r="M61" s="163"/>
      <c r="O61" s="324">
        <f t="shared" si="8"/>
        <v>4.0650705267919562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'[65]Sch C'!D42</f>
        <v>3737.09</v>
      </c>
      <c r="D62" s="480">
        <f>'[65]Sch C'!F42</f>
        <v>0</v>
      </c>
      <c r="E62" s="480">
        <f>+'[65]Sch C'!H42</f>
        <v>0</v>
      </c>
      <c r="F62" s="166">
        <f t="shared" si="5"/>
        <v>3737.09</v>
      </c>
      <c r="G62" s="626"/>
      <c r="H62" s="166"/>
      <c r="I62" s="166">
        <f t="shared" si="6"/>
        <v>3737.09</v>
      </c>
      <c r="J62" s="167">
        <f t="shared" si="7"/>
        <v>5.6800529320154953E-4</v>
      </c>
      <c r="K62" s="458"/>
      <c r="L62" s="163"/>
      <c r="M62" s="163"/>
      <c r="O62" s="324">
        <f t="shared" si="8"/>
        <v>0.15368219763951146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'[65]Sch C'!D43</f>
        <v>0</v>
      </c>
      <c r="D63" s="480">
        <f>'[65]Sch C'!F43</f>
        <v>0</v>
      </c>
      <c r="E63" s="480">
        <f>+'[65]Sch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'[65]Sch C'!D44</f>
        <v>0</v>
      </c>
      <c r="D64" s="480">
        <f>'[65]Sch C'!F44</f>
        <v>0</v>
      </c>
      <c r="E64" s="480">
        <f>+'[65]Sch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'[65]Sch C'!D45</f>
        <v>122193.98</v>
      </c>
      <c r="D65" s="480">
        <f>'[65]Sch C'!F45</f>
        <v>-116278</v>
      </c>
      <c r="E65" s="480">
        <f>+'[65]Sch C'!H45</f>
        <v>0</v>
      </c>
      <c r="F65" s="166">
        <f t="shared" si="5"/>
        <v>5915.9799999999959</v>
      </c>
      <c r="G65" s="626">
        <v>10639</v>
      </c>
      <c r="H65" s="166"/>
      <c r="I65" s="166">
        <f t="shared" si="6"/>
        <v>16554.979999999996</v>
      </c>
      <c r="J65" s="167">
        <f t="shared" si="7"/>
        <v>2.5162134893314814E-3</v>
      </c>
      <c r="K65" s="458"/>
      <c r="L65" s="163"/>
      <c r="M65" s="163"/>
      <c r="O65" s="324">
        <f t="shared" si="8"/>
        <v>0.68079861825060639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1431836.1100000003</v>
      </c>
      <c r="D66" s="480">
        <f t="shared" si="9"/>
        <v>-16008.400000000009</v>
      </c>
      <c r="E66" s="480">
        <f t="shared" si="9"/>
        <v>111953</v>
      </c>
      <c r="F66" s="166">
        <f t="shared" ref="F66:I66" si="10">SUM(F30:F65)</f>
        <v>1527780.7100000002</v>
      </c>
      <c r="G66" s="166">
        <f t="shared" si="10"/>
        <v>58889</v>
      </c>
      <c r="H66" s="166">
        <f t="shared" si="10"/>
        <v>-37128</v>
      </c>
      <c r="I66" s="166">
        <f t="shared" si="10"/>
        <v>1549541.7100000002</v>
      </c>
      <c r="J66" s="178">
        <f t="shared" si="7"/>
        <v>0.23551691110371453</v>
      </c>
      <c r="K66" s="465"/>
      <c r="L66" s="163"/>
      <c r="M66" s="163"/>
      <c r="O66" s="329">
        <f>I66/I$233</f>
        <v>63.722568984660946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'[65]Sch C'!D57</f>
        <v>622080</v>
      </c>
      <c r="D69" s="480">
        <f>'[65]Sch C'!F57</f>
        <v>0</v>
      </c>
      <c r="E69" s="480">
        <f>+'[65]Sch C'!H57</f>
        <v>0</v>
      </c>
      <c r="F69" s="166">
        <f>C69+D69+E69</f>
        <v>622080</v>
      </c>
      <c r="G69" s="626"/>
      <c r="H69" s="166"/>
      <c r="I69" s="166">
        <f>F69+G69+H69</f>
        <v>622080</v>
      </c>
      <c r="J69" s="167">
        <f t="shared" ref="J69:J84" si="11">IF($I$213=0,0,I69/$I$213)</f>
        <v>9.455076885887681E-2</v>
      </c>
      <c r="K69" s="458"/>
      <c r="L69" s="182"/>
      <c r="M69" s="163"/>
      <c r="O69" s="324">
        <f t="shared" ref="O69:O84" si="12">I69/I$233</f>
        <v>25.582103055475592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'[65]Sch C'!D58</f>
        <v>28070.54</v>
      </c>
      <c r="D70" s="480">
        <f>'[65]Sch C'!F58</f>
        <v>0</v>
      </c>
      <c r="E70" s="480">
        <f>+'[65]Sch C'!H58</f>
        <v>0</v>
      </c>
      <c r="F70" s="166">
        <f t="shared" ref="F70:F83" si="13">C70+D70+E70</f>
        <v>28070.54</v>
      </c>
      <c r="G70" s="626"/>
      <c r="H70" s="166"/>
      <c r="I70" s="166">
        <f t="shared" ref="I70:I83" si="14">F70+G70+H70</f>
        <v>28070.54</v>
      </c>
      <c r="J70" s="167">
        <f t="shared" si="11"/>
        <v>4.2664788118631945E-3</v>
      </c>
      <c r="K70" s="458"/>
      <c r="L70" s="182"/>
      <c r="M70" s="163"/>
      <c r="O70" s="324">
        <f t="shared" si="12"/>
        <v>1.1543586791133775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'[65]Sch C'!D59</f>
        <v>0</v>
      </c>
      <c r="D71" s="480">
        <f>'[65]Sch C'!F59</f>
        <v>0</v>
      </c>
      <c r="E71" s="480">
        <f>+'[65]Sch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'[65]Sch C'!D60</f>
        <v>0</v>
      </c>
      <c r="D72" s="480">
        <f>'[65]Sch C'!F60</f>
        <v>0</v>
      </c>
      <c r="E72" s="480">
        <f>+'[65]Sch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'[65]Sch C'!D61</f>
        <v>16996.439999999999</v>
      </c>
      <c r="D73" s="480">
        <f>'[65]Sch C'!F61</f>
        <v>-16996</v>
      </c>
      <c r="E73" s="480">
        <f>+'[65]Sch C'!H61</f>
        <v>0</v>
      </c>
      <c r="F73" s="166">
        <f t="shared" si="13"/>
        <v>0.43999999999869033</v>
      </c>
      <c r="G73" s="626"/>
      <c r="H73" s="166"/>
      <c r="I73" s="166">
        <f t="shared" si="14"/>
        <v>0.43999999999869033</v>
      </c>
      <c r="J73" s="167">
        <f t="shared" si="11"/>
        <v>6.6876186821280164E-8</v>
      </c>
      <c r="K73" s="458"/>
      <c r="L73" s="185"/>
      <c r="M73" s="163"/>
      <c r="O73" s="324">
        <f t="shared" si="12"/>
        <v>1.8094337294842714E-5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'[65]Sch C'!D62</f>
        <v>0</v>
      </c>
      <c r="D74" s="480">
        <f>'[65]Sch C'!F62</f>
        <v>0</v>
      </c>
      <c r="E74" s="480">
        <f>+'[65]Sch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'[65]Sch C'!D63</f>
        <v>0</v>
      </c>
      <c r="D75" s="480">
        <f>'[65]Sch C'!F63</f>
        <v>0</v>
      </c>
      <c r="E75" s="480">
        <f>+'[65]Sch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'[65]Sch C'!D64</f>
        <v>0</v>
      </c>
      <c r="D76" s="480">
        <f>'[65]Sch C'!F64</f>
        <v>0</v>
      </c>
      <c r="E76" s="480">
        <f>+'[65]Sch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'[65]Sch C'!D65</f>
        <v>0</v>
      </c>
      <c r="D77" s="480">
        <f>'[65]Sch C'!F65</f>
        <v>0</v>
      </c>
      <c r="E77" s="480">
        <f>+'[65]Sch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'[65]Sch C'!D66</f>
        <v>25479.61</v>
      </c>
      <c r="D78" s="480">
        <f>'[65]Sch C'!F66</f>
        <v>0</v>
      </c>
      <c r="E78" s="480">
        <f>+'[65]Sch C'!H66</f>
        <v>0</v>
      </c>
      <c r="F78" s="166">
        <f t="shared" si="13"/>
        <v>25479.61</v>
      </c>
      <c r="G78" s="626">
        <v>-3423</v>
      </c>
      <c r="H78" s="166"/>
      <c r="I78" s="166">
        <f t="shared" si="14"/>
        <v>22056.61</v>
      </c>
      <c r="J78" s="167">
        <f t="shared" si="11"/>
        <v>3.3524135704738793E-3</v>
      </c>
      <c r="K78" s="458"/>
      <c r="L78" s="187"/>
      <c r="M78" s="163"/>
      <c r="O78" s="324">
        <f t="shared" si="12"/>
        <v>0.90704486573179255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'[65]Sch C'!D67</f>
        <v>48819.24</v>
      </c>
      <c r="D79" s="480">
        <f>'[65]Sch C'!F67</f>
        <v>0</v>
      </c>
      <c r="E79" s="480">
        <f>+'[65]Sch C'!H67</f>
        <v>0</v>
      </c>
      <c r="F79" s="166">
        <f t="shared" si="13"/>
        <v>48819.24</v>
      </c>
      <c r="G79" s="626"/>
      <c r="H79" s="166"/>
      <c r="I79" s="166">
        <f t="shared" si="14"/>
        <v>48819.24</v>
      </c>
      <c r="J79" s="167">
        <f t="shared" si="11"/>
        <v>7.4201013970968894E-3</v>
      </c>
      <c r="K79" s="458"/>
      <c r="L79" s="187"/>
      <c r="M79" s="163"/>
      <c r="O79" s="324">
        <f t="shared" si="12"/>
        <v>2.0076177160011515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'[65]Sch C'!D68</f>
        <v>0</v>
      </c>
      <c r="D80" s="480">
        <f>'[65]Sch C'!F68</f>
        <v>0</v>
      </c>
      <c r="E80" s="480">
        <f>+'[65]Sch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'[65]Sch C'!D69</f>
        <v>69526.66</v>
      </c>
      <c r="D81" s="480">
        <f>'[65]Sch C'!F69</f>
        <v>0</v>
      </c>
      <c r="E81" s="480">
        <f>+'[65]Sch C'!H69</f>
        <v>0</v>
      </c>
      <c r="F81" s="166">
        <f t="shared" si="13"/>
        <v>69526.66</v>
      </c>
      <c r="G81" s="626"/>
      <c r="H81" s="166"/>
      <c r="I81" s="166">
        <f t="shared" si="14"/>
        <v>69526.66</v>
      </c>
      <c r="J81" s="167">
        <f t="shared" si="11"/>
        <v>1.0567449780076061E-2</v>
      </c>
      <c r="K81" s="458"/>
      <c r="L81" s="187"/>
      <c r="M81" s="163"/>
      <c r="O81" s="324">
        <f t="shared" si="12"/>
        <v>2.8591791750627134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'[65]Sch C'!D70</f>
        <v>0</v>
      </c>
      <c r="D82" s="480">
        <f>'[65]Sch C'!F70</f>
        <v>0</v>
      </c>
      <c r="E82" s="480">
        <f>+'[65]Sch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'[65]Sch C'!D71</f>
        <v>0</v>
      </c>
      <c r="D83" s="480">
        <f>'[65]Sch C'!F71</f>
        <v>0</v>
      </c>
      <c r="E83" s="480">
        <f>+'[65]Sch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810972.49</v>
      </c>
      <c r="D84" s="480">
        <f t="shared" si="15"/>
        <v>-16996</v>
      </c>
      <c r="E84" s="480">
        <f t="shared" si="15"/>
        <v>0</v>
      </c>
      <c r="F84" s="166">
        <f t="shared" ref="F84:I84" si="16">SUM(F69:F83)</f>
        <v>793976.49</v>
      </c>
      <c r="G84" s="166">
        <f t="shared" si="16"/>
        <v>-3423</v>
      </c>
      <c r="H84" s="166">
        <f t="shared" si="16"/>
        <v>0</v>
      </c>
      <c r="I84" s="166">
        <f t="shared" si="16"/>
        <v>790553.49</v>
      </c>
      <c r="J84" s="167">
        <f t="shared" si="11"/>
        <v>0.12015727929457365</v>
      </c>
      <c r="K84" s="458"/>
      <c r="L84" s="187"/>
      <c r="M84" s="163"/>
      <c r="O84" s="324">
        <f t="shared" si="12"/>
        <v>32.510321585721925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'[65]Sch C'!D75</f>
        <v>39484.42</v>
      </c>
      <c r="D87" s="480">
        <f>'[65]Sch C'!F75</f>
        <v>0</v>
      </c>
      <c r="E87" s="480">
        <f>+'[65]Sch C'!H75</f>
        <v>0</v>
      </c>
      <c r="F87" s="166">
        <f t="shared" ref="F87:F97" si="17">C87+D87+E87</f>
        <v>39484.42</v>
      </c>
      <c r="G87" s="626"/>
      <c r="H87" s="166"/>
      <c r="I87" s="166">
        <f t="shared" ref="I87:I97" si="18">F87+G87+H87</f>
        <v>39484.42</v>
      </c>
      <c r="J87" s="167">
        <f t="shared" ref="J87:J98" si="19">IF($I$213=0,0,I87/$I$213)</f>
        <v>6.0012896555857965E-3</v>
      </c>
      <c r="K87" s="458"/>
      <c r="L87" s="176">
        <v>2423</v>
      </c>
      <c r="M87" s="176">
        <v>2586.2600000000002</v>
      </c>
      <c r="O87" s="324">
        <f t="shared" ref="O87:O97" si="20">I87/I$233</f>
        <v>1.6237373031212732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'[65]Sch C'!D76</f>
        <v>3896.7</v>
      </c>
      <c r="D88" s="480">
        <f>'[65]Sch C'!F76</f>
        <v>0</v>
      </c>
      <c r="E88" s="480">
        <f>+'[65]Sch C'!H76</f>
        <v>0</v>
      </c>
      <c r="F88" s="166">
        <f t="shared" si="17"/>
        <v>3896.7</v>
      </c>
      <c r="G88" s="626">
        <v>-815</v>
      </c>
      <c r="H88" s="166"/>
      <c r="I88" s="166">
        <f t="shared" si="18"/>
        <v>3081.7</v>
      </c>
      <c r="J88" s="167">
        <f t="shared" si="19"/>
        <v>4.6839169301761933E-4</v>
      </c>
      <c r="K88" s="458"/>
      <c r="L88" s="163"/>
      <c r="M88" s="163"/>
      <c r="O88" s="324">
        <f t="shared" si="20"/>
        <v>0.12673027100382447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'[65]Sch C'!D77</f>
        <v>16191.7</v>
      </c>
      <c r="D89" s="480">
        <f>'[65]Sch C'!F77</f>
        <v>0</v>
      </c>
      <c r="E89" s="480">
        <f>+'[65]Sch C'!H77</f>
        <v>0</v>
      </c>
      <c r="F89" s="166">
        <f t="shared" si="17"/>
        <v>16191.7</v>
      </c>
      <c r="G89" s="626"/>
      <c r="H89" s="166"/>
      <c r="I89" s="166">
        <f t="shared" si="18"/>
        <v>16191.7</v>
      </c>
      <c r="J89" s="167">
        <f t="shared" si="19"/>
        <v>2.4609980776303299E-3</v>
      </c>
      <c r="K89" s="458"/>
      <c r="L89" s="163"/>
      <c r="M89" s="163"/>
      <c r="O89" s="324">
        <f t="shared" si="20"/>
        <v>0.66585927540403833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'[65]Sch C'!D78</f>
        <v>0</v>
      </c>
      <c r="D90" s="480">
        <f>'[65]Sch C'!F78</f>
        <v>0</v>
      </c>
      <c r="E90" s="480">
        <f>+'[65]Sch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'[65]Sch C'!D79</f>
        <v>1907.64</v>
      </c>
      <c r="D91" s="480">
        <f>'[65]Sch C'!F79</f>
        <v>0</v>
      </c>
      <c r="E91" s="480">
        <f>+'[65]Sch C'!H79</f>
        <v>0</v>
      </c>
      <c r="F91" s="166">
        <f t="shared" si="17"/>
        <v>1907.64</v>
      </c>
      <c r="G91" s="626"/>
      <c r="H91" s="166"/>
      <c r="I91" s="166">
        <f t="shared" si="18"/>
        <v>1907.64</v>
      </c>
      <c r="J91" s="167">
        <f t="shared" si="19"/>
        <v>2.899447477911969E-4</v>
      </c>
      <c r="K91" s="458"/>
      <c r="L91" s="163"/>
      <c r="M91" s="163"/>
      <c r="O91" s="324">
        <f t="shared" si="20"/>
        <v>7.8448821811901145E-2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'[65]Sch C'!D80</f>
        <v>31099.91</v>
      </c>
      <c r="D92" s="480">
        <f>'[65]Sch C'!F80</f>
        <v>0</v>
      </c>
      <c r="E92" s="480">
        <f>+'[65]Sch C'!H80</f>
        <v>0</v>
      </c>
      <c r="F92" s="166">
        <f t="shared" si="17"/>
        <v>31099.91</v>
      </c>
      <c r="G92" s="626"/>
      <c r="H92" s="166"/>
      <c r="I92" s="166">
        <f t="shared" si="18"/>
        <v>31099.91</v>
      </c>
      <c r="J92" s="167">
        <f t="shared" si="19"/>
        <v>4.7269167983890678E-3</v>
      </c>
      <c r="K92" s="458"/>
      <c r="L92" s="163"/>
      <c r="M92" s="163"/>
      <c r="O92" s="324">
        <f t="shared" si="20"/>
        <v>1.2789369576839249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'[65]Sch C'!D81</f>
        <v>2606.1</v>
      </c>
      <c r="D93" s="480">
        <f>'[65]Sch C'!F81</f>
        <v>0</v>
      </c>
      <c r="E93" s="480">
        <f>+'[65]Sch C'!H81</f>
        <v>0</v>
      </c>
      <c r="F93" s="166">
        <f t="shared" si="17"/>
        <v>2606.1</v>
      </c>
      <c r="G93" s="626"/>
      <c r="H93" s="166"/>
      <c r="I93" s="166">
        <f t="shared" si="18"/>
        <v>2606.1</v>
      </c>
      <c r="J93" s="167">
        <f t="shared" si="19"/>
        <v>3.9610461471694769E-4</v>
      </c>
      <c r="K93" s="458"/>
      <c r="L93" s="163"/>
      <c r="M93" s="163"/>
      <c r="O93" s="324">
        <f t="shared" si="20"/>
        <v>0.10717193732779537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'[65]Sch C'!D82</f>
        <v>9398.25</v>
      </c>
      <c r="D94" s="480">
        <f>'[65]Sch C'!F82</f>
        <v>0</v>
      </c>
      <c r="E94" s="480">
        <f>+'[65]Sch C'!H82</f>
        <v>0</v>
      </c>
      <c r="F94" s="166">
        <f t="shared" si="17"/>
        <v>9398.25</v>
      </c>
      <c r="G94" s="626"/>
      <c r="H94" s="166"/>
      <c r="I94" s="166">
        <f t="shared" si="18"/>
        <v>9398.25</v>
      </c>
      <c r="J94" s="167">
        <f t="shared" si="19"/>
        <v>1.4284525518067435E-3</v>
      </c>
      <c r="K94" s="458"/>
      <c r="L94" s="163"/>
      <c r="M94" s="163"/>
      <c r="O94" s="324">
        <f t="shared" si="20"/>
        <v>0.386488876094913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'[65]Sch C'!D83</f>
        <v>0</v>
      </c>
      <c r="D95" s="480">
        <f>'[65]Sch C'!F83</f>
        <v>0</v>
      </c>
      <c r="E95" s="480">
        <f>+'[65]Sch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'[65]Sch C'!D84</f>
        <v>111385.84</v>
      </c>
      <c r="D96" s="480">
        <f>'[65]Sch C'!F84</f>
        <v>0</v>
      </c>
      <c r="E96" s="480">
        <f>+'[65]Sch C'!H84</f>
        <v>0</v>
      </c>
      <c r="F96" s="166">
        <f t="shared" si="17"/>
        <v>111385.84</v>
      </c>
      <c r="G96" s="626"/>
      <c r="H96" s="166"/>
      <c r="I96" s="166">
        <f t="shared" si="18"/>
        <v>111385.84</v>
      </c>
      <c r="J96" s="167">
        <f t="shared" si="19"/>
        <v>1.6929682375244073E-2</v>
      </c>
      <c r="K96" s="458"/>
      <c r="L96" s="163"/>
      <c r="M96" s="163"/>
      <c r="O96" s="324">
        <f t="shared" si="20"/>
        <v>4.5805749064440517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'[65]Sch C'!D85</f>
        <v>168.52</v>
      </c>
      <c r="D97" s="480">
        <f>'[65]Sch C'!F85</f>
        <v>0</v>
      </c>
      <c r="E97" s="480">
        <f>+'[65]Sch C'!H85</f>
        <v>0</v>
      </c>
      <c r="F97" s="166">
        <f t="shared" si="17"/>
        <v>168.52</v>
      </c>
      <c r="G97" s="626"/>
      <c r="H97" s="166"/>
      <c r="I97" s="166">
        <f t="shared" si="18"/>
        <v>168.52</v>
      </c>
      <c r="J97" s="167">
        <f t="shared" si="19"/>
        <v>2.5613579552626542E-5</v>
      </c>
      <c r="K97" s="458"/>
      <c r="L97" s="163"/>
      <c r="M97" s="163"/>
      <c r="O97" s="324">
        <f t="shared" si="20"/>
        <v>6.9301311839453884E-3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216139.08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216139.08</v>
      </c>
      <c r="G98" s="166">
        <f t="shared" si="22"/>
        <v>-815</v>
      </c>
      <c r="H98" s="166">
        <f t="shared" si="22"/>
        <v>0</v>
      </c>
      <c r="I98" s="166">
        <f t="shared" si="22"/>
        <v>215324.08</v>
      </c>
      <c r="J98" s="167">
        <f t="shared" si="19"/>
        <v>3.2727394093734402E-2</v>
      </c>
      <c r="K98" s="458"/>
      <c r="L98" s="163"/>
      <c r="M98" s="163"/>
      <c r="O98" s="329">
        <f>I98/I$233</f>
        <v>8.8548784800756675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'[65]Sch C'!D89</f>
        <v>231503.51</v>
      </c>
      <c r="D101" s="480">
        <f>'[65]Sch C'!F89</f>
        <v>0</v>
      </c>
      <c r="E101" s="480">
        <f>+'[65]Sch C'!H89</f>
        <v>0</v>
      </c>
      <c r="F101" s="166">
        <f t="shared" ref="F101:F106" si="23">C101+D101+E101</f>
        <v>231503.51</v>
      </c>
      <c r="G101" s="626"/>
      <c r="H101" s="166"/>
      <c r="I101" s="166">
        <f t="shared" ref="I101:I106" si="24">F101+G101+H101</f>
        <v>231503.51</v>
      </c>
      <c r="J101" s="167">
        <f t="shared" ref="J101:J107" si="25">IF($I$213=0,0,I101/$I$213)</f>
        <v>3.5186527237700417E-2</v>
      </c>
      <c r="K101" s="458"/>
      <c r="L101" s="176">
        <v>18195</v>
      </c>
      <c r="M101" s="176">
        <v>19204.45</v>
      </c>
      <c r="O101" s="329">
        <f t="shared" ref="O101:O106" si="26">I101/I$233</f>
        <v>9.5202331702101421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'[65]Sch C'!D90</f>
        <v>38979.4</v>
      </c>
      <c r="D102" s="480">
        <f>'[65]Sch C'!F90</f>
        <v>0</v>
      </c>
      <c r="E102" s="480">
        <f>+'[65]Sch C'!H90</f>
        <v>0</v>
      </c>
      <c r="F102" s="166">
        <f t="shared" si="23"/>
        <v>38979.4</v>
      </c>
      <c r="G102" s="626">
        <v>-4785</v>
      </c>
      <c r="H102" s="166"/>
      <c r="I102" s="166">
        <f t="shared" si="24"/>
        <v>34194.400000000001</v>
      </c>
      <c r="J102" s="167">
        <f t="shared" si="25"/>
        <v>5.1972524605645208E-3</v>
      </c>
      <c r="K102" s="458"/>
      <c r="L102" s="163"/>
      <c r="M102" s="163"/>
      <c r="O102" s="329">
        <f t="shared" si="26"/>
        <v>1.4061931981741169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'[65]Sch C'!D91</f>
        <v>16290.39</v>
      </c>
      <c r="D103" s="480">
        <f>'[65]Sch C'!F91</f>
        <v>0</v>
      </c>
      <c r="E103" s="480">
        <f>+'[65]Sch C'!H91</f>
        <v>0</v>
      </c>
      <c r="F103" s="166">
        <f t="shared" si="23"/>
        <v>16290.39</v>
      </c>
      <c r="G103" s="626"/>
      <c r="H103" s="166"/>
      <c r="I103" s="166">
        <f t="shared" si="24"/>
        <v>16290.39</v>
      </c>
      <c r="J103" s="167">
        <f t="shared" si="25"/>
        <v>2.4759981023517201E-3</v>
      </c>
      <c r="K103" s="458"/>
      <c r="L103" s="163"/>
      <c r="M103" s="163"/>
      <c r="O103" s="329">
        <f t="shared" si="26"/>
        <v>0.66991775301229595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'[65]Sch C'!D92</f>
        <v>202207.63</v>
      </c>
      <c r="D104" s="480">
        <f>'[65]Sch C'!F92</f>
        <v>0</v>
      </c>
      <c r="E104" s="480">
        <f>+'[65]Sch C'!H92</f>
        <v>0</v>
      </c>
      <c r="F104" s="166">
        <f t="shared" si="23"/>
        <v>202207.63</v>
      </c>
      <c r="G104" s="626"/>
      <c r="H104" s="166"/>
      <c r="I104" s="166">
        <f t="shared" si="24"/>
        <v>202207.63</v>
      </c>
      <c r="J104" s="167">
        <f t="shared" si="25"/>
        <v>3.0733807365019426E-2</v>
      </c>
      <c r="K104" s="458"/>
      <c r="L104" s="163"/>
      <c r="M104" s="163"/>
      <c r="O104" s="329">
        <f t="shared" si="26"/>
        <v>8.3154842291401074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'[65]Sch C'!D93</f>
        <v>24773.31</v>
      </c>
      <c r="D105" s="480">
        <f>'[65]Sch C'!F93</f>
        <v>0</v>
      </c>
      <c r="E105" s="480">
        <f>+'[65]Sch C'!H93</f>
        <v>0</v>
      </c>
      <c r="F105" s="166">
        <f t="shared" si="23"/>
        <v>24773.31</v>
      </c>
      <c r="G105" s="626"/>
      <c r="H105" s="166"/>
      <c r="I105" s="166">
        <f t="shared" si="24"/>
        <v>24773.31</v>
      </c>
      <c r="J105" s="167">
        <f t="shared" si="25"/>
        <v>3.7653284266964079E-3</v>
      </c>
      <c r="K105" s="458"/>
      <c r="L105" s="163"/>
      <c r="M105" s="163"/>
      <c r="O105" s="329">
        <f t="shared" si="26"/>
        <v>1.0187650614796233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'[65]Sch C'!D94</f>
        <v>18.920000000000002</v>
      </c>
      <c r="D106" s="480">
        <f>'[65]Sch C'!F94</f>
        <v>0</v>
      </c>
      <c r="E106" s="480">
        <f>+'[65]Sch C'!H94</f>
        <v>0</v>
      </c>
      <c r="F106" s="166">
        <f t="shared" si="23"/>
        <v>18.920000000000002</v>
      </c>
      <c r="G106" s="626"/>
      <c r="H106" s="166"/>
      <c r="I106" s="166">
        <f t="shared" si="24"/>
        <v>18.920000000000002</v>
      </c>
      <c r="J106" s="167">
        <f t="shared" si="25"/>
        <v>2.8756760333236069E-6</v>
      </c>
      <c r="K106" s="458"/>
      <c r="L106" s="163"/>
      <c r="M106" s="163"/>
      <c r="O106" s="329">
        <f t="shared" si="26"/>
        <v>7.7805650368055273E-4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513773.16000000003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513773.16000000003</v>
      </c>
      <c r="G107" s="166">
        <f t="shared" si="28"/>
        <v>-4785</v>
      </c>
      <c r="H107" s="166">
        <f t="shared" si="28"/>
        <v>0</v>
      </c>
      <c r="I107" s="166">
        <f t="shared" si="28"/>
        <v>508988.16000000003</v>
      </c>
      <c r="J107" s="167">
        <f t="shared" si="25"/>
        <v>7.7361789268365816E-2</v>
      </c>
      <c r="K107" s="458"/>
      <c r="L107" s="163"/>
      <c r="M107" s="163"/>
      <c r="O107" s="329">
        <f>I107/I$233</f>
        <v>20.931371468519966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'[65]Sch C'!D98</f>
        <v>45937.72</v>
      </c>
      <c r="D110" s="480">
        <f>'[65]Sch C'!F98</f>
        <v>0</v>
      </c>
      <c r="E110" s="480">
        <f>+'[65]Sch C'!H98</f>
        <v>0</v>
      </c>
      <c r="F110" s="166">
        <f t="shared" ref="F110:F115" si="29">C110+D110+E110</f>
        <v>45937.72</v>
      </c>
      <c r="G110" s="626"/>
      <c r="H110" s="166"/>
      <c r="I110" s="166">
        <f t="shared" ref="I110:I115" si="30">F110+G110+H110</f>
        <v>45937.72</v>
      </c>
      <c r="J110" s="167">
        <f t="shared" ref="J110:J116" si="31">IF($I$213=0,0,I110/$I$213)</f>
        <v>6.9821353292563691E-3</v>
      </c>
      <c r="K110" s="458"/>
      <c r="L110" s="176">
        <v>4731</v>
      </c>
      <c r="M110" s="176">
        <v>4900</v>
      </c>
      <c r="O110" s="329">
        <f t="shared" ref="O110:O115" si="32">I110/I$233</f>
        <v>1.8891195459966279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'[65]Sch C'!D99</f>
        <v>9512.6</v>
      </c>
      <c r="D111" s="480">
        <f>'[65]Sch C'!F99</f>
        <v>0</v>
      </c>
      <c r="E111" s="480">
        <f>+'[65]Sch C'!H99</f>
        <v>0</v>
      </c>
      <c r="F111" s="166">
        <f t="shared" si="29"/>
        <v>9512.6</v>
      </c>
      <c r="G111" s="626">
        <v>-938</v>
      </c>
      <c r="H111" s="166"/>
      <c r="I111" s="166">
        <f t="shared" si="30"/>
        <v>8574.6</v>
      </c>
      <c r="J111" s="167">
        <f t="shared" si="31"/>
        <v>1.3032648898169449E-3</v>
      </c>
      <c r="K111" s="458"/>
      <c r="L111" s="163"/>
      <c r="M111" s="163"/>
      <c r="O111" s="329">
        <f t="shared" si="32"/>
        <v>0.35261751038368222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'[65]Sch C'!D100</f>
        <v>6652.73</v>
      </c>
      <c r="D112" s="480">
        <f>'[65]Sch C'!F100</f>
        <v>0</v>
      </c>
      <c r="E112" s="480">
        <f>+'[65]Sch C'!H100</f>
        <v>0</v>
      </c>
      <c r="F112" s="166">
        <f t="shared" si="29"/>
        <v>6652.73</v>
      </c>
      <c r="G112" s="626"/>
      <c r="H112" s="166"/>
      <c r="I112" s="166">
        <f t="shared" si="30"/>
        <v>6652.73</v>
      </c>
      <c r="J112" s="167">
        <f t="shared" si="31"/>
        <v>1.0111573053474079E-3</v>
      </c>
      <c r="K112" s="458"/>
      <c r="L112" s="163"/>
      <c r="M112" s="163"/>
      <c r="O112" s="329">
        <f t="shared" si="32"/>
        <v>0.27358350125426656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'[65]Sch C'!D101</f>
        <v>169.48</v>
      </c>
      <c r="D113" s="480">
        <f>'[65]Sch C'!F101</f>
        <v>0</v>
      </c>
      <c r="E113" s="480">
        <f>+'[65]Sch C'!H101</f>
        <v>0</v>
      </c>
      <c r="F113" s="166">
        <f t="shared" si="29"/>
        <v>169.48</v>
      </c>
      <c r="G113" s="626"/>
      <c r="H113" s="166"/>
      <c r="I113" s="166">
        <f t="shared" si="30"/>
        <v>169.48</v>
      </c>
      <c r="J113" s="167">
        <f t="shared" si="31"/>
        <v>2.5759491232964315E-5</v>
      </c>
      <c r="K113" s="458"/>
      <c r="L113" s="163"/>
      <c r="M113" s="163"/>
      <c r="O113" s="329">
        <f t="shared" si="32"/>
        <v>6.9696097380433433E-3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'[65]Sch C'!D102</f>
        <v>4819.04</v>
      </c>
      <c r="D114" s="480">
        <f>'[65]Sch C'!F102</f>
        <v>0</v>
      </c>
      <c r="E114" s="480">
        <f>+'[65]Sch C'!H102</f>
        <v>0</v>
      </c>
      <c r="F114" s="166">
        <f t="shared" si="29"/>
        <v>4819.04</v>
      </c>
      <c r="G114" s="626"/>
      <c r="H114" s="166"/>
      <c r="I114" s="166">
        <f t="shared" si="30"/>
        <v>4819.04</v>
      </c>
      <c r="J114" s="167">
        <f t="shared" si="31"/>
        <v>7.3245231668223011E-4</v>
      </c>
      <c r="K114" s="458"/>
      <c r="L114" s="163"/>
      <c r="M114" s="163"/>
      <c r="O114" s="329">
        <f t="shared" si="32"/>
        <v>0.19817576181272362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'[65]Sch C'!D103</f>
        <v>0</v>
      </c>
      <c r="D115" s="480">
        <f>'[65]Sch C'!F103</f>
        <v>0</v>
      </c>
      <c r="E115" s="480">
        <f>+'[65]Sch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67091.570000000007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67091.570000000007</v>
      </c>
      <c r="G116" s="166">
        <f t="shared" si="34"/>
        <v>-938</v>
      </c>
      <c r="H116" s="166">
        <f t="shared" si="34"/>
        <v>0</v>
      </c>
      <c r="I116" s="166">
        <f t="shared" si="34"/>
        <v>66153.570000000007</v>
      </c>
      <c r="J116" s="167">
        <f t="shared" si="31"/>
        <v>1.0054769332335917E-2</v>
      </c>
      <c r="K116" s="458"/>
      <c r="L116" s="163"/>
      <c r="M116" s="163"/>
      <c r="O116" s="329">
        <f>I116/I$233</f>
        <v>2.7204659291853437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'[65]Sch C'!D115</f>
        <v>119589.72</v>
      </c>
      <c r="D119" s="480">
        <f>'[65]Sch C'!F115</f>
        <v>0</v>
      </c>
      <c r="E119" s="480">
        <f>+'[65]Sch C'!H115</f>
        <v>0</v>
      </c>
      <c r="F119" s="166">
        <f t="shared" ref="F119:F123" si="35">C119+D119+E119</f>
        <v>119589.72</v>
      </c>
      <c r="G119" s="626"/>
      <c r="H119" s="166"/>
      <c r="I119" s="166">
        <f t="shared" ref="I119:I123" si="36">F119+G119+H119</f>
        <v>119589.72</v>
      </c>
      <c r="J119" s="167">
        <f t="shared" ref="J119:J124" si="37">IF($I$213=0,0,I119/$I$213)</f>
        <v>1.8176601037837251E-2</v>
      </c>
      <c r="K119" s="458"/>
      <c r="L119" s="176">
        <v>9300</v>
      </c>
      <c r="M119" s="176">
        <v>10832</v>
      </c>
      <c r="O119" s="329">
        <f t="shared" ref="O119:O124" si="38">I119/I$233</f>
        <v>4.9179471151869061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'[65]Sch C'!D116</f>
        <v>19760.09</v>
      </c>
      <c r="D120" s="480">
        <f>'[65]Sch C'!F116</f>
        <v>0</v>
      </c>
      <c r="E120" s="480">
        <f>+'[65]Sch C'!H116</f>
        <v>0</v>
      </c>
      <c r="F120" s="166">
        <f t="shared" si="35"/>
        <v>19760.09</v>
      </c>
      <c r="G120" s="626">
        <v>-2662</v>
      </c>
      <c r="H120" s="166"/>
      <c r="I120" s="166">
        <f t="shared" si="36"/>
        <v>17098.09</v>
      </c>
      <c r="J120" s="167">
        <f t="shared" si="37"/>
        <v>2.5987615025692403E-3</v>
      </c>
      <c r="K120" s="458"/>
      <c r="L120" s="163"/>
      <c r="M120" s="163"/>
      <c r="O120" s="329">
        <f t="shared" si="38"/>
        <v>0.70313319899658677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'[65]Sch C'!D117</f>
        <v>20004.54</v>
      </c>
      <c r="D121" s="480">
        <f>'[65]Sch C'!F117</f>
        <v>0</v>
      </c>
      <c r="E121" s="480">
        <f>+'[65]Sch C'!H117</f>
        <v>0</v>
      </c>
      <c r="F121" s="166">
        <f t="shared" si="35"/>
        <v>20004.54</v>
      </c>
      <c r="G121" s="626"/>
      <c r="H121" s="166"/>
      <c r="I121" s="166">
        <f t="shared" si="36"/>
        <v>20004.54</v>
      </c>
      <c r="J121" s="167">
        <f t="shared" si="37"/>
        <v>3.040516714358532E-3</v>
      </c>
      <c r="K121" s="458"/>
      <c r="L121" s="163"/>
      <c r="M121" s="163"/>
      <c r="O121" s="329">
        <f t="shared" si="38"/>
        <v>0.82265657770284162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'[65]Sch C'!D118</f>
        <v>3250</v>
      </c>
      <c r="D122" s="480">
        <f>'[65]Sch C'!F118</f>
        <v>0</v>
      </c>
      <c r="E122" s="480">
        <f>+'[65]Sch C'!H118</f>
        <v>0</v>
      </c>
      <c r="F122" s="166">
        <f t="shared" si="35"/>
        <v>3250</v>
      </c>
      <c r="G122" s="626"/>
      <c r="H122" s="166"/>
      <c r="I122" s="166">
        <f t="shared" si="36"/>
        <v>3250</v>
      </c>
      <c r="J122" s="167">
        <f t="shared" si="37"/>
        <v>4.9397183447683513E-4</v>
      </c>
      <c r="K122" s="458"/>
      <c r="L122" s="163"/>
      <c r="M122" s="163"/>
      <c r="O122" s="329">
        <f t="shared" si="38"/>
        <v>0.13365135501912243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'[65]Sch C'!D119</f>
        <v>0</v>
      </c>
      <c r="D123" s="480">
        <f>'[65]Sch C'!F119</f>
        <v>0</v>
      </c>
      <c r="E123" s="480">
        <f>+'[65]Sch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162604.35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162604.35</v>
      </c>
      <c r="G124" s="166">
        <f t="shared" si="40"/>
        <v>-2662</v>
      </c>
      <c r="H124" s="166">
        <f t="shared" si="40"/>
        <v>0</v>
      </c>
      <c r="I124" s="166">
        <f t="shared" si="40"/>
        <v>159942.35</v>
      </c>
      <c r="J124" s="167">
        <f t="shared" si="37"/>
        <v>2.4309851089241857E-2</v>
      </c>
      <c r="K124" s="458"/>
      <c r="L124" s="163"/>
      <c r="M124" s="163"/>
      <c r="O124" s="329">
        <f t="shared" si="38"/>
        <v>6.577388246905457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'[65]Sch C'!D124</f>
        <v>0</v>
      </c>
      <c r="D128" s="480">
        <f>'[65]Sch C'!F124</f>
        <v>0</v>
      </c>
      <c r="E128" s="480">
        <f>+'[65]Sch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'[65]Sch C'!D125</f>
        <v>350334.9</v>
      </c>
      <c r="D129" s="480">
        <f>'[65]Sch C'!F125</f>
        <v>0</v>
      </c>
      <c r="E129" s="480">
        <f>+'[65]Sch C'!H125</f>
        <v>0</v>
      </c>
      <c r="F129" s="166">
        <f t="shared" si="41"/>
        <v>350334.9</v>
      </c>
      <c r="G129" s="626"/>
      <c r="H129" s="166"/>
      <c r="I129" s="166">
        <f t="shared" si="42"/>
        <v>350334.9</v>
      </c>
      <c r="J129" s="167">
        <f>IF($I$213=0,0,I129/$I$213)</f>
        <v>5.3247868687464187E-2</v>
      </c>
      <c r="K129" s="458"/>
      <c r="L129" s="176">
        <v>11114</v>
      </c>
      <c r="M129" s="176">
        <v>12102.23</v>
      </c>
      <c r="O129" s="329">
        <f t="shared" si="43"/>
        <v>14.406995106304233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'[65]Sch C'!D126</f>
        <v>0</v>
      </c>
      <c r="D130" s="480">
        <f>'[65]Sch C'!F126</f>
        <v>0</v>
      </c>
      <c r="E130" s="480">
        <f>+'[65]Sch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'[65]Sch C'!D127</f>
        <v>0</v>
      </c>
      <c r="D131" s="480">
        <f>'[65]Sch C'!F127</f>
        <v>0</v>
      </c>
      <c r="E131" s="480">
        <f>+'[65]Sch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'[65]Sch C'!D128</f>
        <v>38030.49</v>
      </c>
      <c r="D132" s="480">
        <f>'[65]Sch C'!F128</f>
        <v>0</v>
      </c>
      <c r="E132" s="480">
        <f>+'[65]Sch C'!H128</f>
        <v>0</v>
      </c>
      <c r="F132" s="166">
        <f t="shared" si="41"/>
        <v>38030.49</v>
      </c>
      <c r="G132" s="626"/>
      <c r="H132" s="166"/>
      <c r="I132" s="166">
        <f t="shared" si="42"/>
        <v>38030.49</v>
      </c>
      <c r="J132" s="167">
        <f>IF($I$213=0,0,I132/$I$213)</f>
        <v>5.7803048958009031E-3</v>
      </c>
      <c r="K132" s="458"/>
      <c r="L132" s="176">
        <v>1827</v>
      </c>
      <c r="M132" s="176">
        <v>2103.64</v>
      </c>
      <c r="O132" s="329">
        <f t="shared" si="43"/>
        <v>1.56394662170498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483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'[65]Sch C'!D130</f>
        <v>0</v>
      </c>
      <c r="D134" s="480">
        <f>'[65]Sch C'!F130</f>
        <v>0</v>
      </c>
      <c r="E134" s="480">
        <f>+'[65]Sch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'[65]Sch C'!D131</f>
        <v>63769.9</v>
      </c>
      <c r="D135" s="480">
        <f>'[65]Sch C'!F131</f>
        <v>0</v>
      </c>
      <c r="E135" s="480">
        <f>+'[65]Sch C'!H131</f>
        <v>0</v>
      </c>
      <c r="F135" s="166">
        <f t="shared" si="44"/>
        <v>63769.9</v>
      </c>
      <c r="G135" s="626">
        <v>-7196</v>
      </c>
      <c r="H135" s="166"/>
      <c r="I135" s="166">
        <f t="shared" si="45"/>
        <v>56573.9</v>
      </c>
      <c r="J135" s="167">
        <f>IF($I$213=0,0,I135/$I$213)</f>
        <v>8.5987425127720084E-3</v>
      </c>
      <c r="K135" s="458"/>
      <c r="L135" s="196"/>
      <c r="M135" s="196"/>
      <c r="O135" s="329">
        <f t="shared" si="43"/>
        <v>2.3265164288357938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'[65]Sch C'!D132</f>
        <v>0</v>
      </c>
      <c r="D136" s="480">
        <f>'[65]Sch C'!F132</f>
        <v>0</v>
      </c>
      <c r="E136" s="480">
        <f>+'[65]Sch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'[65]Sch C'!D133</f>
        <v>0</v>
      </c>
      <c r="D137" s="480">
        <f>'[65]Sch C'!F133</f>
        <v>0</v>
      </c>
      <c r="E137" s="480">
        <f>+'[65]Sch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'[65]Sch C'!D134</f>
        <v>8504.02</v>
      </c>
      <c r="D138" s="480">
        <f>'[65]Sch C'!F134</f>
        <v>0</v>
      </c>
      <c r="E138" s="480">
        <f>+'[65]Sch C'!H134</f>
        <v>0</v>
      </c>
      <c r="F138" s="166">
        <f t="shared" si="44"/>
        <v>8504.02</v>
      </c>
      <c r="G138" s="626">
        <v>-169</v>
      </c>
      <c r="H138" s="166"/>
      <c r="I138" s="166">
        <f t="shared" si="45"/>
        <v>8335.02</v>
      </c>
      <c r="J138" s="167">
        <f>IF($I$213=0,0,I138/$I$213)</f>
        <v>1.2668508060926496E-3</v>
      </c>
      <c r="K138" s="458"/>
      <c r="L138" s="163"/>
      <c r="M138" s="163"/>
      <c r="O138" s="329">
        <f t="shared" si="43"/>
        <v>0.34276514372661104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'[65]Sch C'!D136</f>
        <v>418084.72</v>
      </c>
      <c r="D140" s="480">
        <f>'[65]Sch C'!F136</f>
        <v>0</v>
      </c>
      <c r="E140" s="480">
        <f>+'[65]Sch C'!H136</f>
        <v>0</v>
      </c>
      <c r="F140" s="166">
        <f t="shared" ref="F140:F143" si="46">C140+D140+E140</f>
        <v>418084.72</v>
      </c>
      <c r="G140" s="626"/>
      <c r="H140" s="166"/>
      <c r="I140" s="166">
        <f t="shared" ref="I140:I143" si="47">F140+G140+H140</f>
        <v>418084.72</v>
      </c>
      <c r="J140" s="167">
        <f>IF($I$213=0,0,I140/$I$213)</f>
        <v>6.3545254186195069E-2</v>
      </c>
      <c r="K140" s="458"/>
      <c r="L140" s="176">
        <v>14266</v>
      </c>
      <c r="M140" s="176">
        <v>15617.29</v>
      </c>
      <c r="O140" s="329">
        <f t="shared" si="43"/>
        <v>17.193104412550888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'[65]Sch C'!D137</f>
        <v>305145.77</v>
      </c>
      <c r="D141" s="480">
        <f>'[65]Sch C'!F137</f>
        <v>0</v>
      </c>
      <c r="E141" s="480">
        <f>+'[65]Sch C'!H137</f>
        <v>0</v>
      </c>
      <c r="F141" s="166">
        <f t="shared" si="46"/>
        <v>305145.77</v>
      </c>
      <c r="G141" s="626"/>
      <c r="H141" s="166"/>
      <c r="I141" s="166">
        <f t="shared" si="47"/>
        <v>305145.77</v>
      </c>
      <c r="J141" s="167">
        <f>IF($I$213=0,0,I141/$I$213)</f>
        <v>4.6379512550691206E-2</v>
      </c>
      <c r="K141" s="458"/>
      <c r="L141" s="176">
        <v>14275</v>
      </c>
      <c r="M141" s="176">
        <v>15395</v>
      </c>
      <c r="O141" s="329">
        <f t="shared" si="43"/>
        <v>12.548660196570301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'[65]Sch C'!D138</f>
        <v>697071.48</v>
      </c>
      <c r="D142" s="480">
        <f>'[65]Sch C'!F138</f>
        <v>0</v>
      </c>
      <c r="E142" s="480">
        <f>+'[65]Sch C'!H138</f>
        <v>0</v>
      </c>
      <c r="F142" s="166">
        <f t="shared" si="46"/>
        <v>697071.48</v>
      </c>
      <c r="G142" s="626"/>
      <c r="H142" s="166"/>
      <c r="I142" s="166">
        <f t="shared" si="47"/>
        <v>697071.48</v>
      </c>
      <c r="J142" s="167">
        <f>IF($I$213=0,0,I142/$I$213)</f>
        <v>0.10594882391910231</v>
      </c>
      <c r="K142" s="458"/>
      <c r="L142" s="176">
        <v>50862.8</v>
      </c>
      <c r="M142" s="176">
        <v>53721.53</v>
      </c>
      <c r="O142" s="329">
        <f t="shared" si="43"/>
        <v>28.666014722210797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'[65]Sch C'!D139</f>
        <v>30418.81</v>
      </c>
      <c r="D143" s="480">
        <f>'[65]Sch C'!F139</f>
        <v>0</v>
      </c>
      <c r="E143" s="480">
        <f>+'[65]Sch C'!H139</f>
        <v>0</v>
      </c>
      <c r="F143" s="166">
        <f t="shared" si="46"/>
        <v>30418.81</v>
      </c>
      <c r="G143" s="626"/>
      <c r="H143" s="166"/>
      <c r="I143" s="166">
        <f t="shared" si="47"/>
        <v>30418.81</v>
      </c>
      <c r="J143" s="167">
        <f>IF($I$213=0,0,I143/$I$213)</f>
        <v>4.6233955010160921E-3</v>
      </c>
      <c r="K143" s="458"/>
      <c r="L143" s="176">
        <v>0</v>
      </c>
      <c r="M143" s="176">
        <v>0</v>
      </c>
      <c r="O143" s="329">
        <f t="shared" si="43"/>
        <v>1.250927746021302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'[65]Sch C'!D141</f>
        <v>75616.210000000006</v>
      </c>
      <c r="D145" s="480">
        <f>'[65]Sch C'!F141</f>
        <v>0</v>
      </c>
      <c r="E145" s="480">
        <f>+'[65]Sch C'!H141</f>
        <v>0</v>
      </c>
      <c r="F145" s="166">
        <f t="shared" ref="F145:F148" si="48">C145+D145+E145</f>
        <v>75616.210000000006</v>
      </c>
      <c r="G145" s="626">
        <v>-8676</v>
      </c>
      <c r="H145" s="166"/>
      <c r="I145" s="166">
        <f t="shared" ref="I145:I148" si="49">F145+G145+H145</f>
        <v>66940.210000000006</v>
      </c>
      <c r="J145" s="167">
        <f>IF($I$213=0,0,I145/$I$213)</f>
        <v>1.0174331795066027E-2</v>
      </c>
      <c r="K145" s="458"/>
      <c r="L145" s="163"/>
      <c r="M145" s="163"/>
      <c r="O145" s="329">
        <f t="shared" si="43"/>
        <v>2.7528153143891108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'[65]Sch C'!D142</f>
        <v>55189.69</v>
      </c>
      <c r="D146" s="480">
        <f>'[65]Sch C'!F142</f>
        <v>0</v>
      </c>
      <c r="E146" s="480">
        <f>+'[65]Sch C'!H142</f>
        <v>0</v>
      </c>
      <c r="F146" s="166">
        <f t="shared" si="48"/>
        <v>55189.69</v>
      </c>
      <c r="G146" s="626">
        <v>-6332</v>
      </c>
      <c r="H146" s="166"/>
      <c r="I146" s="166">
        <f t="shared" si="49"/>
        <v>48857.69</v>
      </c>
      <c r="J146" s="167">
        <f>IF($I$213=0,0,I146/$I$213)</f>
        <v>7.4259454638770849E-3</v>
      </c>
      <c r="K146" s="458"/>
      <c r="L146" s="163"/>
      <c r="M146" s="163"/>
      <c r="O146" s="329">
        <f t="shared" si="43"/>
        <v>2.0091989143397626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'[65]Sch C'!D143</f>
        <v>126074.7</v>
      </c>
      <c r="D147" s="480">
        <f>'[65]Sch C'!F143</f>
        <v>0</v>
      </c>
      <c r="E147" s="480">
        <f>+'[65]Sch C'!H143</f>
        <v>0</v>
      </c>
      <c r="F147" s="166">
        <f t="shared" si="48"/>
        <v>126074.7</v>
      </c>
      <c r="G147" s="626">
        <v>-14466</v>
      </c>
      <c r="H147" s="166"/>
      <c r="I147" s="166">
        <f t="shared" si="49"/>
        <v>111608.7</v>
      </c>
      <c r="J147" s="167">
        <f>IF($I$213=0,0,I147/$I$213)</f>
        <v>1.6963555163869153E-2</v>
      </c>
      <c r="K147" s="458"/>
      <c r="L147" s="163"/>
      <c r="M147" s="163"/>
      <c r="O147" s="329">
        <f t="shared" si="43"/>
        <v>4.5897396882839168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'[65]Sch C'!D144</f>
        <v>2945.31</v>
      </c>
      <c r="D148" s="480">
        <f>'[65]Sch C'!F144</f>
        <v>0</v>
      </c>
      <c r="E148" s="480">
        <f>+'[65]Sch C'!H144</f>
        <v>0</v>
      </c>
      <c r="F148" s="166">
        <f t="shared" si="48"/>
        <v>2945.31</v>
      </c>
      <c r="G148" s="626">
        <v>-632</v>
      </c>
      <c r="H148" s="166"/>
      <c r="I148" s="166">
        <f t="shared" si="49"/>
        <v>2313.31</v>
      </c>
      <c r="J148" s="167">
        <f>IF($I$213=0,0,I148/$I$213)</f>
        <v>3.5160307212726388E-4</v>
      </c>
      <c r="K148" s="458"/>
      <c r="L148" s="163"/>
      <c r="M148" s="163"/>
      <c r="O148" s="329">
        <f t="shared" si="43"/>
        <v>9.5131389562857258E-2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'[65]Sch C'!D146</f>
        <v>0</v>
      </c>
      <c r="D150" s="480">
        <f>'[65]Sch C'!F146</f>
        <v>0</v>
      </c>
      <c r="E150" s="480">
        <f>+'[65]Sch C'!H146</f>
        <v>0</v>
      </c>
      <c r="F150" s="166">
        <f t="shared" ref="F150:F158" si="50">C150+D150+E150</f>
        <v>0</v>
      </c>
      <c r="G150" s="626"/>
      <c r="H150" s="166"/>
      <c r="I150" s="166">
        <f t="shared" ref="I150:I158" si="51">F150+G150+H150</f>
        <v>0</v>
      </c>
      <c r="J150" s="167">
        <f t="shared" ref="J150:J158" si="52">IF($I$213=0,0,I150/$I$213)</f>
        <v>0</v>
      </c>
      <c r="K150" s="458"/>
      <c r="L150" s="176">
        <v>0</v>
      </c>
      <c r="M150" s="176">
        <v>0</v>
      </c>
      <c r="O150" s="329">
        <f t="shared" si="43"/>
        <v>0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'[65]Sch C'!D147</f>
        <v>0</v>
      </c>
      <c r="D151" s="480">
        <f>'[65]Sch C'!F147</f>
        <v>0</v>
      </c>
      <c r="E151" s="480">
        <f>+'[65]Sch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'[65]Sch C'!D148</f>
        <v>0</v>
      </c>
      <c r="D152" s="480">
        <f>'[65]Sch C'!F148</f>
        <v>0</v>
      </c>
      <c r="E152" s="480">
        <f>+'[65]Sch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'[65]Sch C'!D149</f>
        <v>0</v>
      </c>
      <c r="D153" s="480">
        <f>'[65]Sch C'!F149</f>
        <v>0</v>
      </c>
      <c r="E153" s="480">
        <f>+'[65]Sch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'[65]Sch C'!D150</f>
        <v>1880</v>
      </c>
      <c r="D154" s="480">
        <f>'[65]Sch C'!F150</f>
        <v>0</v>
      </c>
      <c r="E154" s="480">
        <f>+'[65]Sch C'!H150</f>
        <v>0</v>
      </c>
      <c r="F154" s="166">
        <f t="shared" si="50"/>
        <v>1880</v>
      </c>
      <c r="G154" s="626"/>
      <c r="H154" s="166"/>
      <c r="I154" s="166">
        <f t="shared" si="51"/>
        <v>1880</v>
      </c>
      <c r="J154" s="167">
        <f t="shared" si="52"/>
        <v>2.8574370732813848E-4</v>
      </c>
      <c r="K154" s="458"/>
      <c r="L154" s="176">
        <v>0</v>
      </c>
      <c r="M154" s="176">
        <v>0</v>
      </c>
      <c r="O154" s="329">
        <f t="shared" si="43"/>
        <v>7.7312168441830822E-2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'[65]Sch C'!D151</f>
        <v>145382.20000000001</v>
      </c>
      <c r="D155" s="480">
        <f>'[65]Sch C'!F151</f>
        <v>0</v>
      </c>
      <c r="E155" s="480">
        <f>+'[65]Sch C'!H151</f>
        <v>0</v>
      </c>
      <c r="F155" s="166">
        <f t="shared" si="50"/>
        <v>145382.20000000001</v>
      </c>
      <c r="G155" s="626"/>
      <c r="H155" s="166"/>
      <c r="I155" s="166">
        <f t="shared" si="51"/>
        <v>145382.20000000001</v>
      </c>
      <c r="J155" s="167">
        <f t="shared" si="52"/>
        <v>2.2096834472085585E-2</v>
      </c>
      <c r="K155" s="458"/>
      <c r="L155" s="163"/>
      <c r="M155" s="163"/>
      <c r="O155" s="329">
        <f t="shared" si="43"/>
        <v>5.9786240078957116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'[65]Sch C'!D152</f>
        <v>2726.97</v>
      </c>
      <c r="D156" s="480">
        <f>'[65]Sch C'!F152</f>
        <v>0</v>
      </c>
      <c r="E156" s="480">
        <f>+'[65]Sch C'!H152</f>
        <v>0</v>
      </c>
      <c r="F156" s="166">
        <f t="shared" si="50"/>
        <v>2726.97</v>
      </c>
      <c r="G156" s="626"/>
      <c r="H156" s="166"/>
      <c r="I156" s="166">
        <f t="shared" si="51"/>
        <v>2726.97</v>
      </c>
      <c r="J156" s="167">
        <f t="shared" si="52"/>
        <v>4.1447580721947543E-4</v>
      </c>
      <c r="K156" s="458"/>
      <c r="L156" s="163"/>
      <c r="M156" s="163"/>
      <c r="O156" s="329">
        <f t="shared" si="43"/>
        <v>0.11214253402969115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'[65]Sch C'!D153</f>
        <v>1910.68</v>
      </c>
      <c r="D157" s="480">
        <f>'[65]Sch C'!F153</f>
        <v>0</v>
      </c>
      <c r="E157" s="480">
        <f>+'[65]Sch C'!H153</f>
        <v>0</v>
      </c>
      <c r="F157" s="166">
        <f t="shared" si="50"/>
        <v>1910.68</v>
      </c>
      <c r="G157" s="626"/>
      <c r="H157" s="166"/>
      <c r="I157" s="166">
        <f t="shared" si="51"/>
        <v>1910.68</v>
      </c>
      <c r="J157" s="167">
        <f t="shared" si="52"/>
        <v>2.9040680144559982E-4</v>
      </c>
      <c r="K157" s="458"/>
      <c r="L157" s="163"/>
      <c r="M157" s="163"/>
      <c r="O157" s="329">
        <f t="shared" si="43"/>
        <v>7.8573837233211333E-2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'[65]Sch C'!D154</f>
        <v>375</v>
      </c>
      <c r="D158" s="480">
        <f>'[65]Sch C'!F154</f>
        <v>0</v>
      </c>
      <c r="E158" s="480">
        <f>+'[65]Sch C'!H154</f>
        <v>0</v>
      </c>
      <c r="F158" s="166">
        <f t="shared" si="50"/>
        <v>375</v>
      </c>
      <c r="G158" s="626"/>
      <c r="H158" s="166"/>
      <c r="I158" s="166">
        <f t="shared" si="51"/>
        <v>375</v>
      </c>
      <c r="J158" s="167">
        <f t="shared" si="52"/>
        <v>5.6996750131942518E-5</v>
      </c>
      <c r="K158" s="458"/>
      <c r="L158" s="163"/>
      <c r="M158" s="163"/>
      <c r="O158" s="329">
        <f t="shared" si="43"/>
        <v>1.5421310194514126E-2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47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'[65]Sch C'!D156</f>
        <v>0</v>
      </c>
      <c r="D160" s="480">
        <f>'[65]Sch C'!F156</f>
        <v>0</v>
      </c>
      <c r="E160" s="480">
        <f>+'[65]Sch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'[65]Sch C'!D157</f>
        <v>0</v>
      </c>
      <c r="D161" s="480">
        <f>'[65]Sch C'!F157</f>
        <v>0</v>
      </c>
      <c r="E161" s="480">
        <f>+'[65]Sch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'[65]Sch C'!D158</f>
        <v>0</v>
      </c>
      <c r="D162" s="480">
        <f>'[65]Sch C'!F158</f>
        <v>0</v>
      </c>
      <c r="E162" s="480">
        <f>+'[65]Sch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'[65]Sch C'!D159</f>
        <v>0</v>
      </c>
      <c r="D163" s="480">
        <f>'[65]Sch C'!F159</f>
        <v>0</v>
      </c>
      <c r="E163" s="480">
        <f>+'[65]Sch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'[65]Sch C'!D160</f>
        <v>889.1</v>
      </c>
      <c r="D164" s="480">
        <f>'[65]Sch C'!F160</f>
        <v>0</v>
      </c>
      <c r="E164" s="480">
        <f>+'[65]Sch C'!H160</f>
        <v>0</v>
      </c>
      <c r="F164" s="166">
        <f t="shared" si="53"/>
        <v>889.1</v>
      </c>
      <c r="G164" s="626"/>
      <c r="H164" s="166"/>
      <c r="I164" s="166">
        <f t="shared" si="54"/>
        <v>889.1</v>
      </c>
      <c r="J164" s="167">
        <f>IF($I$213=0,0,I164/$I$213)</f>
        <v>1.3513549477949359E-4</v>
      </c>
      <c r="K164" s="458"/>
      <c r="L164" s="163"/>
      <c r="M164" s="163"/>
      <c r="O164" s="329">
        <f t="shared" si="43"/>
        <v>3.6562898383846694E-2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'[65]Sch C'!D161</f>
        <v>44245.42</v>
      </c>
      <c r="D165" s="480">
        <f>'[65]Sch C'!F161</f>
        <v>0</v>
      </c>
      <c r="E165" s="480">
        <f>+'[65]Sch C'!H161</f>
        <v>0</v>
      </c>
      <c r="F165" s="166">
        <f t="shared" si="53"/>
        <v>44245.42</v>
      </c>
      <c r="G165" s="626">
        <v>-10639</v>
      </c>
      <c r="H165" s="166"/>
      <c r="I165" s="166">
        <f t="shared" si="54"/>
        <v>33606.42</v>
      </c>
      <c r="J165" s="167">
        <f t="shared" si="55"/>
        <v>5.1078845961843086E-3</v>
      </c>
      <c r="K165" s="458"/>
      <c r="L165" s="163"/>
      <c r="M165" s="163"/>
      <c r="O165" s="329">
        <f t="shared" si="43"/>
        <v>1.3820134062589957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2368595.3700000006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2368595.3700000006</v>
      </c>
      <c r="G166" s="166">
        <f t="shared" si="57"/>
        <v>-48110</v>
      </c>
      <c r="H166" s="166">
        <f t="shared" si="57"/>
        <v>0</v>
      </c>
      <c r="I166" s="166">
        <f t="shared" si="57"/>
        <v>2320485.3700000006</v>
      </c>
      <c r="J166" s="167">
        <f t="shared" si="55"/>
        <v>0.3526936661832486</v>
      </c>
      <c r="K166" s="458"/>
      <c r="L166" s="163"/>
      <c r="M166" s="163"/>
      <c r="O166" s="329">
        <f>I166/I$233</f>
        <v>95.426465846938385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'[65]Sch C'!D175</f>
        <v>0</v>
      </c>
      <c r="D169" s="480">
        <f>'[65]Sch C'!F175</f>
        <v>0</v>
      </c>
      <c r="E169" s="480">
        <f>+'[65]Sch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'[65]Sch C'!D176</f>
        <v>0</v>
      </c>
      <c r="D170" s="480">
        <f>'[65]Sch C'!F176</f>
        <v>0</v>
      </c>
      <c r="E170" s="480">
        <f>+'[65]Sch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'[65]Sch C'!D177</f>
        <v>0</v>
      </c>
      <c r="D171" s="480">
        <f>'[65]Sch C'!F177</f>
        <v>0</v>
      </c>
      <c r="E171" s="480">
        <f>+'[65]Sch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'[65]Sch C'!D178</f>
        <v>0</v>
      </c>
      <c r="D172" s="480">
        <f>'[65]Sch C'!F178</f>
        <v>0</v>
      </c>
      <c r="E172" s="480">
        <f>+'[65]Sch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'[65]Sch C'!D179</f>
        <v>0</v>
      </c>
      <c r="D173" s="480">
        <f>'[65]Sch C'!F179</f>
        <v>0</v>
      </c>
      <c r="E173" s="480">
        <f>+'[65]Sch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'[65]Sch C'!D180</f>
        <v>0</v>
      </c>
      <c r="D174" s="480">
        <f>'[65]Sch C'!F180</f>
        <v>0</v>
      </c>
      <c r="E174" s="480">
        <f>+'[65]Sch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'[65]Sch C'!D181</f>
        <v>0</v>
      </c>
      <c r="D175" s="480">
        <f>'[65]Sch C'!F181</f>
        <v>0</v>
      </c>
      <c r="E175" s="480">
        <f>+'[65]Sch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'[65]Sch C'!D182</f>
        <v>0</v>
      </c>
      <c r="D176" s="480">
        <f>'[65]Sch C'!F182</f>
        <v>0</v>
      </c>
      <c r="E176" s="480">
        <f>+'[65]Sch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'[65]Sch C'!D183</f>
        <v>0</v>
      </c>
      <c r="D177" s="480">
        <f>'[65]Sch C'!F183</f>
        <v>0</v>
      </c>
      <c r="E177" s="480">
        <f>+'[65]Sch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'[65]Sch C'!D184</f>
        <v>0</v>
      </c>
      <c r="D178" s="480">
        <f>'[65]Sch C'!F184</f>
        <v>0</v>
      </c>
      <c r="E178" s="480">
        <f>+'[65]Sch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'[65]Sch C'!D185</f>
        <v>0</v>
      </c>
      <c r="D179" s="480">
        <f>'[65]Sch C'!F185</f>
        <v>0</v>
      </c>
      <c r="E179" s="480">
        <f>+'[65]Sch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'[65]Sch C'!D186</f>
        <v>0</v>
      </c>
      <c r="D180" s="480">
        <f>'[65]Sch C'!F186</f>
        <v>0</v>
      </c>
      <c r="E180" s="480">
        <f>+'[65]Sch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'[65]Sch C'!D187</f>
        <v>0</v>
      </c>
      <c r="D181" s="480">
        <f>'[65]Sch C'!F187</f>
        <v>0</v>
      </c>
      <c r="E181" s="480">
        <f>+'[65]Sch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'[65]Sch C'!D188</f>
        <v>0</v>
      </c>
      <c r="D182" s="480">
        <f>'[65]Sch C'!F188</f>
        <v>0</v>
      </c>
      <c r="E182" s="480">
        <f>+'[65]Sch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'[65]Sch C'!D189</f>
        <v>0</v>
      </c>
      <c r="D183" s="480">
        <f>'[65]Sch C'!F189</f>
        <v>0</v>
      </c>
      <c r="E183" s="480">
        <f>+'[65]Sch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'[65]Sch C'!D190</f>
        <v>0</v>
      </c>
      <c r="D184" s="480">
        <f>'[65]Sch C'!F190</f>
        <v>0</v>
      </c>
      <c r="E184" s="480">
        <f>+'[65]Sch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'[65]Sch C'!D191</f>
        <v>0</v>
      </c>
      <c r="D185" s="480">
        <f>'[65]Sch C'!F191</f>
        <v>0</v>
      </c>
      <c r="E185" s="480">
        <f>+'[65]Sch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'[65]Sch C'!D192</f>
        <v>0</v>
      </c>
      <c r="D186" s="480">
        <f>'[65]Sch C'!F192</f>
        <v>0</v>
      </c>
      <c r="E186" s="480">
        <f>+'[65]Sch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'[65]Sch C'!D193</f>
        <v>0</v>
      </c>
      <c r="D187" s="480">
        <f>'[65]Sch C'!F193</f>
        <v>0</v>
      </c>
      <c r="E187" s="480">
        <f>+'[65]Sch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'[65]Sch C'!D194</f>
        <v>278303.90999999997</v>
      </c>
      <c r="D188" s="480">
        <f>'[65]Sch C'!F194</f>
        <v>0</v>
      </c>
      <c r="E188" s="480">
        <f>+'[65]Sch C'!H194</f>
        <v>-1498</v>
      </c>
      <c r="F188" s="166">
        <f t="shared" si="58"/>
        <v>276805.90999999997</v>
      </c>
      <c r="G188" s="626"/>
      <c r="H188" s="166"/>
      <c r="I188" s="166">
        <f t="shared" si="59"/>
        <v>276805.90999999997</v>
      </c>
      <c r="J188" s="167">
        <f t="shared" si="60"/>
        <v>4.2072099432839911E-2</v>
      </c>
      <c r="K188" s="458"/>
      <c r="L188" s="213"/>
      <c r="M188" s="208"/>
      <c r="O188" s="329">
        <f t="shared" si="61"/>
        <v>11.383226138092692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'[65]Sch C'!D195</f>
        <v>24586.799999999999</v>
      </c>
      <c r="D189" s="480">
        <f>'[65]Sch C'!F195</f>
        <v>0</v>
      </c>
      <c r="E189" s="480">
        <f>+'[65]Sch C'!H195</f>
        <v>-132</v>
      </c>
      <c r="F189" s="166">
        <f t="shared" si="58"/>
        <v>24454.799999999999</v>
      </c>
      <c r="G189" s="626"/>
      <c r="H189" s="166"/>
      <c r="I189" s="166">
        <f t="shared" si="59"/>
        <v>24454.799999999999</v>
      </c>
      <c r="J189" s="167">
        <f t="shared" si="60"/>
        <v>3.7169176670043408E-3</v>
      </c>
      <c r="K189" s="458"/>
      <c r="L189" s="213"/>
      <c r="M189" s="208"/>
      <c r="O189" s="329">
        <f t="shared" si="61"/>
        <v>1.0056668174528107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'[65]Sch C'!D196</f>
        <v>0</v>
      </c>
      <c r="D190" s="480">
        <f>'[65]Sch C'!F196</f>
        <v>0</v>
      </c>
      <c r="E190" s="480">
        <f>+'[65]Sch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'[65]Sch C'!D197</f>
        <v>282036.15000000002</v>
      </c>
      <c r="D191" s="480">
        <f>'[65]Sch C'!F197</f>
        <v>0</v>
      </c>
      <c r="E191" s="480">
        <f>+'[65]Sch C'!H197</f>
        <v>-1518</v>
      </c>
      <c r="F191" s="166">
        <f t="shared" si="58"/>
        <v>280518.15000000002</v>
      </c>
      <c r="G191" s="626"/>
      <c r="H191" s="166"/>
      <c r="I191" s="166">
        <f t="shared" si="59"/>
        <v>280518.15000000002</v>
      </c>
      <c r="J191" s="167">
        <f t="shared" si="60"/>
        <v>4.2636327741399395E-2</v>
      </c>
      <c r="K191" s="458"/>
      <c r="L191" s="213"/>
      <c r="M191" s="208"/>
      <c r="O191" s="329">
        <f t="shared" si="61"/>
        <v>11.535886416909982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'[65]Sch C'!D198</f>
        <v>33921.300000000003</v>
      </c>
      <c r="D192" s="480">
        <f>'[65]Sch C'!F198</f>
        <v>0</v>
      </c>
      <c r="E192" s="480">
        <f>+'[65]Sch C'!H198</f>
        <v>0</v>
      </c>
      <c r="F192" s="166">
        <f t="shared" si="58"/>
        <v>33921.300000000003</v>
      </c>
      <c r="G192" s="626"/>
      <c r="H192" s="166"/>
      <c r="I192" s="166">
        <f t="shared" si="59"/>
        <v>33921.300000000003</v>
      </c>
      <c r="J192" s="167">
        <f t="shared" si="60"/>
        <v>5.1557436273350988E-3</v>
      </c>
      <c r="K192" s="458"/>
      <c r="L192" s="213"/>
      <c r="M192" s="208"/>
      <c r="O192" s="329">
        <f t="shared" si="61"/>
        <v>1.3949623720031255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'[65]Sch C'!D199</f>
        <v>0</v>
      </c>
      <c r="D193" s="480">
        <f>'[65]Sch C'!F199</f>
        <v>0</v>
      </c>
      <c r="E193" s="480">
        <f>+'[65]Sch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'[65]Sch C'!D200</f>
        <v>0</v>
      </c>
      <c r="D194" s="480">
        <f>'[65]Sch C'!F200</f>
        <v>0</v>
      </c>
      <c r="E194" s="480">
        <f>+'[65]Sch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'[65]Sch C'!D201</f>
        <v>0</v>
      </c>
      <c r="D195" s="480">
        <f>'[65]Sch C'!F201</f>
        <v>0</v>
      </c>
      <c r="E195" s="480">
        <f>+'[65]Sch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'[65]Sch C'!D202</f>
        <v>0</v>
      </c>
      <c r="D196" s="480">
        <f>'[65]Sch C'!F202</f>
        <v>0</v>
      </c>
      <c r="E196" s="480">
        <f>+'[65]Sch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'[65]Sch C'!D203</f>
        <v>0</v>
      </c>
      <c r="D197" s="480">
        <f>'[65]Sch C'!F203</f>
        <v>0</v>
      </c>
      <c r="E197" s="480">
        <f>+'[65]Sch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'[65]Sch C'!D204</f>
        <v>0</v>
      </c>
      <c r="D198" s="480">
        <f>'[65]Sch C'!F204</f>
        <v>0</v>
      </c>
      <c r="E198" s="480">
        <f>+'[65]Sch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'[65]Sch C'!D205</f>
        <v>166961.89000000001</v>
      </c>
      <c r="D199" s="480">
        <f>'[65]Sch C'!F205</f>
        <v>0</v>
      </c>
      <c r="E199" s="480">
        <f>+'[65]Sch C'!H205</f>
        <v>0</v>
      </c>
      <c r="F199" s="166">
        <f t="shared" si="58"/>
        <v>166961.89000000001</v>
      </c>
      <c r="G199" s="626"/>
      <c r="H199" s="166"/>
      <c r="I199" s="166">
        <f t="shared" si="59"/>
        <v>166961.89000000001</v>
      </c>
      <c r="J199" s="167">
        <f t="shared" si="60"/>
        <v>2.5376760335698328E-2</v>
      </c>
      <c r="K199" s="458"/>
      <c r="L199" s="213"/>
      <c r="M199" s="208"/>
      <c r="O199" s="329">
        <f t="shared" si="61"/>
        <v>6.86605625693959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'[65]Sch C'!D206</f>
        <v>10287.99</v>
      </c>
      <c r="D200" s="480">
        <f>'[65]Sch C'!F206</f>
        <v>0</v>
      </c>
      <c r="E200" s="480">
        <f>+'[65]Sch C'!H206</f>
        <v>0</v>
      </c>
      <c r="F200" s="166">
        <f t="shared" si="58"/>
        <v>10287.99</v>
      </c>
      <c r="G200" s="626"/>
      <c r="H200" s="166"/>
      <c r="I200" s="166">
        <f t="shared" si="59"/>
        <v>10287.99</v>
      </c>
      <c r="J200" s="167">
        <f t="shared" si="60"/>
        <v>1.5636853210397954E-3</v>
      </c>
      <c r="K200" s="458"/>
      <c r="L200" s="213"/>
      <c r="M200" s="208"/>
      <c r="O200" s="329">
        <f t="shared" si="61"/>
        <v>0.423078093514825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'[65]Sch C'!D207</f>
        <v>19541.57</v>
      </c>
      <c r="D201" s="480">
        <f>'[65]Sch C'!F207</f>
        <v>0</v>
      </c>
      <c r="E201" s="480">
        <f>+'[65]Sch C'!H207</f>
        <v>0</v>
      </c>
      <c r="F201" s="166">
        <f t="shared" si="58"/>
        <v>19541.57</v>
      </c>
      <c r="G201" s="626">
        <v>-3208</v>
      </c>
      <c r="H201" s="166"/>
      <c r="I201" s="166">
        <f t="shared" si="59"/>
        <v>16333.57</v>
      </c>
      <c r="J201" s="167">
        <f t="shared" si="60"/>
        <v>2.4825610881402463E-3</v>
      </c>
      <c r="K201" s="458"/>
      <c r="L201" s="213"/>
      <c r="M201" s="208"/>
      <c r="O201" s="329">
        <f t="shared" si="61"/>
        <v>0.67169346547682685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815639.61</v>
      </c>
      <c r="D202" s="480">
        <f t="shared" si="62"/>
        <v>0</v>
      </c>
      <c r="E202" s="480">
        <f t="shared" si="62"/>
        <v>-3148</v>
      </c>
      <c r="F202" s="166">
        <f t="shared" ref="F202:I202" si="63">SUM(F169:F201)</f>
        <v>812491.61</v>
      </c>
      <c r="G202" s="166">
        <f t="shared" si="63"/>
        <v>-3208</v>
      </c>
      <c r="H202" s="166">
        <f t="shared" si="63"/>
        <v>0</v>
      </c>
      <c r="I202" s="166">
        <f t="shared" si="63"/>
        <v>809283.61</v>
      </c>
      <c r="J202" s="167">
        <f>IF($I$213=0,0,I202/$I$213)</f>
        <v>0.12300409521345711</v>
      </c>
      <c r="K202" s="458"/>
      <c r="L202" s="163"/>
      <c r="M202" s="163"/>
      <c r="O202" s="329">
        <f>I202/I$233</f>
        <v>33.28056956038985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'[65]Sch C'!D211</f>
        <v>123852.89</v>
      </c>
      <c r="D205" s="480">
        <f>'[65]Sch C'!F211</f>
        <v>0</v>
      </c>
      <c r="E205" s="480">
        <f>+'[65]Sch C'!H211</f>
        <v>0</v>
      </c>
      <c r="F205" s="166">
        <f t="shared" ref="F205:F210" si="64">C205+D205+E205</f>
        <v>123852.89</v>
      </c>
      <c r="G205" s="626"/>
      <c r="H205" s="166"/>
      <c r="I205" s="166">
        <f t="shared" ref="I205:I210" si="65">F205+G205+H205</f>
        <v>123852.89</v>
      </c>
      <c r="J205" s="167">
        <f t="shared" ref="J205:J211" si="66">IF($I$213=0,0,I205/$I$213)</f>
        <v>1.88245659318639E-2</v>
      </c>
      <c r="K205" s="458"/>
      <c r="L205" s="176">
        <v>7953</v>
      </c>
      <c r="M205" s="176">
        <v>8633.1299999999992</v>
      </c>
      <c r="O205" s="329">
        <f t="shared" ref="O205:O210" si="67">I205/I$233</f>
        <v>5.0932635604720975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'[65]Sch C'!D212</f>
        <v>14713.27</v>
      </c>
      <c r="D206" s="480">
        <f>'[65]Sch C'!F212</f>
        <v>0</v>
      </c>
      <c r="E206" s="480">
        <f>+'[65]Sch C'!H212</f>
        <v>0</v>
      </c>
      <c r="F206" s="166">
        <f t="shared" si="64"/>
        <v>14713.27</v>
      </c>
      <c r="G206" s="626">
        <v>-2286</v>
      </c>
      <c r="H206" s="166"/>
      <c r="I206" s="166">
        <f t="shared" si="65"/>
        <v>12427.27</v>
      </c>
      <c r="J206" s="167">
        <f t="shared" si="66"/>
        <v>1.8888373413658275E-3</v>
      </c>
      <c r="K206" s="458"/>
      <c r="L206" s="163"/>
      <c r="M206" s="163"/>
      <c r="O206" s="329">
        <f t="shared" si="67"/>
        <v>0.51105276144261214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'[65]Sch C'!D213</f>
        <v>19807.14</v>
      </c>
      <c r="D207" s="480">
        <f>'[65]Sch C'!F213</f>
        <v>0</v>
      </c>
      <c r="E207" s="480">
        <f>+'[65]Sch C'!H213</f>
        <v>0</v>
      </c>
      <c r="F207" s="166">
        <f t="shared" si="64"/>
        <v>19807.14</v>
      </c>
      <c r="G207" s="626"/>
      <c r="H207" s="166"/>
      <c r="I207" s="166">
        <f t="shared" si="65"/>
        <v>19807.14</v>
      </c>
      <c r="J207" s="167">
        <f t="shared" si="66"/>
        <v>3.0105136250890771E-3</v>
      </c>
      <c r="K207" s="458"/>
      <c r="L207" s="163"/>
      <c r="M207" s="163"/>
      <c r="O207" s="329">
        <f t="shared" si="67"/>
        <v>0.8145388000164494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'[65]Sch C'!D214</f>
        <v>312.5</v>
      </c>
      <c r="D208" s="480">
        <f>'[65]Sch C'!F214</f>
        <v>0</v>
      </c>
      <c r="E208" s="480">
        <f>+'[65]Sch C'!H214</f>
        <v>0</v>
      </c>
      <c r="F208" s="166">
        <f t="shared" si="64"/>
        <v>312.5</v>
      </c>
      <c r="G208" s="626"/>
      <c r="H208" s="166"/>
      <c r="I208" s="166">
        <f t="shared" si="65"/>
        <v>312.5</v>
      </c>
      <c r="J208" s="167">
        <f t="shared" si="66"/>
        <v>4.7497291776618765E-5</v>
      </c>
      <c r="K208" s="458"/>
      <c r="L208" s="163"/>
      <c r="M208" s="163"/>
      <c r="O208" s="329">
        <f t="shared" si="67"/>
        <v>1.2851091828761771E-2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'[65]Sch C'!D215</f>
        <v>0</v>
      </c>
      <c r="D209" s="480">
        <f>'[65]Sch C'!F215</f>
        <v>0</v>
      </c>
      <c r="E209" s="480">
        <f>+'[65]Sch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'[65]Sch C'!D216</f>
        <v>2650.35</v>
      </c>
      <c r="D210" s="480">
        <f>'[65]Sch C'!F216</f>
        <v>0</v>
      </c>
      <c r="E210" s="480">
        <f>+'[65]Sch C'!H216</f>
        <v>0</v>
      </c>
      <c r="F210" s="166">
        <f t="shared" si="64"/>
        <v>2650.35</v>
      </c>
      <c r="G210" s="626"/>
      <c r="H210" s="166"/>
      <c r="I210" s="166">
        <f t="shared" si="65"/>
        <v>2650.35</v>
      </c>
      <c r="J210" s="167">
        <f t="shared" si="66"/>
        <v>4.0283023123251693E-4</v>
      </c>
      <c r="K210" s="458"/>
      <c r="L210" s="163"/>
      <c r="M210" s="163"/>
      <c r="O210" s="329">
        <f t="shared" si="67"/>
        <v>0.10899165193074803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161336.15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161336.15</v>
      </c>
      <c r="G211" s="166">
        <f t="shared" si="69"/>
        <v>-2286</v>
      </c>
      <c r="H211" s="166">
        <f t="shared" si="69"/>
        <v>0</v>
      </c>
      <c r="I211" s="166">
        <f t="shared" si="69"/>
        <v>159050.15</v>
      </c>
      <c r="J211" s="167">
        <f t="shared" si="66"/>
        <v>2.4174244421327939E-2</v>
      </c>
      <c r="K211" s="458"/>
      <c r="L211" s="163"/>
      <c r="M211" s="163"/>
      <c r="O211" s="329">
        <f>I211/I$233</f>
        <v>6.5406978656906691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6547987.8900000015</v>
      </c>
      <c r="D213" s="480">
        <f t="shared" si="70"/>
        <v>-33004.400000000009</v>
      </c>
      <c r="E213" s="480">
        <f t="shared" si="70"/>
        <v>108805</v>
      </c>
      <c r="F213" s="166">
        <f t="shared" ref="F213:I213" si="71">SUM(F30:F211)/2</f>
        <v>6623788.4900000021</v>
      </c>
      <c r="G213" s="166">
        <f t="shared" si="71"/>
        <v>-7338</v>
      </c>
      <c r="H213" s="166">
        <f t="shared" si="71"/>
        <v>-37128</v>
      </c>
      <c r="I213" s="166">
        <f t="shared" si="71"/>
        <v>6579322.4900000021</v>
      </c>
      <c r="J213" s="167">
        <f>IF($I$213=0,0,I213/$I$213)</f>
        <v>1</v>
      </c>
      <c r="K213" s="458"/>
      <c r="L213" s="176">
        <f>SUM(L30:L205)</f>
        <v>145382.41999999998</v>
      </c>
      <c r="M213" s="176">
        <f>SUM(M30:M205)</f>
        <v>156284.15</v>
      </c>
      <c r="O213" s="329">
        <f>I213/I$233</f>
        <v>270.56472796808828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J215"/>
      <c r="K215" s="570"/>
      <c r="L215"/>
      <c r="M215"/>
    </row>
    <row r="216" spans="1:16" s="162" customFormat="1" ht="15.5">
      <c r="A216" s="158"/>
      <c r="B216" s="218" t="s">
        <v>172</v>
      </c>
      <c r="C216" s="480">
        <f>'[65]Sch C'!D221</f>
        <v>6547988</v>
      </c>
      <c r="D216" s="188"/>
      <c r="E216" s="188"/>
      <c r="F216" s="160"/>
      <c r="G216" s="160"/>
      <c r="H216"/>
      <c r="I216"/>
      <c r="J216"/>
      <c r="K216" s="570"/>
      <c r="L216"/>
      <c r="M216"/>
    </row>
    <row r="217" spans="1:16" s="162" customFormat="1" ht="15.5">
      <c r="A217" s="158"/>
      <c r="B217" s="165" t="s">
        <v>139</v>
      </c>
      <c r="C217" s="480">
        <f>C213-C216</f>
        <v>-0.10999999847263098</v>
      </c>
      <c r="D217" s="219"/>
      <c r="E217" s="219"/>
      <c r="F217" s="160"/>
      <c r="G217" s="160"/>
      <c r="H217"/>
      <c r="I217"/>
      <c r="J217"/>
      <c r="K217" s="570"/>
      <c r="L217"/>
      <c r="M217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 s="221"/>
      <c r="I218" s="221"/>
      <c r="J218"/>
      <c r="K218" s="570"/>
      <c r="L218"/>
      <c r="M218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-1022579.6300000018</v>
      </c>
      <c r="D220" s="480">
        <f t="shared" si="72"/>
        <v>1696895.94</v>
      </c>
      <c r="E220" s="480">
        <f t="shared" si="72"/>
        <v>-108805</v>
      </c>
      <c r="F220" s="166">
        <f t="shared" ref="F220:I220" si="73">F26-F213</f>
        <v>565511.30999999866</v>
      </c>
      <c r="G220" s="166">
        <f t="shared" si="73"/>
        <v>7338</v>
      </c>
      <c r="H220" s="166">
        <f t="shared" si="73"/>
        <v>37128</v>
      </c>
      <c r="I220" s="166">
        <f t="shared" si="73"/>
        <v>609977.30999999866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'[65]Sch D'!C9</f>
        <v>14769</v>
      </c>
      <c r="D224" s="480"/>
      <c r="E224" s="480"/>
      <c r="F224" s="224">
        <f>C224+D224+E224</f>
        <v>14769</v>
      </c>
      <c r="G224" s="627"/>
      <c r="H224" s="224"/>
      <c r="I224" s="224">
        <f>F224+G224+H224</f>
        <v>14769</v>
      </c>
      <c r="J224" s="167">
        <f t="shared" ref="J224:J233" si="74">IF($I$233=0,0,I224/$I$233)</f>
        <v>0.60735288070074434</v>
      </c>
      <c r="K224" s="458"/>
      <c r="L224" s="163"/>
      <c r="M224" s="163"/>
    </row>
    <row r="225" spans="1:13">
      <c r="A225" s="158"/>
      <c r="B225" s="165" t="s">
        <v>201</v>
      </c>
      <c r="C225" s="504">
        <f>'[65]Sch D'!D9</f>
        <v>122</v>
      </c>
      <c r="D225" s="480"/>
      <c r="E225" s="480"/>
      <c r="F225" s="224">
        <f t="shared" ref="F225:F232" si="75">C225+D225+E225</f>
        <v>122</v>
      </c>
      <c r="G225" s="627"/>
      <c r="H225" s="224"/>
      <c r="I225" s="224">
        <f t="shared" ref="I225:I232" si="76">F225+G225+H225</f>
        <v>122</v>
      </c>
      <c r="J225" s="167">
        <f t="shared" si="74"/>
        <v>5.0170662499485954E-3</v>
      </c>
      <c r="K225" s="458"/>
      <c r="L225" s="163"/>
      <c r="M225" s="163"/>
    </row>
    <row r="226" spans="1:13">
      <c r="A226" s="158"/>
      <c r="B226" s="165" t="s">
        <v>64</v>
      </c>
      <c r="C226" s="504">
        <f>'[65]Sch D'!E9</f>
        <v>3356</v>
      </c>
      <c r="D226" s="480"/>
      <c r="E226" s="480"/>
      <c r="F226" s="224">
        <f t="shared" si="75"/>
        <v>3356</v>
      </c>
      <c r="G226" s="627"/>
      <c r="H226" s="224"/>
      <c r="I226" s="224">
        <f t="shared" si="76"/>
        <v>3356</v>
      </c>
      <c r="J226" s="167">
        <f t="shared" si="74"/>
        <v>0.13801044536743842</v>
      </c>
      <c r="K226" s="458"/>
      <c r="L226" s="163"/>
      <c r="M226" s="163"/>
    </row>
    <row r="227" spans="1:13">
      <c r="A227" s="158"/>
      <c r="B227" s="194" t="s">
        <v>315</v>
      </c>
      <c r="C227" s="504">
        <f>'[65]Sch D'!F9</f>
        <v>319</v>
      </c>
      <c r="D227" s="480"/>
      <c r="E227" s="480"/>
      <c r="F227" s="224">
        <f t="shared" si="75"/>
        <v>319</v>
      </c>
      <c r="G227" s="627"/>
      <c r="H227" s="224"/>
      <c r="I227" s="224">
        <f t="shared" si="76"/>
        <v>319</v>
      </c>
      <c r="J227" s="167">
        <f t="shared" si="74"/>
        <v>1.3118394538800017E-2</v>
      </c>
      <c r="K227" s="458"/>
      <c r="L227" s="163"/>
      <c r="M227" s="163"/>
    </row>
    <row r="228" spans="1:13">
      <c r="A228" s="158"/>
      <c r="B228" s="165" t="s">
        <v>65</v>
      </c>
      <c r="C228" s="504">
        <f>'[65]Sch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'[65]Sch D'!H9</f>
        <v>1446</v>
      </c>
      <c r="D229" s="480"/>
      <c r="E229" s="480"/>
      <c r="F229" s="224">
        <f t="shared" si="75"/>
        <v>1446</v>
      </c>
      <c r="G229" s="627"/>
      <c r="H229" s="224"/>
      <c r="I229" s="224">
        <f t="shared" si="76"/>
        <v>1446</v>
      </c>
      <c r="J229" s="167">
        <f t="shared" si="74"/>
        <v>5.9464572110046472E-2</v>
      </c>
      <c r="K229" s="458"/>
      <c r="L229" s="163"/>
      <c r="M229" s="163"/>
    </row>
    <row r="230" spans="1:13">
      <c r="A230" s="158"/>
      <c r="B230" s="165" t="s">
        <v>219</v>
      </c>
      <c r="C230" s="504">
        <f>'[65]Sch D'!I9</f>
        <v>3315</v>
      </c>
      <c r="D230" s="480"/>
      <c r="E230" s="480"/>
      <c r="F230" s="224">
        <f t="shared" si="75"/>
        <v>3315</v>
      </c>
      <c r="G230" s="627"/>
      <c r="H230" s="224"/>
      <c r="I230" s="224">
        <f t="shared" si="76"/>
        <v>3315</v>
      </c>
      <c r="J230" s="167">
        <f t="shared" si="74"/>
        <v>0.13632438211950487</v>
      </c>
      <c r="K230" s="458"/>
      <c r="L230" s="163"/>
      <c r="M230" s="163"/>
    </row>
    <row r="231" spans="1:13">
      <c r="A231" s="158"/>
      <c r="B231" s="165" t="s">
        <v>218</v>
      </c>
      <c r="C231" s="504">
        <f>'[65]Sch D'!J9</f>
        <v>990</v>
      </c>
      <c r="D231" s="480"/>
      <c r="E231" s="480"/>
      <c r="F231" s="224">
        <f t="shared" si="75"/>
        <v>990</v>
      </c>
      <c r="G231" s="627"/>
      <c r="H231" s="224"/>
      <c r="I231" s="224">
        <f t="shared" si="76"/>
        <v>990</v>
      </c>
      <c r="J231" s="167">
        <f>IF($I$233=0,0,I231/$I$233)</f>
        <v>4.0712258913517291E-2</v>
      </c>
      <c r="K231" s="458"/>
      <c r="L231" s="163"/>
      <c r="M231" s="163"/>
    </row>
    <row r="232" spans="1:13">
      <c r="A232" s="158"/>
      <c r="B232" s="165" t="s">
        <v>170</v>
      </c>
      <c r="C232" s="504">
        <f>'[65]Sch D'!K9</f>
        <v>0</v>
      </c>
      <c r="D232" s="480"/>
      <c r="E232" s="480"/>
      <c r="F232" s="224">
        <f t="shared" si="75"/>
        <v>0</v>
      </c>
      <c r="G232" s="627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24317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24317</v>
      </c>
      <c r="G233" s="226">
        <f t="shared" si="78"/>
        <v>0</v>
      </c>
      <c r="H233" s="226">
        <f t="shared" si="78"/>
        <v>0</v>
      </c>
      <c r="I233" s="226">
        <f t="shared" si="78"/>
        <v>24317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'[65]Sch D'!N22</f>
        <v>120</v>
      </c>
      <c r="D236" s="480"/>
      <c r="E236" s="480"/>
      <c r="F236" s="224">
        <f>C236+E236</f>
        <v>120</v>
      </c>
      <c r="G236" s="627"/>
      <c r="H236" s="166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'[65]Sch D'!N24</f>
        <v>120</v>
      </c>
      <c r="D237" s="480"/>
      <c r="E237" s="480"/>
      <c r="F237" s="224">
        <f>C237+E237</f>
        <v>120</v>
      </c>
      <c r="G237" s="627"/>
      <c r="H237" s="166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'[65]Sch D'!N28</f>
        <v>43800</v>
      </c>
      <c r="D240" s="427"/>
      <c r="E240" s="427"/>
      <c r="F240" s="223">
        <f>F236*F238</f>
        <v>43800</v>
      </c>
      <c r="G240"/>
      <c r="H240" s="427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'[65]Sch D'!N30</f>
        <v>0.55518264840182652</v>
      </c>
      <c r="D241" s="228"/>
      <c r="E241" s="228"/>
      <c r="F241" s="232">
        <f>F233/F240</f>
        <v>0.55518264840182652</v>
      </c>
      <c r="G241"/>
      <c r="H241" s="233"/>
      <c r="I241" s="232">
        <f>I233/I240</f>
        <v>0.55518264840182652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'[65]Sch D'!N32</f>
        <v>0.3399771689497717</v>
      </c>
      <c r="D242" s="228"/>
      <c r="E242" s="228"/>
      <c r="F242" s="232">
        <f>(F224+F225)/F240</f>
        <v>0.3399771689497717</v>
      </c>
      <c r="G242"/>
      <c r="H242" s="233"/>
      <c r="I242" s="232">
        <f>(I224+I225)/I240</f>
        <v>0.3399771689497717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'[65]Sch D'!N34</f>
        <v>0.61236994695069291</v>
      </c>
      <c r="D243" s="228"/>
      <c r="E243" s="228"/>
      <c r="F243" s="232">
        <f>(F242/F241)</f>
        <v>0.61236994695069291</v>
      </c>
      <c r="G243"/>
      <c r="H243" s="233"/>
      <c r="I243" s="232">
        <f>(I242/I241)</f>
        <v>0.61236994695069291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'[65]Sch B'!C90</f>
        <v>223.69668478260871</v>
      </c>
      <c r="K246" s="460"/>
    </row>
    <row r="247" spans="1:13">
      <c r="H247" s="140" t="s">
        <v>322</v>
      </c>
      <c r="I247" s="480">
        <f>'[65]Sch B'!E90</f>
        <v>241.58774193548385</v>
      </c>
      <c r="K247" s="460"/>
    </row>
    <row r="248" spans="1:13">
      <c r="H248" s="140" t="s">
        <v>323</v>
      </c>
      <c r="I248" s="480">
        <f>'[65]Sch B'!G90</f>
        <v>320.03573170731704</v>
      </c>
      <c r="K248" s="460"/>
    </row>
    <row r="249" spans="1:13">
      <c r="H249" s="140" t="s">
        <v>324</v>
      </c>
      <c r="I249" s="480">
        <f>'[65]Sch B'!I90</f>
        <v>255.92795918367347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E28CAB"/>
  </sheetPr>
  <dimension ref="A1:Q277"/>
  <sheetViews>
    <sheetView showGridLines="0" topLeftCell="A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390</v>
      </c>
      <c r="D2" s="234"/>
      <c r="E2" s="234"/>
      <c r="F2" s="142"/>
      <c r="G2" s="142"/>
      <c r="H2" s="411"/>
    </row>
    <row r="3" spans="1:16">
      <c r="A3" s="143"/>
      <c r="B3" s="138" t="s">
        <v>71</v>
      </c>
      <c r="C3" s="557">
        <f>'[66]Sch A Pg 1'!B39</f>
        <v>42917</v>
      </c>
      <c r="D3" s="620"/>
      <c r="E3" s="142"/>
      <c r="F3" s="144"/>
      <c r="G3" s="144"/>
      <c r="H3" s="444"/>
    </row>
    <row r="4" spans="1:16">
      <c r="A4" s="143"/>
      <c r="B4" s="145" t="s">
        <v>72</v>
      </c>
      <c r="C4" s="557">
        <f>'[66]Sch A Pg 1'!G39</f>
        <v>43281</v>
      </c>
      <c r="D4" s="620"/>
      <c r="E4" s="142"/>
      <c r="F4" s="146"/>
      <c r="G4" s="146"/>
      <c r="H4" s="444"/>
      <c r="I4" s="147"/>
    </row>
    <row r="5" spans="1:16">
      <c r="A5" s="143"/>
      <c r="B5" s="145"/>
      <c r="C5" s="148"/>
      <c r="D5" s="148"/>
      <c r="E5" s="142"/>
      <c r="H5" s="444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'[66]Sch B'!E10</f>
        <v>1060471.0999999999</v>
      </c>
      <c r="D12" s="480">
        <f>'[66]Sch B'!G10</f>
        <v>0</v>
      </c>
      <c r="E12" s="480"/>
      <c r="F12" s="166">
        <f>C12+D12+E12</f>
        <v>1060471.0999999999</v>
      </c>
      <c r="G12" s="626"/>
      <c r="H12" s="166"/>
      <c r="I12" s="166">
        <f>F12+G12+H12</f>
        <v>1060471.0999999999</v>
      </c>
      <c r="J12" s="167">
        <f>IF($I$26=0,0,I12/$I$26)</f>
        <v>0.36725002416453267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'[66]Sch B'!E12</f>
        <v>0</v>
      </c>
      <c r="D13" s="480">
        <f>'[66]Sch B'!G12</f>
        <v>563258</v>
      </c>
      <c r="E13" s="480"/>
      <c r="F13" s="166">
        <f t="shared" ref="F13:F25" si="0">C13+D13+E13</f>
        <v>563258</v>
      </c>
      <c r="G13" s="626"/>
      <c r="H13" s="166"/>
      <c r="I13" s="166">
        <f t="shared" ref="I13:I25" si="1">F13+G13+H13</f>
        <v>563258</v>
      </c>
      <c r="J13" s="167">
        <f>IF($I$26=0,0,I13/$I$26)</f>
        <v>0.19506096310485629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'[66]Sch B'!E13</f>
        <v>-16.39999999999327</v>
      </c>
      <c r="D14" s="480">
        <f>'[66]Sch B'!G13</f>
        <v>0</v>
      </c>
      <c r="E14" s="480"/>
      <c r="F14" s="166">
        <f t="shared" si="0"/>
        <v>-16.39999999999327</v>
      </c>
      <c r="G14" s="626"/>
      <c r="H14" s="166"/>
      <c r="I14" s="166">
        <f t="shared" si="1"/>
        <v>-16.39999999999327</v>
      </c>
      <c r="J14" s="167">
        <f>IF($I$26=0,0,I14/$I$26)</f>
        <v>-5.6794573622005026E-6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'[66]Sch B'!E14</f>
        <v>0</v>
      </c>
      <c r="D15" s="480">
        <f>'[66]Sch B'!G14</f>
        <v>31089</v>
      </c>
      <c r="E15" s="480"/>
      <c r="F15" s="166">
        <f t="shared" si="0"/>
        <v>31089</v>
      </c>
      <c r="G15" s="626"/>
      <c r="H15" s="166"/>
      <c r="I15" s="166">
        <f t="shared" si="1"/>
        <v>31089</v>
      </c>
      <c r="J15" s="167">
        <f>IF($I$26=0,0,I15/$I$26)</f>
        <v>1.0766381093507554E-2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'[66]Sch B'!E15</f>
        <v>1060454.7</v>
      </c>
      <c r="D16" s="480">
        <f>'[66]Sch B'!G15</f>
        <v>594347</v>
      </c>
      <c r="E16" s="480"/>
      <c r="F16" s="166">
        <f t="shared" si="0"/>
        <v>1654801.7</v>
      </c>
      <c r="G16" s="626"/>
      <c r="H16" s="166"/>
      <c r="I16" s="166">
        <f>SUM(I12:I15)</f>
        <v>1654801.7</v>
      </c>
      <c r="J16" s="167">
        <f t="shared" ref="J16:J26" si="2">IF($I$26=0,0,I16/$I$26)</f>
        <v>0.57307168890553439</v>
      </c>
      <c r="K16" s="457"/>
      <c r="L16" s="333" t="s">
        <v>325</v>
      </c>
      <c r="M16" s="334">
        <f>I26</f>
        <v>2887599.8099999996</v>
      </c>
      <c r="O16" s="324">
        <f>IFERROR(I16/I224,0)</f>
        <v>269.46779026217229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'[66]Sch B'!E20</f>
        <v>0</v>
      </c>
      <c r="D17" s="480">
        <f>'[66]Sch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2855435.1099999985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'[66]Sch B'!E26</f>
        <v>977258.73999999976</v>
      </c>
      <c r="D18" s="480">
        <f>'[66]Sch B'!G26</f>
        <v>0</v>
      </c>
      <c r="E18" s="480"/>
      <c r="F18" s="166">
        <f t="shared" si="0"/>
        <v>977258.73999999976</v>
      </c>
      <c r="G18" s="626"/>
      <c r="H18" s="166"/>
      <c r="I18" s="166">
        <f t="shared" si="1"/>
        <v>977258.73999999976</v>
      </c>
      <c r="J18" s="167">
        <f t="shared" si="2"/>
        <v>0.33843288693110141</v>
      </c>
      <c r="K18" s="458"/>
      <c r="L18" s="335" t="s">
        <v>327</v>
      </c>
      <c r="M18" s="336">
        <f>I233</f>
        <v>8845</v>
      </c>
      <c r="O18" s="324">
        <f t="shared" si="3"/>
        <v>618.12697027197964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'[66]Sch B'!E32</f>
        <v>41673.540000000008</v>
      </c>
      <c r="D19" s="480">
        <f>'[66]Sch B'!G32</f>
        <v>0</v>
      </c>
      <c r="E19" s="480"/>
      <c r="F19" s="166">
        <f t="shared" si="0"/>
        <v>41673.540000000008</v>
      </c>
      <c r="G19" s="626"/>
      <c r="H19" s="166"/>
      <c r="I19" s="166">
        <f t="shared" si="1"/>
        <v>41673.540000000008</v>
      </c>
      <c r="J19" s="170">
        <f t="shared" si="2"/>
        <v>1.4431895948905751E-2</v>
      </c>
      <c r="K19" s="464"/>
      <c r="L19" s="335" t="s">
        <v>328</v>
      </c>
      <c r="M19" s="336">
        <f>I236</f>
        <v>46</v>
      </c>
      <c r="O19" s="324">
        <f t="shared" si="3"/>
        <v>463.03933333333345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'[66]Sch B'!E37</f>
        <v>0</v>
      </c>
      <c r="D20" s="480">
        <f>'[66]Sch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16790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'[66]Sch B'!E42</f>
        <v>78308.69</v>
      </c>
      <c r="D21" s="480">
        <f>'[66]Sch B'!G42</f>
        <v>0</v>
      </c>
      <c r="E21" s="480"/>
      <c r="F21" s="166">
        <f t="shared" si="0"/>
        <v>78308.69</v>
      </c>
      <c r="G21" s="626"/>
      <c r="H21" s="166"/>
      <c r="I21" s="166">
        <f t="shared" si="1"/>
        <v>78308.69</v>
      </c>
      <c r="J21" s="167">
        <f t="shared" si="2"/>
        <v>2.7118955240546305E-2</v>
      </c>
      <c r="K21" s="458"/>
      <c r="L21" s="337"/>
      <c r="M21" s="336"/>
      <c r="O21" s="324">
        <f t="shared" si="3"/>
        <v>190.53209245742093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'[66]Sch B'!E47</f>
        <v>0</v>
      </c>
      <c r="D22" s="480">
        <f>'[66]Sch B'!G47</f>
        <v>50960</v>
      </c>
      <c r="E22" s="480"/>
      <c r="F22" s="166">
        <f t="shared" si="0"/>
        <v>50960</v>
      </c>
      <c r="G22" s="626"/>
      <c r="H22" s="166"/>
      <c r="I22" s="166">
        <f t="shared" si="1"/>
        <v>50960</v>
      </c>
      <c r="J22" s="167">
        <f t="shared" si="2"/>
        <v>1.7647874827918072E-2</v>
      </c>
      <c r="K22" s="458"/>
      <c r="L22" s="335" t="s">
        <v>148</v>
      </c>
      <c r="M22" s="336">
        <f>L213</f>
        <v>57174.47</v>
      </c>
      <c r="O22" s="324">
        <f t="shared" si="3"/>
        <v>189.44237918215615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'[66]Sch B'!E52</f>
        <v>103565.95000000001</v>
      </c>
      <c r="D23" s="480">
        <f>'[66]Sch B'!G52</f>
        <v>-50960</v>
      </c>
      <c r="E23" s="480"/>
      <c r="F23" s="166">
        <f t="shared" si="0"/>
        <v>52605.950000000012</v>
      </c>
      <c r="G23" s="626"/>
      <c r="H23" s="166"/>
      <c r="I23" s="166">
        <f t="shared" si="1"/>
        <v>52605.950000000012</v>
      </c>
      <c r="J23" s="167">
        <f t="shared" si="2"/>
        <v>1.8217881098974036E-2</v>
      </c>
      <c r="K23" s="458"/>
      <c r="L23" s="338" t="s">
        <v>233</v>
      </c>
      <c r="M23" s="339">
        <f>M213</f>
        <v>61131.649999999994</v>
      </c>
      <c r="O23" s="324">
        <f t="shared" si="3"/>
        <v>149.02535410764875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'[66]Sch B'!E57</f>
        <v>0</v>
      </c>
      <c r="D24" s="480">
        <f>'[66]Sch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'[66]Sch B'!E72</f>
        <v>37995.189999999995</v>
      </c>
      <c r="D25" s="480">
        <f>'[66]Sch B'!G72</f>
        <v>-4997</v>
      </c>
      <c r="E25" s="480"/>
      <c r="F25" s="166">
        <f t="shared" si="0"/>
        <v>32998.189999999995</v>
      </c>
      <c r="G25" s="626">
        <v>-1007</v>
      </c>
      <c r="H25" s="166"/>
      <c r="I25" s="166">
        <f t="shared" si="1"/>
        <v>31991.189999999995</v>
      </c>
      <c r="J25" s="167">
        <f t="shared" si="2"/>
        <v>1.1078817047020099E-2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2299256.81</v>
      </c>
      <c r="D26" s="480">
        <f t="shared" ref="D26:F26" si="4">SUM(D16:D25)</f>
        <v>589350</v>
      </c>
      <c r="E26" s="480">
        <f t="shared" si="4"/>
        <v>0</v>
      </c>
      <c r="F26" s="166">
        <f t="shared" si="4"/>
        <v>2888606.8099999996</v>
      </c>
      <c r="G26" s="166">
        <f>SUM(G12:G25)</f>
        <v>-1007</v>
      </c>
      <c r="H26" s="166">
        <f>SUM(H12:H25)</f>
        <v>0</v>
      </c>
      <c r="I26" s="166">
        <f>SUM(I16:I25)</f>
        <v>2887599.8099999996</v>
      </c>
      <c r="J26" s="167">
        <f t="shared" si="2"/>
        <v>1</v>
      </c>
      <c r="K26" s="458"/>
      <c r="L26" s="163"/>
      <c r="M26" s="163"/>
      <c r="O26" s="324">
        <f>IFERROR(I26/I233,0)</f>
        <v>326.46690898812886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'[66]Sch C'!D10</f>
        <v>0</v>
      </c>
      <c r="D30" s="480">
        <f>'[66]Sch C'!F10</f>
        <v>137921.17000000001</v>
      </c>
      <c r="E30" s="480">
        <f>+'[66]Sch C'!H10</f>
        <v>0</v>
      </c>
      <c r="F30" s="166">
        <f t="shared" ref="F30:F65" si="5">C30+D30+E30</f>
        <v>137921.17000000001</v>
      </c>
      <c r="G30" s="626"/>
      <c r="H30" s="166"/>
      <c r="I30" s="166">
        <f t="shared" ref="I30:I65" si="6">F30+G30+H30</f>
        <v>137921.17000000001</v>
      </c>
      <c r="J30" s="167">
        <f>IF($I$213=0,0,I30/$I$213)</f>
        <v>4.8301279730359581E-2</v>
      </c>
      <c r="K30" s="458"/>
      <c r="L30" s="176">
        <v>2033.41</v>
      </c>
      <c r="M30" s="176">
        <v>2033.41</v>
      </c>
      <c r="O30" s="324">
        <f>I30/I$233</f>
        <v>15.593122668174111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'[66]Sch C'!D11</f>
        <v>0</v>
      </c>
      <c r="D31" s="480">
        <f>'[66]Sch C'!F11</f>
        <v>0</v>
      </c>
      <c r="E31" s="480">
        <f>+'[66]Sch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'[66]Sch C'!D12</f>
        <v>63867.94</v>
      </c>
      <c r="D32" s="480">
        <f>'[66]Sch C'!F12</f>
        <v>0</v>
      </c>
      <c r="E32" s="480">
        <f>+'[66]Sch C'!H12</f>
        <v>0</v>
      </c>
      <c r="F32" s="166">
        <f t="shared" si="5"/>
        <v>63867.94</v>
      </c>
      <c r="G32" s="626"/>
      <c r="H32" s="166"/>
      <c r="I32" s="166">
        <f t="shared" si="6"/>
        <v>63867.94</v>
      </c>
      <c r="J32" s="167">
        <f t="shared" si="7"/>
        <v>2.2367148101642569E-2</v>
      </c>
      <c r="K32" s="458"/>
      <c r="L32" s="176">
        <v>3193</v>
      </c>
      <c r="M32" s="176">
        <v>3583.93</v>
      </c>
      <c r="O32" s="324">
        <f t="shared" si="8"/>
        <v>7.2207959299039004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'[66]Sch C'!D13</f>
        <v>20797.810000000001</v>
      </c>
      <c r="D33" s="480">
        <f>'[66]Sch C'!F13</f>
        <v>13516.27</v>
      </c>
      <c r="E33" s="480">
        <f>+'[66]Sch C'!H13</f>
        <v>0</v>
      </c>
      <c r="F33" s="166">
        <f t="shared" si="5"/>
        <v>34314.080000000002</v>
      </c>
      <c r="G33" s="626"/>
      <c r="H33" s="166"/>
      <c r="I33" s="166">
        <f t="shared" si="6"/>
        <v>34314.080000000002</v>
      </c>
      <c r="J33" s="167">
        <f t="shared" si="7"/>
        <v>1.2017110765301202E-2</v>
      </c>
      <c r="K33" s="458"/>
      <c r="L33" s="163"/>
      <c r="M33" s="163"/>
      <c r="O33" s="324">
        <f t="shared" si="8"/>
        <v>3.879488976823064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'[66]Sch C'!D14</f>
        <v>0</v>
      </c>
      <c r="D34" s="480">
        <f>'[66]Sch C'!F14</f>
        <v>0</v>
      </c>
      <c r="E34" s="480">
        <f>+'[66]Sch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'[66]Sch C'!D15</f>
        <v>0</v>
      </c>
      <c r="D35" s="480">
        <f>'[66]Sch C'!F15</f>
        <v>0</v>
      </c>
      <c r="E35" s="480">
        <f>+'[66]Sch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'[66]Sch C'!D16</f>
        <v>114581.94</v>
      </c>
      <c r="D36" s="480">
        <f>'[66]Sch C'!F16</f>
        <v>26092</v>
      </c>
      <c r="E36" s="480">
        <f>+'[66]Sch C'!H16</f>
        <v>-31743</v>
      </c>
      <c r="F36" s="166">
        <f t="shared" si="5"/>
        <v>108930.94</v>
      </c>
      <c r="G36" s="480">
        <v>-26092</v>
      </c>
      <c r="H36" s="480">
        <v>26092</v>
      </c>
      <c r="I36" s="166">
        <f t="shared" si="6"/>
        <v>108930.94</v>
      </c>
      <c r="J36" s="167">
        <f t="shared" si="7"/>
        <v>3.8148630875383491E-2</v>
      </c>
      <c r="K36" s="458"/>
      <c r="L36" s="163"/>
      <c r="M36" s="163"/>
      <c r="O36" s="324">
        <f t="shared" si="8"/>
        <v>12.315538722442058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'[66]Sch C'!D17</f>
        <v>15483.19</v>
      </c>
      <c r="D37" s="480">
        <f>'[66]Sch C'!F17</f>
        <v>-15483</v>
      </c>
      <c r="E37" s="480">
        <f>+'[66]Sch C'!H17</f>
        <v>0</v>
      </c>
      <c r="F37" s="166">
        <f t="shared" si="5"/>
        <v>0.19000000000050932</v>
      </c>
      <c r="G37" s="626"/>
      <c r="H37" s="166"/>
      <c r="I37" s="166">
        <f t="shared" si="6"/>
        <v>0.19000000000050932</v>
      </c>
      <c r="J37" s="167">
        <f t="shared" si="7"/>
        <v>6.653977158686314E-8</v>
      </c>
      <c r="K37" s="458"/>
      <c r="L37" s="163"/>
      <c r="M37" s="163"/>
      <c r="O37" s="324">
        <f t="shared" si="8"/>
        <v>2.1481062747372449E-5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'[66]Sch C'!D18</f>
        <v>3757.12</v>
      </c>
      <c r="D38" s="480">
        <f>'[66]Sch C'!F18</f>
        <v>0</v>
      </c>
      <c r="E38" s="480">
        <f>+'[66]Sch C'!H18</f>
        <v>0</v>
      </c>
      <c r="F38" s="166">
        <f t="shared" si="5"/>
        <v>3757.12</v>
      </c>
      <c r="G38" s="626"/>
      <c r="H38" s="166"/>
      <c r="I38" s="166">
        <f t="shared" si="6"/>
        <v>3757.12</v>
      </c>
      <c r="J38" s="167">
        <f t="shared" si="7"/>
        <v>1.3157784559145529E-3</v>
      </c>
      <c r="K38" s="458"/>
      <c r="L38" s="163"/>
      <c r="M38" s="163"/>
      <c r="O38" s="324">
        <f t="shared" si="8"/>
        <v>0.4247733182589033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'[66]Sch C'!D19</f>
        <v>10088.16</v>
      </c>
      <c r="D39" s="480">
        <f>'[66]Sch C'!F19</f>
        <v>0</v>
      </c>
      <c r="E39" s="480">
        <f>+'[66]Sch C'!H19</f>
        <v>0</v>
      </c>
      <c r="F39" s="166">
        <f t="shared" si="5"/>
        <v>10088.16</v>
      </c>
      <c r="G39" s="626"/>
      <c r="H39" s="166"/>
      <c r="I39" s="166">
        <f t="shared" si="6"/>
        <v>10088.16</v>
      </c>
      <c r="J39" s="167">
        <f t="shared" si="7"/>
        <v>3.5329676954206834E-3</v>
      </c>
      <c r="K39" s="458"/>
      <c r="L39" s="163"/>
      <c r="M39" s="163"/>
      <c r="O39" s="324">
        <f t="shared" si="8"/>
        <v>1.1405494629734314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'[66]Sch C'!D20</f>
        <v>8237.4699999999993</v>
      </c>
      <c r="D40" s="480">
        <f>'[66]Sch C'!F20</f>
        <v>0</v>
      </c>
      <c r="E40" s="480">
        <f>+'[66]Sch C'!H20</f>
        <v>0</v>
      </c>
      <c r="F40" s="166">
        <f t="shared" si="5"/>
        <v>8237.4699999999993</v>
      </c>
      <c r="G40" s="626"/>
      <c r="H40" s="166"/>
      <c r="I40" s="166">
        <f t="shared" si="6"/>
        <v>8237.4699999999993</v>
      </c>
      <c r="J40" s="167">
        <f t="shared" si="7"/>
        <v>2.8848388013272006E-3</v>
      </c>
      <c r="K40" s="458"/>
      <c r="L40" s="163"/>
      <c r="M40" s="163"/>
      <c r="O40" s="324">
        <f t="shared" si="8"/>
        <v>0.93131373657433569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'[66]Sch C'!D21</f>
        <v>22463.31</v>
      </c>
      <c r="D41" s="480">
        <f>'[66]Sch C'!F21</f>
        <v>0</v>
      </c>
      <c r="E41" s="480">
        <f>+'[66]Sch C'!H21</f>
        <v>0</v>
      </c>
      <c r="F41" s="166">
        <f t="shared" si="5"/>
        <v>22463.31</v>
      </c>
      <c r="G41" s="626"/>
      <c r="H41" s="166"/>
      <c r="I41" s="166">
        <f t="shared" si="6"/>
        <v>22463.31</v>
      </c>
      <c r="J41" s="167">
        <f t="shared" si="7"/>
        <v>7.8668606130573252E-3</v>
      </c>
      <c r="K41" s="458"/>
      <c r="L41" s="163"/>
      <c r="M41" s="163"/>
      <c r="O41" s="324">
        <f t="shared" si="8"/>
        <v>2.5396619559072926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'[66]Sch C'!D22</f>
        <v>0</v>
      </c>
      <c r="D42" s="480">
        <f>'[66]Sch C'!F22</f>
        <v>0</v>
      </c>
      <c r="E42" s="480">
        <f>+'[66]Sch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'[66]Sch C'!D23</f>
        <v>16273.53</v>
      </c>
      <c r="D43" s="480">
        <f>'[66]Sch C'!F23</f>
        <v>0</v>
      </c>
      <c r="E43" s="480">
        <f>+'[66]Sch C'!H23</f>
        <v>0</v>
      </c>
      <c r="F43" s="166">
        <f t="shared" si="5"/>
        <v>16273.53</v>
      </c>
      <c r="G43" s="626"/>
      <c r="H43" s="166"/>
      <c r="I43" s="166">
        <f t="shared" si="6"/>
        <v>16273.53</v>
      </c>
      <c r="J43" s="167">
        <f t="shared" si="7"/>
        <v>5.6991419426792754E-3</v>
      </c>
      <c r="K43" s="458"/>
      <c r="L43" s="163"/>
      <c r="M43" s="163"/>
      <c r="O43" s="324">
        <f t="shared" si="8"/>
        <v>1.8398564160542681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'[66]Sch C'!D24</f>
        <v>46400.51</v>
      </c>
      <c r="D44" s="480">
        <f>'[66]Sch C'!F24</f>
        <v>0</v>
      </c>
      <c r="E44" s="480">
        <f>+'[66]Sch C'!H24</f>
        <v>-2309</v>
      </c>
      <c r="F44" s="166">
        <f t="shared" si="5"/>
        <v>44091.51</v>
      </c>
      <c r="G44" s="626"/>
      <c r="H44" s="166"/>
      <c r="I44" s="166">
        <f t="shared" si="6"/>
        <v>44091.51</v>
      </c>
      <c r="J44" s="167">
        <f t="shared" si="7"/>
        <v>1.5441257917431724E-2</v>
      </c>
      <c r="K44" s="458"/>
      <c r="L44" s="163"/>
      <c r="M44" s="163"/>
      <c r="O44" s="324">
        <f t="shared" si="8"/>
        <v>4.984907857546637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'[66]Sch C'!D25</f>
        <v>0</v>
      </c>
      <c r="D45" s="480">
        <f>'[66]Sch C'!F25</f>
        <v>0</v>
      </c>
      <c r="E45" s="480">
        <f>+'[66]Sch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'[66]Sch C'!D26</f>
        <v>148075.24</v>
      </c>
      <c r="D46" s="480">
        <f>'[66]Sch C'!F26</f>
        <v>0</v>
      </c>
      <c r="E46" s="480">
        <f>+'[66]Sch C'!H26</f>
        <v>0</v>
      </c>
      <c r="F46" s="166">
        <f t="shared" si="5"/>
        <v>148075.24</v>
      </c>
      <c r="G46" s="626"/>
      <c r="H46" s="166"/>
      <c r="I46" s="166">
        <f t="shared" si="6"/>
        <v>148075.24</v>
      </c>
      <c r="J46" s="167">
        <f t="shared" si="7"/>
        <v>5.1857329722334353E-2</v>
      </c>
      <c r="K46" s="458"/>
      <c r="L46" s="163"/>
      <c r="M46" s="163"/>
      <c r="O46" s="324">
        <f t="shared" si="8"/>
        <v>16.741123798756359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'[66]Sch C'!D27</f>
        <v>1007.18</v>
      </c>
      <c r="D47" s="480">
        <f>'[66]Sch C'!F27</f>
        <v>0</v>
      </c>
      <c r="E47" s="480">
        <f>+'[66]Sch C'!H27</f>
        <v>0</v>
      </c>
      <c r="F47" s="166">
        <f t="shared" si="5"/>
        <v>1007.18</v>
      </c>
      <c r="G47" s="626">
        <v>-1007</v>
      </c>
      <c r="H47" s="166"/>
      <c r="I47" s="166">
        <f t="shared" si="6"/>
        <v>0.17999999999994998</v>
      </c>
      <c r="J47" s="167">
        <f t="shared" si="7"/>
        <v>6.3037678345262787E-8</v>
      </c>
      <c r="K47" s="458"/>
      <c r="L47" s="163"/>
      <c r="M47" s="163"/>
      <c r="O47" s="324">
        <f t="shared" si="8"/>
        <v>2.0350480497450534E-5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'[66]Sch C'!D28</f>
        <v>0</v>
      </c>
      <c r="D48" s="480">
        <f>'[66]Sch C'!F28</f>
        <v>0</v>
      </c>
      <c r="E48" s="480">
        <f>+'[66]Sch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'[66]Sch C'!D29</f>
        <v>86979.63</v>
      </c>
      <c r="D49" s="480">
        <f>'[66]Sch C'!F29</f>
        <v>-86979.63</v>
      </c>
      <c r="E49" s="480">
        <f>+'[66]Sch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'[66]Sch C'!D30</f>
        <v>0</v>
      </c>
      <c r="D50" s="480">
        <f>'[66]Sch C'!F30</f>
        <v>0</v>
      </c>
      <c r="E50" s="480">
        <f>+'[66]Sch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'[66]Sch C'!D31</f>
        <v>133.94</v>
      </c>
      <c r="D51" s="480">
        <f>'[66]Sch C'!F31</f>
        <v>0</v>
      </c>
      <c r="E51" s="480">
        <f>+'[66]Sch C'!H31</f>
        <v>0</v>
      </c>
      <c r="F51" s="166">
        <f t="shared" si="5"/>
        <v>133.94</v>
      </c>
      <c r="G51" s="626">
        <v>20679</v>
      </c>
      <c r="H51" s="166"/>
      <c r="I51" s="166">
        <f t="shared" si="6"/>
        <v>20812.939999999999</v>
      </c>
      <c r="J51" s="167">
        <f t="shared" si="7"/>
        <v>7.2888856507756566E-3</v>
      </c>
      <c r="K51" s="458"/>
      <c r="L51" s="163"/>
      <c r="M51" s="163"/>
      <c r="O51" s="324">
        <f t="shared" si="8"/>
        <v>2.3530740531373655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'[66]Sch C'!D32</f>
        <v>750</v>
      </c>
      <c r="D52" s="480">
        <f>'[66]Sch C'!F32</f>
        <v>21752</v>
      </c>
      <c r="E52" s="480">
        <f>+'[66]Sch C'!H32</f>
        <v>0</v>
      </c>
      <c r="F52" s="166">
        <f t="shared" si="5"/>
        <v>22502</v>
      </c>
      <c r="G52" s="626"/>
      <c r="H52" s="166"/>
      <c r="I52" s="166">
        <f t="shared" si="6"/>
        <v>22502</v>
      </c>
      <c r="J52" s="167">
        <f t="shared" si="7"/>
        <v>7.88041021180832E-3</v>
      </c>
      <c r="K52" s="458"/>
      <c r="L52" s="163"/>
      <c r="M52" s="163"/>
      <c r="O52" s="324">
        <f t="shared" si="8"/>
        <v>2.5440361786319956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'[66]Sch C'!D33</f>
        <v>0</v>
      </c>
      <c r="D53" s="480">
        <f>'[66]Sch C'!F33</f>
        <v>0</v>
      </c>
      <c r="E53" s="480">
        <f>+'[66]Sch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'[66]Sch C'!D34</f>
        <v>0</v>
      </c>
      <c r="D54" s="480">
        <f>'[66]Sch C'!F34</f>
        <v>0</v>
      </c>
      <c r="E54" s="480">
        <f>+'[66]Sch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'[66]Sch C'!D35</f>
        <v>20107.7</v>
      </c>
      <c r="D55" s="480">
        <f>'[66]Sch C'!F35</f>
        <v>-20107.7</v>
      </c>
      <c r="E55" s="480">
        <f>+'[66]Sch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'[66]Sch C'!D36</f>
        <v>0</v>
      </c>
      <c r="D56" s="480">
        <f>'[66]Sch C'!F36</f>
        <v>0</v>
      </c>
      <c r="E56" s="480">
        <f>+'[66]Sch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414</v>
      </c>
      <c r="M56" s="176">
        <v>444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'[66]Sch C'!D37</f>
        <v>0</v>
      </c>
      <c r="D57" s="480">
        <f>'[66]Sch C'!F37</f>
        <v>0</v>
      </c>
      <c r="E57" s="480">
        <f>+'[66]Sch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'[66]Sch C'!D38</f>
        <v>310.39999999999998</v>
      </c>
      <c r="D58" s="480">
        <f>'[66]Sch C'!F38</f>
        <v>0</v>
      </c>
      <c r="E58" s="480">
        <f>+'[66]Sch C'!H38</f>
        <v>0</v>
      </c>
      <c r="F58" s="166">
        <f t="shared" si="5"/>
        <v>310.39999999999998</v>
      </c>
      <c r="G58" s="626"/>
      <c r="H58" s="166"/>
      <c r="I58" s="166">
        <f t="shared" si="6"/>
        <v>310.39999999999998</v>
      </c>
      <c r="J58" s="167">
        <f t="shared" si="7"/>
        <v>1.0870497421319449E-4</v>
      </c>
      <c r="K58" s="458"/>
      <c r="L58" s="163"/>
      <c r="M58" s="163"/>
      <c r="O58" s="324">
        <f t="shared" si="8"/>
        <v>3.509327303561334E-2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'[66]Sch C'!D39</f>
        <v>5872.03</v>
      </c>
      <c r="D59" s="480">
        <f>'[66]Sch C'!F39</f>
        <v>0</v>
      </c>
      <c r="E59" s="480">
        <f>+'[66]Sch C'!H39</f>
        <v>0</v>
      </c>
      <c r="F59" s="166">
        <f t="shared" si="5"/>
        <v>5872.03</v>
      </c>
      <c r="G59" s="626"/>
      <c r="H59" s="166"/>
      <c r="I59" s="166">
        <f t="shared" si="6"/>
        <v>5872.03</v>
      </c>
      <c r="J59" s="167">
        <f t="shared" si="7"/>
        <v>2.056439657632424E-3</v>
      </c>
      <c r="K59" s="458"/>
      <c r="L59" s="163"/>
      <c r="M59" s="163"/>
      <c r="O59" s="324">
        <f t="shared" si="8"/>
        <v>0.66388128886376485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'[66]Sch C'!D40</f>
        <v>2082.44</v>
      </c>
      <c r="D60" s="480">
        <f>'[66]Sch C'!F40</f>
        <v>0</v>
      </c>
      <c r="E60" s="480">
        <f>+'[66]Sch C'!H40</f>
        <v>0</v>
      </c>
      <c r="F60" s="166">
        <f t="shared" si="5"/>
        <v>2082.44</v>
      </c>
      <c r="G60" s="626"/>
      <c r="H60" s="166"/>
      <c r="I60" s="166">
        <f t="shared" si="6"/>
        <v>2082.44</v>
      </c>
      <c r="J60" s="167">
        <f t="shared" si="7"/>
        <v>7.2928990496303077E-4</v>
      </c>
      <c r="K60" s="458"/>
      <c r="L60" s="163"/>
      <c r="M60" s="163"/>
      <c r="O60" s="324">
        <f t="shared" si="8"/>
        <v>0.2354369700395704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'[66]Sch C'!D41</f>
        <v>48088.95</v>
      </c>
      <c r="D61" s="480">
        <f>'[66]Sch C'!F41</f>
        <v>0</v>
      </c>
      <c r="E61" s="480">
        <f>+'[66]Sch C'!H41</f>
        <v>-1164</v>
      </c>
      <c r="F61" s="166">
        <f t="shared" si="5"/>
        <v>46924.95</v>
      </c>
      <c r="G61" s="626"/>
      <c r="H61" s="166"/>
      <c r="I61" s="166">
        <f t="shared" si="6"/>
        <v>46924.95</v>
      </c>
      <c r="J61" s="167">
        <f t="shared" si="7"/>
        <v>1.6433555024824228E-2</v>
      </c>
      <c r="K61" s="458"/>
      <c r="L61" s="163"/>
      <c r="M61" s="163"/>
      <c r="O61" s="324">
        <f t="shared" si="8"/>
        <v>5.3052515545505932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'[66]Sch C'!D42</f>
        <v>2637.41</v>
      </c>
      <c r="D62" s="480">
        <f>'[66]Sch C'!F42</f>
        <v>0</v>
      </c>
      <c r="E62" s="480">
        <f>+'[66]Sch C'!H42</f>
        <v>0</v>
      </c>
      <c r="F62" s="166">
        <f t="shared" si="5"/>
        <v>2637.41</v>
      </c>
      <c r="G62" s="626"/>
      <c r="H62" s="166"/>
      <c r="I62" s="166">
        <f t="shared" si="6"/>
        <v>2637.41</v>
      </c>
      <c r="J62" s="167">
        <f t="shared" si="7"/>
        <v>9.2364557358125406E-4</v>
      </c>
      <c r="K62" s="458"/>
      <c r="L62" s="163"/>
      <c r="M62" s="163"/>
      <c r="O62" s="324">
        <f t="shared" si="8"/>
        <v>0.29818089315997737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'[66]Sch C'!D43</f>
        <v>0</v>
      </c>
      <c r="D63" s="480">
        <f>'[66]Sch C'!F43</f>
        <v>0</v>
      </c>
      <c r="E63" s="480">
        <f>+'[66]Sch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'[66]Sch C'!D44</f>
        <v>0</v>
      </c>
      <c r="D64" s="480">
        <f>'[66]Sch C'!F44</f>
        <v>0</v>
      </c>
      <c r="E64" s="480">
        <f>+'[66]Sch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'[66]Sch C'!D45</f>
        <v>144464.92000000001</v>
      </c>
      <c r="D65" s="480">
        <f>'[66]Sch C'!F45</f>
        <v>-151437</v>
      </c>
      <c r="E65" s="480">
        <f>+'[66]Sch C'!H45</f>
        <v>0</v>
      </c>
      <c r="F65" s="166">
        <f t="shared" si="5"/>
        <v>-6972.0799999999872</v>
      </c>
      <c r="G65" s="626">
        <v>2770</v>
      </c>
      <c r="H65" s="166"/>
      <c r="I65" s="166">
        <f t="shared" si="6"/>
        <v>-4202.0799999999872</v>
      </c>
      <c r="J65" s="167">
        <f t="shared" si="7"/>
        <v>-1.4716075967840816E-3</v>
      </c>
      <c r="K65" s="458"/>
      <c r="L65" s="163"/>
      <c r="M65" s="163"/>
      <c r="O65" s="324">
        <f t="shared" si="8"/>
        <v>-0.4750797060486136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782460.82</v>
      </c>
      <c r="D66" s="480">
        <f t="shared" si="9"/>
        <v>-74725.89</v>
      </c>
      <c r="E66" s="480">
        <f t="shared" si="9"/>
        <v>-35216</v>
      </c>
      <c r="F66" s="166">
        <f t="shared" ref="F66:I66" si="10">SUM(F30:F65)</f>
        <v>672518.92999999993</v>
      </c>
      <c r="G66" s="166">
        <f t="shared" si="10"/>
        <v>-3650</v>
      </c>
      <c r="H66" s="166">
        <f t="shared" si="10"/>
        <v>26092</v>
      </c>
      <c r="I66" s="166">
        <f t="shared" si="10"/>
        <v>694960.92999999993</v>
      </c>
      <c r="J66" s="178">
        <f t="shared" si="7"/>
        <v>0.24338179759931589</v>
      </c>
      <c r="K66" s="465"/>
      <c r="L66" s="163"/>
      <c r="M66" s="163"/>
      <c r="O66" s="329">
        <f>I66/I$233</f>
        <v>78.571049180327861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'[66]Sch C'!D57</f>
        <v>64971.87</v>
      </c>
      <c r="D69" s="480">
        <f>'[66]Sch C'!F57</f>
        <v>0</v>
      </c>
      <c r="E69" s="480">
        <f>+'[66]Sch C'!H57</f>
        <v>-64972</v>
      </c>
      <c r="F69" s="166">
        <f>C69+D69+E69</f>
        <v>-0.12999999999738066</v>
      </c>
      <c r="G69" s="626"/>
      <c r="H69" s="166"/>
      <c r="I69" s="166">
        <f>F69+G69+H69</f>
        <v>-0.12999999999738066</v>
      </c>
      <c r="J69" s="167">
        <f t="shared" ref="J69:J84" si="11">IF($I$213=0,0,I69/$I$213)</f>
        <v>-4.5527212137340684E-8</v>
      </c>
      <c r="K69" s="458"/>
      <c r="L69" s="182"/>
      <c r="M69" s="163"/>
      <c r="O69" s="324">
        <f t="shared" ref="O69:O84" si="12">I69/I$233</f>
        <v>-1.4697569247866665E-5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'[66]Sch C'!D58</f>
        <v>12243.12</v>
      </c>
      <c r="D70" s="480">
        <f>'[66]Sch C'!F58</f>
        <v>0</v>
      </c>
      <c r="E70" s="480">
        <f>+'[66]Sch C'!H58</f>
        <v>13589.04</v>
      </c>
      <c r="F70" s="166">
        <f t="shared" ref="F70:F83" si="13">C70+D70+E70</f>
        <v>25832.160000000003</v>
      </c>
      <c r="G70" s="626"/>
      <c r="H70" s="166"/>
      <c r="I70" s="166">
        <f t="shared" ref="I70:I83" si="14">F70+G70+H70</f>
        <v>25832.160000000003</v>
      </c>
      <c r="J70" s="167">
        <f t="shared" si="11"/>
        <v>9.0466632946878695E-3</v>
      </c>
      <c r="K70" s="458"/>
      <c r="L70" s="182"/>
      <c r="M70" s="163"/>
      <c r="O70" s="324">
        <f t="shared" si="12"/>
        <v>2.9205381571509332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'[66]Sch C'!D59</f>
        <v>0</v>
      </c>
      <c r="D71" s="480">
        <f>'[66]Sch C'!F59</f>
        <v>0</v>
      </c>
      <c r="E71" s="480">
        <f>+'[66]Sch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'[66]Sch C'!D60</f>
        <v>0</v>
      </c>
      <c r="D72" s="480">
        <f>'[66]Sch C'!F60</f>
        <v>0</v>
      </c>
      <c r="E72" s="480">
        <f>+'[66]Sch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'[66]Sch C'!D61</f>
        <v>21752.2</v>
      </c>
      <c r="D73" s="480">
        <f>'[66]Sch C'!F61</f>
        <v>-21752</v>
      </c>
      <c r="E73" s="480">
        <f>+'[66]Sch C'!H61</f>
        <v>0</v>
      </c>
      <c r="F73" s="166">
        <f t="shared" si="13"/>
        <v>0.2000000000007276</v>
      </c>
      <c r="G73" s="626"/>
      <c r="H73" s="166"/>
      <c r="I73" s="166">
        <f t="shared" si="14"/>
        <v>0.2000000000007276</v>
      </c>
      <c r="J73" s="167">
        <f t="shared" si="11"/>
        <v>7.0041864828344048E-8</v>
      </c>
      <c r="K73" s="458"/>
      <c r="L73" s="185"/>
      <c r="M73" s="163"/>
      <c r="O73" s="324">
        <f t="shared" si="12"/>
        <v>2.2611644997255805E-5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'[66]Sch C'!D62</f>
        <v>10468.08</v>
      </c>
      <c r="D74" s="480">
        <f>'[66]Sch C'!F62</f>
        <v>0</v>
      </c>
      <c r="E74" s="480">
        <f>+'[66]Sch C'!H62</f>
        <v>0</v>
      </c>
      <c r="F74" s="166">
        <f t="shared" si="13"/>
        <v>10468.08</v>
      </c>
      <c r="G74" s="626"/>
      <c r="H74" s="166"/>
      <c r="I74" s="166">
        <f t="shared" si="14"/>
        <v>10468.08</v>
      </c>
      <c r="J74" s="167">
        <f t="shared" si="11"/>
        <v>3.6660192218481214E-3</v>
      </c>
      <c r="K74" s="458"/>
      <c r="L74" s="187"/>
      <c r="M74" s="163"/>
      <c r="O74" s="324">
        <f t="shared" si="12"/>
        <v>1.1835025438100621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'[66]Sch C'!D63</f>
        <v>0</v>
      </c>
      <c r="D75" s="480">
        <f>'[66]Sch C'!F63</f>
        <v>0</v>
      </c>
      <c r="E75" s="480">
        <f>+'[66]Sch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'[66]Sch C'!D64</f>
        <v>0</v>
      </c>
      <c r="D76" s="480">
        <f>'[66]Sch C'!F64</f>
        <v>0</v>
      </c>
      <c r="E76" s="480">
        <f>+'[66]Sch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'[66]Sch C'!D65</f>
        <v>0</v>
      </c>
      <c r="D77" s="480">
        <f>'[66]Sch C'!F65</f>
        <v>0</v>
      </c>
      <c r="E77" s="480">
        <f>+'[66]Sch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'[66]Sch C'!D66</f>
        <v>2147.7600000000002</v>
      </c>
      <c r="D78" s="480">
        <f>'[66]Sch C'!F66</f>
        <v>0</v>
      </c>
      <c r="E78" s="480">
        <f>+'[66]Sch C'!H66</f>
        <v>0</v>
      </c>
      <c r="F78" s="166">
        <f t="shared" si="13"/>
        <v>2147.7600000000002</v>
      </c>
      <c r="G78" s="626"/>
      <c r="H78" s="166"/>
      <c r="I78" s="166">
        <f t="shared" si="14"/>
        <v>2147.7600000000002</v>
      </c>
      <c r="J78" s="167">
        <f t="shared" si="11"/>
        <v>7.5216557801588467E-4</v>
      </c>
      <c r="K78" s="458"/>
      <c r="L78" s="187"/>
      <c r="M78" s="163"/>
      <c r="O78" s="324">
        <f t="shared" si="12"/>
        <v>0.24282193329564727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'[66]Sch C'!D67</f>
        <v>47666.14</v>
      </c>
      <c r="D79" s="480">
        <f>'[66]Sch C'!F67</f>
        <v>0</v>
      </c>
      <c r="E79" s="480">
        <f>+'[66]Sch C'!H67</f>
        <v>0</v>
      </c>
      <c r="F79" s="166">
        <f t="shared" si="13"/>
        <v>47666.14</v>
      </c>
      <c r="G79" s="626"/>
      <c r="H79" s="166"/>
      <c r="I79" s="166">
        <f t="shared" si="14"/>
        <v>47666.14</v>
      </c>
      <c r="J79" s="167">
        <f t="shared" si="11"/>
        <v>1.6693126673783885E-2</v>
      </c>
      <c r="K79" s="458"/>
      <c r="L79" s="187"/>
      <c r="M79" s="163"/>
      <c r="O79" s="324">
        <f t="shared" si="12"/>
        <v>5.3890491803278691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'[66]Sch C'!D68</f>
        <v>0</v>
      </c>
      <c r="D80" s="480">
        <f>'[66]Sch C'!F68</f>
        <v>0</v>
      </c>
      <c r="E80" s="480">
        <f>+'[66]Sch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'[66]Sch C'!D69</f>
        <v>1537.01</v>
      </c>
      <c r="D81" s="480">
        <f>'[66]Sch C'!F69</f>
        <v>0</v>
      </c>
      <c r="E81" s="480">
        <f>+'[66]Sch C'!H69</f>
        <v>0</v>
      </c>
      <c r="F81" s="166">
        <f t="shared" si="13"/>
        <v>1537.01</v>
      </c>
      <c r="G81" s="626"/>
      <c r="H81" s="166"/>
      <c r="I81" s="166">
        <f t="shared" si="14"/>
        <v>1537.01</v>
      </c>
      <c r="J81" s="167">
        <f t="shared" si="11"/>
        <v>5.3827523329710717E-4</v>
      </c>
      <c r="K81" s="458"/>
      <c r="L81" s="187"/>
      <c r="M81" s="163"/>
      <c r="O81" s="324">
        <f t="shared" si="12"/>
        <v>0.17377162238552854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'[66]Sch C'!D70</f>
        <v>0</v>
      </c>
      <c r="D82" s="480">
        <f>'[66]Sch C'!F70</f>
        <v>0</v>
      </c>
      <c r="E82" s="480">
        <f>+'[66]Sch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'[66]Sch C'!D71</f>
        <v>0</v>
      </c>
      <c r="D83" s="480">
        <f>'[66]Sch C'!F71</f>
        <v>0</v>
      </c>
      <c r="E83" s="480">
        <f>+'[66]Sch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160786.18</v>
      </c>
      <c r="D84" s="480">
        <f t="shared" si="15"/>
        <v>-21752</v>
      </c>
      <c r="E84" s="480">
        <f t="shared" si="15"/>
        <v>-51382.96</v>
      </c>
      <c r="F84" s="166">
        <f t="shared" ref="F84:I84" si="16">SUM(F69:F83)</f>
        <v>87651.22</v>
      </c>
      <c r="G84" s="166">
        <f t="shared" si="16"/>
        <v>0</v>
      </c>
      <c r="H84" s="166">
        <f t="shared" si="16"/>
        <v>0</v>
      </c>
      <c r="I84" s="166">
        <f t="shared" si="16"/>
        <v>87651.22</v>
      </c>
      <c r="J84" s="167">
        <f t="shared" si="11"/>
        <v>3.0696274516285559E-2</v>
      </c>
      <c r="K84" s="458"/>
      <c r="L84" s="187"/>
      <c r="M84" s="163"/>
      <c r="O84" s="324">
        <f t="shared" si="12"/>
        <v>9.9096913510457885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'[66]Sch C'!D75</f>
        <v>33750.480000000003</v>
      </c>
      <c r="D87" s="480">
        <f>'[66]Sch C'!F75</f>
        <v>0</v>
      </c>
      <c r="E87" s="480">
        <f>+'[66]Sch C'!H75</f>
        <v>0</v>
      </c>
      <c r="F87" s="166">
        <f t="shared" ref="F87:F97" si="17">C87+D87+E87</f>
        <v>33750.480000000003</v>
      </c>
      <c r="G87" s="626"/>
      <c r="H87" s="166"/>
      <c r="I87" s="166">
        <f t="shared" ref="I87:I97" si="18">F87+G87+H87</f>
        <v>33750.480000000003</v>
      </c>
      <c r="J87" s="167">
        <f t="shared" ref="J87:J98" si="19">IF($I$213=0,0,I87/$I$213)</f>
        <v>1.1819732790215646E-2</v>
      </c>
      <c r="K87" s="458"/>
      <c r="L87" s="176">
        <v>1769</v>
      </c>
      <c r="M87" s="176">
        <v>1996</v>
      </c>
      <c r="O87" s="324">
        <f t="shared" ref="O87:O97" si="20">I87/I$233</f>
        <v>3.8157693612210291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'[66]Sch C'!D76</f>
        <v>2884.79</v>
      </c>
      <c r="D88" s="480">
        <f>'[66]Sch C'!F76</f>
        <v>0</v>
      </c>
      <c r="E88" s="480">
        <f>+'[66]Sch C'!H76</f>
        <v>0</v>
      </c>
      <c r="F88" s="166">
        <f t="shared" si="17"/>
        <v>2884.79</v>
      </c>
      <c r="G88" s="626">
        <v>-57</v>
      </c>
      <c r="H88" s="166"/>
      <c r="I88" s="166">
        <f t="shared" si="18"/>
        <v>2827.79</v>
      </c>
      <c r="J88" s="167">
        <f t="shared" si="19"/>
        <v>9.9031842471111221E-4</v>
      </c>
      <c r="K88" s="458"/>
      <c r="L88" s="163"/>
      <c r="M88" s="163"/>
      <c r="O88" s="324">
        <f t="shared" si="20"/>
        <v>0.31970491803278689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'[66]Sch C'!D77</f>
        <v>4462.32</v>
      </c>
      <c r="D89" s="480">
        <f>'[66]Sch C'!F77</f>
        <v>0</v>
      </c>
      <c r="E89" s="480">
        <f>+'[66]Sch C'!H77</f>
        <v>0</v>
      </c>
      <c r="F89" s="166">
        <f t="shared" si="17"/>
        <v>4462.32</v>
      </c>
      <c r="G89" s="626"/>
      <c r="H89" s="166"/>
      <c r="I89" s="166">
        <f t="shared" si="18"/>
        <v>4462.32</v>
      </c>
      <c r="J89" s="167">
        <f t="shared" si="19"/>
        <v>1.5627460712983956E-3</v>
      </c>
      <c r="K89" s="458"/>
      <c r="L89" s="163"/>
      <c r="M89" s="163"/>
      <c r="O89" s="324">
        <f t="shared" si="20"/>
        <v>0.50450197851893719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'[66]Sch C'!D78</f>
        <v>70</v>
      </c>
      <c r="D90" s="480">
        <f>'[66]Sch C'!F78</f>
        <v>0</v>
      </c>
      <c r="E90" s="480">
        <f>+'[66]Sch C'!H78</f>
        <v>0</v>
      </c>
      <c r="F90" s="166">
        <f t="shared" si="17"/>
        <v>70</v>
      </c>
      <c r="G90" s="626"/>
      <c r="H90" s="166"/>
      <c r="I90" s="166">
        <f t="shared" si="18"/>
        <v>70</v>
      </c>
      <c r="J90" s="167">
        <f t="shared" si="19"/>
        <v>2.4514652689831231E-5</v>
      </c>
      <c r="K90" s="458"/>
      <c r="L90" s="163"/>
      <c r="M90" s="163"/>
      <c r="O90" s="324">
        <f t="shared" si="20"/>
        <v>7.9140757490107402E-3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'[66]Sch C'!D79</f>
        <v>14089.2</v>
      </c>
      <c r="D91" s="480">
        <f>'[66]Sch C'!F79</f>
        <v>0</v>
      </c>
      <c r="E91" s="480">
        <f>+'[66]Sch C'!H79</f>
        <v>0</v>
      </c>
      <c r="F91" s="166">
        <f t="shared" si="17"/>
        <v>14089.2</v>
      </c>
      <c r="G91" s="626"/>
      <c r="H91" s="166"/>
      <c r="I91" s="166">
        <f t="shared" si="18"/>
        <v>14089.2</v>
      </c>
      <c r="J91" s="167">
        <f t="shared" si="19"/>
        <v>4.9341692096795745E-3</v>
      </c>
      <c r="K91" s="458"/>
      <c r="L91" s="163"/>
      <c r="M91" s="163"/>
      <c r="O91" s="324">
        <f t="shared" si="20"/>
        <v>1.5928999434708875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'[66]Sch C'!D80</f>
        <v>12205.72</v>
      </c>
      <c r="D92" s="480">
        <f>'[66]Sch C'!F80</f>
        <v>0</v>
      </c>
      <c r="E92" s="480">
        <f>+'[66]Sch C'!H80</f>
        <v>0</v>
      </c>
      <c r="F92" s="166">
        <f t="shared" si="17"/>
        <v>12205.72</v>
      </c>
      <c r="G92" s="626"/>
      <c r="H92" s="166"/>
      <c r="I92" s="166">
        <f t="shared" si="18"/>
        <v>12205.72</v>
      </c>
      <c r="J92" s="167">
        <f t="shared" si="19"/>
        <v>4.2745569518475267E-3</v>
      </c>
      <c r="K92" s="458"/>
      <c r="L92" s="163"/>
      <c r="M92" s="163"/>
      <c r="O92" s="324">
        <f t="shared" si="20"/>
        <v>1.3799570378745052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'[66]Sch C'!D81</f>
        <v>1647.8</v>
      </c>
      <c r="D93" s="480">
        <f>'[66]Sch C'!F81</f>
        <v>0</v>
      </c>
      <c r="E93" s="480">
        <f>+'[66]Sch C'!H81</f>
        <v>0</v>
      </c>
      <c r="F93" s="166">
        <f t="shared" si="17"/>
        <v>1647.8</v>
      </c>
      <c r="G93" s="626"/>
      <c r="H93" s="166"/>
      <c r="I93" s="166">
        <f t="shared" si="18"/>
        <v>1647.8</v>
      </c>
      <c r="J93" s="167">
        <f t="shared" si="19"/>
        <v>5.7707492431862718E-4</v>
      </c>
      <c r="K93" s="458"/>
      <c r="L93" s="163"/>
      <c r="M93" s="163"/>
      <c r="O93" s="324">
        <f t="shared" si="20"/>
        <v>0.18629734313171284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'[66]Sch C'!D82</f>
        <v>4294.38</v>
      </c>
      <c r="D94" s="480">
        <f>'[66]Sch C'!F82</f>
        <v>0</v>
      </c>
      <c r="E94" s="480">
        <f>+'[66]Sch C'!H82</f>
        <v>0</v>
      </c>
      <c r="F94" s="166">
        <f t="shared" si="17"/>
        <v>4294.38</v>
      </c>
      <c r="G94" s="626"/>
      <c r="H94" s="166"/>
      <c r="I94" s="166">
        <f t="shared" si="18"/>
        <v>4294.38</v>
      </c>
      <c r="J94" s="167">
        <f t="shared" si="19"/>
        <v>1.5039319174022492E-3</v>
      </c>
      <c r="K94" s="458"/>
      <c r="L94" s="163"/>
      <c r="M94" s="163"/>
      <c r="O94" s="324">
        <f t="shared" si="20"/>
        <v>0.48551498021481065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'[66]Sch C'!D83</f>
        <v>0</v>
      </c>
      <c r="D95" s="480">
        <f>'[66]Sch C'!F83</f>
        <v>0</v>
      </c>
      <c r="E95" s="480">
        <f>+'[66]Sch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'[66]Sch C'!D84</f>
        <v>42031.45</v>
      </c>
      <c r="D96" s="480">
        <f>'[66]Sch C'!F84</f>
        <v>0</v>
      </c>
      <c r="E96" s="480">
        <f>+'[66]Sch C'!H84</f>
        <v>0</v>
      </c>
      <c r="F96" s="166">
        <f t="shared" si="17"/>
        <v>42031.45</v>
      </c>
      <c r="G96" s="626"/>
      <c r="H96" s="166"/>
      <c r="I96" s="166">
        <f t="shared" si="18"/>
        <v>42031.45</v>
      </c>
      <c r="J96" s="167">
        <f t="shared" si="19"/>
        <v>1.4719805697142955E-2</v>
      </c>
      <c r="K96" s="458"/>
      <c r="L96" s="163"/>
      <c r="M96" s="163"/>
      <c r="O96" s="324">
        <f t="shared" si="20"/>
        <v>4.7520011305822498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'[66]Sch C'!D85</f>
        <v>462.75</v>
      </c>
      <c r="D97" s="480">
        <f>'[66]Sch C'!F85</f>
        <v>0</v>
      </c>
      <c r="E97" s="480">
        <f>+'[66]Sch C'!H85</f>
        <v>0</v>
      </c>
      <c r="F97" s="166">
        <f t="shared" si="17"/>
        <v>462.75</v>
      </c>
      <c r="G97" s="626"/>
      <c r="H97" s="166"/>
      <c r="I97" s="166">
        <f t="shared" si="18"/>
        <v>462.75</v>
      </c>
      <c r="J97" s="167">
        <f t="shared" si="19"/>
        <v>1.6205936474599145E-4</v>
      </c>
      <c r="K97" s="458"/>
      <c r="L97" s="163"/>
      <c r="M97" s="163"/>
      <c r="O97" s="324">
        <f t="shared" si="20"/>
        <v>5.2317693612210288E-2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115898.89000000001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115898.89000000001</v>
      </c>
      <c r="G98" s="166">
        <f t="shared" si="22"/>
        <v>-57</v>
      </c>
      <c r="H98" s="166">
        <f t="shared" si="22"/>
        <v>0</v>
      </c>
      <c r="I98" s="166">
        <f t="shared" si="22"/>
        <v>115841.89000000001</v>
      </c>
      <c r="J98" s="167">
        <f t="shared" si="19"/>
        <v>4.0568910004051911E-2</v>
      </c>
      <c r="K98" s="458"/>
      <c r="L98" s="163"/>
      <c r="M98" s="163"/>
      <c r="O98" s="329">
        <f>I98/I$233</f>
        <v>13.096878462408142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'[66]Sch C'!D89</f>
        <v>159551.44</v>
      </c>
      <c r="D101" s="480">
        <f>'[66]Sch C'!F89</f>
        <v>0</v>
      </c>
      <c r="E101" s="480">
        <f>+'[66]Sch C'!H89</f>
        <v>0</v>
      </c>
      <c r="F101" s="166">
        <f t="shared" ref="F101:F106" si="23">C101+D101+E101</f>
        <v>159551.44</v>
      </c>
      <c r="G101" s="626"/>
      <c r="H101" s="166"/>
      <c r="I101" s="166">
        <f t="shared" ref="I101:I106" si="24">F101+G101+H101</f>
        <v>159551.44</v>
      </c>
      <c r="J101" s="167">
        <f t="shared" ref="J101:J107" si="25">IF($I$213=0,0,I101/$I$213)</f>
        <v>5.587640196803495E-2</v>
      </c>
      <c r="K101" s="458"/>
      <c r="L101" s="176">
        <v>10409</v>
      </c>
      <c r="M101" s="176">
        <v>11254</v>
      </c>
      <c r="O101" s="329">
        <f t="shared" ref="O101:O106" si="26">I101/I$233</f>
        <v>18.038602600339175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'[66]Sch C'!D90</f>
        <v>22221.88</v>
      </c>
      <c r="D102" s="480">
        <f>'[66]Sch C'!F90</f>
        <v>0</v>
      </c>
      <c r="E102" s="480">
        <f>+'[66]Sch C'!H90</f>
        <v>0</v>
      </c>
      <c r="F102" s="166">
        <f t="shared" si="23"/>
        <v>22221.88</v>
      </c>
      <c r="G102" s="626">
        <v>-3228</v>
      </c>
      <c r="H102" s="166"/>
      <c r="I102" s="166">
        <f t="shared" si="24"/>
        <v>18993.88</v>
      </c>
      <c r="J102" s="167">
        <f t="shared" si="25"/>
        <v>6.6518338776047382E-3</v>
      </c>
      <c r="K102" s="458"/>
      <c r="L102" s="163"/>
      <c r="M102" s="163"/>
      <c r="O102" s="329">
        <f t="shared" si="26"/>
        <v>2.1474143583945735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'[66]Sch C'!D91</f>
        <v>12261.2</v>
      </c>
      <c r="D103" s="480">
        <f>'[66]Sch C'!F91</f>
        <v>0</v>
      </c>
      <c r="E103" s="480">
        <f>+'[66]Sch C'!H91</f>
        <v>0</v>
      </c>
      <c r="F103" s="166">
        <f t="shared" si="23"/>
        <v>12261.2</v>
      </c>
      <c r="G103" s="626"/>
      <c r="H103" s="166"/>
      <c r="I103" s="166">
        <f t="shared" si="24"/>
        <v>12261.2</v>
      </c>
      <c r="J103" s="167">
        <f t="shared" si="25"/>
        <v>4.293986565150839E-3</v>
      </c>
      <c r="K103" s="458"/>
      <c r="L103" s="163"/>
      <c r="M103" s="163"/>
      <c r="O103" s="329">
        <f t="shared" si="26"/>
        <v>1.3862295081967213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'[66]Sch C'!D92</f>
        <v>84147.59</v>
      </c>
      <c r="D104" s="480">
        <f>'[66]Sch C'!F92</f>
        <v>0</v>
      </c>
      <c r="E104" s="480">
        <f>+'[66]Sch C'!H92</f>
        <v>0</v>
      </c>
      <c r="F104" s="166">
        <f t="shared" si="23"/>
        <v>84147.59</v>
      </c>
      <c r="G104" s="626"/>
      <c r="H104" s="166"/>
      <c r="I104" s="166">
        <f t="shared" si="24"/>
        <v>84147.59</v>
      </c>
      <c r="J104" s="167">
        <f t="shared" si="25"/>
        <v>2.9469270621947364E-2</v>
      </c>
      <c r="K104" s="458"/>
      <c r="L104" s="163"/>
      <c r="M104" s="163"/>
      <c r="O104" s="329">
        <f t="shared" si="26"/>
        <v>9.513577162238553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'[66]Sch C'!D93</f>
        <v>8923.83</v>
      </c>
      <c r="D105" s="480">
        <f>'[66]Sch C'!F93</f>
        <v>0</v>
      </c>
      <c r="E105" s="480">
        <f>+'[66]Sch C'!H93</f>
        <v>0</v>
      </c>
      <c r="F105" s="166">
        <f t="shared" si="23"/>
        <v>8923.83</v>
      </c>
      <c r="G105" s="626"/>
      <c r="H105" s="166"/>
      <c r="I105" s="166">
        <f t="shared" si="24"/>
        <v>8923.83</v>
      </c>
      <c r="J105" s="167">
        <f t="shared" si="25"/>
        <v>3.1252084730442374E-3</v>
      </c>
      <c r="K105" s="458"/>
      <c r="L105" s="163"/>
      <c r="M105" s="163"/>
      <c r="O105" s="329">
        <f t="shared" si="26"/>
        <v>1.0089123798756359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'[66]Sch C'!D94</f>
        <v>1950.38</v>
      </c>
      <c r="D106" s="480">
        <f>'[66]Sch C'!F94</f>
        <v>0</v>
      </c>
      <c r="E106" s="480">
        <f>+'[66]Sch C'!H94</f>
        <v>0</v>
      </c>
      <c r="F106" s="166">
        <f t="shared" si="23"/>
        <v>1950.38</v>
      </c>
      <c r="G106" s="626"/>
      <c r="H106" s="166"/>
      <c r="I106" s="166">
        <f t="shared" si="24"/>
        <v>1950.38</v>
      </c>
      <c r="J106" s="167">
        <f t="shared" si="25"/>
        <v>6.8304126161704347E-4</v>
      </c>
      <c r="K106" s="458"/>
      <c r="L106" s="163"/>
      <c r="M106" s="163"/>
      <c r="O106" s="329">
        <f t="shared" si="26"/>
        <v>0.22050650084793669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289056.32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289056.32</v>
      </c>
      <c r="G107" s="166">
        <f t="shared" si="28"/>
        <v>-3228</v>
      </c>
      <c r="H107" s="166">
        <f t="shared" si="28"/>
        <v>0</v>
      </c>
      <c r="I107" s="166">
        <f t="shared" si="28"/>
        <v>285828.32</v>
      </c>
      <c r="J107" s="167">
        <f t="shared" si="25"/>
        <v>0.10009974276739918</v>
      </c>
      <c r="K107" s="458"/>
      <c r="L107" s="163"/>
      <c r="M107" s="163"/>
      <c r="O107" s="329">
        <f>I107/I$233</f>
        <v>32.315242509892599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'[66]Sch C'!D98</f>
        <v>21482.94</v>
      </c>
      <c r="D110" s="480">
        <f>'[66]Sch C'!F98</f>
        <v>0</v>
      </c>
      <c r="E110" s="480">
        <f>+'[66]Sch C'!H98</f>
        <v>0</v>
      </c>
      <c r="F110" s="166">
        <f t="shared" ref="F110:F115" si="29">C110+D110+E110</f>
        <v>21482.94</v>
      </c>
      <c r="G110" s="626"/>
      <c r="H110" s="166"/>
      <c r="I110" s="166">
        <f t="shared" ref="I110:I115" si="30">F110+G110+H110</f>
        <v>21482.94</v>
      </c>
      <c r="J110" s="167">
        <f t="shared" ref="J110:J116" si="31">IF($I$213=0,0,I110/$I$213)</f>
        <v>7.5235258979497559E-3</v>
      </c>
      <c r="K110" s="458"/>
      <c r="L110" s="176">
        <v>1934</v>
      </c>
      <c r="M110" s="176">
        <v>2074.2600000000002</v>
      </c>
      <c r="O110" s="329">
        <f t="shared" ref="O110:O115" si="32">I110/I$233</f>
        <v>2.4288230638778971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'[66]Sch C'!D99</f>
        <v>2196.87</v>
      </c>
      <c r="D111" s="480">
        <f>'[66]Sch C'!F99</f>
        <v>0</v>
      </c>
      <c r="E111" s="480">
        <f>+'[66]Sch C'!H99</f>
        <v>0</v>
      </c>
      <c r="F111" s="166">
        <f t="shared" si="29"/>
        <v>2196.87</v>
      </c>
      <c r="G111" s="626">
        <v>-430</v>
      </c>
      <c r="H111" s="166"/>
      <c r="I111" s="166">
        <f t="shared" si="30"/>
        <v>1766.87</v>
      </c>
      <c r="J111" s="167">
        <f t="shared" si="31"/>
        <v>6.1877434854403011E-4</v>
      </c>
      <c r="K111" s="458"/>
      <c r="L111" s="163"/>
      <c r="M111" s="163"/>
      <c r="O111" s="329">
        <f t="shared" si="32"/>
        <v>0.1997591859807801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'[66]Sch C'!D100</f>
        <v>2124.84</v>
      </c>
      <c r="D112" s="480">
        <f>'[66]Sch C'!F100</f>
        <v>0</v>
      </c>
      <c r="E112" s="480">
        <f>+'[66]Sch C'!H100</f>
        <v>0</v>
      </c>
      <c r="F112" s="166">
        <f t="shared" si="29"/>
        <v>2124.84</v>
      </c>
      <c r="G112" s="626"/>
      <c r="H112" s="166"/>
      <c r="I112" s="166">
        <f t="shared" si="30"/>
        <v>2124.84</v>
      </c>
      <c r="J112" s="167">
        <f t="shared" si="31"/>
        <v>7.4413878030658571E-4</v>
      </c>
      <c r="K112" s="458"/>
      <c r="L112" s="163"/>
      <c r="M112" s="163"/>
      <c r="O112" s="329">
        <f t="shared" si="32"/>
        <v>0.24023063877897119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'[66]Sch C'!D101</f>
        <v>632.46</v>
      </c>
      <c r="D113" s="480">
        <f>'[66]Sch C'!F101</f>
        <v>0</v>
      </c>
      <c r="E113" s="480">
        <f>+'[66]Sch C'!H101</f>
        <v>0</v>
      </c>
      <c r="F113" s="166">
        <f t="shared" si="29"/>
        <v>632.46</v>
      </c>
      <c r="G113" s="626"/>
      <c r="H113" s="166"/>
      <c r="I113" s="166">
        <f t="shared" si="30"/>
        <v>632.46</v>
      </c>
      <c r="J113" s="167">
        <f t="shared" si="31"/>
        <v>2.2149338914586659E-4</v>
      </c>
      <c r="K113" s="458"/>
      <c r="L113" s="163"/>
      <c r="M113" s="163"/>
      <c r="O113" s="329">
        <f t="shared" si="32"/>
        <v>7.1504804974561909E-2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'[66]Sch C'!D102</f>
        <v>5732.05</v>
      </c>
      <c r="D114" s="480">
        <f>'[66]Sch C'!F102</f>
        <v>0</v>
      </c>
      <c r="E114" s="480">
        <f>+'[66]Sch C'!H102</f>
        <v>0</v>
      </c>
      <c r="F114" s="166">
        <f t="shared" si="29"/>
        <v>5732.05</v>
      </c>
      <c r="G114" s="626"/>
      <c r="H114" s="166"/>
      <c r="I114" s="166">
        <f t="shared" si="30"/>
        <v>5732.05</v>
      </c>
      <c r="J114" s="167">
        <f t="shared" si="31"/>
        <v>2.0074173564392445E-3</v>
      </c>
      <c r="K114" s="458"/>
      <c r="L114" s="163"/>
      <c r="M114" s="163"/>
      <c r="O114" s="329">
        <f t="shared" si="32"/>
        <v>0.64805539853024308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'[66]Sch C'!D103</f>
        <v>0</v>
      </c>
      <c r="D115" s="480">
        <f>'[66]Sch C'!F103</f>
        <v>0</v>
      </c>
      <c r="E115" s="480">
        <f>+'[66]Sch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32169.159999999996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32169.159999999996</v>
      </c>
      <c r="G116" s="166">
        <f t="shared" si="34"/>
        <v>-430</v>
      </c>
      <c r="H116" s="166">
        <f t="shared" si="34"/>
        <v>0</v>
      </c>
      <c r="I116" s="166">
        <f t="shared" si="34"/>
        <v>31739.159999999996</v>
      </c>
      <c r="J116" s="167">
        <f t="shared" si="31"/>
        <v>1.1115349772385482E-2</v>
      </c>
      <c r="K116" s="458"/>
      <c r="L116" s="163"/>
      <c r="M116" s="163"/>
      <c r="O116" s="329">
        <f>I116/I$233</f>
        <v>3.588373092142453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'[66]Sch C'!D115</f>
        <v>45305.58</v>
      </c>
      <c r="D119" s="480">
        <f>'[66]Sch C'!F115</f>
        <v>0</v>
      </c>
      <c r="E119" s="480">
        <f>+'[66]Sch C'!H115</f>
        <v>0</v>
      </c>
      <c r="F119" s="166">
        <f t="shared" ref="F119:F123" si="35">C119+D119+E119</f>
        <v>45305.58</v>
      </c>
      <c r="G119" s="626"/>
      <c r="H119" s="166"/>
      <c r="I119" s="166">
        <f t="shared" ref="I119:I123" si="36">F119+G119+H119</f>
        <v>45305.58</v>
      </c>
      <c r="J119" s="167">
        <f t="shared" ref="J119:J124" si="37">IF($I$213=0,0,I119/$I$213)</f>
        <v>1.5866436551590916E-2</v>
      </c>
      <c r="K119" s="458"/>
      <c r="L119" s="176">
        <v>2905</v>
      </c>
      <c r="M119" s="176">
        <v>3070.94</v>
      </c>
      <c r="O119" s="329">
        <f t="shared" ref="O119:O124" si="38">I119/I$233</f>
        <v>5.1221684567552295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'[66]Sch C'!D116</f>
        <v>4488.05</v>
      </c>
      <c r="D120" s="480">
        <f>'[66]Sch C'!F116</f>
        <v>0</v>
      </c>
      <c r="E120" s="480">
        <f>+'[66]Sch C'!H116</f>
        <v>0</v>
      </c>
      <c r="F120" s="166">
        <f t="shared" si="35"/>
        <v>4488.05</v>
      </c>
      <c r="G120" s="626">
        <v>-851</v>
      </c>
      <c r="H120" s="166"/>
      <c r="I120" s="166">
        <f t="shared" si="36"/>
        <v>3637.05</v>
      </c>
      <c r="J120" s="167">
        <f t="shared" si="37"/>
        <v>1.2737288223650099E-3</v>
      </c>
      <c r="K120" s="458"/>
      <c r="L120" s="163"/>
      <c r="M120" s="163"/>
      <c r="O120" s="329">
        <f t="shared" si="38"/>
        <v>0.41119841718485023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'[66]Sch C'!D117</f>
        <v>4918.8</v>
      </c>
      <c r="D121" s="480">
        <f>'[66]Sch C'!F117</f>
        <v>0</v>
      </c>
      <c r="E121" s="480">
        <f>+'[66]Sch C'!H117</f>
        <v>0</v>
      </c>
      <c r="F121" s="166">
        <f t="shared" si="35"/>
        <v>4918.8</v>
      </c>
      <c r="G121" s="626"/>
      <c r="H121" s="166"/>
      <c r="I121" s="166">
        <f t="shared" si="36"/>
        <v>4918.8</v>
      </c>
      <c r="J121" s="167">
        <f t="shared" si="37"/>
        <v>1.7226096235820267E-3</v>
      </c>
      <c r="K121" s="458"/>
      <c r="L121" s="163"/>
      <c r="M121" s="163"/>
      <c r="O121" s="329">
        <f t="shared" si="38"/>
        <v>0.55611079706048616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'[66]Sch C'!D118</f>
        <v>0</v>
      </c>
      <c r="D122" s="480">
        <f>'[66]Sch C'!F118</f>
        <v>0</v>
      </c>
      <c r="E122" s="480">
        <f>+'[66]Sch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'[66]Sch C'!D119</f>
        <v>0</v>
      </c>
      <c r="D123" s="480">
        <f>'[66]Sch C'!F119</f>
        <v>0</v>
      </c>
      <c r="E123" s="480">
        <f>+'[66]Sch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54712.430000000008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54712.430000000008</v>
      </c>
      <c r="G124" s="166">
        <f t="shared" si="40"/>
        <v>-851</v>
      </c>
      <c r="H124" s="166">
        <f t="shared" si="40"/>
        <v>0</v>
      </c>
      <c r="I124" s="166">
        <f t="shared" si="40"/>
        <v>53861.430000000008</v>
      </c>
      <c r="J124" s="167">
        <f t="shared" si="37"/>
        <v>1.8862774997537954E-2</v>
      </c>
      <c r="K124" s="458"/>
      <c r="L124" s="163"/>
      <c r="M124" s="163"/>
      <c r="O124" s="329">
        <f t="shared" si="38"/>
        <v>6.0894776710005658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'[66]Sch C'!D124</f>
        <v>0</v>
      </c>
      <c r="D128" s="480">
        <f>'[66]Sch C'!F124</f>
        <v>0</v>
      </c>
      <c r="E128" s="480">
        <f>+'[66]Sch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'[66]Sch C'!D125</f>
        <v>164990.56</v>
      </c>
      <c r="D129" s="480">
        <f>'[66]Sch C'!F125</f>
        <v>0</v>
      </c>
      <c r="E129" s="480">
        <f>+'[66]Sch C'!H125</f>
        <v>0</v>
      </c>
      <c r="F129" s="166">
        <f t="shared" si="41"/>
        <v>164990.56</v>
      </c>
      <c r="G129" s="626"/>
      <c r="H129" s="166"/>
      <c r="I129" s="166">
        <f t="shared" si="42"/>
        <v>164990.56</v>
      </c>
      <c r="J129" s="167">
        <f>IF($I$213=0,0,I129/$I$213)</f>
        <v>5.7781232507153731E-2</v>
      </c>
      <c r="K129" s="458"/>
      <c r="L129" s="176">
        <v>2642</v>
      </c>
      <c r="M129" s="176">
        <v>2810.48</v>
      </c>
      <c r="O129" s="329">
        <f t="shared" si="43"/>
        <v>18.653539853024306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'[66]Sch C'!D126</f>
        <v>0</v>
      </c>
      <c r="D130" s="480">
        <f>'[66]Sch C'!F126</f>
        <v>0</v>
      </c>
      <c r="E130" s="480">
        <f>+'[66]Sch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'[66]Sch C'!D127</f>
        <v>27303.45</v>
      </c>
      <c r="D131" s="480">
        <f>'[66]Sch C'!F127</f>
        <v>0</v>
      </c>
      <c r="E131" s="480">
        <f>+'[66]Sch C'!H127</f>
        <v>0</v>
      </c>
      <c r="F131" s="166">
        <f t="shared" si="41"/>
        <v>27303.45</v>
      </c>
      <c r="G131" s="626"/>
      <c r="H131" s="166"/>
      <c r="I131" s="166">
        <f t="shared" si="42"/>
        <v>27303.45</v>
      </c>
      <c r="J131" s="167">
        <f>IF($I$213=0,0,I131/$I$213)</f>
        <v>9.5619227712024652E-3</v>
      </c>
      <c r="K131" s="458"/>
      <c r="L131" s="176">
        <v>1307.6400000000001</v>
      </c>
      <c r="M131" s="176">
        <v>1411.64</v>
      </c>
      <c r="O131" s="329">
        <f t="shared" si="43"/>
        <v>3.0868795929903903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'[66]Sch C'!D128</f>
        <v>15759.27</v>
      </c>
      <c r="D132" s="480">
        <f>'[66]Sch C'!F128</f>
        <v>0</v>
      </c>
      <c r="E132" s="480">
        <f>+'[66]Sch C'!H128</f>
        <v>0</v>
      </c>
      <c r="F132" s="166">
        <f t="shared" si="41"/>
        <v>15759.27</v>
      </c>
      <c r="G132" s="626"/>
      <c r="H132" s="166"/>
      <c r="I132" s="166">
        <f t="shared" si="42"/>
        <v>15759.27</v>
      </c>
      <c r="J132" s="167">
        <f>IF($I$213=0,0,I132/$I$213)</f>
        <v>5.5190432956468095E-3</v>
      </c>
      <c r="K132" s="458"/>
      <c r="L132" s="176">
        <v>809.42</v>
      </c>
      <c r="M132" s="176">
        <v>870.42</v>
      </c>
      <c r="O132" s="329">
        <f t="shared" si="43"/>
        <v>1.7817150932730357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 t="s">
        <v>280</v>
      </c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'[66]Sch C'!D130</f>
        <v>28654.52</v>
      </c>
      <c r="D134" s="480">
        <f>'[66]Sch C'!F130</f>
        <v>0</v>
      </c>
      <c r="E134" s="480">
        <f>+'[66]Sch C'!H130</f>
        <v>0</v>
      </c>
      <c r="F134" s="166">
        <f t="shared" ref="F134:F138" si="44">C134+D134+E134</f>
        <v>28654.52</v>
      </c>
      <c r="G134" s="626">
        <f>-3276-25378.52</f>
        <v>-28654.52</v>
      </c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'[66]Sch C'!D131</f>
        <v>0</v>
      </c>
      <c r="D135" s="480">
        <f>'[66]Sch C'!F131</f>
        <v>0</v>
      </c>
      <c r="E135" s="480">
        <f>+'[66]Sch C'!H131</f>
        <v>0</v>
      </c>
      <c r="F135" s="166">
        <f t="shared" si="44"/>
        <v>0</v>
      </c>
      <c r="G135" s="626">
        <v>25378.52</v>
      </c>
      <c r="H135" s="166"/>
      <c r="I135" s="166">
        <f t="shared" si="45"/>
        <v>25378.52</v>
      </c>
      <c r="J135" s="167">
        <f>IF($I$213=0,0,I135/$I$213)</f>
        <v>8.8877943368847953E-3</v>
      </c>
      <c r="K135" s="458"/>
      <c r="L135" s="196"/>
      <c r="M135" s="196"/>
      <c r="O135" s="329">
        <f t="shared" si="43"/>
        <v>2.8692504239683436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'[66]Sch C'!D132</f>
        <v>0</v>
      </c>
      <c r="D136" s="480">
        <f>'[66]Sch C'!F132</f>
        <v>0</v>
      </c>
      <c r="E136" s="480">
        <f>+'[66]Sch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'[66]Sch C'!D133</f>
        <v>2654.98</v>
      </c>
      <c r="D137" s="480">
        <f>'[66]Sch C'!F133</f>
        <v>0</v>
      </c>
      <c r="E137" s="480">
        <f>+'[66]Sch C'!H133</f>
        <v>0</v>
      </c>
      <c r="F137" s="166">
        <f t="shared" si="44"/>
        <v>2654.98</v>
      </c>
      <c r="G137" s="626">
        <v>-521</v>
      </c>
      <c r="H137" s="166"/>
      <c r="I137" s="166">
        <f t="shared" si="45"/>
        <v>2133.98</v>
      </c>
      <c r="J137" s="167">
        <f>IF($I$213=0,0,I137/$I$213)</f>
        <v>7.4733969352922935E-4</v>
      </c>
      <c r="K137" s="458"/>
      <c r="L137" s="163"/>
      <c r="M137" s="163"/>
      <c r="O137" s="329">
        <f t="shared" si="43"/>
        <v>0.24126399095534201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'[66]Sch C'!D134</f>
        <v>1247.51</v>
      </c>
      <c r="D138" s="480">
        <f>'[66]Sch C'!F134</f>
        <v>0</v>
      </c>
      <c r="E138" s="480">
        <f>+'[66]Sch C'!H134</f>
        <v>0</v>
      </c>
      <c r="F138" s="166">
        <f t="shared" si="44"/>
        <v>1247.51</v>
      </c>
      <c r="G138" s="626">
        <v>-26</v>
      </c>
      <c r="H138" s="166"/>
      <c r="I138" s="166">
        <f t="shared" si="45"/>
        <v>1221.51</v>
      </c>
      <c r="J138" s="167">
        <f>IF($I$213=0,0,I138/$I$213)</f>
        <v>4.2778419153079639E-4</v>
      </c>
      <c r="K138" s="458"/>
      <c r="L138" s="163"/>
      <c r="M138" s="163"/>
      <c r="O138" s="329">
        <f t="shared" si="43"/>
        <v>0.13810175240248729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'[66]Sch C'!D136</f>
        <v>233108.51</v>
      </c>
      <c r="D140" s="480">
        <f>'[66]Sch C'!F136</f>
        <v>0</v>
      </c>
      <c r="E140" s="480">
        <f>+'[66]Sch C'!H136</f>
        <v>0</v>
      </c>
      <c r="F140" s="166">
        <f t="shared" ref="F140:F143" si="46">C140+D140+E140</f>
        <v>233108.51</v>
      </c>
      <c r="G140" s="626"/>
      <c r="H140" s="166"/>
      <c r="I140" s="166">
        <f t="shared" ref="I140:I143" si="47">F140+G140+H140</f>
        <v>233108.51</v>
      </c>
      <c r="J140" s="167">
        <f>IF($I$213=0,0,I140/$I$213)</f>
        <v>8.1636773738486434E-2</v>
      </c>
      <c r="K140" s="458"/>
      <c r="L140" s="176">
        <v>6511</v>
      </c>
      <c r="M140" s="176">
        <v>6860.62</v>
      </c>
      <c r="O140" s="329">
        <f t="shared" si="43"/>
        <v>26.354834369700395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'[66]Sch C'!D137</f>
        <v>58715.25</v>
      </c>
      <c r="D141" s="480">
        <f>'[66]Sch C'!F137</f>
        <v>0</v>
      </c>
      <c r="E141" s="480">
        <f>+'[66]Sch C'!H137</f>
        <v>0</v>
      </c>
      <c r="F141" s="166">
        <f t="shared" si="46"/>
        <v>58715.25</v>
      </c>
      <c r="G141" s="626"/>
      <c r="H141" s="166"/>
      <c r="I141" s="166">
        <f t="shared" si="47"/>
        <v>58715.25</v>
      </c>
      <c r="J141" s="167">
        <f>IF($I$213=0,0,I141/$I$213)</f>
        <v>2.056262801923733E-2</v>
      </c>
      <c r="K141" s="458"/>
      <c r="L141" s="176">
        <v>2285</v>
      </c>
      <c r="M141" s="176">
        <v>2526.9899999999998</v>
      </c>
      <c r="O141" s="329">
        <f t="shared" si="43"/>
        <v>6.6382419446014698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'[66]Sch C'!D138</f>
        <v>290223.48</v>
      </c>
      <c r="D142" s="480">
        <f>'[66]Sch C'!F138</f>
        <v>0</v>
      </c>
      <c r="E142" s="480">
        <f>+'[66]Sch C'!H138</f>
        <v>0</v>
      </c>
      <c r="F142" s="166">
        <f t="shared" si="46"/>
        <v>290223.48</v>
      </c>
      <c r="G142" s="626"/>
      <c r="H142" s="166"/>
      <c r="I142" s="166">
        <f t="shared" si="47"/>
        <v>290223.48</v>
      </c>
      <c r="J142" s="167">
        <f>IF($I$213=0,0,I142/$I$213)</f>
        <v>0.10163896878048828</v>
      </c>
      <c r="K142" s="458"/>
      <c r="L142" s="176">
        <v>19097</v>
      </c>
      <c r="M142" s="176">
        <v>19947.96</v>
      </c>
      <c r="O142" s="329">
        <f t="shared" si="43"/>
        <v>32.812151498021478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'[66]Sch C'!D139</f>
        <v>767.49</v>
      </c>
      <c r="D143" s="480">
        <f>'[66]Sch C'!F139</f>
        <v>0</v>
      </c>
      <c r="E143" s="480">
        <f>+'[66]Sch C'!H139</f>
        <v>0</v>
      </c>
      <c r="F143" s="166">
        <f t="shared" si="46"/>
        <v>767.49</v>
      </c>
      <c r="G143" s="626"/>
      <c r="H143" s="166"/>
      <c r="I143" s="166">
        <f t="shared" si="47"/>
        <v>767.49</v>
      </c>
      <c r="J143" s="167">
        <f>IF($I$213=0,0,I143/$I$213)</f>
        <v>2.6878215418455105E-4</v>
      </c>
      <c r="K143" s="458"/>
      <c r="L143" s="176">
        <v>45</v>
      </c>
      <c r="M143" s="176">
        <v>45</v>
      </c>
      <c r="O143" s="329">
        <f t="shared" si="43"/>
        <v>8.6771057094403622E-2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'[66]Sch C'!D141</f>
        <v>36219.17</v>
      </c>
      <c r="D145" s="480">
        <f>'[66]Sch C'!F141</f>
        <v>0</v>
      </c>
      <c r="E145" s="480">
        <f>+'[66]Sch C'!H141</f>
        <v>0</v>
      </c>
      <c r="F145" s="166">
        <f t="shared" ref="F145:F148" si="48">C145+D145+E145</f>
        <v>36219.17</v>
      </c>
      <c r="G145" s="626">
        <v>-4516</v>
      </c>
      <c r="H145" s="166"/>
      <c r="I145" s="166">
        <f t="shared" ref="I145:I148" si="49">F145+G145+H145</f>
        <v>31703.17</v>
      </c>
      <c r="J145" s="167">
        <f>IF($I$213=0,0,I145/$I$213)</f>
        <v>1.1102745738809669E-2</v>
      </c>
      <c r="K145" s="458"/>
      <c r="L145" s="163"/>
      <c r="M145" s="163"/>
      <c r="O145" s="329">
        <f t="shared" si="43"/>
        <v>3.5843041266252116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'[66]Sch C'!D142</f>
        <v>9122.8700000000008</v>
      </c>
      <c r="D146" s="480">
        <f>'[66]Sch C'!F142</f>
        <v>0</v>
      </c>
      <c r="E146" s="480">
        <f>+'[66]Sch C'!H142</f>
        <v>0</v>
      </c>
      <c r="F146" s="166">
        <f t="shared" si="48"/>
        <v>9122.8700000000008</v>
      </c>
      <c r="G146" s="626">
        <v>-1137</v>
      </c>
      <c r="H146" s="166"/>
      <c r="I146" s="166">
        <f t="shared" si="49"/>
        <v>7985.8700000000008</v>
      </c>
      <c r="J146" s="167">
        <f>IF($I$213=0,0,I146/$I$213)</f>
        <v>2.7967261353734649E-3</v>
      </c>
      <c r="K146" s="458"/>
      <c r="L146" s="163"/>
      <c r="M146" s="163"/>
      <c r="O146" s="329">
        <f t="shared" si="43"/>
        <v>0.90286828716789158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'[66]Sch C'!D143</f>
        <v>45093.4</v>
      </c>
      <c r="D147" s="480">
        <f>'[66]Sch C'!F143</f>
        <v>0</v>
      </c>
      <c r="E147" s="480">
        <f>+'[66]Sch C'!H143</f>
        <v>0</v>
      </c>
      <c r="F147" s="166">
        <f t="shared" si="48"/>
        <v>45093.4</v>
      </c>
      <c r="G147" s="626">
        <v>-5623</v>
      </c>
      <c r="H147" s="166"/>
      <c r="I147" s="166">
        <f t="shared" si="49"/>
        <v>39470.400000000001</v>
      </c>
      <c r="J147" s="167">
        <f>IF($I$213=0,0,I147/$I$213)</f>
        <v>1.3822902107553067E-2</v>
      </c>
      <c r="K147" s="458"/>
      <c r="L147" s="163"/>
      <c r="M147" s="163"/>
      <c r="O147" s="329">
        <f t="shared" si="43"/>
        <v>4.4624533634821937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'[66]Sch C'!D144</f>
        <v>62.27</v>
      </c>
      <c r="D148" s="480">
        <f>'[66]Sch C'!F144</f>
        <v>0</v>
      </c>
      <c r="E148" s="480">
        <f>+'[66]Sch C'!H144</f>
        <v>0</v>
      </c>
      <c r="F148" s="166">
        <f t="shared" si="48"/>
        <v>62.27</v>
      </c>
      <c r="G148" s="626">
        <v>-5</v>
      </c>
      <c r="H148" s="166"/>
      <c r="I148" s="166">
        <f t="shared" si="49"/>
        <v>57.27</v>
      </c>
      <c r="J148" s="167">
        <f>IF($I$213=0,0,I148/$I$213)</f>
        <v>2.0056487993523353E-5</v>
      </c>
      <c r="K148" s="458"/>
      <c r="L148" s="163"/>
      <c r="M148" s="163"/>
      <c r="O148" s="329">
        <f t="shared" si="43"/>
        <v>6.4748445449406451E-3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'[66]Sch C'!D146</f>
        <v>7960</v>
      </c>
      <c r="D150" s="480">
        <f>'[66]Sch C'!F146</f>
        <v>0</v>
      </c>
      <c r="E150" s="480">
        <f>+'[66]Sch C'!H146</f>
        <v>0</v>
      </c>
      <c r="F150" s="166">
        <f t="shared" ref="F150:F158" si="50">C150+D150+E150</f>
        <v>7960</v>
      </c>
      <c r="G150" s="626"/>
      <c r="H150" s="166"/>
      <c r="I150" s="166">
        <f t="shared" ref="I150:I158" si="51">F150+G150+H150</f>
        <v>7960</v>
      </c>
      <c r="J150" s="167">
        <f t="shared" ref="J150:J158" si="52">IF($I$213=0,0,I150/$I$213)</f>
        <v>2.7876662201579516E-3</v>
      </c>
      <c r="K150" s="458"/>
      <c r="L150" s="176">
        <v>0</v>
      </c>
      <c r="M150" s="176">
        <v>0</v>
      </c>
      <c r="O150" s="329">
        <f t="shared" si="43"/>
        <v>0.89994347088750704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'[66]Sch C'!D147</f>
        <v>8889.09</v>
      </c>
      <c r="D151" s="480">
        <f>'[66]Sch C'!F147</f>
        <v>0</v>
      </c>
      <c r="E151" s="480">
        <f>+'[66]Sch C'!H147</f>
        <v>0</v>
      </c>
      <c r="F151" s="166">
        <f t="shared" si="50"/>
        <v>8889.09</v>
      </c>
      <c r="G151" s="626"/>
      <c r="H151" s="166"/>
      <c r="I151" s="166">
        <f t="shared" si="51"/>
        <v>8889.09</v>
      </c>
      <c r="J151" s="167">
        <f t="shared" si="52"/>
        <v>3.1130422011235986E-3</v>
      </c>
      <c r="K151" s="458"/>
      <c r="L151" s="176">
        <v>0</v>
      </c>
      <c r="M151" s="176">
        <v>0</v>
      </c>
      <c r="O151" s="329">
        <f t="shared" si="43"/>
        <v>1.004984737139627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'[66]Sch C'!D148</f>
        <v>50607.53</v>
      </c>
      <c r="D152" s="480">
        <f>'[66]Sch C'!F148</f>
        <v>0</v>
      </c>
      <c r="E152" s="480">
        <f>+'[66]Sch C'!H148</f>
        <v>0</v>
      </c>
      <c r="F152" s="166">
        <f t="shared" si="50"/>
        <v>50607.53</v>
      </c>
      <c r="G152" s="626"/>
      <c r="H152" s="166"/>
      <c r="I152" s="166">
        <f t="shared" si="51"/>
        <v>50607.53</v>
      </c>
      <c r="J152" s="167">
        <f t="shared" si="52"/>
        <v>1.7723228877717354E-2</v>
      </c>
      <c r="K152" s="458"/>
      <c r="L152" s="176">
        <v>0</v>
      </c>
      <c r="M152" s="176">
        <v>0</v>
      </c>
      <c r="O152" s="329">
        <f t="shared" si="43"/>
        <v>5.7215975127190504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'[66]Sch C'!D149</f>
        <v>26925.09</v>
      </c>
      <c r="D153" s="480">
        <f>'[66]Sch C'!F149</f>
        <v>0</v>
      </c>
      <c r="E153" s="480">
        <f>+'[66]Sch C'!H149</f>
        <v>0</v>
      </c>
      <c r="F153" s="166">
        <f t="shared" si="50"/>
        <v>26925.09</v>
      </c>
      <c r="G153" s="626"/>
      <c r="H153" s="166"/>
      <c r="I153" s="166">
        <f t="shared" si="51"/>
        <v>26925.09</v>
      </c>
      <c r="J153" s="167">
        <f t="shared" si="52"/>
        <v>9.4294175713206859E-3</v>
      </c>
      <c r="K153" s="458"/>
      <c r="L153" s="176">
        <v>0</v>
      </c>
      <c r="M153" s="176">
        <v>0</v>
      </c>
      <c r="O153" s="329">
        <f t="shared" si="43"/>
        <v>3.044102882984737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'[66]Sch C'!D150</f>
        <v>2425</v>
      </c>
      <c r="D154" s="480">
        <f>'[66]Sch C'!F150</f>
        <v>0</v>
      </c>
      <c r="E154" s="480">
        <f>+'[66]Sch C'!H150</f>
        <v>0</v>
      </c>
      <c r="F154" s="166">
        <f t="shared" si="50"/>
        <v>2425</v>
      </c>
      <c r="G154" s="626"/>
      <c r="H154" s="166"/>
      <c r="I154" s="166">
        <f t="shared" si="51"/>
        <v>2425</v>
      </c>
      <c r="J154" s="167">
        <f t="shared" si="52"/>
        <v>8.4925761104058192E-4</v>
      </c>
      <c r="K154" s="458"/>
      <c r="L154" s="176">
        <v>0</v>
      </c>
      <c r="M154" s="176">
        <v>0</v>
      </c>
      <c r="O154" s="329">
        <f t="shared" si="43"/>
        <v>0.27416619559072924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'[66]Sch C'!D151</f>
        <v>45759.32</v>
      </c>
      <c r="D155" s="480">
        <f>'[66]Sch C'!F151</f>
        <v>0</v>
      </c>
      <c r="E155" s="480">
        <f>+'[66]Sch C'!H151</f>
        <v>0</v>
      </c>
      <c r="F155" s="166">
        <f t="shared" si="50"/>
        <v>45759.32</v>
      </c>
      <c r="G155" s="626"/>
      <c r="H155" s="166"/>
      <c r="I155" s="166">
        <f t="shared" si="51"/>
        <v>45759.32</v>
      </c>
      <c r="J155" s="167">
        <f t="shared" si="52"/>
        <v>1.60253405303264E-2</v>
      </c>
      <c r="K155" s="458"/>
      <c r="L155" s="163"/>
      <c r="M155" s="163"/>
      <c r="O155" s="329">
        <f t="shared" si="43"/>
        <v>5.1734674957603168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'[66]Sch C'!D152</f>
        <v>587.52</v>
      </c>
      <c r="D156" s="480">
        <f>'[66]Sch C'!F152</f>
        <v>0</v>
      </c>
      <c r="E156" s="480">
        <f>+'[66]Sch C'!H152</f>
        <v>0</v>
      </c>
      <c r="F156" s="166">
        <f t="shared" si="50"/>
        <v>587.52</v>
      </c>
      <c r="G156" s="626"/>
      <c r="H156" s="166"/>
      <c r="I156" s="166">
        <f t="shared" si="51"/>
        <v>587.52</v>
      </c>
      <c r="J156" s="167">
        <f t="shared" si="52"/>
        <v>2.0575498211899493E-4</v>
      </c>
      <c r="K156" s="458"/>
      <c r="L156" s="163"/>
      <c r="M156" s="163"/>
      <c r="O156" s="329">
        <f t="shared" si="43"/>
        <v>6.6423968343697001E-2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'[66]Sch C'!D153</f>
        <v>12261.38</v>
      </c>
      <c r="D157" s="480">
        <f>'[66]Sch C'!F153</f>
        <v>0</v>
      </c>
      <c r="E157" s="480">
        <f>+'[66]Sch C'!H153</f>
        <v>0</v>
      </c>
      <c r="F157" s="166">
        <f t="shared" si="50"/>
        <v>12261.38</v>
      </c>
      <c r="G157" s="626"/>
      <c r="H157" s="166"/>
      <c r="I157" s="166">
        <f t="shared" si="51"/>
        <v>12261.38</v>
      </c>
      <c r="J157" s="167">
        <f t="shared" si="52"/>
        <v>4.2940496028291836E-3</v>
      </c>
      <c r="K157" s="458"/>
      <c r="L157" s="163"/>
      <c r="M157" s="163"/>
      <c r="O157" s="329">
        <f t="shared" si="43"/>
        <v>1.3862498586772187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'[66]Sch C'!D154</f>
        <v>0</v>
      </c>
      <c r="D158" s="480">
        <f>'[66]Sch C'!F154</f>
        <v>0</v>
      </c>
      <c r="E158" s="480">
        <f>+'[66]Sch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'[66]Sch C'!D156</f>
        <v>0</v>
      </c>
      <c r="D160" s="480">
        <f>'[66]Sch C'!F156</f>
        <v>0</v>
      </c>
      <c r="E160" s="480">
        <f>+'[66]Sch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'[66]Sch C'!D157</f>
        <v>0</v>
      </c>
      <c r="D161" s="480">
        <f>'[66]Sch C'!F157</f>
        <v>0</v>
      </c>
      <c r="E161" s="480">
        <f>+'[66]Sch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'[66]Sch C'!D158</f>
        <v>0</v>
      </c>
      <c r="D162" s="480">
        <f>'[66]Sch C'!F158</f>
        <v>0</v>
      </c>
      <c r="E162" s="480">
        <f>+'[66]Sch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'[66]Sch C'!D159</f>
        <v>0</v>
      </c>
      <c r="D163" s="480">
        <f>'[66]Sch C'!F159</f>
        <v>0</v>
      </c>
      <c r="E163" s="480">
        <f>+'[66]Sch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'[66]Sch C'!D160</f>
        <v>3050.22</v>
      </c>
      <c r="D164" s="480">
        <f>'[66]Sch C'!F160</f>
        <v>0</v>
      </c>
      <c r="E164" s="480">
        <f>+'[66]Sch C'!H160</f>
        <v>0</v>
      </c>
      <c r="F164" s="166">
        <f t="shared" si="53"/>
        <v>3050.22</v>
      </c>
      <c r="G164" s="626"/>
      <c r="H164" s="166"/>
      <c r="I164" s="166">
        <f t="shared" si="54"/>
        <v>3050.22</v>
      </c>
      <c r="J164" s="167">
        <f>IF($I$213=0,0,I164/$I$213)</f>
        <v>1.0682154846796716E-3</v>
      </c>
      <c r="K164" s="458"/>
      <c r="L164" s="163"/>
      <c r="M164" s="163"/>
      <c r="O164" s="329">
        <f t="shared" si="43"/>
        <v>0.34485245901639344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'[66]Sch C'!D161</f>
        <v>26391.66</v>
      </c>
      <c r="D165" s="480">
        <f>'[66]Sch C'!F161</f>
        <v>0</v>
      </c>
      <c r="E165" s="480">
        <f>+'[66]Sch C'!H161</f>
        <v>0</v>
      </c>
      <c r="F165" s="166">
        <f t="shared" si="53"/>
        <v>26391.66</v>
      </c>
      <c r="G165" s="626">
        <v>-2770</v>
      </c>
      <c r="H165" s="166"/>
      <c r="I165" s="166">
        <f t="shared" si="54"/>
        <v>23621.66</v>
      </c>
      <c r="J165" s="167">
        <f t="shared" si="55"/>
        <v>8.2725255836754111E-3</v>
      </c>
      <c r="K165" s="458"/>
      <c r="L165" s="163"/>
      <c r="M165" s="163"/>
      <c r="O165" s="329">
        <f t="shared" si="43"/>
        <v>2.6706229508196722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1098779.5399999998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1098779.5399999998</v>
      </c>
      <c r="G166" s="166">
        <f t="shared" si="57"/>
        <v>-17874</v>
      </c>
      <c r="H166" s="166">
        <f t="shared" si="57"/>
        <v>0</v>
      </c>
      <c r="I166" s="166">
        <f t="shared" si="57"/>
        <v>1080905.5399999998</v>
      </c>
      <c r="J166" s="167">
        <f t="shared" si="55"/>
        <v>0.3785431986230639</v>
      </c>
      <c r="K166" s="458"/>
      <c r="L166" s="163"/>
      <c r="M166" s="163"/>
      <c r="O166" s="329">
        <f>I166/I$233</f>
        <v>122.20526172979082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'[66]Sch C'!D175</f>
        <v>0</v>
      </c>
      <c r="D169" s="480">
        <f>'[66]Sch C'!F175</f>
        <v>0</v>
      </c>
      <c r="E169" s="480">
        <f>+'[66]Sch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'[66]Sch C'!D176</f>
        <v>0</v>
      </c>
      <c r="D170" s="480">
        <f>'[66]Sch C'!F176</f>
        <v>0</v>
      </c>
      <c r="E170" s="480">
        <f>+'[66]Sch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'[66]Sch C'!D177</f>
        <v>0</v>
      </c>
      <c r="D171" s="480">
        <f>'[66]Sch C'!F177</f>
        <v>0</v>
      </c>
      <c r="E171" s="480">
        <f>+'[66]Sch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'[66]Sch C'!D178</f>
        <v>0</v>
      </c>
      <c r="D172" s="480">
        <f>'[66]Sch C'!F178</f>
        <v>0</v>
      </c>
      <c r="E172" s="480">
        <f>+'[66]Sch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'[66]Sch C'!D179</f>
        <v>0</v>
      </c>
      <c r="D173" s="480">
        <f>'[66]Sch C'!F179</f>
        <v>0</v>
      </c>
      <c r="E173" s="480">
        <f>+'[66]Sch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'[66]Sch C'!D180</f>
        <v>0</v>
      </c>
      <c r="D174" s="480">
        <f>'[66]Sch C'!F180</f>
        <v>0</v>
      </c>
      <c r="E174" s="480">
        <f>+'[66]Sch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'[66]Sch C'!D181</f>
        <v>0</v>
      </c>
      <c r="D175" s="480">
        <f>'[66]Sch C'!F181</f>
        <v>0</v>
      </c>
      <c r="E175" s="480">
        <f>+'[66]Sch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'[66]Sch C'!D182</f>
        <v>0</v>
      </c>
      <c r="D176" s="480">
        <f>'[66]Sch C'!F182</f>
        <v>0</v>
      </c>
      <c r="E176" s="480">
        <f>+'[66]Sch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'[66]Sch C'!D183</f>
        <v>0</v>
      </c>
      <c r="D177" s="480">
        <f>'[66]Sch C'!F183</f>
        <v>0</v>
      </c>
      <c r="E177" s="480">
        <f>+'[66]Sch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'[66]Sch C'!D184</f>
        <v>0</v>
      </c>
      <c r="D178" s="480">
        <f>'[66]Sch C'!F184</f>
        <v>0</v>
      </c>
      <c r="E178" s="480">
        <f>+'[66]Sch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'[66]Sch C'!D185</f>
        <v>0</v>
      </c>
      <c r="D179" s="480">
        <f>'[66]Sch C'!F185</f>
        <v>0</v>
      </c>
      <c r="E179" s="480">
        <f>+'[66]Sch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'[66]Sch C'!D186</f>
        <v>0</v>
      </c>
      <c r="D180" s="480">
        <f>'[66]Sch C'!F186</f>
        <v>0</v>
      </c>
      <c r="E180" s="480">
        <f>+'[66]Sch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'[66]Sch C'!D187</f>
        <v>0</v>
      </c>
      <c r="D181" s="480">
        <f>'[66]Sch C'!F187</f>
        <v>0</v>
      </c>
      <c r="E181" s="480">
        <f>+'[66]Sch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'[66]Sch C'!D188</f>
        <v>0</v>
      </c>
      <c r="D182" s="480">
        <f>'[66]Sch C'!F188</f>
        <v>0</v>
      </c>
      <c r="E182" s="480">
        <f>+'[66]Sch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'[66]Sch C'!D189</f>
        <v>0</v>
      </c>
      <c r="D183" s="480">
        <f>'[66]Sch C'!F189</f>
        <v>0</v>
      </c>
      <c r="E183" s="480">
        <f>+'[66]Sch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'[66]Sch C'!D190</f>
        <v>0</v>
      </c>
      <c r="D184" s="480">
        <f>'[66]Sch C'!F190</f>
        <v>0</v>
      </c>
      <c r="E184" s="480">
        <f>+'[66]Sch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'[66]Sch C'!D191</f>
        <v>0</v>
      </c>
      <c r="D185" s="480">
        <f>'[66]Sch C'!F191</f>
        <v>0</v>
      </c>
      <c r="E185" s="480">
        <f>+'[66]Sch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'[66]Sch C'!D192</f>
        <v>0</v>
      </c>
      <c r="D186" s="480">
        <f>'[66]Sch C'!F192</f>
        <v>0</v>
      </c>
      <c r="E186" s="480">
        <f>+'[66]Sch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'[66]Sch C'!D193</f>
        <v>0</v>
      </c>
      <c r="D187" s="480">
        <f>'[66]Sch C'!F193</f>
        <v>0</v>
      </c>
      <c r="E187" s="480">
        <f>+'[66]Sch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'[66]Sch C'!D194</f>
        <v>224528.29</v>
      </c>
      <c r="D188" s="480">
        <f>'[66]Sch C'!F194</f>
        <v>0</v>
      </c>
      <c r="E188" s="480">
        <f>+'[66]Sch C'!H194</f>
        <v>-5641</v>
      </c>
      <c r="F188" s="166">
        <f t="shared" si="58"/>
        <v>218887.29</v>
      </c>
      <c r="G188" s="626"/>
      <c r="H188" s="166"/>
      <c r="I188" s="166">
        <f t="shared" si="59"/>
        <v>218887.29</v>
      </c>
      <c r="J188" s="167">
        <f t="shared" si="60"/>
        <v>7.6656369893833842E-2</v>
      </c>
      <c r="K188" s="458"/>
      <c r="L188" s="213"/>
      <c r="M188" s="208"/>
      <c r="O188" s="329">
        <f t="shared" si="61"/>
        <v>24.747008479366876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'[66]Sch C'!D195</f>
        <v>14956.16</v>
      </c>
      <c r="D189" s="480">
        <f>'[66]Sch C'!F195</f>
        <v>0</v>
      </c>
      <c r="E189" s="480">
        <f>+'[66]Sch C'!H195</f>
        <v>-376</v>
      </c>
      <c r="F189" s="166">
        <f t="shared" si="58"/>
        <v>14580.16</v>
      </c>
      <c r="G189" s="626"/>
      <c r="H189" s="166"/>
      <c r="I189" s="166">
        <f t="shared" si="59"/>
        <v>14580.16</v>
      </c>
      <c r="J189" s="167">
        <f t="shared" si="60"/>
        <v>5.1061079794595676E-3</v>
      </c>
      <c r="K189" s="458"/>
      <c r="L189" s="213"/>
      <c r="M189" s="208"/>
      <c r="O189" s="329">
        <f t="shared" si="61"/>
        <v>1.648407009609949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'[66]Sch C'!D196</f>
        <v>0</v>
      </c>
      <c r="D190" s="480">
        <f>'[66]Sch C'!F196</f>
        <v>0</v>
      </c>
      <c r="E190" s="480">
        <f>+'[66]Sch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'[66]Sch C'!D197</f>
        <v>160706</v>
      </c>
      <c r="D191" s="480">
        <f>'[66]Sch C'!F197</f>
        <v>0</v>
      </c>
      <c r="E191" s="480">
        <f>+'[66]Sch C'!H197</f>
        <v>-4038</v>
      </c>
      <c r="F191" s="166">
        <f t="shared" si="58"/>
        <v>156668</v>
      </c>
      <c r="G191" s="626"/>
      <c r="H191" s="166"/>
      <c r="I191" s="166">
        <f t="shared" si="59"/>
        <v>156668</v>
      </c>
      <c r="J191" s="167">
        <f t="shared" si="60"/>
        <v>5.486659439443542E-2</v>
      </c>
      <c r="K191" s="458"/>
      <c r="L191" s="213"/>
      <c r="M191" s="208"/>
      <c r="O191" s="329">
        <f t="shared" si="61"/>
        <v>17.712605992085923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'[66]Sch C'!D198</f>
        <v>10024.32</v>
      </c>
      <c r="D192" s="480">
        <f>'[66]Sch C'!F198</f>
        <v>0</v>
      </c>
      <c r="E192" s="480">
        <f>+'[66]Sch C'!H198</f>
        <v>0</v>
      </c>
      <c r="F192" s="166">
        <f t="shared" si="58"/>
        <v>10024.32</v>
      </c>
      <c r="G192" s="626"/>
      <c r="H192" s="166"/>
      <c r="I192" s="166">
        <f t="shared" si="59"/>
        <v>10024.32</v>
      </c>
      <c r="J192" s="167">
        <f t="shared" si="60"/>
        <v>3.5106103321675573E-3</v>
      </c>
      <c r="K192" s="458"/>
      <c r="L192" s="213"/>
      <c r="M192" s="208"/>
      <c r="O192" s="329">
        <f t="shared" si="61"/>
        <v>1.1333318258903335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'[66]Sch C'!D199</f>
        <v>0</v>
      </c>
      <c r="D193" s="480">
        <f>'[66]Sch C'!F199</f>
        <v>0</v>
      </c>
      <c r="E193" s="480">
        <f>+'[66]Sch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'[66]Sch C'!D200</f>
        <v>0</v>
      </c>
      <c r="D194" s="480">
        <f>'[66]Sch C'!F200</f>
        <v>0</v>
      </c>
      <c r="E194" s="480">
        <f>+'[66]Sch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'[66]Sch C'!D201</f>
        <v>0</v>
      </c>
      <c r="D195" s="480">
        <f>'[66]Sch C'!F201</f>
        <v>0</v>
      </c>
      <c r="E195" s="480">
        <f>+'[66]Sch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'[66]Sch C'!D202</f>
        <v>0</v>
      </c>
      <c r="D196" s="480">
        <f>'[66]Sch C'!F202</f>
        <v>0</v>
      </c>
      <c r="E196" s="480">
        <f>+'[66]Sch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'[66]Sch C'!D203</f>
        <v>0</v>
      </c>
      <c r="D197" s="480">
        <f>'[66]Sch C'!F203</f>
        <v>0</v>
      </c>
      <c r="E197" s="480">
        <f>+'[66]Sch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'[66]Sch C'!D204</f>
        <v>0</v>
      </c>
      <c r="D198" s="480">
        <f>'[66]Sch C'!F204</f>
        <v>0</v>
      </c>
      <c r="E198" s="480">
        <f>+'[66]Sch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'[66]Sch C'!D205</f>
        <v>79787.81</v>
      </c>
      <c r="D199" s="480">
        <f>'[66]Sch C'!F205</f>
        <v>0</v>
      </c>
      <c r="E199" s="480">
        <f>+'[66]Sch C'!H205</f>
        <v>-51405</v>
      </c>
      <c r="F199" s="166">
        <f t="shared" si="58"/>
        <v>28382.809999999998</v>
      </c>
      <c r="G199" s="626"/>
      <c r="H199" s="166"/>
      <c r="I199" s="166">
        <f t="shared" si="59"/>
        <v>28382.809999999998</v>
      </c>
      <c r="J199" s="167">
        <f t="shared" si="60"/>
        <v>9.9399247073066951E-3</v>
      </c>
      <c r="K199" s="458"/>
      <c r="L199" s="213"/>
      <c r="M199" s="208"/>
      <c r="O199" s="329">
        <f t="shared" si="61"/>
        <v>3.208910118711136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'[66]Sch C'!D206</f>
        <v>5238.51</v>
      </c>
      <c r="D200" s="480">
        <f>'[66]Sch C'!F206</f>
        <v>0</v>
      </c>
      <c r="E200" s="480">
        <f>+'[66]Sch C'!H206</f>
        <v>0</v>
      </c>
      <c r="F200" s="166">
        <f t="shared" si="58"/>
        <v>5238.51</v>
      </c>
      <c r="G200" s="626"/>
      <c r="H200" s="166"/>
      <c r="I200" s="166">
        <f t="shared" si="59"/>
        <v>5238.51</v>
      </c>
      <c r="J200" s="167">
        <f t="shared" si="60"/>
        <v>1.8345750466029686E-3</v>
      </c>
      <c r="K200" s="458"/>
      <c r="L200" s="213"/>
      <c r="M200" s="208"/>
      <c r="O200" s="329">
        <f t="shared" si="61"/>
        <v>0.59225664217071794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'[66]Sch C'!D207</f>
        <v>1969.18</v>
      </c>
      <c r="D201" s="480">
        <f>'[66]Sch C'!F207</f>
        <v>0</v>
      </c>
      <c r="E201" s="480">
        <f>+'[66]Sch C'!H207</f>
        <v>0</v>
      </c>
      <c r="F201" s="166">
        <f t="shared" si="58"/>
        <v>1969.18</v>
      </c>
      <c r="G201" s="626"/>
      <c r="H201" s="166"/>
      <c r="I201" s="166">
        <f t="shared" si="59"/>
        <v>1969.18</v>
      </c>
      <c r="J201" s="167">
        <f t="shared" si="60"/>
        <v>6.8962519691088378E-4</v>
      </c>
      <c r="K201" s="458"/>
      <c r="L201" s="213"/>
      <c r="M201" s="208"/>
      <c r="O201" s="329">
        <f t="shared" si="61"/>
        <v>0.22263199547767101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497210.27</v>
      </c>
      <c r="D202" s="480">
        <f t="shared" si="62"/>
        <v>0</v>
      </c>
      <c r="E202" s="480">
        <f t="shared" si="62"/>
        <v>-61460</v>
      </c>
      <c r="F202" s="166">
        <f t="shared" ref="F202:I202" si="63">SUM(F169:F201)</f>
        <v>435750.27</v>
      </c>
      <c r="G202" s="166">
        <f t="shared" si="63"/>
        <v>0</v>
      </c>
      <c r="H202" s="166">
        <f t="shared" si="63"/>
        <v>0</v>
      </c>
      <c r="I202" s="166">
        <f t="shared" si="63"/>
        <v>435750.27</v>
      </c>
      <c r="J202" s="167">
        <f>IF($I$213=0,0,I202/$I$213)</f>
        <v>0.15260380755071695</v>
      </c>
      <c r="K202" s="458"/>
      <c r="L202" s="163"/>
      <c r="M202" s="163"/>
      <c r="O202" s="329">
        <f>I202/I$233</f>
        <v>49.265152063312605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'[66]Sch C'!D211</f>
        <v>50018.8</v>
      </c>
      <c r="D205" s="480">
        <f>'[66]Sch C'!F211</f>
        <v>0</v>
      </c>
      <c r="E205" s="480">
        <f>+'[66]Sch C'!H211</f>
        <v>0</v>
      </c>
      <c r="F205" s="166">
        <f t="shared" ref="F205:F210" si="64">C205+D205+E205</f>
        <v>50018.8</v>
      </c>
      <c r="G205" s="626"/>
      <c r="H205" s="166"/>
      <c r="I205" s="166">
        <f t="shared" ref="I205:I210" si="65">F205+G205+H205</f>
        <v>50018.8</v>
      </c>
      <c r="J205" s="167">
        <f t="shared" ref="J205:J211" si="66">IF($I$213=0,0,I205/$I$213)</f>
        <v>1.7517050142316148E-2</v>
      </c>
      <c r="K205" s="458"/>
      <c r="L205" s="176">
        <v>1820</v>
      </c>
      <c r="M205" s="176">
        <v>2202</v>
      </c>
      <c r="O205" s="329">
        <f t="shared" ref="O205:O210" si="67">I205/I$233</f>
        <v>5.6550367439231204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'[66]Sch C'!D212</f>
        <v>10098.780000000001</v>
      </c>
      <c r="D206" s="480">
        <f>'[66]Sch C'!F212</f>
        <v>0</v>
      </c>
      <c r="E206" s="480">
        <f>+'[66]Sch C'!H212</f>
        <v>0</v>
      </c>
      <c r="F206" s="166">
        <f t="shared" si="64"/>
        <v>10098.780000000001</v>
      </c>
      <c r="G206" s="626">
        <v>-1009</v>
      </c>
      <c r="H206" s="166"/>
      <c r="I206" s="166">
        <f t="shared" si="65"/>
        <v>9089.7800000000007</v>
      </c>
      <c r="J206" s="167">
        <f t="shared" si="66"/>
        <v>3.183325710385345E-3</v>
      </c>
      <c r="K206" s="458"/>
      <c r="L206" s="163"/>
      <c r="M206" s="163"/>
      <c r="O206" s="329">
        <f t="shared" si="67"/>
        <v>1.0276743923120408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'[66]Sch C'!D213</f>
        <v>5868</v>
      </c>
      <c r="D207" s="480">
        <f>'[66]Sch C'!F213</f>
        <v>0</v>
      </c>
      <c r="E207" s="480">
        <f>+'[66]Sch C'!H213</f>
        <v>0</v>
      </c>
      <c r="F207" s="166">
        <f t="shared" si="64"/>
        <v>5868</v>
      </c>
      <c r="G207" s="626"/>
      <c r="H207" s="166"/>
      <c r="I207" s="166">
        <f t="shared" si="65"/>
        <v>5868</v>
      </c>
      <c r="J207" s="167">
        <f t="shared" si="66"/>
        <v>2.0550283140561383E-3</v>
      </c>
      <c r="K207" s="458"/>
      <c r="L207" s="163"/>
      <c r="M207" s="163"/>
      <c r="O207" s="329">
        <f t="shared" si="67"/>
        <v>0.66342566421707183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'[66]Sch C'!D214</f>
        <v>0</v>
      </c>
      <c r="D208" s="480">
        <f>'[66]Sch C'!F214</f>
        <v>0</v>
      </c>
      <c r="E208" s="480">
        <f>+'[66]Sch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'[66]Sch C'!D215</f>
        <v>0</v>
      </c>
      <c r="D209" s="480">
        <f>'[66]Sch C'!F215</f>
        <v>0</v>
      </c>
      <c r="E209" s="480">
        <f>+'[66]Sch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'[66]Sch C'!D216</f>
        <v>3919.77</v>
      </c>
      <c r="D210" s="480">
        <f>'[66]Sch C'!F216</f>
        <v>0</v>
      </c>
      <c r="E210" s="480">
        <f>+'[66]Sch C'!H216</f>
        <v>0</v>
      </c>
      <c r="F210" s="166">
        <f t="shared" si="64"/>
        <v>3919.77</v>
      </c>
      <c r="G210" s="626"/>
      <c r="H210" s="166"/>
      <c r="I210" s="166">
        <f t="shared" si="65"/>
        <v>3919.77</v>
      </c>
      <c r="J210" s="167">
        <f t="shared" si="66"/>
        <v>1.3727400024859965E-3</v>
      </c>
      <c r="K210" s="458"/>
      <c r="L210" s="163"/>
      <c r="M210" s="163"/>
      <c r="O210" s="329">
        <f t="shared" si="67"/>
        <v>0.44316223855285469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69905.350000000006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69905.350000000006</v>
      </c>
      <c r="G211" s="166">
        <f t="shared" si="69"/>
        <v>-1009</v>
      </c>
      <c r="H211" s="166">
        <f t="shared" si="69"/>
        <v>0</v>
      </c>
      <c r="I211" s="166">
        <f t="shared" si="69"/>
        <v>68896.350000000006</v>
      </c>
      <c r="J211" s="167">
        <f t="shared" si="66"/>
        <v>2.412814416924363E-2</v>
      </c>
      <c r="K211" s="458"/>
      <c r="L211" s="163"/>
      <c r="M211" s="163"/>
      <c r="O211" s="329">
        <f>I211/I$233</f>
        <v>7.7892990390050887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3100978.959999999</v>
      </c>
      <c r="D213" s="480">
        <f t="shared" si="70"/>
        <v>-96477.89</v>
      </c>
      <c r="E213" s="480">
        <f t="shared" si="70"/>
        <v>-148058.96</v>
      </c>
      <c r="F213" s="166">
        <f t="shared" ref="F213:I213" si="71">SUM(F30:F211)/2</f>
        <v>2856442.1099999985</v>
      </c>
      <c r="G213" s="166">
        <f t="shared" si="71"/>
        <v>-27099</v>
      </c>
      <c r="H213" s="166">
        <f t="shared" si="71"/>
        <v>26092</v>
      </c>
      <c r="I213" s="166">
        <f t="shared" si="71"/>
        <v>2855435.1099999985</v>
      </c>
      <c r="J213" s="167">
        <f>IF($I$213=0,0,I213/$I$213)</f>
        <v>1</v>
      </c>
      <c r="K213" s="458"/>
      <c r="L213" s="176">
        <f>SUM(L30:L205)</f>
        <v>57174.47</v>
      </c>
      <c r="M213" s="176">
        <f>SUM(M30:M205)</f>
        <v>61131.649999999994</v>
      </c>
      <c r="O213" s="329">
        <f>I213/I$233</f>
        <v>322.83042509892579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'[66]Sch C'!D221</f>
        <v>3100978.85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0.10999999893829226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-801722.14999999898</v>
      </c>
      <c r="D220" s="480">
        <f t="shared" si="72"/>
        <v>685827.89</v>
      </c>
      <c r="E220" s="480">
        <f t="shared" si="72"/>
        <v>148058.96</v>
      </c>
      <c r="F220" s="166">
        <f t="shared" ref="F220:I220" si="73">F26-F213</f>
        <v>32164.700000001118</v>
      </c>
      <c r="G220" s="166">
        <f t="shared" si="73"/>
        <v>26092</v>
      </c>
      <c r="H220" s="166">
        <f t="shared" si="73"/>
        <v>-26092</v>
      </c>
      <c r="I220" s="166">
        <f t="shared" si="73"/>
        <v>32164.700000001118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'[66]Sch D'!C9</f>
        <v>6141</v>
      </c>
      <c r="D224" s="480"/>
      <c r="E224" s="480"/>
      <c r="F224" s="224">
        <f>C224+D224+E224</f>
        <v>6141</v>
      </c>
      <c r="G224" s="627"/>
      <c r="H224" s="224"/>
      <c r="I224" s="224">
        <f>F224+G224+H224</f>
        <v>6141</v>
      </c>
      <c r="J224" s="167">
        <f t="shared" ref="J224:J233" si="74">IF($I$233=0,0,I224/$I$233)</f>
        <v>0.69429055963821373</v>
      </c>
      <c r="K224" s="458"/>
      <c r="L224" s="163"/>
      <c r="M224" s="163"/>
    </row>
    <row r="225" spans="1:13">
      <c r="A225" s="158"/>
      <c r="B225" s="165" t="s">
        <v>201</v>
      </c>
      <c r="C225" s="504">
        <f>'[66]Sch D'!D9</f>
        <v>0</v>
      </c>
      <c r="D225" s="480"/>
      <c r="E225" s="480"/>
      <c r="F225" s="224">
        <f t="shared" ref="F225:F232" si="75">C225+D225+E225</f>
        <v>0</v>
      </c>
      <c r="G225" s="627"/>
      <c r="H225" s="22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'[66]Sch D'!E9</f>
        <v>1581</v>
      </c>
      <c r="D226" s="480"/>
      <c r="E226" s="480"/>
      <c r="F226" s="224">
        <f t="shared" si="75"/>
        <v>1581</v>
      </c>
      <c r="G226" s="627"/>
      <c r="H226" s="224"/>
      <c r="I226" s="224">
        <f t="shared" si="76"/>
        <v>1581</v>
      </c>
      <c r="J226" s="167">
        <f t="shared" si="74"/>
        <v>0.17874505370265686</v>
      </c>
      <c r="K226" s="458"/>
      <c r="L226" s="163"/>
      <c r="M226" s="163"/>
    </row>
    <row r="227" spans="1:13">
      <c r="A227" s="158"/>
      <c r="B227" s="194" t="s">
        <v>315</v>
      </c>
      <c r="C227" s="504">
        <f>'[66]Sch D'!F9</f>
        <v>90</v>
      </c>
      <c r="D227" s="480"/>
      <c r="E227" s="480"/>
      <c r="F227" s="224">
        <f t="shared" si="75"/>
        <v>90</v>
      </c>
      <c r="G227" s="627"/>
      <c r="H227" s="224"/>
      <c r="I227" s="224">
        <f t="shared" si="76"/>
        <v>90</v>
      </c>
      <c r="J227" s="167">
        <f t="shared" si="74"/>
        <v>1.0175240248728096E-2</v>
      </c>
      <c r="K227" s="458"/>
      <c r="L227" s="163"/>
      <c r="M227" s="163"/>
    </row>
    <row r="228" spans="1:13">
      <c r="A228" s="158"/>
      <c r="B228" s="165" t="s">
        <v>65</v>
      </c>
      <c r="C228" s="504">
        <f>'[66]Sch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'[66]Sch D'!H9</f>
        <v>411</v>
      </c>
      <c r="D229" s="480"/>
      <c r="E229" s="480"/>
      <c r="F229" s="224">
        <f t="shared" si="75"/>
        <v>411</v>
      </c>
      <c r="G229" s="627"/>
      <c r="H229" s="224"/>
      <c r="I229" s="224">
        <f t="shared" si="76"/>
        <v>411</v>
      </c>
      <c r="J229" s="167">
        <f t="shared" si="74"/>
        <v>4.6466930469191634E-2</v>
      </c>
      <c r="K229" s="458"/>
      <c r="L229" s="163"/>
      <c r="M229" s="163"/>
    </row>
    <row r="230" spans="1:13">
      <c r="A230" s="158"/>
      <c r="B230" s="165" t="s">
        <v>219</v>
      </c>
      <c r="C230" s="504">
        <f>'[66]Sch D'!I9</f>
        <v>269</v>
      </c>
      <c r="D230" s="480"/>
      <c r="E230" s="480"/>
      <c r="F230" s="224">
        <f t="shared" si="75"/>
        <v>269</v>
      </c>
      <c r="G230" s="627"/>
      <c r="H230" s="224"/>
      <c r="I230" s="224">
        <f t="shared" si="76"/>
        <v>269</v>
      </c>
      <c r="J230" s="167">
        <f t="shared" si="74"/>
        <v>3.0412662521198418E-2</v>
      </c>
      <c r="K230" s="458"/>
      <c r="L230" s="163"/>
      <c r="M230" s="163"/>
    </row>
    <row r="231" spans="1:13">
      <c r="A231" s="158"/>
      <c r="B231" s="165" t="s">
        <v>218</v>
      </c>
      <c r="C231" s="504">
        <f>'[66]Sch D'!J9</f>
        <v>353</v>
      </c>
      <c r="D231" s="480"/>
      <c r="E231" s="480"/>
      <c r="F231" s="224">
        <f t="shared" si="75"/>
        <v>353</v>
      </c>
      <c r="G231" s="627"/>
      <c r="H231" s="224"/>
      <c r="I231" s="224">
        <f t="shared" si="76"/>
        <v>353</v>
      </c>
      <c r="J231" s="167">
        <f>IF($I$233=0,0,I231/$I$233)</f>
        <v>3.9909553420011304E-2</v>
      </c>
      <c r="K231" s="458"/>
      <c r="L231" s="163"/>
      <c r="M231" s="163"/>
    </row>
    <row r="232" spans="1:13">
      <c r="A232" s="158"/>
      <c r="B232" s="165" t="s">
        <v>170</v>
      </c>
      <c r="C232" s="504">
        <f>'[66]Sch D'!K9</f>
        <v>0</v>
      </c>
      <c r="D232" s="480"/>
      <c r="E232" s="480"/>
      <c r="F232" s="224">
        <f t="shared" si="75"/>
        <v>0</v>
      </c>
      <c r="G232" s="627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8845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8845</v>
      </c>
      <c r="G233" s="226">
        <f t="shared" si="78"/>
        <v>0</v>
      </c>
      <c r="H233" s="226">
        <f t="shared" si="78"/>
        <v>0</v>
      </c>
      <c r="I233" s="226">
        <f t="shared" si="78"/>
        <v>8845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'[66]Sch D'!N22</f>
        <v>46</v>
      </c>
      <c r="D236" s="480"/>
      <c r="E236" s="480"/>
      <c r="F236" s="224">
        <f>C236+E236</f>
        <v>46</v>
      </c>
      <c r="G236" s="627"/>
      <c r="H236" s="166"/>
      <c r="I236" s="224">
        <f>F236+G236+H236</f>
        <v>46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'[66]Sch D'!N24</f>
        <v>46</v>
      </c>
      <c r="D237" s="480"/>
      <c r="E237" s="480"/>
      <c r="F237" s="224">
        <f>C237+E237</f>
        <v>46</v>
      </c>
      <c r="G237" s="627"/>
      <c r="H237" s="166"/>
      <c r="I237" s="224">
        <f>F237+G237+H237</f>
        <v>46</v>
      </c>
      <c r="J237" s="162"/>
      <c r="K237" s="460"/>
      <c r="L237" s="163"/>
      <c r="M237" s="163"/>
    </row>
    <row r="238" spans="1:13" ht="15.5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/>
      <c r="I238" s="224">
        <f>F238+G238+H238</f>
        <v>365</v>
      </c>
      <c r="J238" s="162"/>
      <c r="K238" s="460"/>
      <c r="L238" s="163"/>
      <c r="M238" s="163"/>
    </row>
    <row r="239" spans="1:13" ht="15.5">
      <c r="A239" s="158"/>
      <c r="B239" s="229"/>
      <c r="C239" s="550"/>
      <c r="D239" s="228"/>
      <c r="E239" s="228"/>
      <c r="F239" s="230"/>
      <c r="G239" s="228"/>
      <c r="H239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'[66]Sch D'!N28</f>
        <v>16790</v>
      </c>
      <c r="D240" s="427"/>
      <c r="E240" s="427"/>
      <c r="F240" s="223">
        <f>F236*F238</f>
        <v>16790</v>
      </c>
      <c r="G240"/>
      <c r="H240"/>
      <c r="I240" s="223">
        <f>I236*I238</f>
        <v>16790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'[66]Sch D'!N30</f>
        <v>0.52680166765932102</v>
      </c>
      <c r="D241" s="228"/>
      <c r="E241" s="228"/>
      <c r="F241" s="232">
        <f>F233/F240</f>
        <v>0.52680166765932102</v>
      </c>
      <c r="G241"/>
      <c r="H241"/>
      <c r="I241" s="232">
        <f>I233/I240</f>
        <v>0.52680166765932102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'[66]Sch D'!N32</f>
        <v>0.36575342465753424</v>
      </c>
      <c r="D242" s="228"/>
      <c r="E242" s="228"/>
      <c r="F242" s="232">
        <f>(F224+F225)/F240</f>
        <v>0.36575342465753424</v>
      </c>
      <c r="G242"/>
      <c r="H242"/>
      <c r="I242" s="232">
        <f>(I224+I225)/I240</f>
        <v>0.36575342465753424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'[66]Sch D'!N34</f>
        <v>0.69429055963821373</v>
      </c>
      <c r="D243" s="228"/>
      <c r="E243" s="228"/>
      <c r="F243" s="232">
        <f>(F242/F241)</f>
        <v>0.69429055963821373</v>
      </c>
      <c r="G243"/>
      <c r="H243"/>
      <c r="I243" s="232">
        <f>(I242/I241)</f>
        <v>0.69429055963821373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'[66]Sch B'!C90</f>
        <v>177.16330143540671</v>
      </c>
      <c r="K246" s="460"/>
    </row>
    <row r="247" spans="1:13">
      <c r="H247" s="140" t="s">
        <v>322</v>
      </c>
      <c r="I247" s="480">
        <f>'[66]Sch B'!E90</f>
        <v>182.96261780104709</v>
      </c>
      <c r="K247" s="460"/>
    </row>
    <row r="248" spans="1:13">
      <c r="H248" s="140" t="s">
        <v>323</v>
      </c>
      <c r="I248" s="480">
        <f>'[66]Sch B'!G90</f>
        <v>259.24274336283185</v>
      </c>
      <c r="K248" s="460"/>
    </row>
    <row r="249" spans="1:13">
      <c r="H249" s="140" t="s">
        <v>324</v>
      </c>
      <c r="I249" s="480">
        <f>'[66]Sch B'!I90</f>
        <v>225.08558823529413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E28CAB"/>
  </sheetPr>
  <dimension ref="A1:Q277"/>
  <sheetViews>
    <sheetView showGridLines="0" topLeftCell="A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370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'[67]Sch A Pg 1'!B39</f>
        <v>42917</v>
      </c>
      <c r="D3" s="620"/>
      <c r="E3" s="393"/>
      <c r="F3" s="144"/>
      <c r="G3" s="144"/>
      <c r="H3" s="399"/>
    </row>
    <row r="4" spans="1:16">
      <c r="A4" s="143"/>
      <c r="B4" s="145" t="s">
        <v>72</v>
      </c>
      <c r="C4" s="557">
        <f>'[67]Sch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39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 s="695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'[67]Sch B'!E10</f>
        <v>396673.64</v>
      </c>
      <c r="D12" s="480">
        <f>'[67]Sch B'!G10</f>
        <v>0</v>
      </c>
      <c r="E12" s="480"/>
      <c r="F12" s="166">
        <f>C12+D12+E12</f>
        <v>396673.64</v>
      </c>
      <c r="G12" s="626"/>
      <c r="H12" s="484"/>
      <c r="I12" s="166">
        <f>F12+G12+H12</f>
        <v>396673.64</v>
      </c>
      <c r="J12" s="167">
        <f>IF($I$26=0,0,I12/$I$26)</f>
        <v>6.9011983546874323E-2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'[67]Sch B'!E12</f>
        <v>0</v>
      </c>
      <c r="D13" s="480">
        <f>'[67]Sch B'!G12</f>
        <v>92910</v>
      </c>
      <c r="E13" s="480"/>
      <c r="F13" s="166">
        <f t="shared" ref="F13:F25" si="0">C13+D13+E13</f>
        <v>92910</v>
      </c>
      <c r="G13" s="626"/>
      <c r="H13" s="484"/>
      <c r="I13" s="166">
        <f t="shared" ref="I13:I25" si="1">F13+G13+H13</f>
        <v>92910</v>
      </c>
      <c r="J13" s="167">
        <f>IF($I$26=0,0,I13/$I$26)</f>
        <v>1.6164178167573959E-2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'[67]Sch B'!E13</f>
        <v>0.5999999999994543</v>
      </c>
      <c r="D14" s="480">
        <f>'[67]Sch B'!G13</f>
        <v>0</v>
      </c>
      <c r="E14" s="480"/>
      <c r="F14" s="166">
        <f t="shared" si="0"/>
        <v>0.5999999999994543</v>
      </c>
      <c r="G14" s="626"/>
      <c r="H14" s="484"/>
      <c r="I14" s="166">
        <f t="shared" si="1"/>
        <v>0.5999999999994543</v>
      </c>
      <c r="J14" s="167">
        <f>IF($I$26=0,0,I14/$I$26)</f>
        <v>1.0438603918346308E-7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'[67]Sch B'!E14</f>
        <v>0</v>
      </c>
      <c r="D15" s="480">
        <f>'[67]Sch B'!G14</f>
        <v>2821</v>
      </c>
      <c r="E15" s="480"/>
      <c r="F15" s="166">
        <f t="shared" si="0"/>
        <v>2821</v>
      </c>
      <c r="G15" s="626"/>
      <c r="H15" s="484"/>
      <c r="I15" s="166">
        <f t="shared" si="1"/>
        <v>2821</v>
      </c>
      <c r="J15" s="167">
        <f>IF($I$26=0,0,I15/$I$26)</f>
        <v>4.9078836089469534E-4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'[67]Sch B'!E15</f>
        <v>396674.24</v>
      </c>
      <c r="D16" s="480">
        <f>'[67]Sch B'!G15</f>
        <v>95731</v>
      </c>
      <c r="E16" s="480"/>
      <c r="F16" s="166">
        <f t="shared" si="0"/>
        <v>492405.24</v>
      </c>
      <c r="G16" s="626"/>
      <c r="H16" s="484"/>
      <c r="I16" s="166">
        <f>SUM(I12:I15)</f>
        <v>492405.24</v>
      </c>
      <c r="J16" s="167">
        <f t="shared" ref="J16:J26" si="2">IF($I$26=0,0,I16/$I$26)</f>
        <v>8.5667054461382147E-2</v>
      </c>
      <c r="K16" s="579"/>
      <c r="L16" s="333" t="s">
        <v>325</v>
      </c>
      <c r="M16" s="334">
        <f>I26</f>
        <v>5747895.0700000003</v>
      </c>
      <c r="O16" s="324">
        <f>IFERROR(I16/I224,0)</f>
        <v>240.08056557776695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'[67]Sch B'!E20</f>
        <v>0</v>
      </c>
      <c r="D17" s="480">
        <f>'[67]Sch B'!G20</f>
        <v>0</v>
      </c>
      <c r="E17" s="480"/>
      <c r="F17" s="166">
        <f t="shared" si="0"/>
        <v>0</v>
      </c>
      <c r="G17" s="626"/>
      <c r="H17" s="484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5750100.3000000007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'[67]Sch B'!E26</f>
        <v>2848105.01</v>
      </c>
      <c r="D18" s="480">
        <f>'[67]Sch B'!G26</f>
        <v>0</v>
      </c>
      <c r="E18" s="480"/>
      <c r="F18" s="166">
        <f t="shared" si="0"/>
        <v>2848105.01</v>
      </c>
      <c r="G18" s="626"/>
      <c r="H18" s="484"/>
      <c r="I18" s="166">
        <f t="shared" si="1"/>
        <v>2848105.01</v>
      </c>
      <c r="J18" s="167">
        <f t="shared" si="2"/>
        <v>0.49550400195457983</v>
      </c>
      <c r="K18" s="458"/>
      <c r="L18" s="335" t="s">
        <v>327</v>
      </c>
      <c r="M18" s="336">
        <f>I233</f>
        <v>12267</v>
      </c>
      <c r="O18" s="324">
        <f t="shared" si="3"/>
        <v>606.1087486699297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'[67]Sch B'!E32</f>
        <v>1420072.88</v>
      </c>
      <c r="D19" s="480">
        <f>'[67]Sch B'!G32</f>
        <v>0</v>
      </c>
      <c r="E19" s="480"/>
      <c r="F19" s="166">
        <f t="shared" si="0"/>
        <v>1420072.88</v>
      </c>
      <c r="G19" s="626"/>
      <c r="H19" s="484"/>
      <c r="I19" s="166">
        <f t="shared" si="1"/>
        <v>1420072.88</v>
      </c>
      <c r="J19" s="170">
        <f t="shared" si="2"/>
        <v>0.24705963882531345</v>
      </c>
      <c r="K19" s="464"/>
      <c r="L19" s="335" t="s">
        <v>328</v>
      </c>
      <c r="M19" s="336">
        <f>I236</f>
        <v>40</v>
      </c>
      <c r="O19" s="324">
        <f t="shared" si="3"/>
        <v>476.53452348993284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'[67]Sch B'!E37</f>
        <v>0</v>
      </c>
      <c r="D20" s="480">
        <f>'[67]Sch B'!G37</f>
        <v>0</v>
      </c>
      <c r="E20" s="480"/>
      <c r="F20" s="166">
        <f t="shared" si="0"/>
        <v>0</v>
      </c>
      <c r="G20" s="626"/>
      <c r="H20" s="484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14600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'[67]Sch B'!E42</f>
        <v>832529.14</v>
      </c>
      <c r="D21" s="480">
        <f>'[67]Sch B'!G42</f>
        <v>0</v>
      </c>
      <c r="E21" s="480"/>
      <c r="F21" s="166">
        <f t="shared" si="0"/>
        <v>832529.14</v>
      </c>
      <c r="G21" s="626"/>
      <c r="H21" s="484"/>
      <c r="I21" s="166">
        <f t="shared" si="1"/>
        <v>832529.14</v>
      </c>
      <c r="J21" s="167">
        <f t="shared" si="2"/>
        <v>0.14484069904915645</v>
      </c>
      <c r="K21" s="458"/>
      <c r="L21" s="337"/>
      <c r="M21" s="336"/>
      <c r="O21" s="324">
        <f t="shared" si="3"/>
        <v>448.56095905172413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'[67]Sch B'!E47</f>
        <v>0</v>
      </c>
      <c r="D22" s="480">
        <f>'[67]Sch B'!G47</f>
        <v>80196</v>
      </c>
      <c r="E22" s="480"/>
      <c r="F22" s="166">
        <f t="shared" si="0"/>
        <v>80196</v>
      </c>
      <c r="G22" s="626"/>
      <c r="H22" s="484"/>
      <c r="I22" s="166">
        <f t="shared" si="1"/>
        <v>80196</v>
      </c>
      <c r="J22" s="167">
        <f t="shared" si="2"/>
        <v>1.3952237997274365E-2</v>
      </c>
      <c r="K22" s="458"/>
      <c r="L22" s="335" t="s">
        <v>148</v>
      </c>
      <c r="M22" s="336">
        <f>L213</f>
        <v>90633.31</v>
      </c>
      <c r="O22" s="324">
        <f t="shared" si="3"/>
        <v>190.94285714285715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'[67]Sch B'!E52</f>
        <v>141117.81999999998</v>
      </c>
      <c r="D23" s="480">
        <f>'[67]Sch B'!G52</f>
        <v>-80196</v>
      </c>
      <c r="E23" s="480"/>
      <c r="F23" s="166">
        <f t="shared" si="0"/>
        <v>60921.819999999978</v>
      </c>
      <c r="G23" s="626"/>
      <c r="H23" s="484"/>
      <c r="I23" s="166">
        <f t="shared" si="1"/>
        <v>60921.819999999978</v>
      </c>
      <c r="J23" s="167">
        <f t="shared" si="2"/>
        <v>1.0598979149422778E-2</v>
      </c>
      <c r="K23" s="458"/>
      <c r="L23" s="338" t="s">
        <v>233</v>
      </c>
      <c r="M23" s="339">
        <f>M213</f>
        <v>96621.819999999992</v>
      </c>
      <c r="O23" s="324">
        <f t="shared" si="3"/>
        <v>262.59405172413784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'[67]Sch B'!E57</f>
        <v>0</v>
      </c>
      <c r="D24" s="480">
        <f>'[67]Sch B'!G57</f>
        <v>0</v>
      </c>
      <c r="E24" s="480"/>
      <c r="F24" s="166">
        <f t="shared" si="0"/>
        <v>0</v>
      </c>
      <c r="G24" s="626"/>
      <c r="H24" s="484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'[67]Sch B'!E72</f>
        <v>852306.98</v>
      </c>
      <c r="D25" s="480">
        <f>'[67]Sch B'!G72</f>
        <v>17850</v>
      </c>
      <c r="E25" s="480"/>
      <c r="F25" s="166">
        <f t="shared" si="0"/>
        <v>870156.98</v>
      </c>
      <c r="G25" s="626">
        <f>-851423-5069</f>
        <v>-856492</v>
      </c>
      <c r="H25" s="484"/>
      <c r="I25" s="166">
        <f t="shared" si="1"/>
        <v>13664.979999999981</v>
      </c>
      <c r="J25" s="167">
        <f t="shared" si="2"/>
        <v>2.3773885628708912E-3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6490806.0700000003</v>
      </c>
      <c r="D26" s="480">
        <f t="shared" ref="D26:F26" si="4">SUM(D16:D25)</f>
        <v>113581</v>
      </c>
      <c r="E26" s="480">
        <f t="shared" si="4"/>
        <v>0</v>
      </c>
      <c r="F26" s="166">
        <f t="shared" si="4"/>
        <v>6604387.0700000003</v>
      </c>
      <c r="G26" s="166">
        <f>SUM(G12:G25)</f>
        <v>-856492</v>
      </c>
      <c r="H26" s="166">
        <f>SUM(H12:H25)</f>
        <v>0</v>
      </c>
      <c r="I26" s="166">
        <f>SUM(I16:I25)</f>
        <v>5747895.0700000003</v>
      </c>
      <c r="J26" s="167">
        <f t="shared" si="2"/>
        <v>1</v>
      </c>
      <c r="K26" s="458"/>
      <c r="L26" s="163"/>
      <c r="M26" s="163"/>
      <c r="O26" s="324">
        <f>IFERROR(I26/I233,0)</f>
        <v>468.56566968288905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'[67]Sch C'!D10</f>
        <v>0</v>
      </c>
      <c r="D30" s="480">
        <f>'[67]Sch C'!F10</f>
        <v>102126.66</v>
      </c>
      <c r="E30" s="480">
        <f>+'[67]Sch C'!H10</f>
        <v>0</v>
      </c>
      <c r="F30" s="166">
        <f t="shared" ref="F30:F65" si="5">C30+D30+E30</f>
        <v>102126.66</v>
      </c>
      <c r="G30" s="626"/>
      <c r="H30" s="484"/>
      <c r="I30" s="166">
        <f t="shared" ref="I30:I65" si="6">F30+G30+H30</f>
        <v>102126.66</v>
      </c>
      <c r="J30" s="167">
        <f>IF($I$213=0,0,I30/$I$213)</f>
        <v>1.7760848449895734E-2</v>
      </c>
      <c r="K30" s="458"/>
      <c r="L30" s="176">
        <v>2080</v>
      </c>
      <c r="M30" s="176">
        <v>2080</v>
      </c>
      <c r="O30" s="324">
        <f>I30/I$233</f>
        <v>8.3253167033504525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'[67]Sch C'!D11</f>
        <v>0</v>
      </c>
      <c r="D31" s="480">
        <f>'[67]Sch C'!F11</f>
        <v>0</v>
      </c>
      <c r="E31" s="480">
        <f>+'[67]Sch C'!H11</f>
        <v>0</v>
      </c>
      <c r="F31" s="166">
        <f t="shared" si="5"/>
        <v>0</v>
      </c>
      <c r="G31" s="626"/>
      <c r="H31" s="484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'[67]Sch C'!D12</f>
        <v>110273.96</v>
      </c>
      <c r="D32" s="480">
        <f>'[67]Sch C'!F12</f>
        <v>0</v>
      </c>
      <c r="E32" s="480">
        <f>+'[67]Sch C'!H12</f>
        <v>0</v>
      </c>
      <c r="F32" s="166">
        <f t="shared" si="5"/>
        <v>110273.96</v>
      </c>
      <c r="G32" s="626"/>
      <c r="H32" s="484"/>
      <c r="I32" s="166">
        <f t="shared" si="6"/>
        <v>110273.96</v>
      </c>
      <c r="J32" s="167">
        <f t="shared" si="7"/>
        <v>1.9177745473413742E-2</v>
      </c>
      <c r="K32" s="458"/>
      <c r="L32" s="176">
        <v>5669.06</v>
      </c>
      <c r="M32" s="176">
        <v>6041</v>
      </c>
      <c r="O32" s="324">
        <f t="shared" si="8"/>
        <v>8.9894807206325922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'[67]Sch C'!D13</f>
        <v>28150.87</v>
      </c>
      <c r="D33" s="480">
        <f>'[67]Sch C'!F13</f>
        <v>10008.41</v>
      </c>
      <c r="E33" s="480">
        <f>+'[67]Sch C'!H13</f>
        <v>0</v>
      </c>
      <c r="F33" s="166">
        <f t="shared" si="5"/>
        <v>38159.279999999999</v>
      </c>
      <c r="G33" s="626"/>
      <c r="H33" s="484"/>
      <c r="I33" s="166">
        <f t="shared" si="6"/>
        <v>38159.279999999999</v>
      </c>
      <c r="J33" s="167">
        <f t="shared" si="7"/>
        <v>6.6362807619199261E-3</v>
      </c>
      <c r="K33" s="458"/>
      <c r="L33" s="163"/>
      <c r="M33" s="163"/>
      <c r="O33" s="324">
        <f t="shared" si="8"/>
        <v>3.1107263389581803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'[67]Sch C'!D14</f>
        <v>0</v>
      </c>
      <c r="D34" s="480">
        <f>'[67]Sch C'!F14</f>
        <v>0</v>
      </c>
      <c r="E34" s="480">
        <f>+'[67]Sch C'!H14</f>
        <v>0</v>
      </c>
      <c r="F34" s="166">
        <f t="shared" si="5"/>
        <v>0</v>
      </c>
      <c r="G34" s="626"/>
      <c r="H34" s="484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'[67]Sch C'!D15</f>
        <v>0</v>
      </c>
      <c r="D35" s="480">
        <f>'[67]Sch C'!F15</f>
        <v>0</v>
      </c>
      <c r="E35" s="480">
        <f>+'[67]Sch C'!H15</f>
        <v>0</v>
      </c>
      <c r="F35" s="166">
        <f t="shared" si="5"/>
        <v>0</v>
      </c>
      <c r="G35" s="626"/>
      <c r="H35" s="484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'[67]Sch C'!D16</f>
        <v>282474</v>
      </c>
      <c r="D36" s="480">
        <f>'[67]Sch C'!F16-20671</f>
        <v>0</v>
      </c>
      <c r="E36" s="480">
        <f>+'[67]Sch C'!H16</f>
        <v>55743</v>
      </c>
      <c r="F36" s="166">
        <f t="shared" si="5"/>
        <v>338217</v>
      </c>
      <c r="G36" s="626"/>
      <c r="H36" s="480">
        <v>20671</v>
      </c>
      <c r="I36" s="166">
        <f t="shared" si="6"/>
        <v>358888</v>
      </c>
      <c r="J36" s="167">
        <f t="shared" si="7"/>
        <v>6.2414215626812625E-2</v>
      </c>
      <c r="K36" s="458"/>
      <c r="L36" s="163"/>
      <c r="M36" s="163"/>
      <c r="O36" s="324">
        <f t="shared" si="8"/>
        <v>29.256378902747208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'[67]Sch C'!D17</f>
        <v>8700.36</v>
      </c>
      <c r="D37" s="480">
        <f>'[67]Sch C'!F17</f>
        <v>-8700</v>
      </c>
      <c r="E37" s="480">
        <f>+'[67]Sch C'!H17</f>
        <v>0</v>
      </c>
      <c r="F37" s="166">
        <f t="shared" si="5"/>
        <v>0.36000000000058208</v>
      </c>
      <c r="G37" s="626"/>
      <c r="H37" s="484"/>
      <c r="I37" s="166">
        <f t="shared" si="6"/>
        <v>0.36000000000058208</v>
      </c>
      <c r="J37" s="167">
        <f t="shared" si="7"/>
        <v>6.2607603557903508E-8</v>
      </c>
      <c r="K37" s="458"/>
      <c r="L37" s="163"/>
      <c r="M37" s="163"/>
      <c r="O37" s="324">
        <f t="shared" si="8"/>
        <v>2.9347028613400347E-5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'[67]Sch C'!D18</f>
        <v>8980.7000000000007</v>
      </c>
      <c r="D38" s="480">
        <f>'[67]Sch C'!F18</f>
        <v>0</v>
      </c>
      <c r="E38" s="480">
        <f>+'[67]Sch C'!H18</f>
        <v>0</v>
      </c>
      <c r="F38" s="166">
        <f t="shared" si="5"/>
        <v>8980.7000000000007</v>
      </c>
      <c r="G38" s="626"/>
      <c r="H38" s="484"/>
      <c r="I38" s="166">
        <f t="shared" si="6"/>
        <v>8980.7000000000007</v>
      </c>
      <c r="J38" s="167">
        <f t="shared" si="7"/>
        <v>1.5618336257543193E-3</v>
      </c>
      <c r="K38" s="458"/>
      <c r="L38" s="163"/>
      <c r="M38" s="163"/>
      <c r="O38" s="324">
        <f t="shared" si="8"/>
        <v>0.73210238852205112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'[67]Sch C'!D19</f>
        <v>13036.78</v>
      </c>
      <c r="D39" s="480">
        <f>'[67]Sch C'!F19</f>
        <v>0</v>
      </c>
      <c r="E39" s="480">
        <f>+'[67]Sch C'!H19</f>
        <v>0</v>
      </c>
      <c r="F39" s="166">
        <f t="shared" si="5"/>
        <v>13036.78</v>
      </c>
      <c r="G39" s="626"/>
      <c r="H39" s="484"/>
      <c r="I39" s="166">
        <f t="shared" si="6"/>
        <v>13036.78</v>
      </c>
      <c r="J39" s="167">
        <f t="shared" si="7"/>
        <v>2.2672265386396821E-3</v>
      </c>
      <c r="K39" s="458"/>
      <c r="L39" s="163"/>
      <c r="M39" s="163"/>
      <c r="O39" s="324">
        <f t="shared" si="8"/>
        <v>1.062752099127741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'[67]Sch C'!D20</f>
        <v>6720.16</v>
      </c>
      <c r="D40" s="480">
        <f>'[67]Sch C'!F20</f>
        <v>0</v>
      </c>
      <c r="E40" s="480">
        <f>+'[67]Sch C'!H20</f>
        <v>0</v>
      </c>
      <c r="F40" s="166">
        <f t="shared" si="5"/>
        <v>6720.16</v>
      </c>
      <c r="G40" s="626"/>
      <c r="H40" s="484"/>
      <c r="I40" s="166">
        <f t="shared" si="6"/>
        <v>6720.16</v>
      </c>
      <c r="J40" s="167">
        <f t="shared" si="7"/>
        <v>1.1687030920138905E-3</v>
      </c>
      <c r="K40" s="458"/>
      <c r="L40" s="163"/>
      <c r="M40" s="163"/>
      <c r="O40" s="324">
        <f t="shared" si="8"/>
        <v>0.5478242439064156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'[67]Sch C'!D21</f>
        <v>48489.65</v>
      </c>
      <c r="D41" s="480">
        <f>'[67]Sch C'!F21</f>
        <v>0</v>
      </c>
      <c r="E41" s="480">
        <f>+'[67]Sch C'!H21</f>
        <v>0</v>
      </c>
      <c r="F41" s="166">
        <f t="shared" si="5"/>
        <v>48489.65</v>
      </c>
      <c r="G41" s="626"/>
      <c r="H41" s="484"/>
      <c r="I41" s="166">
        <f t="shared" si="6"/>
        <v>48489.65</v>
      </c>
      <c r="J41" s="167">
        <f t="shared" si="7"/>
        <v>8.4328355107127426E-3</v>
      </c>
      <c r="K41" s="458"/>
      <c r="L41" s="163"/>
      <c r="M41" s="163"/>
      <c r="O41" s="324">
        <f t="shared" si="8"/>
        <v>3.9528531833374094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'[67]Sch C'!D22</f>
        <v>0</v>
      </c>
      <c r="D42" s="480">
        <f>'[67]Sch C'!F22</f>
        <v>0</v>
      </c>
      <c r="E42" s="480">
        <f>+'[67]Sch C'!H22</f>
        <v>0</v>
      </c>
      <c r="F42" s="166">
        <f t="shared" si="5"/>
        <v>0</v>
      </c>
      <c r="G42" s="626"/>
      <c r="H42" s="484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'[67]Sch C'!D23</f>
        <v>24165.48</v>
      </c>
      <c r="D43" s="480">
        <f>'[67]Sch C'!F23</f>
        <v>0</v>
      </c>
      <c r="E43" s="480">
        <f>+'[67]Sch C'!H23</f>
        <v>0</v>
      </c>
      <c r="F43" s="166">
        <f t="shared" si="5"/>
        <v>24165.48</v>
      </c>
      <c r="G43" s="626"/>
      <c r="H43" s="484"/>
      <c r="I43" s="166">
        <f t="shared" si="6"/>
        <v>24165.48</v>
      </c>
      <c r="J43" s="167">
        <f t="shared" si="7"/>
        <v>4.2026188656222215E-3</v>
      </c>
      <c r="K43" s="458"/>
      <c r="L43" s="163"/>
      <c r="M43" s="163"/>
      <c r="O43" s="324">
        <f t="shared" si="8"/>
        <v>1.9699584250427977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'[67]Sch C'!D24</f>
        <v>71695.11</v>
      </c>
      <c r="D44" s="480">
        <f>'[67]Sch C'!F24</f>
        <v>0</v>
      </c>
      <c r="E44" s="480">
        <f>+'[67]Sch C'!H24</f>
        <v>-3853.85</v>
      </c>
      <c r="F44" s="166">
        <f t="shared" si="5"/>
        <v>67841.259999999995</v>
      </c>
      <c r="G44" s="626"/>
      <c r="H44" s="484"/>
      <c r="I44" s="166">
        <f t="shared" si="6"/>
        <v>67841.259999999995</v>
      </c>
      <c r="J44" s="167">
        <f t="shared" si="7"/>
        <v>1.1798274197060525E-2</v>
      </c>
      <c r="K44" s="458"/>
      <c r="L44" s="163"/>
      <c r="M44" s="163"/>
      <c r="O44" s="324">
        <f t="shared" si="8"/>
        <v>5.5303872177386477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'[67]Sch C'!D25</f>
        <v>0</v>
      </c>
      <c r="D45" s="480">
        <f>'[67]Sch C'!F25</f>
        <v>0</v>
      </c>
      <c r="E45" s="480">
        <f>+'[67]Sch C'!H25</f>
        <v>0</v>
      </c>
      <c r="F45" s="166">
        <f t="shared" si="5"/>
        <v>0</v>
      </c>
      <c r="G45" s="626"/>
      <c r="H45" s="484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'[67]Sch C'!D26</f>
        <v>96235.76</v>
      </c>
      <c r="D46" s="480">
        <f>'[67]Sch C'!F26</f>
        <v>0</v>
      </c>
      <c r="E46" s="480">
        <f>+'[67]Sch C'!H26</f>
        <v>0</v>
      </c>
      <c r="F46" s="166">
        <f t="shared" si="5"/>
        <v>96235.76</v>
      </c>
      <c r="G46" s="626"/>
      <c r="H46" s="484"/>
      <c r="I46" s="166">
        <f t="shared" si="6"/>
        <v>96235.76</v>
      </c>
      <c r="J46" s="167">
        <f t="shared" si="7"/>
        <v>1.6736361972677239E-2</v>
      </c>
      <c r="K46" s="458"/>
      <c r="L46" s="163"/>
      <c r="M46" s="163"/>
      <c r="O46" s="324">
        <f t="shared" si="8"/>
        <v>7.8450933398548948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'[67]Sch C'!D27</f>
        <v>5069.46</v>
      </c>
      <c r="D47" s="480">
        <f>'[67]Sch C'!F27</f>
        <v>0</v>
      </c>
      <c r="E47" s="480">
        <f>+'[67]Sch C'!H27</f>
        <v>0</v>
      </c>
      <c r="F47" s="166">
        <f t="shared" si="5"/>
        <v>5069.46</v>
      </c>
      <c r="G47" s="626">
        <v>-5069</v>
      </c>
      <c r="H47" s="484"/>
      <c r="I47" s="166">
        <f t="shared" si="6"/>
        <v>0.46000000000003638</v>
      </c>
      <c r="J47" s="167">
        <f t="shared" si="7"/>
        <v>7.9998604546087018E-8</v>
      </c>
      <c r="K47" s="458"/>
      <c r="L47" s="163"/>
      <c r="M47" s="163"/>
      <c r="O47" s="324">
        <f t="shared" si="8"/>
        <v>3.7498981005953892E-5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'[67]Sch C'!D28</f>
        <v>0</v>
      </c>
      <c r="D48" s="480">
        <f>'[67]Sch C'!F28</f>
        <v>0</v>
      </c>
      <c r="E48" s="480">
        <f>+'[67]Sch C'!H28</f>
        <v>0</v>
      </c>
      <c r="F48" s="166">
        <f t="shared" si="5"/>
        <v>0</v>
      </c>
      <c r="G48" s="626"/>
      <c r="H48" s="484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'[67]Sch C'!D29</f>
        <v>0</v>
      </c>
      <c r="D49" s="480">
        <f>'[67]Sch C'!F29</f>
        <v>0</v>
      </c>
      <c r="E49" s="480">
        <f>+'[67]Sch C'!H29</f>
        <v>0</v>
      </c>
      <c r="F49" s="166">
        <f t="shared" si="5"/>
        <v>0</v>
      </c>
      <c r="G49" s="626"/>
      <c r="H49" s="484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'[67]Sch C'!D30</f>
        <v>0</v>
      </c>
      <c r="D50" s="480">
        <f>'[67]Sch C'!F30</f>
        <v>0</v>
      </c>
      <c r="E50" s="480">
        <f>+'[67]Sch C'!H30</f>
        <v>0</v>
      </c>
      <c r="F50" s="166">
        <f t="shared" si="5"/>
        <v>0</v>
      </c>
      <c r="G50" s="626"/>
      <c r="H50" s="484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'[67]Sch C'!D31</f>
        <v>148751.6</v>
      </c>
      <c r="D51" s="480">
        <f>'[67]Sch C'!F31</f>
        <v>0</v>
      </c>
      <c r="E51" s="480">
        <f>+'[67]Sch C'!H31</f>
        <v>0</v>
      </c>
      <c r="F51" s="166">
        <f t="shared" si="5"/>
        <v>148751.6</v>
      </c>
      <c r="G51" s="626">
        <f>37338-148113</f>
        <v>-110775</v>
      </c>
      <c r="H51" s="484"/>
      <c r="I51" s="166">
        <f t="shared" si="6"/>
        <v>37976.600000000006</v>
      </c>
      <c r="J51" s="167">
        <f t="shared" si="7"/>
        <v>6.6045108813145396E-3</v>
      </c>
      <c r="K51" s="458"/>
      <c r="L51" s="163"/>
      <c r="M51" s="163"/>
      <c r="O51" s="324">
        <f t="shared" si="8"/>
        <v>3.0958343523273828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'[67]Sch C'!D32</f>
        <v>663.91</v>
      </c>
      <c r="D52" s="480">
        <f>'[67]Sch C'!F32</f>
        <v>12436</v>
      </c>
      <c r="E52" s="480">
        <f>+'[67]Sch C'!H32</f>
        <v>0</v>
      </c>
      <c r="F52" s="166">
        <f t="shared" si="5"/>
        <v>13099.91</v>
      </c>
      <c r="G52" s="626"/>
      <c r="H52" s="484"/>
      <c r="I52" s="166">
        <f t="shared" si="6"/>
        <v>13099.91</v>
      </c>
      <c r="J52" s="167">
        <f t="shared" si="7"/>
        <v>2.2782054775635822E-3</v>
      </c>
      <c r="K52" s="458"/>
      <c r="L52" s="163"/>
      <c r="M52" s="163"/>
      <c r="O52" s="324">
        <f t="shared" si="8"/>
        <v>1.0678984266731881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'[67]Sch C'!D33</f>
        <v>0</v>
      </c>
      <c r="D53" s="480">
        <f>'[67]Sch C'!F33</f>
        <v>0</v>
      </c>
      <c r="E53" s="480">
        <f>+'[67]Sch C'!H33</f>
        <v>0</v>
      </c>
      <c r="F53" s="166">
        <f t="shared" si="5"/>
        <v>0</v>
      </c>
      <c r="G53" s="626"/>
      <c r="H53" s="484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'[67]Sch C'!D34</f>
        <v>3696.43</v>
      </c>
      <c r="D54" s="480">
        <f>'[67]Sch C'!F34</f>
        <v>0</v>
      </c>
      <c r="E54" s="480">
        <f>+'[67]Sch C'!H34</f>
        <v>0</v>
      </c>
      <c r="F54" s="166">
        <f t="shared" si="5"/>
        <v>3696.43</v>
      </c>
      <c r="G54" s="626"/>
      <c r="H54" s="484"/>
      <c r="I54" s="166">
        <f t="shared" si="6"/>
        <v>3696.43</v>
      </c>
      <c r="J54" s="167">
        <f t="shared" si="7"/>
        <v>6.4284617783101964E-4</v>
      </c>
      <c r="K54" s="458"/>
      <c r="L54" s="163"/>
      <c r="M54" s="163"/>
      <c r="O54" s="324">
        <f t="shared" si="8"/>
        <v>0.30133121382571126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'[67]Sch C'!D35</f>
        <v>0</v>
      </c>
      <c r="D55" s="480">
        <f>'[67]Sch C'!F35</f>
        <v>0</v>
      </c>
      <c r="E55" s="480">
        <f>+'[67]Sch C'!H35</f>
        <v>0</v>
      </c>
      <c r="F55" s="166">
        <f t="shared" si="5"/>
        <v>0</v>
      </c>
      <c r="G55" s="626"/>
      <c r="H55" s="484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'[67]Sch C'!D36</f>
        <v>0</v>
      </c>
      <c r="D56" s="480">
        <f>'[67]Sch C'!F36</f>
        <v>0</v>
      </c>
      <c r="E56" s="480">
        <f>+'[67]Sch C'!H36</f>
        <v>0</v>
      </c>
      <c r="F56" s="166">
        <f t="shared" si="5"/>
        <v>0</v>
      </c>
      <c r="G56" s="626"/>
      <c r="H56" s="484"/>
      <c r="I56" s="166">
        <f t="shared" si="6"/>
        <v>0</v>
      </c>
      <c r="J56" s="167">
        <f t="shared" si="7"/>
        <v>0</v>
      </c>
      <c r="K56" s="458"/>
      <c r="L56" s="176">
        <v>1648</v>
      </c>
      <c r="M56" s="176">
        <v>1664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'[67]Sch C'!D37</f>
        <v>0</v>
      </c>
      <c r="D57" s="480">
        <f>'[67]Sch C'!F37</f>
        <v>0</v>
      </c>
      <c r="E57" s="480">
        <f>+'[67]Sch C'!H37</f>
        <v>0</v>
      </c>
      <c r="F57" s="166">
        <f t="shared" si="5"/>
        <v>0</v>
      </c>
      <c r="G57" s="626"/>
      <c r="H57" s="484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'[67]Sch C'!D38</f>
        <v>0</v>
      </c>
      <c r="D58" s="480">
        <f>'[67]Sch C'!F38</f>
        <v>0</v>
      </c>
      <c r="E58" s="480">
        <f>+'[67]Sch C'!H38</f>
        <v>0</v>
      </c>
      <c r="F58" s="166">
        <f t="shared" si="5"/>
        <v>0</v>
      </c>
      <c r="G58" s="626"/>
      <c r="H58" s="484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'[67]Sch C'!D39</f>
        <v>6382.68</v>
      </c>
      <c r="D59" s="480">
        <f>'[67]Sch C'!F39</f>
        <v>0</v>
      </c>
      <c r="E59" s="480">
        <f>+'[67]Sch C'!H39</f>
        <v>0</v>
      </c>
      <c r="F59" s="166">
        <f t="shared" si="5"/>
        <v>6382.68</v>
      </c>
      <c r="G59" s="626"/>
      <c r="H59" s="484"/>
      <c r="I59" s="166">
        <f t="shared" si="6"/>
        <v>6382.68</v>
      </c>
      <c r="J59" s="167">
        <f t="shared" si="7"/>
        <v>1.1100119418786486E-3</v>
      </c>
      <c r="K59" s="458"/>
      <c r="L59" s="163"/>
      <c r="M59" s="163"/>
      <c r="O59" s="324">
        <f t="shared" si="8"/>
        <v>0.52031303497187575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'[67]Sch C'!D40</f>
        <v>6780.33</v>
      </c>
      <c r="D60" s="480">
        <f>'[67]Sch C'!F40</f>
        <v>0</v>
      </c>
      <c r="E60" s="480">
        <f>+'[67]Sch C'!H40</f>
        <v>0</v>
      </c>
      <c r="F60" s="166">
        <f t="shared" si="5"/>
        <v>6780.33</v>
      </c>
      <c r="G60" s="626"/>
      <c r="H60" s="484"/>
      <c r="I60" s="166">
        <f t="shared" si="6"/>
        <v>6780.33</v>
      </c>
      <c r="J60" s="167">
        <f t="shared" si="7"/>
        <v>1.1791672573085376E-3</v>
      </c>
      <c r="K60" s="458"/>
      <c r="L60" s="163"/>
      <c r="M60" s="163"/>
      <c r="O60" s="324">
        <f t="shared" si="8"/>
        <v>0.55272927366104185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'[67]Sch C'!D41</f>
        <v>43064.09</v>
      </c>
      <c r="D61" s="480">
        <f>'[67]Sch C'!F41</f>
        <v>0</v>
      </c>
      <c r="E61" s="480">
        <f>+'[67]Sch C'!H41</f>
        <v>-4096</v>
      </c>
      <c r="F61" s="166">
        <f t="shared" si="5"/>
        <v>38968.089999999997</v>
      </c>
      <c r="G61" s="626"/>
      <c r="H61" s="484"/>
      <c r="I61" s="166">
        <f t="shared" si="6"/>
        <v>38968.089999999997</v>
      </c>
      <c r="J61" s="167">
        <f t="shared" si="7"/>
        <v>6.7769409170132201E-3</v>
      </c>
      <c r="K61" s="458"/>
      <c r="L61" s="163"/>
      <c r="M61" s="163"/>
      <c r="O61" s="324">
        <f t="shared" si="8"/>
        <v>3.1766601451047523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'[67]Sch C'!D42</f>
        <v>1406.17</v>
      </c>
      <c r="D62" s="480">
        <f>'[67]Sch C'!F42</f>
        <v>0</v>
      </c>
      <c r="E62" s="480">
        <f>+'[67]Sch C'!H42</f>
        <v>0</v>
      </c>
      <c r="F62" s="166">
        <f t="shared" si="5"/>
        <v>1406.17</v>
      </c>
      <c r="G62" s="626"/>
      <c r="H62" s="484"/>
      <c r="I62" s="166">
        <f t="shared" si="6"/>
        <v>1406.17</v>
      </c>
      <c r="J62" s="167">
        <f t="shared" si="7"/>
        <v>2.4454703859687452E-4</v>
      </c>
      <c r="K62" s="458"/>
      <c r="L62" s="163"/>
      <c r="M62" s="163"/>
      <c r="O62" s="324">
        <f t="shared" si="8"/>
        <v>0.11463030895899569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'[67]Sch C'!D43</f>
        <v>0</v>
      </c>
      <c r="D63" s="480">
        <f>'[67]Sch C'!F43</f>
        <v>0</v>
      </c>
      <c r="E63" s="480">
        <f>+'[67]Sch C'!H43</f>
        <v>0</v>
      </c>
      <c r="F63" s="166">
        <f t="shared" si="5"/>
        <v>0</v>
      </c>
      <c r="G63" s="626"/>
      <c r="H63" s="484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'[67]Sch C'!D44</f>
        <v>0</v>
      </c>
      <c r="D64" s="480">
        <f>'[67]Sch C'!F44</f>
        <v>0</v>
      </c>
      <c r="E64" s="480">
        <f>+'[67]Sch C'!H44</f>
        <v>0</v>
      </c>
      <c r="F64" s="166">
        <f t="shared" si="5"/>
        <v>0</v>
      </c>
      <c r="G64" s="626"/>
      <c r="H64" s="484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'[67]Sch C'!D45</f>
        <v>114255.99</v>
      </c>
      <c r="D65" s="480">
        <f>'[67]Sch C'!F45</f>
        <v>-112135</v>
      </c>
      <c r="E65" s="480">
        <f>+'[67]Sch C'!H45</f>
        <v>0</v>
      </c>
      <c r="F65" s="166">
        <f t="shared" si="5"/>
        <v>2120.9900000000052</v>
      </c>
      <c r="G65" s="626">
        <v>24951</v>
      </c>
      <c r="H65" s="484"/>
      <c r="I65" s="166">
        <f t="shared" si="6"/>
        <v>27071.990000000005</v>
      </c>
      <c r="J65" s="167">
        <f t="shared" si="7"/>
        <v>4.7080900484466337E-3</v>
      </c>
      <c r="K65" s="458"/>
      <c r="L65" s="163"/>
      <c r="M65" s="163"/>
      <c r="O65" s="324">
        <f t="shared" si="8"/>
        <v>2.206895736528899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1028993.4900000001</v>
      </c>
      <c r="D66" s="480">
        <f t="shared" si="9"/>
        <v>3736.070000000007</v>
      </c>
      <c r="E66" s="480">
        <f t="shared" si="9"/>
        <v>47793.15</v>
      </c>
      <c r="F66" s="166">
        <f t="shared" ref="F66:I66" si="10">SUM(F30:F65)</f>
        <v>1080522.71</v>
      </c>
      <c r="G66" s="166">
        <f t="shared" si="10"/>
        <v>-90893</v>
      </c>
      <c r="H66" s="166">
        <f t="shared" si="10"/>
        <v>20671</v>
      </c>
      <c r="I66" s="166">
        <f t="shared" si="10"/>
        <v>1010300.7100000001</v>
      </c>
      <c r="J66" s="178">
        <f t="shared" si="7"/>
        <v>0.17570140646068383</v>
      </c>
      <c r="K66" s="465"/>
      <c r="L66" s="163"/>
      <c r="M66" s="163"/>
      <c r="O66" s="329">
        <f>I66/I$233</f>
        <v>82.359232901279867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'[67]Sch C'!D57</f>
        <v>487560</v>
      </c>
      <c r="D69" s="480">
        <f>'[67]Sch C'!F57</f>
        <v>0</v>
      </c>
      <c r="E69" s="480">
        <f>+'[67]Sch C'!H57</f>
        <v>-487560</v>
      </c>
      <c r="F69" s="166">
        <f>C69+D69+E69</f>
        <v>0</v>
      </c>
      <c r="G69" s="626"/>
      <c r="H69" s="484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'[67]Sch C'!D58</f>
        <v>26596.86</v>
      </c>
      <c r="D70" s="480">
        <f>'[67]Sch C'!F58</f>
        <v>0</v>
      </c>
      <c r="E70" s="480">
        <f>+'[67]Sch C'!H58</f>
        <v>199071.76</v>
      </c>
      <c r="F70" s="166">
        <f t="shared" ref="F70:F83" si="13">C70+D70+E70</f>
        <v>225668.62</v>
      </c>
      <c r="G70" s="626"/>
      <c r="H70" s="484"/>
      <c r="I70" s="166">
        <f t="shared" ref="I70:I83" si="14">F70+G70+H70</f>
        <v>225668.62</v>
      </c>
      <c r="J70" s="167">
        <f t="shared" si="11"/>
        <v>3.9246031934434253E-2</v>
      </c>
      <c r="K70" s="458"/>
      <c r="L70" s="182"/>
      <c r="M70" s="163"/>
      <c r="O70" s="324">
        <f t="shared" si="12"/>
        <v>18.396398467432949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'[67]Sch C'!D59</f>
        <v>0</v>
      </c>
      <c r="D71" s="480">
        <f>'[67]Sch C'!F59</f>
        <v>0</v>
      </c>
      <c r="E71" s="480">
        <f>+'[67]Sch C'!H59</f>
        <v>185371.27</v>
      </c>
      <c r="F71" s="166">
        <f t="shared" si="13"/>
        <v>185371.27</v>
      </c>
      <c r="G71" s="626"/>
      <c r="H71" s="484"/>
      <c r="I71" s="166">
        <f t="shared" si="14"/>
        <v>185371.27</v>
      </c>
      <c r="J71" s="167">
        <f t="shared" si="11"/>
        <v>3.2237919397684237E-2</v>
      </c>
      <c r="K71" s="458"/>
      <c r="L71" s="182"/>
      <c r="M71" s="163"/>
      <c r="O71" s="324">
        <f t="shared" si="12"/>
        <v>15.111377679954348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'[67]Sch C'!D60</f>
        <v>0</v>
      </c>
      <c r="D72" s="480">
        <f>'[67]Sch C'!F60</f>
        <v>0</v>
      </c>
      <c r="E72" s="480">
        <f>+'[67]Sch C'!H60</f>
        <v>0</v>
      </c>
      <c r="F72" s="166">
        <f t="shared" si="13"/>
        <v>0</v>
      </c>
      <c r="G72" s="626"/>
      <c r="H72" s="484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'[67]Sch C'!D61</f>
        <v>12435.88</v>
      </c>
      <c r="D73" s="480">
        <f>'[67]Sch C'!F61</f>
        <v>-12436</v>
      </c>
      <c r="E73" s="480">
        <f>+'[67]Sch C'!H61</f>
        <v>0</v>
      </c>
      <c r="F73" s="166">
        <f t="shared" si="13"/>
        <v>-0.12000000000080036</v>
      </c>
      <c r="G73" s="626"/>
      <c r="H73" s="484"/>
      <c r="I73" s="166">
        <f t="shared" si="14"/>
        <v>-0.12000000000080036</v>
      </c>
      <c r="J73" s="167">
        <f t="shared" si="11"/>
        <v>-2.0869201186073284E-8</v>
      </c>
      <c r="K73" s="458"/>
      <c r="L73" s="185"/>
      <c r="M73" s="163"/>
      <c r="O73" s="324">
        <f t="shared" si="12"/>
        <v>-9.7823428711828775E-6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'[67]Sch C'!D62</f>
        <v>12185.52</v>
      </c>
      <c r="D74" s="480">
        <f>'[67]Sch C'!F62</f>
        <v>0</v>
      </c>
      <c r="E74" s="480">
        <f>+'[67]Sch C'!H62</f>
        <v>0</v>
      </c>
      <c r="F74" s="166">
        <f t="shared" si="13"/>
        <v>12185.52</v>
      </c>
      <c r="G74" s="626"/>
      <c r="H74" s="484"/>
      <c r="I74" s="166">
        <f t="shared" si="14"/>
        <v>12185.52</v>
      </c>
      <c r="J74" s="167">
        <f t="shared" si="11"/>
        <v>2.1191839036268636E-3</v>
      </c>
      <c r="K74" s="458"/>
      <c r="L74" s="187"/>
      <c r="M74" s="163"/>
      <c r="O74" s="324">
        <f t="shared" si="12"/>
        <v>0.99335778919051121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'[67]Sch C'!D63</f>
        <v>0</v>
      </c>
      <c r="D75" s="480">
        <f>'[67]Sch C'!F63</f>
        <v>0</v>
      </c>
      <c r="E75" s="480">
        <f>+'[67]Sch C'!H63</f>
        <v>0</v>
      </c>
      <c r="F75" s="166">
        <f t="shared" si="13"/>
        <v>0</v>
      </c>
      <c r="G75" s="626"/>
      <c r="H75" s="484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'[67]Sch C'!D64</f>
        <v>0</v>
      </c>
      <c r="D76" s="480">
        <f>'[67]Sch C'!F64</f>
        <v>0</v>
      </c>
      <c r="E76" s="480">
        <f>+'[67]Sch C'!H64</f>
        <v>0</v>
      </c>
      <c r="F76" s="166">
        <f t="shared" si="13"/>
        <v>0</v>
      </c>
      <c r="G76" s="626"/>
      <c r="H76" s="484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'[67]Sch C'!D65</f>
        <v>0</v>
      </c>
      <c r="D77" s="480">
        <f>'[67]Sch C'!F65</f>
        <v>0</v>
      </c>
      <c r="E77" s="480">
        <f>+'[67]Sch C'!H65</f>
        <v>0</v>
      </c>
      <c r="F77" s="166">
        <f t="shared" si="13"/>
        <v>0</v>
      </c>
      <c r="G77" s="626"/>
      <c r="H77" s="484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'[67]Sch C'!D66</f>
        <v>5814.89</v>
      </c>
      <c r="D78" s="480">
        <f>'[67]Sch C'!F66</f>
        <v>0</v>
      </c>
      <c r="E78" s="480">
        <f>+'[67]Sch C'!H66</f>
        <v>0</v>
      </c>
      <c r="F78" s="166">
        <f t="shared" si="13"/>
        <v>5814.89</v>
      </c>
      <c r="G78" s="626"/>
      <c r="H78" s="484"/>
      <c r="I78" s="166">
        <f t="shared" si="14"/>
        <v>5814.89</v>
      </c>
      <c r="J78" s="167">
        <f t="shared" si="11"/>
        <v>1.0112675773673026E-3</v>
      </c>
      <c r="K78" s="458"/>
      <c r="L78" s="187"/>
      <c r="M78" s="163"/>
      <c r="O78" s="324">
        <f t="shared" si="12"/>
        <v>0.47402706448194343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'[67]Sch C'!D67</f>
        <v>35005.480000000003</v>
      </c>
      <c r="D79" s="480">
        <f>'[67]Sch C'!F67</f>
        <v>0</v>
      </c>
      <c r="E79" s="480">
        <f>+'[67]Sch C'!H67</f>
        <v>0</v>
      </c>
      <c r="F79" s="166">
        <f t="shared" si="13"/>
        <v>35005.480000000003</v>
      </c>
      <c r="G79" s="626"/>
      <c r="H79" s="484"/>
      <c r="I79" s="166">
        <f t="shared" si="14"/>
        <v>35005.480000000003</v>
      </c>
      <c r="J79" s="167">
        <f t="shared" si="11"/>
        <v>6.0878033727516023E-3</v>
      </c>
      <c r="K79" s="458"/>
      <c r="L79" s="187"/>
      <c r="M79" s="163"/>
      <c r="O79" s="324">
        <f t="shared" si="12"/>
        <v>2.853630064400424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'[67]Sch C'!D68</f>
        <v>0</v>
      </c>
      <c r="D80" s="480">
        <f>'[67]Sch C'!F68</f>
        <v>0</v>
      </c>
      <c r="E80" s="480">
        <f>+'[67]Sch C'!H68</f>
        <v>0</v>
      </c>
      <c r="F80" s="166">
        <f t="shared" si="13"/>
        <v>0</v>
      </c>
      <c r="G80" s="626"/>
      <c r="H80" s="484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'[67]Sch C'!D69</f>
        <v>0</v>
      </c>
      <c r="D81" s="480">
        <f>'[67]Sch C'!F69</f>
        <v>0</v>
      </c>
      <c r="E81" s="480">
        <f>+'[67]Sch C'!H69</f>
        <v>0</v>
      </c>
      <c r="F81" s="166">
        <f t="shared" si="13"/>
        <v>0</v>
      </c>
      <c r="G81" s="626"/>
      <c r="H81" s="484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'[67]Sch C'!D70</f>
        <v>0</v>
      </c>
      <c r="D82" s="480">
        <f>'[67]Sch C'!F70</f>
        <v>0</v>
      </c>
      <c r="E82" s="480">
        <f>+'[67]Sch C'!H70</f>
        <v>0</v>
      </c>
      <c r="F82" s="166">
        <f t="shared" si="13"/>
        <v>0</v>
      </c>
      <c r="G82" s="626"/>
      <c r="H82" s="484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'[67]Sch C'!D71</f>
        <v>0</v>
      </c>
      <c r="D83" s="480">
        <f>'[67]Sch C'!F71</f>
        <v>0</v>
      </c>
      <c r="E83" s="480">
        <f>+'[67]Sch C'!H71</f>
        <v>0</v>
      </c>
      <c r="F83" s="166">
        <f t="shared" si="13"/>
        <v>0</v>
      </c>
      <c r="G83" s="626"/>
      <c r="H83" s="484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579598.63</v>
      </c>
      <c r="D84" s="480">
        <f t="shared" si="15"/>
        <v>-12436</v>
      </c>
      <c r="E84" s="480">
        <f t="shared" si="15"/>
        <v>-103116.97</v>
      </c>
      <c r="F84" s="166">
        <f t="shared" ref="F84:I84" si="16">SUM(F69:F83)</f>
        <v>464045.66000000003</v>
      </c>
      <c r="G84" s="166">
        <f t="shared" si="16"/>
        <v>0</v>
      </c>
      <c r="H84" s="166">
        <f t="shared" si="16"/>
        <v>0</v>
      </c>
      <c r="I84" s="166">
        <f t="shared" si="16"/>
        <v>464045.66000000003</v>
      </c>
      <c r="J84" s="167">
        <f t="shared" si="11"/>
        <v>8.070218531666308E-2</v>
      </c>
      <c r="K84" s="458"/>
      <c r="L84" s="187"/>
      <c r="M84" s="163"/>
      <c r="O84" s="324">
        <f t="shared" si="12"/>
        <v>37.828781283117308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'[67]Sch C'!D75</f>
        <v>38038.86</v>
      </c>
      <c r="D87" s="480">
        <f>'[67]Sch C'!F75</f>
        <v>0</v>
      </c>
      <c r="E87" s="480">
        <f>+'[67]Sch C'!H75</f>
        <v>0</v>
      </c>
      <c r="F87" s="166">
        <f t="shared" ref="F87:F97" si="17">C87+D87+E87</f>
        <v>38038.86</v>
      </c>
      <c r="G87" s="626"/>
      <c r="H87" s="484"/>
      <c r="I87" s="166">
        <f t="shared" ref="I87:I97" si="18">F87+G87+H87</f>
        <v>38038.86</v>
      </c>
      <c r="J87" s="167">
        <f t="shared" ref="J87:J98" si="19">IF($I$213=0,0,I87/$I$213)</f>
        <v>6.6153385185298416E-3</v>
      </c>
      <c r="K87" s="458"/>
      <c r="L87" s="176">
        <v>1734</v>
      </c>
      <c r="M87" s="176">
        <v>1961.01</v>
      </c>
      <c r="O87" s="324">
        <f t="shared" ref="O87:O97" si="20">I87/I$233</f>
        <v>3.1009097578870142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'[67]Sch C'!D76</f>
        <v>8011.56</v>
      </c>
      <c r="D88" s="480">
        <f>'[67]Sch C'!F76</f>
        <v>0</v>
      </c>
      <c r="E88" s="480">
        <f>+'[67]Sch C'!H76</f>
        <v>0</v>
      </c>
      <c r="F88" s="166">
        <f t="shared" si="17"/>
        <v>8011.56</v>
      </c>
      <c r="G88" s="626">
        <v>-912</v>
      </c>
      <c r="H88" s="484"/>
      <c r="I88" s="166">
        <f t="shared" si="18"/>
        <v>7099.56</v>
      </c>
      <c r="J88" s="167">
        <f t="shared" si="19"/>
        <v>1.2346845497634188E-3</v>
      </c>
      <c r="K88" s="458"/>
      <c r="L88" s="163"/>
      <c r="M88" s="163"/>
      <c r="O88" s="324">
        <f t="shared" si="20"/>
        <v>0.57875275128393255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'[67]Sch C'!D77</f>
        <v>22072.92</v>
      </c>
      <c r="D89" s="480">
        <f>'[67]Sch C'!F77</f>
        <v>0</v>
      </c>
      <c r="E89" s="480">
        <f>+'[67]Sch C'!H77</f>
        <v>0</v>
      </c>
      <c r="F89" s="166">
        <f t="shared" si="17"/>
        <v>22072.92</v>
      </c>
      <c r="G89" s="626"/>
      <c r="H89" s="484"/>
      <c r="I89" s="166">
        <f t="shared" si="18"/>
        <v>22072.92</v>
      </c>
      <c r="J89" s="167">
        <f t="shared" si="19"/>
        <v>3.8387017353419027E-3</v>
      </c>
      <c r="K89" s="458"/>
      <c r="L89" s="163"/>
      <c r="M89" s="163"/>
      <c r="O89" s="324">
        <f t="shared" si="20"/>
        <v>1.7993739300562483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'[67]Sch C'!D78</f>
        <v>0</v>
      </c>
      <c r="D90" s="480">
        <f>'[67]Sch C'!F78</f>
        <v>0</v>
      </c>
      <c r="E90" s="480">
        <f>+'[67]Sch C'!H78</f>
        <v>0</v>
      </c>
      <c r="F90" s="166">
        <f t="shared" si="17"/>
        <v>0</v>
      </c>
      <c r="G90" s="626"/>
      <c r="H90" s="484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'[67]Sch C'!D79</f>
        <v>8250.2999999999993</v>
      </c>
      <c r="D91" s="480">
        <f>'[67]Sch C'!F79</f>
        <v>0</v>
      </c>
      <c r="E91" s="480">
        <f>+'[67]Sch C'!H79</f>
        <v>0</v>
      </c>
      <c r="F91" s="166">
        <f t="shared" si="17"/>
        <v>8250.2999999999993</v>
      </c>
      <c r="G91" s="626"/>
      <c r="H91" s="484"/>
      <c r="I91" s="166">
        <f t="shared" si="18"/>
        <v>8250.2999999999993</v>
      </c>
      <c r="J91" s="167">
        <f t="shared" si="19"/>
        <v>1.4348097545359335E-3</v>
      </c>
      <c r="K91" s="458"/>
      <c r="L91" s="163"/>
      <c r="M91" s="163"/>
      <c r="O91" s="324">
        <f t="shared" si="20"/>
        <v>0.67256052824651502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'[67]Sch C'!D80</f>
        <v>9010.2000000000007</v>
      </c>
      <c r="D92" s="480">
        <f>'[67]Sch C'!F80</f>
        <v>0</v>
      </c>
      <c r="E92" s="480">
        <f>+'[67]Sch C'!H80</f>
        <v>0</v>
      </c>
      <c r="F92" s="166">
        <f t="shared" si="17"/>
        <v>9010.2000000000007</v>
      </c>
      <c r="G92" s="626"/>
      <c r="H92" s="484"/>
      <c r="I92" s="166">
        <f t="shared" si="18"/>
        <v>9010.2000000000007</v>
      </c>
      <c r="J92" s="167">
        <f t="shared" si="19"/>
        <v>1.5669639710458616E-3</v>
      </c>
      <c r="K92" s="458"/>
      <c r="L92" s="163"/>
      <c r="M92" s="163"/>
      <c r="O92" s="324">
        <f t="shared" si="20"/>
        <v>0.73450721447786749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'[67]Sch C'!D81</f>
        <v>2072.79</v>
      </c>
      <c r="D93" s="480">
        <f>'[67]Sch C'!F81</f>
        <v>0</v>
      </c>
      <c r="E93" s="480">
        <f>+'[67]Sch C'!H81</f>
        <v>0</v>
      </c>
      <c r="F93" s="166">
        <f t="shared" si="17"/>
        <v>2072.79</v>
      </c>
      <c r="G93" s="626"/>
      <c r="H93" s="484"/>
      <c r="I93" s="166">
        <f t="shared" si="18"/>
        <v>2072.79</v>
      </c>
      <c r="J93" s="167">
        <f t="shared" si="19"/>
        <v>3.6047892938493605E-4</v>
      </c>
      <c r="K93" s="458"/>
      <c r="L93" s="163"/>
      <c r="M93" s="163"/>
      <c r="O93" s="324">
        <f t="shared" si="20"/>
        <v>0.16897285399853265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'[67]Sch C'!D82</f>
        <v>38395.17</v>
      </c>
      <c r="D94" s="480">
        <f>'[67]Sch C'!F82</f>
        <v>0</v>
      </c>
      <c r="E94" s="480">
        <f>+'[67]Sch C'!H82</f>
        <v>0</v>
      </c>
      <c r="F94" s="166">
        <f t="shared" si="17"/>
        <v>38395.17</v>
      </c>
      <c r="G94" s="626"/>
      <c r="H94" s="484"/>
      <c r="I94" s="166">
        <f t="shared" si="18"/>
        <v>38395.17</v>
      </c>
      <c r="J94" s="167">
        <f t="shared" si="19"/>
        <v>6.6773043941511755E-3</v>
      </c>
      <c r="K94" s="458"/>
      <c r="L94" s="163"/>
      <c r="M94" s="163"/>
      <c r="O94" s="324">
        <f t="shared" si="20"/>
        <v>3.1299559794570797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'[67]Sch C'!D83</f>
        <v>0</v>
      </c>
      <c r="D95" s="480">
        <f>'[67]Sch C'!F83</f>
        <v>0</v>
      </c>
      <c r="E95" s="480">
        <f>+'[67]Sch C'!H83</f>
        <v>0</v>
      </c>
      <c r="F95" s="166">
        <f t="shared" si="17"/>
        <v>0</v>
      </c>
      <c r="G95" s="626"/>
      <c r="H95" s="484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'[67]Sch C'!D84</f>
        <v>115226.64</v>
      </c>
      <c r="D96" s="480">
        <f>'[67]Sch C'!F84</f>
        <v>0</v>
      </c>
      <c r="E96" s="480">
        <f>+'[67]Sch C'!H84</f>
        <v>0</v>
      </c>
      <c r="F96" s="166">
        <f t="shared" si="17"/>
        <v>115226.64</v>
      </c>
      <c r="G96" s="626"/>
      <c r="H96" s="484"/>
      <c r="I96" s="166">
        <f t="shared" si="18"/>
        <v>115226.64</v>
      </c>
      <c r="J96" s="167">
        <f t="shared" si="19"/>
        <v>2.0039066101160005E-2</v>
      </c>
      <c r="K96" s="458"/>
      <c r="L96" s="163"/>
      <c r="M96" s="163"/>
      <c r="O96" s="324">
        <f t="shared" si="20"/>
        <v>9.3932208363903147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'[67]Sch C'!D85</f>
        <v>969.21</v>
      </c>
      <c r="D97" s="480">
        <f>'[67]Sch C'!F85</f>
        <v>0</v>
      </c>
      <c r="E97" s="480">
        <f>+'[67]Sch C'!H85</f>
        <v>0</v>
      </c>
      <c r="F97" s="166">
        <f t="shared" si="17"/>
        <v>969.21</v>
      </c>
      <c r="G97" s="626"/>
      <c r="H97" s="484"/>
      <c r="I97" s="166">
        <f t="shared" si="18"/>
        <v>969.21</v>
      </c>
      <c r="J97" s="167">
        <f t="shared" si="19"/>
        <v>1.685553206784932E-4</v>
      </c>
      <c r="K97" s="458"/>
      <c r="L97" s="163"/>
      <c r="M97" s="163"/>
      <c r="O97" s="324">
        <f t="shared" si="20"/>
        <v>7.9009537784299338E-2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242047.65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242047.65</v>
      </c>
      <c r="G98" s="166">
        <f t="shared" si="22"/>
        <v>-912</v>
      </c>
      <c r="H98" s="166">
        <f t="shared" si="22"/>
        <v>0</v>
      </c>
      <c r="I98" s="166">
        <f t="shared" si="22"/>
        <v>241135.65</v>
      </c>
      <c r="J98" s="167">
        <f t="shared" si="19"/>
        <v>4.1935903274591568E-2</v>
      </c>
      <c r="K98" s="458"/>
      <c r="L98" s="163"/>
      <c r="M98" s="163"/>
      <c r="O98" s="329">
        <f>I98/I$233</f>
        <v>19.657263389581804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'[67]Sch C'!D89</f>
        <v>172229.03</v>
      </c>
      <c r="D101" s="480">
        <f>'[67]Sch C'!F89</f>
        <v>0</v>
      </c>
      <c r="E101" s="480">
        <f>+'[67]Sch C'!H89</f>
        <v>0</v>
      </c>
      <c r="F101" s="166">
        <f t="shared" ref="F101:F106" si="23">C101+D101+E101</f>
        <v>172229.03</v>
      </c>
      <c r="G101" s="626"/>
      <c r="H101" s="484"/>
      <c r="I101" s="166">
        <f t="shared" ref="I101:I106" si="24">F101+G101+H101</f>
        <v>172229.03</v>
      </c>
      <c r="J101" s="167">
        <f t="shared" ref="J101:J107" si="25">IF($I$213=0,0,I101/$I$213)</f>
        <v>2.9952352309402321E-2</v>
      </c>
      <c r="K101" s="458"/>
      <c r="L101" s="176">
        <v>11040</v>
      </c>
      <c r="M101" s="176">
        <v>11923.84</v>
      </c>
      <c r="O101" s="329">
        <f t="shared" ref="O101:O106" si="26">I101/I$233</f>
        <v>14.040028531833373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'[67]Sch C'!D90</f>
        <v>38811.65</v>
      </c>
      <c r="D102" s="480">
        <f>'[67]Sch C'!F90</f>
        <v>0</v>
      </c>
      <c r="E102" s="480">
        <f>+'[67]Sch C'!H90</f>
        <v>0</v>
      </c>
      <c r="F102" s="166">
        <f t="shared" si="23"/>
        <v>38811.65</v>
      </c>
      <c r="G102" s="626">
        <v>-3670</v>
      </c>
      <c r="H102" s="484"/>
      <c r="I102" s="166">
        <f t="shared" si="24"/>
        <v>35141.65</v>
      </c>
      <c r="J102" s="167">
        <f t="shared" si="25"/>
        <v>6.1114846987973407E-3</v>
      </c>
      <c r="K102" s="458"/>
      <c r="L102" s="163"/>
      <c r="M102" s="163"/>
      <c r="O102" s="329">
        <f t="shared" si="26"/>
        <v>2.8647305779734249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'[67]Sch C'!D91</f>
        <v>25332.87</v>
      </c>
      <c r="D103" s="480">
        <f>'[67]Sch C'!F91</f>
        <v>0</v>
      </c>
      <c r="E103" s="480">
        <f>+'[67]Sch C'!H91</f>
        <v>0</v>
      </c>
      <c r="F103" s="166">
        <f t="shared" si="23"/>
        <v>25332.87</v>
      </c>
      <c r="G103" s="626"/>
      <c r="H103" s="484"/>
      <c r="I103" s="166">
        <f t="shared" si="24"/>
        <v>25332.87</v>
      </c>
      <c r="J103" s="167">
        <f t="shared" si="25"/>
        <v>4.4056396720592852E-3</v>
      </c>
      <c r="K103" s="458"/>
      <c r="L103" s="163"/>
      <c r="M103" s="163"/>
      <c r="O103" s="329">
        <f t="shared" si="26"/>
        <v>2.0651235020787477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'[67]Sch C'!D92</f>
        <v>132157.9</v>
      </c>
      <c r="D104" s="480">
        <f>'[67]Sch C'!F92</f>
        <v>0</v>
      </c>
      <c r="E104" s="480">
        <f>+'[67]Sch C'!H92</f>
        <v>0</v>
      </c>
      <c r="F104" s="166">
        <f t="shared" si="23"/>
        <v>132157.9</v>
      </c>
      <c r="G104" s="626"/>
      <c r="H104" s="484"/>
      <c r="I104" s="166">
        <f t="shared" si="24"/>
        <v>132157.9</v>
      </c>
      <c r="J104" s="167">
        <f t="shared" si="25"/>
        <v>2.2983581695087994E-2</v>
      </c>
      <c r="K104" s="458"/>
      <c r="L104" s="163"/>
      <c r="M104" s="163"/>
      <c r="O104" s="329">
        <f t="shared" si="26"/>
        <v>10.773449091057309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'[67]Sch C'!D93</f>
        <v>16885.68</v>
      </c>
      <c r="D105" s="480">
        <f>'[67]Sch C'!F93</f>
        <v>0</v>
      </c>
      <c r="E105" s="480">
        <f>+'[67]Sch C'!H93</f>
        <v>0</v>
      </c>
      <c r="F105" s="166">
        <f t="shared" si="23"/>
        <v>16885.68</v>
      </c>
      <c r="G105" s="626"/>
      <c r="H105" s="484"/>
      <c r="I105" s="166">
        <f t="shared" si="24"/>
        <v>16885.68</v>
      </c>
      <c r="J105" s="167">
        <f t="shared" si="25"/>
        <v>2.93658877567753E-3</v>
      </c>
      <c r="K105" s="458"/>
      <c r="L105" s="163"/>
      <c r="M105" s="163"/>
      <c r="O105" s="329">
        <f t="shared" si="26"/>
        <v>1.3765125947664465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'[67]Sch C'!D94</f>
        <v>1848</v>
      </c>
      <c r="D106" s="480">
        <f>'[67]Sch C'!F94</f>
        <v>0</v>
      </c>
      <c r="E106" s="480">
        <f>+'[67]Sch C'!H94</f>
        <v>0</v>
      </c>
      <c r="F106" s="166">
        <f t="shared" si="23"/>
        <v>1848</v>
      </c>
      <c r="G106" s="626"/>
      <c r="H106" s="484"/>
      <c r="I106" s="166">
        <f t="shared" si="24"/>
        <v>1848</v>
      </c>
      <c r="J106" s="167">
        <f t="shared" si="25"/>
        <v>3.2138569826338503E-4</v>
      </c>
      <c r="K106" s="458"/>
      <c r="L106" s="163"/>
      <c r="M106" s="163"/>
      <c r="O106" s="329">
        <f t="shared" si="26"/>
        <v>0.15064808021521153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387265.12999999995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387265.12999999995</v>
      </c>
      <c r="G107" s="166">
        <f t="shared" si="28"/>
        <v>-3670</v>
      </c>
      <c r="H107" s="166">
        <f t="shared" si="28"/>
        <v>0</v>
      </c>
      <c r="I107" s="166">
        <f t="shared" si="28"/>
        <v>383595.12999999995</v>
      </c>
      <c r="J107" s="167">
        <f t="shared" si="25"/>
        <v>6.6711032849287852E-2</v>
      </c>
      <c r="K107" s="458"/>
      <c r="L107" s="163"/>
      <c r="M107" s="163"/>
      <c r="O107" s="329">
        <f>I107/I$233</f>
        <v>31.270492377924509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'[67]Sch C'!D98</f>
        <v>15732.94</v>
      </c>
      <c r="D110" s="480">
        <f>'[67]Sch C'!F98</f>
        <v>0</v>
      </c>
      <c r="E110" s="480">
        <f>+'[67]Sch C'!H98</f>
        <v>0</v>
      </c>
      <c r="F110" s="166">
        <f t="shared" ref="F110:F115" si="29">C110+D110+E110</f>
        <v>15732.94</v>
      </c>
      <c r="G110" s="626"/>
      <c r="H110" s="484"/>
      <c r="I110" s="166">
        <f t="shared" ref="I110:I115" si="30">F110+G110+H110</f>
        <v>15732.94</v>
      </c>
      <c r="J110" s="167">
        <f t="shared" ref="J110:J116" si="31">IF($I$213=0,0,I110/$I$213)</f>
        <v>2.7361157508852497E-3</v>
      </c>
      <c r="K110" s="458"/>
      <c r="L110" s="176">
        <v>1313</v>
      </c>
      <c r="M110" s="176">
        <v>1404</v>
      </c>
      <c r="O110" s="329">
        <f t="shared" ref="O110:O115" si="32">I110/I$233</f>
        <v>1.2825417787560121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'[67]Sch C'!D99</f>
        <v>1608.71</v>
      </c>
      <c r="D111" s="480">
        <f>'[67]Sch C'!F99</f>
        <v>0</v>
      </c>
      <c r="E111" s="480">
        <f>+'[67]Sch C'!H99</f>
        <v>0</v>
      </c>
      <c r="F111" s="166">
        <f t="shared" si="29"/>
        <v>1608.71</v>
      </c>
      <c r="G111" s="626">
        <v>-340</v>
      </c>
      <c r="H111" s="484"/>
      <c r="I111" s="166">
        <f t="shared" si="30"/>
        <v>1268.71</v>
      </c>
      <c r="J111" s="167">
        <f t="shared" si="31"/>
        <v>2.2064136863838703E-4</v>
      </c>
      <c r="K111" s="458"/>
      <c r="L111" s="163"/>
      <c r="M111" s="163"/>
      <c r="O111" s="329">
        <f t="shared" si="32"/>
        <v>0.10342463520013044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'[67]Sch C'!D100</f>
        <v>4425.09</v>
      </c>
      <c r="D112" s="480">
        <f>'[67]Sch C'!F100</f>
        <v>0</v>
      </c>
      <c r="E112" s="480">
        <f>+'[67]Sch C'!H100</f>
        <v>0</v>
      </c>
      <c r="F112" s="166">
        <f t="shared" si="29"/>
        <v>4425.09</v>
      </c>
      <c r="G112" s="626"/>
      <c r="H112" s="484"/>
      <c r="I112" s="166">
        <f t="shared" si="30"/>
        <v>4425.09</v>
      </c>
      <c r="J112" s="167">
        <f t="shared" si="31"/>
        <v>7.6956744563220917E-4</v>
      </c>
      <c r="K112" s="458"/>
      <c r="L112" s="163"/>
      <c r="M112" s="163"/>
      <c r="O112" s="329">
        <f t="shared" si="32"/>
        <v>0.36073123012961605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'[67]Sch C'!D101</f>
        <v>0</v>
      </c>
      <c r="D113" s="480">
        <f>'[67]Sch C'!F101</f>
        <v>0</v>
      </c>
      <c r="E113" s="480">
        <f>+'[67]Sch C'!H101</f>
        <v>0</v>
      </c>
      <c r="F113" s="166">
        <f t="shared" si="29"/>
        <v>0</v>
      </c>
      <c r="G113" s="626"/>
      <c r="H113" s="484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'[67]Sch C'!D102</f>
        <v>477.33</v>
      </c>
      <c r="D114" s="480">
        <f>'[67]Sch C'!F102</f>
        <v>0</v>
      </c>
      <c r="E114" s="480">
        <f>+'[67]Sch C'!H102</f>
        <v>0</v>
      </c>
      <c r="F114" s="166">
        <f t="shared" si="29"/>
        <v>477.33</v>
      </c>
      <c r="G114" s="626"/>
      <c r="H114" s="484"/>
      <c r="I114" s="166">
        <f t="shared" si="30"/>
        <v>477.33</v>
      </c>
      <c r="J114" s="167">
        <f t="shared" si="31"/>
        <v>8.3012465017349331E-5</v>
      </c>
      <c r="K114" s="458"/>
      <c r="L114" s="163"/>
      <c r="M114" s="163"/>
      <c r="O114" s="329">
        <f t="shared" si="32"/>
        <v>3.8911714355588163E-2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'[67]Sch C'!D103</f>
        <v>0</v>
      </c>
      <c r="D115" s="480">
        <f>'[67]Sch C'!F103</f>
        <v>0</v>
      </c>
      <c r="E115" s="480">
        <f>+'[67]Sch C'!H103</f>
        <v>0</v>
      </c>
      <c r="F115" s="166">
        <f t="shared" si="29"/>
        <v>0</v>
      </c>
      <c r="G115" s="626"/>
      <c r="H115" s="484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22244.070000000003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22244.070000000003</v>
      </c>
      <c r="G116" s="166">
        <f t="shared" si="34"/>
        <v>-340</v>
      </c>
      <c r="H116" s="166">
        <f t="shared" si="34"/>
        <v>0</v>
      </c>
      <c r="I116" s="166">
        <f t="shared" si="34"/>
        <v>21904.070000000003</v>
      </c>
      <c r="J116" s="167">
        <f t="shared" si="31"/>
        <v>3.8093370301731954E-3</v>
      </c>
      <c r="K116" s="458"/>
      <c r="L116" s="163"/>
      <c r="M116" s="163"/>
      <c r="O116" s="329">
        <f>I116/I$233</f>
        <v>1.785609358441347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'[67]Sch C'!D115</f>
        <v>36167.870000000003</v>
      </c>
      <c r="D119" s="480">
        <f>'[67]Sch C'!F115</f>
        <v>0</v>
      </c>
      <c r="E119" s="480">
        <f>+'[67]Sch C'!H115</f>
        <v>0</v>
      </c>
      <c r="F119" s="166">
        <f t="shared" ref="F119:F123" si="35">C119+D119+E119</f>
        <v>36167.870000000003</v>
      </c>
      <c r="G119" s="626"/>
      <c r="H119" s="484"/>
      <c r="I119" s="166">
        <f t="shared" ref="I119:I123" si="36">F119+G119+H119</f>
        <v>36167.870000000003</v>
      </c>
      <c r="J119" s="167">
        <f t="shared" ref="J119:J124" si="37">IF($I$213=0,0,I119/$I$213)</f>
        <v>6.2899546291392515E-3</v>
      </c>
      <c r="K119" s="458"/>
      <c r="L119" s="176">
        <v>3200</v>
      </c>
      <c r="M119" s="176">
        <v>3329.67</v>
      </c>
      <c r="O119" s="329">
        <f t="shared" ref="O119:O124" si="38">I119/I$233</f>
        <v>2.9483875438167444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'[67]Sch C'!D116</f>
        <v>7478.61</v>
      </c>
      <c r="D120" s="480">
        <f>'[67]Sch C'!F116</f>
        <v>0</v>
      </c>
      <c r="E120" s="480">
        <f>+'[67]Sch C'!H116</f>
        <v>0</v>
      </c>
      <c r="F120" s="166">
        <f t="shared" si="35"/>
        <v>7478.61</v>
      </c>
      <c r="G120" s="626">
        <v>-758</v>
      </c>
      <c r="H120" s="484"/>
      <c r="I120" s="166">
        <f t="shared" si="36"/>
        <v>6720.61</v>
      </c>
      <c r="J120" s="167">
        <f t="shared" si="37"/>
        <v>1.1687813515183377E-3</v>
      </c>
      <c r="K120" s="458"/>
      <c r="L120" s="163"/>
      <c r="M120" s="163"/>
      <c r="O120" s="329">
        <f t="shared" si="38"/>
        <v>0.5478609276921822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'[67]Sch C'!D117</f>
        <v>9304.24</v>
      </c>
      <c r="D121" s="480">
        <f>'[67]Sch C'!F117</f>
        <v>0</v>
      </c>
      <c r="E121" s="480">
        <f>+'[67]Sch C'!H117</f>
        <v>0</v>
      </c>
      <c r="F121" s="166">
        <f t="shared" si="35"/>
        <v>9304.24</v>
      </c>
      <c r="G121" s="626"/>
      <c r="H121" s="484"/>
      <c r="I121" s="166">
        <f t="shared" si="36"/>
        <v>9304.24</v>
      </c>
      <c r="J121" s="167">
        <f t="shared" si="37"/>
        <v>1.6181004703517952E-3</v>
      </c>
      <c r="K121" s="458"/>
      <c r="L121" s="163"/>
      <c r="M121" s="163"/>
      <c r="O121" s="329">
        <f t="shared" si="38"/>
        <v>0.75847721529306267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'[67]Sch C'!D118</f>
        <v>7956</v>
      </c>
      <c r="D122" s="480">
        <f>'[67]Sch C'!F118</f>
        <v>0</v>
      </c>
      <c r="E122" s="480">
        <f>+'[67]Sch C'!H118</f>
        <v>0</v>
      </c>
      <c r="F122" s="166">
        <f t="shared" si="35"/>
        <v>7956</v>
      </c>
      <c r="G122" s="626"/>
      <c r="H122" s="484"/>
      <c r="I122" s="166">
        <f t="shared" si="36"/>
        <v>7956</v>
      </c>
      <c r="J122" s="167">
        <f t="shared" si="37"/>
        <v>1.3836280386274303E-3</v>
      </c>
      <c r="K122" s="458"/>
      <c r="L122" s="163"/>
      <c r="M122" s="163"/>
      <c r="O122" s="329">
        <f t="shared" si="38"/>
        <v>0.64856933235509906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'[67]Sch C'!D119</f>
        <v>2190.48</v>
      </c>
      <c r="D123" s="480">
        <f>'[67]Sch C'!F119</f>
        <v>0</v>
      </c>
      <c r="E123" s="480">
        <f>+'[67]Sch C'!H119</f>
        <v>0</v>
      </c>
      <c r="F123" s="166">
        <f t="shared" si="35"/>
        <v>2190.48</v>
      </c>
      <c r="G123" s="626"/>
      <c r="H123" s="484"/>
      <c r="I123" s="166">
        <f t="shared" si="36"/>
        <v>2190.48</v>
      </c>
      <c r="J123" s="167">
        <f t="shared" si="37"/>
        <v>3.8094639844804095E-4</v>
      </c>
      <c r="K123" s="458"/>
      <c r="L123" s="163"/>
      <c r="M123" s="163"/>
      <c r="O123" s="329">
        <f t="shared" si="38"/>
        <v>0.17856688676938126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63097.200000000004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63097.200000000004</v>
      </c>
      <c r="G124" s="166">
        <f t="shared" si="40"/>
        <v>-758</v>
      </c>
      <c r="H124" s="166">
        <f t="shared" si="40"/>
        <v>0</v>
      </c>
      <c r="I124" s="166">
        <f t="shared" si="40"/>
        <v>62339.200000000004</v>
      </c>
      <c r="J124" s="167">
        <f t="shared" si="37"/>
        <v>1.0841410888084857E-2</v>
      </c>
      <c r="K124" s="458"/>
      <c r="L124" s="163"/>
      <c r="M124" s="163"/>
      <c r="O124" s="329">
        <f t="shared" si="38"/>
        <v>5.0818619059264698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'[67]Sch C'!D124</f>
        <v>0</v>
      </c>
      <c r="D128" s="480">
        <f>'[67]Sch C'!F124</f>
        <v>0</v>
      </c>
      <c r="E128" s="480">
        <f>+'[67]Sch C'!H124</f>
        <v>0</v>
      </c>
      <c r="F128" s="166">
        <f t="shared" ref="F128:F132" si="41">C128+D128+E128</f>
        <v>0</v>
      </c>
      <c r="G128" s="626"/>
      <c r="H128" s="484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'[67]Sch C'!D125</f>
        <v>401096.09</v>
      </c>
      <c r="D129" s="480">
        <f>'[67]Sch C'!F125</f>
        <v>0</v>
      </c>
      <c r="E129" s="480">
        <f>+'[67]Sch C'!H125</f>
        <v>0</v>
      </c>
      <c r="F129" s="166">
        <f t="shared" si="41"/>
        <v>401096.09</v>
      </c>
      <c r="G129" s="626"/>
      <c r="H129" s="484"/>
      <c r="I129" s="166">
        <f t="shared" si="42"/>
        <v>401096.09</v>
      </c>
      <c r="J129" s="167">
        <f>IF($I$213=0,0,I129/$I$213)</f>
        <v>6.9754624975846072E-2</v>
      </c>
      <c r="K129" s="458"/>
      <c r="L129" s="176">
        <v>11742</v>
      </c>
      <c r="M129" s="176">
        <v>12674</v>
      </c>
      <c r="O129" s="329">
        <f t="shared" si="43"/>
        <v>32.697162305372139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'[67]Sch C'!D126</f>
        <v>0</v>
      </c>
      <c r="D130" s="480">
        <f>'[67]Sch C'!F126</f>
        <v>0</v>
      </c>
      <c r="E130" s="480">
        <f>+'[67]Sch C'!H126</f>
        <v>0</v>
      </c>
      <c r="F130" s="166">
        <f t="shared" si="41"/>
        <v>0</v>
      </c>
      <c r="G130" s="626"/>
      <c r="H130" s="484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'[67]Sch C'!D127</f>
        <v>24263.72</v>
      </c>
      <c r="D131" s="480">
        <f>'[67]Sch C'!F127</f>
        <v>0</v>
      </c>
      <c r="E131" s="480">
        <f>+'[67]Sch C'!H127</f>
        <v>0</v>
      </c>
      <c r="F131" s="166">
        <f t="shared" si="41"/>
        <v>24263.72</v>
      </c>
      <c r="G131" s="626"/>
      <c r="H131" s="484"/>
      <c r="I131" s="166">
        <f t="shared" si="42"/>
        <v>24263.72</v>
      </c>
      <c r="J131" s="167">
        <f>IF($I$213=0,0,I131/$I$213)</f>
        <v>4.219703784993107E-3</v>
      </c>
      <c r="K131" s="458"/>
      <c r="L131" s="176">
        <v>1570</v>
      </c>
      <c r="M131" s="176">
        <v>1625.68</v>
      </c>
      <c r="O131" s="329">
        <f t="shared" si="43"/>
        <v>1.977966903073286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'[67]Sch C'!D128</f>
        <v>27696.75</v>
      </c>
      <c r="D132" s="480">
        <f>'[67]Sch C'!F128</f>
        <v>0</v>
      </c>
      <c r="E132" s="480">
        <f>+'[67]Sch C'!H128</f>
        <v>0</v>
      </c>
      <c r="F132" s="166">
        <f t="shared" si="41"/>
        <v>27696.75</v>
      </c>
      <c r="G132" s="626"/>
      <c r="H132" s="484"/>
      <c r="I132" s="166">
        <f t="shared" si="42"/>
        <v>27696.75</v>
      </c>
      <c r="J132" s="167">
        <f>IF($I$213=0,0,I132/$I$213)</f>
        <v>4.8167420662210006E-3</v>
      </c>
      <c r="K132" s="458"/>
      <c r="L132" s="176">
        <v>1648.85</v>
      </c>
      <c r="M132" s="176">
        <v>1838.02</v>
      </c>
      <c r="O132" s="329">
        <f t="shared" si="43"/>
        <v>2.257825874296894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'[67]Sch C'!D130</f>
        <v>0</v>
      </c>
      <c r="D134" s="480">
        <f>'[67]Sch C'!F130</f>
        <v>0</v>
      </c>
      <c r="E134" s="480">
        <f>+'[67]Sch C'!H130</f>
        <v>0</v>
      </c>
      <c r="F134" s="166">
        <f t="shared" ref="F134:F138" si="44">C134+D134+E134</f>
        <v>0</v>
      </c>
      <c r="G134" s="626"/>
      <c r="H134" s="484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'[67]Sch C'!D131</f>
        <v>72315.649999999994</v>
      </c>
      <c r="D135" s="480">
        <f>'[67]Sch C'!F131</f>
        <v>0</v>
      </c>
      <c r="E135" s="480">
        <f>+'[67]Sch C'!H131</f>
        <v>0</v>
      </c>
      <c r="F135" s="166">
        <f t="shared" si="44"/>
        <v>72315.649999999994</v>
      </c>
      <c r="G135" s="626">
        <v>-8600</v>
      </c>
      <c r="H135" s="484"/>
      <c r="I135" s="166">
        <f t="shared" si="45"/>
        <v>63715.649999999994</v>
      </c>
      <c r="J135" s="167">
        <f>IF($I$213=0,0,I135/$I$213)</f>
        <v>1.1080789321188013E-2</v>
      </c>
      <c r="K135" s="458"/>
      <c r="L135" s="196"/>
      <c r="M135" s="196"/>
      <c r="O135" s="329">
        <f t="shared" si="43"/>
        <v>5.1940694546343842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'[67]Sch C'!D132</f>
        <v>0</v>
      </c>
      <c r="D136" s="480">
        <f>'[67]Sch C'!F132</f>
        <v>0</v>
      </c>
      <c r="E136" s="480">
        <f>+'[67]Sch C'!H132</f>
        <v>0</v>
      </c>
      <c r="F136" s="166">
        <f t="shared" si="44"/>
        <v>0</v>
      </c>
      <c r="G136" s="626"/>
      <c r="H136" s="484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'[67]Sch C'!D133</f>
        <v>2293.34</v>
      </c>
      <c r="D137" s="480">
        <f>'[67]Sch C'!F133</f>
        <v>0</v>
      </c>
      <c r="E137" s="480">
        <f>+'[67]Sch C'!H133</f>
        <v>0</v>
      </c>
      <c r="F137" s="166">
        <f t="shared" si="44"/>
        <v>2293.34</v>
      </c>
      <c r="G137" s="626">
        <v>-548</v>
      </c>
      <c r="H137" s="484"/>
      <c r="I137" s="166">
        <f t="shared" si="45"/>
        <v>1745.3400000000001</v>
      </c>
      <c r="J137" s="167">
        <f>IF($I$213=0,0,I137/$I$213)</f>
        <v>3.0353209664881842E-4</v>
      </c>
      <c r="K137" s="458"/>
      <c r="L137" s="163"/>
      <c r="M137" s="163"/>
      <c r="O137" s="329">
        <f t="shared" si="43"/>
        <v>0.14227928588897043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'[67]Sch C'!D134</f>
        <v>10489.39</v>
      </c>
      <c r="D138" s="480">
        <f>'[67]Sch C'!F134</f>
        <v>0</v>
      </c>
      <c r="E138" s="480">
        <f>+'[67]Sch C'!H134</f>
        <v>0</v>
      </c>
      <c r="F138" s="166">
        <f t="shared" si="44"/>
        <v>10489.39</v>
      </c>
      <c r="G138" s="626">
        <v>-566</v>
      </c>
      <c r="H138" s="484"/>
      <c r="I138" s="166">
        <f t="shared" si="45"/>
        <v>9923.39</v>
      </c>
      <c r="J138" s="167">
        <f>IF($I$213=0,0,I138/$I$213)</f>
        <v>1.7257768529707208E-3</v>
      </c>
      <c r="K138" s="458"/>
      <c r="L138" s="163"/>
      <c r="M138" s="163"/>
      <c r="O138" s="329">
        <f t="shared" si="43"/>
        <v>0.80895002853183329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'[67]Sch C'!D136</f>
        <v>418438.17</v>
      </c>
      <c r="D140" s="480">
        <f>'[67]Sch C'!F136</f>
        <v>0</v>
      </c>
      <c r="E140" s="480">
        <f>+'[67]Sch C'!H136</f>
        <v>0</v>
      </c>
      <c r="F140" s="166">
        <f t="shared" ref="F140:F143" si="46">C140+D140+E140</f>
        <v>418438.17</v>
      </c>
      <c r="G140" s="626"/>
      <c r="H140" s="484"/>
      <c r="I140" s="166">
        <f t="shared" ref="I140:I143" si="47">F140+G140+H140</f>
        <v>418438.17</v>
      </c>
      <c r="J140" s="167">
        <f>IF($I$213=0,0,I140/$I$213)</f>
        <v>7.2770586280034091E-2</v>
      </c>
      <c r="K140" s="458"/>
      <c r="L140" s="176">
        <v>12897</v>
      </c>
      <c r="M140" s="176">
        <v>13700.51</v>
      </c>
      <c r="O140" s="329">
        <f t="shared" si="43"/>
        <v>34.1108804108584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'[67]Sch C'!D137</f>
        <v>181567.49</v>
      </c>
      <c r="D141" s="480">
        <f>'[67]Sch C'!F137</f>
        <v>0</v>
      </c>
      <c r="E141" s="480">
        <f>+'[67]Sch C'!H137</f>
        <v>0</v>
      </c>
      <c r="F141" s="166">
        <f t="shared" si="46"/>
        <v>181567.49</v>
      </c>
      <c r="G141" s="626"/>
      <c r="H141" s="484"/>
      <c r="I141" s="166">
        <f t="shared" si="47"/>
        <v>181567.49</v>
      </c>
      <c r="J141" s="167">
        <f>IF($I$213=0,0,I141/$I$213)</f>
        <v>3.1576403980292302E-2</v>
      </c>
      <c r="K141" s="458"/>
      <c r="L141" s="176">
        <v>6277</v>
      </c>
      <c r="M141" s="176">
        <v>6688.01</v>
      </c>
      <c r="O141" s="329">
        <f t="shared" si="43"/>
        <v>14.801295345235182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'[67]Sch C'!D138</f>
        <v>368496.59</v>
      </c>
      <c r="D142" s="480">
        <f>'[67]Sch C'!F138</f>
        <v>0</v>
      </c>
      <c r="E142" s="480">
        <f>+'[67]Sch C'!H138</f>
        <v>0</v>
      </c>
      <c r="F142" s="166">
        <f t="shared" si="46"/>
        <v>368496.59</v>
      </c>
      <c r="G142" s="626"/>
      <c r="H142" s="484"/>
      <c r="I142" s="166">
        <f t="shared" si="47"/>
        <v>368496.59</v>
      </c>
      <c r="J142" s="167">
        <f>IF($I$213=0,0,I142/$I$213)</f>
        <v>6.4085245608672251E-2</v>
      </c>
      <c r="K142" s="458"/>
      <c r="L142" s="176">
        <v>27926</v>
      </c>
      <c r="M142" s="176">
        <v>29230.77</v>
      </c>
      <c r="O142" s="329">
        <f t="shared" si="43"/>
        <v>30.039666585147145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'[67]Sch C'!D139</f>
        <v>5260.25</v>
      </c>
      <c r="D143" s="480">
        <f>'[67]Sch C'!F139</f>
        <v>0</v>
      </c>
      <c r="E143" s="480">
        <f>+'[67]Sch C'!H139</f>
        <v>0</v>
      </c>
      <c r="F143" s="166">
        <f t="shared" si="46"/>
        <v>5260.25</v>
      </c>
      <c r="G143" s="626"/>
      <c r="H143" s="484"/>
      <c r="I143" s="166">
        <f t="shared" si="47"/>
        <v>5260.25</v>
      </c>
      <c r="J143" s="167">
        <f>IF($I$213=0,0,I143/$I$213)</f>
        <v>9.148101294859151E-4</v>
      </c>
      <c r="K143" s="458"/>
      <c r="L143" s="176">
        <v>0</v>
      </c>
      <c r="M143" s="176">
        <v>0</v>
      </c>
      <c r="O143" s="329">
        <f t="shared" si="43"/>
        <v>0.42881307573163774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'[67]Sch C'!D141</f>
        <v>78160.75</v>
      </c>
      <c r="D145" s="480">
        <f>'[67]Sch C'!F141</f>
        <v>0</v>
      </c>
      <c r="E145" s="480">
        <f>+'[67]Sch C'!H141</f>
        <v>0</v>
      </c>
      <c r="F145" s="166">
        <f t="shared" ref="F145:F148" si="48">C145+D145+E145</f>
        <v>78160.75</v>
      </c>
      <c r="G145" s="626">
        <v>-9060</v>
      </c>
      <c r="H145" s="484"/>
      <c r="I145" s="166">
        <f t="shared" ref="I145:I148" si="49">F145+G145+H145</f>
        <v>69100.75</v>
      </c>
      <c r="J145" s="167">
        <f>IF($I$213=0,0,I145/$I$213)</f>
        <v>1.2017312115407793E-2</v>
      </c>
      <c r="K145" s="458"/>
      <c r="L145" s="163"/>
      <c r="M145" s="163"/>
      <c r="O145" s="329">
        <f t="shared" si="43"/>
        <v>5.6330602429281811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'[67]Sch C'!D142</f>
        <v>97124.35</v>
      </c>
      <c r="D146" s="480">
        <f>'[67]Sch C'!F142</f>
        <v>0</v>
      </c>
      <c r="E146" s="480">
        <f>+'[67]Sch C'!H142</f>
        <v>0</v>
      </c>
      <c r="F146" s="166">
        <f t="shared" si="48"/>
        <v>97124.35</v>
      </c>
      <c r="G146" s="626">
        <v>-3931</v>
      </c>
      <c r="H146" s="484"/>
      <c r="I146" s="166">
        <f t="shared" si="49"/>
        <v>93193.35</v>
      </c>
      <c r="J146" s="167">
        <f>IF($I$213=0,0,I146/$I$213)</f>
        <v>1.620725641950976E-2</v>
      </c>
      <c r="K146" s="458"/>
      <c r="L146" s="163"/>
      <c r="M146" s="163"/>
      <c r="O146" s="329">
        <f t="shared" si="43"/>
        <v>7.5970775250672542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'[67]Sch C'!D143</f>
        <v>20696.349999999999</v>
      </c>
      <c r="D147" s="480">
        <f>'[67]Sch C'!F143</f>
        <v>0</v>
      </c>
      <c r="E147" s="480">
        <f>+'[67]Sch C'!H143</f>
        <v>0</v>
      </c>
      <c r="F147" s="166">
        <f t="shared" si="48"/>
        <v>20696.349999999999</v>
      </c>
      <c r="G147" s="626">
        <v>-7978</v>
      </c>
      <c r="H147" s="484"/>
      <c r="I147" s="166">
        <f t="shared" si="49"/>
        <v>12718.349999999999</v>
      </c>
      <c r="J147" s="167">
        <f>IF($I$213=0,0,I147/$I$213)</f>
        <v>2.211848374192707E-3</v>
      </c>
      <c r="K147" s="458"/>
      <c r="L147" s="163"/>
      <c r="M147" s="163"/>
      <c r="O147" s="329">
        <f t="shared" si="43"/>
        <v>1.0367938371239911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'[67]Sch C'!D144</f>
        <v>507.73</v>
      </c>
      <c r="D148" s="480">
        <f>'[67]Sch C'!F144</f>
        <v>0</v>
      </c>
      <c r="E148" s="480">
        <f>+'[67]Sch C'!H144</f>
        <v>0</v>
      </c>
      <c r="F148" s="166">
        <f t="shared" si="48"/>
        <v>507.73</v>
      </c>
      <c r="G148" s="626">
        <v>-105</v>
      </c>
      <c r="H148" s="484"/>
      <c r="I148" s="166">
        <f t="shared" si="49"/>
        <v>402.73</v>
      </c>
      <c r="J148" s="167">
        <f>IF($I$213=0,0,I148/$I$213)</f>
        <v>7.0038778280093647E-5</v>
      </c>
      <c r="K148" s="458"/>
      <c r="L148" s="163"/>
      <c r="M148" s="163"/>
      <c r="O148" s="329">
        <f t="shared" si="43"/>
        <v>3.2830357870710036E-2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'[67]Sch C'!D146</f>
        <v>36450</v>
      </c>
      <c r="D150" s="480">
        <f>'[67]Sch C'!F146</f>
        <v>0</v>
      </c>
      <c r="E150" s="480">
        <f>+'[67]Sch C'!H146</f>
        <v>0</v>
      </c>
      <c r="F150" s="166">
        <f t="shared" ref="F150:F158" si="50">C150+D150+E150</f>
        <v>36450</v>
      </c>
      <c r="G150" s="626"/>
      <c r="H150" s="484"/>
      <c r="I150" s="166">
        <f t="shared" ref="I150:I158" si="51">F150+G150+H150</f>
        <v>36450</v>
      </c>
      <c r="J150" s="167">
        <f t="shared" ref="J150:J158" si="52">IF($I$213=0,0,I150/$I$213)</f>
        <v>6.3390198602274808E-3</v>
      </c>
      <c r="K150" s="458"/>
      <c r="L150" s="176">
        <v>0</v>
      </c>
      <c r="M150" s="176">
        <v>0</v>
      </c>
      <c r="O150" s="329">
        <f t="shared" si="43"/>
        <v>2.9713866471019807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'[67]Sch C'!D147</f>
        <v>85153.43</v>
      </c>
      <c r="D151" s="480">
        <f>'[67]Sch C'!F147</f>
        <v>0</v>
      </c>
      <c r="E151" s="480">
        <f>+'[67]Sch C'!H147</f>
        <v>0</v>
      </c>
      <c r="F151" s="166">
        <f t="shared" si="50"/>
        <v>85153.43</v>
      </c>
      <c r="G151" s="626"/>
      <c r="H151" s="484"/>
      <c r="I151" s="166">
        <f t="shared" si="51"/>
        <v>85153.43</v>
      </c>
      <c r="J151" s="167">
        <f t="shared" si="52"/>
        <v>1.4809033852852963E-2</v>
      </c>
      <c r="K151" s="458"/>
      <c r="L151" s="176">
        <v>0</v>
      </c>
      <c r="M151" s="176">
        <v>0</v>
      </c>
      <c r="O151" s="329">
        <f t="shared" si="43"/>
        <v>6.9416670742642861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'[67]Sch C'!D148</f>
        <v>7911.31</v>
      </c>
      <c r="D152" s="480">
        <f>'[67]Sch C'!F148</f>
        <v>0</v>
      </c>
      <c r="E152" s="480">
        <f>+'[67]Sch C'!H148</f>
        <v>0</v>
      </c>
      <c r="F152" s="166">
        <f t="shared" si="50"/>
        <v>7911.31</v>
      </c>
      <c r="G152" s="626"/>
      <c r="H152" s="484"/>
      <c r="I152" s="166">
        <f t="shared" si="51"/>
        <v>7911.31</v>
      </c>
      <c r="J152" s="167">
        <f t="shared" si="52"/>
        <v>1.3758560002857688E-3</v>
      </c>
      <c r="K152" s="458"/>
      <c r="L152" s="176">
        <v>0</v>
      </c>
      <c r="M152" s="176">
        <v>0</v>
      </c>
      <c r="O152" s="329">
        <f t="shared" si="43"/>
        <v>0.64492622483084705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'[67]Sch C'!D149</f>
        <v>67859.240000000005</v>
      </c>
      <c r="D153" s="480">
        <f>'[67]Sch C'!F149</f>
        <v>0</v>
      </c>
      <c r="E153" s="480">
        <f>+'[67]Sch C'!H149</f>
        <v>0</v>
      </c>
      <c r="F153" s="166">
        <f t="shared" si="50"/>
        <v>67859.240000000005</v>
      </c>
      <c r="G153" s="626"/>
      <c r="H153" s="484"/>
      <c r="I153" s="166">
        <f t="shared" si="51"/>
        <v>67859.240000000005</v>
      </c>
      <c r="J153" s="167">
        <f t="shared" si="52"/>
        <v>1.180140109903822E-2</v>
      </c>
      <c r="K153" s="458"/>
      <c r="L153" s="176">
        <v>0</v>
      </c>
      <c r="M153" s="176">
        <v>0</v>
      </c>
      <c r="O153" s="329">
        <f t="shared" si="43"/>
        <v>5.5318529387788375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'[67]Sch C'!D150</f>
        <v>3442.5</v>
      </c>
      <c r="D154" s="480">
        <f>'[67]Sch C'!F150</f>
        <v>0</v>
      </c>
      <c r="E154" s="480">
        <f>+'[67]Sch C'!H150</f>
        <v>0</v>
      </c>
      <c r="F154" s="166">
        <f t="shared" si="50"/>
        <v>3442.5</v>
      </c>
      <c r="G154" s="626"/>
      <c r="H154" s="484"/>
      <c r="I154" s="166">
        <f t="shared" si="51"/>
        <v>3442.5</v>
      </c>
      <c r="J154" s="167">
        <f t="shared" si="52"/>
        <v>5.9868520902148432E-4</v>
      </c>
      <c r="K154" s="458"/>
      <c r="L154" s="176">
        <v>0</v>
      </c>
      <c r="M154" s="176">
        <v>0</v>
      </c>
      <c r="O154" s="329">
        <f t="shared" si="43"/>
        <v>0.28063096111518709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'[67]Sch C'!D151</f>
        <v>74235.98</v>
      </c>
      <c r="D155" s="480">
        <f>'[67]Sch C'!F151</f>
        <v>0</v>
      </c>
      <c r="E155" s="480">
        <f>+'[67]Sch C'!H151</f>
        <v>0</v>
      </c>
      <c r="F155" s="166">
        <f t="shared" si="50"/>
        <v>74235.98</v>
      </c>
      <c r="G155" s="626"/>
      <c r="H155" s="484"/>
      <c r="I155" s="166">
        <f t="shared" si="51"/>
        <v>74235.98</v>
      </c>
      <c r="J155" s="167">
        <f t="shared" si="52"/>
        <v>1.2910380015458163E-2</v>
      </c>
      <c r="K155" s="458"/>
      <c r="L155" s="163"/>
      <c r="M155" s="163"/>
      <c r="O155" s="329">
        <f t="shared" si="43"/>
        <v>6.0516817477785922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'[67]Sch C'!D152</f>
        <v>3141.5</v>
      </c>
      <c r="D156" s="480">
        <f>'[67]Sch C'!F152</f>
        <v>0</v>
      </c>
      <c r="E156" s="480">
        <f>+'[67]Sch C'!H152</f>
        <v>0</v>
      </c>
      <c r="F156" s="166">
        <f t="shared" si="50"/>
        <v>3141.5</v>
      </c>
      <c r="G156" s="626"/>
      <c r="H156" s="484"/>
      <c r="I156" s="166">
        <f t="shared" si="51"/>
        <v>3141.5</v>
      </c>
      <c r="J156" s="167">
        <f t="shared" si="52"/>
        <v>5.4633829604676626E-4</v>
      </c>
      <c r="K156" s="458"/>
      <c r="L156" s="163"/>
      <c r="M156" s="163"/>
      <c r="O156" s="329">
        <f t="shared" si="43"/>
        <v>0.25609358441346702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'[67]Sch C'!D153</f>
        <v>4057.22</v>
      </c>
      <c r="D157" s="480">
        <f>'[67]Sch C'!F153</f>
        <v>0</v>
      </c>
      <c r="E157" s="480">
        <f>+'[67]Sch C'!H153</f>
        <v>0</v>
      </c>
      <c r="F157" s="166">
        <f t="shared" si="50"/>
        <v>4057.22</v>
      </c>
      <c r="G157" s="626"/>
      <c r="H157" s="484"/>
      <c r="I157" s="166">
        <f t="shared" si="51"/>
        <v>4057.22</v>
      </c>
      <c r="J157" s="167">
        <f t="shared" si="52"/>
        <v>7.0559117029662932E-4</v>
      </c>
      <c r="K157" s="458"/>
      <c r="L157" s="163"/>
      <c r="M157" s="163"/>
      <c r="O157" s="329">
        <f t="shared" si="43"/>
        <v>0.33074264286296567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'[67]Sch C'!D154</f>
        <v>0</v>
      </c>
      <c r="D158" s="480">
        <f>'[67]Sch C'!F154</f>
        <v>0</v>
      </c>
      <c r="E158" s="480">
        <f>+'[67]Sch C'!H154</f>
        <v>0</v>
      </c>
      <c r="F158" s="166">
        <f t="shared" si="50"/>
        <v>0</v>
      </c>
      <c r="G158" s="626"/>
      <c r="H158" s="484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'[67]Sch C'!D156</f>
        <v>0</v>
      </c>
      <c r="D160" s="480">
        <f>'[67]Sch C'!F156</f>
        <v>0</v>
      </c>
      <c r="E160" s="480">
        <f>+'[67]Sch C'!H156</f>
        <v>0</v>
      </c>
      <c r="F160" s="166">
        <f t="shared" ref="F160:F165" si="53">C160+D160+E160</f>
        <v>0</v>
      </c>
      <c r="G160" s="626"/>
      <c r="H160" s="484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'[67]Sch C'!D157</f>
        <v>0</v>
      </c>
      <c r="D161" s="480">
        <f>'[67]Sch C'!F157</f>
        <v>0</v>
      </c>
      <c r="E161" s="480">
        <f>+'[67]Sch C'!H157</f>
        <v>0</v>
      </c>
      <c r="F161" s="166">
        <f t="shared" si="53"/>
        <v>0</v>
      </c>
      <c r="G161" s="626"/>
      <c r="H161" s="484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'[67]Sch C'!D158</f>
        <v>0</v>
      </c>
      <c r="D162" s="480">
        <f>'[67]Sch C'!F158</f>
        <v>0</v>
      </c>
      <c r="E162" s="480">
        <f>+'[67]Sch C'!H158</f>
        <v>0</v>
      </c>
      <c r="F162" s="166">
        <f t="shared" si="53"/>
        <v>0</v>
      </c>
      <c r="G162" s="626"/>
      <c r="H162" s="484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'[67]Sch C'!D159</f>
        <v>0</v>
      </c>
      <c r="D163" s="480">
        <f>'[67]Sch C'!F159</f>
        <v>0</v>
      </c>
      <c r="E163" s="480">
        <f>+'[67]Sch C'!H159</f>
        <v>0</v>
      </c>
      <c r="F163" s="166">
        <f t="shared" si="53"/>
        <v>0</v>
      </c>
      <c r="G163" s="626"/>
      <c r="H163" s="484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'[67]Sch C'!D160</f>
        <v>262.47000000000003</v>
      </c>
      <c r="D164" s="480">
        <f>'[67]Sch C'!F160</f>
        <v>0</v>
      </c>
      <c r="E164" s="480">
        <f>+'[67]Sch C'!H160</f>
        <v>0</v>
      </c>
      <c r="F164" s="166">
        <f t="shared" si="53"/>
        <v>262.47000000000003</v>
      </c>
      <c r="G164" s="626"/>
      <c r="H164" s="484"/>
      <c r="I164" s="166">
        <f t="shared" si="54"/>
        <v>262.47000000000003</v>
      </c>
      <c r="J164" s="167">
        <f>IF($I$213=0,0,I164/$I$213)</f>
        <v>4.5646160293934352E-5</v>
      </c>
      <c r="K164" s="458"/>
      <c r="L164" s="163"/>
      <c r="M164" s="163"/>
      <c r="O164" s="329">
        <f t="shared" si="43"/>
        <v>2.1396429444852046E-2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'[67]Sch C'!D161</f>
        <v>47819.72</v>
      </c>
      <c r="D165" s="480">
        <f>'[67]Sch C'!F161</f>
        <v>0</v>
      </c>
      <c r="E165" s="480">
        <f>+'[67]Sch C'!H161</f>
        <v>0</v>
      </c>
      <c r="F165" s="166">
        <f t="shared" si="53"/>
        <v>47819.72</v>
      </c>
      <c r="G165" s="626">
        <v>-24951</v>
      </c>
      <c r="H165" s="484"/>
      <c r="I165" s="166">
        <f t="shared" si="54"/>
        <v>22868.720000000001</v>
      </c>
      <c r="J165" s="167">
        <f t="shared" si="55"/>
        <v>3.9770993212066225E-3</v>
      </c>
      <c r="K165" s="458"/>
      <c r="L165" s="163"/>
      <c r="M165" s="163"/>
      <c r="O165" s="329">
        <f t="shared" si="43"/>
        <v>1.8642471671965437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2038739.9900000002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2038739.9900000002</v>
      </c>
      <c r="G166" s="166">
        <f t="shared" si="57"/>
        <v>-55739</v>
      </c>
      <c r="H166" s="166">
        <f t="shared" si="57"/>
        <v>0</v>
      </c>
      <c r="I166" s="166">
        <f t="shared" si="57"/>
        <v>1983000.9900000002</v>
      </c>
      <c r="J166" s="167">
        <f t="shared" si="55"/>
        <v>0.34486372176847069</v>
      </c>
      <c r="K166" s="458"/>
      <c r="L166" s="163"/>
      <c r="M166" s="163"/>
      <c r="O166" s="329">
        <f>I166/I$233</f>
        <v>161.6532966495476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'[67]Sch C'!D175</f>
        <v>0</v>
      </c>
      <c r="D169" s="480">
        <f>'[67]Sch C'!F175</f>
        <v>0</v>
      </c>
      <c r="E169" s="480">
        <f>+'[67]Sch C'!H175</f>
        <v>0</v>
      </c>
      <c r="F169" s="166">
        <f t="shared" ref="F169:F201" si="58">C169+D169+E169</f>
        <v>0</v>
      </c>
      <c r="G169" s="626"/>
      <c r="H169" s="484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'[67]Sch C'!D176</f>
        <v>0</v>
      </c>
      <c r="D170" s="480">
        <f>'[67]Sch C'!F176</f>
        <v>0</v>
      </c>
      <c r="E170" s="480">
        <f>+'[67]Sch C'!H176</f>
        <v>0</v>
      </c>
      <c r="F170" s="166">
        <f t="shared" si="58"/>
        <v>0</v>
      </c>
      <c r="G170" s="626"/>
      <c r="H170" s="484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'[67]Sch C'!D177</f>
        <v>0</v>
      </c>
      <c r="D171" s="480">
        <f>'[67]Sch C'!F177</f>
        <v>0</v>
      </c>
      <c r="E171" s="480">
        <f>+'[67]Sch C'!H177</f>
        <v>0</v>
      </c>
      <c r="F171" s="166">
        <f t="shared" si="58"/>
        <v>0</v>
      </c>
      <c r="G171" s="626"/>
      <c r="H171" s="484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'[67]Sch C'!D178</f>
        <v>0</v>
      </c>
      <c r="D172" s="480">
        <f>'[67]Sch C'!F178</f>
        <v>0</v>
      </c>
      <c r="E172" s="480">
        <f>+'[67]Sch C'!H178</f>
        <v>0</v>
      </c>
      <c r="F172" s="166">
        <f t="shared" si="58"/>
        <v>0</v>
      </c>
      <c r="G172" s="626"/>
      <c r="H172" s="484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'[67]Sch C'!D179</f>
        <v>0</v>
      </c>
      <c r="D173" s="480">
        <f>'[67]Sch C'!F179</f>
        <v>0</v>
      </c>
      <c r="E173" s="480">
        <f>+'[67]Sch C'!H179</f>
        <v>0</v>
      </c>
      <c r="F173" s="166">
        <f t="shared" si="58"/>
        <v>0</v>
      </c>
      <c r="G173" s="626"/>
      <c r="H173" s="484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'[67]Sch C'!D180</f>
        <v>0</v>
      </c>
      <c r="D174" s="480">
        <f>'[67]Sch C'!F180</f>
        <v>0</v>
      </c>
      <c r="E174" s="480">
        <f>+'[67]Sch C'!H180</f>
        <v>0</v>
      </c>
      <c r="F174" s="166">
        <f t="shared" si="58"/>
        <v>0</v>
      </c>
      <c r="G174" s="626"/>
      <c r="H174" s="484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'[67]Sch C'!D181</f>
        <v>0</v>
      </c>
      <c r="D175" s="480">
        <f>'[67]Sch C'!F181</f>
        <v>0</v>
      </c>
      <c r="E175" s="480">
        <f>+'[67]Sch C'!H181</f>
        <v>0</v>
      </c>
      <c r="F175" s="166">
        <f t="shared" si="58"/>
        <v>0</v>
      </c>
      <c r="G175" s="626"/>
      <c r="H175" s="484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'[67]Sch C'!D182</f>
        <v>0</v>
      </c>
      <c r="D176" s="480">
        <f>'[67]Sch C'!F182</f>
        <v>0</v>
      </c>
      <c r="E176" s="480">
        <f>+'[67]Sch C'!H182</f>
        <v>0</v>
      </c>
      <c r="F176" s="166">
        <f t="shared" si="58"/>
        <v>0</v>
      </c>
      <c r="G176" s="626"/>
      <c r="H176" s="484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'[67]Sch C'!D183</f>
        <v>0</v>
      </c>
      <c r="D177" s="480">
        <f>'[67]Sch C'!F183</f>
        <v>0</v>
      </c>
      <c r="E177" s="480">
        <f>+'[67]Sch C'!H183</f>
        <v>0</v>
      </c>
      <c r="F177" s="166">
        <f t="shared" si="58"/>
        <v>0</v>
      </c>
      <c r="G177" s="626"/>
      <c r="H177" s="484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'[67]Sch C'!D184</f>
        <v>0</v>
      </c>
      <c r="D178" s="480">
        <f>'[67]Sch C'!F184</f>
        <v>0</v>
      </c>
      <c r="E178" s="480">
        <f>+'[67]Sch C'!H184</f>
        <v>0</v>
      </c>
      <c r="F178" s="166">
        <f t="shared" si="58"/>
        <v>0</v>
      </c>
      <c r="G178" s="626"/>
      <c r="H178" s="484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'[67]Sch C'!D185</f>
        <v>0</v>
      </c>
      <c r="D179" s="480">
        <f>'[67]Sch C'!F185</f>
        <v>0</v>
      </c>
      <c r="E179" s="480">
        <f>+'[67]Sch C'!H185</f>
        <v>0</v>
      </c>
      <c r="F179" s="166">
        <f t="shared" si="58"/>
        <v>0</v>
      </c>
      <c r="G179" s="626"/>
      <c r="H179" s="484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'[67]Sch C'!D186</f>
        <v>0</v>
      </c>
      <c r="D180" s="480">
        <f>'[67]Sch C'!F186</f>
        <v>0</v>
      </c>
      <c r="E180" s="480">
        <f>+'[67]Sch C'!H186</f>
        <v>0</v>
      </c>
      <c r="F180" s="166">
        <f t="shared" si="58"/>
        <v>0</v>
      </c>
      <c r="G180" s="626"/>
      <c r="H180" s="484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'[67]Sch C'!D187</f>
        <v>0</v>
      </c>
      <c r="D181" s="480">
        <f>'[67]Sch C'!F187</f>
        <v>0</v>
      </c>
      <c r="E181" s="480">
        <f>+'[67]Sch C'!H187</f>
        <v>0</v>
      </c>
      <c r="F181" s="166">
        <f t="shared" si="58"/>
        <v>0</v>
      </c>
      <c r="G181" s="626"/>
      <c r="H181" s="484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'[67]Sch C'!D188</f>
        <v>0</v>
      </c>
      <c r="D182" s="480">
        <f>'[67]Sch C'!F188</f>
        <v>0</v>
      </c>
      <c r="E182" s="480">
        <f>+'[67]Sch C'!H188</f>
        <v>0</v>
      </c>
      <c r="F182" s="166">
        <f t="shared" si="58"/>
        <v>0</v>
      </c>
      <c r="G182" s="626"/>
      <c r="H182" s="484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'[67]Sch C'!D189</f>
        <v>0</v>
      </c>
      <c r="D183" s="480">
        <f>'[67]Sch C'!F189</f>
        <v>0</v>
      </c>
      <c r="E183" s="480">
        <f>+'[67]Sch C'!H189</f>
        <v>0</v>
      </c>
      <c r="F183" s="166">
        <f t="shared" si="58"/>
        <v>0</v>
      </c>
      <c r="G183" s="626"/>
      <c r="H183" s="484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'[67]Sch C'!D190</f>
        <v>0</v>
      </c>
      <c r="D184" s="480">
        <f>'[67]Sch C'!F190</f>
        <v>0</v>
      </c>
      <c r="E184" s="480">
        <f>+'[67]Sch C'!H190</f>
        <v>0</v>
      </c>
      <c r="F184" s="166">
        <f t="shared" si="58"/>
        <v>0</v>
      </c>
      <c r="G184" s="626"/>
      <c r="H184" s="484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'[67]Sch C'!D191</f>
        <v>0</v>
      </c>
      <c r="D185" s="480">
        <f>'[67]Sch C'!F191</f>
        <v>0</v>
      </c>
      <c r="E185" s="480">
        <f>+'[67]Sch C'!H191</f>
        <v>0</v>
      </c>
      <c r="F185" s="166">
        <f t="shared" si="58"/>
        <v>0</v>
      </c>
      <c r="G185" s="626"/>
      <c r="H185" s="484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'[67]Sch C'!D192</f>
        <v>0</v>
      </c>
      <c r="D186" s="480">
        <f>'[67]Sch C'!F192</f>
        <v>0</v>
      </c>
      <c r="E186" s="480">
        <f>+'[67]Sch C'!H192</f>
        <v>0</v>
      </c>
      <c r="F186" s="166">
        <f t="shared" si="58"/>
        <v>0</v>
      </c>
      <c r="G186" s="626"/>
      <c r="H186" s="484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'[67]Sch C'!D193</f>
        <v>0</v>
      </c>
      <c r="D187" s="480">
        <f>'[67]Sch C'!F193</f>
        <v>0</v>
      </c>
      <c r="E187" s="480">
        <f>+'[67]Sch C'!H193</f>
        <v>0</v>
      </c>
      <c r="F187" s="166">
        <f t="shared" si="58"/>
        <v>0</v>
      </c>
      <c r="G187" s="626"/>
      <c r="H187" s="484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'[67]Sch C'!D194</f>
        <v>657281.54</v>
      </c>
      <c r="D188" s="480">
        <f>'[67]Sch C'!F194</f>
        <v>0</v>
      </c>
      <c r="E188" s="480">
        <f>+'[67]Sch C'!H194</f>
        <v>-16513.439999999999</v>
      </c>
      <c r="F188" s="166">
        <f t="shared" si="58"/>
        <v>640768.10000000009</v>
      </c>
      <c r="G188" s="626"/>
      <c r="H188" s="484"/>
      <c r="I188" s="166">
        <f t="shared" si="59"/>
        <v>640768.10000000009</v>
      </c>
      <c r="J188" s="167">
        <f t="shared" si="60"/>
        <v>0.11143598660357282</v>
      </c>
      <c r="K188" s="458"/>
      <c r="L188" s="213"/>
      <c r="M188" s="208"/>
      <c r="O188" s="329">
        <f t="shared" si="61"/>
        <v>52.235110458954928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'[67]Sch C'!D195</f>
        <v>60787.9</v>
      </c>
      <c r="D189" s="480">
        <f>'[67]Sch C'!F195</f>
        <v>0</v>
      </c>
      <c r="E189" s="480">
        <f>+'[67]Sch C'!H195</f>
        <v>-1527.23</v>
      </c>
      <c r="F189" s="166">
        <f t="shared" si="58"/>
        <v>59260.67</v>
      </c>
      <c r="G189" s="626"/>
      <c r="H189" s="484"/>
      <c r="I189" s="166">
        <f t="shared" si="59"/>
        <v>59260.67</v>
      </c>
      <c r="J189" s="167">
        <f t="shared" si="60"/>
        <v>1.0306023705360408E-2</v>
      </c>
      <c r="K189" s="458"/>
      <c r="L189" s="213"/>
      <c r="M189" s="208"/>
      <c r="O189" s="329">
        <f t="shared" si="61"/>
        <v>4.8309016059346215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'[67]Sch C'!D196</f>
        <v>0</v>
      </c>
      <c r="D190" s="480">
        <f>'[67]Sch C'!F196</f>
        <v>0</v>
      </c>
      <c r="E190" s="480">
        <f>+'[67]Sch C'!H196</f>
        <v>0</v>
      </c>
      <c r="F190" s="166">
        <f t="shared" si="58"/>
        <v>0</v>
      </c>
      <c r="G190" s="626"/>
      <c r="H190" s="484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'[67]Sch C'!D197</f>
        <v>523399.17</v>
      </c>
      <c r="D191" s="480">
        <f>'[67]Sch C'!F197</f>
        <v>0</v>
      </c>
      <c r="E191" s="480">
        <f>+'[67]Sch C'!H197</f>
        <v>-13149.79</v>
      </c>
      <c r="F191" s="166">
        <f t="shared" si="58"/>
        <v>510249.38</v>
      </c>
      <c r="G191" s="626"/>
      <c r="H191" s="484"/>
      <c r="I191" s="166">
        <f t="shared" si="59"/>
        <v>510249.38</v>
      </c>
      <c r="J191" s="167">
        <f t="shared" si="60"/>
        <v>8.8737474718484463E-2</v>
      </c>
      <c r="K191" s="458"/>
      <c r="L191" s="213"/>
      <c r="M191" s="208"/>
      <c r="O191" s="329">
        <f t="shared" si="61"/>
        <v>41.595286541126598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'[67]Sch C'!D198</f>
        <v>57329.61</v>
      </c>
      <c r="D192" s="480">
        <f>'[67]Sch C'!F198</f>
        <v>0</v>
      </c>
      <c r="E192" s="480">
        <f>+'[67]Sch C'!H198</f>
        <v>0</v>
      </c>
      <c r="F192" s="166">
        <f t="shared" si="58"/>
        <v>57329.61</v>
      </c>
      <c r="G192" s="626"/>
      <c r="H192" s="484"/>
      <c r="I192" s="166">
        <f t="shared" si="59"/>
        <v>57329.61</v>
      </c>
      <c r="J192" s="167">
        <f t="shared" si="60"/>
        <v>9.9701930416761595E-3</v>
      </c>
      <c r="K192" s="458"/>
      <c r="L192" s="213"/>
      <c r="M192" s="208"/>
      <c r="O192" s="329">
        <f t="shared" si="61"/>
        <v>4.6734825140621181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'[67]Sch C'!D199</f>
        <v>0</v>
      </c>
      <c r="D193" s="480">
        <f>'[67]Sch C'!F199</f>
        <v>0</v>
      </c>
      <c r="E193" s="480">
        <f>+'[67]Sch C'!H199</f>
        <v>0</v>
      </c>
      <c r="F193" s="166">
        <f t="shared" si="58"/>
        <v>0</v>
      </c>
      <c r="G193" s="626"/>
      <c r="H193" s="484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'[67]Sch C'!D200</f>
        <v>0</v>
      </c>
      <c r="D194" s="480">
        <f>'[67]Sch C'!F200</f>
        <v>0</v>
      </c>
      <c r="E194" s="480">
        <f>+'[67]Sch C'!H200</f>
        <v>0</v>
      </c>
      <c r="F194" s="166">
        <f t="shared" si="58"/>
        <v>0</v>
      </c>
      <c r="G194" s="626"/>
      <c r="H194" s="484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'[67]Sch C'!D201</f>
        <v>0</v>
      </c>
      <c r="D195" s="480">
        <f>'[67]Sch C'!F201</f>
        <v>0</v>
      </c>
      <c r="E195" s="480">
        <f>+'[67]Sch C'!H201</f>
        <v>0</v>
      </c>
      <c r="F195" s="166">
        <f t="shared" si="58"/>
        <v>0</v>
      </c>
      <c r="G195" s="626"/>
      <c r="H195" s="484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'[67]Sch C'!D202</f>
        <v>0</v>
      </c>
      <c r="D196" s="480">
        <f>'[67]Sch C'!F202</f>
        <v>0</v>
      </c>
      <c r="E196" s="480">
        <f>+'[67]Sch C'!H202</f>
        <v>0</v>
      </c>
      <c r="F196" s="166">
        <f t="shared" si="58"/>
        <v>0</v>
      </c>
      <c r="G196" s="626"/>
      <c r="H196" s="484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'[67]Sch C'!D203</f>
        <v>0</v>
      </c>
      <c r="D197" s="480">
        <f>'[67]Sch C'!F203</f>
        <v>0</v>
      </c>
      <c r="E197" s="480">
        <f>+'[67]Sch C'!H203</f>
        <v>0</v>
      </c>
      <c r="F197" s="166">
        <f t="shared" si="58"/>
        <v>0</v>
      </c>
      <c r="G197" s="626"/>
      <c r="H197" s="484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'[67]Sch C'!D204</f>
        <v>0</v>
      </c>
      <c r="D198" s="480">
        <f>'[67]Sch C'!F204</f>
        <v>0</v>
      </c>
      <c r="E198" s="480">
        <f>+'[67]Sch C'!H204</f>
        <v>0</v>
      </c>
      <c r="F198" s="166">
        <f t="shared" si="58"/>
        <v>0</v>
      </c>
      <c r="G198" s="626"/>
      <c r="H198" s="484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'[67]Sch C'!D205</f>
        <v>538836.81000000006</v>
      </c>
      <c r="D199" s="480">
        <f>'[67]Sch C'!F205</f>
        <v>0</v>
      </c>
      <c r="E199" s="480">
        <f>+'[67]Sch C'!H205</f>
        <v>-352228.06</v>
      </c>
      <c r="F199" s="166">
        <f t="shared" si="58"/>
        <v>186608.75000000006</v>
      </c>
      <c r="G199" s="626"/>
      <c r="H199" s="484"/>
      <c r="I199" s="166">
        <f t="shared" si="59"/>
        <v>186608.75000000006</v>
      </c>
      <c r="J199" s="167">
        <f t="shared" si="60"/>
        <v>3.2453129556713999E-2</v>
      </c>
      <c r="K199" s="458"/>
      <c r="L199" s="213"/>
      <c r="M199" s="208"/>
      <c r="O199" s="329">
        <f t="shared" si="61"/>
        <v>15.212256460422276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'[67]Sch C'!D206</f>
        <v>16577.64</v>
      </c>
      <c r="D200" s="480">
        <f>'[67]Sch C'!F206</f>
        <v>0</v>
      </c>
      <c r="E200" s="480">
        <f>+'[67]Sch C'!H206</f>
        <v>0</v>
      </c>
      <c r="F200" s="166">
        <f t="shared" si="58"/>
        <v>16577.64</v>
      </c>
      <c r="G200" s="626"/>
      <c r="H200" s="484"/>
      <c r="I200" s="166">
        <f t="shared" si="59"/>
        <v>16577.64</v>
      </c>
      <c r="J200" s="167">
        <f t="shared" si="60"/>
        <v>2.8830175362332369E-3</v>
      </c>
      <c r="K200" s="458"/>
      <c r="L200" s="213"/>
      <c r="M200" s="208"/>
      <c r="O200" s="329">
        <f t="shared" si="61"/>
        <v>1.3514013206162876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'[67]Sch C'!D207</f>
        <v>26946.68</v>
      </c>
      <c r="D201" s="480">
        <f>'[67]Sch C'!F207</f>
        <v>0</v>
      </c>
      <c r="E201" s="480">
        <f>+'[67]Sch C'!H207</f>
        <v>0</v>
      </c>
      <c r="F201" s="166">
        <f t="shared" si="58"/>
        <v>26946.68</v>
      </c>
      <c r="G201" s="626"/>
      <c r="H201" s="484"/>
      <c r="I201" s="166">
        <f t="shared" si="59"/>
        <v>26946.68</v>
      </c>
      <c r="J201" s="167">
        <f t="shared" si="60"/>
        <v>4.6862973851082212E-3</v>
      </c>
      <c r="K201" s="458"/>
      <c r="L201" s="213"/>
      <c r="M201" s="208"/>
      <c r="O201" s="329">
        <f t="shared" si="61"/>
        <v>2.1966805249857342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1881159.35</v>
      </c>
      <c r="D202" s="480">
        <f t="shared" si="62"/>
        <v>0</v>
      </c>
      <c r="E202" s="480">
        <f t="shared" si="62"/>
        <v>-383418.52</v>
      </c>
      <c r="F202" s="166">
        <f t="shared" ref="F202:I202" si="63">SUM(F169:F201)</f>
        <v>1497740.83</v>
      </c>
      <c r="G202" s="166">
        <f t="shared" si="63"/>
        <v>0</v>
      </c>
      <c r="H202" s="166">
        <f t="shared" si="63"/>
        <v>0</v>
      </c>
      <c r="I202" s="166">
        <f t="shared" si="63"/>
        <v>1497740.83</v>
      </c>
      <c r="J202" s="167">
        <f>IF($I$213=0,0,I202/$I$213)</f>
        <v>0.2604721225471493</v>
      </c>
      <c r="K202" s="458"/>
      <c r="L202" s="163"/>
      <c r="M202" s="163"/>
      <c r="O202" s="329">
        <f>I202/I$233</f>
        <v>122.09511942610256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'[67]Sch C'!D211</f>
        <v>41293.46</v>
      </c>
      <c r="D205" s="480">
        <f>'[67]Sch C'!F211</f>
        <v>0</v>
      </c>
      <c r="E205" s="480">
        <f>+'[67]Sch C'!H211</f>
        <v>0</v>
      </c>
      <c r="F205" s="166">
        <f t="shared" ref="F205:F210" si="64">C205+D205+E205</f>
        <v>41293.46</v>
      </c>
      <c r="G205" s="626"/>
      <c r="H205" s="484"/>
      <c r="I205" s="166">
        <f t="shared" ref="I205:I210" si="65">F205+G205+H205</f>
        <v>41293.46</v>
      </c>
      <c r="J205" s="167">
        <f t="shared" ref="J205:J211" si="66">IF($I$213=0,0,I205/$I$213)</f>
        <v>7.1813460366943497E-3</v>
      </c>
      <c r="K205" s="458"/>
      <c r="L205" s="176">
        <v>1888.4</v>
      </c>
      <c r="M205" s="176">
        <v>2461.31</v>
      </c>
      <c r="O205" s="329">
        <f t="shared" ref="O205:O210" si="67">I205/I$233</f>
        <v>3.3662232004565094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'[67]Sch C'!D212</f>
        <v>14027.12</v>
      </c>
      <c r="D206" s="480">
        <f>'[67]Sch C'!F212</f>
        <v>0</v>
      </c>
      <c r="E206" s="480">
        <f>+'[67]Sch C'!H212</f>
        <v>0</v>
      </c>
      <c r="F206" s="166">
        <f t="shared" si="64"/>
        <v>14027.12</v>
      </c>
      <c r="G206" s="626">
        <v>-870</v>
      </c>
      <c r="H206" s="484"/>
      <c r="I206" s="166">
        <f t="shared" si="65"/>
        <v>13157.12</v>
      </c>
      <c r="J206" s="167">
        <f t="shared" si="66"/>
        <v>2.2881548692289767E-3</v>
      </c>
      <c r="K206" s="458"/>
      <c r="L206" s="163"/>
      <c r="M206" s="163"/>
      <c r="O206" s="329">
        <f t="shared" si="67"/>
        <v>1.0725621586369936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'[67]Sch C'!D213</f>
        <v>28609.26</v>
      </c>
      <c r="D207" s="480">
        <f>'[67]Sch C'!F213</f>
        <v>0</v>
      </c>
      <c r="E207" s="480">
        <f>+'[67]Sch C'!H213</f>
        <v>0</v>
      </c>
      <c r="F207" s="166">
        <f t="shared" si="64"/>
        <v>28609.26</v>
      </c>
      <c r="G207" s="626"/>
      <c r="H207" s="484"/>
      <c r="I207" s="166">
        <f t="shared" si="65"/>
        <v>28609.26</v>
      </c>
      <c r="J207" s="167">
        <f t="shared" si="66"/>
        <v>4.9754366893391402E-3</v>
      </c>
      <c r="K207" s="458"/>
      <c r="L207" s="163"/>
      <c r="M207" s="163"/>
      <c r="O207" s="329">
        <f t="shared" si="67"/>
        <v>2.3322132550745902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'[67]Sch C'!D214</f>
        <v>0</v>
      </c>
      <c r="D208" s="480">
        <f>'[67]Sch C'!F214</f>
        <v>0</v>
      </c>
      <c r="E208" s="480">
        <f>+'[67]Sch C'!H214</f>
        <v>0</v>
      </c>
      <c r="F208" s="166">
        <f t="shared" si="64"/>
        <v>0</v>
      </c>
      <c r="G208" s="626"/>
      <c r="H208" s="484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'[67]Sch C'!D215</f>
        <v>0</v>
      </c>
      <c r="D209" s="480">
        <f>'[67]Sch C'!F215</f>
        <v>0</v>
      </c>
      <c r="E209" s="480">
        <f>+'[67]Sch C'!H215</f>
        <v>0</v>
      </c>
      <c r="F209" s="166">
        <f t="shared" si="64"/>
        <v>0</v>
      </c>
      <c r="G209" s="626"/>
      <c r="H209" s="484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'[67]Sch C'!D216</f>
        <v>2978.22</v>
      </c>
      <c r="D210" s="480">
        <f>'[67]Sch C'!F216</f>
        <v>0</v>
      </c>
      <c r="E210" s="480">
        <f>+'[67]Sch C'!H216</f>
        <v>0</v>
      </c>
      <c r="F210" s="166">
        <f t="shared" si="64"/>
        <v>2978.22</v>
      </c>
      <c r="G210" s="626"/>
      <c r="H210" s="484"/>
      <c r="I210" s="166">
        <f t="shared" si="65"/>
        <v>2978.22</v>
      </c>
      <c r="J210" s="167">
        <f t="shared" si="66"/>
        <v>5.1794226963310531E-4</v>
      </c>
      <c r="K210" s="458"/>
      <c r="L210" s="163"/>
      <c r="M210" s="163"/>
      <c r="O210" s="329">
        <f t="shared" si="67"/>
        <v>0.24278307654683295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86908.06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86908.06</v>
      </c>
      <c r="G211" s="166">
        <f t="shared" si="69"/>
        <v>-870</v>
      </c>
      <c r="H211" s="166">
        <f t="shared" si="69"/>
        <v>0</v>
      </c>
      <c r="I211" s="166">
        <f t="shared" si="69"/>
        <v>86038.06</v>
      </c>
      <c r="J211" s="167">
        <f t="shared" si="66"/>
        <v>1.4962879864895572E-2</v>
      </c>
      <c r="K211" s="458"/>
      <c r="L211" s="163"/>
      <c r="M211" s="163"/>
      <c r="O211" s="329">
        <f>I211/I$233</f>
        <v>7.013781690714926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6330053.5700000003</v>
      </c>
      <c r="D213" s="480">
        <f t="shared" si="70"/>
        <v>-8699.929999999993</v>
      </c>
      <c r="E213" s="480">
        <f t="shared" si="70"/>
        <v>-438742.34</v>
      </c>
      <c r="F213" s="166">
        <f t="shared" ref="F213:I213" si="71">SUM(F30:F211)/2</f>
        <v>5882611.3000000007</v>
      </c>
      <c r="G213" s="166">
        <f t="shared" si="71"/>
        <v>-153182</v>
      </c>
      <c r="H213" s="166">
        <f t="shared" si="71"/>
        <v>20671</v>
      </c>
      <c r="I213" s="166">
        <f t="shared" si="71"/>
        <v>5750100.3000000007</v>
      </c>
      <c r="J213" s="167">
        <f>IF($I$213=0,0,I213/$I$213)</f>
        <v>1</v>
      </c>
      <c r="K213" s="458"/>
      <c r="L213" s="176">
        <f>SUM(L30:L205)</f>
        <v>90633.31</v>
      </c>
      <c r="M213" s="176">
        <f>SUM(M30:M205)</f>
        <v>96621.819999999992</v>
      </c>
      <c r="O213" s="329">
        <f>I213/I$233</f>
        <v>468.74543898263641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'[67]Sch C'!D221</f>
        <v>6330053.2599999998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0.31000000052154064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160752.5</v>
      </c>
      <c r="D220" s="480">
        <f t="shared" si="72"/>
        <v>122280.93</v>
      </c>
      <c r="E220" s="480">
        <f t="shared" si="72"/>
        <v>438742.34</v>
      </c>
      <c r="F220" s="166">
        <f t="shared" ref="F220:I220" si="73">F26-F213</f>
        <v>721775.76999999955</v>
      </c>
      <c r="G220" s="166">
        <f t="shared" si="73"/>
        <v>-703310</v>
      </c>
      <c r="H220" s="166">
        <f t="shared" si="73"/>
        <v>-20671</v>
      </c>
      <c r="I220" s="166">
        <f t="shared" si="73"/>
        <v>-2205.230000000447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'[67]Sch D'!C9</f>
        <v>2051</v>
      </c>
      <c r="D224" s="480"/>
      <c r="E224" s="480"/>
      <c r="F224" s="224">
        <f>C224+D224+E224</f>
        <v>2051</v>
      </c>
      <c r="G224" s="627"/>
      <c r="H224" s="223"/>
      <c r="I224" s="224">
        <f>F224+G224+H224</f>
        <v>2051</v>
      </c>
      <c r="J224" s="167">
        <f t="shared" ref="J224:J233" si="74">IF($I$233=0,0,I224/$I$233)</f>
        <v>0.16719654357218555</v>
      </c>
      <c r="K224" s="458"/>
      <c r="L224" s="163"/>
      <c r="M224" s="163"/>
    </row>
    <row r="225" spans="1:13">
      <c r="A225" s="158"/>
      <c r="B225" s="165" t="s">
        <v>201</v>
      </c>
      <c r="C225" s="504">
        <f>'[67]Sch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'[67]Sch D'!E9</f>
        <v>4699</v>
      </c>
      <c r="D226" s="480"/>
      <c r="E226" s="480"/>
      <c r="F226" s="224">
        <f t="shared" si="75"/>
        <v>4699</v>
      </c>
      <c r="G226" s="627"/>
      <c r="H226" s="223"/>
      <c r="I226" s="224">
        <f t="shared" si="76"/>
        <v>4699</v>
      </c>
      <c r="J226" s="167">
        <f t="shared" si="74"/>
        <v>0.3830602429281813</v>
      </c>
      <c r="K226" s="458"/>
      <c r="L226" s="163"/>
      <c r="M226" s="163"/>
    </row>
    <row r="227" spans="1:13">
      <c r="A227" s="158"/>
      <c r="B227" s="194" t="s">
        <v>315</v>
      </c>
      <c r="C227" s="504">
        <f>'[67]Sch D'!F9</f>
        <v>2980</v>
      </c>
      <c r="D227" s="480"/>
      <c r="E227" s="480"/>
      <c r="F227" s="224">
        <f t="shared" si="75"/>
        <v>2980</v>
      </c>
      <c r="G227" s="627"/>
      <c r="H227" s="223"/>
      <c r="I227" s="224">
        <f t="shared" si="76"/>
        <v>2980</v>
      </c>
      <c r="J227" s="167">
        <f t="shared" si="74"/>
        <v>0.2429281812994212</v>
      </c>
      <c r="K227" s="458"/>
      <c r="L227" s="163"/>
      <c r="M227" s="163"/>
    </row>
    <row r="228" spans="1:13">
      <c r="A228" s="158"/>
      <c r="B228" s="165" t="s">
        <v>65</v>
      </c>
      <c r="C228" s="504">
        <f>'[67]Sch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'[67]Sch D'!H9</f>
        <v>1856</v>
      </c>
      <c r="D229" s="480"/>
      <c r="E229" s="480"/>
      <c r="F229" s="224">
        <f t="shared" si="75"/>
        <v>1856</v>
      </c>
      <c r="G229" s="627"/>
      <c r="H229" s="223"/>
      <c r="I229" s="224">
        <f t="shared" si="76"/>
        <v>1856</v>
      </c>
      <c r="J229" s="167">
        <f t="shared" si="74"/>
        <v>0.15130023640661938</v>
      </c>
      <c r="K229" s="458"/>
      <c r="L229" s="163"/>
      <c r="M229" s="163"/>
    </row>
    <row r="230" spans="1:13">
      <c r="A230" s="158"/>
      <c r="B230" s="165" t="s">
        <v>219</v>
      </c>
      <c r="C230" s="504">
        <f>'[67]Sch D'!I9</f>
        <v>420</v>
      </c>
      <c r="D230" s="480"/>
      <c r="E230" s="480"/>
      <c r="F230" s="224">
        <f t="shared" si="75"/>
        <v>420</v>
      </c>
      <c r="G230" s="627"/>
      <c r="H230" s="223"/>
      <c r="I230" s="224">
        <f t="shared" si="76"/>
        <v>420</v>
      </c>
      <c r="J230" s="167">
        <f t="shared" si="74"/>
        <v>3.4238200048911711E-2</v>
      </c>
      <c r="K230" s="458"/>
      <c r="L230" s="163"/>
      <c r="M230" s="163"/>
    </row>
    <row r="231" spans="1:13">
      <c r="A231" s="158"/>
      <c r="B231" s="165" t="s">
        <v>218</v>
      </c>
      <c r="C231" s="504">
        <f>'[67]Sch D'!J9</f>
        <v>232</v>
      </c>
      <c r="D231" s="480"/>
      <c r="E231" s="480"/>
      <c r="F231" s="224">
        <f t="shared" si="75"/>
        <v>232</v>
      </c>
      <c r="G231" s="627"/>
      <c r="H231" s="223"/>
      <c r="I231" s="224">
        <f t="shared" si="76"/>
        <v>232</v>
      </c>
      <c r="J231" s="167">
        <f>IF($I$233=0,0,I231/$I$233)</f>
        <v>1.8912529550827423E-2</v>
      </c>
      <c r="K231" s="458"/>
      <c r="L231" s="163"/>
      <c r="M231" s="163"/>
    </row>
    <row r="232" spans="1:13">
      <c r="A232" s="158"/>
      <c r="B232" s="165" t="s">
        <v>170</v>
      </c>
      <c r="C232" s="504">
        <f>'[67]Sch D'!K9</f>
        <v>29</v>
      </c>
      <c r="D232" s="480"/>
      <c r="E232" s="480"/>
      <c r="F232" s="224">
        <f t="shared" si="75"/>
        <v>29</v>
      </c>
      <c r="G232" s="627"/>
      <c r="H232" s="223"/>
      <c r="I232" s="224">
        <f t="shared" si="76"/>
        <v>29</v>
      </c>
      <c r="J232" s="167">
        <f t="shared" si="74"/>
        <v>2.3640661938534278E-3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12267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12267</v>
      </c>
      <c r="G233" s="226">
        <f t="shared" si="78"/>
        <v>0</v>
      </c>
      <c r="H233" s="226">
        <f t="shared" si="78"/>
        <v>0</v>
      </c>
      <c r="I233" s="226">
        <f t="shared" si="78"/>
        <v>12267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'[67]Sch D'!N22</f>
        <v>40</v>
      </c>
      <c r="D236" s="480"/>
      <c r="E236" s="480"/>
      <c r="F236" s="224">
        <f>C236+E236</f>
        <v>40</v>
      </c>
      <c r="G236" s="627"/>
      <c r="H236" s="224"/>
      <c r="I236" s="224">
        <f>F236+G236+H236</f>
        <v>40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'[67]Sch D'!N24</f>
        <v>10</v>
      </c>
      <c r="D237" s="480"/>
      <c r="E237" s="480"/>
      <c r="F237" s="224">
        <f>C237+E237</f>
        <v>10</v>
      </c>
      <c r="G237" s="627"/>
      <c r="H237" s="224"/>
      <c r="I237" s="224">
        <f>F237+G237+H237</f>
        <v>10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'[67]Sch D'!N28</f>
        <v>14600</v>
      </c>
      <c r="D240" s="427"/>
      <c r="E240" s="427"/>
      <c r="F240" s="223">
        <f>F236*F238</f>
        <v>14600</v>
      </c>
      <c r="G240"/>
      <c r="H240" s="228"/>
      <c r="I240" s="223">
        <f>I236*I238</f>
        <v>14600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'[67]Sch D'!N30</f>
        <v>0.84020547945205482</v>
      </c>
      <c r="D241" s="228"/>
      <c r="E241" s="228"/>
      <c r="F241" s="232">
        <f>F233/F240</f>
        <v>0.84020547945205482</v>
      </c>
      <c r="G241"/>
      <c r="H241" s="233"/>
      <c r="I241" s="232">
        <f>I233/I240</f>
        <v>0.84020547945205482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'[67]Sch D'!N32</f>
        <v>0.14047945205479451</v>
      </c>
      <c r="D242" s="228"/>
      <c r="E242" s="228"/>
      <c r="F242" s="232">
        <f>(F224+F225)/F240</f>
        <v>0.14047945205479451</v>
      </c>
      <c r="G242"/>
      <c r="H242" s="233"/>
      <c r="I242" s="232">
        <f>(I224+I225)/I240</f>
        <v>0.14047945205479451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'[67]Sch D'!N34</f>
        <v>0.16719654357218552</v>
      </c>
      <c r="D243" s="228"/>
      <c r="E243" s="228"/>
      <c r="F243" s="232">
        <f>(F242/F241)</f>
        <v>0.16719654357218552</v>
      </c>
      <c r="G243"/>
      <c r="H243" s="233"/>
      <c r="I243" s="232">
        <f>(I242/I241)</f>
        <v>0.16719654357218552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'[67]Sch B'!C90</f>
        <v>433.09658695652172</v>
      </c>
      <c r="K246" s="460"/>
    </row>
    <row r="247" spans="1:13">
      <c r="H247" s="140" t="s">
        <v>322</v>
      </c>
      <c r="I247" s="480">
        <f>'[67]Sch B'!E90</f>
        <v>430.00944897959187</v>
      </c>
      <c r="K247" s="460"/>
    </row>
    <row r="248" spans="1:13">
      <c r="H248" s="140" t="s">
        <v>323</v>
      </c>
      <c r="I248" s="480">
        <f>'[67]Sch B'!G90</f>
        <v>504.94369942196528</v>
      </c>
      <c r="K248" s="460"/>
    </row>
    <row r="249" spans="1:13">
      <c r="H249" s="140" t="s">
        <v>324</v>
      </c>
      <c r="I249" s="480">
        <f>'[67]Sch B'!I90</f>
        <v>414.8173126614987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391</v>
      </c>
      <c r="D2" s="234"/>
      <c r="E2" s="234"/>
      <c r="F2" s="142"/>
      <c r="G2" s="142"/>
      <c r="H2" s="411"/>
    </row>
    <row r="3" spans="1:16" ht="15.5">
      <c r="A3" s="143"/>
      <c r="B3" s="138" t="s">
        <v>71</v>
      </c>
      <c r="C3" s="557">
        <f>'[68]Sch A Pg 1'!B39</f>
        <v>42917</v>
      </c>
      <c r="D3" s="623"/>
      <c r="E3" s="142"/>
      <c r="F3" s="144"/>
      <c r="G3" s="144"/>
      <c r="H3"/>
    </row>
    <row r="4" spans="1:16" ht="15.5">
      <c r="A4" s="143"/>
      <c r="B4" s="145" t="s">
        <v>72</v>
      </c>
      <c r="C4" s="557">
        <f>'[68]Sch A Pg 1'!G39</f>
        <v>43281</v>
      </c>
      <c r="D4" s="623"/>
      <c r="E4" s="142"/>
      <c r="F4" s="146"/>
      <c r="G4" s="146"/>
      <c r="H4"/>
      <c r="I4" s="147"/>
    </row>
    <row r="5" spans="1:16" ht="15.5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406"/>
      <c r="I10" s="160"/>
      <c r="J10" s="161"/>
      <c r="K10" s="463"/>
      <c r="L10" s="163"/>
      <c r="M10" s="163"/>
    </row>
    <row r="11" spans="1:16" s="162" customFormat="1" ht="15">
      <c r="A11" s="158"/>
      <c r="B11" s="615" t="s">
        <v>511</v>
      </c>
      <c r="C11" s="160"/>
      <c r="D11" s="160"/>
      <c r="E11" s="160"/>
      <c r="F11" s="160"/>
      <c r="G11" s="160"/>
      <c r="H11" s="406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'[68]Sch B'!E10</f>
        <v>3414338.84</v>
      </c>
      <c r="D12" s="480">
        <f>'[68]Sch B'!G10</f>
        <v>-1357</v>
      </c>
      <c r="E12" s="480"/>
      <c r="F12" s="166">
        <f>C12+D12+E12</f>
        <v>3412981.84</v>
      </c>
      <c r="G12" s="626"/>
      <c r="H12" s="166"/>
      <c r="I12" s="166">
        <f>F12+G12+H12</f>
        <v>3412981.84</v>
      </c>
      <c r="J12" s="167">
        <f>IF($I$26=0,0,I12/$I$26)</f>
        <v>0.28018519832812433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'[68]Sch B'!E12</f>
        <v>0</v>
      </c>
      <c r="D13" s="480">
        <f>'[68]Sch B'!G12</f>
        <v>2505081.1</v>
      </c>
      <c r="E13" s="480"/>
      <c r="F13" s="166">
        <f t="shared" ref="F13:F25" si="0">C13+D13+E13</f>
        <v>2505081.1</v>
      </c>
      <c r="G13" s="626"/>
      <c r="H13" s="166"/>
      <c r="I13" s="166">
        <f t="shared" ref="I13:I25" si="1">F13+G13+H13</f>
        <v>2505081.1</v>
      </c>
      <c r="J13" s="167">
        <f>IF($I$26=0,0,I13/$I$26)</f>
        <v>0.20565203031714224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'[68]Sch B'!E13</f>
        <v>0</v>
      </c>
      <c r="D14" s="480">
        <f>'[68]Sch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'[68]Sch B'!E14</f>
        <v>0</v>
      </c>
      <c r="D15" s="480">
        <f>'[68]Sch B'!G14</f>
        <v>18484.490000000002</v>
      </c>
      <c r="E15" s="480"/>
      <c r="F15" s="166">
        <f t="shared" si="0"/>
        <v>18484.490000000002</v>
      </c>
      <c r="G15" s="626"/>
      <c r="H15" s="166"/>
      <c r="I15" s="166">
        <f t="shared" si="1"/>
        <v>18484.490000000002</v>
      </c>
      <c r="J15" s="167">
        <f>IF($I$26=0,0,I15/$I$26)</f>
        <v>1.5174650025809194E-3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'[68]Sch B'!E15</f>
        <v>3414338.84</v>
      </c>
      <c r="D16" s="480">
        <f>'[68]Sch B'!G15</f>
        <v>2522208.5900000003</v>
      </c>
      <c r="E16" s="480"/>
      <c r="F16" s="166">
        <f t="shared" si="0"/>
        <v>5936547.4299999997</v>
      </c>
      <c r="G16" s="626"/>
      <c r="H16" s="166"/>
      <c r="I16" s="166">
        <f>SUM(I12:I15)</f>
        <v>5936547.4299999997</v>
      </c>
      <c r="J16" s="167">
        <f t="shared" ref="J16:J26" si="2">IF($I$26=0,0,I16/$I$26)</f>
        <v>0.48735469364784745</v>
      </c>
      <c r="K16" s="457"/>
      <c r="L16" s="333" t="s">
        <v>325</v>
      </c>
      <c r="M16" s="334">
        <f>I26</f>
        <v>12181163.959999999</v>
      </c>
      <c r="O16" s="324">
        <f>IFERROR(I16/I224,0)</f>
        <v>335.92957390221818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'[68]Sch B'!E20</f>
        <v>0</v>
      </c>
      <c r="D17" s="480">
        <f>'[68]Sch B'!G20</f>
        <v>1357.03</v>
      </c>
      <c r="E17" s="480"/>
      <c r="F17" s="166">
        <f t="shared" si="0"/>
        <v>1357.03</v>
      </c>
      <c r="G17" s="626"/>
      <c r="H17" s="166"/>
      <c r="I17" s="166">
        <f t="shared" si="1"/>
        <v>1357.03</v>
      </c>
      <c r="J17" s="167">
        <f t="shared" si="2"/>
        <v>1.1140396799978712E-4</v>
      </c>
      <c r="K17" s="458"/>
      <c r="L17" s="335" t="s">
        <v>326</v>
      </c>
      <c r="M17" s="336">
        <f>I213</f>
        <v>10188667.140000001</v>
      </c>
      <c r="O17" s="324">
        <f t="shared" ref="O17:O24" si="3">IFERROR(I17/I225,0)</f>
        <v>193.86142857142858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'[68]Sch B'!E26</f>
        <v>4085877.3899999997</v>
      </c>
      <c r="D18" s="480">
        <f>'[68]Sch B'!G26</f>
        <v>0</v>
      </c>
      <c r="E18" s="480"/>
      <c r="F18" s="166">
        <f t="shared" si="0"/>
        <v>4085877.3899999997</v>
      </c>
      <c r="G18" s="626"/>
      <c r="H18" s="166"/>
      <c r="I18" s="166">
        <f t="shared" si="1"/>
        <v>4085877.3899999997</v>
      </c>
      <c r="J18" s="167">
        <f t="shared" si="2"/>
        <v>0.33542585941844594</v>
      </c>
      <c r="K18" s="458"/>
      <c r="L18" s="335" t="s">
        <v>327</v>
      </c>
      <c r="M18" s="336">
        <f>I233</f>
        <v>32519</v>
      </c>
      <c r="O18" s="324">
        <f t="shared" si="3"/>
        <v>589.33757247944607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'[68]Sch B'!E32</f>
        <v>811474.67999999993</v>
      </c>
      <c r="D19" s="480">
        <f>'[68]Sch B'!G32</f>
        <v>0</v>
      </c>
      <c r="E19" s="480"/>
      <c r="F19" s="166">
        <f t="shared" si="0"/>
        <v>811474.67999999993</v>
      </c>
      <c r="G19" s="626"/>
      <c r="H19" s="166"/>
      <c r="I19" s="166">
        <f t="shared" si="1"/>
        <v>811474.67999999993</v>
      </c>
      <c r="J19" s="170">
        <f t="shared" si="2"/>
        <v>6.6617170794571592E-2</v>
      </c>
      <c r="K19" s="464"/>
      <c r="L19" s="335" t="s">
        <v>328</v>
      </c>
      <c r="M19" s="336">
        <f>I236</f>
        <v>104</v>
      </c>
      <c r="O19" s="324">
        <f t="shared" si="3"/>
        <v>437.68860841423947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'[68]Sch B'!E37</f>
        <v>0</v>
      </c>
      <c r="D20" s="480">
        <f>'[68]Sch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37960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'[68]Sch B'!E42</f>
        <v>972762.84999999986</v>
      </c>
      <c r="D21" s="480">
        <f>'[68]Sch B'!G42</f>
        <v>0</v>
      </c>
      <c r="E21" s="480"/>
      <c r="F21" s="166">
        <f t="shared" si="0"/>
        <v>972762.84999999986</v>
      </c>
      <c r="G21" s="626"/>
      <c r="H21" s="166"/>
      <c r="I21" s="166">
        <f t="shared" si="1"/>
        <v>972762.84999999986</v>
      </c>
      <c r="J21" s="167">
        <f t="shared" si="2"/>
        <v>7.9857955544668652E-2</v>
      </c>
      <c r="K21" s="458"/>
      <c r="L21" s="337"/>
      <c r="M21" s="336"/>
      <c r="O21" s="324">
        <f t="shared" si="3"/>
        <v>237.49093017578122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'[68]Sch B'!E47</f>
        <v>0</v>
      </c>
      <c r="D22" s="480">
        <f>'[68]Sch B'!G47</f>
        <v>329758.40999999997</v>
      </c>
      <c r="E22" s="480"/>
      <c r="F22" s="166">
        <f t="shared" si="0"/>
        <v>329758.40999999997</v>
      </c>
      <c r="G22" s="626"/>
      <c r="H22" s="166"/>
      <c r="I22" s="166">
        <f t="shared" si="1"/>
        <v>329758.40999999997</v>
      </c>
      <c r="J22" s="167">
        <f t="shared" si="2"/>
        <v>2.7071174075223595E-2</v>
      </c>
      <c r="K22" s="458"/>
      <c r="L22" s="335" t="s">
        <v>148</v>
      </c>
      <c r="M22" s="336">
        <f>L213</f>
        <v>203995.53</v>
      </c>
      <c r="O22" s="324">
        <f t="shared" si="3"/>
        <v>193.86149911816577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'[68]Sch B'!E52</f>
        <v>372253.55</v>
      </c>
      <c r="D23" s="480">
        <f>'[68]Sch B'!G52</f>
        <v>-329758</v>
      </c>
      <c r="E23" s="480"/>
      <c r="F23" s="166">
        <f t="shared" si="0"/>
        <v>42495.549999999988</v>
      </c>
      <c r="G23" s="626"/>
      <c r="H23" s="166"/>
      <c r="I23" s="166">
        <f t="shared" si="1"/>
        <v>42495.549999999988</v>
      </c>
      <c r="J23" s="167">
        <f t="shared" si="2"/>
        <v>3.4886280276289782E-3</v>
      </c>
      <c r="K23" s="458"/>
      <c r="L23" s="338" t="s">
        <v>233</v>
      </c>
      <c r="M23" s="339">
        <f>M213</f>
        <v>217856.98000000004</v>
      </c>
      <c r="O23" s="324">
        <f t="shared" si="3"/>
        <v>165.99824218749995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'[68]Sch B'!E57</f>
        <v>0</v>
      </c>
      <c r="D24" s="480">
        <f>'[68]Sch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'[68]Sch B'!E72</f>
        <v>-117637.88999999998</v>
      </c>
      <c r="D25" s="480">
        <f>'[68]Sch B'!G72</f>
        <v>118528.51</v>
      </c>
      <c r="E25" s="480"/>
      <c r="F25" s="166">
        <f t="shared" si="0"/>
        <v>890.6200000000099</v>
      </c>
      <c r="G25" s="626"/>
      <c r="H25" s="166"/>
      <c r="I25" s="166">
        <f t="shared" si="1"/>
        <v>890.6200000000099</v>
      </c>
      <c r="J25" s="167">
        <f t="shared" si="2"/>
        <v>7.3114523614047959E-5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9539069.4199999999</v>
      </c>
      <c r="D26" s="480">
        <f t="shared" ref="D26:F26" si="4">SUM(D16:D25)</f>
        <v>2642094.54</v>
      </c>
      <c r="E26" s="480">
        <f t="shared" si="4"/>
        <v>0</v>
      </c>
      <c r="F26" s="166">
        <f t="shared" si="4"/>
        <v>12181163.959999999</v>
      </c>
      <c r="G26" s="166">
        <f>SUM(G12:G25)</f>
        <v>0</v>
      </c>
      <c r="H26" s="166">
        <f>SUM(H12:H25)</f>
        <v>0</v>
      </c>
      <c r="I26" s="166">
        <f>SUM(I16:I25)</f>
        <v>12181163.959999999</v>
      </c>
      <c r="J26" s="167">
        <f t="shared" si="2"/>
        <v>1</v>
      </c>
      <c r="K26" s="458"/>
      <c r="L26" s="163"/>
      <c r="M26" s="163"/>
      <c r="O26" s="324">
        <f>IFERROR(I26/I233,0)</f>
        <v>374.58605615178817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L27" s="474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'[68]Sch C'!D10</f>
        <v>0</v>
      </c>
      <c r="D30" s="480">
        <f>'[68]Sch C'!F10</f>
        <v>93998</v>
      </c>
      <c r="E30" s="480">
        <f>+'[68]Sch C'!H10</f>
        <v>0</v>
      </c>
      <c r="F30" s="166">
        <f t="shared" ref="F30:F65" si="5">C30+D30+E30</f>
        <v>93998</v>
      </c>
      <c r="G30" s="626"/>
      <c r="H30" s="166"/>
      <c r="I30" s="166">
        <f t="shared" ref="I30:I65" si="6">F30+G30+H30</f>
        <v>93998</v>
      </c>
      <c r="J30" s="167">
        <f>IF($I$213=0,0,I30/$I$213)</f>
        <v>9.2257405908345337E-3</v>
      </c>
      <c r="K30" s="458"/>
      <c r="L30" s="176">
        <v>2080</v>
      </c>
      <c r="M30" s="176">
        <v>2080</v>
      </c>
      <c r="O30" s="324">
        <f>I30/I$233</f>
        <v>2.8905562901688242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'[68]Sch C'!D11</f>
        <v>0</v>
      </c>
      <c r="D31" s="480">
        <f>'[68]Sch C'!F11</f>
        <v>0</v>
      </c>
      <c r="E31" s="480">
        <f>+'[68]Sch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'[68]Sch C'!D12</f>
        <v>233080.72</v>
      </c>
      <c r="D32" s="480">
        <f>'[68]Sch C'!F12</f>
        <v>0</v>
      </c>
      <c r="E32" s="480">
        <f>+'[68]Sch C'!H12</f>
        <v>0</v>
      </c>
      <c r="F32" s="166">
        <f t="shared" si="5"/>
        <v>233080.72</v>
      </c>
      <c r="G32" s="626"/>
      <c r="H32" s="166"/>
      <c r="I32" s="166">
        <f t="shared" si="6"/>
        <v>233080.72</v>
      </c>
      <c r="J32" s="167">
        <f t="shared" si="7"/>
        <v>2.2876468216823109E-2</v>
      </c>
      <c r="K32" s="458"/>
      <c r="L32" s="176">
        <v>11751</v>
      </c>
      <c r="M32" s="176">
        <v>12847.23</v>
      </c>
      <c r="O32" s="324">
        <f t="shared" si="8"/>
        <v>7.1675242166118274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'[68]Sch C'!D13</f>
        <v>34895.26</v>
      </c>
      <c r="D33" s="480">
        <f>'[68]Sch C'!F13</f>
        <v>9210.77</v>
      </c>
      <c r="E33" s="480">
        <f>+'[68]Sch C'!H13</f>
        <v>0</v>
      </c>
      <c r="F33" s="166">
        <f t="shared" si="5"/>
        <v>44106.03</v>
      </c>
      <c r="G33" s="626"/>
      <c r="H33" s="166"/>
      <c r="I33" s="166">
        <f t="shared" si="6"/>
        <v>44106.03</v>
      </c>
      <c r="J33" s="167">
        <f t="shared" si="7"/>
        <v>4.3289303099168664E-3</v>
      </c>
      <c r="K33" s="458"/>
      <c r="L33" s="163"/>
      <c r="M33" s="163"/>
      <c r="O33" s="324">
        <f t="shared" si="8"/>
        <v>1.3563156923644639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'[68]Sch C'!D14</f>
        <v>0</v>
      </c>
      <c r="D34" s="480">
        <f>'[68]Sch C'!F14</f>
        <v>0</v>
      </c>
      <c r="E34" s="480">
        <f>+'[68]Sch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'[68]Sch C'!D15</f>
        <v>0</v>
      </c>
      <c r="D35" s="480">
        <f>'[68]Sch C'!F15</f>
        <v>0</v>
      </c>
      <c r="E35" s="480">
        <f>+'[68]Sch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'[68]Sch C'!D16</f>
        <v>475897</v>
      </c>
      <c r="D36" s="480">
        <f>'[68]Sch C'!F16</f>
        <v>86922</v>
      </c>
      <c r="E36" s="480">
        <f>+'[68]Sch C'!H16</f>
        <v>-89665</v>
      </c>
      <c r="F36" s="166">
        <f t="shared" si="5"/>
        <v>473154</v>
      </c>
      <c r="G36" s="626">
        <v>-86922</v>
      </c>
      <c r="H36" s="480">
        <v>86922</v>
      </c>
      <c r="I36" s="166">
        <f t="shared" si="6"/>
        <v>473154</v>
      </c>
      <c r="J36" s="167">
        <f t="shared" si="7"/>
        <v>4.6439244063870753E-2</v>
      </c>
      <c r="K36" s="458"/>
      <c r="L36" s="163"/>
      <c r="M36" s="163"/>
      <c r="O36" s="324">
        <f t="shared" si="8"/>
        <v>14.55007841569544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'[68]Sch C'!D17</f>
        <v>32664.51</v>
      </c>
      <c r="D37" s="480">
        <f>'[68]Sch C'!F17</f>
        <v>-32665</v>
      </c>
      <c r="E37" s="480">
        <f>+'[68]Sch C'!H17</f>
        <v>0</v>
      </c>
      <c r="F37" s="166">
        <f t="shared" si="5"/>
        <v>-0.49000000000160071</v>
      </c>
      <c r="G37" s="626"/>
      <c r="H37" s="166"/>
      <c r="I37" s="166">
        <f t="shared" si="6"/>
        <v>-0.49000000000160071</v>
      </c>
      <c r="J37" s="167">
        <f t="shared" si="7"/>
        <v>-4.8092649732161207E-8</v>
      </c>
      <c r="K37" s="458"/>
      <c r="L37" s="163"/>
      <c r="M37" s="163"/>
      <c r="O37" s="324">
        <f t="shared" si="8"/>
        <v>-1.5068114025695768E-5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'[68]Sch C'!D18</f>
        <v>7310.65</v>
      </c>
      <c r="D38" s="480">
        <f>'[68]Sch C'!F18</f>
        <v>0</v>
      </c>
      <c r="E38" s="480">
        <f>+'[68]Sch C'!H18</f>
        <v>0</v>
      </c>
      <c r="F38" s="166">
        <f t="shared" si="5"/>
        <v>7310.65</v>
      </c>
      <c r="G38" s="626"/>
      <c r="H38" s="166"/>
      <c r="I38" s="166">
        <f t="shared" si="6"/>
        <v>7310.65</v>
      </c>
      <c r="J38" s="167">
        <f t="shared" si="7"/>
        <v>7.175276117617872E-4</v>
      </c>
      <c r="K38" s="458"/>
      <c r="L38" s="163"/>
      <c r="M38" s="163"/>
      <c r="O38" s="324">
        <f t="shared" si="8"/>
        <v>0.22481164857467942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'[68]Sch C'!D19</f>
        <v>15982.11</v>
      </c>
      <c r="D39" s="480">
        <f>'[68]Sch C'!F19</f>
        <v>0</v>
      </c>
      <c r="E39" s="480">
        <f>+'[68]Sch C'!H19</f>
        <v>0</v>
      </c>
      <c r="F39" s="166">
        <f t="shared" si="5"/>
        <v>15982.11</v>
      </c>
      <c r="G39" s="626"/>
      <c r="H39" s="166"/>
      <c r="I39" s="166">
        <f t="shared" si="6"/>
        <v>15982.11</v>
      </c>
      <c r="J39" s="167">
        <f t="shared" si="7"/>
        <v>1.5686163636905307E-3</v>
      </c>
      <c r="K39" s="458"/>
      <c r="L39" s="163"/>
      <c r="M39" s="163"/>
      <c r="O39" s="324">
        <f t="shared" si="8"/>
        <v>0.49146990989882838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'[68]Sch C'!D20</f>
        <v>25675.13</v>
      </c>
      <c r="D40" s="480">
        <f>'[68]Sch C'!F20</f>
        <v>0</v>
      </c>
      <c r="E40" s="480">
        <f>+'[68]Sch C'!H20</f>
        <v>0</v>
      </c>
      <c r="F40" s="166">
        <f t="shared" si="5"/>
        <v>25675.13</v>
      </c>
      <c r="G40" s="626"/>
      <c r="H40" s="166"/>
      <c r="I40" s="166">
        <f t="shared" si="6"/>
        <v>25675.13</v>
      </c>
      <c r="J40" s="167">
        <f t="shared" si="7"/>
        <v>2.5199694569666745E-3</v>
      </c>
      <c r="K40" s="458"/>
      <c r="L40" s="163"/>
      <c r="M40" s="163"/>
      <c r="O40" s="324">
        <f t="shared" si="8"/>
        <v>0.78954242135367014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'[68]Sch C'!D21</f>
        <v>87448.86</v>
      </c>
      <c r="D41" s="480">
        <f>'[68]Sch C'!F21</f>
        <v>0</v>
      </c>
      <c r="E41" s="480">
        <f>+'[68]Sch C'!H21</f>
        <v>0</v>
      </c>
      <c r="F41" s="166">
        <f t="shared" si="5"/>
        <v>87448.86</v>
      </c>
      <c r="G41" s="626"/>
      <c r="H41" s="166"/>
      <c r="I41" s="166">
        <f t="shared" si="6"/>
        <v>87448.86</v>
      </c>
      <c r="J41" s="167">
        <f t="shared" si="7"/>
        <v>8.582953864169518E-3</v>
      </c>
      <c r="K41" s="458"/>
      <c r="L41" s="163"/>
      <c r="M41" s="163"/>
      <c r="O41" s="324">
        <f t="shared" si="8"/>
        <v>2.6891620283526554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'[68]Sch C'!D22</f>
        <v>0</v>
      </c>
      <c r="D42" s="480">
        <f>'[68]Sch C'!F22</f>
        <v>0</v>
      </c>
      <c r="E42" s="480">
        <f>+'[68]Sch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'[68]Sch C'!D23</f>
        <v>20939.45</v>
      </c>
      <c r="D43" s="480">
        <f>'[68]Sch C'!F23</f>
        <v>0</v>
      </c>
      <c r="E43" s="480">
        <f>+'[68]Sch C'!H23</f>
        <v>0</v>
      </c>
      <c r="F43" s="166">
        <f t="shared" si="5"/>
        <v>20939.45</v>
      </c>
      <c r="G43" s="626"/>
      <c r="H43" s="166"/>
      <c r="I43" s="166">
        <f t="shared" si="6"/>
        <v>20939.45</v>
      </c>
      <c r="J43" s="167">
        <f t="shared" si="7"/>
        <v>2.0551706825118637E-3</v>
      </c>
      <c r="K43" s="458"/>
      <c r="L43" s="163"/>
      <c r="M43" s="163"/>
      <c r="O43" s="324">
        <f t="shared" si="8"/>
        <v>0.64391432700882567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'[68]Sch C'!D24</f>
        <v>99849.48</v>
      </c>
      <c r="D44" s="480">
        <f>'[68]Sch C'!F24</f>
        <v>0</v>
      </c>
      <c r="E44" s="480">
        <f>+'[68]Sch C'!H24</f>
        <v>-5406.41</v>
      </c>
      <c r="F44" s="166">
        <f t="shared" si="5"/>
        <v>94443.069999999992</v>
      </c>
      <c r="G44" s="626"/>
      <c r="H44" s="166"/>
      <c r="I44" s="166">
        <f t="shared" si="6"/>
        <v>94443.069999999992</v>
      </c>
      <c r="J44" s="167">
        <f t="shared" si="7"/>
        <v>9.269423439030906E-3</v>
      </c>
      <c r="K44" s="458"/>
      <c r="L44" s="163"/>
      <c r="M44" s="163"/>
      <c r="O44" s="324">
        <f t="shared" si="8"/>
        <v>2.9042427503920782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'[68]Sch C'!D25</f>
        <v>0</v>
      </c>
      <c r="D45" s="480">
        <f>'[68]Sch C'!F25</f>
        <v>0</v>
      </c>
      <c r="E45" s="480">
        <f>+'[68]Sch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'[68]Sch C'!D26</f>
        <v>497058.16</v>
      </c>
      <c r="D46" s="480">
        <f>'[68]Sch C'!F26</f>
        <v>0</v>
      </c>
      <c r="E46" s="480">
        <f>+'[68]Sch C'!H26</f>
        <v>0</v>
      </c>
      <c r="F46" s="166">
        <f t="shared" si="5"/>
        <v>497058.16</v>
      </c>
      <c r="G46" s="626"/>
      <c r="H46" s="166"/>
      <c r="I46" s="166">
        <f t="shared" si="6"/>
        <v>497058.16</v>
      </c>
      <c r="J46" s="167">
        <f t="shared" si="7"/>
        <v>4.8785395888396837E-2</v>
      </c>
      <c r="K46" s="458"/>
      <c r="L46" s="163"/>
      <c r="M46" s="163"/>
      <c r="O46" s="324">
        <f t="shared" si="8"/>
        <v>15.285161290322581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'[68]Sch C'!D27</f>
        <v>6411.02</v>
      </c>
      <c r="D47" s="480">
        <f>'[68]Sch C'!F27</f>
        <v>40.880000000000003</v>
      </c>
      <c r="E47" s="480">
        <f>+'[68]Sch C'!H27</f>
        <v>0</v>
      </c>
      <c r="F47" s="166">
        <f t="shared" si="5"/>
        <v>6451.9000000000005</v>
      </c>
      <c r="G47" s="626"/>
      <c r="H47" s="166"/>
      <c r="I47" s="166">
        <f t="shared" si="6"/>
        <v>6451.9000000000005</v>
      </c>
      <c r="J47" s="167">
        <f t="shared" si="7"/>
        <v>6.3324278939983121E-4</v>
      </c>
      <c r="K47" s="458"/>
      <c r="L47" s="163"/>
      <c r="M47" s="163"/>
      <c r="O47" s="324">
        <f t="shared" si="8"/>
        <v>0.19840400996340601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'[68]Sch C'!D28</f>
        <v>0</v>
      </c>
      <c r="D48" s="480">
        <f>'[68]Sch C'!F28</f>
        <v>0</v>
      </c>
      <c r="E48" s="480">
        <f>+'[68]Sch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'[68]Sch C'!D29</f>
        <v>196378.74</v>
      </c>
      <c r="D49" s="480">
        <f>'[68]Sch C'!F29</f>
        <v>-196378.74</v>
      </c>
      <c r="E49" s="480">
        <f>+'[68]Sch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'[68]Sch C'!D30</f>
        <v>0</v>
      </c>
      <c r="D50" s="480">
        <f>'[68]Sch C'!F30</f>
        <v>0</v>
      </c>
      <c r="E50" s="480">
        <f>+'[68]Sch C'!H30</f>
        <v>50050</v>
      </c>
      <c r="F50" s="166">
        <f t="shared" si="5"/>
        <v>50050</v>
      </c>
      <c r="G50" s="626"/>
      <c r="H50" s="166">
        <v>-50050</v>
      </c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'[68]Sch C'!D31</f>
        <v>1631.04</v>
      </c>
      <c r="D51" s="480">
        <f>'[68]Sch C'!F31</f>
        <v>0</v>
      </c>
      <c r="E51" s="480">
        <f>+'[68]Sch C'!H31</f>
        <v>0</v>
      </c>
      <c r="F51" s="166">
        <f t="shared" si="5"/>
        <v>1631.04</v>
      </c>
      <c r="G51" s="626">
        <v>70454</v>
      </c>
      <c r="H51" s="166"/>
      <c r="I51" s="166">
        <f t="shared" si="6"/>
        <v>72085.039999999994</v>
      </c>
      <c r="J51" s="167">
        <f t="shared" si="7"/>
        <v>7.0750215910969482E-3</v>
      </c>
      <c r="K51" s="458"/>
      <c r="L51" s="163"/>
      <c r="M51" s="163"/>
      <c r="O51" s="324">
        <f t="shared" si="8"/>
        <v>2.2167053107414123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'[68]Sch C'!D32</f>
        <v>500</v>
      </c>
      <c r="D52" s="480">
        <f>'[68]Sch C'!F32</f>
        <v>16875</v>
      </c>
      <c r="E52" s="480">
        <f>+'[68]Sch C'!H32</f>
        <v>0</v>
      </c>
      <c r="F52" s="166">
        <f t="shared" si="5"/>
        <v>17375</v>
      </c>
      <c r="G52" s="626"/>
      <c r="H52" s="166"/>
      <c r="I52" s="166">
        <f t="shared" si="6"/>
        <v>17375</v>
      </c>
      <c r="J52" s="167">
        <f t="shared" si="7"/>
        <v>1.7053261001909617E-3</v>
      </c>
      <c r="K52" s="458"/>
      <c r="L52" s="163"/>
      <c r="M52" s="163"/>
      <c r="O52" s="324">
        <f t="shared" si="8"/>
        <v>0.5343030228481811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'[68]Sch C'!D33</f>
        <v>0</v>
      </c>
      <c r="D53" s="480">
        <f>'[68]Sch C'!F33</f>
        <v>0</v>
      </c>
      <c r="E53" s="480">
        <f>+'[68]Sch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'[68]Sch C'!D34</f>
        <v>0</v>
      </c>
      <c r="D54" s="480">
        <f>'[68]Sch C'!F34</f>
        <v>0</v>
      </c>
      <c r="E54" s="480">
        <f>+'[68]Sch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'[68]Sch C'!D35</f>
        <v>18330.920000000002</v>
      </c>
      <c r="D55" s="480">
        <f>'[68]Sch C'!F35</f>
        <v>-18330.920000000002</v>
      </c>
      <c r="E55" s="480">
        <f>+'[68]Sch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'[68]Sch C'!D36</f>
        <v>0</v>
      </c>
      <c r="D56" s="480">
        <f>'[68]Sch C'!F36</f>
        <v>0</v>
      </c>
      <c r="E56" s="480">
        <f>+'[68]Sch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5175</v>
      </c>
      <c r="M56" s="176">
        <v>5605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'[68]Sch C'!D37</f>
        <v>0</v>
      </c>
      <c r="D57" s="480">
        <f>'[68]Sch C'!F37</f>
        <v>0</v>
      </c>
      <c r="E57" s="480">
        <f>+'[68]Sch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'[68]Sch C'!D38</f>
        <v>0</v>
      </c>
      <c r="D58" s="480">
        <f>'[68]Sch C'!F38</f>
        <v>0</v>
      </c>
      <c r="E58" s="480">
        <f>+'[68]Sch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'[68]Sch C'!D39</f>
        <v>7503.05</v>
      </c>
      <c r="D59" s="480">
        <f>'[68]Sch C'!F39</f>
        <v>0</v>
      </c>
      <c r="E59" s="480">
        <f>+'[68]Sch C'!H39</f>
        <v>0</v>
      </c>
      <c r="F59" s="166">
        <f t="shared" si="5"/>
        <v>7503.05</v>
      </c>
      <c r="G59" s="626"/>
      <c r="H59" s="166"/>
      <c r="I59" s="166">
        <f t="shared" si="6"/>
        <v>7503.05</v>
      </c>
      <c r="J59" s="167">
        <f t="shared" si="7"/>
        <v>7.3641133790145581E-4</v>
      </c>
      <c r="K59" s="458"/>
      <c r="L59" s="163"/>
      <c r="M59" s="163"/>
      <c r="O59" s="324">
        <f t="shared" si="8"/>
        <v>0.23072818967372921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'[68]Sch C'!D40</f>
        <v>7704.8</v>
      </c>
      <c r="D60" s="480">
        <f>'[68]Sch C'!F40</f>
        <v>0</v>
      </c>
      <c r="E60" s="480">
        <f>+'[68]Sch C'!H40</f>
        <v>0</v>
      </c>
      <c r="F60" s="166">
        <f t="shared" si="5"/>
        <v>7704.8</v>
      </c>
      <c r="G60" s="626"/>
      <c r="H60" s="166"/>
      <c r="I60" s="166">
        <f t="shared" si="6"/>
        <v>7704.8</v>
      </c>
      <c r="J60" s="167">
        <f t="shared" si="7"/>
        <v>7.5621275031662288E-4</v>
      </c>
      <c r="K60" s="458"/>
      <c r="L60" s="163"/>
      <c r="M60" s="163"/>
      <c r="O60" s="324">
        <f t="shared" si="8"/>
        <v>0.23693225498939083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'[68]Sch C'!D41</f>
        <v>133293.69</v>
      </c>
      <c r="D61" s="480">
        <f>'[68]Sch C'!F41</f>
        <v>0</v>
      </c>
      <c r="E61" s="480">
        <f>+'[68]Sch C'!H41</f>
        <v>-6964</v>
      </c>
      <c r="F61" s="166">
        <f t="shared" si="5"/>
        <v>126329.69</v>
      </c>
      <c r="G61" s="626"/>
      <c r="H61" s="166"/>
      <c r="I61" s="166">
        <f t="shared" si="6"/>
        <v>126329.69</v>
      </c>
      <c r="J61" s="167">
        <f t="shared" si="7"/>
        <v>1.2399039861066654E-2</v>
      </c>
      <c r="K61" s="458"/>
      <c r="L61" s="163"/>
      <c r="M61" s="163"/>
      <c r="O61" s="324">
        <f t="shared" si="8"/>
        <v>3.8847962729481229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'[68]Sch C'!D42</f>
        <v>1795.18</v>
      </c>
      <c r="D62" s="480">
        <f>'[68]Sch C'!F42</f>
        <v>0</v>
      </c>
      <c r="E62" s="480">
        <f>+'[68]Sch C'!H42</f>
        <v>0</v>
      </c>
      <c r="F62" s="166">
        <f t="shared" si="5"/>
        <v>1795.18</v>
      </c>
      <c r="G62" s="626"/>
      <c r="H62" s="166"/>
      <c r="I62" s="166">
        <f t="shared" si="6"/>
        <v>1795.18</v>
      </c>
      <c r="J62" s="167">
        <f t="shared" si="7"/>
        <v>1.7619380193040638E-4</v>
      </c>
      <c r="K62" s="458"/>
      <c r="L62" s="163"/>
      <c r="M62" s="163"/>
      <c r="O62" s="324">
        <f t="shared" si="8"/>
        <v>5.5204034564408498E-2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'[68]Sch C'!D43</f>
        <v>0</v>
      </c>
      <c r="D63" s="480">
        <f>'[68]Sch C'!F43</f>
        <v>0</v>
      </c>
      <c r="E63" s="480">
        <f>+'[68]Sch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'[68]Sch C'!D44</f>
        <v>0</v>
      </c>
      <c r="D64" s="480">
        <f>'[68]Sch C'!F44</f>
        <v>0</v>
      </c>
      <c r="E64" s="480">
        <f>+'[68]Sch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'[68]Sch C'!D45</f>
        <v>104265.64</v>
      </c>
      <c r="D65" s="480">
        <f>'[68]Sch C'!F45</f>
        <v>-103210</v>
      </c>
      <c r="E65" s="480">
        <f>+'[68]Sch C'!H45</f>
        <v>0</v>
      </c>
      <c r="F65" s="166">
        <f t="shared" si="5"/>
        <v>1055.6399999999994</v>
      </c>
      <c r="G65" s="626">
        <v>15458</v>
      </c>
      <c r="H65" s="166"/>
      <c r="I65" s="166">
        <f t="shared" si="6"/>
        <v>16513.64</v>
      </c>
      <c r="J65" s="167">
        <f t="shared" si="7"/>
        <v>1.6207851108579841E-3</v>
      </c>
      <c r="K65" s="458"/>
      <c r="L65" s="163"/>
      <c r="M65" s="163"/>
      <c r="O65" s="324">
        <f t="shared" si="8"/>
        <v>0.50781512346628122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2008615.4099999997</v>
      </c>
      <c r="D66" s="480">
        <f t="shared" si="9"/>
        <v>-143538.00999999995</v>
      </c>
      <c r="E66" s="480">
        <f t="shared" si="9"/>
        <v>-51985.41</v>
      </c>
      <c r="F66" s="166">
        <f t="shared" ref="F66:I66" si="10">SUM(F30:F65)</f>
        <v>1813091.9899999998</v>
      </c>
      <c r="G66" s="166">
        <f t="shared" si="10"/>
        <v>-1010</v>
      </c>
      <c r="H66" s="166">
        <f t="shared" si="10"/>
        <v>36872</v>
      </c>
      <c r="I66" s="166">
        <f t="shared" si="10"/>
        <v>1848953.9899999998</v>
      </c>
      <c r="J66" s="178">
        <f t="shared" si="7"/>
        <v>0.18147162573808448</v>
      </c>
      <c r="K66" s="465"/>
      <c r="L66" s="163"/>
      <c r="M66" s="163"/>
      <c r="O66" s="329">
        <f>I66/I$233</f>
        <v>56.857652141824772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'[68]Sch C'!D57</f>
        <v>1084000</v>
      </c>
      <c r="D69" s="480">
        <f>'[68]Sch C'!F57</f>
        <v>0</v>
      </c>
      <c r="E69" s="480">
        <f>+'[68]Sch C'!H57</f>
        <v>-1084000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'[68]Sch C'!D58</f>
        <v>33717.03</v>
      </c>
      <c r="D70" s="480">
        <f>'[68]Sch C'!F58</f>
        <v>0</v>
      </c>
      <c r="E70" s="480">
        <f>+'[68]Sch C'!H58</f>
        <v>1313533.29</v>
      </c>
      <c r="F70" s="166">
        <f t="shared" ref="F70:F83" si="13">C70+D70+E70</f>
        <v>1347250.32</v>
      </c>
      <c r="G70" s="626"/>
      <c r="H70" s="166">
        <v>-687909</v>
      </c>
      <c r="I70" s="166">
        <f t="shared" ref="I70:I83" si="14">F70+G70+H70</f>
        <v>659341.32000000007</v>
      </c>
      <c r="J70" s="167">
        <f t="shared" si="11"/>
        <v>6.4713206442035168E-2</v>
      </c>
      <c r="K70" s="458"/>
      <c r="L70" s="182"/>
      <c r="M70" s="163"/>
      <c r="O70" s="324">
        <f t="shared" si="12"/>
        <v>20.275571819551647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'[68]Sch C'!D59</f>
        <v>0</v>
      </c>
      <c r="D71" s="480">
        <f>'[68]Sch C'!F59</f>
        <v>0</v>
      </c>
      <c r="E71" s="480">
        <f>+'[68]Sch C'!H59</f>
        <v>540765.29</v>
      </c>
      <c r="F71" s="166">
        <f t="shared" si="13"/>
        <v>540765.29</v>
      </c>
      <c r="G71" s="626"/>
      <c r="H71" s="166">
        <v>-17201</v>
      </c>
      <c r="I71" s="166">
        <f t="shared" si="14"/>
        <v>523564.29000000004</v>
      </c>
      <c r="J71" s="167">
        <f t="shared" si="11"/>
        <v>5.1386926553378405E-2</v>
      </c>
      <c r="K71" s="458"/>
      <c r="L71" s="182"/>
      <c r="M71" s="163"/>
      <c r="O71" s="324">
        <f t="shared" si="12"/>
        <v>16.100258003013625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'[68]Sch C'!D60</f>
        <v>33297.72</v>
      </c>
      <c r="D72" s="480">
        <f>'[68]Sch C'!F60</f>
        <v>0</v>
      </c>
      <c r="E72" s="480">
        <f>+'[68]Sch C'!H60</f>
        <v>0</v>
      </c>
      <c r="F72" s="166">
        <f t="shared" si="13"/>
        <v>33297.72</v>
      </c>
      <c r="G72" s="626"/>
      <c r="H72" s="166"/>
      <c r="I72" s="166">
        <f t="shared" si="14"/>
        <v>33297.72</v>
      </c>
      <c r="J72" s="167">
        <f t="shared" si="11"/>
        <v>3.2681134384374439E-3</v>
      </c>
      <c r="K72" s="458"/>
      <c r="L72" s="185"/>
      <c r="M72" s="163"/>
      <c r="O72" s="324">
        <f t="shared" si="12"/>
        <v>1.0239466158245949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'[68]Sch C'!D61</f>
        <v>16874.759999999998</v>
      </c>
      <c r="D73" s="480">
        <f>'[68]Sch C'!F61</f>
        <v>-16875</v>
      </c>
      <c r="E73" s="480">
        <f>+'[68]Sch C'!H61</f>
        <v>0</v>
      </c>
      <c r="F73" s="166">
        <f t="shared" si="13"/>
        <v>-0.24000000000160071</v>
      </c>
      <c r="G73" s="626"/>
      <c r="H73" s="166"/>
      <c r="I73" s="166">
        <f t="shared" si="14"/>
        <v>-0.24000000000160071</v>
      </c>
      <c r="J73" s="167">
        <f t="shared" si="11"/>
        <v>-2.3555583542363195E-8</v>
      </c>
      <c r="K73" s="458"/>
      <c r="L73" s="185"/>
      <c r="M73" s="163"/>
      <c r="O73" s="324">
        <f t="shared" si="12"/>
        <v>-7.3803007473046749E-6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'[68]Sch C'!D62</f>
        <v>14937.72</v>
      </c>
      <c r="D74" s="480">
        <f>'[68]Sch C'!F62</f>
        <v>0</v>
      </c>
      <c r="E74" s="480">
        <f>+'[68]Sch C'!H62</f>
        <v>0</v>
      </c>
      <c r="F74" s="166">
        <f t="shared" si="13"/>
        <v>14937.72</v>
      </c>
      <c r="G74" s="626"/>
      <c r="H74" s="166"/>
      <c r="I74" s="166">
        <f t="shared" si="14"/>
        <v>14937.72</v>
      </c>
      <c r="J74" s="167">
        <f t="shared" si="11"/>
        <v>1.4661112974586781E-3</v>
      </c>
      <c r="K74" s="458"/>
      <c r="L74" s="187"/>
      <c r="M74" s="163"/>
      <c r="O74" s="324">
        <f t="shared" si="12"/>
        <v>0.45935360865955288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'[68]Sch C'!D63</f>
        <v>0</v>
      </c>
      <c r="D75" s="480">
        <f>'[68]Sch C'!F63</f>
        <v>0</v>
      </c>
      <c r="E75" s="480">
        <f>+'[68]Sch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'[68]Sch C'!D64</f>
        <v>0</v>
      </c>
      <c r="D76" s="480">
        <f>'[68]Sch C'!F64</f>
        <v>0</v>
      </c>
      <c r="E76" s="480">
        <f>+'[68]Sch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'[68]Sch C'!D65</f>
        <v>0</v>
      </c>
      <c r="D77" s="480">
        <f>'[68]Sch C'!F65</f>
        <v>0</v>
      </c>
      <c r="E77" s="480">
        <f>+'[68]Sch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'[68]Sch C'!D66</f>
        <v>6361.99</v>
      </c>
      <c r="D78" s="480">
        <f>'[68]Sch C'!F66</f>
        <v>0</v>
      </c>
      <c r="E78" s="480">
        <f>+'[68]Sch C'!H66</f>
        <v>0</v>
      </c>
      <c r="F78" s="166">
        <f t="shared" si="13"/>
        <v>6361.99</v>
      </c>
      <c r="G78" s="626"/>
      <c r="H78" s="166"/>
      <c r="I78" s="166">
        <f t="shared" si="14"/>
        <v>6361.99</v>
      </c>
      <c r="J78" s="167">
        <f t="shared" si="11"/>
        <v>6.2441827891533219E-4</v>
      </c>
      <c r="K78" s="458"/>
      <c r="L78" s="187"/>
      <c r="M78" s="163"/>
      <c r="O78" s="324">
        <f t="shared" si="12"/>
        <v>0.19563916479596544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'[68]Sch C'!D67</f>
        <v>49059.91</v>
      </c>
      <c r="D79" s="480">
        <f>'[68]Sch C'!F67</f>
        <v>0</v>
      </c>
      <c r="E79" s="480">
        <f>+'[68]Sch C'!H67</f>
        <v>0</v>
      </c>
      <c r="F79" s="166">
        <f t="shared" si="13"/>
        <v>49059.91</v>
      </c>
      <c r="G79" s="626"/>
      <c r="H79" s="166">
        <v>243140</v>
      </c>
      <c r="I79" s="166">
        <f t="shared" si="14"/>
        <v>292199.91000000003</v>
      </c>
      <c r="J79" s="167">
        <f t="shared" si="11"/>
        <v>2.8678914129292087E-2</v>
      </c>
      <c r="K79" s="458"/>
      <c r="L79" s="187"/>
      <c r="M79" s="163"/>
      <c r="O79" s="324">
        <f t="shared" si="12"/>
        <v>8.9855133921707324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'[68]Sch C'!D68</f>
        <v>0</v>
      </c>
      <c r="D80" s="480">
        <f>'[68]Sch C'!F68</f>
        <v>0</v>
      </c>
      <c r="E80" s="480">
        <f>+'[68]Sch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'[68]Sch C'!D69</f>
        <v>23381.1</v>
      </c>
      <c r="D81" s="480">
        <f>'[68]Sch C'!F69</f>
        <v>0</v>
      </c>
      <c r="E81" s="480">
        <f>+'[68]Sch C'!H69</f>
        <v>0</v>
      </c>
      <c r="F81" s="166">
        <f t="shared" si="13"/>
        <v>23381.1</v>
      </c>
      <c r="G81" s="626"/>
      <c r="H81" s="166"/>
      <c r="I81" s="166">
        <f t="shared" si="14"/>
        <v>23381.1</v>
      </c>
      <c r="J81" s="167">
        <f t="shared" si="11"/>
        <v>2.2948143931611448E-3</v>
      </c>
      <c r="K81" s="458"/>
      <c r="L81" s="187"/>
      <c r="M81" s="163"/>
      <c r="O81" s="324">
        <f t="shared" si="12"/>
        <v>0.71899812417356002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'[68]Sch C'!D70</f>
        <v>0</v>
      </c>
      <c r="D82" s="480">
        <f>'[68]Sch C'!F70</f>
        <v>0</v>
      </c>
      <c r="E82" s="480">
        <f>+'[68]Sch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'[68]Sch C'!D71</f>
        <v>0</v>
      </c>
      <c r="D83" s="480">
        <f>'[68]Sch C'!F71</f>
        <v>0</v>
      </c>
      <c r="E83" s="480">
        <f>+'[68]Sch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1261630.23</v>
      </c>
      <c r="D84" s="480">
        <f t="shared" si="15"/>
        <v>-16875</v>
      </c>
      <c r="E84" s="480">
        <f t="shared" si="15"/>
        <v>770298.58000000007</v>
      </c>
      <c r="F84" s="166">
        <f t="shared" ref="F84:I84" si="16">SUM(F69:F83)</f>
        <v>2015053.81</v>
      </c>
      <c r="G84" s="166">
        <f t="shared" si="16"/>
        <v>0</v>
      </c>
      <c r="H84" s="166">
        <f t="shared" si="16"/>
        <v>-461970</v>
      </c>
      <c r="I84" s="166">
        <f t="shared" si="16"/>
        <v>1553083.81</v>
      </c>
      <c r="J84" s="167">
        <f t="shared" si="11"/>
        <v>0.15243248097709472</v>
      </c>
      <c r="K84" s="458"/>
      <c r="L84" s="187"/>
      <c r="M84" s="163"/>
      <c r="O84" s="324">
        <f t="shared" si="12"/>
        <v>47.759273347888929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'[68]Sch C'!D75</f>
        <v>53837.66</v>
      </c>
      <c r="D87" s="480">
        <f>'[68]Sch C'!F75</f>
        <v>0</v>
      </c>
      <c r="E87" s="480">
        <f>+'[68]Sch C'!H75</f>
        <v>0</v>
      </c>
      <c r="F87" s="166">
        <f t="shared" ref="F87:F97" si="17">C87+D87+E87</f>
        <v>53837.66</v>
      </c>
      <c r="G87" s="626"/>
      <c r="H87" s="166"/>
      <c r="I87" s="166">
        <f t="shared" ref="I87:I97" si="18">F87+G87+H87</f>
        <v>53837.66</v>
      </c>
      <c r="J87" s="167">
        <f t="shared" ref="J87:J98" si="19">IF($I$213=0,0,I87/$I$213)</f>
        <v>5.2840729076953632E-3</v>
      </c>
      <c r="K87" s="458"/>
      <c r="L87" s="176">
        <v>2748.9</v>
      </c>
      <c r="M87" s="176">
        <v>2879.14</v>
      </c>
      <c r="O87" s="324">
        <f t="shared" ref="O87:O97" si="20">I87/I$233</f>
        <v>1.6555755097020204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'[68]Sch C'!D76</f>
        <v>16372.98</v>
      </c>
      <c r="D88" s="480">
        <f>'[68]Sch C'!F76</f>
        <v>0</v>
      </c>
      <c r="E88" s="480">
        <f>+'[68]Sch C'!H76</f>
        <v>0</v>
      </c>
      <c r="F88" s="166">
        <f t="shared" si="17"/>
        <v>16372.98</v>
      </c>
      <c r="G88" s="626">
        <v>-1161</v>
      </c>
      <c r="H88" s="166"/>
      <c r="I88" s="166">
        <f t="shared" si="18"/>
        <v>15211.98</v>
      </c>
      <c r="J88" s="167">
        <f t="shared" si="19"/>
        <v>1.4930294405515342E-3</v>
      </c>
      <c r="K88" s="458"/>
      <c r="L88" s="163"/>
      <c r="M88" s="163"/>
      <c r="O88" s="324">
        <f t="shared" si="20"/>
        <v>0.46778744733847905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'[68]Sch C'!D77</f>
        <v>11026.12</v>
      </c>
      <c r="D89" s="480">
        <f>'[68]Sch C'!F77</f>
        <v>0</v>
      </c>
      <c r="E89" s="480">
        <f>+'[68]Sch C'!H77</f>
        <v>0</v>
      </c>
      <c r="F89" s="166">
        <f t="shared" si="17"/>
        <v>11026.12</v>
      </c>
      <c r="G89" s="626"/>
      <c r="H89" s="166"/>
      <c r="I89" s="166">
        <f t="shared" si="18"/>
        <v>11026.12</v>
      </c>
      <c r="J89" s="167">
        <f t="shared" si="19"/>
        <v>1.0821945450266227E-3</v>
      </c>
      <c r="K89" s="458"/>
      <c r="L89" s="163"/>
      <c r="M89" s="163"/>
      <c r="O89" s="324">
        <f t="shared" si="20"/>
        <v>0.33906700698053449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'[68]Sch C'!D78</f>
        <v>0</v>
      </c>
      <c r="D90" s="480">
        <f>'[68]Sch C'!F78</f>
        <v>0</v>
      </c>
      <c r="E90" s="480">
        <f>+'[68]Sch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'[68]Sch C'!D79</f>
        <v>5319.42</v>
      </c>
      <c r="D91" s="480">
        <f>'[68]Sch C'!F79</f>
        <v>0</v>
      </c>
      <c r="E91" s="480">
        <f>+'[68]Sch C'!H79</f>
        <v>0</v>
      </c>
      <c r="F91" s="166">
        <f t="shared" si="17"/>
        <v>5319.42</v>
      </c>
      <c r="G91" s="626"/>
      <c r="H91" s="166"/>
      <c r="I91" s="166">
        <f t="shared" si="18"/>
        <v>5319.42</v>
      </c>
      <c r="J91" s="167">
        <f t="shared" si="19"/>
        <v>5.220918425253413E-4</v>
      </c>
      <c r="K91" s="458"/>
      <c r="L91" s="163"/>
      <c r="M91" s="163"/>
      <c r="O91" s="324">
        <f t="shared" si="20"/>
        <v>0.16357883083735664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'[68]Sch C'!D80</f>
        <v>26617.96</v>
      </c>
      <c r="D92" s="480">
        <f>'[68]Sch C'!F80</f>
        <v>0</v>
      </c>
      <c r="E92" s="480">
        <f>+'[68]Sch C'!H80</f>
        <v>0</v>
      </c>
      <c r="F92" s="166">
        <f t="shared" si="17"/>
        <v>26617.96</v>
      </c>
      <c r="G92" s="626"/>
      <c r="H92" s="166"/>
      <c r="I92" s="166">
        <f t="shared" si="18"/>
        <v>26617.96</v>
      </c>
      <c r="J92" s="167">
        <f t="shared" si="19"/>
        <v>2.6125065854295834E-3</v>
      </c>
      <c r="K92" s="458"/>
      <c r="L92" s="163"/>
      <c r="M92" s="163"/>
      <c r="O92" s="324">
        <f t="shared" si="20"/>
        <v>0.81853562532673207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'[68]Sch C'!D81</f>
        <v>3037.2</v>
      </c>
      <c r="D93" s="480">
        <f>'[68]Sch C'!F81</f>
        <v>0</v>
      </c>
      <c r="E93" s="480">
        <f>+'[68]Sch C'!H81</f>
        <v>0</v>
      </c>
      <c r="F93" s="166">
        <f t="shared" si="17"/>
        <v>3037.2</v>
      </c>
      <c r="G93" s="626"/>
      <c r="H93" s="166"/>
      <c r="I93" s="166">
        <f t="shared" si="18"/>
        <v>3037.2</v>
      </c>
      <c r="J93" s="167">
        <f t="shared" si="19"/>
        <v>2.9809590972661805E-4</v>
      </c>
      <c r="K93" s="458"/>
      <c r="L93" s="163"/>
      <c r="M93" s="163"/>
      <c r="O93" s="324">
        <f t="shared" si="20"/>
        <v>9.3397705956517724E-2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'[68]Sch C'!D82</f>
        <v>11380.46</v>
      </c>
      <c r="D94" s="480">
        <f>'[68]Sch C'!F82</f>
        <v>0</v>
      </c>
      <c r="E94" s="480">
        <f>+'[68]Sch C'!H82</f>
        <v>0</v>
      </c>
      <c r="F94" s="166">
        <f t="shared" si="17"/>
        <v>11380.46</v>
      </c>
      <c r="G94" s="626"/>
      <c r="H94" s="166"/>
      <c r="I94" s="166">
        <f t="shared" si="18"/>
        <v>11380.46</v>
      </c>
      <c r="J94" s="167">
        <f t="shared" si="19"/>
        <v>1.1169724011613946E-3</v>
      </c>
      <c r="K94" s="458"/>
      <c r="L94" s="163"/>
      <c r="M94" s="163"/>
      <c r="O94" s="324">
        <f t="shared" si="20"/>
        <v>0.34996340600879483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'[68]Sch C'!D83</f>
        <v>0</v>
      </c>
      <c r="D95" s="480">
        <f>'[68]Sch C'!F83</f>
        <v>0</v>
      </c>
      <c r="E95" s="480">
        <f>+'[68]Sch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'[68]Sch C'!D84</f>
        <v>136430.20000000001</v>
      </c>
      <c r="D96" s="480">
        <f>'[68]Sch C'!F84</f>
        <v>0</v>
      </c>
      <c r="E96" s="480">
        <f>+'[68]Sch C'!H84</f>
        <v>0</v>
      </c>
      <c r="F96" s="166">
        <f t="shared" si="17"/>
        <v>136430.20000000001</v>
      </c>
      <c r="G96" s="626"/>
      <c r="H96" s="166"/>
      <c r="I96" s="166">
        <f t="shared" si="18"/>
        <v>136430.20000000001</v>
      </c>
      <c r="J96" s="167">
        <f t="shared" si="19"/>
        <v>1.3390387390749523E-2</v>
      </c>
      <c r="K96" s="458"/>
      <c r="L96" s="163"/>
      <c r="M96" s="163"/>
      <c r="O96" s="324">
        <f t="shared" si="20"/>
        <v>4.195399612534211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'[68]Sch C'!D85</f>
        <v>192.11</v>
      </c>
      <c r="D97" s="480">
        <f>'[68]Sch C'!F85</f>
        <v>0</v>
      </c>
      <c r="E97" s="480">
        <f>+'[68]Sch C'!H85</f>
        <v>0</v>
      </c>
      <c r="F97" s="166">
        <f t="shared" si="17"/>
        <v>192.11</v>
      </c>
      <c r="G97" s="626"/>
      <c r="H97" s="166"/>
      <c r="I97" s="166">
        <f t="shared" si="18"/>
        <v>192.11</v>
      </c>
      <c r="J97" s="167">
        <f t="shared" si="19"/>
        <v>1.8855263142888384E-5</v>
      </c>
      <c r="K97" s="458"/>
      <c r="L97" s="163"/>
      <c r="M97" s="163"/>
      <c r="O97" s="324">
        <f t="shared" si="20"/>
        <v>5.9076232356468535E-3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264214.11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264214.11</v>
      </c>
      <c r="G98" s="166">
        <f t="shared" si="22"/>
        <v>-1161</v>
      </c>
      <c r="H98" s="166">
        <f t="shared" si="22"/>
        <v>0</v>
      </c>
      <c r="I98" s="166">
        <f t="shared" si="22"/>
        <v>263053.11</v>
      </c>
      <c r="J98" s="167">
        <f t="shared" si="19"/>
        <v>2.5818206286008866E-2</v>
      </c>
      <c r="K98" s="458"/>
      <c r="L98" s="163"/>
      <c r="M98" s="163"/>
      <c r="O98" s="329">
        <f>I98/I$233</f>
        <v>8.0892127679202925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'[68]Sch C'!D89</f>
        <v>295001.74</v>
      </c>
      <c r="D101" s="480">
        <f>'[68]Sch C'!F89</f>
        <v>0</v>
      </c>
      <c r="E101" s="480">
        <f>+'[68]Sch C'!H89</f>
        <v>0</v>
      </c>
      <c r="F101" s="166">
        <f t="shared" ref="F101:F106" si="23">C101+D101+E101</f>
        <v>295001.74</v>
      </c>
      <c r="G101" s="626"/>
      <c r="H101" s="166"/>
      <c r="I101" s="166">
        <f t="shared" ref="I101:I106" si="24">F101+G101+H101</f>
        <v>295001.74</v>
      </c>
      <c r="J101" s="167">
        <f t="shared" ref="J101:J107" si="25">IF($I$213=0,0,I101/$I$213)</f>
        <v>2.8953908881942332E-2</v>
      </c>
      <c r="K101" s="458"/>
      <c r="L101" s="176">
        <v>25803.41</v>
      </c>
      <c r="M101" s="176">
        <v>27584.46</v>
      </c>
      <c r="O101" s="329">
        <f t="shared" ref="O101:O106" si="26">I101/I$233</f>
        <v>9.0716731756819087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'[68]Sch C'!D90</f>
        <v>66880.31</v>
      </c>
      <c r="D102" s="480">
        <f>'[68]Sch C'!F90</f>
        <v>0</v>
      </c>
      <c r="E102" s="480">
        <f>+'[68]Sch C'!H90</f>
        <v>0</v>
      </c>
      <c r="F102" s="166">
        <f t="shared" si="23"/>
        <v>66880.31</v>
      </c>
      <c r="G102" s="626">
        <v>-6581</v>
      </c>
      <c r="H102" s="166"/>
      <c r="I102" s="166">
        <f t="shared" si="24"/>
        <v>60299.31</v>
      </c>
      <c r="J102" s="167">
        <f t="shared" si="25"/>
        <v>5.9182726426765956E-3</v>
      </c>
      <c r="K102" s="458"/>
      <c r="L102" s="163"/>
      <c r="M102" s="163"/>
      <c r="O102" s="329">
        <f t="shared" si="26"/>
        <v>1.8542793443832835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'[68]Sch C'!D91</f>
        <v>17302.47</v>
      </c>
      <c r="D103" s="480">
        <f>'[68]Sch C'!F91</f>
        <v>0</v>
      </c>
      <c r="E103" s="480">
        <f>+'[68]Sch C'!H91</f>
        <v>0</v>
      </c>
      <c r="F103" s="166">
        <f t="shared" si="23"/>
        <v>17302.47</v>
      </c>
      <c r="G103" s="626"/>
      <c r="H103" s="166"/>
      <c r="I103" s="166">
        <f t="shared" si="24"/>
        <v>17302.47</v>
      </c>
      <c r="J103" s="167">
        <f t="shared" si="25"/>
        <v>1.6982074065479775E-3</v>
      </c>
      <c r="K103" s="458"/>
      <c r="L103" s="163"/>
      <c r="M103" s="163"/>
      <c r="O103" s="329">
        <f t="shared" si="26"/>
        <v>0.53207263445985431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'[68]Sch C'!D92</f>
        <v>287333</v>
      </c>
      <c r="D104" s="480">
        <f>'[68]Sch C'!F92</f>
        <v>0</v>
      </c>
      <c r="E104" s="480">
        <f>+'[68]Sch C'!H92</f>
        <v>0</v>
      </c>
      <c r="F104" s="166">
        <f t="shared" si="23"/>
        <v>287333</v>
      </c>
      <c r="G104" s="626"/>
      <c r="H104" s="166"/>
      <c r="I104" s="166">
        <f t="shared" si="24"/>
        <v>287333</v>
      </c>
      <c r="J104" s="167">
        <f t="shared" si="25"/>
        <v>2.8201235358052926E-2</v>
      </c>
      <c r="K104" s="458"/>
      <c r="L104" s="163"/>
      <c r="M104" s="163"/>
      <c r="O104" s="329">
        <f t="shared" si="26"/>
        <v>8.8358498108797932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'[68]Sch C'!D93</f>
        <v>24345.42</v>
      </c>
      <c r="D105" s="480">
        <f>'[68]Sch C'!F93</f>
        <v>0</v>
      </c>
      <c r="E105" s="480">
        <f>+'[68]Sch C'!H93</f>
        <v>0</v>
      </c>
      <c r="F105" s="166">
        <f t="shared" si="23"/>
        <v>24345.42</v>
      </c>
      <c r="G105" s="626"/>
      <c r="H105" s="166"/>
      <c r="I105" s="166">
        <f t="shared" si="24"/>
        <v>24345.42</v>
      </c>
      <c r="J105" s="167">
        <f t="shared" si="25"/>
        <v>2.389460727833729E-3</v>
      </c>
      <c r="K105" s="458"/>
      <c r="L105" s="163"/>
      <c r="M105" s="163"/>
      <c r="O105" s="329">
        <f t="shared" si="26"/>
        <v>0.74865217257603245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'[68]Sch C'!D94</f>
        <v>902.09</v>
      </c>
      <c r="D106" s="480">
        <f>'[68]Sch C'!F94</f>
        <v>0</v>
      </c>
      <c r="E106" s="480">
        <f>+'[68]Sch C'!H94</f>
        <v>0</v>
      </c>
      <c r="F106" s="166">
        <f t="shared" si="23"/>
        <v>902.09</v>
      </c>
      <c r="G106" s="626"/>
      <c r="H106" s="166"/>
      <c r="I106" s="166">
        <f t="shared" si="24"/>
        <v>902.09</v>
      </c>
      <c r="J106" s="167">
        <f t="shared" si="25"/>
        <v>8.8538568156619555E-5</v>
      </c>
      <c r="K106" s="458"/>
      <c r="L106" s="163"/>
      <c r="M106" s="163"/>
      <c r="O106" s="329">
        <f t="shared" si="26"/>
        <v>2.7740397921215292E-2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691765.03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691765.03</v>
      </c>
      <c r="G107" s="166">
        <f t="shared" si="28"/>
        <v>-6581</v>
      </c>
      <c r="H107" s="166">
        <f t="shared" si="28"/>
        <v>0</v>
      </c>
      <c r="I107" s="166">
        <f t="shared" si="28"/>
        <v>685184.03</v>
      </c>
      <c r="J107" s="167">
        <f t="shared" si="25"/>
        <v>6.724962358521018E-2</v>
      </c>
      <c r="K107" s="458"/>
      <c r="L107" s="163"/>
      <c r="M107" s="163"/>
      <c r="O107" s="329">
        <f>I107/I$233</f>
        <v>21.07026753590209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'[68]Sch C'!D98</f>
        <v>77314.63</v>
      </c>
      <c r="D110" s="480">
        <f>'[68]Sch C'!F98</f>
        <v>0</v>
      </c>
      <c r="E110" s="480">
        <f>+'[68]Sch C'!H98</f>
        <v>0</v>
      </c>
      <c r="F110" s="166">
        <f t="shared" ref="F110:F115" si="29">C110+D110+E110</f>
        <v>77314.63</v>
      </c>
      <c r="G110" s="626"/>
      <c r="H110" s="166"/>
      <c r="I110" s="166">
        <f t="shared" ref="I110:I115" si="30">F110+G110+H110</f>
        <v>77314.63</v>
      </c>
      <c r="J110" s="167">
        <f t="shared" ref="J110:J116" si="31">IF($I$213=0,0,I110/$I$213)</f>
        <v>7.5882967749989717E-3</v>
      </c>
      <c r="K110" s="458"/>
      <c r="L110" s="176">
        <v>6966.81</v>
      </c>
      <c r="M110" s="176">
        <v>7411.65</v>
      </c>
      <c r="O110" s="329">
        <f t="shared" ref="O110:O115" si="32">I110/I$233</f>
        <v>2.377521756511578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'[68]Sch C'!D99</f>
        <v>22814.71</v>
      </c>
      <c r="D111" s="480">
        <f>'[68]Sch C'!F99</f>
        <v>0</v>
      </c>
      <c r="E111" s="480">
        <f>+'[68]Sch C'!H99</f>
        <v>0</v>
      </c>
      <c r="F111" s="166">
        <f t="shared" si="29"/>
        <v>22814.71</v>
      </c>
      <c r="G111" s="626">
        <v>-1672</v>
      </c>
      <c r="H111" s="166"/>
      <c r="I111" s="166">
        <f t="shared" si="30"/>
        <v>21142.71</v>
      </c>
      <c r="J111" s="167">
        <f t="shared" si="31"/>
        <v>2.0751202988068171E-3</v>
      </c>
      <c r="K111" s="458"/>
      <c r="L111" s="163"/>
      <c r="M111" s="163"/>
      <c r="O111" s="329">
        <f t="shared" si="32"/>
        <v>0.65016482671668863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'[68]Sch C'!D100</f>
        <v>13844.2</v>
      </c>
      <c r="D112" s="480">
        <f>'[68]Sch C'!F100</f>
        <v>0</v>
      </c>
      <c r="E112" s="480">
        <f>+'[68]Sch C'!H100</f>
        <v>0</v>
      </c>
      <c r="F112" s="166">
        <f t="shared" si="29"/>
        <v>13844.2</v>
      </c>
      <c r="G112" s="626"/>
      <c r="H112" s="166"/>
      <c r="I112" s="166">
        <f t="shared" si="30"/>
        <v>13844.2</v>
      </c>
      <c r="J112" s="167">
        <f t="shared" si="31"/>
        <v>1.3587842069792066E-3</v>
      </c>
      <c r="K112" s="458"/>
      <c r="L112" s="163"/>
      <c r="M112" s="163"/>
      <c r="O112" s="329">
        <f t="shared" si="32"/>
        <v>0.42572649835480797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'[68]Sch C'!D101</f>
        <v>4579.25</v>
      </c>
      <c r="D113" s="480">
        <f>'[68]Sch C'!F101</f>
        <v>0</v>
      </c>
      <c r="E113" s="480">
        <f>+'[68]Sch C'!H101</f>
        <v>0</v>
      </c>
      <c r="F113" s="166">
        <f t="shared" si="29"/>
        <v>4579.25</v>
      </c>
      <c r="G113" s="626"/>
      <c r="H113" s="166"/>
      <c r="I113" s="166">
        <f t="shared" si="30"/>
        <v>4579.25</v>
      </c>
      <c r="J113" s="167">
        <f t="shared" si="31"/>
        <v>4.4944544139853017E-4</v>
      </c>
      <c r="K113" s="458"/>
      <c r="L113" s="163"/>
      <c r="M113" s="163"/>
      <c r="O113" s="329">
        <f t="shared" si="32"/>
        <v>0.14081767582028967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'[68]Sch C'!D102</f>
        <v>0</v>
      </c>
      <c r="D114" s="480">
        <f>'[68]Sch C'!F102</f>
        <v>0</v>
      </c>
      <c r="E114" s="480">
        <f>+'[68]Sch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'[68]Sch C'!D103</f>
        <v>0</v>
      </c>
      <c r="D115" s="480">
        <f>'[68]Sch C'!F103</f>
        <v>0</v>
      </c>
      <c r="E115" s="480">
        <f>+'[68]Sch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118552.79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118552.79</v>
      </c>
      <c r="G116" s="166">
        <f t="shared" si="34"/>
        <v>-1672</v>
      </c>
      <c r="H116" s="166">
        <f t="shared" si="34"/>
        <v>0</v>
      </c>
      <c r="I116" s="166">
        <f t="shared" si="34"/>
        <v>116880.79</v>
      </c>
      <c r="J116" s="167">
        <f t="shared" si="31"/>
        <v>1.1471646722183525E-2</v>
      </c>
      <c r="K116" s="458"/>
      <c r="L116" s="163"/>
      <c r="M116" s="163"/>
      <c r="O116" s="329">
        <f>I116/I$233</f>
        <v>3.5942307574033641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'[68]Sch C'!D115</f>
        <v>123105.05</v>
      </c>
      <c r="D119" s="480">
        <f>'[68]Sch C'!F115</f>
        <v>0</v>
      </c>
      <c r="E119" s="480">
        <f>+'[68]Sch C'!H115</f>
        <v>0</v>
      </c>
      <c r="F119" s="166">
        <f t="shared" ref="F119:F123" si="35">C119+D119+E119</f>
        <v>123105.05</v>
      </c>
      <c r="G119" s="626"/>
      <c r="H119" s="166"/>
      <c r="I119" s="166">
        <f t="shared" ref="I119:I123" si="36">F119+G119+H119</f>
        <v>123105.05</v>
      </c>
      <c r="J119" s="167">
        <f t="shared" ref="J119:J124" si="37">IF($I$213=0,0,I119/$I$213)</f>
        <v>1.2082547040593574E-2</v>
      </c>
      <c r="K119" s="458"/>
      <c r="L119" s="176">
        <v>11856</v>
      </c>
      <c r="M119" s="176">
        <v>12586.57</v>
      </c>
      <c r="O119" s="329">
        <f t="shared" ref="O119:O124" si="38">I119/I$233</f>
        <v>3.7856345521079984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'[68]Sch C'!D116</f>
        <v>19827.61</v>
      </c>
      <c r="D120" s="480">
        <f>'[68]Sch C'!F116</f>
        <v>0</v>
      </c>
      <c r="E120" s="480">
        <f>+'[68]Sch C'!H116</f>
        <v>0</v>
      </c>
      <c r="F120" s="166">
        <f t="shared" si="35"/>
        <v>19827.61</v>
      </c>
      <c r="G120" s="626">
        <v>-2622</v>
      </c>
      <c r="H120" s="166"/>
      <c r="I120" s="166">
        <f t="shared" si="36"/>
        <v>17205.61</v>
      </c>
      <c r="J120" s="167">
        <f t="shared" si="37"/>
        <v>1.6887007656234021E-3</v>
      </c>
      <c r="K120" s="458"/>
      <c r="L120" s="163"/>
      <c r="M120" s="163"/>
      <c r="O120" s="329">
        <f t="shared" si="38"/>
        <v>0.52909406808327442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'[68]Sch C'!D117</f>
        <v>18962.27</v>
      </c>
      <c r="D121" s="480">
        <f>'[68]Sch C'!F117</f>
        <v>0</v>
      </c>
      <c r="E121" s="480">
        <f>+'[68]Sch C'!H117</f>
        <v>0</v>
      </c>
      <c r="F121" s="166">
        <f t="shared" si="35"/>
        <v>18962.27</v>
      </c>
      <c r="G121" s="626"/>
      <c r="H121" s="166"/>
      <c r="I121" s="166">
        <f t="shared" si="36"/>
        <v>18962.27</v>
      </c>
      <c r="J121" s="167">
        <f t="shared" si="37"/>
        <v>1.8611138963952846E-3</v>
      </c>
      <c r="K121" s="458"/>
      <c r="L121" s="163"/>
      <c r="M121" s="163"/>
      <c r="O121" s="329">
        <f t="shared" si="38"/>
        <v>0.58311356437774842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'[68]Sch C'!D118</f>
        <v>0</v>
      </c>
      <c r="D122" s="480">
        <f>'[68]Sch C'!F118</f>
        <v>0</v>
      </c>
      <c r="E122" s="480">
        <f>+'[68]Sch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'[68]Sch C'!D119</f>
        <v>675.46</v>
      </c>
      <c r="D123" s="480">
        <f>'[68]Sch C'!F119</f>
        <v>0</v>
      </c>
      <c r="E123" s="480">
        <f>+'[68]Sch C'!H119</f>
        <v>0</v>
      </c>
      <c r="F123" s="166">
        <f t="shared" si="35"/>
        <v>675.46</v>
      </c>
      <c r="G123" s="626"/>
      <c r="H123" s="166"/>
      <c r="I123" s="166">
        <f t="shared" si="36"/>
        <v>675.46</v>
      </c>
      <c r="J123" s="167">
        <f t="shared" si="37"/>
        <v>6.6295226914243852E-5</v>
      </c>
      <c r="K123" s="458"/>
      <c r="L123" s="163"/>
      <c r="M123" s="163"/>
      <c r="O123" s="329">
        <f t="shared" si="38"/>
        <v>2.0771241428088196E-2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162570.38999999998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162570.38999999998</v>
      </c>
      <c r="G124" s="166">
        <f t="shared" si="40"/>
        <v>-2622</v>
      </c>
      <c r="H124" s="166">
        <f t="shared" si="40"/>
        <v>0</v>
      </c>
      <c r="I124" s="166">
        <f t="shared" si="40"/>
        <v>159948.38999999998</v>
      </c>
      <c r="J124" s="167">
        <f t="shared" si="37"/>
        <v>1.5698656929526503E-2</v>
      </c>
      <c r="K124" s="458"/>
      <c r="L124" s="163"/>
      <c r="M124" s="163"/>
      <c r="O124" s="329">
        <f t="shared" si="38"/>
        <v>4.9186134259971093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 t="s">
        <v>732</v>
      </c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'[68]Sch C'!D124</f>
        <v>0</v>
      </c>
      <c r="D128" s="480">
        <f>'[68]Sch C'!F124</f>
        <v>0</v>
      </c>
      <c r="E128" s="480">
        <f>+'[68]Sch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'[68]Sch C'!D125</f>
        <v>550550.44999999995</v>
      </c>
      <c r="D129" s="480">
        <f>'[68]Sch C'!F125</f>
        <v>0</v>
      </c>
      <c r="E129" s="480">
        <f>+'[68]Sch C'!H125</f>
        <v>0</v>
      </c>
      <c r="F129" s="166">
        <f t="shared" si="41"/>
        <v>550550.44999999995</v>
      </c>
      <c r="G129" s="626"/>
      <c r="H129" s="166"/>
      <c r="I129" s="166">
        <f t="shared" si="42"/>
        <v>550550.44999999995</v>
      </c>
      <c r="J129" s="167">
        <f>IF($I$213=0,0,I129/$I$213)</f>
        <v>5.4035571329892312E-2</v>
      </c>
      <c r="K129" s="458"/>
      <c r="L129" s="176">
        <v>11898</v>
      </c>
      <c r="M129" s="176">
        <v>12998</v>
      </c>
      <c r="O129" s="329">
        <f t="shared" si="43"/>
        <v>16.930116239736769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'[68]Sch C'!D126</f>
        <v>0</v>
      </c>
      <c r="D130" s="480">
        <f>'[68]Sch C'!F126</f>
        <v>0</v>
      </c>
      <c r="E130" s="480">
        <f>+'[68]Sch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'[68]Sch C'!D127</f>
        <v>15187.67</v>
      </c>
      <c r="D131" s="480">
        <f>'[68]Sch C'!F127</f>
        <v>0</v>
      </c>
      <c r="E131" s="480">
        <f>+'[68]Sch C'!H127</f>
        <v>0</v>
      </c>
      <c r="F131" s="166">
        <f t="shared" si="41"/>
        <v>15187.67</v>
      </c>
      <c r="G131" s="626">
        <v>-15187.67</v>
      </c>
      <c r="H131" s="166"/>
      <c r="I131" s="166">
        <f t="shared" si="42"/>
        <v>0</v>
      </c>
      <c r="J131" s="167">
        <f>IF($I$213=0,0,I131/$I$213)</f>
        <v>0</v>
      </c>
      <c r="K131" s="457" t="s">
        <v>374</v>
      </c>
      <c r="L131" s="176">
        <v>730.91</v>
      </c>
      <c r="M131" s="176">
        <v>812.91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'[68]Sch C'!D128</f>
        <v>27962.29</v>
      </c>
      <c r="D132" s="480">
        <f>'[68]Sch C'!F128</f>
        <v>0</v>
      </c>
      <c r="E132" s="480">
        <f>+'[68]Sch C'!H128</f>
        <v>0</v>
      </c>
      <c r="F132" s="166">
        <f t="shared" si="41"/>
        <v>27962.29</v>
      </c>
      <c r="G132" s="626">
        <v>15187.67</v>
      </c>
      <c r="H132" s="166"/>
      <c r="I132" s="166">
        <f t="shared" si="42"/>
        <v>43149.96</v>
      </c>
      <c r="J132" s="167">
        <f>IF($I$213=0,0,I132/$I$213)</f>
        <v>4.2350936984285464E-3</v>
      </c>
      <c r="K132" s="457" t="s">
        <v>374</v>
      </c>
      <c r="L132" s="176">
        <v>1708.5</v>
      </c>
      <c r="M132" s="176">
        <v>1962.21</v>
      </c>
      <c r="O132" s="329">
        <f t="shared" si="43"/>
        <v>1.3269153418001782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'[68]Sch C'!D130</f>
        <v>0</v>
      </c>
      <c r="D134" s="480">
        <f>'[68]Sch C'!F130</f>
        <v>0</v>
      </c>
      <c r="E134" s="480">
        <f>+'[68]Sch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'[68]Sch C'!D131</f>
        <v>67935.570000000007</v>
      </c>
      <c r="D135" s="480">
        <f>'[68]Sch C'!F131</f>
        <v>0</v>
      </c>
      <c r="E135" s="480">
        <f>+'[68]Sch C'!H131</f>
        <v>0</v>
      </c>
      <c r="F135" s="166">
        <f t="shared" si="44"/>
        <v>67935.570000000007</v>
      </c>
      <c r="G135" s="626">
        <v>-10049</v>
      </c>
      <c r="H135" s="166"/>
      <c r="I135" s="166">
        <f t="shared" si="45"/>
        <v>57886.570000000007</v>
      </c>
      <c r="J135" s="167">
        <f>IF($I$213=0,0,I135/$I$213)</f>
        <v>5.681466398361504E-3</v>
      </c>
      <c r="K135" s="458"/>
      <c r="L135" s="196"/>
      <c r="M135" s="196"/>
      <c r="O135" s="329">
        <f t="shared" si="43"/>
        <v>1.7800845659460625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'[68]Sch C'!D132</f>
        <v>0</v>
      </c>
      <c r="D136" s="480">
        <f>'[68]Sch C'!F132</f>
        <v>0</v>
      </c>
      <c r="E136" s="480">
        <f>+'[68]Sch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'[68]Sch C'!D133</f>
        <v>7315.86</v>
      </c>
      <c r="D137" s="480">
        <f>'[68]Sch C'!F133</f>
        <v>0</v>
      </c>
      <c r="E137" s="480">
        <f>+'[68]Sch C'!H133</f>
        <v>0</v>
      </c>
      <c r="F137" s="166">
        <f t="shared" si="44"/>
        <v>7315.86</v>
      </c>
      <c r="G137" s="626">
        <f>-312-7003.86</f>
        <v>-7315.86</v>
      </c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'[68]Sch C'!D134</f>
        <v>2174.65</v>
      </c>
      <c r="D138" s="480">
        <f>'[68]Sch C'!F134</f>
        <v>0</v>
      </c>
      <c r="E138" s="480">
        <f>+'[68]Sch C'!H134</f>
        <v>0</v>
      </c>
      <c r="F138" s="166">
        <f t="shared" si="44"/>
        <v>2174.65</v>
      </c>
      <c r="G138" s="626">
        <f>-42+7003.86</f>
        <v>6961.86</v>
      </c>
      <c r="H138" s="166"/>
      <c r="I138" s="166">
        <f t="shared" si="45"/>
        <v>9136.51</v>
      </c>
      <c r="J138" s="167">
        <f>IF($I$213=0,0,I138/$I$213)</f>
        <v>8.9673260245500572E-4</v>
      </c>
      <c r="K138" s="458"/>
      <c r="L138" s="163"/>
      <c r="M138" s="163"/>
      <c r="O138" s="329">
        <f t="shared" si="43"/>
        <v>0.28095913158461205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'[68]Sch C'!D136</f>
        <v>622967.21</v>
      </c>
      <c r="D140" s="480">
        <f>'[68]Sch C'!F136</f>
        <v>0</v>
      </c>
      <c r="E140" s="480">
        <f>+'[68]Sch C'!H136</f>
        <v>0</v>
      </c>
      <c r="F140" s="166">
        <f t="shared" ref="F140:F143" si="46">C140+D140+E140</f>
        <v>622967.21</v>
      </c>
      <c r="G140" s="626"/>
      <c r="H140" s="166"/>
      <c r="I140" s="166">
        <f t="shared" ref="I140:I143" si="47">F140+G140+H140</f>
        <v>622967.21</v>
      </c>
      <c r="J140" s="167">
        <f>IF($I$213=0,0,I140/$I$213)</f>
        <v>6.1143150663375181E-2</v>
      </c>
      <c r="K140" s="458"/>
      <c r="L140" s="176">
        <v>18420</v>
      </c>
      <c r="M140" s="176">
        <v>19608.32</v>
      </c>
      <c r="O140" s="329">
        <f t="shared" si="43"/>
        <v>19.157022356161011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'[68]Sch C'!D137</f>
        <v>471390.39</v>
      </c>
      <c r="D141" s="480">
        <f>'[68]Sch C'!F137</f>
        <v>0</v>
      </c>
      <c r="E141" s="480">
        <f>+'[68]Sch C'!H137</f>
        <v>0</v>
      </c>
      <c r="F141" s="166">
        <f t="shared" si="46"/>
        <v>471390.39</v>
      </c>
      <c r="G141" s="626"/>
      <c r="H141" s="166"/>
      <c r="I141" s="166">
        <f t="shared" si="47"/>
        <v>471390.39</v>
      </c>
      <c r="J141" s="167">
        <f>IF($I$213=0,0,I141/$I$213)</f>
        <v>4.6266148802658794E-2</v>
      </c>
      <c r="K141" s="458"/>
      <c r="L141" s="176">
        <v>16939</v>
      </c>
      <c r="M141" s="176">
        <v>17943.38</v>
      </c>
      <c r="O141" s="329">
        <f t="shared" si="43"/>
        <v>14.495845198191827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'[68]Sch C'!D138</f>
        <v>1082616.6499999999</v>
      </c>
      <c r="D142" s="480">
        <f>'[68]Sch C'!F138</f>
        <v>0</v>
      </c>
      <c r="E142" s="480">
        <f>+'[68]Sch C'!H138</f>
        <v>0</v>
      </c>
      <c r="F142" s="166">
        <f t="shared" si="46"/>
        <v>1082616.6499999999</v>
      </c>
      <c r="G142" s="626"/>
      <c r="H142" s="166"/>
      <c r="I142" s="166">
        <f t="shared" si="47"/>
        <v>1082616.6499999999</v>
      </c>
      <c r="J142" s="167">
        <f>IF($I$213=0,0,I142/$I$213)</f>
        <v>0.10625694559690953</v>
      </c>
      <c r="K142" s="457" t="s">
        <v>374</v>
      </c>
      <c r="L142" s="176">
        <v>78703</v>
      </c>
      <c r="M142" s="176">
        <v>83139.539999999994</v>
      </c>
      <c r="O142" s="329">
        <f t="shared" si="43"/>
        <v>33.29181862910913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'[68]Sch C'!D139</f>
        <v>76766.7</v>
      </c>
      <c r="D143" s="480">
        <f>'[68]Sch C'!F139</f>
        <v>0</v>
      </c>
      <c r="E143" s="480">
        <f>+'[68]Sch C'!H139</f>
        <v>0</v>
      </c>
      <c r="F143" s="166">
        <f t="shared" si="46"/>
        <v>76766.7</v>
      </c>
      <c r="G143" s="626"/>
      <c r="H143" s="166"/>
      <c r="I143" s="166">
        <f t="shared" si="47"/>
        <v>76766.7</v>
      </c>
      <c r="J143" s="167">
        <f>IF($I$213=0,0,I143/$I$213)</f>
        <v>7.534518396289467E-3</v>
      </c>
      <c r="K143" s="457" t="s">
        <v>374</v>
      </c>
      <c r="L143" s="176">
        <v>4946</v>
      </c>
      <c r="M143" s="176">
        <v>5751.57</v>
      </c>
      <c r="O143" s="329">
        <f t="shared" si="43"/>
        <v>2.3606722223930623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'[68]Sch C'!D141</f>
        <v>116380.12187836785</v>
      </c>
      <c r="D145" s="480">
        <f>'[68]Sch C'!F141</f>
        <v>0</v>
      </c>
      <c r="E145" s="480">
        <f>+'[68]Sch C'!H141</f>
        <v>0</v>
      </c>
      <c r="F145" s="166">
        <f t="shared" ref="F145:F148" si="48">C145+D145+E145</f>
        <v>116380.12187836785</v>
      </c>
      <c r="G145" s="626">
        <v>-12709</v>
      </c>
      <c r="H145" s="166"/>
      <c r="I145" s="166">
        <f t="shared" ref="I145:I148" si="49">F145+G145+H145</f>
        <v>103671.12187836785</v>
      </c>
      <c r="J145" s="167">
        <f>IF($I$213=0,0,I145/$I$213)</f>
        <v>1.0175140718000514E-2</v>
      </c>
      <c r="K145" s="458"/>
      <c r="L145" s="163"/>
      <c r="M145" s="163"/>
      <c r="O145" s="329">
        <f t="shared" si="43"/>
        <v>3.1880169094488715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'[68]Sch C'!D142</f>
        <v>88063.17531206811</v>
      </c>
      <c r="D146" s="480">
        <f>'[68]Sch C'!F142</f>
        <v>0</v>
      </c>
      <c r="E146" s="480">
        <f>+'[68]Sch C'!H142</f>
        <v>0</v>
      </c>
      <c r="F146" s="166">
        <f t="shared" si="48"/>
        <v>88063.17531206811</v>
      </c>
      <c r="G146" s="626">
        <v>-9617</v>
      </c>
      <c r="H146" s="166"/>
      <c r="I146" s="166">
        <f t="shared" si="49"/>
        <v>78446.17531206811</v>
      </c>
      <c r="J146" s="167">
        <f>IF($I$213=0,0,I146/$I$213)</f>
        <v>7.6993559838748546E-3</v>
      </c>
      <c r="K146" s="458"/>
      <c r="L146" s="163"/>
      <c r="M146" s="163"/>
      <c r="O146" s="329">
        <f t="shared" si="43"/>
        <v>2.4123181928124513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'[68]Sch C'!D143</f>
        <v>202249.902809564</v>
      </c>
      <c r="D147" s="480">
        <f>'[68]Sch C'!F143</f>
        <v>0</v>
      </c>
      <c r="E147" s="480">
        <f>+'[68]Sch C'!H143</f>
        <v>0</v>
      </c>
      <c r="F147" s="166">
        <f t="shared" si="48"/>
        <v>202249.902809564</v>
      </c>
      <c r="G147" s="626">
        <v>-22086</v>
      </c>
      <c r="H147" s="166"/>
      <c r="I147" s="166">
        <f t="shared" si="49"/>
        <v>180163.902809564</v>
      </c>
      <c r="J147" s="167">
        <f>IF($I$213=0,0,I147/$I$213)</f>
        <v>1.7682774433002431E-2</v>
      </c>
      <c r="K147" s="458"/>
      <c r="L147" s="163"/>
      <c r="M147" s="163"/>
      <c r="O147" s="329">
        <f t="shared" si="43"/>
        <v>5.5402657772245147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'[68]Sch C'!D144</f>
        <v>8166.7</v>
      </c>
      <c r="D148" s="480">
        <f>'[68]Sch C'!F144</f>
        <v>0</v>
      </c>
      <c r="E148" s="480">
        <f>+'[68]Sch C'!H144</f>
        <v>0</v>
      </c>
      <c r="F148" s="166">
        <f t="shared" si="48"/>
        <v>8166.7</v>
      </c>
      <c r="G148" s="626">
        <v>-1691</v>
      </c>
      <c r="H148" s="166"/>
      <c r="I148" s="166">
        <f t="shared" si="49"/>
        <v>6475.7</v>
      </c>
      <c r="J148" s="167">
        <f>IF($I$213=0,0,I148/$I$213)</f>
        <v>6.3557871810109988E-4</v>
      </c>
      <c r="K148" s="458"/>
      <c r="L148" s="163"/>
      <c r="M148" s="163"/>
      <c r="O148" s="329">
        <f t="shared" si="43"/>
        <v>0.19913588978750885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'[68]Sch C'!D146</f>
        <v>54000</v>
      </c>
      <c r="D150" s="480">
        <f>'[68]Sch C'!F146</f>
        <v>0</v>
      </c>
      <c r="E150" s="480">
        <f>+'[68]Sch C'!H146</f>
        <v>0</v>
      </c>
      <c r="F150" s="166">
        <f t="shared" ref="F150:F158" si="50">C150+D150+E150</f>
        <v>54000</v>
      </c>
      <c r="G150" s="626"/>
      <c r="H150" s="166"/>
      <c r="I150" s="166">
        <f t="shared" ref="I150:I158" si="51">F150+G150+H150</f>
        <v>54000</v>
      </c>
      <c r="J150" s="167">
        <f t="shared" ref="J150:J158" si="52">IF($I$213=0,0,I150/$I$213)</f>
        <v>5.3000062969963705E-3</v>
      </c>
      <c r="K150" s="458"/>
      <c r="L150" s="176">
        <v>0</v>
      </c>
      <c r="M150" s="176">
        <v>0</v>
      </c>
      <c r="O150" s="329">
        <f t="shared" si="43"/>
        <v>1.6605676681324764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'[68]Sch C'!D147</f>
        <v>23345.99</v>
      </c>
      <c r="D151" s="480">
        <f>'[68]Sch C'!F147</f>
        <v>0</v>
      </c>
      <c r="E151" s="480">
        <f>+'[68]Sch C'!H147</f>
        <v>0</v>
      </c>
      <c r="F151" s="166">
        <f t="shared" si="50"/>
        <v>23345.99</v>
      </c>
      <c r="G151" s="626"/>
      <c r="H151" s="166"/>
      <c r="I151" s="166">
        <f t="shared" si="51"/>
        <v>23345.99</v>
      </c>
      <c r="J151" s="167">
        <f t="shared" si="52"/>
        <v>2.29136840758545E-3</v>
      </c>
      <c r="K151" s="458"/>
      <c r="L151" s="176">
        <v>0</v>
      </c>
      <c r="M151" s="176">
        <v>0</v>
      </c>
      <c r="O151" s="329">
        <f t="shared" si="43"/>
        <v>0.71791844767674284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'[68]Sch C'!D148</f>
        <v>10942.56</v>
      </c>
      <c r="D152" s="480">
        <f>'[68]Sch C'!F148</f>
        <v>0</v>
      </c>
      <c r="E152" s="480">
        <f>+'[68]Sch C'!H148</f>
        <v>0</v>
      </c>
      <c r="F152" s="166">
        <f t="shared" si="50"/>
        <v>10942.56</v>
      </c>
      <c r="G152" s="626"/>
      <c r="H152" s="166"/>
      <c r="I152" s="166">
        <f t="shared" si="51"/>
        <v>10942.56</v>
      </c>
      <c r="J152" s="167">
        <f t="shared" si="52"/>
        <v>1.0739932760233445E-3</v>
      </c>
      <c r="K152" s="458"/>
      <c r="L152" s="176">
        <v>0</v>
      </c>
      <c r="M152" s="176">
        <v>0</v>
      </c>
      <c r="O152" s="329">
        <f t="shared" si="43"/>
        <v>0.33649743227036499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'[68]Sch C'!D149</f>
        <v>1075.94</v>
      </c>
      <c r="D153" s="480">
        <f>'[68]Sch C'!F149</f>
        <v>0</v>
      </c>
      <c r="E153" s="480">
        <f>+'[68]Sch C'!H149</f>
        <v>0</v>
      </c>
      <c r="F153" s="166">
        <f t="shared" si="50"/>
        <v>1075.94</v>
      </c>
      <c r="G153" s="626"/>
      <c r="H153" s="166"/>
      <c r="I153" s="166">
        <f t="shared" si="51"/>
        <v>1075.94</v>
      </c>
      <c r="J153" s="167">
        <f t="shared" si="52"/>
        <v>1.0560164398500509E-4</v>
      </c>
      <c r="K153" s="458"/>
      <c r="L153" s="176">
        <v>0</v>
      </c>
      <c r="M153" s="176">
        <v>0</v>
      </c>
      <c r="O153" s="329">
        <f t="shared" si="43"/>
        <v>3.3086503275008457E-2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'[68]Sch C'!D150</f>
        <v>11657.5</v>
      </c>
      <c r="D154" s="480">
        <f>'[68]Sch C'!F150</f>
        <v>0</v>
      </c>
      <c r="E154" s="480">
        <f>+'[68]Sch C'!H150</f>
        <v>0</v>
      </c>
      <c r="F154" s="166">
        <f t="shared" si="50"/>
        <v>11657.5</v>
      </c>
      <c r="G154" s="626"/>
      <c r="H154" s="166"/>
      <c r="I154" s="166">
        <f t="shared" si="51"/>
        <v>11657.5</v>
      </c>
      <c r="J154" s="167">
        <f t="shared" si="52"/>
        <v>1.1441633964302811E-3</v>
      </c>
      <c r="K154" s="458"/>
      <c r="L154" s="176">
        <v>0</v>
      </c>
      <c r="M154" s="176">
        <v>0</v>
      </c>
      <c r="O154" s="329">
        <f t="shared" si="43"/>
        <v>0.35848273317137674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'[68]Sch C'!D151</f>
        <v>241838.62</v>
      </c>
      <c r="D155" s="480">
        <f>'[68]Sch C'!F151</f>
        <v>0</v>
      </c>
      <c r="E155" s="480">
        <f>+'[68]Sch C'!H151</f>
        <v>0</v>
      </c>
      <c r="F155" s="166">
        <f t="shared" si="50"/>
        <v>241838.62</v>
      </c>
      <c r="G155" s="626">
        <v>1249</v>
      </c>
      <c r="H155" s="166"/>
      <c r="I155" s="166">
        <f t="shared" si="51"/>
        <v>243087.62</v>
      </c>
      <c r="J155" s="167">
        <f t="shared" si="52"/>
        <v>2.3858628087441866E-2</v>
      </c>
      <c r="K155" s="458"/>
      <c r="L155" s="163"/>
      <c r="M155" s="163"/>
      <c r="O155" s="329">
        <f t="shared" si="43"/>
        <v>7.4752489313939545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'[68]Sch C'!D152</f>
        <v>2281.15</v>
      </c>
      <c r="D156" s="480">
        <f>'[68]Sch C'!F152</f>
        <v>0</v>
      </c>
      <c r="E156" s="480">
        <f>+'[68]Sch C'!H152</f>
        <v>0</v>
      </c>
      <c r="F156" s="166">
        <f t="shared" si="50"/>
        <v>2281.15</v>
      </c>
      <c r="G156" s="626"/>
      <c r="H156" s="166"/>
      <c r="I156" s="166">
        <f t="shared" si="51"/>
        <v>2281.15</v>
      </c>
      <c r="J156" s="167">
        <f t="shared" si="52"/>
        <v>2.2389091415543093E-4</v>
      </c>
      <c r="K156" s="458"/>
      <c r="L156" s="163"/>
      <c r="M156" s="163"/>
      <c r="O156" s="329">
        <f t="shared" si="43"/>
        <v>7.0148221040007383E-2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'[68]Sch C'!D153</f>
        <v>25472.68</v>
      </c>
      <c r="D157" s="480">
        <f>'[68]Sch C'!F153</f>
        <v>0</v>
      </c>
      <c r="E157" s="480">
        <f>+'[68]Sch C'!H153</f>
        <v>0</v>
      </c>
      <c r="F157" s="166">
        <f t="shared" si="50"/>
        <v>25472.68</v>
      </c>
      <c r="G157" s="626"/>
      <c r="H157" s="166"/>
      <c r="I157" s="166">
        <f t="shared" si="51"/>
        <v>25472.68</v>
      </c>
      <c r="J157" s="167">
        <f t="shared" si="52"/>
        <v>2.5000993407661761E-3</v>
      </c>
      <c r="K157" s="458"/>
      <c r="L157" s="163"/>
      <c r="M157" s="163"/>
      <c r="O157" s="329">
        <f t="shared" si="43"/>
        <v>0.78331683016082909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'[68]Sch C'!D154</f>
        <v>1547.6</v>
      </c>
      <c r="D158" s="480">
        <f>'[68]Sch C'!F154</f>
        <v>0</v>
      </c>
      <c r="E158" s="480">
        <f>+'[68]Sch C'!H154</f>
        <v>0</v>
      </c>
      <c r="F158" s="166">
        <f t="shared" si="50"/>
        <v>1547.6</v>
      </c>
      <c r="G158" s="626">
        <v>1478</v>
      </c>
      <c r="H158" s="166"/>
      <c r="I158" s="166">
        <f t="shared" si="51"/>
        <v>3025.6</v>
      </c>
      <c r="J158" s="167">
        <f t="shared" si="52"/>
        <v>2.9695738985541145E-4</v>
      </c>
      <c r="K158" s="458"/>
      <c r="L158" s="163"/>
      <c r="M158" s="163"/>
      <c r="O158" s="329">
        <f t="shared" si="43"/>
        <v>9.3040991420400385E-2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'[68]Sch C'!D156</f>
        <v>0</v>
      </c>
      <c r="D160" s="480">
        <f>'[68]Sch C'!F156</f>
        <v>0</v>
      </c>
      <c r="E160" s="480">
        <f>+'[68]Sch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'[68]Sch C'!D157</f>
        <v>0</v>
      </c>
      <c r="D161" s="480">
        <f>'[68]Sch C'!F157</f>
        <v>0</v>
      </c>
      <c r="E161" s="480">
        <f>+'[68]Sch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'[68]Sch C'!D158</f>
        <v>0</v>
      </c>
      <c r="D162" s="480">
        <f>'[68]Sch C'!F158</f>
        <v>0</v>
      </c>
      <c r="E162" s="480">
        <f>+'[68]Sch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'[68]Sch C'!D159</f>
        <v>0</v>
      </c>
      <c r="D163" s="480">
        <f>'[68]Sch C'!F159</f>
        <v>0</v>
      </c>
      <c r="E163" s="480">
        <f>+'[68]Sch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'[68]Sch C'!D160</f>
        <v>597.85</v>
      </c>
      <c r="D164" s="480">
        <f>'[68]Sch C'!F160</f>
        <v>0</v>
      </c>
      <c r="E164" s="480">
        <f>+'[68]Sch C'!H160</f>
        <v>0</v>
      </c>
      <c r="F164" s="166">
        <f t="shared" si="53"/>
        <v>597.85</v>
      </c>
      <c r="G164" s="626"/>
      <c r="H164" s="166"/>
      <c r="I164" s="166">
        <f t="shared" si="54"/>
        <v>597.85</v>
      </c>
      <c r="J164" s="167">
        <f>IF($I$213=0,0,I164/$I$213)</f>
        <v>5.8677940086282963E-5</v>
      </c>
      <c r="K164" s="458"/>
      <c r="L164" s="163"/>
      <c r="M164" s="163"/>
      <c r="O164" s="329">
        <f t="shared" si="43"/>
        <v>1.8384636673944466E-2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'[68]Sch C'!D161</f>
        <v>65647.64</v>
      </c>
      <c r="D165" s="480">
        <f>'[68]Sch C'!F161</f>
        <v>0</v>
      </c>
      <c r="E165" s="480">
        <f>+'[68]Sch C'!H161</f>
        <v>0</v>
      </c>
      <c r="F165" s="166">
        <f t="shared" si="53"/>
        <v>65647.64</v>
      </c>
      <c r="G165" s="626">
        <v>-15458</v>
      </c>
      <c r="H165" s="166"/>
      <c r="I165" s="166">
        <f t="shared" si="54"/>
        <v>50189.64</v>
      </c>
      <c r="J165" s="167">
        <f t="shared" si="55"/>
        <v>4.9260260748885355E-3</v>
      </c>
      <c r="K165" s="458"/>
      <c r="L165" s="163"/>
      <c r="M165" s="163"/>
      <c r="O165" s="329">
        <f t="shared" si="43"/>
        <v>1.5433943233186753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3778134.870000001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3778134.870000001</v>
      </c>
      <c r="G166" s="166">
        <f t="shared" si="57"/>
        <v>-69237</v>
      </c>
      <c r="H166" s="166">
        <f t="shared" si="57"/>
        <v>0</v>
      </c>
      <c r="I166" s="166">
        <f t="shared" si="57"/>
        <v>3708897.870000001</v>
      </c>
      <c r="J166" s="167">
        <f t="shared" si="55"/>
        <v>0.36402189010956354</v>
      </c>
      <c r="K166" s="458"/>
      <c r="L166" s="163"/>
      <c r="M166" s="163"/>
      <c r="O166" s="329">
        <f>I166/I$233</f>
        <v>114.05325717272981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'[68]Sch C'!D175</f>
        <v>0</v>
      </c>
      <c r="D169" s="480">
        <f>'[68]Sch C'!F175</f>
        <v>0</v>
      </c>
      <c r="E169" s="480">
        <f>+'[68]Sch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'[68]Sch C'!D176</f>
        <v>0</v>
      </c>
      <c r="D170" s="480">
        <f>'[68]Sch C'!F176</f>
        <v>0</v>
      </c>
      <c r="E170" s="480">
        <f>+'[68]Sch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'[68]Sch C'!D177</f>
        <v>0</v>
      </c>
      <c r="D171" s="480">
        <f>'[68]Sch C'!F177</f>
        <v>0</v>
      </c>
      <c r="E171" s="480">
        <f>+'[68]Sch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'[68]Sch C'!D178</f>
        <v>0</v>
      </c>
      <c r="D172" s="480">
        <f>'[68]Sch C'!F178</f>
        <v>0</v>
      </c>
      <c r="E172" s="480">
        <f>+'[68]Sch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'[68]Sch C'!D179</f>
        <v>0</v>
      </c>
      <c r="D173" s="480">
        <f>'[68]Sch C'!F179</f>
        <v>0</v>
      </c>
      <c r="E173" s="480">
        <f>+'[68]Sch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'[68]Sch C'!D180</f>
        <v>0</v>
      </c>
      <c r="D174" s="480">
        <f>'[68]Sch C'!F180</f>
        <v>0</v>
      </c>
      <c r="E174" s="480">
        <f>+'[68]Sch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'[68]Sch C'!D181</f>
        <v>0</v>
      </c>
      <c r="D175" s="480">
        <f>'[68]Sch C'!F181</f>
        <v>0</v>
      </c>
      <c r="E175" s="480">
        <f>+'[68]Sch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'[68]Sch C'!D182</f>
        <v>0</v>
      </c>
      <c r="D176" s="480">
        <f>'[68]Sch C'!F182</f>
        <v>0</v>
      </c>
      <c r="E176" s="480">
        <f>+'[68]Sch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'[68]Sch C'!D183</f>
        <v>0</v>
      </c>
      <c r="D177" s="480">
        <f>'[68]Sch C'!F183</f>
        <v>0</v>
      </c>
      <c r="E177" s="480">
        <f>+'[68]Sch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'[68]Sch C'!D184</f>
        <v>0</v>
      </c>
      <c r="D178" s="480">
        <f>'[68]Sch C'!F184</f>
        <v>0</v>
      </c>
      <c r="E178" s="480">
        <f>+'[68]Sch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'[68]Sch C'!D185</f>
        <v>0</v>
      </c>
      <c r="D179" s="480">
        <f>'[68]Sch C'!F185</f>
        <v>0</v>
      </c>
      <c r="E179" s="480">
        <f>+'[68]Sch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'[68]Sch C'!D186</f>
        <v>0</v>
      </c>
      <c r="D180" s="480">
        <f>'[68]Sch C'!F186</f>
        <v>0</v>
      </c>
      <c r="E180" s="480">
        <f>+'[68]Sch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'[68]Sch C'!D187</f>
        <v>0</v>
      </c>
      <c r="D181" s="480">
        <f>'[68]Sch C'!F187</f>
        <v>0</v>
      </c>
      <c r="E181" s="480">
        <f>+'[68]Sch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'[68]Sch C'!D188</f>
        <v>0</v>
      </c>
      <c r="D182" s="480">
        <f>'[68]Sch C'!F188</f>
        <v>0</v>
      </c>
      <c r="E182" s="480">
        <f>+'[68]Sch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'[68]Sch C'!D189</f>
        <v>0</v>
      </c>
      <c r="D183" s="480">
        <f>'[68]Sch C'!F189</f>
        <v>0</v>
      </c>
      <c r="E183" s="480">
        <f>+'[68]Sch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'[68]Sch C'!D190</f>
        <v>0</v>
      </c>
      <c r="D184" s="480">
        <f>'[68]Sch C'!F190</f>
        <v>0</v>
      </c>
      <c r="E184" s="480">
        <f>+'[68]Sch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'[68]Sch C'!D191</f>
        <v>0</v>
      </c>
      <c r="D185" s="480">
        <f>'[68]Sch C'!F191</f>
        <v>0</v>
      </c>
      <c r="E185" s="480">
        <f>+'[68]Sch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'[68]Sch C'!D192</f>
        <v>0</v>
      </c>
      <c r="D186" s="480">
        <f>'[68]Sch C'!F192</f>
        <v>0</v>
      </c>
      <c r="E186" s="480">
        <f>+'[68]Sch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'[68]Sch C'!D193</f>
        <v>0</v>
      </c>
      <c r="D187" s="480">
        <f>'[68]Sch C'!F193</f>
        <v>0</v>
      </c>
      <c r="E187" s="480">
        <f>+'[68]Sch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'[68]Sch C'!D194</f>
        <v>664489.06000000006</v>
      </c>
      <c r="D188" s="480">
        <f>'[68]Sch C'!F194</f>
        <v>0</v>
      </c>
      <c r="E188" s="480">
        <f>+'[68]Sch C'!H194</f>
        <v>-17329.060000000001</v>
      </c>
      <c r="F188" s="166">
        <f t="shared" si="58"/>
        <v>647160</v>
      </c>
      <c r="G188" s="626"/>
      <c r="H188" s="166"/>
      <c r="I188" s="166">
        <f t="shared" si="59"/>
        <v>647160</v>
      </c>
      <c r="J188" s="167">
        <f t="shared" si="60"/>
        <v>6.3517631021558718E-2</v>
      </c>
      <c r="K188" s="458"/>
      <c r="L188" s="213"/>
      <c r="M188" s="208"/>
      <c r="O188" s="329">
        <f t="shared" si="61"/>
        <v>19.900980964974323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'[68]Sch C'!D195</f>
        <v>113673.79</v>
      </c>
      <c r="D189" s="480">
        <f>'[68]Sch C'!F195</f>
        <v>0</v>
      </c>
      <c r="E189" s="480">
        <f>+'[68]Sch C'!H195</f>
        <v>-2964.48</v>
      </c>
      <c r="F189" s="166">
        <f t="shared" si="58"/>
        <v>110709.31</v>
      </c>
      <c r="G189" s="626"/>
      <c r="H189" s="166"/>
      <c r="I189" s="166">
        <f t="shared" si="59"/>
        <v>110709.31</v>
      </c>
      <c r="J189" s="167">
        <f t="shared" si="60"/>
        <v>1.0865926669187467E-2</v>
      </c>
      <c r="K189" s="458"/>
      <c r="L189" s="213"/>
      <c r="M189" s="208"/>
      <c r="O189" s="329">
        <f t="shared" si="61"/>
        <v>3.4044500138380638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'[68]Sch C'!D196</f>
        <v>0</v>
      </c>
      <c r="D190" s="480">
        <f>'[68]Sch C'!F196</f>
        <v>0</v>
      </c>
      <c r="E190" s="480">
        <f>+'[68]Sch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'[68]Sch C'!D197</f>
        <v>579914.44999999995</v>
      </c>
      <c r="D191" s="480">
        <f>'[68]Sch C'!F197</f>
        <v>0</v>
      </c>
      <c r="E191" s="480">
        <f>+'[68]Sch C'!H197</f>
        <v>-15123.44</v>
      </c>
      <c r="F191" s="166">
        <f t="shared" si="58"/>
        <v>564791.01</v>
      </c>
      <c r="G191" s="626"/>
      <c r="H191" s="166"/>
      <c r="I191" s="166">
        <f t="shared" si="59"/>
        <v>564791.01</v>
      </c>
      <c r="J191" s="167">
        <f t="shared" si="60"/>
        <v>5.5433257583091478E-2</v>
      </c>
      <c r="K191" s="458"/>
      <c r="L191" s="213"/>
      <c r="M191" s="208"/>
      <c r="O191" s="329">
        <f t="shared" si="61"/>
        <v>17.36803130477567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'[68]Sch C'!D198</f>
        <v>50662.93</v>
      </c>
      <c r="D192" s="480">
        <f>'[68]Sch C'!F198</f>
        <v>0</v>
      </c>
      <c r="E192" s="480">
        <f>+'[68]Sch C'!H198</f>
        <v>0</v>
      </c>
      <c r="F192" s="166">
        <f t="shared" si="58"/>
        <v>50662.93</v>
      </c>
      <c r="G192" s="626"/>
      <c r="H192" s="166"/>
      <c r="I192" s="166">
        <f t="shared" si="59"/>
        <v>50662.93</v>
      </c>
      <c r="J192" s="167">
        <f t="shared" si="60"/>
        <v>4.9724786671164131E-3</v>
      </c>
      <c r="K192" s="458"/>
      <c r="L192" s="213"/>
      <c r="M192" s="208"/>
      <c r="O192" s="329">
        <f t="shared" si="61"/>
        <v>1.5579485839047942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'[68]Sch C'!D199</f>
        <v>0</v>
      </c>
      <c r="D193" s="480">
        <f>'[68]Sch C'!F199</f>
        <v>0</v>
      </c>
      <c r="E193" s="480">
        <f>+'[68]Sch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'[68]Sch C'!D200</f>
        <v>0</v>
      </c>
      <c r="D194" s="480">
        <f>'[68]Sch C'!F200</f>
        <v>0</v>
      </c>
      <c r="E194" s="480">
        <f>+'[68]Sch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'[68]Sch C'!D201</f>
        <v>0</v>
      </c>
      <c r="D195" s="480">
        <f>'[68]Sch C'!F201</f>
        <v>0</v>
      </c>
      <c r="E195" s="480">
        <f>+'[68]Sch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'[68]Sch C'!D202</f>
        <v>0</v>
      </c>
      <c r="D196" s="480">
        <f>'[68]Sch C'!F202</f>
        <v>0</v>
      </c>
      <c r="E196" s="480">
        <f>+'[68]Sch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'[68]Sch C'!D203</f>
        <v>0</v>
      </c>
      <c r="D197" s="480">
        <f>'[68]Sch C'!F203</f>
        <v>0</v>
      </c>
      <c r="E197" s="480">
        <f>+'[68]Sch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'[68]Sch C'!D204</f>
        <v>0</v>
      </c>
      <c r="D198" s="480">
        <f>'[68]Sch C'!F204</f>
        <v>0</v>
      </c>
      <c r="E198" s="480">
        <f>+'[68]Sch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'[68]Sch C'!D205</f>
        <v>668534.22</v>
      </c>
      <c r="D199" s="480">
        <f>'[68]Sch C'!F205</f>
        <v>0</v>
      </c>
      <c r="E199" s="480">
        <f>+'[68]Sch C'!H205</f>
        <v>-434250.72</v>
      </c>
      <c r="F199" s="166">
        <f t="shared" si="58"/>
        <v>234283.5</v>
      </c>
      <c r="G199" s="626"/>
      <c r="H199" s="166"/>
      <c r="I199" s="166">
        <f t="shared" si="59"/>
        <v>234283.5</v>
      </c>
      <c r="J199" s="167">
        <f t="shared" si="60"/>
        <v>2.2994518986710167E-2</v>
      </c>
      <c r="K199" s="458"/>
      <c r="L199" s="213"/>
      <c r="M199" s="208"/>
      <c r="O199" s="329">
        <f t="shared" si="61"/>
        <v>7.20451120883176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'[68]Sch C'!D206</f>
        <v>63298.080000000002</v>
      </c>
      <c r="D200" s="480">
        <f>'[68]Sch C'!F206</f>
        <v>0</v>
      </c>
      <c r="E200" s="480">
        <f>+'[68]Sch C'!H206</f>
        <v>0</v>
      </c>
      <c r="F200" s="166">
        <f t="shared" si="58"/>
        <v>63298.080000000002</v>
      </c>
      <c r="G200" s="626">
        <f>-1478-1249</f>
        <v>-2727</v>
      </c>
      <c r="H200" s="166"/>
      <c r="I200" s="166">
        <f t="shared" si="59"/>
        <v>60571.08</v>
      </c>
      <c r="J200" s="167">
        <f t="shared" si="60"/>
        <v>5.9449463965902021E-3</v>
      </c>
      <c r="K200" s="458"/>
      <c r="L200" s="213"/>
      <c r="M200" s="208"/>
      <c r="O200" s="329">
        <f t="shared" si="61"/>
        <v>1.8626366124419571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'[68]Sch C'!D207</f>
        <v>-513.80999999999995</v>
      </c>
      <c r="D201" s="480">
        <f>'[68]Sch C'!F207</f>
        <v>0</v>
      </c>
      <c r="E201" s="480">
        <f>+'[68]Sch C'!H207</f>
        <v>0</v>
      </c>
      <c r="F201" s="166">
        <f t="shared" si="58"/>
        <v>-513.80999999999995</v>
      </c>
      <c r="G201" s="626"/>
      <c r="H201" s="166"/>
      <c r="I201" s="166">
        <f t="shared" si="59"/>
        <v>-513.80999999999995</v>
      </c>
      <c r="J201" s="167">
        <f t="shared" si="60"/>
        <v>-5.0429559915920453E-5</v>
      </c>
      <c r="K201" s="458"/>
      <c r="L201" s="213"/>
      <c r="M201" s="208"/>
      <c r="O201" s="329">
        <f t="shared" si="61"/>
        <v>-1.580030136228051E-2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2140058.7199999997</v>
      </c>
      <c r="D202" s="480">
        <f t="shared" si="62"/>
        <v>0</v>
      </c>
      <c r="E202" s="480">
        <f t="shared" si="62"/>
        <v>-469667.69999999995</v>
      </c>
      <c r="F202" s="166">
        <f t="shared" ref="F202:I202" si="63">SUM(F169:F201)</f>
        <v>1670391.02</v>
      </c>
      <c r="G202" s="166">
        <f t="shared" si="63"/>
        <v>-2727</v>
      </c>
      <c r="H202" s="166">
        <f t="shared" si="63"/>
        <v>0</v>
      </c>
      <c r="I202" s="166">
        <f t="shared" si="63"/>
        <v>1667664.02</v>
      </c>
      <c r="J202" s="167">
        <f>IF($I$213=0,0,I202/$I$213)</f>
        <v>0.16367832976433852</v>
      </c>
      <c r="K202" s="458"/>
      <c r="L202" s="163"/>
      <c r="M202" s="163"/>
      <c r="O202" s="329">
        <f>I202/I$233</f>
        <v>51.282758387404286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'[68]Sch C'!D211</f>
        <v>125243.46</v>
      </c>
      <c r="D205" s="480">
        <f>'[68]Sch C'!F211</f>
        <v>0</v>
      </c>
      <c r="E205" s="480">
        <f>+'[68]Sch C'!H211</f>
        <v>0</v>
      </c>
      <c r="F205" s="166">
        <f t="shared" ref="F205:F210" si="64">C205+D205+E205</f>
        <v>125243.46</v>
      </c>
      <c r="G205" s="626"/>
      <c r="H205" s="166"/>
      <c r="I205" s="166">
        <f t="shared" ref="I205:I210" si="65">F205+G205+H205</f>
        <v>125243.46</v>
      </c>
      <c r="J205" s="167">
        <f t="shared" ref="J205:J211" si="66">IF($I$213=0,0,I205/$I$213)</f>
        <v>1.2292428271437278E-2</v>
      </c>
      <c r="K205" s="458"/>
      <c r="L205" s="176">
        <v>4269</v>
      </c>
      <c r="M205" s="176">
        <v>4647</v>
      </c>
      <c r="O205" s="329">
        <f t="shared" ref="O205:O210" si="67">I205/I$233</f>
        <v>3.8513933392785757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'[68]Sch C'!D212</f>
        <v>32495.43</v>
      </c>
      <c r="D206" s="480">
        <f>'[68]Sch C'!F212</f>
        <v>0</v>
      </c>
      <c r="E206" s="480">
        <f>+'[68]Sch C'!H212</f>
        <v>0</v>
      </c>
      <c r="F206" s="166">
        <f t="shared" si="64"/>
        <v>32495.43</v>
      </c>
      <c r="G206" s="626">
        <v>-1912</v>
      </c>
      <c r="H206" s="166"/>
      <c r="I206" s="166">
        <f t="shared" si="65"/>
        <v>30583.43</v>
      </c>
      <c r="J206" s="167">
        <f t="shared" si="66"/>
        <v>3.0017105848842165E-3</v>
      </c>
      <c r="K206" s="458"/>
      <c r="L206" s="163"/>
      <c r="M206" s="163"/>
      <c r="O206" s="329">
        <f t="shared" si="67"/>
        <v>0.94047879701097825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'[68]Sch C'!D213</f>
        <v>25416</v>
      </c>
      <c r="D207" s="480">
        <f>'[68]Sch C'!F213</f>
        <v>0</v>
      </c>
      <c r="E207" s="480">
        <f>+'[68]Sch C'!H213</f>
        <v>0</v>
      </c>
      <c r="F207" s="166">
        <f t="shared" si="64"/>
        <v>25416</v>
      </c>
      <c r="G207" s="626"/>
      <c r="H207" s="166"/>
      <c r="I207" s="166">
        <f t="shared" si="65"/>
        <v>25416</v>
      </c>
      <c r="J207" s="167">
        <f t="shared" si="66"/>
        <v>2.4945362971196248E-3</v>
      </c>
      <c r="K207" s="458"/>
      <c r="L207" s="163"/>
      <c r="M207" s="163"/>
      <c r="O207" s="329">
        <f t="shared" si="67"/>
        <v>0.78157384913435224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'[68]Sch C'!D214</f>
        <v>0</v>
      </c>
      <c r="D208" s="480">
        <f>'[68]Sch C'!F214</f>
        <v>0</v>
      </c>
      <c r="E208" s="480">
        <f>+'[68]Sch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'[68]Sch C'!D215</f>
        <v>0</v>
      </c>
      <c r="D209" s="480">
        <f>'[68]Sch C'!F215</f>
        <v>0</v>
      </c>
      <c r="E209" s="480">
        <f>+'[68]Sch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'[68]Sch C'!D216</f>
        <v>3758.24</v>
      </c>
      <c r="D210" s="480">
        <f>'[68]Sch C'!F216</f>
        <v>0</v>
      </c>
      <c r="E210" s="480">
        <f>+'[68]Sch C'!H216</f>
        <v>0</v>
      </c>
      <c r="F210" s="166">
        <f t="shared" si="64"/>
        <v>3758.24</v>
      </c>
      <c r="G210" s="626"/>
      <c r="H210" s="166"/>
      <c r="I210" s="166">
        <f t="shared" si="65"/>
        <v>3758.24</v>
      </c>
      <c r="J210" s="167">
        <f t="shared" si="66"/>
        <v>3.6886473454858585E-4</v>
      </c>
      <c r="K210" s="458"/>
      <c r="L210" s="163"/>
      <c r="M210" s="163"/>
      <c r="O210" s="329">
        <f t="shared" si="67"/>
        <v>0.11557058950152219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186913.13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186913.13</v>
      </c>
      <c r="G211" s="166">
        <f t="shared" si="69"/>
        <v>-1912</v>
      </c>
      <c r="H211" s="166">
        <f t="shared" si="69"/>
        <v>0</v>
      </c>
      <c r="I211" s="166">
        <f t="shared" si="69"/>
        <v>185001.13</v>
      </c>
      <c r="J211" s="167">
        <f t="shared" si="66"/>
        <v>1.8157539887989706E-2</v>
      </c>
      <c r="K211" s="458"/>
      <c r="L211" s="163"/>
      <c r="M211" s="163"/>
      <c r="O211" s="329">
        <f>I211/I$233</f>
        <v>5.6890165749254287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10612454.679999998</v>
      </c>
      <c r="D213" s="480">
        <f t="shared" si="70"/>
        <v>-160413.00999999995</v>
      </c>
      <c r="E213" s="480">
        <f t="shared" si="70"/>
        <v>248645.47000000009</v>
      </c>
      <c r="F213" s="166">
        <f t="shared" ref="F213:I213" si="71">SUM(F30:F211)/2</f>
        <v>10700687.140000001</v>
      </c>
      <c r="G213" s="166">
        <f t="shared" si="71"/>
        <v>-86922</v>
      </c>
      <c r="H213" s="166">
        <f t="shared" si="71"/>
        <v>-425098</v>
      </c>
      <c r="I213" s="166">
        <f t="shared" si="71"/>
        <v>10188667.140000001</v>
      </c>
      <c r="J213" s="167">
        <f>IF($I$213=0,0,I213/$I$213)</f>
        <v>1</v>
      </c>
      <c r="K213" s="458"/>
      <c r="L213" s="176">
        <f>SUM(L30:L205)</f>
        <v>203995.53</v>
      </c>
      <c r="M213" s="176">
        <f>SUM(M30:M205)</f>
        <v>217856.98000000004</v>
      </c>
      <c r="O213" s="329">
        <f>I213/I$233</f>
        <v>313.31428211199608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'[68]Sch C'!D221</f>
        <v>10612454.67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9.9999979138374329E-3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-1073385.2599999979</v>
      </c>
      <c r="D220" s="480">
        <f t="shared" si="72"/>
        <v>2802507.55</v>
      </c>
      <c r="E220" s="480">
        <f t="shared" si="72"/>
        <v>-248645.47000000009</v>
      </c>
      <c r="F220" s="166">
        <f t="shared" ref="F220:I220" si="73">F26-F213</f>
        <v>1480476.8199999984</v>
      </c>
      <c r="G220" s="166">
        <f t="shared" si="73"/>
        <v>86922</v>
      </c>
      <c r="H220" s="166">
        <f t="shared" si="73"/>
        <v>425098</v>
      </c>
      <c r="I220" s="166">
        <f t="shared" si="73"/>
        <v>1992496.8199999984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'[68]Sch D'!C9</f>
        <v>17672</v>
      </c>
      <c r="D224" s="480"/>
      <c r="E224" s="480"/>
      <c r="F224" s="224">
        <f>C224+D224+E224</f>
        <v>17672</v>
      </c>
      <c r="G224" s="627"/>
      <c r="H224" s="224"/>
      <c r="I224" s="224">
        <f>F224+G224+H224</f>
        <v>17672</v>
      </c>
      <c r="J224" s="167">
        <f t="shared" ref="J224:J233" si="74">IF($I$233=0,0,I224/$I$233)</f>
        <v>0.54343614502290971</v>
      </c>
      <c r="K224" s="458"/>
      <c r="L224" s="163"/>
      <c r="M224" s="163"/>
    </row>
    <row r="225" spans="1:13">
      <c r="A225" s="158"/>
      <c r="B225" s="165" t="s">
        <v>201</v>
      </c>
      <c r="C225" s="504">
        <f>'[68]Sch D'!D9</f>
        <v>7</v>
      </c>
      <c r="D225" s="480"/>
      <c r="E225" s="480"/>
      <c r="F225" s="224">
        <f t="shared" ref="F225:F232" si="75">C225+D225+E225</f>
        <v>7</v>
      </c>
      <c r="G225" s="627"/>
      <c r="H225" s="224"/>
      <c r="I225" s="224">
        <f t="shared" ref="I225:I232" si="76">F225+G225+H225</f>
        <v>7</v>
      </c>
      <c r="J225" s="167">
        <f t="shared" si="74"/>
        <v>2.1525877179495064E-4</v>
      </c>
      <c r="K225" s="458"/>
      <c r="L225" s="163"/>
      <c r="M225" s="163"/>
    </row>
    <row r="226" spans="1:13">
      <c r="A226" s="158"/>
      <c r="B226" s="165" t="s">
        <v>64</v>
      </c>
      <c r="C226" s="504">
        <f>'[68]Sch D'!E9</f>
        <v>6933</v>
      </c>
      <c r="D226" s="480"/>
      <c r="E226" s="480"/>
      <c r="F226" s="224">
        <f t="shared" si="75"/>
        <v>6933</v>
      </c>
      <c r="G226" s="627"/>
      <c r="H226" s="224"/>
      <c r="I226" s="224">
        <f t="shared" si="76"/>
        <v>6933</v>
      </c>
      <c r="J226" s="167">
        <f t="shared" si="74"/>
        <v>0.21319843783634182</v>
      </c>
      <c r="K226" s="458"/>
      <c r="L226" s="163"/>
      <c r="M226" s="163"/>
    </row>
    <row r="227" spans="1:13">
      <c r="A227" s="158"/>
      <c r="B227" s="194" t="s">
        <v>315</v>
      </c>
      <c r="C227" s="504">
        <f>'[68]Sch D'!F9</f>
        <v>1854</v>
      </c>
      <c r="D227" s="480"/>
      <c r="E227" s="480"/>
      <c r="F227" s="224">
        <f t="shared" si="75"/>
        <v>1854</v>
      </c>
      <c r="G227" s="627"/>
      <c r="H227" s="224"/>
      <c r="I227" s="224">
        <f t="shared" si="76"/>
        <v>1854</v>
      </c>
      <c r="J227" s="167">
        <f t="shared" si="74"/>
        <v>5.7012823272548356E-2</v>
      </c>
      <c r="K227" s="458"/>
      <c r="L227" s="163"/>
      <c r="M227" s="163"/>
    </row>
    <row r="228" spans="1:13">
      <c r="A228" s="158"/>
      <c r="B228" s="165" t="s">
        <v>65</v>
      </c>
      <c r="C228" s="504">
        <f>'[68]Sch D'!G9</f>
        <v>0</v>
      </c>
      <c r="D228" s="480"/>
      <c r="E228" s="480"/>
      <c r="F228" s="224">
        <f t="shared" si="75"/>
        <v>0</v>
      </c>
      <c r="G228" s="627"/>
      <c r="H228" s="224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'[68]Sch D'!H9</f>
        <v>4096</v>
      </c>
      <c r="D229" s="480"/>
      <c r="E229" s="480"/>
      <c r="F229" s="224">
        <f t="shared" si="75"/>
        <v>4096</v>
      </c>
      <c r="G229" s="627"/>
      <c r="H229" s="224"/>
      <c r="I229" s="224">
        <f t="shared" si="76"/>
        <v>4096</v>
      </c>
      <c r="J229" s="167">
        <f t="shared" si="74"/>
        <v>0.1259571327531597</v>
      </c>
      <c r="K229" s="458"/>
      <c r="L229" s="163"/>
      <c r="M229" s="163"/>
    </row>
    <row r="230" spans="1:13">
      <c r="A230" s="158"/>
      <c r="B230" s="165" t="s">
        <v>219</v>
      </c>
      <c r="C230" s="504">
        <f>'[68]Sch D'!I9</f>
        <v>1701</v>
      </c>
      <c r="D230" s="480"/>
      <c r="E230" s="480"/>
      <c r="F230" s="224">
        <f t="shared" si="75"/>
        <v>1701</v>
      </c>
      <c r="G230" s="627"/>
      <c r="H230" s="224"/>
      <c r="I230" s="224">
        <f t="shared" si="76"/>
        <v>1701</v>
      </c>
      <c r="J230" s="167">
        <f t="shared" si="74"/>
        <v>5.2307881546173003E-2</v>
      </c>
      <c r="K230" s="458"/>
      <c r="L230" s="163"/>
      <c r="M230" s="163"/>
    </row>
    <row r="231" spans="1:13">
      <c r="A231" s="158"/>
      <c r="B231" s="165" t="s">
        <v>218</v>
      </c>
      <c r="C231" s="504">
        <f>'[68]Sch D'!J9</f>
        <v>256</v>
      </c>
      <c r="D231" s="480"/>
      <c r="E231" s="480"/>
      <c r="F231" s="224">
        <f t="shared" si="75"/>
        <v>256</v>
      </c>
      <c r="G231" s="627"/>
      <c r="H231" s="224"/>
      <c r="I231" s="224">
        <f t="shared" si="76"/>
        <v>256</v>
      </c>
      <c r="J231" s="167">
        <f>IF($I$233=0,0,I231/$I$233)</f>
        <v>7.8723207970724813E-3</v>
      </c>
      <c r="K231" s="458"/>
      <c r="L231" s="163"/>
      <c r="M231" s="163"/>
    </row>
    <row r="232" spans="1:13">
      <c r="A232" s="158"/>
      <c r="B232" s="165" t="s">
        <v>170</v>
      </c>
      <c r="C232" s="504">
        <f>'[68]Sch D'!K9</f>
        <v>0</v>
      </c>
      <c r="D232" s="480"/>
      <c r="E232" s="480"/>
      <c r="F232" s="224">
        <f t="shared" si="75"/>
        <v>0</v>
      </c>
      <c r="G232" s="627"/>
      <c r="H232" s="22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32519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32519</v>
      </c>
      <c r="G233" s="226">
        <f t="shared" si="78"/>
        <v>0</v>
      </c>
      <c r="H233" s="226">
        <f t="shared" si="78"/>
        <v>0</v>
      </c>
      <c r="I233" s="226">
        <f t="shared" si="78"/>
        <v>32519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'[68]Sch D'!N22</f>
        <v>104</v>
      </c>
      <c r="D236" s="480"/>
      <c r="E236" s="480"/>
      <c r="F236" s="224">
        <f>C236+E236</f>
        <v>104</v>
      </c>
      <c r="G236" s="627"/>
      <c r="H236" s="441"/>
      <c r="I236" s="224">
        <f>F236+G236+H236</f>
        <v>104</v>
      </c>
      <c r="J236" s="442"/>
      <c r="K236" s="460"/>
      <c r="L236" s="163"/>
      <c r="M236" s="163"/>
    </row>
    <row r="237" spans="1:13">
      <c r="A237" s="158"/>
      <c r="B237" s="194" t="s">
        <v>271</v>
      </c>
      <c r="C237" s="504">
        <f>'[68]Sch D'!N24</f>
        <v>104</v>
      </c>
      <c r="D237" s="480"/>
      <c r="E237" s="480"/>
      <c r="F237" s="224">
        <f>C237+E237</f>
        <v>104</v>
      </c>
      <c r="G237" s="627"/>
      <c r="H237" s="441"/>
      <c r="I237" s="224">
        <f>F237+G237+H237</f>
        <v>104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'[68]Sch D'!N28</f>
        <v>37960</v>
      </c>
      <c r="D240" s="427"/>
      <c r="E240" s="427"/>
      <c r="F240" s="223">
        <f>F236*F238</f>
        <v>37960</v>
      </c>
      <c r="G240"/>
      <c r="H240" s="228"/>
      <c r="I240" s="223">
        <f>I236*I238</f>
        <v>37960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'[68]Sch D'!N30</f>
        <v>0.85666491043203374</v>
      </c>
      <c r="D241" s="228"/>
      <c r="E241" s="228"/>
      <c r="F241" s="232">
        <f>F233/F240</f>
        <v>0.85666491043203374</v>
      </c>
      <c r="G241"/>
      <c r="H241" s="233"/>
      <c r="I241" s="232">
        <f>I233/I240</f>
        <v>0.85666491043203374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'[68]Sch D'!N32</f>
        <v>0.46572708113804007</v>
      </c>
      <c r="D242" s="228"/>
      <c r="E242" s="228"/>
      <c r="F242" s="232">
        <f>(F224+F225)/F240</f>
        <v>0.46572708113804007</v>
      </c>
      <c r="G242"/>
      <c r="H242" s="233"/>
      <c r="I242" s="232">
        <f>(I224+I225)/I240</f>
        <v>0.46572708113804007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'[68]Sch D'!N34</f>
        <v>0.54365140379470467</v>
      </c>
      <c r="D243" s="228"/>
      <c r="E243" s="228"/>
      <c r="F243" s="232">
        <f>(F242/F241)</f>
        <v>0.54365140379470467</v>
      </c>
      <c r="G243"/>
      <c r="H243" s="233"/>
      <c r="I243" s="232">
        <f>(I242/I241)</f>
        <v>0.54365140379470467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'[68]Sch B'!C90</f>
        <v>254.93605263157892</v>
      </c>
      <c r="K246" s="460"/>
    </row>
    <row r="247" spans="1:13">
      <c r="H247" s="140" t="s">
        <v>322</v>
      </c>
      <c r="I247" s="480">
        <f>'[68]Sch B'!E90</f>
        <v>234.32345454545452</v>
      </c>
      <c r="K247" s="460"/>
    </row>
    <row r="248" spans="1:13">
      <c r="H248" s="140" t="s">
        <v>323</v>
      </c>
      <c r="I248" s="480">
        <f>'[68]Sch B'!G90</f>
        <v>215.1140175953079</v>
      </c>
      <c r="K248" s="460"/>
    </row>
    <row r="249" spans="1:13">
      <c r="H249" s="140" t="s">
        <v>324</v>
      </c>
      <c r="I249" s="480">
        <f>'[68]Sch B'!I90</f>
        <v>260.77560126582279</v>
      </c>
      <c r="K249" s="460"/>
    </row>
    <row r="250" spans="1:13">
      <c r="H250" s="140"/>
      <c r="K250" s="460"/>
    </row>
    <row r="251" spans="1:13">
      <c r="I251" s="411"/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82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21"/>
      <c r="I1" s="422"/>
      <c r="J1" s="422"/>
      <c r="K1" s="420"/>
    </row>
    <row r="2" spans="1:16" ht="23">
      <c r="B2" s="141" t="s">
        <v>178</v>
      </c>
      <c r="C2" s="234" t="s">
        <v>402</v>
      </c>
      <c r="D2" s="234"/>
      <c r="E2" s="234"/>
      <c r="F2" s="142"/>
      <c r="G2" s="142"/>
      <c r="H2" s="401"/>
      <c r="I2"/>
      <c r="J2"/>
    </row>
    <row r="3" spans="1:16" ht="13.15" customHeight="1">
      <c r="A3" s="143"/>
      <c r="B3" s="138" t="s">
        <v>71</v>
      </c>
      <c r="C3" s="557">
        <f>'[69]Sch A Pg 1'!B39</f>
        <v>42917</v>
      </c>
      <c r="D3" s="620"/>
      <c r="E3"/>
      <c r="F3" s="144"/>
      <c r="G3" s="144"/>
      <c r="H3" s="401"/>
      <c r="I3"/>
      <c r="J3"/>
    </row>
    <row r="4" spans="1:16" ht="13.15" customHeight="1">
      <c r="A4" s="143"/>
      <c r="B4" s="145" t="s">
        <v>72</v>
      </c>
      <c r="C4" s="557">
        <f>'[69]Sch A Pg 1'!G39</f>
        <v>43281</v>
      </c>
      <c r="D4" s="620"/>
      <c r="E4"/>
      <c r="F4" s="146"/>
      <c r="G4" s="146"/>
      <c r="H4"/>
      <c r="I4"/>
      <c r="J4"/>
    </row>
    <row r="5" spans="1:16" ht="13.15" customHeight="1">
      <c r="A5" s="143"/>
      <c r="B5" s="145"/>
      <c r="C5" s="148"/>
      <c r="D5" s="148"/>
      <c r="E5" s="142"/>
      <c r="H5"/>
      <c r="I5"/>
      <c r="J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8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7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7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3.15" customHeight="1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'[69]Sch B'!E10</f>
        <v>3745502.72</v>
      </c>
      <c r="D12" s="480">
        <f>'[69]Sch B'!G10</f>
        <v>0</v>
      </c>
      <c r="E12" s="480"/>
      <c r="F12" s="166">
        <f>C12+D12+E12</f>
        <v>3745502.72</v>
      </c>
      <c r="G12" s="626"/>
      <c r="H12" s="372"/>
      <c r="I12" s="166">
        <f>F12+G12+H12</f>
        <v>3745502.72</v>
      </c>
      <c r="J12" s="167">
        <f>IF($I$26=0,0,I12/$I$26)</f>
        <v>0.29159156651721979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'[69]Sch B'!E12</f>
        <v>1732112.09</v>
      </c>
      <c r="D13" s="480">
        <f>'[69]Sch B'!G12</f>
        <v>1083956.8700000001</v>
      </c>
      <c r="E13" s="480"/>
      <c r="F13" s="166">
        <f t="shared" ref="F13:F25" si="0">C13+D13+E13</f>
        <v>2816068.96</v>
      </c>
      <c r="G13" s="626"/>
      <c r="H13" s="372"/>
      <c r="I13" s="166">
        <f t="shared" ref="I13:I25" si="1">F13+G13+H13</f>
        <v>2816068.96</v>
      </c>
      <c r="J13" s="167">
        <f>IF($I$26=0,0,I13/$I$26)</f>
        <v>0.21923411110669755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'[69]Sch B'!E13</f>
        <v>-22556.37</v>
      </c>
      <c r="D14" s="480">
        <f>'[69]Sch B'!G13</f>
        <v>0</v>
      </c>
      <c r="E14" s="480"/>
      <c r="F14" s="166">
        <f t="shared" si="0"/>
        <v>-22556.37</v>
      </c>
      <c r="G14" s="626"/>
      <c r="H14" s="372"/>
      <c r="I14" s="166">
        <f t="shared" si="1"/>
        <v>-22556.37</v>
      </c>
      <c r="J14" s="167">
        <f>IF($I$26=0,0,I14/$I$26)</f>
        <v>-1.7560385761092225E-3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'[69]Sch B'!E14</f>
        <v>58262.51</v>
      </c>
      <c r="D15" s="480">
        <f>'[69]Sch B'!G14</f>
        <v>0</v>
      </c>
      <c r="E15" s="480"/>
      <c r="F15" s="166">
        <f t="shared" si="0"/>
        <v>58262.51</v>
      </c>
      <c r="G15" s="626"/>
      <c r="H15" s="372"/>
      <c r="I15" s="166">
        <f t="shared" si="1"/>
        <v>58262.51</v>
      </c>
      <c r="J15" s="167">
        <f>IF($I$26=0,0,I15/$I$26)</f>
        <v>4.535801421104076E-3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'[69]Sch B'!E15</f>
        <v>5513320.9500000002</v>
      </c>
      <c r="D16" s="480">
        <f>'[69]Sch B'!G15</f>
        <v>1083956.8700000001</v>
      </c>
      <c r="E16" s="480"/>
      <c r="F16" s="166">
        <f t="shared" si="0"/>
        <v>6597277.8200000003</v>
      </c>
      <c r="G16" s="626"/>
      <c r="H16" s="372"/>
      <c r="I16" s="166">
        <f>SUM(I12:I15)</f>
        <v>6597277.8199999994</v>
      </c>
      <c r="J16" s="167">
        <f t="shared" ref="J16:J26" si="2">IF($I$26=0,0,I16/$I$26)</f>
        <v>0.5136054404689121</v>
      </c>
      <c r="K16" s="458"/>
      <c r="L16" s="333" t="s">
        <v>325</v>
      </c>
      <c r="M16" s="334">
        <f>I26</f>
        <v>12845031.030000011</v>
      </c>
      <c r="O16" s="324">
        <f>IFERROR(I16/I224,0)</f>
        <v>339.01735971223019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'[69]Sch B'!E20</f>
        <v>0</v>
      </c>
      <c r="D17" s="480">
        <f>'[69]Sch B'!G20</f>
        <v>0</v>
      </c>
      <c r="E17" s="480"/>
      <c r="F17" s="166">
        <f t="shared" si="0"/>
        <v>0</v>
      </c>
      <c r="G17" s="626"/>
      <c r="H17" s="372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11342983.516288692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'[69]Sch B'!E26</f>
        <v>2189738.6100000027</v>
      </c>
      <c r="D18" s="480">
        <f>'[69]Sch B'!G26</f>
        <v>0</v>
      </c>
      <c r="E18" s="480"/>
      <c r="F18" s="166">
        <f t="shared" si="0"/>
        <v>2189738.6100000027</v>
      </c>
      <c r="G18" s="626"/>
      <c r="H18" s="372"/>
      <c r="I18" s="166">
        <f t="shared" si="1"/>
        <v>2189738.6100000027</v>
      </c>
      <c r="J18" s="167">
        <f t="shared" si="2"/>
        <v>0.1704735944106163</v>
      </c>
      <c r="K18" s="458"/>
      <c r="L18" s="335" t="s">
        <v>327</v>
      </c>
      <c r="M18" s="336">
        <f>I233</f>
        <v>38384</v>
      </c>
      <c r="O18" s="324">
        <f t="shared" si="3"/>
        <v>627.07291237113475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'[69]Sch B'!E32</f>
        <v>971709.57000000961</v>
      </c>
      <c r="D19" s="480">
        <f>'[69]Sch B'!G32</f>
        <v>0</v>
      </c>
      <c r="E19" s="480"/>
      <c r="F19" s="166">
        <f t="shared" si="0"/>
        <v>971709.57000000961</v>
      </c>
      <c r="G19" s="626"/>
      <c r="H19" s="372"/>
      <c r="I19" s="166">
        <f t="shared" si="1"/>
        <v>971709.57000000961</v>
      </c>
      <c r="J19" s="170">
        <f t="shared" si="2"/>
        <v>7.5648674396390989E-2</v>
      </c>
      <c r="K19" s="464"/>
      <c r="L19" s="335" t="s">
        <v>328</v>
      </c>
      <c r="M19" s="336">
        <f>I236</f>
        <v>154</v>
      </c>
      <c r="O19" s="324">
        <f t="shared" si="3"/>
        <v>391.03000804829361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'[69]Sch B'!E37</f>
        <v>1466026.1099999999</v>
      </c>
      <c r="D20" s="480">
        <f>'[69]Sch B'!G37</f>
        <v>0</v>
      </c>
      <c r="E20" s="480"/>
      <c r="F20" s="166">
        <f t="shared" si="0"/>
        <v>1466026.1099999999</v>
      </c>
      <c r="G20" s="626"/>
      <c r="H20" s="372"/>
      <c r="I20" s="166">
        <f t="shared" si="1"/>
        <v>1466026.1099999999</v>
      </c>
      <c r="J20" s="167">
        <f t="shared" si="2"/>
        <v>0.11413176866416637</v>
      </c>
      <c r="K20" s="458"/>
      <c r="L20" s="335" t="s">
        <v>329</v>
      </c>
      <c r="M20" s="336">
        <f>I240</f>
        <v>56210</v>
      </c>
      <c r="O20" s="324">
        <f t="shared" si="3"/>
        <v>259.88762808012763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'[69]Sch B'!E42</f>
        <v>1039255.9100000003</v>
      </c>
      <c r="D21" s="480">
        <f>'[69]Sch B'!G42</f>
        <v>0</v>
      </c>
      <c r="E21" s="480"/>
      <c r="F21" s="166">
        <f t="shared" si="0"/>
        <v>1039255.9100000003</v>
      </c>
      <c r="G21" s="626"/>
      <c r="H21" s="372"/>
      <c r="I21" s="166">
        <f t="shared" si="1"/>
        <v>1039255.9100000003</v>
      </c>
      <c r="J21" s="167">
        <f t="shared" si="2"/>
        <v>8.0907232343213689E-2</v>
      </c>
      <c r="K21" s="458"/>
      <c r="L21" s="337"/>
      <c r="M21" s="336"/>
      <c r="O21" s="324">
        <f t="shared" si="3"/>
        <v>242.08150710458892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'[69]Sch B'!E47</f>
        <v>538758.44999999995</v>
      </c>
      <c r="D22" s="480">
        <f>'[69]Sch B'!G47</f>
        <v>0</v>
      </c>
      <c r="E22" s="480"/>
      <c r="F22" s="166">
        <f t="shared" si="0"/>
        <v>538758.44999999995</v>
      </c>
      <c r="G22" s="626"/>
      <c r="H22" s="372"/>
      <c r="I22" s="166">
        <f t="shared" si="1"/>
        <v>538758.44999999995</v>
      </c>
      <c r="J22" s="167">
        <f t="shared" si="2"/>
        <v>4.1942946555886949E-2</v>
      </c>
      <c r="K22" s="458"/>
      <c r="L22" s="335" t="s">
        <v>148</v>
      </c>
      <c r="M22" s="336">
        <f>L213</f>
        <v>259026.19047619044</v>
      </c>
      <c r="O22" s="324">
        <f t="shared" si="3"/>
        <v>191.59262091038406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'[69]Sch B'!E52</f>
        <v>42264.560000000027</v>
      </c>
      <c r="D23" s="480">
        <f>'[69]Sch B'!G52</f>
        <v>0</v>
      </c>
      <c r="E23" s="480"/>
      <c r="F23" s="166">
        <f t="shared" si="0"/>
        <v>42264.560000000027</v>
      </c>
      <c r="G23" s="626"/>
      <c r="H23" s="372"/>
      <c r="I23" s="166">
        <f t="shared" si="1"/>
        <v>42264.560000000027</v>
      </c>
      <c r="J23" s="167">
        <f t="shared" si="2"/>
        <v>3.2903431608136795E-3</v>
      </c>
      <c r="K23" s="458"/>
      <c r="L23" s="338" t="s">
        <v>233</v>
      </c>
      <c r="M23" s="339">
        <f>M213</f>
        <v>274450.34047619044</v>
      </c>
      <c r="O23" s="324">
        <f t="shared" si="3"/>
        <v>210.2714427860698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'[69]Sch B'!E57</f>
        <v>0</v>
      </c>
      <c r="D24" s="480">
        <f>'[69]Sch B'!G57</f>
        <v>0</v>
      </c>
      <c r="E24" s="480"/>
      <c r="F24" s="166">
        <f t="shared" si="0"/>
        <v>0</v>
      </c>
      <c r="G24" s="626"/>
      <c r="H24" s="372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'[69]Sch B'!E72</f>
        <v>970.4</v>
      </c>
      <c r="D25" s="480">
        <f>'[69]Sch B'!G72</f>
        <v>-970.4</v>
      </c>
      <c r="E25" s="480"/>
      <c r="F25" s="166">
        <f t="shared" si="0"/>
        <v>0</v>
      </c>
      <c r="G25" s="626"/>
      <c r="H25" s="372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11762044.560000012</v>
      </c>
      <c r="D26" s="480">
        <f t="shared" ref="D26:F26" si="4">SUM(D16:D25)</f>
        <v>1082986.4700000002</v>
      </c>
      <c r="E26" s="480">
        <f t="shared" si="4"/>
        <v>0</v>
      </c>
      <c r="F26" s="166">
        <f t="shared" si="4"/>
        <v>12845031.030000012</v>
      </c>
      <c r="G26" s="166">
        <f>SUM(G12:G25)</f>
        <v>0</v>
      </c>
      <c r="H26" s="166">
        <f>SUM(H12:H25)</f>
        <v>0</v>
      </c>
      <c r="I26" s="166">
        <f>SUM(I16:I25)</f>
        <v>12845031.030000011</v>
      </c>
      <c r="J26" s="167">
        <f t="shared" si="2"/>
        <v>1</v>
      </c>
      <c r="K26" s="458"/>
      <c r="L26" s="163"/>
      <c r="M26" s="163"/>
      <c r="O26" s="324">
        <f>IFERROR(I26/I233,0)</f>
        <v>334.64545201125497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86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'[69]Sch C'!D10</f>
        <v>146975.44</v>
      </c>
      <c r="D30" s="480">
        <f>'[69]Sch C'!F10</f>
        <v>7997.5499999999993</v>
      </c>
      <c r="E30" s="480">
        <f>+'[69]Sch C'!H10</f>
        <v>0</v>
      </c>
      <c r="F30" s="166">
        <f t="shared" ref="F30:F65" si="5">C30+D30+E30</f>
        <v>154972.99</v>
      </c>
      <c r="G30" s="626"/>
      <c r="H30" s="372"/>
      <c r="I30" s="166">
        <f t="shared" ref="I30:I65" si="6">F30+G30+H30</f>
        <v>154972.99</v>
      </c>
      <c r="J30" s="167">
        <f>IF($I$213=0,0,I30/$I$213)</f>
        <v>1.3662453954681013E-2</v>
      </c>
      <c r="K30" s="458"/>
      <c r="L30" s="176">
        <v>2085.7142857142858</v>
      </c>
      <c r="M30" s="176">
        <v>2085.7142857142858</v>
      </c>
      <c r="O30" s="324">
        <f>I30/I$233</f>
        <v>4.0374372134222591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'[69]Sch C'!D11</f>
        <v>0</v>
      </c>
      <c r="D31" s="480">
        <f>'[69]Sch C'!F11</f>
        <v>0</v>
      </c>
      <c r="E31" s="480">
        <f>+'[69]Sch C'!H11</f>
        <v>0</v>
      </c>
      <c r="F31" s="166">
        <f t="shared" si="5"/>
        <v>0</v>
      </c>
      <c r="G31" s="626"/>
      <c r="H31" s="372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'[69]Sch C'!D12</f>
        <v>358916.14</v>
      </c>
      <c r="D32" s="480">
        <f>'[69]Sch C'!F12</f>
        <v>-33625.479999999996</v>
      </c>
      <c r="E32" s="480">
        <f>+'[69]Sch C'!H12</f>
        <v>0</v>
      </c>
      <c r="F32" s="166">
        <f t="shared" si="5"/>
        <v>325290.66000000003</v>
      </c>
      <c r="G32" s="626"/>
      <c r="H32" s="372"/>
      <c r="I32" s="166">
        <f t="shared" si="6"/>
        <v>325290.66000000003</v>
      </c>
      <c r="J32" s="167">
        <f t="shared" si="7"/>
        <v>2.8677698379167865E-2</v>
      </c>
      <c r="K32" s="458"/>
      <c r="L32" s="176">
        <v>16175.458571428571</v>
      </c>
      <c r="M32" s="176">
        <v>17323.98857142857</v>
      </c>
      <c r="O32" s="324">
        <f t="shared" si="8"/>
        <v>8.4746420383493124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'[69]Sch C'!D13</f>
        <v>131700.07999999999</v>
      </c>
      <c r="D33" s="480">
        <f>'[69]Sch C'!F13</f>
        <v>-7338.5237113063704</v>
      </c>
      <c r="E33" s="480">
        <f>+'[69]Sch C'!H13</f>
        <v>0</v>
      </c>
      <c r="F33" s="166">
        <f t="shared" si="5"/>
        <v>124361.55628869362</v>
      </c>
      <c r="G33" s="626"/>
      <c r="H33" s="372"/>
      <c r="I33" s="166">
        <f t="shared" si="6"/>
        <v>124361.55628869362</v>
      </c>
      <c r="J33" s="167">
        <f t="shared" si="7"/>
        <v>1.0963743014358488E-2</v>
      </c>
      <c r="K33" s="458"/>
      <c r="L33" s="163"/>
      <c r="M33" s="163"/>
      <c r="O33" s="324">
        <f t="shared" si="8"/>
        <v>3.2399321667542109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'[69]Sch C'!D14</f>
        <v>0</v>
      </c>
      <c r="D34" s="480">
        <f>'[69]Sch C'!F14</f>
        <v>0</v>
      </c>
      <c r="E34" s="480">
        <f>+'[69]Sch C'!H14</f>
        <v>0</v>
      </c>
      <c r="F34" s="166">
        <f t="shared" si="5"/>
        <v>0</v>
      </c>
      <c r="G34" s="626"/>
      <c r="H34" s="372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'[69]Sch C'!D15</f>
        <v>836756.79</v>
      </c>
      <c r="D35" s="480">
        <f>'[69]Sch C'!F15+836757</f>
        <v>0.2099999999627471</v>
      </c>
      <c r="E35" s="480">
        <f>+'[69]Sch C'!H15</f>
        <v>0</v>
      </c>
      <c r="F35" s="166">
        <f t="shared" si="5"/>
        <v>836757</v>
      </c>
      <c r="G35" s="626"/>
      <c r="H35" s="480">
        <v>-836756.79</v>
      </c>
      <c r="I35" s="166">
        <f t="shared" si="6"/>
        <v>0.2099999999627471</v>
      </c>
      <c r="J35" s="167">
        <f t="shared" si="7"/>
        <v>1.851364763610773E-8</v>
      </c>
      <c r="K35" s="458"/>
      <c r="L35" s="163"/>
      <c r="M35" s="163"/>
      <c r="O35" s="324">
        <f t="shared" si="8"/>
        <v>5.4710295946943284E-6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'[69]Sch C'!D16</f>
        <v>0</v>
      </c>
      <c r="D36" s="480">
        <f>'[69]Sch C'!F16-419917</f>
        <v>0</v>
      </c>
      <c r="E36" s="480">
        <f>+'[69]Sch C'!H16</f>
        <v>0</v>
      </c>
      <c r="F36" s="166">
        <f t="shared" si="5"/>
        <v>0</v>
      </c>
      <c r="G36" s="626"/>
      <c r="H36" s="480">
        <v>419917</v>
      </c>
      <c r="I36" s="166">
        <f t="shared" si="6"/>
        <v>419917</v>
      </c>
      <c r="J36" s="167">
        <f t="shared" si="7"/>
        <v>3.7019977979955009E-2</v>
      </c>
      <c r="K36" s="458"/>
      <c r="L36" s="163"/>
      <c r="M36" s="163"/>
      <c r="O36" s="324">
        <f t="shared" si="8"/>
        <v>10.939896832013339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'[69]Sch C'!D17</f>
        <v>0</v>
      </c>
      <c r="D37" s="480">
        <f>'[69]Sch C'!F17</f>
        <v>0</v>
      </c>
      <c r="E37" s="480">
        <f>+'[69]Sch C'!H17</f>
        <v>0</v>
      </c>
      <c r="F37" s="166">
        <f t="shared" si="5"/>
        <v>0</v>
      </c>
      <c r="G37" s="626"/>
      <c r="H37" s="372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'[69]Sch C'!D18</f>
        <v>25721.61</v>
      </c>
      <c r="D38" s="480">
        <f>'[69]Sch C'!F18</f>
        <v>0</v>
      </c>
      <c r="E38" s="480">
        <f>+'[69]Sch C'!H18</f>
        <v>0</v>
      </c>
      <c r="F38" s="166">
        <f t="shared" si="5"/>
        <v>25721.61</v>
      </c>
      <c r="G38" s="626"/>
      <c r="H38" s="372"/>
      <c r="I38" s="166">
        <f t="shared" si="6"/>
        <v>25721.61</v>
      </c>
      <c r="J38" s="167">
        <f t="shared" si="7"/>
        <v>2.2676229726564788E-3</v>
      </c>
      <c r="K38" s="458"/>
      <c r="L38" s="163"/>
      <c r="M38" s="163"/>
      <c r="O38" s="324">
        <f t="shared" si="8"/>
        <v>0.67011280741975821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'[69]Sch C'!D19</f>
        <v>33855.519999999997</v>
      </c>
      <c r="D39" s="480">
        <f>'[69]Sch C'!F19</f>
        <v>0</v>
      </c>
      <c r="E39" s="480">
        <f>+'[69]Sch C'!H19</f>
        <v>0</v>
      </c>
      <c r="F39" s="166">
        <f t="shared" si="5"/>
        <v>33855.519999999997</v>
      </c>
      <c r="G39" s="626"/>
      <c r="H39" s="372"/>
      <c r="I39" s="166">
        <f t="shared" si="6"/>
        <v>33855.519999999997</v>
      </c>
      <c r="J39" s="167">
        <f t="shared" si="7"/>
        <v>2.9847103234685096E-3</v>
      </c>
      <c r="K39" s="458"/>
      <c r="L39" s="163"/>
      <c r="M39" s="163"/>
      <c r="O39" s="324">
        <f t="shared" si="8"/>
        <v>0.88202167569820755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'[69]Sch C'!D20</f>
        <v>24293.78</v>
      </c>
      <c r="D40" s="480">
        <f>'[69]Sch C'!F20+9928</f>
        <v>0</v>
      </c>
      <c r="E40" s="480">
        <f>+'[69]Sch C'!H20</f>
        <v>0</v>
      </c>
      <c r="F40" s="166">
        <f t="shared" si="5"/>
        <v>24293.78</v>
      </c>
      <c r="G40" s="626"/>
      <c r="H40" s="480">
        <v>-9928</v>
      </c>
      <c r="I40" s="166">
        <f t="shared" si="6"/>
        <v>14365.779999999999</v>
      </c>
      <c r="J40" s="167">
        <f t="shared" si="7"/>
        <v>1.2664904237382102E-3</v>
      </c>
      <c r="K40" s="458"/>
      <c r="L40" s="163"/>
      <c r="M40" s="163"/>
      <c r="O40" s="324">
        <f t="shared" si="8"/>
        <v>0.37426479783243016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'[69]Sch C'!D21</f>
        <v>15958.95</v>
      </c>
      <c r="D41" s="480">
        <f>'[69]Sch C'!F21-108863</f>
        <v>0</v>
      </c>
      <c r="E41" s="480">
        <f>+'[69]Sch C'!H21</f>
        <v>0</v>
      </c>
      <c r="F41" s="166">
        <f t="shared" si="5"/>
        <v>15958.95</v>
      </c>
      <c r="G41" s="626"/>
      <c r="H41" s="480">
        <v>108863</v>
      </c>
      <c r="I41" s="166">
        <f t="shared" si="6"/>
        <v>124821.95</v>
      </c>
      <c r="J41" s="167">
        <f t="shared" si="7"/>
        <v>1.1004331428389526E-2</v>
      </c>
      <c r="K41" s="458"/>
      <c r="L41" s="163"/>
      <c r="M41" s="163"/>
      <c r="O41" s="324">
        <f t="shared" si="8"/>
        <v>3.2519265839933307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'[69]Sch C'!D22</f>
        <v>0</v>
      </c>
      <c r="D42" s="480">
        <f>'[69]Sch C'!F22</f>
        <v>0</v>
      </c>
      <c r="E42" s="480">
        <f>+'[69]Sch C'!H22</f>
        <v>0</v>
      </c>
      <c r="F42" s="166">
        <f t="shared" si="5"/>
        <v>0</v>
      </c>
      <c r="G42" s="626"/>
      <c r="H42" s="372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'[69]Sch C'!D23</f>
        <v>70232.34</v>
      </c>
      <c r="D43" s="480">
        <f>'[69]Sch C'!F23-27288</f>
        <v>0</v>
      </c>
      <c r="E43" s="480">
        <f>+'[69]Sch C'!H23</f>
        <v>0</v>
      </c>
      <c r="F43" s="166">
        <f t="shared" si="5"/>
        <v>70232.34</v>
      </c>
      <c r="G43" s="626">
        <v>-5705</v>
      </c>
      <c r="H43" s="480">
        <v>27288</v>
      </c>
      <c r="I43" s="166">
        <f t="shared" si="6"/>
        <v>91815.34</v>
      </c>
      <c r="J43" s="167">
        <f t="shared" si="7"/>
        <v>8.0944612030998554E-3</v>
      </c>
      <c r="K43" s="458"/>
      <c r="L43" s="163"/>
      <c r="M43" s="163"/>
      <c r="O43" s="324">
        <f t="shared" si="8"/>
        <v>2.3920211546477699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'[69]Sch C'!D24</f>
        <v>64252.55</v>
      </c>
      <c r="D44" s="480">
        <f>'[69]Sch C'!F24</f>
        <v>0</v>
      </c>
      <c r="E44" s="480">
        <f>+'[69]Sch C'!H24</f>
        <v>0</v>
      </c>
      <c r="F44" s="166">
        <f t="shared" si="5"/>
        <v>64252.55</v>
      </c>
      <c r="G44" s="626"/>
      <c r="H44" s="372"/>
      <c r="I44" s="166">
        <f t="shared" si="6"/>
        <v>64252.55</v>
      </c>
      <c r="J44" s="167">
        <f t="shared" si="7"/>
        <v>5.6645193839638744E-3</v>
      </c>
      <c r="K44" s="458"/>
      <c r="L44" s="163"/>
      <c r="M44" s="163"/>
      <c r="O44" s="324">
        <f t="shared" si="8"/>
        <v>1.6739409649854107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'[69]Sch C'!D25</f>
        <v>0</v>
      </c>
      <c r="D45" s="480">
        <f>'[69]Sch C'!F25</f>
        <v>0</v>
      </c>
      <c r="E45" s="480">
        <f>+'[69]Sch C'!H25</f>
        <v>0</v>
      </c>
      <c r="F45" s="166">
        <f t="shared" si="5"/>
        <v>0</v>
      </c>
      <c r="G45" s="626"/>
      <c r="H45" s="372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'[69]Sch C'!D26</f>
        <v>679898.86</v>
      </c>
      <c r="D46" s="480">
        <f>'[69]Sch C'!F26</f>
        <v>0</v>
      </c>
      <c r="E46" s="480">
        <f>+'[69]Sch C'!H26</f>
        <v>0</v>
      </c>
      <c r="F46" s="166">
        <f t="shared" si="5"/>
        <v>679898.86</v>
      </c>
      <c r="G46" s="626"/>
      <c r="H46" s="372"/>
      <c r="I46" s="166">
        <f t="shared" si="6"/>
        <v>679898.86</v>
      </c>
      <c r="J46" s="167">
        <f t="shared" si="7"/>
        <v>5.9940037735544197E-2</v>
      </c>
      <c r="K46" s="458"/>
      <c r="L46" s="163"/>
      <c r="M46" s="163"/>
      <c r="O46" s="324">
        <f t="shared" si="8"/>
        <v>17.713079929137141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'[69]Sch C'!D27</f>
        <v>0</v>
      </c>
      <c r="D47" s="480">
        <f>'[69]Sch C'!F27-25196.6</f>
        <v>0</v>
      </c>
      <c r="E47" s="480">
        <f>+'[69]Sch C'!H27</f>
        <v>0</v>
      </c>
      <c r="F47" s="166">
        <f t="shared" si="5"/>
        <v>0</v>
      </c>
      <c r="G47" s="626"/>
      <c r="H47" s="480">
        <v>25196.6</v>
      </c>
      <c r="I47" s="166">
        <f t="shared" si="6"/>
        <v>25196.6</v>
      </c>
      <c r="J47" s="167">
        <f t="shared" si="7"/>
        <v>2.2213379719557302E-3</v>
      </c>
      <c r="K47" s="458"/>
      <c r="L47" s="163"/>
      <c r="M47" s="163"/>
      <c r="O47" s="324">
        <f t="shared" si="8"/>
        <v>0.65643497290537722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'[69]Sch C'!D28</f>
        <v>0</v>
      </c>
      <c r="D48" s="480">
        <f>'[69]Sch C'!F28</f>
        <v>0</v>
      </c>
      <c r="E48" s="480">
        <f>+'[69]Sch C'!H28</f>
        <v>0</v>
      </c>
      <c r="F48" s="166">
        <f t="shared" si="5"/>
        <v>0</v>
      </c>
      <c r="G48" s="626"/>
      <c r="H48" s="372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'[69]Sch C'!D29</f>
        <v>193175.28</v>
      </c>
      <c r="D49" s="480">
        <f>'[69]Sch C'!F29</f>
        <v>-193175.28</v>
      </c>
      <c r="E49" s="480">
        <f>+'[69]Sch C'!H29</f>
        <v>0</v>
      </c>
      <c r="F49" s="166">
        <f t="shared" si="5"/>
        <v>0</v>
      </c>
      <c r="G49" s="626"/>
      <c r="H49" s="372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'[69]Sch C'!D30</f>
        <v>0</v>
      </c>
      <c r="D50" s="480">
        <f>'[69]Sch C'!F30</f>
        <v>0</v>
      </c>
      <c r="E50" s="480">
        <f>+'[69]Sch C'!H30</f>
        <v>0</v>
      </c>
      <c r="F50" s="166">
        <f t="shared" si="5"/>
        <v>0</v>
      </c>
      <c r="G50" s="626"/>
      <c r="H50" s="372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'[69]Sch C'!D31</f>
        <v>9445.8000000000011</v>
      </c>
      <c r="D51" s="480">
        <f>'[69]Sch C'!F31</f>
        <v>0</v>
      </c>
      <c r="E51" s="480">
        <f>+'[69]Sch C'!H31</f>
        <v>0</v>
      </c>
      <c r="F51" s="166">
        <f t="shared" si="5"/>
        <v>9445.8000000000011</v>
      </c>
      <c r="G51" s="626">
        <v>94803</v>
      </c>
      <c r="H51" s="372"/>
      <c r="I51" s="166">
        <f t="shared" si="6"/>
        <v>104248.8</v>
      </c>
      <c r="J51" s="167">
        <f t="shared" si="7"/>
        <v>9.1905978572830675E-3</v>
      </c>
      <c r="K51" s="458"/>
      <c r="L51" s="163"/>
      <c r="M51" s="163"/>
      <c r="O51" s="324">
        <f t="shared" si="8"/>
        <v>2.7159441433930804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'[69]Sch C'!D32</f>
        <v>208854.33</v>
      </c>
      <c r="D52" s="480">
        <f>'[69]Sch C'!F32</f>
        <v>0</v>
      </c>
      <c r="E52" s="480">
        <f>+'[69]Sch C'!H32</f>
        <v>0</v>
      </c>
      <c r="F52" s="166">
        <f t="shared" si="5"/>
        <v>208854.33</v>
      </c>
      <c r="G52" s="626"/>
      <c r="H52" s="372"/>
      <c r="I52" s="166">
        <f t="shared" si="6"/>
        <v>208854.33</v>
      </c>
      <c r="J52" s="167">
        <f t="shared" si="7"/>
        <v>1.8412645112291848E-2</v>
      </c>
      <c r="K52" s="458"/>
      <c r="L52" s="163"/>
      <c r="M52" s="163"/>
      <c r="O52" s="324">
        <f t="shared" si="8"/>
        <v>5.4411820029178823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'[69]Sch C'!D33</f>
        <v>0</v>
      </c>
      <c r="D53" s="480">
        <f>'[69]Sch C'!F33</f>
        <v>0</v>
      </c>
      <c r="E53" s="480">
        <f>+'[69]Sch C'!H33</f>
        <v>0</v>
      </c>
      <c r="F53" s="166">
        <f t="shared" si="5"/>
        <v>0</v>
      </c>
      <c r="G53" s="626"/>
      <c r="H53" s="372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'[69]Sch C'!D34</f>
        <v>0</v>
      </c>
      <c r="D54" s="480">
        <f>'[69]Sch C'!F34-4260</f>
        <v>0</v>
      </c>
      <c r="E54" s="480">
        <f>+'[69]Sch C'!H34</f>
        <v>0</v>
      </c>
      <c r="F54" s="166">
        <f t="shared" si="5"/>
        <v>0</v>
      </c>
      <c r="G54" s="626"/>
      <c r="H54" s="480">
        <v>4260</v>
      </c>
      <c r="I54" s="166">
        <f t="shared" si="6"/>
        <v>4260</v>
      </c>
      <c r="J54" s="167">
        <f t="shared" si="7"/>
        <v>3.7556256639909393E-4</v>
      </c>
      <c r="K54" s="458"/>
      <c r="L54" s="163"/>
      <c r="M54" s="163"/>
      <c r="O54" s="324">
        <f t="shared" si="8"/>
        <v>0.11098374322634431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'[69]Sch C'!D35</f>
        <v>2904.1000000000004</v>
      </c>
      <c r="D55" s="480">
        <f>'[69]Sch C'!F35</f>
        <v>-2904.1000000000004</v>
      </c>
      <c r="E55" s="480">
        <f>+'[69]Sch C'!H35</f>
        <v>0</v>
      </c>
      <c r="F55" s="166">
        <f t="shared" si="5"/>
        <v>0</v>
      </c>
      <c r="G55" s="626"/>
      <c r="H55" s="372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'[69]Sch C'!D36</f>
        <v>0</v>
      </c>
      <c r="D56" s="480">
        <f>'[69]Sch C'!F36</f>
        <v>0</v>
      </c>
      <c r="E56" s="480">
        <f>+'[69]Sch C'!H36</f>
        <v>0</v>
      </c>
      <c r="F56" s="166">
        <f t="shared" si="5"/>
        <v>0</v>
      </c>
      <c r="G56" s="626">
        <v>64766</v>
      </c>
      <c r="H56" s="372"/>
      <c r="I56" s="166">
        <f t="shared" si="6"/>
        <v>64766</v>
      </c>
      <c r="J56" s="167">
        <f t="shared" si="7"/>
        <v>5.7097852524421872E-3</v>
      </c>
      <c r="K56" s="458"/>
      <c r="L56" s="176">
        <v>0</v>
      </c>
      <c r="M56" s="176">
        <v>0</v>
      </c>
      <c r="O56" s="324">
        <f t="shared" si="8"/>
        <v>1.6873176323468111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'[69]Sch C'!D37</f>
        <v>0</v>
      </c>
      <c r="D57" s="480">
        <f>'[69]Sch C'!F37</f>
        <v>0</v>
      </c>
      <c r="E57" s="480">
        <f>+'[69]Sch C'!H37</f>
        <v>0</v>
      </c>
      <c r="F57" s="166">
        <f t="shared" si="5"/>
        <v>0</v>
      </c>
      <c r="G57" s="626">
        <v>15546</v>
      </c>
      <c r="H57" s="372"/>
      <c r="I57" s="166">
        <f t="shared" si="6"/>
        <v>15546</v>
      </c>
      <c r="J57" s="167">
        <f t="shared" si="7"/>
        <v>1.3705388866761302E-3</v>
      </c>
      <c r="K57" s="458"/>
      <c r="L57" s="163"/>
      <c r="M57" s="163"/>
      <c r="O57" s="324">
        <f t="shared" si="8"/>
        <v>0.40501250521050436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'[69]Sch C'!D38</f>
        <v>0</v>
      </c>
      <c r="D58" s="480">
        <f>'[69]Sch C'!F38</f>
        <v>0</v>
      </c>
      <c r="E58" s="480">
        <f>+'[69]Sch C'!H38</f>
        <v>0</v>
      </c>
      <c r="F58" s="166">
        <f t="shared" si="5"/>
        <v>0</v>
      </c>
      <c r="G58" s="626"/>
      <c r="H58" s="372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'[69]Sch C'!D39</f>
        <v>22668.85</v>
      </c>
      <c r="D59" s="480">
        <f>'[69]Sch C'!F39-6402</f>
        <v>0</v>
      </c>
      <c r="E59" s="480">
        <f>+'[69]Sch C'!H39</f>
        <v>0</v>
      </c>
      <c r="F59" s="166">
        <f t="shared" si="5"/>
        <v>22668.85</v>
      </c>
      <c r="G59" s="626"/>
      <c r="H59" s="480">
        <v>6402</v>
      </c>
      <c r="I59" s="166">
        <f t="shared" si="6"/>
        <v>29070.85</v>
      </c>
      <c r="J59" s="167">
        <f t="shared" si="7"/>
        <v>2.5628927308457982E-3</v>
      </c>
      <c r="K59" s="458"/>
      <c r="L59" s="163"/>
      <c r="M59" s="163"/>
      <c r="O59" s="324">
        <f t="shared" si="8"/>
        <v>0.75736895581492281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'[69]Sch C'!D40</f>
        <v>18010.280000000002</v>
      </c>
      <c r="D60" s="480">
        <f>'[69]Sch C'!F40</f>
        <v>-18010.28</v>
      </c>
      <c r="E60" s="480">
        <f>+'[69]Sch C'!H40</f>
        <v>0</v>
      </c>
      <c r="F60" s="166">
        <f t="shared" si="5"/>
        <v>3.637978807091713E-12</v>
      </c>
      <c r="G60" s="626"/>
      <c r="H60" s="372"/>
      <c r="I60" s="166">
        <f t="shared" si="6"/>
        <v>3.637978807091713E-12</v>
      </c>
      <c r="J60" s="167">
        <f t="shared" si="7"/>
        <v>3.2072503692414978E-19</v>
      </c>
      <c r="K60" s="458"/>
      <c r="L60" s="163"/>
      <c r="M60" s="163"/>
      <c r="O60" s="324">
        <f t="shared" si="8"/>
        <v>9.4778522485715742E-17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'[69]Sch C'!D41</f>
        <v>52848.33</v>
      </c>
      <c r="D61" s="480">
        <f>'[69]Sch C'!F41</f>
        <v>0</v>
      </c>
      <c r="E61" s="480">
        <f>+'[69]Sch C'!H41</f>
        <v>0</v>
      </c>
      <c r="F61" s="166">
        <f t="shared" si="5"/>
        <v>52848.33</v>
      </c>
      <c r="G61" s="626"/>
      <c r="H61" s="372"/>
      <c r="I61" s="166">
        <f t="shared" si="6"/>
        <v>52848.33</v>
      </c>
      <c r="J61" s="167">
        <f t="shared" si="7"/>
        <v>4.6591207616681288E-3</v>
      </c>
      <c r="K61" s="458"/>
      <c r="L61" s="163"/>
      <c r="M61" s="163"/>
      <c r="O61" s="324">
        <f t="shared" si="8"/>
        <v>1.3768322738641101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'[69]Sch C'!D42</f>
        <v>34</v>
      </c>
      <c r="D62" s="480">
        <f>'[69]Sch C'!F42-4727</f>
        <v>0</v>
      </c>
      <c r="E62" s="480">
        <f>+'[69]Sch C'!H42</f>
        <v>0</v>
      </c>
      <c r="F62" s="166">
        <f t="shared" si="5"/>
        <v>34</v>
      </c>
      <c r="G62" s="626">
        <v>526</v>
      </c>
      <c r="H62" s="480">
        <v>4727</v>
      </c>
      <c r="I62" s="166">
        <f t="shared" si="6"/>
        <v>5287</v>
      </c>
      <c r="J62" s="167">
        <f t="shared" si="7"/>
        <v>4.6610311937840602E-4</v>
      </c>
      <c r="K62" s="458"/>
      <c r="L62" s="163"/>
      <c r="M62" s="163"/>
      <c r="O62" s="324">
        <f t="shared" si="8"/>
        <v>0.1377396832013339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'[69]Sch C'!D43</f>
        <v>0</v>
      </c>
      <c r="D63" s="480">
        <f>'[69]Sch C'!F43</f>
        <v>0</v>
      </c>
      <c r="E63" s="480">
        <f>+'[69]Sch C'!H43</f>
        <v>0</v>
      </c>
      <c r="F63" s="166">
        <f t="shared" si="5"/>
        <v>0</v>
      </c>
      <c r="G63" s="626"/>
      <c r="H63" s="372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'[69]Sch C'!D44</f>
        <v>0</v>
      </c>
      <c r="D64" s="480">
        <f>'[69]Sch C'!F44</f>
        <v>0</v>
      </c>
      <c r="E64" s="480">
        <f>+'[69]Sch C'!H44</f>
        <v>0</v>
      </c>
      <c r="F64" s="166">
        <f t="shared" si="5"/>
        <v>0</v>
      </c>
      <c r="G64" s="626"/>
      <c r="H64" s="372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'[69]Sch C'!D45</f>
        <v>5628.2</v>
      </c>
      <c r="D65" s="480">
        <f>'[69]Sch C'!F45-9776</f>
        <v>0</v>
      </c>
      <c r="E65" s="480">
        <f>+'[69]Sch C'!H45</f>
        <v>0</v>
      </c>
      <c r="F65" s="166">
        <f t="shared" si="5"/>
        <v>5628.2</v>
      </c>
      <c r="G65" s="626">
        <v>32006</v>
      </c>
      <c r="H65" s="480">
        <v>9776</v>
      </c>
      <c r="I65" s="166">
        <f t="shared" si="6"/>
        <v>47410.2</v>
      </c>
      <c r="J65" s="167">
        <f t="shared" si="7"/>
        <v>4.1796939872052402E-3</v>
      </c>
      <c r="K65" s="458" t="s">
        <v>487</v>
      </c>
      <c r="L65" s="163"/>
      <c r="M65" s="163"/>
      <c r="O65" s="324">
        <f t="shared" si="8"/>
        <v>1.2351552730304294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2902131.2300000004</v>
      </c>
      <c r="D66" s="480">
        <f t="shared" si="9"/>
        <v>-247055.9037113064</v>
      </c>
      <c r="E66" s="480">
        <f t="shared" si="9"/>
        <v>0</v>
      </c>
      <c r="F66" s="166">
        <f t="shared" ref="F66:I66" si="10">SUM(F30:F65)</f>
        <v>2655075.3262886941</v>
      </c>
      <c r="G66" s="166">
        <f t="shared" si="10"/>
        <v>201942</v>
      </c>
      <c r="H66" s="166">
        <f t="shared" si="10"/>
        <v>-240255.19000000006</v>
      </c>
      <c r="I66" s="166">
        <f t="shared" si="10"/>
        <v>2616762.1362886941</v>
      </c>
      <c r="J66" s="178">
        <f t="shared" si="7"/>
        <v>0.23069434355881632</v>
      </c>
      <c r="K66" s="465"/>
      <c r="L66" s="163"/>
      <c r="M66" s="163"/>
      <c r="O66" s="329">
        <f>I66/I$233</f>
        <v>68.173252821193572</v>
      </c>
      <c r="P66" s="324">
        <f>SUMMARY!L68</f>
        <v>59.215800022194173</v>
      </c>
    </row>
    <row r="67" spans="1:16" s="162" customFormat="1" ht="15.5">
      <c r="A67" s="158"/>
      <c r="C67" s="160"/>
      <c r="D67" s="160"/>
      <c r="E67" s="160"/>
      <c r="F67" s="160"/>
      <c r="G67" s="160"/>
      <c r="H67"/>
      <c r="I67" s="160"/>
      <c r="J67" s="179"/>
      <c r="K67" s="466"/>
      <c r="L67" s="163"/>
      <c r="M67" s="163"/>
      <c r="O67" s="324"/>
      <c r="P67" s="324"/>
    </row>
    <row r="68" spans="1:16" s="162" customFormat="1" ht="15.5">
      <c r="A68" s="164" t="s">
        <v>154</v>
      </c>
      <c r="B68" s="165" t="s">
        <v>169</v>
      </c>
      <c r="C68" s="160"/>
      <c r="D68" s="160"/>
      <c r="E68" s="160"/>
      <c r="F68" s="160"/>
      <c r="G68" s="160"/>
      <c r="H68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'[69]Sch C'!D57</f>
        <v>1405250.04</v>
      </c>
      <c r="D69" s="480">
        <f>'[69]Sch C'!F57</f>
        <v>0</v>
      </c>
      <c r="E69" s="480">
        <f>+'[69]Sch C'!H57</f>
        <v>-1405250.04</v>
      </c>
      <c r="F69" s="166">
        <f>C69+D69+E69</f>
        <v>0</v>
      </c>
      <c r="G69" s="626"/>
      <c r="H69" s="372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'[69]Sch C'!D58</f>
        <v>7706.8799999999992</v>
      </c>
      <c r="D70" s="480">
        <f>'[69]Sch C'!F58-13838</f>
        <v>0.47999999999956344</v>
      </c>
      <c r="E70" s="480">
        <f>+'[69]Sch C'!H58</f>
        <v>54399.92</v>
      </c>
      <c r="F70" s="166">
        <f t="shared" ref="F70:F83" si="13">C70+D70+E70</f>
        <v>62107.28</v>
      </c>
      <c r="G70" s="626"/>
      <c r="H70" s="480">
        <v>13838.48</v>
      </c>
      <c r="I70" s="166">
        <f t="shared" ref="I70:I83" si="14">F70+G70+H70</f>
        <v>75945.759999999995</v>
      </c>
      <c r="J70" s="167">
        <f t="shared" si="11"/>
        <v>6.695395430218228E-3</v>
      </c>
      <c r="K70" s="458"/>
      <c r="L70" s="182"/>
      <c r="M70" s="163"/>
      <c r="O70" s="324">
        <f t="shared" si="12"/>
        <v>1.9785785744060023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'[69]Sch C'!D59</f>
        <v>0</v>
      </c>
      <c r="D71" s="480">
        <f>'[69]Sch C'!F59</f>
        <v>0</v>
      </c>
      <c r="E71" s="480">
        <f>+'[69]Sch C'!H59</f>
        <v>398587.05000000005</v>
      </c>
      <c r="F71" s="166">
        <f t="shared" si="13"/>
        <v>398587.05000000005</v>
      </c>
      <c r="G71" s="626"/>
      <c r="H71" s="372"/>
      <c r="I71" s="166">
        <f t="shared" si="14"/>
        <v>398587.05000000005</v>
      </c>
      <c r="J71" s="167">
        <f t="shared" si="11"/>
        <v>3.5139524749165256E-2</v>
      </c>
      <c r="K71" s="458"/>
      <c r="L71" s="182"/>
      <c r="M71" s="163"/>
      <c r="O71" s="324">
        <f t="shared" si="12"/>
        <v>10.38419784285119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'[69]Sch C'!D60</f>
        <v>88677.25</v>
      </c>
      <c r="D72" s="480">
        <f>'[69]Sch C'!F60</f>
        <v>2113.67</v>
      </c>
      <c r="E72" s="480">
        <f>+'[69]Sch C'!H60</f>
        <v>0</v>
      </c>
      <c r="F72" s="166">
        <f t="shared" si="13"/>
        <v>90790.92</v>
      </c>
      <c r="G72" s="626"/>
      <c r="H72" s="372"/>
      <c r="I72" s="166">
        <f t="shared" si="14"/>
        <v>90790.92</v>
      </c>
      <c r="J72" s="167">
        <f t="shared" si="11"/>
        <v>8.004148103505828E-3</v>
      </c>
      <c r="K72" s="458"/>
      <c r="L72" s="185"/>
      <c r="M72" s="163"/>
      <c r="O72" s="324">
        <f t="shared" si="12"/>
        <v>2.3653324301792411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'[69]Sch C'!D61</f>
        <v>20312.239999999998</v>
      </c>
      <c r="D73" s="480">
        <f>'[69]Sch C'!F61-2789</f>
        <v>0</v>
      </c>
      <c r="E73" s="480">
        <f>+'[69]Sch C'!H61</f>
        <v>0</v>
      </c>
      <c r="F73" s="166">
        <f t="shared" si="13"/>
        <v>20312.239999999998</v>
      </c>
      <c r="G73" s="626"/>
      <c r="H73" s="480">
        <v>2789</v>
      </c>
      <c r="I73" s="166">
        <f t="shared" si="14"/>
        <v>23101.239999999998</v>
      </c>
      <c r="J73" s="167">
        <f t="shared" si="11"/>
        <v>2.0366105590144141E-3</v>
      </c>
      <c r="K73" s="458"/>
      <c r="L73" s="185"/>
      <c r="M73" s="163"/>
      <c r="O73" s="324">
        <f t="shared" si="12"/>
        <v>0.60184556065027084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'[69]Sch C'!D62</f>
        <v>13250.04</v>
      </c>
      <c r="D74" s="480">
        <f>'[69]Sch C'!F62</f>
        <v>0</v>
      </c>
      <c r="E74" s="480">
        <f>+'[69]Sch C'!H62</f>
        <v>0</v>
      </c>
      <c r="F74" s="166">
        <f t="shared" si="13"/>
        <v>13250.04</v>
      </c>
      <c r="G74" s="626"/>
      <c r="H74" s="372"/>
      <c r="I74" s="166">
        <f t="shared" si="14"/>
        <v>13250.04</v>
      </c>
      <c r="J74" s="167">
        <f t="shared" si="11"/>
        <v>1.1681265322278523E-3</v>
      </c>
      <c r="K74" s="458"/>
      <c r="L74" s="187"/>
      <c r="M74" s="163"/>
      <c r="O74" s="324">
        <f t="shared" si="12"/>
        <v>0.34519695706544395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'[69]Sch C'!D63</f>
        <v>0</v>
      </c>
      <c r="D75" s="480">
        <f>'[69]Sch C'!F63</f>
        <v>0</v>
      </c>
      <c r="E75" s="480">
        <f>+'[69]Sch C'!H63</f>
        <v>0</v>
      </c>
      <c r="F75" s="166">
        <f t="shared" si="13"/>
        <v>0</v>
      </c>
      <c r="G75" s="626"/>
      <c r="H75" s="372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'[69]Sch C'!D64</f>
        <v>0</v>
      </c>
      <c r="D76" s="480">
        <f>'[69]Sch C'!F64</f>
        <v>0</v>
      </c>
      <c r="E76" s="480">
        <f>+'[69]Sch C'!H64</f>
        <v>0</v>
      </c>
      <c r="F76" s="166">
        <f t="shared" si="13"/>
        <v>0</v>
      </c>
      <c r="G76" s="626"/>
      <c r="H76" s="372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'[69]Sch C'!D65</f>
        <v>0</v>
      </c>
      <c r="D77" s="480">
        <f>'[69]Sch C'!F65</f>
        <v>0</v>
      </c>
      <c r="E77" s="480">
        <f>+'[69]Sch C'!H65</f>
        <v>0</v>
      </c>
      <c r="F77" s="166">
        <f t="shared" si="13"/>
        <v>0</v>
      </c>
      <c r="G77" s="626"/>
      <c r="H77" s="372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'[69]Sch C'!D66</f>
        <v>0</v>
      </c>
      <c r="D78" s="480">
        <f>'[69]Sch C'!F66</f>
        <v>0</v>
      </c>
      <c r="E78" s="480">
        <f>+'[69]Sch C'!H66</f>
        <v>0</v>
      </c>
      <c r="F78" s="166">
        <f t="shared" si="13"/>
        <v>0</v>
      </c>
      <c r="G78" s="626"/>
      <c r="H78" s="372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'[69]Sch C'!D67</f>
        <v>29536.11</v>
      </c>
      <c r="D79" s="480">
        <f>'[69]Sch C'!F67-28322</f>
        <v>0.38999999999941792</v>
      </c>
      <c r="E79" s="480">
        <f>+'[69]Sch C'!H67</f>
        <v>25271.040000000001</v>
      </c>
      <c r="F79" s="166">
        <f t="shared" si="13"/>
        <v>54807.54</v>
      </c>
      <c r="G79" s="626"/>
      <c r="H79" s="480">
        <v>28322.39</v>
      </c>
      <c r="I79" s="166">
        <f t="shared" si="14"/>
        <v>83129.929999999993</v>
      </c>
      <c r="J79" s="167">
        <f t="shared" si="11"/>
        <v>7.3287534871777065E-3</v>
      </c>
      <c r="K79" s="458"/>
      <c r="L79" s="187"/>
      <c r="M79" s="163"/>
      <c r="O79" s="324">
        <f t="shared" si="12"/>
        <v>2.1657443205502291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'[69]Sch C'!D68</f>
        <v>0</v>
      </c>
      <c r="D80" s="480">
        <f>'[69]Sch C'!F68</f>
        <v>0</v>
      </c>
      <c r="E80" s="480">
        <f>+'[69]Sch C'!H68</f>
        <v>0</v>
      </c>
      <c r="F80" s="166">
        <f t="shared" si="13"/>
        <v>0</v>
      </c>
      <c r="G80" s="626"/>
      <c r="H80" s="372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'[69]Sch C'!D69</f>
        <v>0</v>
      </c>
      <c r="D81" s="480">
        <f>'[69]Sch C'!F69</f>
        <v>3653.64</v>
      </c>
      <c r="E81" s="480">
        <f>+'[69]Sch C'!H69</f>
        <v>0</v>
      </c>
      <c r="F81" s="166">
        <f t="shared" si="13"/>
        <v>3653.64</v>
      </c>
      <c r="G81" s="626"/>
      <c r="H81" s="372"/>
      <c r="I81" s="166">
        <f t="shared" si="14"/>
        <v>3653.64</v>
      </c>
      <c r="J81" s="167">
        <f t="shared" si="11"/>
        <v>3.2210573124375245E-4</v>
      </c>
      <c r="K81" s="458"/>
      <c r="L81" s="187"/>
      <c r="M81" s="163"/>
      <c r="O81" s="324">
        <f t="shared" si="12"/>
        <v>9.518653605669028E-2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'[69]Sch C'!D70</f>
        <v>0</v>
      </c>
      <c r="D82" s="480">
        <f>'[69]Sch C'!F70</f>
        <v>0</v>
      </c>
      <c r="E82" s="480">
        <f>+'[69]Sch C'!H70</f>
        <v>0</v>
      </c>
      <c r="F82" s="166">
        <f t="shared" si="13"/>
        <v>0</v>
      </c>
      <c r="G82" s="626"/>
      <c r="H82" s="372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'[69]Sch C'!D71</f>
        <v>0</v>
      </c>
      <c r="D83" s="480">
        <f>'[69]Sch C'!F71</f>
        <v>0</v>
      </c>
      <c r="E83" s="480">
        <f>+'[69]Sch C'!H71</f>
        <v>0</v>
      </c>
      <c r="F83" s="166">
        <f t="shared" si="13"/>
        <v>0</v>
      </c>
      <c r="G83" s="626"/>
      <c r="H83" s="372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1564732.56</v>
      </c>
      <c r="D84" s="480">
        <f t="shared" si="15"/>
        <v>5768.1799999999985</v>
      </c>
      <c r="E84" s="480">
        <f t="shared" si="15"/>
        <v>-926992.03</v>
      </c>
      <c r="F84" s="166">
        <f t="shared" ref="F84:I84" si="16">SUM(F69:F83)</f>
        <v>643508.7100000002</v>
      </c>
      <c r="G84" s="166">
        <f t="shared" si="16"/>
        <v>0</v>
      </c>
      <c r="H84" s="166">
        <f t="shared" si="16"/>
        <v>44949.869999999995</v>
      </c>
      <c r="I84" s="166">
        <f t="shared" si="16"/>
        <v>688458.58000000019</v>
      </c>
      <c r="J84" s="167">
        <f t="shared" si="11"/>
        <v>6.0694664592553051E-2</v>
      </c>
      <c r="K84" s="458"/>
      <c r="L84" s="187"/>
      <c r="M84" s="163"/>
      <c r="O84" s="324">
        <f t="shared" si="12"/>
        <v>17.936082221759072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375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377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'[69]Sch C'!D75</f>
        <v>87812.760000000009</v>
      </c>
      <c r="D87" s="480">
        <f>'[69]Sch C'!F75</f>
        <v>0</v>
      </c>
      <c r="E87" s="480">
        <f>+'[69]Sch C'!H75</f>
        <v>0</v>
      </c>
      <c r="F87" s="166">
        <f t="shared" ref="F87:F97" si="17">C87+D87+E87</f>
        <v>87812.760000000009</v>
      </c>
      <c r="G87" s="626"/>
      <c r="H87" s="372"/>
      <c r="I87" s="166">
        <f t="shared" ref="I87:I97" si="18">F87+G87+H87</f>
        <v>87812.760000000009</v>
      </c>
      <c r="J87" s="167">
        <f t="shared" ref="J87:J98" si="19">IF($I$213=0,0,I87/$I$213)</f>
        <v>7.7415928422975826E-3</v>
      </c>
      <c r="K87" s="458"/>
      <c r="L87" s="176">
        <v>4165.6921428571432</v>
      </c>
      <c r="M87" s="176">
        <v>4547.1921428571432</v>
      </c>
      <c r="O87" s="324">
        <f t="shared" ref="O87:O97" si="20">I87/I$233</f>
        <v>2.2877438516048354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'[69]Sch C'!D76</f>
        <v>22176.34</v>
      </c>
      <c r="D88" s="480">
        <f>'[69]Sch C'!F76</f>
        <v>0</v>
      </c>
      <c r="E88" s="480">
        <f>+'[69]Sch C'!H76</f>
        <v>0</v>
      </c>
      <c r="F88" s="166">
        <f t="shared" si="17"/>
        <v>22176.34</v>
      </c>
      <c r="G88" s="626">
        <v>-1689</v>
      </c>
      <c r="H88" s="372"/>
      <c r="I88" s="166">
        <f t="shared" si="18"/>
        <v>20487.34</v>
      </c>
      <c r="J88" s="167">
        <f t="shared" si="19"/>
        <v>1.806168542040097E-3</v>
      </c>
      <c r="K88" s="458"/>
      <c r="L88" s="163"/>
      <c r="M88" s="163"/>
      <c r="O88" s="324">
        <f t="shared" si="20"/>
        <v>0.53374687369737395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'[69]Sch C'!D77</f>
        <v>76567.06</v>
      </c>
      <c r="D89" s="480">
        <f>'[69]Sch C'!F77</f>
        <v>0</v>
      </c>
      <c r="E89" s="480">
        <f>+'[69]Sch C'!H77</f>
        <v>0</v>
      </c>
      <c r="F89" s="166">
        <f t="shared" si="17"/>
        <v>76567.06</v>
      </c>
      <c r="G89" s="626"/>
      <c r="H89" s="372"/>
      <c r="I89" s="166">
        <f t="shared" si="18"/>
        <v>76567.06</v>
      </c>
      <c r="J89" s="167">
        <f t="shared" si="19"/>
        <v>6.7501693791627718E-3</v>
      </c>
      <c r="K89" s="458"/>
      <c r="L89" s="163"/>
      <c r="M89" s="163"/>
      <c r="O89" s="324">
        <f t="shared" si="20"/>
        <v>1.9947650062526052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'[69]Sch C'!D78</f>
        <v>35451.85</v>
      </c>
      <c r="D90" s="480">
        <f>'[69]Sch C'!F78-2770</f>
        <v>0</v>
      </c>
      <c r="E90" s="480">
        <f>+'[69]Sch C'!H78</f>
        <v>0</v>
      </c>
      <c r="F90" s="166">
        <f t="shared" si="17"/>
        <v>35451.85</v>
      </c>
      <c r="G90" s="626"/>
      <c r="H90" s="480">
        <v>2770</v>
      </c>
      <c r="I90" s="166">
        <f t="shared" si="18"/>
        <v>38221.85</v>
      </c>
      <c r="J90" s="167">
        <f t="shared" si="19"/>
        <v>3.369646966789016E-3</v>
      </c>
      <c r="K90" s="458"/>
      <c r="L90" s="163"/>
      <c r="M90" s="163"/>
      <c r="O90" s="324">
        <f t="shared" si="20"/>
        <v>0.99577558357649021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'[69]Sch C'!D79</f>
        <v>64370.93</v>
      </c>
      <c r="D91" s="480">
        <f>'[69]Sch C'!F79</f>
        <v>0</v>
      </c>
      <c r="E91" s="480">
        <f>+'[69]Sch C'!H79</f>
        <v>0</v>
      </c>
      <c r="F91" s="166">
        <f t="shared" si="17"/>
        <v>64370.93</v>
      </c>
      <c r="G91" s="626"/>
      <c r="H91" s="372"/>
      <c r="I91" s="166">
        <f t="shared" si="18"/>
        <v>64370.93</v>
      </c>
      <c r="J91" s="167">
        <f t="shared" si="19"/>
        <v>5.6749557916188796E-3</v>
      </c>
      <c r="K91" s="458"/>
      <c r="L91" s="163"/>
      <c r="M91" s="163"/>
      <c r="O91" s="324">
        <f t="shared" si="20"/>
        <v>1.6770250625260525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'[69]Sch C'!D80</f>
        <v>98957.25</v>
      </c>
      <c r="D92" s="480">
        <f>'[69]Sch C'!F80</f>
        <v>0</v>
      </c>
      <c r="E92" s="480">
        <f>+'[69]Sch C'!H80</f>
        <v>0</v>
      </c>
      <c r="F92" s="166">
        <f t="shared" si="17"/>
        <v>98957.25</v>
      </c>
      <c r="G92" s="626"/>
      <c r="H92" s="372"/>
      <c r="I92" s="166">
        <f t="shared" si="18"/>
        <v>98957.25</v>
      </c>
      <c r="J92" s="167">
        <f t="shared" si="19"/>
        <v>8.7240936088724737E-3</v>
      </c>
      <c r="K92" s="458"/>
      <c r="L92" s="163"/>
      <c r="M92" s="163"/>
      <c r="O92" s="324">
        <f t="shared" si="20"/>
        <v>2.5780859212171738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'[69]Sch C'!D81</f>
        <v>0</v>
      </c>
      <c r="D93" s="480">
        <f>'[69]Sch C'!F81</f>
        <v>0</v>
      </c>
      <c r="E93" s="480">
        <f>+'[69]Sch C'!H81</f>
        <v>0</v>
      </c>
      <c r="F93" s="166">
        <f t="shared" si="17"/>
        <v>0</v>
      </c>
      <c r="G93" s="626"/>
      <c r="H93" s="372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'[69]Sch C'!D82</f>
        <v>0</v>
      </c>
      <c r="D94" s="480">
        <f>'[69]Sch C'!F82</f>
        <v>0</v>
      </c>
      <c r="E94" s="480">
        <f>+'[69]Sch C'!H82</f>
        <v>0</v>
      </c>
      <c r="F94" s="166">
        <f t="shared" si="17"/>
        <v>0</v>
      </c>
      <c r="G94" s="626"/>
      <c r="H94" s="372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'[69]Sch C'!D83</f>
        <v>0</v>
      </c>
      <c r="D95" s="480">
        <f>'[69]Sch C'!F83</f>
        <v>0</v>
      </c>
      <c r="E95" s="480">
        <f>+'[69]Sch C'!H83</f>
        <v>0</v>
      </c>
      <c r="F95" s="166">
        <f t="shared" si="17"/>
        <v>0</v>
      </c>
      <c r="G95" s="626"/>
      <c r="H95" s="372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'[69]Sch C'!D84</f>
        <v>233837.52000000002</v>
      </c>
      <c r="D96" s="480">
        <f>'[69]Sch C'!F84-1335</f>
        <v>0</v>
      </c>
      <c r="E96" s="480">
        <f>+'[69]Sch C'!H84</f>
        <v>0</v>
      </c>
      <c r="F96" s="166">
        <f t="shared" si="17"/>
        <v>233837.52000000002</v>
      </c>
      <c r="G96" s="626"/>
      <c r="H96" s="480">
        <v>1335</v>
      </c>
      <c r="I96" s="166">
        <f t="shared" si="18"/>
        <v>235172.52000000002</v>
      </c>
      <c r="J96" s="167">
        <f t="shared" si="19"/>
        <v>2.0732862713085037E-2</v>
      </c>
      <c r="K96" s="458"/>
      <c r="L96" s="163"/>
      <c r="M96" s="163"/>
      <c r="O96" s="324">
        <f t="shared" si="20"/>
        <v>6.1268372238432685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'[69]Sch C'!D85</f>
        <v>2492.08</v>
      </c>
      <c r="D97" s="480">
        <f>'[69]Sch C'!F85</f>
        <v>0</v>
      </c>
      <c r="E97" s="480">
        <f>+'[69]Sch C'!H85</f>
        <v>0</v>
      </c>
      <c r="F97" s="166">
        <f t="shared" si="17"/>
        <v>2492.08</v>
      </c>
      <c r="G97" s="626"/>
      <c r="H97" s="372"/>
      <c r="I97" s="166">
        <f t="shared" si="18"/>
        <v>2492.08</v>
      </c>
      <c r="J97" s="167">
        <f t="shared" si="19"/>
        <v>2.1970233813893287E-4</v>
      </c>
      <c r="K97" s="458"/>
      <c r="L97" s="163"/>
      <c r="M97" s="163"/>
      <c r="O97" s="324">
        <f t="shared" si="20"/>
        <v>6.4924968736973732E-2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621665.78999999992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621665.78999999992</v>
      </c>
      <c r="G98" s="166">
        <f t="shared" si="22"/>
        <v>-1689</v>
      </c>
      <c r="H98" s="166">
        <f t="shared" si="22"/>
        <v>4105</v>
      </c>
      <c r="I98" s="166">
        <f t="shared" si="22"/>
        <v>624081.78999999992</v>
      </c>
      <c r="J98" s="167">
        <f t="shared" si="19"/>
        <v>5.5019192182004781E-2</v>
      </c>
      <c r="K98" s="458"/>
      <c r="L98" s="163"/>
      <c r="M98" s="163"/>
      <c r="O98" s="329">
        <f>I98/I$233</f>
        <v>16.258904491454771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377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377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'[69]Sch C'!D89</f>
        <v>406273.38</v>
      </c>
      <c r="D101" s="480">
        <f>'[69]Sch C'!F89</f>
        <v>0</v>
      </c>
      <c r="E101" s="480">
        <f>+'[69]Sch C'!H89</f>
        <v>0</v>
      </c>
      <c r="F101" s="166">
        <f t="shared" ref="F101:F106" si="23">C101+D101+E101</f>
        <v>406273.38</v>
      </c>
      <c r="G101" s="626"/>
      <c r="H101" s="372"/>
      <c r="I101" s="166">
        <f t="shared" ref="I101:I106" si="24">F101+G101+H101</f>
        <v>406273.38</v>
      </c>
      <c r="J101" s="167">
        <f t="shared" ref="J101:J107" si="25">IF($I$213=0,0,I101/$I$213)</f>
        <v>3.581715334564186E-2</v>
      </c>
      <c r="K101" s="458"/>
      <c r="L101" s="176">
        <v>25315.662857142859</v>
      </c>
      <c r="M101" s="176">
        <v>26145.162857142859</v>
      </c>
      <c r="O101" s="329">
        <f t="shared" ref="O101:O106" si="26">I101/I$233</f>
        <v>10.584446123384744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'[69]Sch C'!D90</f>
        <v>82556.73</v>
      </c>
      <c r="D102" s="480">
        <f>'[69]Sch C'!F90</f>
        <v>0</v>
      </c>
      <c r="E102" s="480">
        <f>+'[69]Sch C'!H90</f>
        <v>0</v>
      </c>
      <c r="F102" s="166">
        <f t="shared" si="23"/>
        <v>82556.73</v>
      </c>
      <c r="G102" s="626">
        <v>-7629</v>
      </c>
      <c r="H102" s="372"/>
      <c r="I102" s="166">
        <f t="shared" si="24"/>
        <v>74927.73</v>
      </c>
      <c r="J102" s="167">
        <f t="shared" si="25"/>
        <v>6.6056456744737983E-3</v>
      </c>
      <c r="K102" s="458"/>
      <c r="L102" s="163"/>
      <c r="M102" s="163"/>
      <c r="O102" s="329">
        <f t="shared" si="26"/>
        <v>1.9520563255523133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'[69]Sch C'!D91</f>
        <v>0</v>
      </c>
      <c r="D103" s="480">
        <f>'[69]Sch C'!F91</f>
        <v>0</v>
      </c>
      <c r="E103" s="480">
        <f>+'[69]Sch C'!H91</f>
        <v>0</v>
      </c>
      <c r="F103" s="166">
        <f t="shared" si="23"/>
        <v>0</v>
      </c>
      <c r="G103" s="626"/>
      <c r="H103" s="372"/>
      <c r="I103" s="166">
        <f t="shared" si="24"/>
        <v>0</v>
      </c>
      <c r="J103" s="167">
        <f t="shared" si="25"/>
        <v>0</v>
      </c>
      <c r="K103" s="458"/>
      <c r="L103" s="163"/>
      <c r="M103" s="163"/>
      <c r="O103" s="329">
        <f t="shared" si="26"/>
        <v>0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'[69]Sch C'!D92</f>
        <v>313129.72000000003</v>
      </c>
      <c r="D104" s="480">
        <f>'[69]Sch C'!F92</f>
        <v>0</v>
      </c>
      <c r="E104" s="480">
        <f>+'[69]Sch C'!H92</f>
        <v>0</v>
      </c>
      <c r="F104" s="166">
        <f t="shared" si="23"/>
        <v>313129.72000000003</v>
      </c>
      <c r="G104" s="626">
        <v>1403</v>
      </c>
      <c r="H104" s="372"/>
      <c r="I104" s="166">
        <f t="shared" si="24"/>
        <v>314532.72000000003</v>
      </c>
      <c r="J104" s="167">
        <f t="shared" si="25"/>
        <v>2.7729275948283481E-2</v>
      </c>
      <c r="K104" s="458"/>
      <c r="L104" s="163"/>
      <c r="M104" s="163"/>
      <c r="O104" s="329">
        <f t="shared" si="26"/>
        <v>8.1943705710712802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'[69]Sch C'!D93</f>
        <v>17873.199999999997</v>
      </c>
      <c r="D105" s="480">
        <f>'[69]Sch C'!F93</f>
        <v>0</v>
      </c>
      <c r="E105" s="480">
        <f>+'[69]Sch C'!H93</f>
        <v>0</v>
      </c>
      <c r="F105" s="166">
        <f t="shared" si="23"/>
        <v>17873.199999999997</v>
      </c>
      <c r="G105" s="626"/>
      <c r="H105" s="372"/>
      <c r="I105" s="166">
        <f t="shared" si="24"/>
        <v>17873.199999999997</v>
      </c>
      <c r="J105" s="167">
        <f t="shared" si="25"/>
        <v>1.5757053666113343E-3</v>
      </c>
      <c r="K105" s="458"/>
      <c r="L105" s="163"/>
      <c r="M105" s="163"/>
      <c r="O105" s="329">
        <f t="shared" si="26"/>
        <v>0.46564193413922461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'[69]Sch C'!D94</f>
        <v>25498.45</v>
      </c>
      <c r="D106" s="480">
        <f>'[69]Sch C'!F94</f>
        <v>0</v>
      </c>
      <c r="E106" s="480">
        <f>+'[69]Sch C'!H94</f>
        <v>0</v>
      </c>
      <c r="F106" s="166">
        <f t="shared" si="23"/>
        <v>25498.45</v>
      </c>
      <c r="G106" s="626">
        <f>-1403-526</f>
        <v>-1929</v>
      </c>
      <c r="H106" s="372"/>
      <c r="I106" s="166">
        <f t="shared" si="24"/>
        <v>23569.45</v>
      </c>
      <c r="J106" s="167">
        <f t="shared" si="25"/>
        <v>2.0778880588298416E-3</v>
      </c>
      <c r="K106" s="458"/>
      <c r="L106" s="163"/>
      <c r="M106" s="163"/>
      <c r="O106" s="329">
        <f t="shared" si="26"/>
        <v>0.61404361192163404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845331.48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845331.48</v>
      </c>
      <c r="G107" s="166">
        <f t="shared" si="28"/>
        <v>-8155</v>
      </c>
      <c r="H107" s="166">
        <f t="shared" si="28"/>
        <v>0</v>
      </c>
      <c r="I107" s="166">
        <f t="shared" si="28"/>
        <v>837176.48</v>
      </c>
      <c r="J107" s="167">
        <f t="shared" si="25"/>
        <v>7.3805668393840312E-2</v>
      </c>
      <c r="K107" s="458"/>
      <c r="L107" s="163"/>
      <c r="M107" s="163"/>
      <c r="O107" s="329">
        <f>I107/I$233</f>
        <v>21.810558566069194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377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377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'[69]Sch C'!D98</f>
        <v>116023.60999999999</v>
      </c>
      <c r="D110" s="480">
        <f>'[69]Sch C'!F98</f>
        <v>0</v>
      </c>
      <c r="E110" s="480">
        <f>+'[69]Sch C'!H98</f>
        <v>0</v>
      </c>
      <c r="F110" s="166">
        <f t="shared" ref="F110:F115" si="29">C110+D110+E110</f>
        <v>116023.60999999999</v>
      </c>
      <c r="G110" s="626"/>
      <c r="H110" s="372"/>
      <c r="I110" s="166">
        <f t="shared" ref="I110:I115" si="30">F110+G110+H110</f>
        <v>116023.60999999999</v>
      </c>
      <c r="J110" s="167">
        <f t="shared" ref="J110:J116" si="31">IF($I$213=0,0,I110/$I$213)</f>
        <v>1.0228667778048726E-2</v>
      </c>
      <c r="K110" s="458"/>
      <c r="L110" s="176">
        <v>7911.5492857142854</v>
      </c>
      <c r="M110" s="176">
        <v>8268.5492857142854</v>
      </c>
      <c r="O110" s="329">
        <f t="shared" ref="O110:O115" si="32">I110/I$233</f>
        <v>3.022707638599416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'[69]Sch C'!D99</f>
        <v>26739.71</v>
      </c>
      <c r="D111" s="480">
        <f>'[69]Sch C'!F99</f>
        <v>0</v>
      </c>
      <c r="E111" s="480">
        <f>+'[69]Sch C'!H99</f>
        <v>0</v>
      </c>
      <c r="F111" s="166">
        <f t="shared" si="29"/>
        <v>26739.71</v>
      </c>
      <c r="G111" s="626">
        <v>-2234</v>
      </c>
      <c r="H111" s="372"/>
      <c r="I111" s="166">
        <f t="shared" si="30"/>
        <v>24505.71</v>
      </c>
      <c r="J111" s="167">
        <f t="shared" si="31"/>
        <v>2.1604289528243991E-3</v>
      </c>
      <c r="K111" s="458"/>
      <c r="L111" s="163"/>
      <c r="M111" s="163"/>
      <c r="O111" s="329">
        <f t="shared" si="32"/>
        <v>0.63843554606085862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'[69]Sch C'!D100</f>
        <v>17761.48</v>
      </c>
      <c r="D112" s="480">
        <f>'[69]Sch C'!F100</f>
        <v>0</v>
      </c>
      <c r="E112" s="480">
        <f>+'[69]Sch C'!H100</f>
        <v>0</v>
      </c>
      <c r="F112" s="166">
        <f t="shared" si="29"/>
        <v>17761.48</v>
      </c>
      <c r="G112" s="626"/>
      <c r="H112" s="372"/>
      <c r="I112" s="166">
        <f t="shared" si="30"/>
        <v>17761.48</v>
      </c>
      <c r="J112" s="167">
        <f t="shared" si="31"/>
        <v>1.5658561060671781E-3</v>
      </c>
      <c r="K112" s="458"/>
      <c r="L112" s="163"/>
      <c r="M112" s="163"/>
      <c r="O112" s="329">
        <f t="shared" si="32"/>
        <v>0.46273134639433094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'[69]Sch C'!D101</f>
        <v>0</v>
      </c>
      <c r="D113" s="480">
        <f>'[69]Sch C'!F101</f>
        <v>0</v>
      </c>
      <c r="E113" s="480">
        <f>+'[69]Sch C'!H101</f>
        <v>0</v>
      </c>
      <c r="F113" s="166">
        <f t="shared" si="29"/>
        <v>0</v>
      </c>
      <c r="G113" s="626"/>
      <c r="H113" s="372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'[69]Sch C'!D102</f>
        <v>15357.900000000001</v>
      </c>
      <c r="D114" s="480">
        <f>'[69]Sch C'!F102</f>
        <v>0</v>
      </c>
      <c r="E114" s="480">
        <f>+'[69]Sch C'!H102</f>
        <v>0</v>
      </c>
      <c r="F114" s="166">
        <f t="shared" si="29"/>
        <v>15357.900000000001</v>
      </c>
      <c r="G114" s="626"/>
      <c r="H114" s="372"/>
      <c r="I114" s="166">
        <f t="shared" si="30"/>
        <v>15357.900000000001</v>
      </c>
      <c r="J114" s="167">
        <f t="shared" si="31"/>
        <v>1.3539559480048463E-3</v>
      </c>
      <c r="K114" s="458"/>
      <c r="L114" s="163"/>
      <c r="M114" s="163"/>
      <c r="O114" s="329">
        <f t="shared" si="32"/>
        <v>0.40011202584410177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'[69]Sch C'!D103</f>
        <v>538.5</v>
      </c>
      <c r="D115" s="480">
        <f>'[69]Sch C'!F103</f>
        <v>0</v>
      </c>
      <c r="E115" s="480">
        <f>+'[69]Sch C'!H103</f>
        <v>0</v>
      </c>
      <c r="F115" s="166">
        <f t="shared" si="29"/>
        <v>538.5</v>
      </c>
      <c r="G115" s="626"/>
      <c r="H115" s="372"/>
      <c r="I115" s="166">
        <f t="shared" si="30"/>
        <v>538.5</v>
      </c>
      <c r="J115" s="167">
        <f t="shared" si="31"/>
        <v>4.7474282161012227E-5</v>
      </c>
      <c r="K115" s="458"/>
      <c r="L115" s="163"/>
      <c r="M115" s="163"/>
      <c r="O115" s="329">
        <f t="shared" si="32"/>
        <v>1.4029283034597748E-2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176421.19999999998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176421.19999999998</v>
      </c>
      <c r="G116" s="166">
        <f t="shared" si="34"/>
        <v>-2234</v>
      </c>
      <c r="H116" s="166">
        <f t="shared" si="34"/>
        <v>0</v>
      </c>
      <c r="I116" s="166">
        <f t="shared" si="34"/>
        <v>174187.19999999998</v>
      </c>
      <c r="J116" s="167">
        <f t="shared" si="31"/>
        <v>1.5356383067106162E-2</v>
      </c>
      <c r="K116" s="458"/>
      <c r="L116" s="163"/>
      <c r="M116" s="163"/>
      <c r="O116" s="329">
        <f>I116/I$233</f>
        <v>4.5380158399333048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377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377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'[69]Sch C'!D115</f>
        <v>109162.29000000001</v>
      </c>
      <c r="D119" s="480">
        <f>'[69]Sch C'!F115</f>
        <v>0</v>
      </c>
      <c r="E119" s="480">
        <f>+'[69]Sch C'!H115</f>
        <v>0</v>
      </c>
      <c r="F119" s="166">
        <f t="shared" ref="F119:F123" si="35">C119+D119+E119</f>
        <v>109162.29000000001</v>
      </c>
      <c r="G119" s="626"/>
      <c r="H119" s="372"/>
      <c r="I119" s="166">
        <f t="shared" ref="I119:I123" si="36">F119+G119+H119</f>
        <v>109162.29000000001</v>
      </c>
      <c r="J119" s="167">
        <f t="shared" ref="J119:J124" si="37">IF($I$213=0,0,I119/$I$213)</f>
        <v>9.6237722503291438E-3</v>
      </c>
      <c r="K119" s="458"/>
      <c r="L119" s="176">
        <v>10222.446428571428</v>
      </c>
      <c r="M119" s="176">
        <v>11016.666428571427</v>
      </c>
      <c r="O119" s="329">
        <f t="shared" ref="O119:O124" si="38">I119/I$233</f>
        <v>2.8439529491454776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'[69]Sch C'!D116</f>
        <v>34100.910000000003</v>
      </c>
      <c r="D120" s="480">
        <f>'[69]Sch C'!F116</f>
        <v>0</v>
      </c>
      <c r="E120" s="480">
        <f>+'[69]Sch C'!H116</f>
        <v>0</v>
      </c>
      <c r="F120" s="166">
        <f t="shared" si="35"/>
        <v>34100.910000000003</v>
      </c>
      <c r="G120" s="626">
        <v>-2093</v>
      </c>
      <c r="H120" s="372"/>
      <c r="I120" s="166">
        <f t="shared" si="36"/>
        <v>32007.910000000003</v>
      </c>
      <c r="J120" s="167">
        <f t="shared" si="37"/>
        <v>2.8218246067303345E-3</v>
      </c>
      <c r="K120" s="458"/>
      <c r="L120" s="163"/>
      <c r="M120" s="163"/>
      <c r="O120" s="329">
        <f t="shared" si="38"/>
        <v>0.83388677573989167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'[69]Sch C'!D117</f>
        <v>44495.63</v>
      </c>
      <c r="D121" s="480">
        <f>'[69]Sch C'!F117</f>
        <v>0</v>
      </c>
      <c r="E121" s="480">
        <f>+'[69]Sch C'!H117</f>
        <v>0</v>
      </c>
      <c r="F121" s="166">
        <f t="shared" si="35"/>
        <v>44495.63</v>
      </c>
      <c r="G121" s="626"/>
      <c r="H121" s="372"/>
      <c r="I121" s="166">
        <f t="shared" si="36"/>
        <v>44495.63</v>
      </c>
      <c r="J121" s="167">
        <f t="shared" si="37"/>
        <v>3.922744834822656E-3</v>
      </c>
      <c r="K121" s="458"/>
      <c r="L121" s="163"/>
      <c r="M121" s="163"/>
      <c r="O121" s="329">
        <f t="shared" si="38"/>
        <v>1.1592233743226343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'[69]Sch C'!D118</f>
        <v>0</v>
      </c>
      <c r="D122" s="480">
        <f>'[69]Sch C'!F118</f>
        <v>0</v>
      </c>
      <c r="E122" s="480">
        <f>+'[69]Sch C'!H118</f>
        <v>0</v>
      </c>
      <c r="F122" s="166">
        <f t="shared" si="35"/>
        <v>0</v>
      </c>
      <c r="G122" s="626"/>
      <c r="H122" s="372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'[69]Sch C'!D119</f>
        <v>165</v>
      </c>
      <c r="D123" s="480">
        <f>'[69]Sch C'!F119</f>
        <v>0</v>
      </c>
      <c r="E123" s="480">
        <f>+'[69]Sch C'!H119</f>
        <v>0</v>
      </c>
      <c r="F123" s="166">
        <f t="shared" si="35"/>
        <v>165</v>
      </c>
      <c r="G123" s="626"/>
      <c r="H123" s="372"/>
      <c r="I123" s="166">
        <f t="shared" si="36"/>
        <v>165</v>
      </c>
      <c r="J123" s="167">
        <f t="shared" si="37"/>
        <v>1.4546437430950822E-5</v>
      </c>
      <c r="K123" s="458"/>
      <c r="L123" s="163"/>
      <c r="M123" s="163"/>
      <c r="O123" s="329">
        <f t="shared" si="38"/>
        <v>4.2986661108795335E-3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187923.83000000002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187923.83000000002</v>
      </c>
      <c r="G124" s="166">
        <f t="shared" si="40"/>
        <v>-2093</v>
      </c>
      <c r="H124" s="166">
        <f t="shared" si="40"/>
        <v>0</v>
      </c>
      <c r="I124" s="166">
        <f t="shared" si="40"/>
        <v>185830.83000000002</v>
      </c>
      <c r="J124" s="167">
        <f t="shared" si="37"/>
        <v>1.6382888129313086E-2</v>
      </c>
      <c r="K124" s="458"/>
      <c r="L124" s="163"/>
      <c r="M124" s="163"/>
      <c r="O124" s="329">
        <f t="shared" si="38"/>
        <v>4.841361765318883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375"/>
      <c r="I125" s="188"/>
      <c r="J125" s="189"/>
      <c r="K125" s="458"/>
      <c r="L125" s="195"/>
      <c r="M125" s="195"/>
      <c r="O125" s="324"/>
      <c r="P125" s="324"/>
    </row>
    <row r="126" spans="1:16" s="162" customFormat="1" ht="15.5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/>
      <c r="I126" s="160"/>
      <c r="J126" s="190"/>
      <c r="K126" s="460"/>
      <c r="L126" s="196"/>
      <c r="M126" s="196"/>
      <c r="O126" s="324"/>
      <c r="P126" s="324"/>
    </row>
    <row r="127" spans="1:16" s="162" customFormat="1" ht="15.5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'[69]Sch C'!D124</f>
        <v>311172.07</v>
      </c>
      <c r="D128" s="480">
        <f>'[69]Sch C'!F124</f>
        <v>0</v>
      </c>
      <c r="E128" s="480">
        <f>+'[69]Sch C'!H124</f>
        <v>0</v>
      </c>
      <c r="F128" s="166">
        <f t="shared" ref="F128:F132" si="41">C128+D128+E128</f>
        <v>311172.07</v>
      </c>
      <c r="G128" s="626"/>
      <c r="H128" s="372"/>
      <c r="I128" s="166">
        <f t="shared" ref="I128:I132" si="42">F128+G128+H128</f>
        <v>311172.07</v>
      </c>
      <c r="J128" s="167">
        <f>IF($I$213=0,0,I128/$I$213)</f>
        <v>2.7433000281905755E-2</v>
      </c>
      <c r="K128" s="458"/>
      <c r="L128" s="176">
        <v>7393.1428571428569</v>
      </c>
      <c r="M128" s="176">
        <v>7689.1428571428569</v>
      </c>
      <c r="O128" s="329">
        <f t="shared" ref="O128:O165" si="43">I128/I$233</f>
        <v>8.1068171634014181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'[69]Sch C'!D125</f>
        <v>140476.97</v>
      </c>
      <c r="D129" s="480">
        <f>'[69]Sch C'!F125</f>
        <v>0</v>
      </c>
      <c r="E129" s="480">
        <f>+'[69]Sch C'!H125</f>
        <v>0</v>
      </c>
      <c r="F129" s="166">
        <f t="shared" si="41"/>
        <v>140476.97</v>
      </c>
      <c r="G129" s="626"/>
      <c r="H129" s="372"/>
      <c r="I129" s="166">
        <f t="shared" si="42"/>
        <v>140476.97</v>
      </c>
      <c r="J129" s="167">
        <f>IF($I$213=0,0,I129/$I$213)</f>
        <v>1.2384481542997308E-2</v>
      </c>
      <c r="K129" s="458"/>
      <c r="L129" s="176">
        <v>4041.9285714285716</v>
      </c>
      <c r="M129" s="176">
        <v>4201.9285714285716</v>
      </c>
      <c r="O129" s="329">
        <f t="shared" si="43"/>
        <v>3.6597793351396417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'[69]Sch C'!D126</f>
        <v>0</v>
      </c>
      <c r="D130" s="480">
        <f>'[69]Sch C'!F126</f>
        <v>0</v>
      </c>
      <c r="E130" s="480">
        <f>+'[69]Sch C'!H126</f>
        <v>0</v>
      </c>
      <c r="F130" s="166">
        <f t="shared" si="41"/>
        <v>0</v>
      </c>
      <c r="G130" s="626"/>
      <c r="H130" s="372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'[69]Sch C'!D127</f>
        <v>0</v>
      </c>
      <c r="D131" s="480">
        <f>'[69]Sch C'!F127</f>
        <v>0</v>
      </c>
      <c r="E131" s="480">
        <f>+'[69]Sch C'!H127</f>
        <v>0</v>
      </c>
      <c r="F131" s="166">
        <f t="shared" si="41"/>
        <v>0</v>
      </c>
      <c r="G131" s="626"/>
      <c r="H131" s="372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'[69]Sch C'!D128</f>
        <v>70019.5</v>
      </c>
      <c r="D132" s="480">
        <f>'[69]Sch C'!F128</f>
        <v>0</v>
      </c>
      <c r="E132" s="480">
        <f>+'[69]Sch C'!H128</f>
        <v>0</v>
      </c>
      <c r="F132" s="166">
        <f t="shared" si="41"/>
        <v>70019.5</v>
      </c>
      <c r="G132" s="626"/>
      <c r="H132" s="372"/>
      <c r="I132" s="166">
        <f t="shared" si="42"/>
        <v>70019.5</v>
      </c>
      <c r="J132" s="167">
        <f>IF($I$213=0,0,I132/$I$213)</f>
        <v>6.1729350042209761E-3</v>
      </c>
      <c r="K132" s="458"/>
      <c r="L132" s="176">
        <v>3821.9850000000006</v>
      </c>
      <c r="M132" s="176">
        <v>4168.4850000000006</v>
      </c>
      <c r="O132" s="329">
        <f t="shared" si="43"/>
        <v>1.8241845560650272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375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'[69]Sch C'!D130</f>
        <v>77335.91577489725</v>
      </c>
      <c r="D134" s="480">
        <f>'[69]Sch C'!F130</f>
        <v>0</v>
      </c>
      <c r="E134" s="480">
        <f>+'[69]Sch C'!H130</f>
        <v>0</v>
      </c>
      <c r="F134" s="166">
        <f t="shared" ref="F134:F138" si="44">C134+D134+E134</f>
        <v>77335.91577489725</v>
      </c>
      <c r="G134" s="626">
        <v>-5970</v>
      </c>
      <c r="H134" s="372"/>
      <c r="I134" s="166">
        <f t="shared" ref="I134:I138" si="45">F134+G134+H134</f>
        <v>71365.91577489725</v>
      </c>
      <c r="J134" s="167">
        <f>IF($I$213=0,0,I134/$I$213)</f>
        <v>6.2916353243760549E-3</v>
      </c>
      <c r="K134" s="458"/>
      <c r="L134" s="196"/>
      <c r="M134" s="196"/>
      <c r="O134" s="329">
        <f t="shared" si="43"/>
        <v>1.8592620825056598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'[69]Sch C'!D131</f>
        <v>34912.886366159946</v>
      </c>
      <c r="D135" s="480">
        <f>'[69]Sch C'!F131</f>
        <v>0</v>
      </c>
      <c r="E135" s="480">
        <f>+'[69]Sch C'!H131</f>
        <v>0</v>
      </c>
      <c r="F135" s="166">
        <f t="shared" si="44"/>
        <v>34912.886366159946</v>
      </c>
      <c r="G135" s="626">
        <v>-2695</v>
      </c>
      <c r="H135" s="372"/>
      <c r="I135" s="166">
        <f t="shared" si="45"/>
        <v>32217.886366159946</v>
      </c>
      <c r="J135" s="167">
        <f>IF($I$213=0,0,I135/$I$213)</f>
        <v>2.8403361708050252E-3</v>
      </c>
      <c r="K135" s="458"/>
      <c r="L135" s="196"/>
      <c r="M135" s="196"/>
      <c r="O135" s="329">
        <f t="shared" si="43"/>
        <v>0.8393571896144213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'[69]Sch C'!D132</f>
        <v>0</v>
      </c>
      <c r="D136" s="480">
        <f>'[69]Sch C'!F132</f>
        <v>0</v>
      </c>
      <c r="E136" s="480">
        <f>+'[69]Sch C'!H132</f>
        <v>0</v>
      </c>
      <c r="F136" s="166">
        <f t="shared" si="44"/>
        <v>0</v>
      </c>
      <c r="G136" s="626"/>
      <c r="H136" s="372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'[69]Sch C'!D133</f>
        <v>0</v>
      </c>
      <c r="D137" s="480">
        <f>'[69]Sch C'!F133</f>
        <v>0</v>
      </c>
      <c r="E137" s="480">
        <f>+'[69]Sch C'!H133</f>
        <v>0</v>
      </c>
      <c r="F137" s="166">
        <f t="shared" si="44"/>
        <v>0</v>
      </c>
      <c r="G137" s="626"/>
      <c r="H137" s="372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'[69]Sch C'!D134</f>
        <v>26251.07</v>
      </c>
      <c r="D138" s="480">
        <f>'[69]Sch C'!F134</f>
        <v>0</v>
      </c>
      <c r="E138" s="480">
        <f>+'[69]Sch C'!H134</f>
        <v>0</v>
      </c>
      <c r="F138" s="166">
        <f t="shared" si="44"/>
        <v>26251.07</v>
      </c>
      <c r="G138" s="626">
        <v>-1340</v>
      </c>
      <c r="H138" s="372"/>
      <c r="I138" s="166">
        <f t="shared" si="45"/>
        <v>24911.07</v>
      </c>
      <c r="J138" s="167">
        <f>IF($I$213=0,0,I138/$I$213)</f>
        <v>2.196165582382037E-3</v>
      </c>
      <c r="K138" s="458"/>
      <c r="L138" s="163"/>
      <c r="M138" s="163"/>
      <c r="O138" s="329">
        <f t="shared" si="43"/>
        <v>0.64899619633180494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375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'[69]Sch C'!D136</f>
        <v>719677.4</v>
      </c>
      <c r="D140" s="480">
        <f>'[69]Sch C'!F136</f>
        <v>0</v>
      </c>
      <c r="E140" s="480">
        <f>+'[69]Sch C'!H136</f>
        <v>0</v>
      </c>
      <c r="F140" s="166">
        <f t="shared" ref="F140:F143" si="46">C140+D140+E140</f>
        <v>719677.4</v>
      </c>
      <c r="G140" s="626"/>
      <c r="H140" s="372"/>
      <c r="I140" s="166">
        <f t="shared" ref="I140:I143" si="47">F140+G140+H140</f>
        <v>719677.4</v>
      </c>
      <c r="J140" s="167">
        <f>IF($I$213=0,0,I140/$I$213)</f>
        <v>6.3446922845874956E-2</v>
      </c>
      <c r="K140" s="458"/>
      <c r="L140" s="176">
        <v>22672.561428571422</v>
      </c>
      <c r="M140" s="176">
        <v>23892.561428571422</v>
      </c>
      <c r="O140" s="329">
        <f t="shared" si="43"/>
        <v>18.74941121300542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'[69]Sch C'!D137</f>
        <v>579421.12</v>
      </c>
      <c r="D141" s="480">
        <f>'[69]Sch C'!F137</f>
        <v>0</v>
      </c>
      <c r="E141" s="480">
        <f>+'[69]Sch C'!H137</f>
        <v>0</v>
      </c>
      <c r="F141" s="166">
        <f t="shared" si="46"/>
        <v>579421.12</v>
      </c>
      <c r="G141" s="626"/>
      <c r="H141" s="372"/>
      <c r="I141" s="166">
        <f t="shared" si="47"/>
        <v>579421.12</v>
      </c>
      <c r="J141" s="167">
        <f>IF($I$213=0,0,I141/$I$213)</f>
        <v>5.1081897383342109E-2</v>
      </c>
      <c r="K141" s="458"/>
      <c r="L141" s="176">
        <v>19416.672857142858</v>
      </c>
      <c r="M141" s="176">
        <v>21136.672857142858</v>
      </c>
      <c r="O141" s="329">
        <f t="shared" si="43"/>
        <v>15.095381408920383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'[69]Sch C'!D138</f>
        <v>1127601.81</v>
      </c>
      <c r="D142" s="480">
        <f>'[69]Sch C'!F138</f>
        <v>0</v>
      </c>
      <c r="E142" s="480">
        <f>+'[69]Sch C'!H138</f>
        <v>0</v>
      </c>
      <c r="F142" s="166">
        <f t="shared" si="46"/>
        <v>1127601.81</v>
      </c>
      <c r="G142" s="626"/>
      <c r="H142" s="372"/>
      <c r="I142" s="166">
        <f t="shared" si="47"/>
        <v>1127601.81</v>
      </c>
      <c r="J142" s="167">
        <f>IF($I$213=0,0,I142/$I$213)</f>
        <v>9.940963137085998E-2</v>
      </c>
      <c r="K142" s="458"/>
      <c r="L142" s="176">
        <v>76045.347857142857</v>
      </c>
      <c r="M142" s="176">
        <v>81101.097857142857</v>
      </c>
      <c r="O142" s="329">
        <f t="shared" si="43"/>
        <v>29.376870831596499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'[69]Sch C'!D139</f>
        <v>150274.03</v>
      </c>
      <c r="D143" s="480">
        <f>'[69]Sch C'!F139</f>
        <v>0</v>
      </c>
      <c r="E143" s="480">
        <f>+'[69]Sch C'!H139</f>
        <v>0</v>
      </c>
      <c r="F143" s="166">
        <f t="shared" si="46"/>
        <v>150274.03</v>
      </c>
      <c r="G143" s="626"/>
      <c r="H143" s="372"/>
      <c r="I143" s="166">
        <f t="shared" si="47"/>
        <v>150274.03</v>
      </c>
      <c r="J143" s="167">
        <f>IF($I$213=0,0,I143/$I$213)</f>
        <v>1.3248192575101981E-2</v>
      </c>
      <c r="K143" s="458"/>
      <c r="L143" s="176">
        <v>10226.275714285714</v>
      </c>
      <c r="M143" s="176">
        <v>10944.775714285714</v>
      </c>
      <c r="O143" s="329">
        <f t="shared" si="43"/>
        <v>3.9150174551896622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375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'[69]Sch C'!D141</f>
        <v>178862.16713311398</v>
      </c>
      <c r="D145" s="480">
        <f>'[69]Sch C'!F141</f>
        <v>0</v>
      </c>
      <c r="E145" s="480">
        <f>+'[69]Sch C'!H141</f>
        <v>0</v>
      </c>
      <c r="F145" s="166">
        <f t="shared" ref="F145:F148" si="48">C145+D145+E145</f>
        <v>178862.16713311398</v>
      </c>
      <c r="G145" s="626">
        <v>-13808</v>
      </c>
      <c r="H145" s="372"/>
      <c r="I145" s="166">
        <f t="shared" ref="I145:I148" si="49">F145+G145+H145</f>
        <v>165054.16713311398</v>
      </c>
      <c r="J145" s="167">
        <f>IF($I$213=0,0,I145/$I$213)</f>
        <v>1.4551212817694194E-2</v>
      </c>
      <c r="K145" s="458"/>
      <c r="L145" s="163"/>
      <c r="M145" s="163"/>
      <c r="O145" s="329">
        <f t="shared" si="43"/>
        <v>4.3000773013003855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'[69]Sch C'!D142</f>
        <v>144004.12908046873</v>
      </c>
      <c r="D146" s="480">
        <f>'[69]Sch C'!F142</f>
        <v>0</v>
      </c>
      <c r="E146" s="480">
        <f>+'[69]Sch C'!H142</f>
        <v>0</v>
      </c>
      <c r="F146" s="166">
        <f t="shared" si="48"/>
        <v>144004.12908046873</v>
      </c>
      <c r="G146" s="626">
        <v>-11117</v>
      </c>
      <c r="H146" s="372"/>
      <c r="I146" s="166">
        <f t="shared" si="49"/>
        <v>132887.12908046873</v>
      </c>
      <c r="J146" s="167">
        <f>IF($I$213=0,0,I146/$I$213)</f>
        <v>1.171535944574378E-2</v>
      </c>
      <c r="K146" s="458"/>
      <c r="L146" s="163"/>
      <c r="M146" s="163"/>
      <c r="O146" s="329">
        <f t="shared" si="43"/>
        <v>3.4620448384865758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'[69]Sch C'!D143</f>
        <v>280244.04184405663</v>
      </c>
      <c r="D147" s="480">
        <f>'[69]Sch C'!F143</f>
        <v>0</v>
      </c>
      <c r="E147" s="480">
        <f>+'[69]Sch C'!H143</f>
        <v>0</v>
      </c>
      <c r="F147" s="166">
        <f t="shared" si="48"/>
        <v>280244.04184405663</v>
      </c>
      <c r="G147" s="626">
        <v>-21635</v>
      </c>
      <c r="H147" s="372"/>
      <c r="I147" s="166">
        <f t="shared" si="49"/>
        <v>258609.04184405663</v>
      </c>
      <c r="J147" s="167">
        <f>IF($I$213=0,0,I147/$I$213)</f>
        <v>2.2799031795531593E-2</v>
      </c>
      <c r="K147" s="458"/>
      <c r="L147" s="163"/>
      <c r="M147" s="163"/>
      <c r="O147" s="329">
        <f t="shared" si="43"/>
        <v>6.7374177220731717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'[69]Sch C'!D144</f>
        <v>37347.759801303451</v>
      </c>
      <c r="D148" s="480">
        <f>'[69]Sch C'!F144</f>
        <v>0</v>
      </c>
      <c r="E148" s="480">
        <f>+'[69]Sch C'!H144</f>
        <v>0</v>
      </c>
      <c r="F148" s="166">
        <f t="shared" si="48"/>
        <v>37347.759801303451</v>
      </c>
      <c r="G148" s="626">
        <v>-2883</v>
      </c>
      <c r="H148" s="372"/>
      <c r="I148" s="166">
        <f t="shared" si="49"/>
        <v>34464.759801303451</v>
      </c>
      <c r="J148" s="167">
        <f>IF($I$213=0,0,I148/$I$213)</f>
        <v>3.0384210425600591E-3</v>
      </c>
      <c r="K148" s="458"/>
      <c r="L148" s="163"/>
      <c r="M148" s="163"/>
      <c r="O148" s="329">
        <f t="shared" si="43"/>
        <v>0.89789390895434174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375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'[69]Sch C'!D146</f>
        <v>61011.979999999996</v>
      </c>
      <c r="D150" s="480">
        <f>'[69]Sch C'!F146</f>
        <v>0</v>
      </c>
      <c r="E150" s="480">
        <f>+'[69]Sch C'!H146</f>
        <v>0</v>
      </c>
      <c r="F150" s="166">
        <f t="shared" ref="F150:F158" si="50">C150+D150+E150</f>
        <v>61011.979999999996</v>
      </c>
      <c r="G150" s="626"/>
      <c r="H150" s="372"/>
      <c r="I150" s="166">
        <f t="shared" ref="I150:I158" si="51">F150+G150+H150</f>
        <v>61011.979999999996</v>
      </c>
      <c r="J150" s="167">
        <f t="shared" ref="J150:J158" si="52">IF($I$213=0,0,I150/$I$213)</f>
        <v>5.3788299976268049E-3</v>
      </c>
      <c r="K150" s="458"/>
      <c r="L150" s="176">
        <v>0</v>
      </c>
      <c r="M150" s="176" t="s">
        <v>539</v>
      </c>
      <c r="O150" s="329">
        <f t="shared" si="43"/>
        <v>1.589515944143393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'[69]Sch C'!D147</f>
        <v>3875.5699999999488</v>
      </c>
      <c r="D151" s="480">
        <f>'[69]Sch C'!F147</f>
        <v>0</v>
      </c>
      <c r="E151" s="480">
        <f>+'[69]Sch C'!H147</f>
        <v>0</v>
      </c>
      <c r="F151" s="166">
        <f t="shared" si="50"/>
        <v>3875.5699999999488</v>
      </c>
      <c r="G151" s="626"/>
      <c r="H151" s="372"/>
      <c r="I151" s="166">
        <f t="shared" si="51"/>
        <v>3875.5699999999488</v>
      </c>
      <c r="J151" s="167">
        <f t="shared" si="52"/>
        <v>3.4167113038951108E-4</v>
      </c>
      <c r="K151" s="458"/>
      <c r="L151" s="176">
        <v>72.25</v>
      </c>
      <c r="M151" s="176">
        <v>72.25</v>
      </c>
      <c r="O151" s="329">
        <f t="shared" si="43"/>
        <v>0.10096837223843134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'[69]Sch C'!D148</f>
        <v>461.88000000000466</v>
      </c>
      <c r="D152" s="480">
        <f>'[69]Sch C'!F148</f>
        <v>0</v>
      </c>
      <c r="E152" s="480">
        <f>+'[69]Sch C'!H148</f>
        <v>0</v>
      </c>
      <c r="F152" s="166">
        <f t="shared" si="50"/>
        <v>461.88000000000466</v>
      </c>
      <c r="G152" s="626"/>
      <c r="H152" s="372"/>
      <c r="I152" s="166">
        <f t="shared" si="51"/>
        <v>461.88000000000466</v>
      </c>
      <c r="J152" s="167">
        <f t="shared" si="52"/>
        <v>4.0719445579440201E-5</v>
      </c>
      <c r="K152" s="458"/>
      <c r="L152" s="176">
        <v>12.5</v>
      </c>
      <c r="M152" s="176">
        <v>12.5</v>
      </c>
      <c r="O152" s="329">
        <f t="shared" si="43"/>
        <v>1.203313880783672E-2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'[69]Sch C'!D149</f>
        <v>202590.28000000003</v>
      </c>
      <c r="D153" s="480">
        <f>'[69]Sch C'!F149</f>
        <v>0</v>
      </c>
      <c r="E153" s="480">
        <f>+'[69]Sch C'!H149</f>
        <v>0</v>
      </c>
      <c r="F153" s="166">
        <f t="shared" si="50"/>
        <v>202590.28000000003</v>
      </c>
      <c r="G153" s="626"/>
      <c r="H153" s="372"/>
      <c r="I153" s="166">
        <f t="shared" si="51"/>
        <v>202590.28000000003</v>
      </c>
      <c r="J153" s="167">
        <f t="shared" si="52"/>
        <v>1.7860405043265502E-2</v>
      </c>
      <c r="K153" s="458"/>
      <c r="L153" s="176">
        <v>9657.2933333333331</v>
      </c>
      <c r="M153" s="176">
        <v>9657.2933333333331</v>
      </c>
      <c r="O153" s="329">
        <f t="shared" si="43"/>
        <v>5.2779877032096714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'[69]Sch C'!D150</f>
        <v>47506.1</v>
      </c>
      <c r="D154" s="480">
        <f>'[69]Sch C'!F150-74275</f>
        <v>0</v>
      </c>
      <c r="E154" s="480">
        <f>+'[69]Sch C'!H150</f>
        <v>0</v>
      </c>
      <c r="F154" s="166">
        <f t="shared" si="50"/>
        <v>47506.1</v>
      </c>
      <c r="G154" s="626"/>
      <c r="H154" s="480">
        <v>74275</v>
      </c>
      <c r="I154" s="166">
        <f t="shared" si="51"/>
        <v>121781.1</v>
      </c>
      <c r="J154" s="167">
        <f t="shared" si="52"/>
        <v>1.0736249402559789E-2</v>
      </c>
      <c r="K154" s="458"/>
      <c r="L154" s="176">
        <v>0</v>
      </c>
      <c r="M154" s="176" t="s">
        <v>397</v>
      </c>
      <c r="O154" s="329">
        <f t="shared" si="43"/>
        <v>3.1727047728220095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'[69]Sch C'!D151</f>
        <v>153589.65</v>
      </c>
      <c r="D155" s="480">
        <f>'[69]Sch C'!F151</f>
        <v>0</v>
      </c>
      <c r="E155" s="480">
        <f>+'[69]Sch C'!H151</f>
        <v>0</v>
      </c>
      <c r="F155" s="166">
        <f t="shared" si="50"/>
        <v>153589.65</v>
      </c>
      <c r="G155" s="626"/>
      <c r="H155" s="372"/>
      <c r="I155" s="166">
        <f t="shared" si="51"/>
        <v>153589.65</v>
      </c>
      <c r="J155" s="167">
        <f t="shared" si="52"/>
        <v>1.3540498386464459E-2</v>
      </c>
      <c r="K155" s="458"/>
      <c r="L155" s="163"/>
      <c r="M155" s="163"/>
      <c r="O155" s="329">
        <f t="shared" si="43"/>
        <v>4.0013977177990832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'[69]Sch C'!D152</f>
        <v>18377.11</v>
      </c>
      <c r="D156" s="480">
        <f>'[69]Sch C'!F152</f>
        <v>0</v>
      </c>
      <c r="E156" s="480">
        <f>+'[69]Sch C'!H152</f>
        <v>0</v>
      </c>
      <c r="F156" s="166">
        <f t="shared" si="50"/>
        <v>18377.11</v>
      </c>
      <c r="G156" s="626"/>
      <c r="H156" s="372"/>
      <c r="I156" s="166">
        <f t="shared" si="51"/>
        <v>18377.11</v>
      </c>
      <c r="J156" s="167">
        <f t="shared" si="52"/>
        <v>1.6201301865254585E-3</v>
      </c>
      <c r="K156" s="458"/>
      <c r="L156" s="163"/>
      <c r="M156" s="163"/>
      <c r="O156" s="329">
        <f t="shared" si="43"/>
        <v>0.47877006044185078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'[69]Sch C'!D153</f>
        <v>0</v>
      </c>
      <c r="D157" s="480">
        <f>'[69]Sch C'!F153</f>
        <v>0</v>
      </c>
      <c r="E157" s="480">
        <f>+'[69]Sch C'!H153</f>
        <v>0</v>
      </c>
      <c r="F157" s="166">
        <f t="shared" si="50"/>
        <v>0</v>
      </c>
      <c r="G157" s="626"/>
      <c r="H157" s="372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'[69]Sch C'!D154</f>
        <v>0</v>
      </c>
      <c r="D158" s="480">
        <f>'[69]Sch C'!F154</f>
        <v>0</v>
      </c>
      <c r="E158" s="480">
        <f>+'[69]Sch C'!H154</f>
        <v>0</v>
      </c>
      <c r="F158" s="166">
        <f t="shared" si="50"/>
        <v>0</v>
      </c>
      <c r="G158" s="626"/>
      <c r="H158" s="372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376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'[69]Sch C'!D156</f>
        <v>0</v>
      </c>
      <c r="D160" s="480">
        <f>'[69]Sch C'!F156</f>
        <v>0</v>
      </c>
      <c r="E160" s="480">
        <f>+'[69]Sch C'!H156</f>
        <v>0</v>
      </c>
      <c r="F160" s="166">
        <f t="shared" ref="F160:F165" si="53">C160+D160+E160</f>
        <v>0</v>
      </c>
      <c r="G160" s="626"/>
      <c r="H160" s="372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'[69]Sch C'!D157</f>
        <v>0</v>
      </c>
      <c r="D161" s="480">
        <f>'[69]Sch C'!F157</f>
        <v>0</v>
      </c>
      <c r="E161" s="480">
        <f>+'[69]Sch C'!H157</f>
        <v>0</v>
      </c>
      <c r="F161" s="166">
        <f t="shared" si="53"/>
        <v>0</v>
      </c>
      <c r="G161" s="626"/>
      <c r="H161" s="372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'[69]Sch C'!D158</f>
        <v>0</v>
      </c>
      <c r="D162" s="480">
        <f>'[69]Sch C'!F158</f>
        <v>0</v>
      </c>
      <c r="E162" s="480">
        <f>+'[69]Sch C'!H158</f>
        <v>0</v>
      </c>
      <c r="F162" s="166">
        <f t="shared" si="53"/>
        <v>0</v>
      </c>
      <c r="G162" s="626"/>
      <c r="H162" s="372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'[69]Sch C'!D159</f>
        <v>0</v>
      </c>
      <c r="D163" s="480">
        <f>'[69]Sch C'!F159</f>
        <v>0</v>
      </c>
      <c r="E163" s="480">
        <f>+'[69]Sch C'!H159</f>
        <v>0</v>
      </c>
      <c r="F163" s="166">
        <f t="shared" si="53"/>
        <v>0</v>
      </c>
      <c r="G163" s="626"/>
      <c r="H163" s="372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'[69]Sch C'!D160</f>
        <v>3850.79</v>
      </c>
      <c r="D164" s="480">
        <f>'[69]Sch C'!F160</f>
        <v>0</v>
      </c>
      <c r="E164" s="480">
        <f>+'[69]Sch C'!H160</f>
        <v>0</v>
      </c>
      <c r="F164" s="166">
        <f t="shared" si="53"/>
        <v>3850.79</v>
      </c>
      <c r="G164" s="626"/>
      <c r="H164" s="372"/>
      <c r="I164" s="166">
        <f t="shared" si="54"/>
        <v>3850.79</v>
      </c>
      <c r="J164" s="167">
        <f>IF($I$213=0,0,I164/$I$213)</f>
        <v>3.3948651996806736E-4</v>
      </c>
      <c r="K164" s="458"/>
      <c r="L164" s="163"/>
      <c r="M164" s="163"/>
      <c r="O164" s="329">
        <f t="shared" si="43"/>
        <v>0.10032279074614422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'[69]Sch C'!D161</f>
        <v>13280.970000000001</v>
      </c>
      <c r="D165" s="480">
        <f>'[69]Sch C'!F161</f>
        <v>0</v>
      </c>
      <c r="E165" s="480">
        <f>+'[69]Sch C'!H161</f>
        <v>0</v>
      </c>
      <c r="F165" s="166">
        <f t="shared" si="53"/>
        <v>13280.970000000001</v>
      </c>
      <c r="G165" s="626"/>
      <c r="H165" s="372"/>
      <c r="I165" s="166">
        <f t="shared" si="54"/>
        <v>13280.970000000001</v>
      </c>
      <c r="J165" s="167">
        <f t="shared" si="55"/>
        <v>1.1708533280444541E-3</v>
      </c>
      <c r="K165" s="458"/>
      <c r="L165" s="163"/>
      <c r="M165" s="163"/>
      <c r="O165" s="329">
        <f t="shared" si="43"/>
        <v>0.34600276156731974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4382145.1999999993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4382145.1999999993</v>
      </c>
      <c r="G166" s="166">
        <f t="shared" si="57"/>
        <v>-59448</v>
      </c>
      <c r="H166" s="166">
        <f t="shared" si="57"/>
        <v>74275</v>
      </c>
      <c r="I166" s="166">
        <f t="shared" si="57"/>
        <v>4396972.1999999993</v>
      </c>
      <c r="J166" s="167">
        <f t="shared" si="55"/>
        <v>0.38763806662381922</v>
      </c>
      <c r="K166" s="458"/>
      <c r="L166" s="163"/>
      <c r="M166" s="163"/>
      <c r="O166" s="329">
        <f>I166/I$233</f>
        <v>114.55221446436013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375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387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'[69]Sch C'!D175</f>
        <v>0</v>
      </c>
      <c r="D169" s="480">
        <f>'[69]Sch C'!F175</f>
        <v>0</v>
      </c>
      <c r="E169" s="480">
        <f>+'[69]Sch C'!H175</f>
        <v>0</v>
      </c>
      <c r="F169" s="166">
        <f t="shared" ref="F169:F201" si="58">C169+D169+E169</f>
        <v>0</v>
      </c>
      <c r="G169" s="626"/>
      <c r="H169" s="372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'[69]Sch C'!D176</f>
        <v>0</v>
      </c>
      <c r="D170" s="480">
        <f>'[69]Sch C'!F176</f>
        <v>0</v>
      </c>
      <c r="E170" s="480">
        <f>+'[69]Sch C'!H176</f>
        <v>0</v>
      </c>
      <c r="F170" s="166">
        <f t="shared" si="58"/>
        <v>0</v>
      </c>
      <c r="G170" s="626"/>
      <c r="H170" s="372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'[69]Sch C'!D177</f>
        <v>607179.72</v>
      </c>
      <c r="D171" s="480">
        <f>'[69]Sch C'!F177</f>
        <v>0</v>
      </c>
      <c r="E171" s="480">
        <f>+'[69]Sch C'!H177</f>
        <v>0</v>
      </c>
      <c r="F171" s="166">
        <f t="shared" si="58"/>
        <v>607179.72</v>
      </c>
      <c r="G171" s="626"/>
      <c r="H171" s="372"/>
      <c r="I171" s="166">
        <f t="shared" si="59"/>
        <v>607179.72</v>
      </c>
      <c r="J171" s="167">
        <f t="shared" si="60"/>
        <v>5.3529101856498416E-2</v>
      </c>
      <c r="K171" s="468"/>
      <c r="L171" s="176">
        <v>16205.37</v>
      </c>
      <c r="M171" s="176">
        <v>17070.77</v>
      </c>
      <c r="N171" s="208"/>
      <c r="O171" s="329">
        <f t="shared" si="61"/>
        <v>15.818562942892871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'[69]Sch C'!D178</f>
        <v>136124.66000000003</v>
      </c>
      <c r="D172" s="480">
        <f>'[69]Sch C'!F178</f>
        <v>0</v>
      </c>
      <c r="E172" s="480">
        <f>+'[69]Sch C'!H178</f>
        <v>0</v>
      </c>
      <c r="F172" s="166">
        <f t="shared" si="58"/>
        <v>136124.66000000003</v>
      </c>
      <c r="G172" s="626">
        <v>-11631</v>
      </c>
      <c r="H172" s="372"/>
      <c r="I172" s="166">
        <f t="shared" si="59"/>
        <v>124493.66000000003</v>
      </c>
      <c r="J172" s="167">
        <f t="shared" si="60"/>
        <v>1.0975389307515548E-2</v>
      </c>
      <c r="K172" s="469"/>
      <c r="L172" s="212"/>
      <c r="M172" s="212"/>
      <c r="N172" s="208"/>
      <c r="O172" s="329">
        <f t="shared" si="61"/>
        <v>3.2433738015839944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'[69]Sch C'!D179</f>
        <v>114841.65000000001</v>
      </c>
      <c r="D173" s="480">
        <f>'[69]Sch C'!F179</f>
        <v>0</v>
      </c>
      <c r="E173" s="480">
        <f>+'[69]Sch C'!H179</f>
        <v>0</v>
      </c>
      <c r="F173" s="166">
        <f t="shared" si="58"/>
        <v>114841.65000000001</v>
      </c>
      <c r="G173" s="626"/>
      <c r="H173" s="372"/>
      <c r="I173" s="166">
        <f t="shared" si="59"/>
        <v>114841.65000000001</v>
      </c>
      <c r="J173" s="167">
        <f t="shared" si="60"/>
        <v>1.0124465916316083E-2</v>
      </c>
      <c r="K173" s="468"/>
      <c r="L173" s="176">
        <v>3284.6371428571424</v>
      </c>
      <c r="M173" s="176">
        <v>3440.1371428571424</v>
      </c>
      <c r="N173" s="208"/>
      <c r="O173" s="329">
        <f t="shared" si="61"/>
        <v>2.9919145998332639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'[69]Sch C'!D180</f>
        <v>18388.129999999997</v>
      </c>
      <c r="D174" s="480">
        <f>'[69]Sch C'!F180</f>
        <v>0</v>
      </c>
      <c r="E174" s="480">
        <f>+'[69]Sch C'!H180</f>
        <v>0</v>
      </c>
      <c r="F174" s="166">
        <f t="shared" si="58"/>
        <v>18388.129999999997</v>
      </c>
      <c r="G174" s="626">
        <v>-2198</v>
      </c>
      <c r="H174" s="372"/>
      <c r="I174" s="166">
        <f t="shared" si="59"/>
        <v>16190.129999999997</v>
      </c>
      <c r="J174" s="167">
        <f t="shared" si="60"/>
        <v>1.4273255335997563E-3</v>
      </c>
      <c r="K174" s="469"/>
      <c r="L174" s="212"/>
      <c r="M174" s="212"/>
      <c r="N174" s="208"/>
      <c r="O174" s="329">
        <f t="shared" si="61"/>
        <v>0.42179371613172151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'[69]Sch C'!D181</f>
        <v>0</v>
      </c>
      <c r="D175" s="480">
        <f>'[69]Sch C'!F181</f>
        <v>0</v>
      </c>
      <c r="E175" s="480">
        <f>+'[69]Sch C'!H181</f>
        <v>0</v>
      </c>
      <c r="F175" s="166">
        <f t="shared" si="58"/>
        <v>0</v>
      </c>
      <c r="G175" s="626"/>
      <c r="H175" s="372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'[69]Sch C'!D182</f>
        <v>0</v>
      </c>
      <c r="D176" s="480">
        <f>'[69]Sch C'!F182</f>
        <v>0</v>
      </c>
      <c r="E176" s="480">
        <f>+'[69]Sch C'!H182</f>
        <v>0</v>
      </c>
      <c r="F176" s="166">
        <f t="shared" si="58"/>
        <v>0</v>
      </c>
      <c r="G176" s="626"/>
      <c r="H176" s="372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'[69]Sch C'!D183</f>
        <v>185211.88999999998</v>
      </c>
      <c r="D177" s="480">
        <f>'[69]Sch C'!F183</f>
        <v>0</v>
      </c>
      <c r="E177" s="480">
        <f>+'[69]Sch C'!H183</f>
        <v>0</v>
      </c>
      <c r="F177" s="166">
        <f t="shared" si="58"/>
        <v>185211.88999999998</v>
      </c>
      <c r="G177" s="626"/>
      <c r="H177" s="372"/>
      <c r="I177" s="166">
        <f t="shared" si="59"/>
        <v>185211.88999999998</v>
      </c>
      <c r="J177" s="167">
        <f t="shared" si="60"/>
        <v>1.6328322238503914E-2</v>
      </c>
      <c r="K177" s="468"/>
      <c r="L177" s="176">
        <v>6487.5064285714288</v>
      </c>
      <c r="M177" s="176">
        <v>7192.2564285714288</v>
      </c>
      <c r="N177" s="208"/>
      <c r="O177" s="329">
        <f t="shared" si="61"/>
        <v>4.8252368174239262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'[69]Sch C'!D184</f>
        <v>60889.659999999996</v>
      </c>
      <c r="D178" s="480">
        <f>'[69]Sch C'!F184</f>
        <v>0</v>
      </c>
      <c r="E178" s="480">
        <f>+'[69]Sch C'!H184</f>
        <v>0</v>
      </c>
      <c r="F178" s="166">
        <f t="shared" si="58"/>
        <v>60889.659999999996</v>
      </c>
      <c r="G178" s="626">
        <v>-3556</v>
      </c>
      <c r="H178" s="372"/>
      <c r="I178" s="166">
        <f t="shared" si="59"/>
        <v>57333.659999999996</v>
      </c>
      <c r="J178" s="167">
        <f t="shared" si="60"/>
        <v>5.05454847198429E-3</v>
      </c>
      <c r="K178" s="469"/>
      <c r="L178" s="212"/>
      <c r="M178" s="212"/>
      <c r="N178" s="208"/>
      <c r="O178" s="329">
        <f t="shared" si="61"/>
        <v>1.4936864318466025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'[69]Sch C'!D185</f>
        <v>0</v>
      </c>
      <c r="D179" s="480">
        <f>'[69]Sch C'!F185</f>
        <v>0</v>
      </c>
      <c r="E179" s="480">
        <f>+'[69]Sch C'!H185</f>
        <v>0</v>
      </c>
      <c r="F179" s="166">
        <f t="shared" si="58"/>
        <v>0</v>
      </c>
      <c r="G179" s="626"/>
      <c r="H179" s="372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'[69]Sch C'!D186</f>
        <v>0</v>
      </c>
      <c r="D180" s="480">
        <f>'[69]Sch C'!F186</f>
        <v>0</v>
      </c>
      <c r="E180" s="480">
        <f>+'[69]Sch C'!H186</f>
        <v>0</v>
      </c>
      <c r="F180" s="166">
        <f t="shared" si="58"/>
        <v>0</v>
      </c>
      <c r="G180" s="626"/>
      <c r="H180" s="372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'[69]Sch C'!D187</f>
        <v>0</v>
      </c>
      <c r="D181" s="480">
        <f>'[69]Sch C'!F187</f>
        <v>0</v>
      </c>
      <c r="E181" s="480">
        <f>+'[69]Sch C'!H187</f>
        <v>0</v>
      </c>
      <c r="F181" s="166">
        <f t="shared" si="58"/>
        <v>0</v>
      </c>
      <c r="G181" s="626"/>
      <c r="H181" s="372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'[69]Sch C'!D188</f>
        <v>508.83000000000004</v>
      </c>
      <c r="D182" s="480">
        <f>'[69]Sch C'!F188</f>
        <v>0</v>
      </c>
      <c r="E182" s="480">
        <f>+'[69]Sch C'!H188</f>
        <v>0</v>
      </c>
      <c r="F182" s="166">
        <f t="shared" si="58"/>
        <v>508.83000000000004</v>
      </c>
      <c r="G182" s="626"/>
      <c r="H182" s="372"/>
      <c r="I182" s="166">
        <f t="shared" si="59"/>
        <v>508.83000000000004</v>
      </c>
      <c r="J182" s="167">
        <f t="shared" si="60"/>
        <v>4.4858568230246713E-5</v>
      </c>
      <c r="K182" s="458"/>
      <c r="L182" s="213"/>
      <c r="M182" s="208"/>
      <c r="N182" s="210"/>
      <c r="O182" s="329">
        <f t="shared" si="61"/>
        <v>1.3256304710295957E-2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'[69]Sch C'!D189</f>
        <v>11829.54</v>
      </c>
      <c r="D183" s="480">
        <f>'[69]Sch C'!F189</f>
        <v>0</v>
      </c>
      <c r="E183" s="480">
        <f>+'[69]Sch C'!H189</f>
        <v>0</v>
      </c>
      <c r="F183" s="166">
        <f t="shared" si="58"/>
        <v>11829.54</v>
      </c>
      <c r="G183" s="626"/>
      <c r="H183" s="372"/>
      <c r="I183" s="166">
        <f t="shared" si="59"/>
        <v>11829.54</v>
      </c>
      <c r="J183" s="167">
        <f t="shared" si="60"/>
        <v>1.0428949299813939E-3</v>
      </c>
      <c r="K183" s="458"/>
      <c r="L183" s="213"/>
      <c r="M183" s="208"/>
      <c r="N183" s="210"/>
      <c r="O183" s="329">
        <f t="shared" si="61"/>
        <v>0.30818934972905382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'[69]Sch C'!D190</f>
        <v>0</v>
      </c>
      <c r="D184" s="480">
        <f>'[69]Sch C'!F190</f>
        <v>0</v>
      </c>
      <c r="E184" s="480">
        <f>+'[69]Sch C'!H190</f>
        <v>0</v>
      </c>
      <c r="F184" s="166">
        <f t="shared" si="58"/>
        <v>0</v>
      </c>
      <c r="G184" s="626"/>
      <c r="H184" s="372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'[69]Sch C'!D191</f>
        <v>4095.76</v>
      </c>
      <c r="D185" s="480">
        <f>'[69]Sch C'!F191</f>
        <v>0</v>
      </c>
      <c r="E185" s="480">
        <f>+'[69]Sch C'!H191</f>
        <v>0</v>
      </c>
      <c r="F185" s="166">
        <f t="shared" si="58"/>
        <v>4095.76</v>
      </c>
      <c r="G185" s="626"/>
      <c r="H185" s="372"/>
      <c r="I185" s="166">
        <f t="shared" si="59"/>
        <v>4095.76</v>
      </c>
      <c r="J185" s="167">
        <f t="shared" si="60"/>
        <v>3.6108313074055239E-4</v>
      </c>
      <c r="K185" s="458"/>
      <c r="L185" s="213"/>
      <c r="M185" s="208"/>
      <c r="N185" s="210"/>
      <c r="O185" s="329">
        <f t="shared" si="61"/>
        <v>0.10670487703209672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'[69]Sch C'!D192</f>
        <v>48785.38</v>
      </c>
      <c r="D186" s="480">
        <f>'[69]Sch C'!F192+292</f>
        <v>0</v>
      </c>
      <c r="E186" s="480">
        <f>+'[69]Sch C'!H192</f>
        <v>0</v>
      </c>
      <c r="F186" s="166">
        <f t="shared" si="58"/>
        <v>48785.38</v>
      </c>
      <c r="G186" s="626"/>
      <c r="H186" s="480">
        <v>-292</v>
      </c>
      <c r="I186" s="166">
        <f t="shared" si="59"/>
        <v>48493.38</v>
      </c>
      <c r="J186" s="167">
        <f t="shared" si="60"/>
        <v>4.2751873817292235E-3</v>
      </c>
      <c r="K186" s="458"/>
      <c r="L186" s="213"/>
      <c r="M186" s="208"/>
      <c r="N186" s="210"/>
      <c r="O186" s="329">
        <f t="shared" si="61"/>
        <v>1.2633748436848686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'[69]Sch C'!D193</f>
        <v>0</v>
      </c>
      <c r="D187" s="480">
        <f>'[69]Sch C'!F193</f>
        <v>0</v>
      </c>
      <c r="E187" s="480">
        <f>+'[69]Sch C'!H193</f>
        <v>0</v>
      </c>
      <c r="F187" s="166">
        <f t="shared" si="58"/>
        <v>0</v>
      </c>
      <c r="G187" s="626"/>
      <c r="H187" s="372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'[69]Sch C'!D194</f>
        <v>0</v>
      </c>
      <c r="D188" s="480">
        <f>'[69]Sch C'!F194-22994</f>
        <v>0</v>
      </c>
      <c r="E188" s="480">
        <f>+'[69]Sch C'!H194</f>
        <v>0</v>
      </c>
      <c r="F188" s="166">
        <f t="shared" si="58"/>
        <v>0</v>
      </c>
      <c r="G188" s="626"/>
      <c r="H188" s="480">
        <v>22994</v>
      </c>
      <c r="I188" s="166">
        <f t="shared" si="59"/>
        <v>22994</v>
      </c>
      <c r="J188" s="167">
        <f t="shared" si="60"/>
        <v>2.0271562562865649E-3</v>
      </c>
      <c r="K188" s="458"/>
      <c r="L188" s="213"/>
      <c r="M188" s="208"/>
      <c r="O188" s="329">
        <f t="shared" si="61"/>
        <v>0.59905168820341814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'[69]Sch C'!D195</f>
        <v>0</v>
      </c>
      <c r="D189" s="480">
        <f>'[69]Sch C'!F195</f>
        <v>0</v>
      </c>
      <c r="E189" s="480">
        <f>+'[69]Sch C'!H195</f>
        <v>0</v>
      </c>
      <c r="F189" s="166">
        <f t="shared" si="58"/>
        <v>0</v>
      </c>
      <c r="G189" s="626"/>
      <c r="H189" s="372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'[69]Sch C'!D196</f>
        <v>0</v>
      </c>
      <c r="D190" s="480">
        <f>'[69]Sch C'!F196</f>
        <v>0</v>
      </c>
      <c r="E190" s="480">
        <f>+'[69]Sch C'!H196</f>
        <v>0</v>
      </c>
      <c r="F190" s="166">
        <f t="shared" si="58"/>
        <v>0</v>
      </c>
      <c r="G190" s="626"/>
      <c r="H190" s="372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'[69]Sch C'!D197</f>
        <v>0</v>
      </c>
      <c r="D191" s="480">
        <f>'[69]Sch C'!F197</f>
        <v>0</v>
      </c>
      <c r="E191" s="480">
        <f>+'[69]Sch C'!H197</f>
        <v>0</v>
      </c>
      <c r="F191" s="166">
        <f t="shared" si="58"/>
        <v>0</v>
      </c>
      <c r="G191" s="626"/>
      <c r="H191" s="372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'[69]Sch C'!D198</f>
        <v>0</v>
      </c>
      <c r="D192" s="480">
        <f>'[69]Sch C'!F198</f>
        <v>0</v>
      </c>
      <c r="E192" s="480">
        <f>+'[69]Sch C'!H198</f>
        <v>0</v>
      </c>
      <c r="F192" s="166">
        <f t="shared" si="58"/>
        <v>0</v>
      </c>
      <c r="G192" s="626"/>
      <c r="H192" s="372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'[69]Sch C'!D199</f>
        <v>0</v>
      </c>
      <c r="D193" s="480">
        <f>'[69]Sch C'!F199</f>
        <v>0</v>
      </c>
      <c r="E193" s="480">
        <f>+'[69]Sch C'!H199</f>
        <v>0</v>
      </c>
      <c r="F193" s="166">
        <f t="shared" si="58"/>
        <v>0</v>
      </c>
      <c r="G193" s="626"/>
      <c r="H193" s="372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'[69]Sch C'!D200</f>
        <v>0</v>
      </c>
      <c r="D194" s="480">
        <f>'[69]Sch C'!F200</f>
        <v>0</v>
      </c>
      <c r="E194" s="480">
        <f>+'[69]Sch C'!H200</f>
        <v>0</v>
      </c>
      <c r="F194" s="166">
        <f t="shared" si="58"/>
        <v>0</v>
      </c>
      <c r="G194" s="626"/>
      <c r="H194" s="372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'[69]Sch C'!D201</f>
        <v>0</v>
      </c>
      <c r="D195" s="480">
        <f>'[69]Sch C'!F201</f>
        <v>0</v>
      </c>
      <c r="E195" s="480">
        <f>+'[69]Sch C'!H201</f>
        <v>0</v>
      </c>
      <c r="F195" s="166">
        <f t="shared" si="58"/>
        <v>0</v>
      </c>
      <c r="G195" s="626"/>
      <c r="H195" s="372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'[69]Sch C'!D202</f>
        <v>0</v>
      </c>
      <c r="D196" s="480">
        <f>'[69]Sch C'!F202</f>
        <v>0</v>
      </c>
      <c r="E196" s="480">
        <f>+'[69]Sch C'!H202</f>
        <v>0</v>
      </c>
      <c r="F196" s="166">
        <f t="shared" si="58"/>
        <v>0</v>
      </c>
      <c r="G196" s="626"/>
      <c r="H196" s="372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'[69]Sch C'!D203</f>
        <v>31660.750000000004</v>
      </c>
      <c r="D197" s="480">
        <f>'[69]Sch C'!F203</f>
        <v>0</v>
      </c>
      <c r="E197" s="480">
        <f>+'[69]Sch C'!H203</f>
        <v>0</v>
      </c>
      <c r="F197" s="166">
        <f t="shared" si="58"/>
        <v>31660.750000000004</v>
      </c>
      <c r="G197" s="626"/>
      <c r="H197" s="372"/>
      <c r="I197" s="166">
        <f t="shared" si="59"/>
        <v>31660.750000000004</v>
      </c>
      <c r="J197" s="167">
        <f t="shared" si="60"/>
        <v>2.7912189023756137E-3</v>
      </c>
      <c r="K197" s="458"/>
      <c r="L197" s="213"/>
      <c r="M197" s="208"/>
      <c r="O197" s="329">
        <f t="shared" si="61"/>
        <v>0.8248423822426012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'[69]Sch C'!D204</f>
        <v>0</v>
      </c>
      <c r="D198" s="480">
        <f>'[69]Sch C'!F204</f>
        <v>0</v>
      </c>
      <c r="E198" s="480">
        <f>+'[69]Sch C'!H204</f>
        <v>0</v>
      </c>
      <c r="F198" s="166">
        <f t="shared" si="58"/>
        <v>0</v>
      </c>
      <c r="G198" s="626"/>
      <c r="H198" s="372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'[69]Sch C'!D205</f>
        <v>322432.29999999993</v>
      </c>
      <c r="D199" s="480">
        <f>'[69]Sch C'!F205</f>
        <v>0</v>
      </c>
      <c r="E199" s="480">
        <f>+'[69]Sch C'!H205</f>
        <v>0</v>
      </c>
      <c r="F199" s="166">
        <f t="shared" si="58"/>
        <v>322432.29999999993</v>
      </c>
      <c r="G199" s="626"/>
      <c r="H199" s="372"/>
      <c r="I199" s="166">
        <f t="shared" si="59"/>
        <v>322432.29999999993</v>
      </c>
      <c r="J199" s="167">
        <f t="shared" si="60"/>
        <v>2.8425704713136751E-2</v>
      </c>
      <c r="K199" s="458"/>
      <c r="L199" s="213"/>
      <c r="M199" s="208"/>
      <c r="O199" s="329">
        <f t="shared" si="61"/>
        <v>8.4001745518966224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'[69]Sch C'!D206</f>
        <v>6820.1799999999994</v>
      </c>
      <c r="D200" s="480">
        <f>'[69]Sch C'!F206</f>
        <v>0</v>
      </c>
      <c r="E200" s="480">
        <f>+'[69]Sch C'!H206</f>
        <v>0</v>
      </c>
      <c r="F200" s="166">
        <f t="shared" si="58"/>
        <v>6820.1799999999994</v>
      </c>
      <c r="G200" s="626"/>
      <c r="H200" s="372"/>
      <c r="I200" s="166">
        <f t="shared" si="59"/>
        <v>6820.1799999999994</v>
      </c>
      <c r="J200" s="167">
        <f t="shared" si="60"/>
        <v>6.0126861598680103E-4</v>
      </c>
      <c r="K200" s="458"/>
      <c r="L200" s="213"/>
      <c r="M200" s="208"/>
      <c r="O200" s="329">
        <f t="shared" si="61"/>
        <v>0.1776828887036265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'[69]Sch C'!D207</f>
        <v>18958.5</v>
      </c>
      <c r="D201" s="480">
        <f>'[69]Sch C'!F207</f>
        <v>0</v>
      </c>
      <c r="E201" s="480">
        <f>+'[69]Sch C'!H207</f>
        <v>0</v>
      </c>
      <c r="F201" s="166">
        <f t="shared" si="58"/>
        <v>18958.5</v>
      </c>
      <c r="G201" s="626"/>
      <c r="H201" s="372"/>
      <c r="I201" s="166">
        <f t="shared" si="59"/>
        <v>18958.5</v>
      </c>
      <c r="J201" s="167">
        <f t="shared" si="60"/>
        <v>1.6713856608162494E-3</v>
      </c>
      <c r="K201" s="458"/>
      <c r="L201" s="213"/>
      <c r="M201" s="208"/>
      <c r="O201" s="329">
        <f t="shared" si="61"/>
        <v>0.49391673614005838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1567726.95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1567726.95</v>
      </c>
      <c r="G202" s="166">
        <f t="shared" si="63"/>
        <v>-17385</v>
      </c>
      <c r="H202" s="166">
        <f t="shared" si="63"/>
        <v>22702</v>
      </c>
      <c r="I202" s="166">
        <f t="shared" si="63"/>
        <v>1573043.95</v>
      </c>
      <c r="J202" s="167">
        <f>IF($I$213=0,0,I202/$I$213)</f>
        <v>0.1386799114837014</v>
      </c>
      <c r="K202" s="458"/>
      <c r="L202" s="163"/>
      <c r="M202" s="163"/>
      <c r="O202" s="329">
        <f>I202/I$233</f>
        <v>40.981761932055022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377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377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'[69]Sch C'!D211</f>
        <v>225647.22000000003</v>
      </c>
      <c r="D205" s="480">
        <f>'[69]Sch C'!F211</f>
        <v>0</v>
      </c>
      <c r="E205" s="480">
        <f>+'[69]Sch C'!H211</f>
        <v>0</v>
      </c>
      <c r="F205" s="166">
        <f t="shared" ref="F205:F210" si="64">C205+D205+E205</f>
        <v>225647.22000000003</v>
      </c>
      <c r="G205" s="626">
        <v>-64766</v>
      </c>
      <c r="H205" s="372"/>
      <c r="I205" s="166">
        <f t="shared" ref="I205:I210" si="65">F205+G205+H205</f>
        <v>160881.22000000003</v>
      </c>
      <c r="J205" s="167">
        <f t="shared" ref="J205:J211" si="66">IF($I$213=0,0,I205/$I$213)</f>
        <v>1.4183324851788087E-2</v>
      </c>
      <c r="K205" s="458"/>
      <c r="L205" s="176">
        <v>13812.195714285715</v>
      </c>
      <c r="M205" s="176">
        <v>14483.195714285715</v>
      </c>
      <c r="O205" s="329">
        <f t="shared" ref="O205:O210" si="67">I205/I$233</f>
        <v>4.1913615047936652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'[69]Sch C'!D212</f>
        <v>55508.639999999999</v>
      </c>
      <c r="D206" s="480">
        <f>'[69]Sch C'!F212</f>
        <v>0</v>
      </c>
      <c r="E206" s="480">
        <f>+'[69]Sch C'!H212</f>
        <v>0</v>
      </c>
      <c r="F206" s="166">
        <f t="shared" si="64"/>
        <v>55508.639999999999</v>
      </c>
      <c r="G206" s="626">
        <f>-4325-15546</f>
        <v>-19871</v>
      </c>
      <c r="H206" s="372"/>
      <c r="I206" s="166">
        <f t="shared" si="65"/>
        <v>35637.64</v>
      </c>
      <c r="J206" s="167">
        <f t="shared" si="66"/>
        <v>3.1418224269500012E-3</v>
      </c>
      <c r="K206" s="458"/>
      <c r="L206" s="163"/>
      <c r="M206" s="163"/>
      <c r="O206" s="329">
        <f t="shared" si="67"/>
        <v>0.92845039599833268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'[69]Sch C'!D213</f>
        <v>25371.010000000002</v>
      </c>
      <c r="D207" s="480">
        <f>'[69]Sch C'!F213</f>
        <v>0</v>
      </c>
      <c r="E207" s="480">
        <f>+'[69]Sch C'!H213</f>
        <v>0</v>
      </c>
      <c r="F207" s="166">
        <f t="shared" si="64"/>
        <v>25371.010000000002</v>
      </c>
      <c r="G207" s="626">
        <v>-2521</v>
      </c>
      <c r="H207" s="372"/>
      <c r="I207" s="166">
        <f t="shared" si="65"/>
        <v>22850.010000000002</v>
      </c>
      <c r="J207" s="167">
        <f t="shared" si="66"/>
        <v>2.0144620652218217E-3</v>
      </c>
      <c r="K207" s="458"/>
      <c r="L207" s="163"/>
      <c r="M207" s="163"/>
      <c r="O207" s="329">
        <f t="shared" si="67"/>
        <v>0.5953003855773239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'[69]Sch C'!D214</f>
        <v>0</v>
      </c>
      <c r="D208" s="480">
        <f>'[69]Sch C'!F214</f>
        <v>0</v>
      </c>
      <c r="E208" s="480">
        <f>+'[69]Sch C'!H214</f>
        <v>0</v>
      </c>
      <c r="F208" s="166">
        <f t="shared" si="64"/>
        <v>0</v>
      </c>
      <c r="G208" s="626"/>
      <c r="H208" s="372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'[69]Sch C'!D215</f>
        <v>0</v>
      </c>
      <c r="D209" s="480">
        <f>'[69]Sch C'!F215</f>
        <v>0</v>
      </c>
      <c r="E209" s="480">
        <f>+'[69]Sch C'!H215</f>
        <v>0</v>
      </c>
      <c r="F209" s="166">
        <f t="shared" si="64"/>
        <v>0</v>
      </c>
      <c r="G209" s="626"/>
      <c r="H209" s="372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'[69]Sch C'!D216</f>
        <v>60212.480000000003</v>
      </c>
      <c r="D210" s="480">
        <f>'[69]Sch C'!F216</f>
        <v>0</v>
      </c>
      <c r="E210" s="480">
        <f>+'[69]Sch C'!H216</f>
        <v>0</v>
      </c>
      <c r="F210" s="166">
        <f t="shared" si="64"/>
        <v>60212.480000000003</v>
      </c>
      <c r="G210" s="626">
        <f>-1105-32006</f>
        <v>-33111</v>
      </c>
      <c r="H210" s="372"/>
      <c r="I210" s="166">
        <f t="shared" si="65"/>
        <v>27101.480000000003</v>
      </c>
      <c r="J210" s="167">
        <f t="shared" si="66"/>
        <v>2.3892726248858492E-3</v>
      </c>
      <c r="K210" s="458" t="s">
        <v>488</v>
      </c>
      <c r="L210" s="163"/>
      <c r="M210" s="163"/>
      <c r="O210" s="329">
        <f t="shared" si="67"/>
        <v>0.70606190079199671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366739.35000000003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366739.35000000003</v>
      </c>
      <c r="G211" s="166">
        <f t="shared" si="69"/>
        <v>-120269</v>
      </c>
      <c r="H211" s="166">
        <f t="shared" si="69"/>
        <v>0</v>
      </c>
      <c r="I211" s="166">
        <f t="shared" si="69"/>
        <v>246470.35000000006</v>
      </c>
      <c r="J211" s="167">
        <f t="shared" si="66"/>
        <v>2.1728881968845763E-2</v>
      </c>
      <c r="K211" s="458"/>
      <c r="L211" s="163"/>
      <c r="M211" s="163"/>
      <c r="O211" s="329">
        <f>I211/I$233</f>
        <v>6.421174187161319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77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12614817.589999998</v>
      </c>
      <c r="D213" s="480">
        <f t="shared" si="70"/>
        <v>-241287.7237113064</v>
      </c>
      <c r="E213" s="480">
        <f t="shared" si="70"/>
        <v>-926992.03</v>
      </c>
      <c r="F213" s="166">
        <f t="shared" ref="F213:I213" si="71">SUM(F30:F211)/2</f>
        <v>11446537.836288692</v>
      </c>
      <c r="G213" s="166">
        <f t="shared" si="71"/>
        <v>-9331</v>
      </c>
      <c r="H213" s="166">
        <f t="shared" si="71"/>
        <v>-94223.320000000065</v>
      </c>
      <c r="I213" s="166">
        <f t="shared" si="71"/>
        <v>11342983.516288692</v>
      </c>
      <c r="J213" s="167">
        <f>IF($I$213=0,0,I213/$I$213)</f>
        <v>1</v>
      </c>
      <c r="K213" s="458"/>
      <c r="L213" s="176">
        <f>SUM(L30:L205)</f>
        <v>259026.19047619044</v>
      </c>
      <c r="M213" s="176">
        <f>SUM(M30:M205)</f>
        <v>274450.34047619044</v>
      </c>
      <c r="O213" s="329">
        <f>I213/I$233</f>
        <v>295.51332628930521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'[69]Sch C'!D221</f>
        <v>12614817.590000004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 ht="13.9" customHeight="1">
      <c r="A218" s="158"/>
      <c r="B218" s="220"/>
      <c r="C218" s="548"/>
      <c r="D218" s="221"/>
      <c r="E218" s="221"/>
      <c r="F218" s="221"/>
      <c r="G218" s="221"/>
      <c r="H218" s="499"/>
      <c r="I218" s="221"/>
      <c r="J218" s="161"/>
      <c r="K218" s="463"/>
      <c r="L218" s="163"/>
      <c r="M218" s="163"/>
    </row>
    <row r="219" spans="1:16" s="162" customFormat="1" ht="13.15" customHeight="1">
      <c r="A219" s="164"/>
      <c r="B219" s="218"/>
      <c r="C219" s="160"/>
      <c r="D219" s="160"/>
      <c r="E219" s="160"/>
      <c r="F219" s="160"/>
      <c r="G219" s="160"/>
      <c r="H219" s="499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-852773.02999998629</v>
      </c>
      <c r="D220" s="480">
        <f t="shared" si="72"/>
        <v>1324274.1937113067</v>
      </c>
      <c r="E220" s="480">
        <f t="shared" si="72"/>
        <v>926992.03</v>
      </c>
      <c r="F220" s="166">
        <f t="shared" ref="F220:I220" si="73">F26-F213</f>
        <v>1398493.1937113199</v>
      </c>
      <c r="G220" s="166">
        <f t="shared" si="73"/>
        <v>9331</v>
      </c>
      <c r="H220" s="166">
        <f t="shared" si="73"/>
        <v>94223.320000000065</v>
      </c>
      <c r="I220" s="166">
        <f t="shared" si="73"/>
        <v>1502047.5137113184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75"/>
      <c r="I221" s="188"/>
      <c r="K221" s="460"/>
      <c r="L221" s="163"/>
      <c r="M221" s="163"/>
    </row>
    <row r="222" spans="1:16" s="162" customFormat="1" ht="15.5">
      <c r="A222" s="158"/>
      <c r="B222" s="218"/>
      <c r="C222" s="188"/>
      <c r="D222" s="188"/>
      <c r="E222" s="188"/>
      <c r="F222" s="188"/>
      <c r="G222" s="188"/>
      <c r="H222"/>
      <c r="I222" s="188"/>
      <c r="K222" s="460"/>
      <c r="L222" s="163"/>
      <c r="M222" s="163"/>
    </row>
    <row r="223" spans="1:16" ht="15.5">
      <c r="A223" s="158"/>
      <c r="B223" s="222" t="s">
        <v>151</v>
      </c>
      <c r="C223" s="160"/>
      <c r="D223" s="160"/>
      <c r="E223" s="160"/>
      <c r="F223" s="160"/>
      <c r="G223" s="160"/>
      <c r="H223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'[69]Sch D'!C9</f>
        <v>19460</v>
      </c>
      <c r="D224" s="480"/>
      <c r="E224" s="480"/>
      <c r="F224" s="224">
        <f>C224+D224+E224</f>
        <v>19460</v>
      </c>
      <c r="G224" s="627"/>
      <c r="H224" s="384"/>
      <c r="I224" s="224">
        <f>F224+G224+H224</f>
        <v>19460</v>
      </c>
      <c r="J224" s="167">
        <f t="shared" ref="J224:J233" si="74">IF($I$233=0,0,I224/$I$233)</f>
        <v>0.5069820758649437</v>
      </c>
      <c r="K224" s="458"/>
      <c r="L224" s="163"/>
      <c r="M224" s="163"/>
    </row>
    <row r="225" spans="1:13">
      <c r="A225" s="158"/>
      <c r="B225" s="165" t="s">
        <v>201</v>
      </c>
      <c r="C225" s="504">
        <f>'[69]Sch D'!D9</f>
        <v>0</v>
      </c>
      <c r="D225" s="480"/>
      <c r="E225" s="480"/>
      <c r="F225" s="224">
        <f t="shared" ref="F225:F232" si="75">C225+D225+E225</f>
        <v>0</v>
      </c>
      <c r="G225" s="627"/>
      <c r="H225" s="384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'[69]Sch D'!E9</f>
        <v>3492</v>
      </c>
      <c r="D226" s="480"/>
      <c r="E226" s="480"/>
      <c r="F226" s="224">
        <f t="shared" si="75"/>
        <v>3492</v>
      </c>
      <c r="G226" s="627"/>
      <c r="H226" s="384"/>
      <c r="I226" s="224">
        <f t="shared" si="76"/>
        <v>3492</v>
      </c>
      <c r="J226" s="167">
        <f t="shared" si="74"/>
        <v>9.097540641934139E-2</v>
      </c>
      <c r="K226" s="458"/>
      <c r="L226" s="163"/>
      <c r="M226" s="163"/>
    </row>
    <row r="227" spans="1:13">
      <c r="A227" s="158"/>
      <c r="B227" s="194" t="s">
        <v>315</v>
      </c>
      <c r="C227" s="504">
        <f>'[69]Sch D'!F9</f>
        <v>2485</v>
      </c>
      <c r="D227" s="480"/>
      <c r="E227" s="480"/>
      <c r="F227" s="224">
        <f t="shared" si="75"/>
        <v>2485</v>
      </c>
      <c r="G227" s="627"/>
      <c r="H227" s="384"/>
      <c r="I227" s="224">
        <f t="shared" si="76"/>
        <v>2485</v>
      </c>
      <c r="J227" s="167">
        <f t="shared" si="74"/>
        <v>6.474051688203418E-2</v>
      </c>
      <c r="K227" s="458"/>
      <c r="L227" s="163"/>
      <c r="M227" s="163"/>
    </row>
    <row r="228" spans="1:13">
      <c r="A228" s="158"/>
      <c r="B228" s="165" t="s">
        <v>65</v>
      </c>
      <c r="C228" s="504">
        <f>'[69]Sch D'!G9</f>
        <v>5641</v>
      </c>
      <c r="D228" s="480"/>
      <c r="E228" s="480"/>
      <c r="F228" s="224">
        <f t="shared" si="75"/>
        <v>5641</v>
      </c>
      <c r="G228" s="627"/>
      <c r="H228" s="384"/>
      <c r="I228" s="224">
        <f t="shared" si="76"/>
        <v>5641</v>
      </c>
      <c r="J228" s="167">
        <f t="shared" si="74"/>
        <v>0.14696227594831179</v>
      </c>
      <c r="K228" s="458"/>
      <c r="L228" s="163"/>
      <c r="M228" s="163"/>
    </row>
    <row r="229" spans="1:13">
      <c r="A229" s="158"/>
      <c r="B229" s="165" t="s">
        <v>66</v>
      </c>
      <c r="C229" s="504">
        <f>'[69]Sch D'!H9</f>
        <v>4293</v>
      </c>
      <c r="D229" s="480"/>
      <c r="E229" s="480"/>
      <c r="F229" s="224">
        <f t="shared" si="75"/>
        <v>4293</v>
      </c>
      <c r="G229" s="627"/>
      <c r="H229" s="384"/>
      <c r="I229" s="224">
        <f t="shared" si="76"/>
        <v>4293</v>
      </c>
      <c r="J229" s="167">
        <f t="shared" si="74"/>
        <v>0.11184347644852022</v>
      </c>
      <c r="K229" s="458"/>
      <c r="L229" s="163"/>
      <c r="M229" s="163"/>
    </row>
    <row r="230" spans="1:13">
      <c r="A230" s="158"/>
      <c r="B230" s="165" t="s">
        <v>531</v>
      </c>
      <c r="C230" s="504">
        <f>'[69]Sch D'!I9</f>
        <v>2812</v>
      </c>
      <c r="D230" s="480"/>
      <c r="E230" s="480"/>
      <c r="F230" s="224">
        <f t="shared" si="75"/>
        <v>2812</v>
      </c>
      <c r="G230" s="627"/>
      <c r="H230" s="223"/>
      <c r="I230" s="224">
        <f t="shared" si="76"/>
        <v>2812</v>
      </c>
      <c r="J230" s="167">
        <f t="shared" si="74"/>
        <v>7.3259691538140895E-2</v>
      </c>
      <c r="K230" s="458"/>
      <c r="L230" s="163"/>
      <c r="M230" s="163"/>
    </row>
    <row r="231" spans="1:13">
      <c r="A231" s="158"/>
      <c r="B231" s="165" t="s">
        <v>532</v>
      </c>
      <c r="C231" s="504">
        <f>'[69]Sch D'!J9</f>
        <v>201</v>
      </c>
      <c r="D231" s="480"/>
      <c r="E231" s="480"/>
      <c r="F231" s="224">
        <f t="shared" si="75"/>
        <v>201</v>
      </c>
      <c r="G231" s="627"/>
      <c r="H231" s="223"/>
      <c r="I231" s="224">
        <f t="shared" si="76"/>
        <v>201</v>
      </c>
      <c r="J231" s="167">
        <f>IF($I$233=0,0,I231/$I$233)</f>
        <v>5.2365568987077947E-3</v>
      </c>
      <c r="K231" s="458"/>
      <c r="L231" s="163"/>
      <c r="M231" s="163"/>
    </row>
    <row r="232" spans="1:13">
      <c r="A232" s="158"/>
      <c r="B232" s="165" t="s">
        <v>170</v>
      </c>
      <c r="C232" s="504">
        <f>'[69]Sch D'!K9</f>
        <v>0</v>
      </c>
      <c r="D232" s="480"/>
      <c r="E232" s="480"/>
      <c r="F232" s="224">
        <f t="shared" si="75"/>
        <v>0</v>
      </c>
      <c r="G232" s="627"/>
      <c r="H232" s="384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38384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38384</v>
      </c>
      <c r="G233" s="380">
        <f t="shared" si="78"/>
        <v>0</v>
      </c>
      <c r="H233" s="380">
        <f t="shared" si="78"/>
        <v>0</v>
      </c>
      <c r="I233" s="226">
        <f t="shared" si="78"/>
        <v>38384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383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78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'[69]Sch D'!N22</f>
        <v>154</v>
      </c>
      <c r="D236" s="480"/>
      <c r="E236" s="480"/>
      <c r="F236" s="224">
        <f>C236+E236</f>
        <v>154</v>
      </c>
      <c r="G236" s="627"/>
      <c r="H236" s="384"/>
      <c r="I236" s="224">
        <f>F236+G236+H236</f>
        <v>154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'[69]Sch D'!N24</f>
        <v>154</v>
      </c>
      <c r="D237" s="480"/>
      <c r="E237" s="480"/>
      <c r="F237" s="224">
        <f>C237+E237</f>
        <v>154</v>
      </c>
      <c r="G237" s="627"/>
      <c r="H237" s="384"/>
      <c r="I237" s="224">
        <f>F237+G237+H237</f>
        <v>154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381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381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'[69]Sch D'!N28</f>
        <v>56210</v>
      </c>
      <c r="D240" s="427"/>
      <c r="E240" s="427"/>
      <c r="F240" s="223">
        <f>F236*F238</f>
        <v>56210</v>
      </c>
      <c r="G240"/>
      <c r="H240" s="381"/>
      <c r="I240" s="223">
        <f>I236*I238</f>
        <v>56210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'[69]Sch D'!N30</f>
        <v>0.68286781711439248</v>
      </c>
      <c r="D241" s="228"/>
      <c r="E241" s="228"/>
      <c r="F241" s="232">
        <f>F233/F240</f>
        <v>0.68286781711439248</v>
      </c>
      <c r="G241"/>
      <c r="H241" s="385"/>
      <c r="I241" s="232">
        <f>I233/I240</f>
        <v>0.68286781711439248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'[69]Sch D'!N32</f>
        <v>0.34620174346201743</v>
      </c>
      <c r="D242" s="228"/>
      <c r="E242" s="228"/>
      <c r="F242" s="232">
        <f>(F224+F225)/F240</f>
        <v>0.34620174346201743</v>
      </c>
      <c r="G242"/>
      <c r="H242" s="385"/>
      <c r="I242" s="232">
        <f>(I224+I225)/I240</f>
        <v>0.34620174346201743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'[69]Sch D'!N34</f>
        <v>0.5069820758649437</v>
      </c>
      <c r="D243" s="228"/>
      <c r="E243" s="228"/>
      <c r="F243" s="232">
        <f>(F242/F241)</f>
        <v>0.5069820758649437</v>
      </c>
      <c r="G243"/>
      <c r="H243" s="385"/>
      <c r="I243" s="232">
        <f>(I242/I241)</f>
        <v>0.5069820758649437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367" t="s">
        <v>321</v>
      </c>
      <c r="I246" s="480"/>
      <c r="K246" s="460"/>
    </row>
    <row r="247" spans="1:13">
      <c r="H247" s="367" t="s">
        <v>322</v>
      </c>
      <c r="I247" s="480"/>
      <c r="K247" s="460"/>
    </row>
    <row r="248" spans="1:13">
      <c r="H248" s="367" t="s">
        <v>323</v>
      </c>
      <c r="I248" s="480"/>
      <c r="K248" s="460"/>
    </row>
    <row r="249" spans="1:13">
      <c r="H249" s="367" t="s">
        <v>324</v>
      </c>
      <c r="I249" s="480"/>
      <c r="K249" s="460"/>
    </row>
    <row r="250" spans="1:13">
      <c r="H250" s="367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6">
    <tabColor rgb="FFE28CAB"/>
  </sheetPr>
  <dimension ref="A1:Q277"/>
  <sheetViews>
    <sheetView showGridLines="0" topLeftCell="A4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82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76.900000000000006" customHeight="1">
      <c r="A1" s="136" t="str">
        <f>'ALPINE MEADOW'!A1</f>
        <v>schedules revised Sept. 2018</v>
      </c>
      <c r="B1" s="137" t="s">
        <v>285</v>
      </c>
      <c r="C1" s="417"/>
      <c r="D1" s="417"/>
      <c r="E1" s="416"/>
      <c r="F1" s="416"/>
      <c r="G1" s="416"/>
      <c r="H1" s="421"/>
      <c r="I1" s="416"/>
      <c r="J1" s="416"/>
      <c r="K1" s="416"/>
    </row>
    <row r="2" spans="1:16" ht="23">
      <c r="B2" s="141" t="s">
        <v>178</v>
      </c>
      <c r="C2" s="234" t="s">
        <v>365</v>
      </c>
      <c r="D2" s="234"/>
      <c r="E2" s="234"/>
      <c r="F2"/>
      <c r="G2"/>
    </row>
    <row r="3" spans="1:16">
      <c r="A3" s="143"/>
      <c r="B3" s="138" t="s">
        <v>71</v>
      </c>
      <c r="C3" s="557">
        <f>'[70]Sch A Pg 1'!B39</f>
        <v>42917</v>
      </c>
      <c r="D3" s="620"/>
      <c r="E3" s="360"/>
      <c r="F3" s="144"/>
      <c r="G3" s="144"/>
    </row>
    <row r="4" spans="1:16">
      <c r="A4" s="143"/>
      <c r="B4" s="145" t="s">
        <v>72</v>
      </c>
      <c r="C4" s="557">
        <f>'[70]Sch A Pg 1'!G39</f>
        <v>43281</v>
      </c>
      <c r="D4" s="620"/>
      <c r="E4" s="360"/>
      <c r="F4" s="146"/>
      <c r="G4" s="146"/>
      <c r="I4" s="147"/>
    </row>
    <row r="5" spans="1:16" ht="69" customHeight="1">
      <c r="A5" s="143"/>
      <c r="B5" s="402"/>
      <c r="E5" s="142"/>
      <c r="H5" s="369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8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7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7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386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377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377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'[70]Sch B'!E10</f>
        <v>1778334.34</v>
      </c>
      <c r="D12" s="480">
        <f>'[70]Sch B'!G10</f>
        <v>0</v>
      </c>
      <c r="E12" s="480"/>
      <c r="F12" s="166">
        <f>C12+D12+E12</f>
        <v>1778334.34</v>
      </c>
      <c r="G12" s="626"/>
      <c r="H12" s="372"/>
      <c r="I12" s="166">
        <f>F12+G12+H12</f>
        <v>1778334.34</v>
      </c>
      <c r="J12" s="167">
        <f>IF($I$26=0,0,I12/$I$26)</f>
        <v>0.43910068622089643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'[70]Sch B'!E12</f>
        <v>0</v>
      </c>
      <c r="D13" s="480">
        <f>'[70]Sch B'!G12</f>
        <v>0</v>
      </c>
      <c r="E13" s="480"/>
      <c r="F13" s="166">
        <f t="shared" ref="F13:F25" si="0">C13+D13+E13</f>
        <v>0</v>
      </c>
      <c r="G13" s="626"/>
      <c r="H13" s="372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'[70]Sch B'!E13</f>
        <v>2756.13</v>
      </c>
      <c r="D14" s="480">
        <f>'[70]Sch B'!G13</f>
        <v>0</v>
      </c>
      <c r="E14" s="480"/>
      <c r="F14" s="166">
        <f t="shared" si="0"/>
        <v>2756.13</v>
      </c>
      <c r="G14" s="626"/>
      <c r="H14" s="372"/>
      <c r="I14" s="166">
        <f t="shared" si="1"/>
        <v>2756.13</v>
      </c>
      <c r="J14" s="167">
        <f>IF($I$26=0,0,I14/$I$26)</f>
        <v>6.8053489554388254E-4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'[70]Sch B'!E14</f>
        <v>54185.38</v>
      </c>
      <c r="D15" s="480">
        <f>'[70]Sch B'!G14</f>
        <v>0</v>
      </c>
      <c r="E15" s="480"/>
      <c r="F15" s="166">
        <f t="shared" si="0"/>
        <v>54185.38</v>
      </c>
      <c r="G15" s="626"/>
      <c r="H15" s="372"/>
      <c r="I15" s="166">
        <f t="shared" si="1"/>
        <v>54185.38</v>
      </c>
      <c r="J15" s="167">
        <f>IF($I$26=0,0,I15/$I$26)</f>
        <v>1.337928251508658E-2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'[70]Sch B'!E15</f>
        <v>1835275.85</v>
      </c>
      <c r="D16" s="480">
        <f>'[70]Sch B'!G15</f>
        <v>0</v>
      </c>
      <c r="E16" s="480"/>
      <c r="F16" s="166">
        <f t="shared" si="0"/>
        <v>1835275.85</v>
      </c>
      <c r="G16" s="626"/>
      <c r="H16" s="372"/>
      <c r="I16" s="166">
        <f>SUM(I12:I15)</f>
        <v>1835275.8499999999</v>
      </c>
      <c r="J16" s="167">
        <f t="shared" ref="J16:J26" si="2">IF($I$26=0,0,I16/$I$26)</f>
        <v>0.45316050363152682</v>
      </c>
      <c r="K16" s="458"/>
      <c r="L16" s="333" t="s">
        <v>325</v>
      </c>
      <c r="M16" s="334">
        <f>I26</f>
        <v>4049946.62</v>
      </c>
      <c r="O16" s="324">
        <f>IFERROR(I16/I224,0)</f>
        <v>189.73181536234878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'[70]Sch B'!E20</f>
        <v>0</v>
      </c>
      <c r="D17" s="480">
        <f>'[70]Sch B'!G20</f>
        <v>0</v>
      </c>
      <c r="E17" s="480"/>
      <c r="F17" s="166">
        <f t="shared" si="0"/>
        <v>0</v>
      </c>
      <c r="G17" s="626"/>
      <c r="H17" s="372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4093974.6500000008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'[70]Sch B'!E26</f>
        <v>1102025.05</v>
      </c>
      <c r="D18" s="480">
        <f>'[70]Sch B'!G26</f>
        <v>0</v>
      </c>
      <c r="E18" s="480"/>
      <c r="F18" s="166">
        <f t="shared" si="0"/>
        <v>1102025.05</v>
      </c>
      <c r="G18" s="626"/>
      <c r="H18" s="372"/>
      <c r="I18" s="166">
        <f t="shared" si="1"/>
        <v>1102025.05</v>
      </c>
      <c r="J18" s="167">
        <f t="shared" si="2"/>
        <v>0.27210853707498989</v>
      </c>
      <c r="K18" s="458"/>
      <c r="L18" s="335" t="s">
        <v>327</v>
      </c>
      <c r="M18" s="336">
        <f>I233</f>
        <v>17542</v>
      </c>
      <c r="O18" s="324">
        <f t="shared" si="3"/>
        <v>486.33056045895853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'[70]Sch B'!E32</f>
        <v>27261.1</v>
      </c>
      <c r="D19" s="480">
        <f>'[70]Sch B'!G32</f>
        <v>0</v>
      </c>
      <c r="E19" s="480"/>
      <c r="F19" s="166">
        <f t="shared" si="0"/>
        <v>27261.1</v>
      </c>
      <c r="G19" s="626"/>
      <c r="H19" s="372"/>
      <c r="I19" s="166">
        <f t="shared" si="1"/>
        <v>27261.1</v>
      </c>
      <c r="J19" s="170">
        <f t="shared" si="2"/>
        <v>6.7312245216703615E-3</v>
      </c>
      <c r="K19" s="464"/>
      <c r="L19" s="335" t="s">
        <v>328</v>
      </c>
      <c r="M19" s="336">
        <f>I236</f>
        <v>53</v>
      </c>
      <c r="O19" s="324">
        <f t="shared" si="3"/>
        <v>406.88208955223877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'[70]Sch B'!E37</f>
        <v>0</v>
      </c>
      <c r="D20" s="480">
        <f>'[70]Sch B'!G37</f>
        <v>0</v>
      </c>
      <c r="E20" s="480"/>
      <c r="F20" s="166">
        <f t="shared" si="0"/>
        <v>0</v>
      </c>
      <c r="G20" s="626"/>
      <c r="H20" s="372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19345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'[70]Sch B'!E42</f>
        <v>649624.12</v>
      </c>
      <c r="D21" s="480">
        <f>'[70]Sch B'!G42</f>
        <v>0</v>
      </c>
      <c r="E21" s="480"/>
      <c r="F21" s="166">
        <f t="shared" si="0"/>
        <v>649624.12</v>
      </c>
      <c r="G21" s="626"/>
      <c r="H21" s="372"/>
      <c r="I21" s="166">
        <f t="shared" si="1"/>
        <v>649624.12</v>
      </c>
      <c r="J21" s="167">
        <f t="shared" si="2"/>
        <v>0.16040313143682866</v>
      </c>
      <c r="K21" s="458"/>
      <c r="L21" s="337"/>
      <c r="M21" s="336"/>
      <c r="O21" s="324">
        <f t="shared" si="3"/>
        <v>211.39737064757566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'[70]Sch B'!E47</f>
        <v>417774.45</v>
      </c>
      <c r="D22" s="480">
        <f>'[70]Sch B'!G47</f>
        <v>0</v>
      </c>
      <c r="E22" s="480"/>
      <c r="F22" s="166">
        <f t="shared" si="0"/>
        <v>417774.45</v>
      </c>
      <c r="G22" s="626"/>
      <c r="H22" s="372"/>
      <c r="I22" s="166">
        <f t="shared" si="1"/>
        <v>417774.45</v>
      </c>
      <c r="J22" s="167">
        <f t="shared" si="2"/>
        <v>0.10315554480073616</v>
      </c>
      <c r="K22" s="458"/>
      <c r="L22" s="335" t="s">
        <v>148</v>
      </c>
      <c r="M22" s="336">
        <f>L213</f>
        <v>107864.95000000001</v>
      </c>
      <c r="O22" s="324">
        <f t="shared" si="3"/>
        <v>180.54211322385481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'[70]Sch B'!E52</f>
        <v>25650</v>
      </c>
      <c r="D23" s="480">
        <f>'[70]Sch B'!G52</f>
        <v>0</v>
      </c>
      <c r="E23" s="480"/>
      <c r="F23" s="166">
        <f t="shared" si="0"/>
        <v>25650</v>
      </c>
      <c r="G23" s="626"/>
      <c r="H23" s="372"/>
      <c r="I23" s="166">
        <f t="shared" si="1"/>
        <v>25650</v>
      </c>
      <c r="J23" s="167">
        <f t="shared" si="2"/>
        <v>6.3334168093306864E-3</v>
      </c>
      <c r="K23" s="458"/>
      <c r="L23" s="338" t="s">
        <v>233</v>
      </c>
      <c r="M23" s="339">
        <f>M213</f>
        <v>113410.70000000001</v>
      </c>
      <c r="O23" s="324">
        <f t="shared" si="3"/>
        <v>172.14765100671141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'[70]Sch B'!E57</f>
        <v>0</v>
      </c>
      <c r="D24" s="480">
        <f>'[70]Sch B'!G57</f>
        <v>0</v>
      </c>
      <c r="E24" s="480"/>
      <c r="F24" s="166">
        <f t="shared" si="0"/>
        <v>0</v>
      </c>
      <c r="G24" s="626"/>
      <c r="H24" s="372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'[70]Sch B'!E72</f>
        <v>-7663.95</v>
      </c>
      <c r="D25" s="480">
        <f>'[70]Sch B'!G72</f>
        <v>0</v>
      </c>
      <c r="E25" s="480"/>
      <c r="F25" s="166">
        <f t="shared" si="0"/>
        <v>-7663.95</v>
      </c>
      <c r="G25" s="626"/>
      <c r="H25" s="372"/>
      <c r="I25" s="166">
        <f t="shared" si="1"/>
        <v>-7663.95</v>
      </c>
      <c r="J25" s="167">
        <f t="shared" si="2"/>
        <v>-1.8923582750826479E-3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4049946.6200000006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4049946.6200000006</v>
      </c>
      <c r="G26" s="166">
        <f>SUM(G12:G25)</f>
        <v>0</v>
      </c>
      <c r="H26" s="166">
        <f>SUM(H12:H25)</f>
        <v>0</v>
      </c>
      <c r="I26" s="166">
        <f>SUM(I16:I25)</f>
        <v>4049946.62</v>
      </c>
      <c r="J26" s="167">
        <f t="shared" si="2"/>
        <v>1</v>
      </c>
      <c r="K26" s="458"/>
      <c r="L26" s="163"/>
      <c r="M26" s="163"/>
      <c r="O26" s="324">
        <f>IFERROR(I26/I233,0)</f>
        <v>230.87142971154944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86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386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G29" s="691" t="s">
        <v>670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'[70]Sch C'!D10</f>
        <v>73345.38</v>
      </c>
      <c r="D30" s="480">
        <f>'[70]Sch C'!F10</f>
        <v>0</v>
      </c>
      <c r="E30" s="480">
        <f>+'[70]Sch C'!H10</f>
        <v>0</v>
      </c>
      <c r="F30" s="166">
        <f t="shared" ref="F30:F65" si="5">C30+D30+E30</f>
        <v>73345.38</v>
      </c>
      <c r="G30" s="626"/>
      <c r="H30" s="372"/>
      <c r="I30" s="166">
        <f t="shared" ref="I30:I65" si="6">F30+G30+H30</f>
        <v>73345.38</v>
      </c>
      <c r="J30" s="167">
        <f>IF($I$213=0,0,I30/$I$213)</f>
        <v>1.7915445568281667E-2</v>
      </c>
      <c r="K30" s="457" t="s">
        <v>374</v>
      </c>
      <c r="L30" s="176">
        <v>2077.4</v>
      </c>
      <c r="M30" s="176">
        <v>2113.4</v>
      </c>
      <c r="O30" s="324">
        <f>I30/I$233</f>
        <v>4.181129859765135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'[70]Sch C'!D11</f>
        <v>0</v>
      </c>
      <c r="D31" s="480">
        <f>'[70]Sch C'!F11</f>
        <v>0</v>
      </c>
      <c r="E31" s="480">
        <f>+'[70]Sch C'!H11</f>
        <v>0</v>
      </c>
      <c r="F31" s="166">
        <f t="shared" si="5"/>
        <v>0</v>
      </c>
      <c r="G31" s="626"/>
      <c r="H31" s="372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'[70]Sch C'!D12</f>
        <v>56672</v>
      </c>
      <c r="D32" s="480">
        <f>'[70]Sch C'!F12</f>
        <v>0</v>
      </c>
      <c r="E32" s="480">
        <f>+'[70]Sch C'!H12</f>
        <v>0</v>
      </c>
      <c r="F32" s="166">
        <f t="shared" si="5"/>
        <v>56672</v>
      </c>
      <c r="G32" s="626"/>
      <c r="H32" s="372"/>
      <c r="I32" s="166">
        <f t="shared" si="6"/>
        <v>56672</v>
      </c>
      <c r="J32" s="167">
        <f t="shared" si="7"/>
        <v>1.3842782343559453E-2</v>
      </c>
      <c r="K32" s="458"/>
      <c r="L32" s="176">
        <v>3763</v>
      </c>
      <c r="M32" s="176">
        <v>4062.5</v>
      </c>
      <c r="O32" s="324">
        <f t="shared" si="8"/>
        <v>3.2306464485235433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'[70]Sch C'!D13</f>
        <v>339656.94</v>
      </c>
      <c r="D33" s="480">
        <f>'[70]Sch C'!F13</f>
        <v>0</v>
      </c>
      <c r="E33" s="480">
        <f>+'[70]Sch C'!H13</f>
        <v>0</v>
      </c>
      <c r="F33" s="166">
        <f t="shared" si="5"/>
        <v>339656.94</v>
      </c>
      <c r="G33" s="626">
        <v>-314376.56</v>
      </c>
      <c r="H33" s="372"/>
      <c r="I33" s="166">
        <f t="shared" si="6"/>
        <v>25280.380000000005</v>
      </c>
      <c r="J33" s="167">
        <f t="shared" si="7"/>
        <v>6.1750211374660075E-3</v>
      </c>
      <c r="K33" s="458"/>
      <c r="L33" s="163"/>
      <c r="M33" s="163"/>
      <c r="O33" s="324">
        <f t="shared" si="8"/>
        <v>1.4411344202485465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'[70]Sch C'!D14</f>
        <v>0</v>
      </c>
      <c r="D34" s="480">
        <f>'[70]Sch C'!F14</f>
        <v>0</v>
      </c>
      <c r="E34" s="480">
        <f>+'[70]Sch C'!H14</f>
        <v>0</v>
      </c>
      <c r="F34" s="166">
        <f t="shared" si="5"/>
        <v>0</v>
      </c>
      <c r="G34" s="626"/>
      <c r="H34" s="372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'[70]Sch C'!D15</f>
        <v>97812.65</v>
      </c>
      <c r="D35" s="480">
        <f>'[70]Sch C'!F15</f>
        <v>0</v>
      </c>
      <c r="E35" s="480">
        <f>+'[70]Sch C'!H15</f>
        <v>-97812.65</v>
      </c>
      <c r="F35" s="166">
        <f t="shared" si="5"/>
        <v>0</v>
      </c>
      <c r="G35" s="626"/>
      <c r="H35" s="372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'[70]Sch C'!D16</f>
        <v>0</v>
      </c>
      <c r="D36" s="480">
        <f>'[70]Sch C'!F16</f>
        <v>0</v>
      </c>
      <c r="E36" s="480">
        <f>+'[70]Sch C'!H16</f>
        <v>215550</v>
      </c>
      <c r="F36" s="166">
        <f t="shared" si="5"/>
        <v>215550</v>
      </c>
      <c r="G36" s="626"/>
      <c r="H36" s="372"/>
      <c r="I36" s="166">
        <f t="shared" si="6"/>
        <v>215550</v>
      </c>
      <c r="J36" s="167">
        <f t="shared" si="7"/>
        <v>5.2650545845465836E-2</v>
      </c>
      <c r="K36" s="458"/>
      <c r="L36" s="163"/>
      <c r="M36" s="163"/>
      <c r="O36" s="324">
        <f t="shared" si="8"/>
        <v>12.287652491164064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'[70]Sch C'!D17</f>
        <v>5916.55</v>
      </c>
      <c r="D37" s="480">
        <f>'[70]Sch C'!F17</f>
        <v>-5916.55</v>
      </c>
      <c r="E37" s="480">
        <f>+'[70]Sch C'!H17</f>
        <v>0</v>
      </c>
      <c r="F37" s="166">
        <f t="shared" si="5"/>
        <v>0</v>
      </c>
      <c r="G37" s="626"/>
      <c r="H37" s="372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'[70]Sch C'!D18</f>
        <v>7332.67</v>
      </c>
      <c r="D38" s="480">
        <f>'[70]Sch C'!F18</f>
        <v>0</v>
      </c>
      <c r="E38" s="480">
        <f>+'[70]Sch C'!H18</f>
        <v>0</v>
      </c>
      <c r="F38" s="166">
        <f t="shared" si="5"/>
        <v>7332.67</v>
      </c>
      <c r="G38" s="626"/>
      <c r="H38" s="372"/>
      <c r="I38" s="166">
        <f t="shared" si="6"/>
        <v>7332.67</v>
      </c>
      <c r="J38" s="167">
        <f t="shared" si="7"/>
        <v>1.7910882765236464E-3</v>
      </c>
      <c r="K38" s="458"/>
      <c r="L38" s="163"/>
      <c r="M38" s="163"/>
      <c r="O38" s="324">
        <f t="shared" si="8"/>
        <v>0.41800649868886103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'[70]Sch C'!D19</f>
        <v>9106.39</v>
      </c>
      <c r="D39" s="480">
        <f>'[70]Sch C'!F19</f>
        <v>0</v>
      </c>
      <c r="E39" s="480">
        <f>+'[70]Sch C'!H19</f>
        <v>0</v>
      </c>
      <c r="F39" s="166">
        <f t="shared" si="5"/>
        <v>9106.39</v>
      </c>
      <c r="G39" s="626"/>
      <c r="H39" s="372"/>
      <c r="I39" s="166">
        <f t="shared" si="6"/>
        <v>9106.39</v>
      </c>
      <c r="J39" s="167">
        <f t="shared" si="7"/>
        <v>2.2243396157814502E-3</v>
      </c>
      <c r="K39" s="458"/>
      <c r="L39" s="163"/>
      <c r="M39" s="163"/>
      <c r="O39" s="324">
        <f t="shared" si="8"/>
        <v>0.51911925664120395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'[70]Sch C'!D20</f>
        <v>6721.33</v>
      </c>
      <c r="D40" s="480">
        <f>'[70]Sch C'!F20</f>
        <v>0</v>
      </c>
      <c r="E40" s="480">
        <f>+'[70]Sch C'!H20</f>
        <v>0</v>
      </c>
      <c r="F40" s="166">
        <f t="shared" si="5"/>
        <v>6721.33</v>
      </c>
      <c r="G40" s="626"/>
      <c r="H40" s="372"/>
      <c r="I40" s="166">
        <f t="shared" si="6"/>
        <v>6721.33</v>
      </c>
      <c r="J40" s="167">
        <f t="shared" si="7"/>
        <v>1.6417615091974247E-3</v>
      </c>
      <c r="K40" s="458"/>
      <c r="L40" s="163"/>
      <c r="M40" s="163"/>
      <c r="O40" s="324">
        <f t="shared" si="8"/>
        <v>0.38315642458100557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'[70]Sch C'!D21</f>
        <v>22228.6</v>
      </c>
      <c r="D41" s="480">
        <f>'[70]Sch C'!F21</f>
        <v>0</v>
      </c>
      <c r="E41" s="480">
        <f>+'[70]Sch C'!H21</f>
        <v>0</v>
      </c>
      <c r="F41" s="166">
        <f t="shared" si="5"/>
        <v>22228.6</v>
      </c>
      <c r="G41" s="626"/>
      <c r="H41" s="372"/>
      <c r="I41" s="166">
        <f t="shared" si="6"/>
        <v>22228.6</v>
      </c>
      <c r="J41" s="167">
        <f t="shared" si="7"/>
        <v>5.4295890669474453E-3</v>
      </c>
      <c r="K41" s="458"/>
      <c r="L41" s="163"/>
      <c r="M41" s="163"/>
      <c r="O41" s="324">
        <f t="shared" si="8"/>
        <v>1.2671645194390604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'[70]Sch C'!D22</f>
        <v>0</v>
      </c>
      <c r="D42" s="480">
        <f>'[70]Sch C'!F22</f>
        <v>0</v>
      </c>
      <c r="E42" s="480">
        <f>+'[70]Sch C'!H22</f>
        <v>0</v>
      </c>
      <c r="F42" s="166">
        <f t="shared" si="5"/>
        <v>0</v>
      </c>
      <c r="G42" s="626"/>
      <c r="H42" s="372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'[70]Sch C'!D23</f>
        <v>5212.93</v>
      </c>
      <c r="D43" s="480">
        <f>'[70]Sch C'!F23</f>
        <v>0</v>
      </c>
      <c r="E43" s="480">
        <f>+'[70]Sch C'!H23</f>
        <v>0</v>
      </c>
      <c r="F43" s="166">
        <f t="shared" si="5"/>
        <v>5212.93</v>
      </c>
      <c r="G43" s="626"/>
      <c r="H43" s="372"/>
      <c r="I43" s="166">
        <f t="shared" si="6"/>
        <v>5212.93</v>
      </c>
      <c r="J43" s="167">
        <f t="shared" si="7"/>
        <v>1.2733176059114091E-3</v>
      </c>
      <c r="K43" s="458"/>
      <c r="L43" s="163"/>
      <c r="M43" s="163"/>
      <c r="O43" s="324">
        <f t="shared" si="8"/>
        <v>0.2971685098620454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'[70]Sch C'!D24</f>
        <v>27664.31</v>
      </c>
      <c r="D44" s="480">
        <f>'[70]Sch C'!F24</f>
        <v>0</v>
      </c>
      <c r="E44" s="480">
        <f>+'[70]Sch C'!H24</f>
        <v>-27664.31</v>
      </c>
      <c r="F44" s="166">
        <f t="shared" si="5"/>
        <v>0</v>
      </c>
      <c r="G44" s="626"/>
      <c r="H44" s="372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'[70]Sch C'!D25</f>
        <v>0</v>
      </c>
      <c r="D45" s="480">
        <f>'[70]Sch C'!F25</f>
        <v>0</v>
      </c>
      <c r="E45" s="480">
        <f>+'[70]Sch C'!H25</f>
        <v>0</v>
      </c>
      <c r="F45" s="166">
        <f t="shared" si="5"/>
        <v>0</v>
      </c>
      <c r="G45" s="626"/>
      <c r="H45" s="372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'[70]Sch C'!D26</f>
        <v>318062.58</v>
      </c>
      <c r="D46" s="480">
        <f>'[70]Sch C'!F26</f>
        <v>0</v>
      </c>
      <c r="E46" s="480">
        <f>+'[70]Sch C'!H26</f>
        <v>0</v>
      </c>
      <c r="F46" s="166">
        <f t="shared" si="5"/>
        <v>318062.58</v>
      </c>
      <c r="G46" s="626"/>
      <c r="H46" s="372"/>
      <c r="I46" s="166">
        <f t="shared" si="6"/>
        <v>318062.58</v>
      </c>
      <c r="J46" s="167">
        <f t="shared" si="7"/>
        <v>7.7690412665354425E-2</v>
      </c>
      <c r="K46" s="458"/>
      <c r="L46" s="163"/>
      <c r="M46" s="163"/>
      <c r="O46" s="324">
        <f t="shared" si="8"/>
        <v>18.13148899783377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'[70]Sch C'!D27</f>
        <v>0</v>
      </c>
      <c r="D47" s="480">
        <f>'[70]Sch C'!F27</f>
        <v>0</v>
      </c>
      <c r="E47" s="480">
        <f>+'[70]Sch C'!H27</f>
        <v>0</v>
      </c>
      <c r="F47" s="166">
        <f t="shared" si="5"/>
        <v>0</v>
      </c>
      <c r="G47" s="626"/>
      <c r="H47" s="372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'[70]Sch C'!D28</f>
        <v>0</v>
      </c>
      <c r="D48" s="480">
        <f>'[70]Sch C'!F28</f>
        <v>0</v>
      </c>
      <c r="E48" s="480">
        <f>+'[70]Sch C'!H28</f>
        <v>0</v>
      </c>
      <c r="F48" s="166">
        <f t="shared" si="5"/>
        <v>0</v>
      </c>
      <c r="G48" s="626"/>
      <c r="H48" s="372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'[70]Sch C'!D29</f>
        <v>44852.74</v>
      </c>
      <c r="D49" s="480">
        <f>'[70]Sch C'!F29</f>
        <v>-44852.74</v>
      </c>
      <c r="E49" s="480">
        <f>+'[70]Sch C'!H29</f>
        <v>0</v>
      </c>
      <c r="F49" s="166">
        <f t="shared" si="5"/>
        <v>0</v>
      </c>
      <c r="G49" s="626"/>
      <c r="H49" s="372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'[70]Sch C'!D30</f>
        <v>0</v>
      </c>
      <c r="D50" s="480">
        <f>'[70]Sch C'!F30</f>
        <v>0</v>
      </c>
      <c r="E50" s="480">
        <f>+'[70]Sch C'!H30</f>
        <v>0</v>
      </c>
      <c r="F50" s="166">
        <f t="shared" si="5"/>
        <v>0</v>
      </c>
      <c r="G50" s="626"/>
      <c r="H50" s="372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'[70]Sch C'!D31</f>
        <v>23606.19</v>
      </c>
      <c r="D51" s="480">
        <f>'[70]Sch C'!F31</f>
        <v>0</v>
      </c>
      <c r="E51" s="480">
        <f>+'[70]Sch C'!H31</f>
        <v>0</v>
      </c>
      <c r="F51" s="166">
        <f t="shared" si="5"/>
        <v>23606.19</v>
      </c>
      <c r="G51" s="626"/>
      <c r="H51" s="372"/>
      <c r="I51" s="166">
        <f t="shared" si="6"/>
        <v>23606.19</v>
      </c>
      <c r="J51" s="167">
        <f t="shared" si="7"/>
        <v>5.7660811358467975E-3</v>
      </c>
      <c r="K51" s="458"/>
      <c r="L51" s="163"/>
      <c r="M51" s="163"/>
      <c r="O51" s="324">
        <f t="shared" si="8"/>
        <v>1.3456954737202143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'[70]Sch C'!D32</f>
        <v>18070.599999999999</v>
      </c>
      <c r="D52" s="480">
        <f>'[70]Sch C'!F32</f>
        <v>0</v>
      </c>
      <c r="E52" s="480">
        <f>+'[70]Sch C'!H32</f>
        <v>0</v>
      </c>
      <c r="F52" s="166">
        <f t="shared" si="5"/>
        <v>18070.599999999999</v>
      </c>
      <c r="G52" s="626"/>
      <c r="H52" s="372"/>
      <c r="I52" s="166">
        <f t="shared" si="6"/>
        <v>18070.599999999999</v>
      </c>
      <c r="J52" s="167">
        <f t="shared" si="7"/>
        <v>4.4139501450015071E-3</v>
      </c>
      <c r="K52" s="458"/>
      <c r="L52" s="163"/>
      <c r="M52" s="163"/>
      <c r="O52" s="324">
        <f t="shared" si="8"/>
        <v>1.0301333941397788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'[70]Sch C'!D33</f>
        <v>0</v>
      </c>
      <c r="D53" s="480">
        <f>'[70]Sch C'!F33</f>
        <v>0</v>
      </c>
      <c r="E53" s="480">
        <f>+'[70]Sch C'!H33</f>
        <v>0</v>
      </c>
      <c r="F53" s="166">
        <f t="shared" si="5"/>
        <v>0</v>
      </c>
      <c r="G53" s="626"/>
      <c r="H53" s="372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'[70]Sch C'!D34</f>
        <v>0</v>
      </c>
      <c r="D54" s="480">
        <f>'[70]Sch C'!F34</f>
        <v>0</v>
      </c>
      <c r="E54" s="480">
        <f>+'[70]Sch C'!H34</f>
        <v>0</v>
      </c>
      <c r="F54" s="166">
        <f t="shared" si="5"/>
        <v>0</v>
      </c>
      <c r="G54" s="626"/>
      <c r="H54" s="372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'[70]Sch C'!D35</f>
        <v>0</v>
      </c>
      <c r="D55" s="480">
        <f>'[70]Sch C'!F35</f>
        <v>0</v>
      </c>
      <c r="E55" s="480">
        <f>+'[70]Sch C'!H35</f>
        <v>0</v>
      </c>
      <c r="F55" s="166">
        <f t="shared" si="5"/>
        <v>0</v>
      </c>
      <c r="G55" s="626"/>
      <c r="H55" s="372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'[70]Sch C'!D36</f>
        <v>50510.89</v>
      </c>
      <c r="D56" s="480">
        <f>'[70]Sch C'!F36</f>
        <v>0</v>
      </c>
      <c r="E56" s="480">
        <f>+'[70]Sch C'!H36</f>
        <v>0</v>
      </c>
      <c r="F56" s="166">
        <f t="shared" si="5"/>
        <v>50510.89</v>
      </c>
      <c r="G56" s="626"/>
      <c r="H56" s="372"/>
      <c r="I56" s="166">
        <f t="shared" si="6"/>
        <v>50510.89</v>
      </c>
      <c r="J56" s="167">
        <f t="shared" si="7"/>
        <v>1.2337860958665191E-2</v>
      </c>
      <c r="K56" s="458"/>
      <c r="L56" s="176">
        <v>3707.58</v>
      </c>
      <c r="M56" s="176">
        <v>4005.96</v>
      </c>
      <c r="O56" s="324">
        <f t="shared" si="8"/>
        <v>2.87942594915061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'[70]Sch C'!D37</f>
        <v>0</v>
      </c>
      <c r="D57" s="480">
        <f>'[70]Sch C'!F37</f>
        <v>0</v>
      </c>
      <c r="E57" s="480">
        <f>+'[70]Sch C'!H37</f>
        <v>0</v>
      </c>
      <c r="F57" s="166">
        <f t="shared" si="5"/>
        <v>0</v>
      </c>
      <c r="G57" s="626">
        <v>9821.26</v>
      </c>
      <c r="H57" s="372"/>
      <c r="I57" s="166">
        <f t="shared" si="6"/>
        <v>9821.26</v>
      </c>
      <c r="J57" s="167">
        <f t="shared" si="7"/>
        <v>2.3989547663662253E-3</v>
      </c>
      <c r="K57" s="457" t="s">
        <v>374</v>
      </c>
      <c r="L57" s="163"/>
      <c r="M57" s="163"/>
      <c r="O57" s="324">
        <f t="shared" si="8"/>
        <v>0.55987116634363243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'[70]Sch C'!D38</f>
        <v>612.20000000000005</v>
      </c>
      <c r="D58" s="480">
        <f>'[70]Sch C'!F38</f>
        <v>0</v>
      </c>
      <c r="E58" s="480">
        <f>+'[70]Sch C'!H38</f>
        <v>0</v>
      </c>
      <c r="F58" s="166">
        <f t="shared" si="5"/>
        <v>612.20000000000005</v>
      </c>
      <c r="G58" s="626"/>
      <c r="H58" s="372"/>
      <c r="I58" s="166">
        <f t="shared" si="6"/>
        <v>612.20000000000005</v>
      </c>
      <c r="J58" s="167">
        <f t="shared" si="7"/>
        <v>1.4953683213451258E-4</v>
      </c>
      <c r="K58" s="458"/>
      <c r="L58" s="163"/>
      <c r="M58" s="163"/>
      <c r="O58" s="324">
        <f t="shared" si="8"/>
        <v>3.4899099304526282E-2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'[70]Sch C'!D39</f>
        <v>10820.63</v>
      </c>
      <c r="D59" s="480">
        <f>'[70]Sch C'!F39</f>
        <v>0</v>
      </c>
      <c r="E59" s="480">
        <f>+'[70]Sch C'!H39</f>
        <v>0</v>
      </c>
      <c r="F59" s="166">
        <f t="shared" si="5"/>
        <v>10820.63</v>
      </c>
      <c r="G59" s="626"/>
      <c r="H59" s="372"/>
      <c r="I59" s="166">
        <f t="shared" si="6"/>
        <v>10820.63</v>
      </c>
      <c r="J59" s="167">
        <f t="shared" si="7"/>
        <v>2.6430622866704845E-3</v>
      </c>
      <c r="K59" s="458"/>
      <c r="L59" s="163"/>
      <c r="M59" s="163"/>
      <c r="O59" s="324">
        <f t="shared" si="8"/>
        <v>0.6168412951772887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'[70]Sch C'!D40</f>
        <v>1144.8599999999999</v>
      </c>
      <c r="D60" s="480">
        <f>'[70]Sch C'!F40</f>
        <v>-1144.8599999999999</v>
      </c>
      <c r="E60" s="480">
        <f>+'[70]Sch C'!H40</f>
        <v>0</v>
      </c>
      <c r="F60" s="166">
        <f t="shared" si="5"/>
        <v>0</v>
      </c>
      <c r="G60" s="626"/>
      <c r="H60" s="372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'[70]Sch C'!D41</f>
        <v>565.29999999999995</v>
      </c>
      <c r="D61" s="480">
        <f>'[70]Sch C'!F41</f>
        <v>0</v>
      </c>
      <c r="E61" s="480">
        <f>+'[70]Sch C'!H41</f>
        <v>0</v>
      </c>
      <c r="F61" s="166">
        <f t="shared" si="5"/>
        <v>565.29999999999995</v>
      </c>
      <c r="G61" s="626"/>
      <c r="H61" s="372"/>
      <c r="I61" s="166">
        <f t="shared" si="6"/>
        <v>565.29999999999995</v>
      </c>
      <c r="J61" s="167">
        <f t="shared" si="7"/>
        <v>1.3808097224050957E-4</v>
      </c>
      <c r="K61" s="458"/>
      <c r="L61" s="163"/>
      <c r="M61" s="163"/>
      <c r="O61" s="324">
        <f t="shared" si="8"/>
        <v>3.2225515904685892E-2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'[70]Sch C'!D42</f>
        <v>2093.7800000000002</v>
      </c>
      <c r="D62" s="480">
        <f>'[70]Sch C'!F42</f>
        <v>0</v>
      </c>
      <c r="E62" s="480">
        <f>+'[70]Sch C'!H42</f>
        <v>0</v>
      </c>
      <c r="F62" s="166">
        <f t="shared" si="5"/>
        <v>2093.7800000000002</v>
      </c>
      <c r="G62" s="626"/>
      <c r="H62" s="372"/>
      <c r="I62" s="166">
        <f t="shared" si="6"/>
        <v>2093.7800000000002</v>
      </c>
      <c r="J62" s="167">
        <f t="shared" si="7"/>
        <v>5.1142964453871243E-4</v>
      </c>
      <c r="K62" s="458"/>
      <c r="L62" s="163"/>
      <c r="M62" s="163"/>
      <c r="O62" s="324">
        <f t="shared" si="8"/>
        <v>0.11935811195986776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'[70]Sch C'!D43</f>
        <v>13655.9</v>
      </c>
      <c r="D63" s="480">
        <f>'[70]Sch C'!F43</f>
        <v>0</v>
      </c>
      <c r="E63" s="480">
        <f>+'[70]Sch C'!H43</f>
        <v>0</v>
      </c>
      <c r="F63" s="166">
        <f t="shared" si="5"/>
        <v>13655.9</v>
      </c>
      <c r="G63" s="626">
        <v>-13656</v>
      </c>
      <c r="H63" s="372"/>
      <c r="I63" s="166">
        <f t="shared" si="6"/>
        <v>-0.1000000000003638</v>
      </c>
      <c r="J63" s="167">
        <f t="shared" si="7"/>
        <v>-2.4426140499029171E-8</v>
      </c>
      <c r="K63" s="458" t="s">
        <v>664</v>
      </c>
      <c r="L63" s="163"/>
      <c r="M63" s="163"/>
      <c r="O63" s="324">
        <f t="shared" si="8"/>
        <v>-5.7006042640727283E-6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'[70]Sch C'!D44</f>
        <v>2004.81</v>
      </c>
      <c r="D64" s="480">
        <f>'[70]Sch C'!F44</f>
        <v>0</v>
      </c>
      <c r="E64" s="480">
        <f>+'[70]Sch C'!H44</f>
        <v>0</v>
      </c>
      <c r="F64" s="166">
        <f t="shared" si="5"/>
        <v>2004.81</v>
      </c>
      <c r="G64" s="626"/>
      <c r="H64" s="372"/>
      <c r="I64" s="166">
        <f t="shared" si="6"/>
        <v>2004.81</v>
      </c>
      <c r="J64" s="167">
        <f t="shared" si="7"/>
        <v>4.8969770733680521E-4</v>
      </c>
      <c r="K64" s="458"/>
      <c r="L64" s="163"/>
      <c r="M64" s="163"/>
      <c r="O64" s="324">
        <f t="shared" si="8"/>
        <v>0.11428628434614069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'[70]Sch C'!D45</f>
        <v>2286.14</v>
      </c>
      <c r="D65" s="480">
        <f>'[70]Sch C'!F45</f>
        <v>0</v>
      </c>
      <c r="E65" s="480">
        <f>+'[70]Sch C'!H45</f>
        <v>0</v>
      </c>
      <c r="F65" s="166">
        <f t="shared" si="5"/>
        <v>2286.14</v>
      </c>
      <c r="G65" s="626"/>
      <c r="H65" s="372"/>
      <c r="I65" s="166">
        <f t="shared" si="6"/>
        <v>2286.14</v>
      </c>
      <c r="J65" s="167">
        <f t="shared" si="7"/>
        <v>5.5841576840247396E-4</v>
      </c>
      <c r="K65" s="458"/>
      <c r="L65" s="163"/>
      <c r="M65" s="163"/>
      <c r="O65" s="324">
        <f t="shared" si="8"/>
        <v>0.13032379432219815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1139956.3699999999</v>
      </c>
      <c r="D66" s="480">
        <f t="shared" si="9"/>
        <v>-51914.15</v>
      </c>
      <c r="E66" s="480">
        <f t="shared" si="9"/>
        <v>90073.040000000008</v>
      </c>
      <c r="F66" s="166">
        <f t="shared" ref="F66:I66" si="10">SUM(F30:F65)</f>
        <v>1178115.2599999998</v>
      </c>
      <c r="G66" s="166">
        <f t="shared" si="10"/>
        <v>-318211.3</v>
      </c>
      <c r="H66" s="166">
        <f t="shared" si="10"/>
        <v>0</v>
      </c>
      <c r="I66" s="166">
        <f t="shared" si="10"/>
        <v>859903.96000000008</v>
      </c>
      <c r="J66" s="178">
        <f t="shared" si="7"/>
        <v>0.2100413494255515</v>
      </c>
      <c r="K66" s="465"/>
      <c r="L66" s="163"/>
      <c r="M66" s="163"/>
      <c r="O66" s="329">
        <f>I66/I$233</f>
        <v>49.019721810511918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377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377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'[70]Sch C'!D57</f>
        <v>571142.88</v>
      </c>
      <c r="D69" s="480">
        <f>'[70]Sch C'!F57</f>
        <v>0</v>
      </c>
      <c r="E69" s="480">
        <f>+'[70]Sch C'!H57</f>
        <v>0</v>
      </c>
      <c r="F69" s="166">
        <f>C69+D69+E69</f>
        <v>571142.88</v>
      </c>
      <c r="G69" s="626"/>
      <c r="H69" s="372"/>
      <c r="I69" s="166">
        <f>F69+G69+H69</f>
        <v>571142.88</v>
      </c>
      <c r="J69" s="167">
        <f t="shared" ref="J69:J84" si="11">IF($I$213=0,0,I69/$I$213)</f>
        <v>0.13950816231849406</v>
      </c>
      <c r="K69" s="458"/>
      <c r="L69" s="182"/>
      <c r="M69" s="163"/>
      <c r="O69" s="324">
        <f t="shared" ref="O69:O84" si="12">I69/I$233</f>
        <v>32.558595371109341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'[70]Sch C'!D58</f>
        <v>1472.4</v>
      </c>
      <c r="D70" s="480">
        <f>'[70]Sch C'!F58</f>
        <v>0</v>
      </c>
      <c r="E70" s="480">
        <f>+'[70]Sch C'!H58</f>
        <v>0</v>
      </c>
      <c r="F70" s="166">
        <f t="shared" ref="F70:F83" si="13">C70+D70+E70</f>
        <v>1472.4</v>
      </c>
      <c r="G70" s="626"/>
      <c r="H70" s="372"/>
      <c r="I70" s="166">
        <f t="shared" ref="I70:I83" si="14">F70+G70+H70</f>
        <v>1472.4</v>
      </c>
      <c r="J70" s="167">
        <f t="shared" si="11"/>
        <v>3.5965049270639715E-4</v>
      </c>
      <c r="K70" s="458"/>
      <c r="L70" s="182"/>
      <c r="M70" s="163"/>
      <c r="O70" s="324">
        <f t="shared" si="12"/>
        <v>8.3935697183901495E-2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'[70]Sch C'!D59</f>
        <v>0</v>
      </c>
      <c r="D71" s="480">
        <f>'[70]Sch C'!F59</f>
        <v>0</v>
      </c>
      <c r="E71" s="480">
        <f>+'[70]Sch C'!H59</f>
        <v>0</v>
      </c>
      <c r="F71" s="166">
        <f t="shared" si="13"/>
        <v>0</v>
      </c>
      <c r="G71" s="626"/>
      <c r="H71" s="372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'[70]Sch C'!D60</f>
        <v>28093.65</v>
      </c>
      <c r="D72" s="480">
        <f>'[70]Sch C'!F60</f>
        <v>0</v>
      </c>
      <c r="E72" s="480">
        <f>+'[70]Sch C'!H60</f>
        <v>0</v>
      </c>
      <c r="F72" s="166">
        <f t="shared" si="13"/>
        <v>28093.65</v>
      </c>
      <c r="G72" s="626"/>
      <c r="H72" s="372"/>
      <c r="I72" s="166">
        <f t="shared" si="14"/>
        <v>28093.65</v>
      </c>
      <c r="J72" s="167">
        <f t="shared" si="11"/>
        <v>6.862194420280545E-3</v>
      </c>
      <c r="K72" s="458"/>
      <c r="L72" s="185"/>
      <c r="M72" s="163"/>
      <c r="O72" s="324">
        <f t="shared" si="12"/>
        <v>1.6015078098278419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'[70]Sch C'!D61</f>
        <v>9136.84</v>
      </c>
      <c r="D73" s="480">
        <f>'[70]Sch C'!F61</f>
        <v>0</v>
      </c>
      <c r="E73" s="480">
        <f>+'[70]Sch C'!H61</f>
        <v>0</v>
      </c>
      <c r="F73" s="166">
        <f t="shared" si="13"/>
        <v>9136.84</v>
      </c>
      <c r="G73" s="626"/>
      <c r="H73" s="372"/>
      <c r="I73" s="166">
        <f t="shared" si="14"/>
        <v>9136.84</v>
      </c>
      <c r="J73" s="167">
        <f t="shared" si="11"/>
        <v>2.231777375563378E-3</v>
      </c>
      <c r="K73" s="458"/>
      <c r="L73" s="185"/>
      <c r="M73" s="163"/>
      <c r="O73" s="324">
        <f t="shared" si="12"/>
        <v>0.52085509063960778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'[70]Sch C'!D62</f>
        <v>7172.04</v>
      </c>
      <c r="D74" s="480">
        <f>'[70]Sch C'!F62</f>
        <v>0</v>
      </c>
      <c r="E74" s="480">
        <f>+'[70]Sch C'!H62</f>
        <v>0</v>
      </c>
      <c r="F74" s="166">
        <f t="shared" si="13"/>
        <v>7172.04</v>
      </c>
      <c r="G74" s="626"/>
      <c r="H74" s="372"/>
      <c r="I74" s="166">
        <f t="shared" si="14"/>
        <v>7172.04</v>
      </c>
      <c r="J74" s="167">
        <f t="shared" si="11"/>
        <v>1.7518525670401986E-3</v>
      </c>
      <c r="K74" s="458"/>
      <c r="L74" s="187"/>
      <c r="M74" s="163"/>
      <c r="O74" s="324">
        <f t="shared" si="12"/>
        <v>0.40884961805951431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'[70]Sch C'!D63</f>
        <v>0</v>
      </c>
      <c r="D75" s="480">
        <f>'[70]Sch C'!F63</f>
        <v>0</v>
      </c>
      <c r="E75" s="480">
        <f>+'[70]Sch C'!H63</f>
        <v>0</v>
      </c>
      <c r="F75" s="166">
        <f t="shared" si="13"/>
        <v>0</v>
      </c>
      <c r="G75" s="626"/>
      <c r="H75" s="372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'[70]Sch C'!D64</f>
        <v>0</v>
      </c>
      <c r="D76" s="480">
        <f>'[70]Sch C'!F64</f>
        <v>0</v>
      </c>
      <c r="E76" s="480">
        <f>+'[70]Sch C'!H64</f>
        <v>0</v>
      </c>
      <c r="F76" s="166">
        <f t="shared" si="13"/>
        <v>0</v>
      </c>
      <c r="G76" s="626"/>
      <c r="H76" s="372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'[70]Sch C'!D65</f>
        <v>2410.9</v>
      </c>
      <c r="D77" s="480">
        <f>'[70]Sch C'!F65</f>
        <v>0</v>
      </c>
      <c r="E77" s="480">
        <f>+'[70]Sch C'!H65</f>
        <v>0</v>
      </c>
      <c r="F77" s="166">
        <f t="shared" si="13"/>
        <v>2410.9</v>
      </c>
      <c r="G77" s="626"/>
      <c r="H77" s="372"/>
      <c r="I77" s="166">
        <f t="shared" si="14"/>
        <v>2410.9</v>
      </c>
      <c r="J77" s="167">
        <f t="shared" si="11"/>
        <v>5.8888982128895199E-4</v>
      </c>
      <c r="K77" s="458"/>
      <c r="L77" s="187"/>
      <c r="M77" s="163"/>
      <c r="O77" s="324">
        <f t="shared" si="12"/>
        <v>0.13743586820202941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'[70]Sch C'!D66</f>
        <v>349.91</v>
      </c>
      <c r="D78" s="480">
        <f>'[70]Sch C'!F66</f>
        <v>0</v>
      </c>
      <c r="E78" s="480">
        <f>+'[70]Sch C'!H66</f>
        <v>0</v>
      </c>
      <c r="F78" s="166">
        <f t="shared" si="13"/>
        <v>349.91</v>
      </c>
      <c r="G78" s="626"/>
      <c r="H78" s="372"/>
      <c r="I78" s="166">
        <f t="shared" si="14"/>
        <v>349.91</v>
      </c>
      <c r="J78" s="167">
        <f t="shared" si="11"/>
        <v>8.5469508219842042E-5</v>
      </c>
      <c r="K78" s="458"/>
      <c r="L78" s="187"/>
      <c r="M78" s="163"/>
      <c r="O78" s="324">
        <f t="shared" si="12"/>
        <v>1.9946984380344319E-2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'[70]Sch C'!D67</f>
        <v>7887.12</v>
      </c>
      <c r="D79" s="480">
        <f>'[70]Sch C'!F67</f>
        <v>0</v>
      </c>
      <c r="E79" s="480">
        <f>+'[70]Sch C'!H67</f>
        <v>0</v>
      </c>
      <c r="F79" s="166">
        <f t="shared" si="13"/>
        <v>7887.12</v>
      </c>
      <c r="G79" s="626"/>
      <c r="H79" s="372"/>
      <c r="I79" s="166">
        <f t="shared" si="14"/>
        <v>7887.12</v>
      </c>
      <c r="J79" s="167">
        <f t="shared" si="11"/>
        <v>1.9265190125200208E-3</v>
      </c>
      <c r="K79" s="458"/>
      <c r="L79" s="187"/>
      <c r="M79" s="163"/>
      <c r="O79" s="324">
        <f t="shared" si="12"/>
        <v>0.44961349903089726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'[70]Sch C'!D68</f>
        <v>0</v>
      </c>
      <c r="D80" s="480">
        <f>'[70]Sch C'!F68</f>
        <v>0</v>
      </c>
      <c r="E80" s="480">
        <f>+'[70]Sch C'!H68</f>
        <v>0</v>
      </c>
      <c r="F80" s="166">
        <f t="shared" si="13"/>
        <v>0</v>
      </c>
      <c r="G80" s="626"/>
      <c r="H80" s="372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'[70]Sch C'!D69</f>
        <v>4435.34</v>
      </c>
      <c r="D81" s="480">
        <f>'[70]Sch C'!F69</f>
        <v>0</v>
      </c>
      <c r="E81" s="480">
        <f>+'[70]Sch C'!H69</f>
        <v>0</v>
      </c>
      <c r="F81" s="166">
        <f t="shared" si="13"/>
        <v>4435.34</v>
      </c>
      <c r="G81" s="626"/>
      <c r="H81" s="372"/>
      <c r="I81" s="166">
        <f t="shared" si="14"/>
        <v>4435.34</v>
      </c>
      <c r="J81" s="167">
        <f t="shared" si="11"/>
        <v>1.0833823800056991E-3</v>
      </c>
      <c r="K81" s="458"/>
      <c r="L81" s="187"/>
      <c r="M81" s="163"/>
      <c r="O81" s="324">
        <f t="shared" si="12"/>
        <v>0.25284118116520354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'[70]Sch C'!D70</f>
        <v>0</v>
      </c>
      <c r="D82" s="480">
        <f>'[70]Sch C'!F70</f>
        <v>0</v>
      </c>
      <c r="E82" s="480">
        <f>+'[70]Sch C'!H70</f>
        <v>0</v>
      </c>
      <c r="F82" s="166">
        <f t="shared" si="13"/>
        <v>0</v>
      </c>
      <c r="G82" s="626"/>
      <c r="H82" s="372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'[70]Sch C'!D71</f>
        <v>0</v>
      </c>
      <c r="D83" s="480">
        <f>'[70]Sch C'!F71</f>
        <v>0</v>
      </c>
      <c r="E83" s="480">
        <f>+'[70]Sch C'!H71</f>
        <v>0</v>
      </c>
      <c r="F83" s="166">
        <f t="shared" si="13"/>
        <v>0</v>
      </c>
      <c r="G83" s="626"/>
      <c r="H83" s="372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632101.08000000007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632101.08000000007</v>
      </c>
      <c r="G84" s="166">
        <f t="shared" si="16"/>
        <v>0</v>
      </c>
      <c r="H84" s="166">
        <f t="shared" si="16"/>
        <v>0</v>
      </c>
      <c r="I84" s="166">
        <f t="shared" si="16"/>
        <v>632101.08000000007</v>
      </c>
      <c r="J84" s="167">
        <f t="shared" si="11"/>
        <v>0.1543978978961191</v>
      </c>
      <c r="K84" s="458"/>
      <c r="L84" s="187"/>
      <c r="M84" s="163"/>
      <c r="O84" s="324">
        <f t="shared" si="12"/>
        <v>36.033581119598679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375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691" t="s">
        <v>670</v>
      </c>
      <c r="H86" s="377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'[70]Sch C'!D75</f>
        <v>26599.14</v>
      </c>
      <c r="D87" s="480">
        <f>'[70]Sch C'!F75</f>
        <v>0</v>
      </c>
      <c r="E87" s="480">
        <f>+'[70]Sch C'!H75</f>
        <v>0</v>
      </c>
      <c r="F87" s="166">
        <f t="shared" ref="F87:F97" si="17">C87+D87+E87</f>
        <v>26599.14</v>
      </c>
      <c r="G87" s="626"/>
      <c r="H87" s="372"/>
      <c r="I87" s="166">
        <f t="shared" ref="I87:I97" si="18">F87+G87+H87</f>
        <v>26599.14</v>
      </c>
      <c r="J87" s="167">
        <f t="shared" ref="J87:J98" si="19">IF($I$213=0,0,I87/$I$213)</f>
        <v>6.4971433079098317E-3</v>
      </c>
      <c r="K87" s="458"/>
      <c r="L87" s="176">
        <v>1741.54</v>
      </c>
      <c r="M87" s="176">
        <v>1854.54</v>
      </c>
      <c r="O87" s="324">
        <f t="shared" ref="O87:O97" si="20">I87/I$233</f>
        <v>1.5163117090411584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'[70]Sch C'!D76</f>
        <v>0</v>
      </c>
      <c r="D88" s="480">
        <f>'[70]Sch C'!F76</f>
        <v>0</v>
      </c>
      <c r="E88" s="480">
        <f>+'[70]Sch C'!H76</f>
        <v>0</v>
      </c>
      <c r="F88" s="166">
        <f t="shared" si="17"/>
        <v>0</v>
      </c>
      <c r="G88" s="626">
        <v>5171.8999999999996</v>
      </c>
      <c r="H88" s="372"/>
      <c r="I88" s="166">
        <f t="shared" si="18"/>
        <v>5171.8999999999996</v>
      </c>
      <c r="J88" s="167">
        <f t="shared" si="19"/>
        <v>1.2632955604646938E-3</v>
      </c>
      <c r="K88" s="457" t="s">
        <v>374</v>
      </c>
      <c r="L88" s="163"/>
      <c r="M88" s="163"/>
      <c r="O88" s="324">
        <f t="shared" si="20"/>
        <v>0.29482955193250482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'[70]Sch C'!D77</f>
        <v>2642.76</v>
      </c>
      <c r="D89" s="480">
        <f>'[70]Sch C'!F77</f>
        <v>0</v>
      </c>
      <c r="E89" s="480">
        <f>+'[70]Sch C'!H77</f>
        <v>0</v>
      </c>
      <c r="F89" s="166">
        <f t="shared" si="17"/>
        <v>2642.76</v>
      </c>
      <c r="G89" s="626"/>
      <c r="H89" s="372"/>
      <c r="I89" s="166">
        <f t="shared" si="18"/>
        <v>2642.76</v>
      </c>
      <c r="J89" s="167">
        <f t="shared" si="19"/>
        <v>6.4552427064979497E-4</v>
      </c>
      <c r="K89" s="458"/>
      <c r="L89" s="163"/>
      <c r="M89" s="163"/>
      <c r="O89" s="324">
        <f t="shared" si="20"/>
        <v>0.15065328924866037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'[70]Sch C'!D78</f>
        <v>8704.41</v>
      </c>
      <c r="D90" s="480">
        <f>'[70]Sch C'!F78</f>
        <v>0</v>
      </c>
      <c r="E90" s="480">
        <f>+'[70]Sch C'!H78</f>
        <v>0</v>
      </c>
      <c r="F90" s="166">
        <f t="shared" si="17"/>
        <v>8704.41</v>
      </c>
      <c r="G90" s="626"/>
      <c r="H90" s="372"/>
      <c r="I90" s="166">
        <f t="shared" si="18"/>
        <v>8704.41</v>
      </c>
      <c r="J90" s="167">
        <f t="shared" si="19"/>
        <v>2.1261514162038103E-3</v>
      </c>
      <c r="K90" s="458"/>
      <c r="L90" s="163"/>
      <c r="M90" s="163"/>
      <c r="O90" s="324">
        <f t="shared" si="20"/>
        <v>0.49620396762056779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'[70]Sch C'!D79</f>
        <v>2205.59</v>
      </c>
      <c r="D91" s="480">
        <f>'[70]Sch C'!F79</f>
        <v>0</v>
      </c>
      <c r="E91" s="480">
        <f>+'[70]Sch C'!H79</f>
        <v>0</v>
      </c>
      <c r="F91" s="166">
        <f t="shared" si="17"/>
        <v>2205.59</v>
      </c>
      <c r="G91" s="626"/>
      <c r="H91" s="372"/>
      <c r="I91" s="166">
        <f t="shared" si="18"/>
        <v>2205.59</v>
      </c>
      <c r="J91" s="167">
        <f t="shared" si="19"/>
        <v>5.3874051223057762E-4</v>
      </c>
      <c r="K91" s="458"/>
      <c r="L91" s="163"/>
      <c r="M91" s="163"/>
      <c r="O91" s="324">
        <f t="shared" si="20"/>
        <v>0.12573195758750427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'[70]Sch C'!D80</f>
        <v>4509.59</v>
      </c>
      <c r="D92" s="480">
        <f>'[70]Sch C'!F80</f>
        <v>0</v>
      </c>
      <c r="E92" s="480">
        <f>+'[70]Sch C'!H80</f>
        <v>0</v>
      </c>
      <c r="F92" s="166">
        <f t="shared" si="17"/>
        <v>4509.59</v>
      </c>
      <c r="G92" s="626"/>
      <c r="H92" s="372"/>
      <c r="I92" s="166">
        <f t="shared" si="18"/>
        <v>4509.59</v>
      </c>
      <c r="J92" s="167">
        <f t="shared" si="19"/>
        <v>1.1015187893261623E-3</v>
      </c>
      <c r="K92" s="458"/>
      <c r="L92" s="163"/>
      <c r="M92" s="163"/>
      <c r="O92" s="324">
        <f t="shared" si="20"/>
        <v>0.25707387983126212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'[70]Sch C'!D81</f>
        <v>7935.49</v>
      </c>
      <c r="D93" s="480">
        <f>'[70]Sch C'!F81</f>
        <v>0</v>
      </c>
      <c r="E93" s="480">
        <f>+'[70]Sch C'!H81</f>
        <v>0</v>
      </c>
      <c r="F93" s="166">
        <f t="shared" si="17"/>
        <v>7935.49</v>
      </c>
      <c r="G93" s="626"/>
      <c r="H93" s="372"/>
      <c r="I93" s="166">
        <f t="shared" si="18"/>
        <v>7935.49</v>
      </c>
      <c r="J93" s="167">
        <f t="shared" si="19"/>
        <v>1.9383339366793584E-3</v>
      </c>
      <c r="K93" s="458"/>
      <c r="L93" s="163"/>
      <c r="M93" s="163"/>
      <c r="O93" s="324">
        <f t="shared" si="20"/>
        <v>0.45237088131341924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'[70]Sch C'!D82</f>
        <v>8609.57</v>
      </c>
      <c r="D94" s="480">
        <f>'[70]Sch C'!F82</f>
        <v>0</v>
      </c>
      <c r="E94" s="480">
        <f>+'[70]Sch C'!H82</f>
        <v>0</v>
      </c>
      <c r="F94" s="166">
        <f t="shared" si="17"/>
        <v>8609.57</v>
      </c>
      <c r="G94" s="626"/>
      <c r="H94" s="372"/>
      <c r="I94" s="166">
        <f t="shared" si="18"/>
        <v>8609.57</v>
      </c>
      <c r="J94" s="167">
        <f t="shared" si="19"/>
        <v>2.1029856645546153E-3</v>
      </c>
      <c r="K94" s="458"/>
      <c r="L94" s="163"/>
      <c r="M94" s="163"/>
      <c r="O94" s="324">
        <f t="shared" si="20"/>
        <v>0.49079751453654086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'[70]Sch C'!D83</f>
        <v>8298.3700000000008</v>
      </c>
      <c r="D95" s="480">
        <f>'[70]Sch C'!F83</f>
        <v>0</v>
      </c>
      <c r="E95" s="480">
        <f>+'[70]Sch C'!H83</f>
        <v>0</v>
      </c>
      <c r="F95" s="166">
        <f t="shared" si="17"/>
        <v>8298.3700000000008</v>
      </c>
      <c r="G95" s="626"/>
      <c r="H95" s="372"/>
      <c r="I95" s="166">
        <f t="shared" si="18"/>
        <v>8298.3700000000008</v>
      </c>
      <c r="J95" s="167">
        <f t="shared" si="19"/>
        <v>2.026971515321913E-3</v>
      </c>
      <c r="K95" s="458"/>
      <c r="L95" s="163"/>
      <c r="M95" s="163"/>
      <c r="O95" s="324">
        <f t="shared" si="20"/>
        <v>0.47305723406681111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'[70]Sch C'!D84</f>
        <v>65169.08</v>
      </c>
      <c r="D96" s="480">
        <f>'[70]Sch C'!F84</f>
        <v>0</v>
      </c>
      <c r="E96" s="480">
        <f>+'[70]Sch C'!H84</f>
        <v>0</v>
      </c>
      <c r="F96" s="166">
        <f t="shared" si="17"/>
        <v>65169.08</v>
      </c>
      <c r="G96" s="626"/>
      <c r="H96" s="372"/>
      <c r="I96" s="166">
        <f t="shared" si="18"/>
        <v>65169.08</v>
      </c>
      <c r="J96" s="167">
        <f t="shared" si="19"/>
        <v>1.5918291042666809E-2</v>
      </c>
      <c r="K96" s="458"/>
      <c r="L96" s="163"/>
      <c r="M96" s="163"/>
      <c r="O96" s="324">
        <f t="shared" si="20"/>
        <v>3.7150313533234525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'[70]Sch C'!D85</f>
        <v>0</v>
      </c>
      <c r="D97" s="480">
        <f>'[70]Sch C'!F85</f>
        <v>0</v>
      </c>
      <c r="E97" s="480">
        <f>+'[70]Sch C'!H85</f>
        <v>0</v>
      </c>
      <c r="F97" s="166">
        <f t="shared" si="17"/>
        <v>0</v>
      </c>
      <c r="G97" s="626"/>
      <c r="H97" s="372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134674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134674</v>
      </c>
      <c r="G98" s="166">
        <f t="shared" si="22"/>
        <v>5171.8999999999996</v>
      </c>
      <c r="H98" s="166">
        <f t="shared" si="22"/>
        <v>0</v>
      </c>
      <c r="I98" s="166">
        <f t="shared" si="22"/>
        <v>139845.9</v>
      </c>
      <c r="J98" s="167">
        <f t="shared" si="19"/>
        <v>3.4158956016007568E-2</v>
      </c>
      <c r="K98" s="458"/>
      <c r="L98" s="163"/>
      <c r="M98" s="163"/>
      <c r="O98" s="329">
        <f>I98/I$233</f>
        <v>7.9720613385018808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377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492"/>
      <c r="H100" s="377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'[70]Sch C'!D89</f>
        <v>143677.5</v>
      </c>
      <c r="D101" s="480">
        <f>'[70]Sch C'!F89</f>
        <v>0</v>
      </c>
      <c r="E101" s="480">
        <f>+'[70]Sch C'!H89</f>
        <v>0</v>
      </c>
      <c r="F101" s="166">
        <f t="shared" ref="F101:F106" si="23">C101+D101+E101</f>
        <v>143677.5</v>
      </c>
      <c r="G101" s="626"/>
      <c r="H101" s="372"/>
      <c r="I101" s="166">
        <f t="shared" ref="I101:I106" si="24">F101+G101+H101</f>
        <v>143677.5</v>
      </c>
      <c r="J101" s="167">
        <f t="shared" ref="J101:J107" si="25">IF($I$213=0,0,I101/$I$213)</f>
        <v>3.5094868015364961E-2</v>
      </c>
      <c r="K101" s="458"/>
      <c r="L101" s="176">
        <v>12602.03</v>
      </c>
      <c r="M101" s="176">
        <v>13188.96</v>
      </c>
      <c r="O101" s="329">
        <f t="shared" ref="O101:O106" si="26">I101/I$233</f>
        <v>8.190485691483298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'[70]Sch C'!D90</f>
        <v>0</v>
      </c>
      <c r="D102" s="480">
        <f>'[70]Sch C'!F90</f>
        <v>0</v>
      </c>
      <c r="E102" s="480">
        <f>+'[70]Sch C'!H90</f>
        <v>0</v>
      </c>
      <c r="F102" s="166">
        <f t="shared" si="23"/>
        <v>0</v>
      </c>
      <c r="G102" s="626">
        <v>27936.44</v>
      </c>
      <c r="H102" s="372"/>
      <c r="I102" s="166">
        <f t="shared" si="24"/>
        <v>27936.44</v>
      </c>
      <c r="J102" s="167">
        <f t="shared" si="25"/>
        <v>6.8237940848021603E-3</v>
      </c>
      <c r="K102" s="457" t="s">
        <v>374</v>
      </c>
      <c r="L102" s="163"/>
      <c r="M102" s="163"/>
      <c r="O102" s="329">
        <f t="shared" si="26"/>
        <v>1.5925458898643254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'[70]Sch C'!D91</f>
        <v>7280</v>
      </c>
      <c r="D103" s="480">
        <f>'[70]Sch C'!F91</f>
        <v>0</v>
      </c>
      <c r="E103" s="480">
        <f>+'[70]Sch C'!H91</f>
        <v>0</v>
      </c>
      <c r="F103" s="166">
        <f t="shared" si="23"/>
        <v>7280</v>
      </c>
      <c r="G103" s="626"/>
      <c r="H103" s="372"/>
      <c r="I103" s="166">
        <f t="shared" si="24"/>
        <v>7280</v>
      </c>
      <c r="J103" s="167">
        <f t="shared" si="25"/>
        <v>1.7782230283228545E-3</v>
      </c>
      <c r="K103" s="458"/>
      <c r="L103" s="163"/>
      <c r="M103" s="163"/>
      <c r="O103" s="329">
        <f t="shared" si="26"/>
        <v>0.41500399042298486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'[70]Sch C'!D92</f>
        <v>129367.09</v>
      </c>
      <c r="D104" s="480">
        <f>'[70]Sch C'!F92</f>
        <v>0</v>
      </c>
      <c r="E104" s="480">
        <f>+'[70]Sch C'!H92</f>
        <v>0</v>
      </c>
      <c r="F104" s="166">
        <f t="shared" si="23"/>
        <v>129367.09</v>
      </c>
      <c r="G104" s="626"/>
      <c r="H104" s="372"/>
      <c r="I104" s="166">
        <f t="shared" si="24"/>
        <v>129367.09</v>
      </c>
      <c r="J104" s="167">
        <f t="shared" si="25"/>
        <v>3.1599387162790558E-2</v>
      </c>
      <c r="K104" s="458"/>
      <c r="L104" s="163"/>
      <c r="M104" s="163"/>
      <c r="O104" s="329">
        <f t="shared" si="26"/>
        <v>7.3747058488199748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'[70]Sch C'!D93</f>
        <v>12493.84</v>
      </c>
      <c r="D105" s="480">
        <f>'[70]Sch C'!F93</f>
        <v>0</v>
      </c>
      <c r="E105" s="480">
        <f>+'[70]Sch C'!H93</f>
        <v>0</v>
      </c>
      <c r="F105" s="166">
        <f t="shared" si="23"/>
        <v>12493.84</v>
      </c>
      <c r="G105" s="626"/>
      <c r="H105" s="372"/>
      <c r="I105" s="166">
        <f t="shared" si="24"/>
        <v>12493.84</v>
      </c>
      <c r="J105" s="167">
        <f t="shared" si="25"/>
        <v>3.0517629121128041E-3</v>
      </c>
      <c r="K105" s="458"/>
      <c r="L105" s="163"/>
      <c r="M105" s="163"/>
      <c r="O105" s="329">
        <f t="shared" si="26"/>
        <v>0.71222437578383313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'[70]Sch C'!D94</f>
        <v>0</v>
      </c>
      <c r="D106" s="480">
        <f>'[70]Sch C'!F94</f>
        <v>0</v>
      </c>
      <c r="E106" s="480">
        <f>+'[70]Sch C'!H94</f>
        <v>0</v>
      </c>
      <c r="F106" s="166">
        <f t="shared" si="23"/>
        <v>0</v>
      </c>
      <c r="G106" s="626"/>
      <c r="H106" s="372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292818.43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292818.43</v>
      </c>
      <c r="G107" s="166">
        <f t="shared" si="28"/>
        <v>27936.44</v>
      </c>
      <c r="H107" s="166">
        <f t="shared" si="28"/>
        <v>0</v>
      </c>
      <c r="I107" s="166">
        <f t="shared" si="28"/>
        <v>320754.87000000005</v>
      </c>
      <c r="J107" s="167">
        <f t="shared" si="25"/>
        <v>7.8348035203393354E-2</v>
      </c>
      <c r="K107" s="458"/>
      <c r="L107" s="163"/>
      <c r="M107" s="163"/>
      <c r="O107" s="329">
        <f>I107/I$233</f>
        <v>18.284965796374419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377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691" t="s">
        <v>670</v>
      </c>
      <c r="H109" s="377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'[70]Sch C'!D98</f>
        <v>30661.77</v>
      </c>
      <c r="D110" s="480">
        <f>'[70]Sch C'!F98</f>
        <v>0</v>
      </c>
      <c r="E110" s="480">
        <f>+'[70]Sch C'!H98</f>
        <v>0</v>
      </c>
      <c r="F110" s="166">
        <f t="shared" ref="F110:F115" si="29">C110+D110+E110</f>
        <v>30661.77</v>
      </c>
      <c r="G110" s="626"/>
      <c r="H110" s="372"/>
      <c r="I110" s="166">
        <f t="shared" ref="I110:I115" si="30">F110+G110+H110</f>
        <v>30661.77</v>
      </c>
      <c r="J110" s="167">
        <f t="shared" ref="J110:J116" si="31">IF($I$213=0,0,I110/$I$213)</f>
        <v>7.4894870196619305E-3</v>
      </c>
      <c r="K110" s="458"/>
      <c r="L110" s="176">
        <v>3007.68</v>
      </c>
      <c r="M110" s="176">
        <v>3180.06</v>
      </c>
      <c r="O110" s="329">
        <f t="shared" ref="O110:O115" si="32">I110/I$233</f>
        <v>1.7479061680538137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'[70]Sch C'!D99</f>
        <v>0</v>
      </c>
      <c r="D111" s="480">
        <f>'[70]Sch C'!F99</f>
        <v>0</v>
      </c>
      <c r="E111" s="480">
        <f>+'[70]Sch C'!H99</f>
        <v>0</v>
      </c>
      <c r="F111" s="166">
        <f t="shared" si="29"/>
        <v>0</v>
      </c>
      <c r="G111" s="626">
        <v>5961.83</v>
      </c>
      <c r="H111" s="372"/>
      <c r="I111" s="166">
        <f t="shared" si="30"/>
        <v>5961.83</v>
      </c>
      <c r="J111" s="167">
        <f t="shared" si="31"/>
        <v>1.4562449721079731E-3</v>
      </c>
      <c r="K111" s="457" t="s">
        <v>374</v>
      </c>
      <c r="L111" s="163"/>
      <c r="M111" s="163"/>
      <c r="O111" s="329">
        <f t="shared" si="32"/>
        <v>0.33986033519553072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'[70]Sch C'!D100</f>
        <v>5731.68</v>
      </c>
      <c r="D112" s="480">
        <f>'[70]Sch C'!F100</f>
        <v>0</v>
      </c>
      <c r="E112" s="480">
        <f>+'[70]Sch C'!H100</f>
        <v>0</v>
      </c>
      <c r="F112" s="166">
        <f t="shared" si="29"/>
        <v>5731.68</v>
      </c>
      <c r="G112" s="626"/>
      <c r="H112" s="372"/>
      <c r="I112" s="166">
        <f t="shared" si="30"/>
        <v>5731.68</v>
      </c>
      <c r="J112" s="167">
        <f t="shared" si="31"/>
        <v>1.4000282097496621E-3</v>
      </c>
      <c r="K112" s="458"/>
      <c r="L112" s="163"/>
      <c r="M112" s="163"/>
      <c r="O112" s="329">
        <f t="shared" si="32"/>
        <v>0.32674039448181508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'[70]Sch C'!D101</f>
        <v>0</v>
      </c>
      <c r="D113" s="480">
        <f>'[70]Sch C'!F101</f>
        <v>0</v>
      </c>
      <c r="E113" s="480">
        <f>+'[70]Sch C'!H101</f>
        <v>0</v>
      </c>
      <c r="F113" s="166">
        <f t="shared" si="29"/>
        <v>0</v>
      </c>
      <c r="G113" s="626"/>
      <c r="H113" s="372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'[70]Sch C'!D102</f>
        <v>887.22</v>
      </c>
      <c r="D114" s="480">
        <f>'[70]Sch C'!F102</f>
        <v>0</v>
      </c>
      <c r="E114" s="480">
        <f>+'[70]Sch C'!H102</f>
        <v>0</v>
      </c>
      <c r="F114" s="166">
        <f t="shared" si="29"/>
        <v>887.22</v>
      </c>
      <c r="G114" s="626"/>
      <c r="H114" s="372"/>
      <c r="I114" s="166">
        <f t="shared" si="30"/>
        <v>887.22</v>
      </c>
      <c r="J114" s="167">
        <f t="shared" si="31"/>
        <v>2.1671360373469822E-4</v>
      </c>
      <c r="K114" s="458"/>
      <c r="L114" s="163"/>
      <c r="M114" s="163"/>
      <c r="O114" s="329">
        <f t="shared" si="32"/>
        <v>5.0576901151522066E-2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'[70]Sch C'!D103</f>
        <v>0</v>
      </c>
      <c r="D115" s="480">
        <f>'[70]Sch C'!F103</f>
        <v>0</v>
      </c>
      <c r="E115" s="480">
        <f>+'[70]Sch C'!H103</f>
        <v>0</v>
      </c>
      <c r="F115" s="166">
        <f t="shared" si="29"/>
        <v>0</v>
      </c>
      <c r="G115" s="626"/>
      <c r="H115" s="372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37280.67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37280.67</v>
      </c>
      <c r="G116" s="166">
        <f t="shared" si="34"/>
        <v>5961.83</v>
      </c>
      <c r="H116" s="166">
        <f t="shared" si="34"/>
        <v>0</v>
      </c>
      <c r="I116" s="166">
        <f t="shared" si="34"/>
        <v>43242.5</v>
      </c>
      <c r="J116" s="167">
        <f t="shared" si="31"/>
        <v>1.0562473805254264E-2</v>
      </c>
      <c r="K116" s="458"/>
      <c r="L116" s="163"/>
      <c r="M116" s="163"/>
      <c r="O116" s="329">
        <f>I116/I$233</f>
        <v>2.4650837988826817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377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377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'[70]Sch C'!D115</f>
        <v>85155.03</v>
      </c>
      <c r="D119" s="480">
        <f>'[70]Sch C'!F115</f>
        <v>0</v>
      </c>
      <c r="E119" s="480">
        <f>+'[70]Sch C'!H115</f>
        <v>0</v>
      </c>
      <c r="F119" s="166">
        <f t="shared" ref="F119:F123" si="35">C119+D119+E119</f>
        <v>85155.03</v>
      </c>
      <c r="G119" s="626"/>
      <c r="H119" s="372"/>
      <c r="I119" s="166">
        <f t="shared" ref="I119:I123" si="36">F119+G119+H119</f>
        <v>85155.03</v>
      </c>
      <c r="J119" s="167">
        <f t="shared" ref="J119:J124" si="37">IF($I$213=0,0,I119/$I$213)</f>
        <v>2.080008726971477E-2</v>
      </c>
      <c r="K119" s="458"/>
      <c r="L119" s="176">
        <v>7308.81</v>
      </c>
      <c r="M119" s="176">
        <v>7773.99</v>
      </c>
      <c r="O119" s="329">
        <f t="shared" ref="O119:O124" si="38">I119/I$233</f>
        <v>4.8543512712347505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'[70]Sch C'!D116</f>
        <v>0</v>
      </c>
      <c r="D120" s="480">
        <f>'[70]Sch C'!F116</f>
        <v>0</v>
      </c>
      <c r="E120" s="480">
        <f>+'[70]Sch C'!H116</f>
        <v>0</v>
      </c>
      <c r="F120" s="166">
        <f t="shared" si="35"/>
        <v>0</v>
      </c>
      <c r="G120" s="626">
        <v>16557.419999999998</v>
      </c>
      <c r="H120" s="372"/>
      <c r="I120" s="166">
        <f t="shared" si="36"/>
        <v>16557.419999999998</v>
      </c>
      <c r="J120" s="167">
        <f t="shared" si="37"/>
        <v>4.0443386721996421E-3</v>
      </c>
      <c r="K120" s="457" t="s">
        <v>374</v>
      </c>
      <c r="L120" s="163"/>
      <c r="M120" s="163"/>
      <c r="O120" s="329">
        <f t="shared" si="38"/>
        <v>0.9438729905369968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'[70]Sch C'!D117</f>
        <v>18155.330000000002</v>
      </c>
      <c r="D121" s="480">
        <f>'[70]Sch C'!F117</f>
        <v>0</v>
      </c>
      <c r="E121" s="480">
        <f>+'[70]Sch C'!H117</f>
        <v>0</v>
      </c>
      <c r="F121" s="166">
        <f t="shared" si="35"/>
        <v>18155.330000000002</v>
      </c>
      <c r="G121" s="626"/>
      <c r="H121" s="372"/>
      <c r="I121" s="166">
        <f t="shared" si="36"/>
        <v>18155.330000000002</v>
      </c>
      <c r="J121" s="167">
        <f t="shared" si="37"/>
        <v>4.4346464138462598E-3</v>
      </c>
      <c r="K121" s="458"/>
      <c r="L121" s="163"/>
      <c r="M121" s="163"/>
      <c r="O121" s="329">
        <f t="shared" si="38"/>
        <v>1.0349635161327102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'[70]Sch C'!D118</f>
        <v>0</v>
      </c>
      <c r="D122" s="480">
        <f>'[70]Sch C'!F118</f>
        <v>0</v>
      </c>
      <c r="E122" s="480">
        <f>+'[70]Sch C'!H118</f>
        <v>0</v>
      </c>
      <c r="F122" s="166">
        <f t="shared" si="35"/>
        <v>0</v>
      </c>
      <c r="G122" s="626"/>
      <c r="H122" s="372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'[70]Sch C'!D119</f>
        <v>0</v>
      </c>
      <c r="D123" s="480">
        <f>'[70]Sch C'!F119</f>
        <v>0</v>
      </c>
      <c r="E123" s="480">
        <f>+'[70]Sch C'!H119</f>
        <v>0</v>
      </c>
      <c r="F123" s="166">
        <f t="shared" si="35"/>
        <v>0</v>
      </c>
      <c r="G123" s="626"/>
      <c r="H123" s="372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103310.36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103310.36</v>
      </c>
      <c r="G124" s="166">
        <f t="shared" si="40"/>
        <v>16557.419999999998</v>
      </c>
      <c r="H124" s="166">
        <f t="shared" si="40"/>
        <v>0</v>
      </c>
      <c r="I124" s="166">
        <f t="shared" si="40"/>
        <v>119867.78</v>
      </c>
      <c r="J124" s="167">
        <f t="shared" si="37"/>
        <v>2.9279072355760674E-2</v>
      </c>
      <c r="K124" s="458"/>
      <c r="L124" s="163"/>
      <c r="M124" s="163"/>
      <c r="O124" s="329">
        <f t="shared" si="38"/>
        <v>6.8331877779044579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375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377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691" t="s">
        <v>670</v>
      </c>
      <c r="H127" s="377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'[70]Sch C'!D124</f>
        <v>0</v>
      </c>
      <c r="D128" s="480">
        <f>'[70]Sch C'!F124</f>
        <v>0</v>
      </c>
      <c r="E128" s="480">
        <f>+'[70]Sch C'!H124</f>
        <v>0</v>
      </c>
      <c r="F128" s="166">
        <f t="shared" ref="F128:F132" si="41">C128+D128+E128</f>
        <v>0</v>
      </c>
      <c r="G128" s="626"/>
      <c r="H128" s="372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'[70]Sch C'!D125</f>
        <v>145994.31</v>
      </c>
      <c r="D129" s="480">
        <f>'[70]Sch C'!F125</f>
        <v>0</v>
      </c>
      <c r="E129" s="480">
        <f>+'[70]Sch C'!H125</f>
        <v>0</v>
      </c>
      <c r="F129" s="166">
        <f t="shared" si="41"/>
        <v>145994.31</v>
      </c>
      <c r="G129" s="626"/>
      <c r="H129" s="372"/>
      <c r="I129" s="166">
        <f t="shared" si="42"/>
        <v>145994.31</v>
      </c>
      <c r="J129" s="167">
        <f>IF($I$213=0,0,I129/$I$213)</f>
        <v>3.566077528105846E-2</v>
      </c>
      <c r="K129" s="458"/>
      <c r="L129" s="176">
        <v>4039.75</v>
      </c>
      <c r="M129" s="176">
        <v>4126.38</v>
      </c>
      <c r="O129" s="329">
        <f t="shared" si="43"/>
        <v>8.32255786113328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'[70]Sch C'!D126</f>
        <v>0</v>
      </c>
      <c r="D130" s="480">
        <f>'[70]Sch C'!F126</f>
        <v>0</v>
      </c>
      <c r="E130" s="480">
        <f>+'[70]Sch C'!H126</f>
        <v>0</v>
      </c>
      <c r="F130" s="166">
        <f t="shared" si="41"/>
        <v>0</v>
      </c>
      <c r="G130" s="626"/>
      <c r="H130" s="372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'[70]Sch C'!D127</f>
        <v>0</v>
      </c>
      <c r="D131" s="480">
        <f>'[70]Sch C'!F127</f>
        <v>0</v>
      </c>
      <c r="E131" s="480">
        <f>+'[70]Sch C'!H127</f>
        <v>0</v>
      </c>
      <c r="F131" s="166">
        <f t="shared" si="41"/>
        <v>0</v>
      </c>
      <c r="G131" s="626"/>
      <c r="H131" s="372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'[70]Sch C'!D128</f>
        <v>40899.86</v>
      </c>
      <c r="D132" s="480">
        <f>'[70]Sch C'!F128</f>
        <v>0</v>
      </c>
      <c r="E132" s="480">
        <f>+'[70]Sch C'!H128</f>
        <v>0</v>
      </c>
      <c r="F132" s="166">
        <f t="shared" si="41"/>
        <v>40899.86</v>
      </c>
      <c r="G132" s="626"/>
      <c r="H132" s="372"/>
      <c r="I132" s="166">
        <f t="shared" si="42"/>
        <v>40899.86</v>
      </c>
      <c r="J132" s="167">
        <f>IF($I$213=0,0,I132/$I$213)</f>
        <v>9.9902572674698889E-3</v>
      </c>
      <c r="K132" s="458"/>
      <c r="L132" s="176">
        <v>2200.4699999999998</v>
      </c>
      <c r="M132" s="176">
        <v>2396.83</v>
      </c>
      <c r="O132" s="329">
        <f t="shared" si="43"/>
        <v>2.3315391631512941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375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'[70]Sch C'!D130</f>
        <v>0</v>
      </c>
      <c r="D134" s="480">
        <f>'[70]Sch C'!F130</f>
        <v>0</v>
      </c>
      <c r="E134" s="480">
        <f>+'[70]Sch C'!H130</f>
        <v>0</v>
      </c>
      <c r="F134" s="166">
        <f t="shared" ref="F134:F138" si="44">C134+D134+E134</f>
        <v>0</v>
      </c>
      <c r="G134" s="626"/>
      <c r="H134" s="372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'[70]Sch C'!D131</f>
        <v>0</v>
      </c>
      <c r="D135" s="480">
        <f>'[70]Sch C'!F131</f>
        <v>0</v>
      </c>
      <c r="E135" s="480">
        <f>+'[70]Sch C'!H131</f>
        <v>0</v>
      </c>
      <c r="F135" s="166">
        <f t="shared" si="44"/>
        <v>0</v>
      </c>
      <c r="G135" s="626">
        <v>28386.91</v>
      </c>
      <c r="H135" s="372"/>
      <c r="I135" s="166">
        <f t="shared" si="45"/>
        <v>28386.91</v>
      </c>
      <c r="J135" s="167">
        <f>IF($I$213=0,0,I135/$I$213)</f>
        <v>6.9338265199077364E-3</v>
      </c>
      <c r="K135" s="457" t="s">
        <v>374</v>
      </c>
      <c r="L135" s="196"/>
      <c r="M135" s="196"/>
      <c r="O135" s="329">
        <f t="shared" si="43"/>
        <v>1.6182254018926006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'[70]Sch C'!D132</f>
        <v>0</v>
      </c>
      <c r="D136" s="480">
        <f>'[70]Sch C'!F132</f>
        <v>0</v>
      </c>
      <c r="E136" s="480">
        <f>+'[70]Sch C'!H132</f>
        <v>0</v>
      </c>
      <c r="F136" s="166">
        <f t="shared" si="44"/>
        <v>0</v>
      </c>
      <c r="G136" s="626"/>
      <c r="H136" s="372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'[70]Sch C'!D133</f>
        <v>0</v>
      </c>
      <c r="D137" s="480">
        <f>'[70]Sch C'!F133</f>
        <v>0</v>
      </c>
      <c r="E137" s="480">
        <f>+'[70]Sch C'!H133</f>
        <v>0</v>
      </c>
      <c r="F137" s="166">
        <f t="shared" si="44"/>
        <v>0</v>
      </c>
      <c r="G137" s="626"/>
      <c r="H137" s="372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'[70]Sch C'!D134</f>
        <v>0</v>
      </c>
      <c r="D138" s="480">
        <f>'[70]Sch C'!F134</f>
        <v>0</v>
      </c>
      <c r="E138" s="480">
        <f>+'[70]Sch C'!H134</f>
        <v>0</v>
      </c>
      <c r="F138" s="166">
        <f t="shared" si="44"/>
        <v>0</v>
      </c>
      <c r="G138" s="626">
        <v>7952.51</v>
      </c>
      <c r="H138" s="372"/>
      <c r="I138" s="166">
        <f t="shared" si="45"/>
        <v>7952.51</v>
      </c>
      <c r="J138" s="167">
        <f>IF($I$213=0,0,I138/$I$213)</f>
        <v>1.9424912657922781E-3</v>
      </c>
      <c r="K138" s="457" t="s">
        <v>374</v>
      </c>
      <c r="L138" s="163"/>
      <c r="M138" s="163"/>
      <c r="O138" s="329">
        <f t="shared" si="43"/>
        <v>0.45334112415916089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375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'[70]Sch C'!D136</f>
        <v>300194.23</v>
      </c>
      <c r="D140" s="480">
        <f>'[70]Sch C'!F136</f>
        <v>0</v>
      </c>
      <c r="E140" s="480">
        <f>+'[70]Sch C'!H136</f>
        <v>0</v>
      </c>
      <c r="F140" s="166">
        <f t="shared" ref="F140:F143" si="46">C140+D140+E140</f>
        <v>300194.23</v>
      </c>
      <c r="G140" s="626"/>
      <c r="H140" s="372"/>
      <c r="I140" s="166">
        <f t="shared" ref="I140:I143" si="47">F140+G140+H140</f>
        <v>300194.23</v>
      </c>
      <c r="J140" s="167">
        <f>IF($I$213=0,0,I140/$I$213)</f>
        <v>7.332586438951201E-2</v>
      </c>
      <c r="K140" s="458"/>
      <c r="L140" s="176">
        <v>9800.66</v>
      </c>
      <c r="M140" s="176">
        <v>10602.12</v>
      </c>
      <c r="O140" s="329">
        <f t="shared" si="43"/>
        <v>17.112885075818035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'[70]Sch C'!D137</f>
        <v>138060.74</v>
      </c>
      <c r="D141" s="480">
        <f>'[70]Sch C'!F137</f>
        <v>0</v>
      </c>
      <c r="E141" s="480">
        <f>+'[70]Sch C'!H137</f>
        <v>0</v>
      </c>
      <c r="F141" s="166">
        <f t="shared" si="46"/>
        <v>138060.74</v>
      </c>
      <c r="G141" s="626"/>
      <c r="H141" s="372"/>
      <c r="I141" s="166">
        <f t="shared" si="47"/>
        <v>138060.74</v>
      </c>
      <c r="J141" s="167">
        <f>IF($I$213=0,0,I141/$I$213)</f>
        <v>3.3722910326276681E-2</v>
      </c>
      <c r="K141" s="458"/>
      <c r="L141" s="176">
        <v>5694.26</v>
      </c>
      <c r="M141" s="176">
        <v>5956.87</v>
      </c>
      <c r="O141" s="329">
        <f t="shared" si="43"/>
        <v>7.8702964314217301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'[70]Sch C'!D138</f>
        <v>562475.47</v>
      </c>
      <c r="D142" s="480">
        <f>'[70]Sch C'!F138</f>
        <v>0</v>
      </c>
      <c r="E142" s="480">
        <f>+'[70]Sch C'!H138</f>
        <v>0</v>
      </c>
      <c r="F142" s="166">
        <f t="shared" si="46"/>
        <v>562475.47</v>
      </c>
      <c r="G142" s="626"/>
      <c r="H142" s="372"/>
      <c r="I142" s="166">
        <f t="shared" si="47"/>
        <v>562475.47</v>
      </c>
      <c r="J142" s="167">
        <f>IF($I$213=0,0,I142/$I$213)</f>
        <v>0.13739104857427484</v>
      </c>
      <c r="K142" s="458"/>
      <c r="L142" s="176">
        <v>45175.33</v>
      </c>
      <c r="M142" s="176">
        <v>46926.47</v>
      </c>
      <c r="O142" s="329">
        <f t="shared" si="43"/>
        <v>32.064500627066465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'[70]Sch C'!D139</f>
        <v>0</v>
      </c>
      <c r="D143" s="480">
        <f>'[70]Sch C'!F139</f>
        <v>0</v>
      </c>
      <c r="E143" s="480">
        <f>+'[70]Sch C'!H139</f>
        <v>0</v>
      </c>
      <c r="F143" s="166">
        <f t="shared" si="46"/>
        <v>0</v>
      </c>
      <c r="G143" s="626"/>
      <c r="H143" s="372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375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'[70]Sch C'!D141</f>
        <v>0</v>
      </c>
      <c r="D145" s="480">
        <f>'[70]Sch C'!F141</f>
        <v>0</v>
      </c>
      <c r="E145" s="480">
        <f>+'[70]Sch C'!H141</f>
        <v>0</v>
      </c>
      <c r="F145" s="166">
        <f t="shared" ref="F145:F148" si="48">C145+D145+E145</f>
        <v>0</v>
      </c>
      <c r="G145" s="626">
        <v>58369.31</v>
      </c>
      <c r="H145" s="372"/>
      <c r="I145" s="166">
        <f t="shared" ref="I145:I148" si="49">F145+G145+H145</f>
        <v>58369.31</v>
      </c>
      <c r="J145" s="167">
        <f>IF($I$213=0,0,I145/$I$213)</f>
        <v>1.4257369668862015E-2</v>
      </c>
      <c r="K145" s="457" t="s">
        <v>374</v>
      </c>
      <c r="L145" s="163"/>
      <c r="M145" s="163"/>
      <c r="O145" s="329">
        <f t="shared" si="43"/>
        <v>3.3274033747577243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'[70]Sch C'!D142</f>
        <v>0</v>
      </c>
      <c r="D146" s="480">
        <f>'[70]Sch C'!F142</f>
        <v>0</v>
      </c>
      <c r="E146" s="480">
        <f>+'[70]Sch C'!H142</f>
        <v>0</v>
      </c>
      <c r="F146" s="166">
        <f t="shared" si="48"/>
        <v>0</v>
      </c>
      <c r="G146" s="626">
        <v>26844.32</v>
      </c>
      <c r="H146" s="372"/>
      <c r="I146" s="166">
        <f t="shared" si="49"/>
        <v>26844.32</v>
      </c>
      <c r="J146" s="167">
        <f>IF($I$213=0,0,I146/$I$213)</f>
        <v>6.5570313191851337E-3</v>
      </c>
      <c r="K146" s="457" t="s">
        <v>374</v>
      </c>
      <c r="L146" s="163"/>
      <c r="M146" s="163"/>
      <c r="O146" s="329">
        <f t="shared" si="43"/>
        <v>1.530288450575761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'[70]Sch C'!D143</f>
        <v>0</v>
      </c>
      <c r="D147" s="480">
        <f>'[70]Sch C'!F143</f>
        <v>0</v>
      </c>
      <c r="E147" s="480">
        <f>+'[70]Sch C'!H143</f>
        <v>0</v>
      </c>
      <c r="F147" s="166">
        <f t="shared" si="48"/>
        <v>0</v>
      </c>
      <c r="G147" s="626">
        <v>109366.88</v>
      </c>
      <c r="H147" s="372"/>
      <c r="I147" s="166">
        <f t="shared" si="49"/>
        <v>109366.88</v>
      </c>
      <c r="J147" s="167">
        <f>IF($I$213=0,0,I147/$I$213)</f>
        <v>2.671410776810745E-2</v>
      </c>
      <c r="K147" s="457" t="s">
        <v>374</v>
      </c>
      <c r="L147" s="163"/>
      <c r="M147" s="163"/>
      <c r="O147" s="329">
        <f t="shared" si="43"/>
        <v>6.234573024740623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'[70]Sch C'!D144</f>
        <v>0</v>
      </c>
      <c r="D148" s="480">
        <f>'[70]Sch C'!F144</f>
        <v>0</v>
      </c>
      <c r="E148" s="480">
        <f>+'[70]Sch C'!H144</f>
        <v>0</v>
      </c>
      <c r="F148" s="166">
        <f t="shared" si="48"/>
        <v>0</v>
      </c>
      <c r="G148" s="626"/>
      <c r="H148" s="372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375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'[70]Sch C'!D146</f>
        <v>18000</v>
      </c>
      <c r="D150" s="480">
        <f>'[70]Sch C'!F146</f>
        <v>0</v>
      </c>
      <c r="E150" s="480">
        <f>+'[70]Sch C'!H146</f>
        <v>0</v>
      </c>
      <c r="F150" s="166">
        <f t="shared" ref="F150:F158" si="50">C150+D150+E150</f>
        <v>18000</v>
      </c>
      <c r="G150" s="626"/>
      <c r="H150" s="372"/>
      <c r="I150" s="166">
        <f t="shared" ref="I150:I158" si="51">F150+G150+H150</f>
        <v>18000</v>
      </c>
      <c r="J150" s="167">
        <f t="shared" ref="J150:J158" si="52">IF($I$213=0,0,I150/$I$213)</f>
        <v>4.3967052898092555E-3</v>
      </c>
      <c r="K150" s="458"/>
      <c r="L150" s="176">
        <v>0</v>
      </c>
      <c r="M150" s="176">
        <v>0</v>
      </c>
      <c r="O150" s="329">
        <f t="shared" si="43"/>
        <v>1.0261087675293581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'[70]Sch C'!D147</f>
        <v>0</v>
      </c>
      <c r="D151" s="480">
        <f>'[70]Sch C'!F147</f>
        <v>0</v>
      </c>
      <c r="E151" s="480">
        <f>+'[70]Sch C'!H147</f>
        <v>0</v>
      </c>
      <c r="F151" s="166">
        <f t="shared" si="50"/>
        <v>0</v>
      </c>
      <c r="G151" s="626"/>
      <c r="H151" s="372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'[70]Sch C'!D148</f>
        <v>0</v>
      </c>
      <c r="D152" s="480">
        <f>'[70]Sch C'!F148</f>
        <v>0</v>
      </c>
      <c r="E152" s="480">
        <f>+'[70]Sch C'!H148</f>
        <v>0</v>
      </c>
      <c r="F152" s="166">
        <f t="shared" si="50"/>
        <v>0</v>
      </c>
      <c r="G152" s="626"/>
      <c r="H152" s="372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'[70]Sch C'!D149</f>
        <v>0</v>
      </c>
      <c r="D153" s="480">
        <f>'[70]Sch C'!F149</f>
        <v>0</v>
      </c>
      <c r="E153" s="480">
        <f>+'[70]Sch C'!H149</f>
        <v>0</v>
      </c>
      <c r="F153" s="166">
        <f t="shared" si="50"/>
        <v>0</v>
      </c>
      <c r="G153" s="626"/>
      <c r="H153" s="372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'[70]Sch C'!D150</f>
        <v>6812.9</v>
      </c>
      <c r="D154" s="480">
        <f>'[70]Sch C'!F150</f>
        <v>0</v>
      </c>
      <c r="E154" s="480">
        <f>+'[70]Sch C'!H150</f>
        <v>0</v>
      </c>
      <c r="F154" s="166">
        <f t="shared" si="50"/>
        <v>6812.9</v>
      </c>
      <c r="G154" s="626"/>
      <c r="H154" s="372"/>
      <c r="I154" s="166">
        <f t="shared" si="51"/>
        <v>6812.9</v>
      </c>
      <c r="J154" s="167">
        <f t="shared" si="52"/>
        <v>1.6641285260523043E-3</v>
      </c>
      <c r="K154" s="458"/>
      <c r="L154" s="176">
        <v>0</v>
      </c>
      <c r="M154" s="176">
        <v>0</v>
      </c>
      <c r="O154" s="329">
        <f t="shared" si="43"/>
        <v>0.38837646790559799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'[70]Sch C'!D151</f>
        <v>64643.87</v>
      </c>
      <c r="D155" s="480">
        <f>'[70]Sch C'!F151</f>
        <v>0</v>
      </c>
      <c r="E155" s="480">
        <f>+'[70]Sch C'!H151</f>
        <v>0</v>
      </c>
      <c r="F155" s="166">
        <f t="shared" si="50"/>
        <v>64643.87</v>
      </c>
      <c r="G155" s="626"/>
      <c r="H155" s="372"/>
      <c r="I155" s="166">
        <f t="shared" si="51"/>
        <v>64643.87</v>
      </c>
      <c r="J155" s="167">
        <f t="shared" si="52"/>
        <v>1.5790002510152324E-2</v>
      </c>
      <c r="K155" s="457"/>
      <c r="L155" s="163"/>
      <c r="M155" s="163"/>
      <c r="O155" s="329">
        <f t="shared" si="43"/>
        <v>3.6850912096682249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'[70]Sch C'!D152</f>
        <v>346.78</v>
      </c>
      <c r="D156" s="480">
        <f>'[70]Sch C'!F152</f>
        <v>0</v>
      </c>
      <c r="E156" s="480">
        <f>+'[70]Sch C'!H152</f>
        <v>0</v>
      </c>
      <c r="F156" s="166">
        <f t="shared" si="50"/>
        <v>346.78</v>
      </c>
      <c r="G156" s="626"/>
      <c r="H156" s="372"/>
      <c r="I156" s="166">
        <f t="shared" si="51"/>
        <v>346.78</v>
      </c>
      <c r="J156" s="167">
        <f t="shared" si="52"/>
        <v>8.4704970022225204E-5</v>
      </c>
      <c r="K156" s="458"/>
      <c r="L156" s="163"/>
      <c r="M156" s="163"/>
      <c r="O156" s="329">
        <f t="shared" si="43"/>
        <v>1.9768555466879487E-2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'[70]Sch C'!D153</f>
        <v>2885.11</v>
      </c>
      <c r="D157" s="480">
        <f>'[70]Sch C'!F153</f>
        <v>0</v>
      </c>
      <c r="E157" s="480">
        <f>+'[70]Sch C'!H153</f>
        <v>0</v>
      </c>
      <c r="F157" s="166">
        <f t="shared" si="50"/>
        <v>2885.11</v>
      </c>
      <c r="G157" s="626"/>
      <c r="H157" s="372"/>
      <c r="I157" s="166">
        <f t="shared" si="51"/>
        <v>2885.11</v>
      </c>
      <c r="J157" s="167">
        <f t="shared" si="52"/>
        <v>7.0472102214897683E-4</v>
      </c>
      <c r="K157" s="458"/>
      <c r="L157" s="163"/>
      <c r="M157" s="163"/>
      <c r="O157" s="329">
        <f t="shared" si="43"/>
        <v>0.16446870368259037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'[70]Sch C'!D154</f>
        <v>0</v>
      </c>
      <c r="D158" s="480">
        <f>'[70]Sch C'!F154</f>
        <v>0</v>
      </c>
      <c r="E158" s="480">
        <f>+'[70]Sch C'!H154</f>
        <v>0</v>
      </c>
      <c r="F158" s="166">
        <f t="shared" si="50"/>
        <v>0</v>
      </c>
      <c r="G158" s="626"/>
      <c r="H158" s="372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376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'[70]Sch C'!D156</f>
        <v>0</v>
      </c>
      <c r="D160" s="480">
        <f>'[70]Sch C'!F156</f>
        <v>0</v>
      </c>
      <c r="E160" s="480">
        <f>+'[70]Sch C'!H156</f>
        <v>0</v>
      </c>
      <c r="F160" s="166">
        <f t="shared" ref="F160:F165" si="53">C160+D160+E160</f>
        <v>0</v>
      </c>
      <c r="G160" s="626"/>
      <c r="H160" s="372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'[70]Sch C'!D157</f>
        <v>2200</v>
      </c>
      <c r="D161" s="480">
        <f>'[70]Sch C'!F157</f>
        <v>0</v>
      </c>
      <c r="E161" s="480">
        <f>+'[70]Sch C'!H157</f>
        <v>0</v>
      </c>
      <c r="F161" s="166">
        <f t="shared" si="53"/>
        <v>2200</v>
      </c>
      <c r="G161" s="626"/>
      <c r="H161" s="372"/>
      <c r="I161" s="166">
        <f t="shared" si="54"/>
        <v>2200</v>
      </c>
      <c r="J161" s="167">
        <f t="shared" si="55"/>
        <v>5.3737509097668678E-4</v>
      </c>
      <c r="K161" s="458"/>
      <c r="L161" s="163"/>
      <c r="M161" s="163"/>
      <c r="O161" s="329">
        <f t="shared" si="43"/>
        <v>0.12541329380914376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'[70]Sch C'!D158</f>
        <v>0</v>
      </c>
      <c r="D162" s="480">
        <f>'[70]Sch C'!F158</f>
        <v>0</v>
      </c>
      <c r="E162" s="480">
        <f>+'[70]Sch C'!H158</f>
        <v>0</v>
      </c>
      <c r="F162" s="166">
        <f t="shared" si="53"/>
        <v>0</v>
      </c>
      <c r="G162" s="626"/>
      <c r="H162" s="372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'[70]Sch C'!D159</f>
        <v>0</v>
      </c>
      <c r="D163" s="480">
        <f>'[70]Sch C'!F159</f>
        <v>0</v>
      </c>
      <c r="E163" s="480">
        <f>+'[70]Sch C'!H159</f>
        <v>0</v>
      </c>
      <c r="F163" s="166">
        <f t="shared" si="53"/>
        <v>0</v>
      </c>
      <c r="G163" s="626"/>
      <c r="H163" s="372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'[70]Sch C'!D160</f>
        <v>0</v>
      </c>
      <c r="D164" s="480">
        <f>'[70]Sch C'!F160</f>
        <v>0</v>
      </c>
      <c r="E164" s="480">
        <f>+'[70]Sch C'!H160</f>
        <v>0</v>
      </c>
      <c r="F164" s="166">
        <f t="shared" si="53"/>
        <v>0</v>
      </c>
      <c r="G164" s="626"/>
      <c r="H164" s="372"/>
      <c r="I164" s="166">
        <f t="shared" si="54"/>
        <v>0</v>
      </c>
      <c r="J164" s="167">
        <f>IF($I$213=0,0,I164/$I$213)</f>
        <v>0</v>
      </c>
      <c r="K164" s="457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'[70]Sch C'!D161</f>
        <v>0</v>
      </c>
      <c r="D165" s="480">
        <f>'[70]Sch C'!F161</f>
        <v>0</v>
      </c>
      <c r="E165" s="480">
        <f>+'[70]Sch C'!H161</f>
        <v>0</v>
      </c>
      <c r="F165" s="166">
        <f t="shared" si="53"/>
        <v>0</v>
      </c>
      <c r="G165" s="626"/>
      <c r="H165" s="372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1282513.27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1282513.27</v>
      </c>
      <c r="G166" s="166">
        <f t="shared" si="57"/>
        <v>230919.93</v>
      </c>
      <c r="H166" s="166">
        <f t="shared" si="57"/>
        <v>0</v>
      </c>
      <c r="I166" s="166">
        <f t="shared" si="57"/>
        <v>1513433.2000000002</v>
      </c>
      <c r="J166" s="167">
        <f t="shared" si="55"/>
        <v>0.36967331978960832</v>
      </c>
      <c r="K166" s="458"/>
      <c r="L166" s="163"/>
      <c r="M166" s="163"/>
      <c r="O166" s="329">
        <f>I166/I$233</f>
        <v>86.274837532778491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375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387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'[70]Sch C'!D175</f>
        <v>0</v>
      </c>
      <c r="D169" s="480">
        <f>'[70]Sch C'!F175</f>
        <v>0</v>
      </c>
      <c r="E169" s="480">
        <f>+'[70]Sch C'!H175</f>
        <v>0</v>
      </c>
      <c r="F169" s="166">
        <f t="shared" ref="F169:F201" si="58">C169+D169+E169</f>
        <v>0</v>
      </c>
      <c r="G169" s="626"/>
      <c r="H169" s="372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'[70]Sch C'!D176</f>
        <v>0</v>
      </c>
      <c r="D170" s="480">
        <f>'[70]Sch C'!F176</f>
        <v>0</v>
      </c>
      <c r="E170" s="480">
        <f>+'[70]Sch C'!H176</f>
        <v>0</v>
      </c>
      <c r="F170" s="166">
        <f t="shared" si="58"/>
        <v>0</v>
      </c>
      <c r="G170" s="626"/>
      <c r="H170" s="372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'[70]Sch C'!D177</f>
        <v>0</v>
      </c>
      <c r="D171" s="480">
        <f>'[70]Sch C'!F177</f>
        <v>0</v>
      </c>
      <c r="E171" s="480">
        <f>+'[70]Sch C'!H177</f>
        <v>0</v>
      </c>
      <c r="F171" s="166">
        <f t="shared" si="58"/>
        <v>0</v>
      </c>
      <c r="G171" s="626"/>
      <c r="H171" s="372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'[70]Sch C'!D178</f>
        <v>0</v>
      </c>
      <c r="D172" s="480">
        <f>'[70]Sch C'!F178</f>
        <v>0</v>
      </c>
      <c r="E172" s="480">
        <f>+'[70]Sch C'!H178</f>
        <v>0</v>
      </c>
      <c r="F172" s="166">
        <f t="shared" si="58"/>
        <v>0</v>
      </c>
      <c r="G172" s="626"/>
      <c r="H172" s="372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'[70]Sch C'!D179</f>
        <v>0</v>
      </c>
      <c r="D173" s="480">
        <f>'[70]Sch C'!F179</f>
        <v>0</v>
      </c>
      <c r="E173" s="480">
        <f>+'[70]Sch C'!H179</f>
        <v>0</v>
      </c>
      <c r="F173" s="166">
        <f t="shared" si="58"/>
        <v>0</v>
      </c>
      <c r="G173" s="626"/>
      <c r="H173" s="372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'[70]Sch C'!D180</f>
        <v>0</v>
      </c>
      <c r="D174" s="480">
        <f>'[70]Sch C'!F180</f>
        <v>0</v>
      </c>
      <c r="E174" s="480">
        <f>+'[70]Sch C'!H180</f>
        <v>0</v>
      </c>
      <c r="F174" s="166">
        <f t="shared" si="58"/>
        <v>0</v>
      </c>
      <c r="G174" s="626"/>
      <c r="H174" s="372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'[70]Sch C'!D181</f>
        <v>0</v>
      </c>
      <c r="D175" s="480">
        <f>'[70]Sch C'!F181</f>
        <v>0</v>
      </c>
      <c r="E175" s="480">
        <f>+'[70]Sch C'!H181</f>
        <v>0</v>
      </c>
      <c r="F175" s="166">
        <f t="shared" si="58"/>
        <v>0</v>
      </c>
      <c r="G175" s="626"/>
      <c r="H175" s="372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'[70]Sch C'!D182</f>
        <v>0</v>
      </c>
      <c r="D176" s="480">
        <f>'[70]Sch C'!F182</f>
        <v>0</v>
      </c>
      <c r="E176" s="480">
        <f>+'[70]Sch C'!H182</f>
        <v>0</v>
      </c>
      <c r="F176" s="166">
        <f t="shared" si="58"/>
        <v>0</v>
      </c>
      <c r="G176" s="626"/>
      <c r="H176" s="372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'[70]Sch C'!D183</f>
        <v>0</v>
      </c>
      <c r="D177" s="480">
        <f>'[70]Sch C'!F183</f>
        <v>0</v>
      </c>
      <c r="E177" s="480">
        <f>+'[70]Sch C'!H183</f>
        <v>0</v>
      </c>
      <c r="F177" s="166">
        <f t="shared" si="58"/>
        <v>0</v>
      </c>
      <c r="G177" s="626"/>
      <c r="H177" s="372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'[70]Sch C'!D184</f>
        <v>0</v>
      </c>
      <c r="D178" s="480">
        <f>'[70]Sch C'!F184</f>
        <v>0</v>
      </c>
      <c r="E178" s="480">
        <f>+'[70]Sch C'!H184</f>
        <v>0</v>
      </c>
      <c r="F178" s="166">
        <f t="shared" si="58"/>
        <v>0</v>
      </c>
      <c r="G178" s="626"/>
      <c r="H178" s="372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'[70]Sch C'!D185</f>
        <v>0</v>
      </c>
      <c r="D179" s="480">
        <f>'[70]Sch C'!F185</f>
        <v>0</v>
      </c>
      <c r="E179" s="480">
        <f>+'[70]Sch C'!H185</f>
        <v>0</v>
      </c>
      <c r="F179" s="166">
        <f t="shared" si="58"/>
        <v>0</v>
      </c>
      <c r="G179" s="626"/>
      <c r="H179" s="372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'[70]Sch C'!D186</f>
        <v>0</v>
      </c>
      <c r="D180" s="480">
        <f>'[70]Sch C'!F186</f>
        <v>0</v>
      </c>
      <c r="E180" s="480">
        <f>+'[70]Sch C'!H186</f>
        <v>0</v>
      </c>
      <c r="F180" s="166">
        <f t="shared" si="58"/>
        <v>0</v>
      </c>
      <c r="G180" s="626"/>
      <c r="H180" s="372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'[70]Sch C'!D187</f>
        <v>0</v>
      </c>
      <c r="D181" s="480">
        <f>'[70]Sch C'!F187</f>
        <v>0</v>
      </c>
      <c r="E181" s="480">
        <f>+'[70]Sch C'!H187</f>
        <v>0</v>
      </c>
      <c r="F181" s="166">
        <f t="shared" si="58"/>
        <v>0</v>
      </c>
      <c r="G181" s="626"/>
      <c r="H181" s="372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'[70]Sch C'!D188</f>
        <v>156.94999999999999</v>
      </c>
      <c r="D182" s="480">
        <f>'[70]Sch C'!F188</f>
        <v>0</v>
      </c>
      <c r="E182" s="480">
        <f>+'[70]Sch C'!H188</f>
        <v>0</v>
      </c>
      <c r="F182" s="166">
        <f t="shared" si="58"/>
        <v>156.94999999999999</v>
      </c>
      <c r="G182" s="626"/>
      <c r="H182" s="372"/>
      <c r="I182" s="166">
        <f t="shared" si="59"/>
        <v>156.94999999999999</v>
      </c>
      <c r="J182" s="167">
        <f t="shared" si="60"/>
        <v>3.8336827513086815E-5</v>
      </c>
      <c r="K182" s="458"/>
      <c r="L182" s="213"/>
      <c r="M182" s="208"/>
      <c r="N182" s="210"/>
      <c r="O182" s="329">
        <f t="shared" si="61"/>
        <v>8.9470983924295963E-3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'[70]Sch C'!D189</f>
        <v>0</v>
      </c>
      <c r="D183" s="480">
        <f>'[70]Sch C'!F189</f>
        <v>0</v>
      </c>
      <c r="E183" s="480">
        <f>+'[70]Sch C'!H189</f>
        <v>0</v>
      </c>
      <c r="F183" s="166">
        <f t="shared" si="58"/>
        <v>0</v>
      </c>
      <c r="G183" s="626"/>
      <c r="H183" s="372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'[70]Sch C'!D190</f>
        <v>0</v>
      </c>
      <c r="D184" s="480">
        <f>'[70]Sch C'!F190</f>
        <v>0</v>
      </c>
      <c r="E184" s="480">
        <f>+'[70]Sch C'!H190</f>
        <v>0</v>
      </c>
      <c r="F184" s="166">
        <f t="shared" si="58"/>
        <v>0</v>
      </c>
      <c r="G184" s="626"/>
      <c r="H184" s="372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'[70]Sch C'!D191</f>
        <v>0</v>
      </c>
      <c r="D185" s="480">
        <f>'[70]Sch C'!F191</f>
        <v>0</v>
      </c>
      <c r="E185" s="480">
        <f>+'[70]Sch C'!H191</f>
        <v>0</v>
      </c>
      <c r="F185" s="166">
        <f t="shared" si="58"/>
        <v>0</v>
      </c>
      <c r="G185" s="626"/>
      <c r="H185" s="372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'[70]Sch C'!D192</f>
        <v>0</v>
      </c>
      <c r="D186" s="480">
        <f>'[70]Sch C'!F192</f>
        <v>0</v>
      </c>
      <c r="E186" s="480">
        <f>+'[70]Sch C'!H192</f>
        <v>0</v>
      </c>
      <c r="F186" s="166">
        <f t="shared" si="58"/>
        <v>0</v>
      </c>
      <c r="G186" s="626"/>
      <c r="H186" s="372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'[70]Sch C'!D193</f>
        <v>0</v>
      </c>
      <c r="D187" s="480">
        <f>'[70]Sch C'!F193</f>
        <v>0</v>
      </c>
      <c r="E187" s="480">
        <f>+'[70]Sch C'!H193</f>
        <v>0</v>
      </c>
      <c r="F187" s="166">
        <f t="shared" si="58"/>
        <v>0</v>
      </c>
      <c r="G187" s="626"/>
      <c r="H187" s="372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'[70]Sch C'!D194</f>
        <v>133003.99</v>
      </c>
      <c r="D188" s="480">
        <f>'[70]Sch C'!F194</f>
        <v>0</v>
      </c>
      <c r="E188" s="480">
        <f>+'[70]Sch C'!H194</f>
        <v>-10427.51</v>
      </c>
      <c r="F188" s="166">
        <f t="shared" si="58"/>
        <v>122576.48</v>
      </c>
      <c r="G188" s="626"/>
      <c r="H188" s="372"/>
      <c r="I188" s="166">
        <f t="shared" si="59"/>
        <v>122576.48</v>
      </c>
      <c r="J188" s="167">
        <f t="shared" si="60"/>
        <v>2.9940703223455468E-2</v>
      </c>
      <c r="K188" s="458"/>
      <c r="L188" s="213"/>
      <c r="M188" s="208"/>
      <c r="O188" s="329">
        <f t="shared" si="61"/>
        <v>6.9876000456048342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'[70]Sch C'!D195</f>
        <v>2007.13</v>
      </c>
      <c r="D189" s="480">
        <f>'[70]Sch C'!F195</f>
        <v>0</v>
      </c>
      <c r="E189" s="480">
        <f>+'[70]Sch C'!H195</f>
        <v>-157.35</v>
      </c>
      <c r="F189" s="166">
        <f t="shared" si="58"/>
        <v>1849.7800000000002</v>
      </c>
      <c r="G189" s="626"/>
      <c r="H189" s="372"/>
      <c r="I189" s="166">
        <f t="shared" si="59"/>
        <v>1849.7800000000002</v>
      </c>
      <c r="J189" s="167">
        <f t="shared" si="60"/>
        <v>4.518298617212981E-4</v>
      </c>
      <c r="K189" s="458"/>
      <c r="L189" s="213"/>
      <c r="M189" s="208"/>
      <c r="O189" s="329">
        <f t="shared" si="61"/>
        <v>0.1054486375555809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'[70]Sch C'!D196</f>
        <v>0</v>
      </c>
      <c r="D190" s="480">
        <f>'[70]Sch C'!F196</f>
        <v>0</v>
      </c>
      <c r="E190" s="480">
        <f>+'[70]Sch C'!H196</f>
        <v>0</v>
      </c>
      <c r="F190" s="166">
        <f t="shared" si="58"/>
        <v>0</v>
      </c>
      <c r="G190" s="626"/>
      <c r="H190" s="372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'[70]Sch C'!D197</f>
        <v>100142.83</v>
      </c>
      <c r="D191" s="480">
        <f>'[70]Sch C'!F197</f>
        <v>0</v>
      </c>
      <c r="E191" s="480">
        <f>+'[70]Sch C'!H197</f>
        <v>-7851.19</v>
      </c>
      <c r="F191" s="166">
        <f t="shared" si="58"/>
        <v>92291.64</v>
      </c>
      <c r="G191" s="626"/>
      <c r="H191" s="372"/>
      <c r="I191" s="166">
        <f t="shared" si="59"/>
        <v>92291.64</v>
      </c>
      <c r="J191" s="167">
        <f t="shared" si="60"/>
        <v>2.2543285655176194E-2</v>
      </c>
      <c r="K191" s="458"/>
      <c r="L191" s="213"/>
      <c r="M191" s="208"/>
      <c r="O191" s="329">
        <f t="shared" si="61"/>
        <v>5.2611811652035119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'[70]Sch C'!D198</f>
        <v>5992.34</v>
      </c>
      <c r="D192" s="480">
        <f>'[70]Sch C'!F198</f>
        <v>0</v>
      </c>
      <c r="E192" s="480">
        <f>+'[70]Sch C'!H198</f>
        <v>0</v>
      </c>
      <c r="F192" s="166">
        <f t="shared" si="58"/>
        <v>5992.34</v>
      </c>
      <c r="G192" s="626"/>
      <c r="H192" s="372"/>
      <c r="I192" s="166">
        <f t="shared" si="59"/>
        <v>5992.34</v>
      </c>
      <c r="J192" s="167">
        <f t="shared" si="60"/>
        <v>1.4636973875741999E-3</v>
      </c>
      <c r="K192" s="458"/>
      <c r="L192" s="213"/>
      <c r="M192" s="208"/>
      <c r="O192" s="329">
        <f t="shared" si="61"/>
        <v>0.341599589556493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'[70]Sch C'!D199</f>
        <v>0</v>
      </c>
      <c r="D193" s="480">
        <f>'[70]Sch C'!F199</f>
        <v>0</v>
      </c>
      <c r="E193" s="480">
        <f>+'[70]Sch C'!H199</f>
        <v>0</v>
      </c>
      <c r="F193" s="166">
        <f t="shared" si="58"/>
        <v>0</v>
      </c>
      <c r="G193" s="626"/>
      <c r="H193" s="372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'[70]Sch C'!D200</f>
        <v>0</v>
      </c>
      <c r="D194" s="480">
        <f>'[70]Sch C'!F200</f>
        <v>0</v>
      </c>
      <c r="E194" s="480">
        <f>+'[70]Sch C'!H200</f>
        <v>0</v>
      </c>
      <c r="F194" s="166">
        <f t="shared" si="58"/>
        <v>0</v>
      </c>
      <c r="G194" s="626"/>
      <c r="H194" s="372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'[70]Sch C'!D201</f>
        <v>0</v>
      </c>
      <c r="D195" s="480">
        <f>'[70]Sch C'!F201</f>
        <v>0</v>
      </c>
      <c r="E195" s="480">
        <f>+'[70]Sch C'!H201</f>
        <v>0</v>
      </c>
      <c r="F195" s="166">
        <f t="shared" si="58"/>
        <v>0</v>
      </c>
      <c r="G195" s="626"/>
      <c r="H195" s="372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'[70]Sch C'!D202</f>
        <v>57.35</v>
      </c>
      <c r="D196" s="480">
        <f>'[70]Sch C'!F202</f>
        <v>0</v>
      </c>
      <c r="E196" s="480">
        <f>+'[70]Sch C'!H202</f>
        <v>0</v>
      </c>
      <c r="F196" s="166">
        <f t="shared" si="58"/>
        <v>57.35</v>
      </c>
      <c r="G196" s="626"/>
      <c r="H196" s="372"/>
      <c r="I196" s="166">
        <f t="shared" si="59"/>
        <v>57.35</v>
      </c>
      <c r="J196" s="167">
        <f t="shared" si="60"/>
        <v>1.4008391576142268E-5</v>
      </c>
      <c r="K196" s="458"/>
      <c r="L196" s="213"/>
      <c r="M196" s="208"/>
      <c r="O196" s="329">
        <f t="shared" si="61"/>
        <v>3.2692965454338163E-3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'[70]Sch C'!D203</f>
        <v>0</v>
      </c>
      <c r="D197" s="480">
        <f>'[70]Sch C'!F203</f>
        <v>0</v>
      </c>
      <c r="E197" s="480">
        <f>+'[70]Sch C'!H203</f>
        <v>0</v>
      </c>
      <c r="F197" s="166">
        <f t="shared" si="58"/>
        <v>0</v>
      </c>
      <c r="G197" s="626"/>
      <c r="H197" s="372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'[70]Sch C'!D204</f>
        <v>0</v>
      </c>
      <c r="D198" s="480">
        <f>'[70]Sch C'!F204</f>
        <v>0</v>
      </c>
      <c r="E198" s="480">
        <f>+'[70]Sch C'!H204</f>
        <v>0</v>
      </c>
      <c r="F198" s="166">
        <f t="shared" si="58"/>
        <v>0</v>
      </c>
      <c r="G198" s="626"/>
      <c r="H198" s="372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'[70]Sch C'!D205</f>
        <v>116719.67999999999</v>
      </c>
      <c r="D199" s="480">
        <f>'[70]Sch C'!F205</f>
        <v>0</v>
      </c>
      <c r="E199" s="480">
        <f>+'[70]Sch C'!H205</f>
        <v>0</v>
      </c>
      <c r="F199" s="166">
        <f t="shared" si="58"/>
        <v>116719.67999999999</v>
      </c>
      <c r="G199" s="626"/>
      <c r="H199" s="372"/>
      <c r="I199" s="166">
        <f t="shared" si="59"/>
        <v>116719.67999999999</v>
      </c>
      <c r="J199" s="167">
        <f t="shared" si="60"/>
        <v>2.8510113026713531E-2</v>
      </c>
      <c r="K199" s="458"/>
      <c r="L199" s="213"/>
      <c r="M199" s="208"/>
      <c r="O199" s="329">
        <f t="shared" si="61"/>
        <v>6.6537270550678365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'[70]Sch C'!D206</f>
        <v>556.44000000000005</v>
      </c>
      <c r="D200" s="480">
        <f>'[70]Sch C'!F206</f>
        <v>0</v>
      </c>
      <c r="E200" s="480">
        <f>+'[70]Sch C'!H206</f>
        <v>0</v>
      </c>
      <c r="F200" s="166">
        <f t="shared" si="58"/>
        <v>556.44000000000005</v>
      </c>
      <c r="G200" s="626"/>
      <c r="H200" s="372"/>
      <c r="I200" s="166">
        <f t="shared" si="59"/>
        <v>556.44000000000005</v>
      </c>
      <c r="J200" s="167">
        <f t="shared" si="60"/>
        <v>1.3591681619230347E-4</v>
      </c>
      <c r="K200" s="458"/>
      <c r="L200" s="213"/>
      <c r="M200" s="208"/>
      <c r="O200" s="329">
        <f t="shared" si="61"/>
        <v>3.1720442366890894E-2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'[70]Sch C'!D207</f>
        <v>0</v>
      </c>
      <c r="D201" s="480">
        <f>'[70]Sch C'!F207</f>
        <v>0</v>
      </c>
      <c r="E201" s="480">
        <f>+'[70]Sch C'!H207</f>
        <v>0</v>
      </c>
      <c r="F201" s="166">
        <f t="shared" si="58"/>
        <v>0</v>
      </c>
      <c r="G201" s="626"/>
      <c r="H201" s="372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358636.71</v>
      </c>
      <c r="D202" s="480">
        <f t="shared" si="62"/>
        <v>0</v>
      </c>
      <c r="E202" s="480">
        <f t="shared" si="62"/>
        <v>-18436.05</v>
      </c>
      <c r="F202" s="166">
        <f t="shared" ref="F202:I202" si="63">SUM(F169:F201)</f>
        <v>340200.66</v>
      </c>
      <c r="G202" s="166">
        <f t="shared" si="63"/>
        <v>0</v>
      </c>
      <c r="H202" s="166">
        <f t="shared" si="63"/>
        <v>0</v>
      </c>
      <c r="I202" s="166">
        <f t="shared" si="63"/>
        <v>340200.66</v>
      </c>
      <c r="J202" s="167">
        <f>IF($I$213=0,0,I202/$I$213)</f>
        <v>8.3097891189922224E-2</v>
      </c>
      <c r="K202" s="458"/>
      <c r="L202" s="163"/>
      <c r="M202" s="163"/>
      <c r="O202" s="329">
        <f>I202/I$233</f>
        <v>19.393493330293008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377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691" t="s">
        <v>670</v>
      </c>
      <c r="H204" s="377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'[70]Sch C'!D211</f>
        <v>92614.28</v>
      </c>
      <c r="D205" s="480">
        <f>'[70]Sch C'!F211</f>
        <v>0</v>
      </c>
      <c r="E205" s="480">
        <f>+'[70]Sch C'!H211</f>
        <v>0</v>
      </c>
      <c r="F205" s="166">
        <f t="shared" ref="F205:F210" si="64">C205+D205+E205</f>
        <v>92614.28</v>
      </c>
      <c r="G205" s="626"/>
      <c r="H205" s="372"/>
      <c r="I205" s="166">
        <f t="shared" ref="I205:I210" si="65">F205+G205+H205</f>
        <v>92614.28</v>
      </c>
      <c r="J205" s="167">
        <f t="shared" ref="J205:J211" si="66">IF($I$213=0,0,I205/$I$213)</f>
        <v>2.2622094154881974E-2</v>
      </c>
      <c r="K205" s="458"/>
      <c r="L205" s="176">
        <v>6746.44</v>
      </c>
      <c r="M205" s="176">
        <v>7222.62</v>
      </c>
      <c r="O205" s="329">
        <f t="shared" ref="O205:O210" si="67">I205/I$233</f>
        <v>5.2795735948010485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'[70]Sch C'!D212</f>
        <v>0</v>
      </c>
      <c r="D206" s="480">
        <f>'[70]Sch C'!F212</f>
        <v>0</v>
      </c>
      <c r="E206" s="480">
        <f>+'[70]Sch C'!H212</f>
        <v>0</v>
      </c>
      <c r="F206" s="166">
        <f t="shared" si="64"/>
        <v>0</v>
      </c>
      <c r="G206" s="626">
        <v>18007.78</v>
      </c>
      <c r="H206" s="372"/>
      <c r="I206" s="166">
        <f t="shared" si="65"/>
        <v>18007.78</v>
      </c>
      <c r="J206" s="167">
        <f t="shared" si="66"/>
        <v>4.3986056435400727E-3</v>
      </c>
      <c r="K206" s="457" t="s">
        <v>374</v>
      </c>
      <c r="L206" s="163"/>
      <c r="M206" s="163"/>
      <c r="O206" s="329">
        <f t="shared" si="67"/>
        <v>1.0265522745411013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'[70]Sch C'!D213</f>
        <v>10646.25</v>
      </c>
      <c r="D207" s="480">
        <f>'[70]Sch C'!F213</f>
        <v>0</v>
      </c>
      <c r="E207" s="480">
        <f>+'[70]Sch C'!H213</f>
        <v>0</v>
      </c>
      <c r="F207" s="166">
        <f t="shared" si="64"/>
        <v>10646.25</v>
      </c>
      <c r="G207" s="626"/>
      <c r="H207" s="372"/>
      <c r="I207" s="166">
        <f t="shared" si="65"/>
        <v>10646.25</v>
      </c>
      <c r="J207" s="167">
        <f t="shared" si="66"/>
        <v>2.6004679828684329E-3</v>
      </c>
      <c r="K207" s="458"/>
      <c r="L207" s="163"/>
      <c r="M207" s="163"/>
      <c r="O207" s="329">
        <f t="shared" si="67"/>
        <v>0.60690058146163495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'[70]Sch C'!D214</f>
        <v>0</v>
      </c>
      <c r="D208" s="480">
        <f>'[70]Sch C'!F214</f>
        <v>0</v>
      </c>
      <c r="E208" s="480">
        <f>+'[70]Sch C'!H214</f>
        <v>0</v>
      </c>
      <c r="F208" s="166">
        <f t="shared" si="64"/>
        <v>0</v>
      </c>
      <c r="G208" s="626"/>
      <c r="H208" s="372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'[70]Sch C'!D215</f>
        <v>0</v>
      </c>
      <c r="D209" s="480">
        <f>'[70]Sch C'!F215</f>
        <v>0</v>
      </c>
      <c r="E209" s="480">
        <f>+'[70]Sch C'!H215</f>
        <v>0</v>
      </c>
      <c r="F209" s="166">
        <f t="shared" si="64"/>
        <v>0</v>
      </c>
      <c r="G209" s="626"/>
      <c r="H209" s="372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'[70]Sch C'!D216</f>
        <v>3356.39</v>
      </c>
      <c r="D210" s="480">
        <f>'[70]Sch C'!F216</f>
        <v>0</v>
      </c>
      <c r="E210" s="480">
        <f>+'[70]Sch C'!H216</f>
        <v>0</v>
      </c>
      <c r="F210" s="166">
        <f t="shared" si="64"/>
        <v>3356.39</v>
      </c>
      <c r="G210" s="626"/>
      <c r="H210" s="372"/>
      <c r="I210" s="166">
        <f t="shared" si="65"/>
        <v>3356.39</v>
      </c>
      <c r="J210" s="167">
        <f t="shared" si="66"/>
        <v>8.1983653709238262E-4</v>
      </c>
      <c r="K210" s="457"/>
      <c r="L210" s="163"/>
      <c r="M210" s="163"/>
      <c r="O210" s="329">
        <f t="shared" si="67"/>
        <v>0.19133451145821456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106616.92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106616.92</v>
      </c>
      <c r="G211" s="166">
        <f t="shared" si="69"/>
        <v>18007.78</v>
      </c>
      <c r="H211" s="166">
        <f t="shared" si="69"/>
        <v>0</v>
      </c>
      <c r="I211" s="166">
        <f t="shared" si="69"/>
        <v>124624.7</v>
      </c>
      <c r="J211" s="167">
        <f t="shared" si="66"/>
        <v>3.0441004318382862E-2</v>
      </c>
      <c r="K211" s="458"/>
      <c r="L211" s="163"/>
      <c r="M211" s="163"/>
      <c r="O211" s="329">
        <f>I211/I$233</f>
        <v>7.1043609622619996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77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4087907.8099999996</v>
      </c>
      <c r="D213" s="480">
        <f t="shared" si="70"/>
        <v>-51914.15</v>
      </c>
      <c r="E213" s="480">
        <f t="shared" si="70"/>
        <v>71636.990000000005</v>
      </c>
      <c r="F213" s="166">
        <f t="shared" ref="F213:I213" si="71">SUM(F30:F211)/2</f>
        <v>4107630.6499999994</v>
      </c>
      <c r="G213" s="166">
        <f t="shared" si="71"/>
        <v>-13656.000000000029</v>
      </c>
      <c r="H213" s="166">
        <f t="shared" si="71"/>
        <v>0</v>
      </c>
      <c r="I213" s="166">
        <f t="shared" si="71"/>
        <v>4093974.6500000008</v>
      </c>
      <c r="J213" s="167">
        <f>IF($I$213=0,0,I213/$I$213)</f>
        <v>1</v>
      </c>
      <c r="K213" s="458"/>
      <c r="L213" s="176">
        <f>SUM(L30:L205)</f>
        <v>107864.95000000001</v>
      </c>
      <c r="M213" s="176">
        <f>SUM(M30:M205)</f>
        <v>113410.70000000001</v>
      </c>
      <c r="O213" s="329">
        <f>I213/I$233</f>
        <v>233.38129346710755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'[70]Sch C'!D221</f>
        <v>4087907.81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378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377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-37961.189999999013</v>
      </c>
      <c r="D220" s="480">
        <f t="shared" si="72"/>
        <v>51914.15</v>
      </c>
      <c r="E220" s="480">
        <f t="shared" si="72"/>
        <v>-71636.990000000005</v>
      </c>
      <c r="F220" s="166">
        <f t="shared" ref="F220:I220" si="73">F26-F213</f>
        <v>-57684.029999998864</v>
      </c>
      <c r="G220" s="166">
        <f t="shared" si="73"/>
        <v>13656.000000000029</v>
      </c>
      <c r="H220" s="166">
        <f t="shared" si="73"/>
        <v>0</v>
      </c>
      <c r="I220" s="166">
        <f t="shared" si="73"/>
        <v>-44028.030000000726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75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375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377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'[70]Sch D'!C9</f>
        <v>9673</v>
      </c>
      <c r="D224" s="480"/>
      <c r="E224" s="480"/>
      <c r="F224" s="224">
        <f>C224+D224+E224</f>
        <v>9673</v>
      </c>
      <c r="G224" s="627"/>
      <c r="H224" s="379"/>
      <c r="I224" s="224">
        <f>F224+G224+H224</f>
        <v>9673</v>
      </c>
      <c r="J224" s="167">
        <f t="shared" ref="J224:J233" si="74">IF($I$233=0,0,I224/$I$233)</f>
        <v>0.55141945046174889</v>
      </c>
      <c r="K224" s="458"/>
      <c r="L224" s="163"/>
      <c r="M224" s="163"/>
    </row>
    <row r="225" spans="1:13">
      <c r="A225" s="158"/>
      <c r="B225" s="165" t="s">
        <v>201</v>
      </c>
      <c r="C225" s="504">
        <f>'[70]Sch D'!D9</f>
        <v>0</v>
      </c>
      <c r="D225" s="480"/>
      <c r="E225" s="480"/>
      <c r="F225" s="224">
        <f t="shared" ref="F225:F232" si="75">C225+D225+E225</f>
        <v>0</v>
      </c>
      <c r="G225" s="627"/>
      <c r="H225" s="379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'[70]Sch D'!E9</f>
        <v>2266</v>
      </c>
      <c r="D226" s="480"/>
      <c r="E226" s="480"/>
      <c r="F226" s="224">
        <f t="shared" si="75"/>
        <v>2266</v>
      </c>
      <c r="G226" s="627"/>
      <c r="H226" s="379"/>
      <c r="I226" s="224">
        <f t="shared" si="76"/>
        <v>2266</v>
      </c>
      <c r="J226" s="167">
        <f t="shared" si="74"/>
        <v>0.12917569262341808</v>
      </c>
      <c r="K226" s="458"/>
      <c r="L226" s="163"/>
      <c r="M226" s="163"/>
    </row>
    <row r="227" spans="1:13">
      <c r="A227" s="158"/>
      <c r="B227" s="194" t="s">
        <v>315</v>
      </c>
      <c r="C227" s="504">
        <f>'[70]Sch D'!F9</f>
        <v>67</v>
      </c>
      <c r="D227" s="480"/>
      <c r="E227" s="480"/>
      <c r="F227" s="224">
        <f t="shared" si="75"/>
        <v>67</v>
      </c>
      <c r="G227" s="627"/>
      <c r="H227" s="379"/>
      <c r="I227" s="224">
        <f t="shared" si="76"/>
        <v>67</v>
      </c>
      <c r="J227" s="167">
        <f t="shared" si="74"/>
        <v>3.8194048569148331E-3</v>
      </c>
      <c r="K227" s="458"/>
      <c r="L227" s="163"/>
      <c r="M227" s="163"/>
    </row>
    <row r="228" spans="1:13">
      <c r="A228" s="158"/>
      <c r="B228" s="165" t="s">
        <v>65</v>
      </c>
      <c r="C228" s="504">
        <f>'[70]Sch D'!G9</f>
        <v>0</v>
      </c>
      <c r="D228" s="480"/>
      <c r="E228" s="480"/>
      <c r="F228" s="224">
        <f t="shared" si="75"/>
        <v>0</v>
      </c>
      <c r="G228" s="627"/>
      <c r="H228" s="379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'[70]Sch D'!H9</f>
        <v>3073</v>
      </c>
      <c r="D229" s="480"/>
      <c r="E229" s="480"/>
      <c r="F229" s="224">
        <f t="shared" si="75"/>
        <v>3073</v>
      </c>
      <c r="G229" s="627"/>
      <c r="H229" s="379"/>
      <c r="I229" s="224">
        <f t="shared" si="76"/>
        <v>3073</v>
      </c>
      <c r="J229" s="167">
        <f t="shared" si="74"/>
        <v>0.17517956903431764</v>
      </c>
      <c r="K229" s="458"/>
      <c r="L229" s="163"/>
      <c r="M229" s="163"/>
    </row>
    <row r="230" spans="1:13">
      <c r="A230" s="158"/>
      <c r="B230" s="165" t="s">
        <v>219</v>
      </c>
      <c r="C230" s="504">
        <f>'[70]Sch D'!I9</f>
        <v>2314</v>
      </c>
      <c r="D230" s="480"/>
      <c r="E230" s="480"/>
      <c r="F230" s="224">
        <f t="shared" si="75"/>
        <v>2314</v>
      </c>
      <c r="G230" s="627"/>
      <c r="H230" s="379"/>
      <c r="I230" s="224">
        <f t="shared" si="76"/>
        <v>2314</v>
      </c>
      <c r="J230" s="167">
        <f t="shared" si="74"/>
        <v>0.13191198267016305</v>
      </c>
      <c r="K230" s="458"/>
      <c r="L230" s="163"/>
      <c r="M230" s="163"/>
    </row>
    <row r="231" spans="1:13">
      <c r="A231" s="158"/>
      <c r="B231" s="165" t="s">
        <v>218</v>
      </c>
      <c r="C231" s="504">
        <f>'[70]Sch D'!J9</f>
        <v>149</v>
      </c>
      <c r="D231" s="480"/>
      <c r="E231" s="480"/>
      <c r="F231" s="224">
        <f t="shared" si="75"/>
        <v>149</v>
      </c>
      <c r="G231" s="627"/>
      <c r="H231" s="379"/>
      <c r="I231" s="224">
        <f t="shared" si="76"/>
        <v>149</v>
      </c>
      <c r="J231" s="167">
        <f>IF($I$233=0,0,I231/$I$233)</f>
        <v>8.4939003534374637E-3</v>
      </c>
      <c r="K231" s="458"/>
      <c r="L231" s="163"/>
      <c r="M231" s="163"/>
    </row>
    <row r="232" spans="1:13">
      <c r="A232" s="158"/>
      <c r="B232" s="165" t="s">
        <v>170</v>
      </c>
      <c r="C232" s="504">
        <f>'[70]Sch D'!K9</f>
        <v>0</v>
      </c>
      <c r="D232" s="480"/>
      <c r="E232" s="480"/>
      <c r="F232" s="224">
        <f t="shared" si="75"/>
        <v>0</v>
      </c>
      <c r="G232" s="627"/>
      <c r="H232" s="379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17542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17542</v>
      </c>
      <c r="G233" s="380">
        <f t="shared" si="78"/>
        <v>0</v>
      </c>
      <c r="H233" s="380">
        <f t="shared" si="78"/>
        <v>0</v>
      </c>
      <c r="I233" s="226">
        <f t="shared" si="78"/>
        <v>17542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383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78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'[70]Sch D'!N22</f>
        <v>53</v>
      </c>
      <c r="D236" s="480"/>
      <c r="E236" s="480"/>
      <c r="F236" s="224">
        <f>C236+E236</f>
        <v>53</v>
      </c>
      <c r="G236" s="627"/>
      <c r="H236" s="384"/>
      <c r="I236" s="224">
        <f>F236+G236+H236</f>
        <v>53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'[70]Sch D'!N24</f>
        <v>53</v>
      </c>
      <c r="D237" s="480"/>
      <c r="E237" s="480"/>
      <c r="F237" s="224">
        <f>C237+E237</f>
        <v>53</v>
      </c>
      <c r="G237" s="627"/>
      <c r="H237" s="384"/>
      <c r="I237" s="224">
        <f>F237+G237+H237</f>
        <v>53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381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381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'[70]Sch D'!N28</f>
        <v>19345</v>
      </c>
      <c r="D240" s="427"/>
      <c r="E240" s="427"/>
      <c r="F240" s="223">
        <f>F236*F238</f>
        <v>19345</v>
      </c>
      <c r="G240"/>
      <c r="H240" s="381"/>
      <c r="I240" s="223">
        <f>I236*I238</f>
        <v>19345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'[70]Sch D'!N30</f>
        <v>0.90679762212458004</v>
      </c>
      <c r="D241" s="228"/>
      <c r="E241" s="228"/>
      <c r="F241" s="232">
        <f>F233/F240</f>
        <v>0.90679762212458004</v>
      </c>
      <c r="G241"/>
      <c r="H241" s="385"/>
      <c r="I241" s="232">
        <f>I233/I240</f>
        <v>0.90679762212458004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'[70]Sch D'!N32</f>
        <v>0.50002584647195658</v>
      </c>
      <c r="D242" s="228"/>
      <c r="E242" s="228"/>
      <c r="F242" s="232">
        <f>(F224+F225)/F240</f>
        <v>0.50002584647195658</v>
      </c>
      <c r="G242"/>
      <c r="H242" s="385"/>
      <c r="I242" s="232">
        <f>(I224+I225)/I240</f>
        <v>0.50002584647195658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'[70]Sch D'!N34</f>
        <v>0.55141945046174889</v>
      </c>
      <c r="D243" s="228"/>
      <c r="E243" s="228"/>
      <c r="F243" s="232">
        <f>(F242/F241)</f>
        <v>0.55141945046174889</v>
      </c>
      <c r="G243"/>
      <c r="H243" s="385"/>
      <c r="I243" s="232">
        <f>(I242/I241)</f>
        <v>0.55141945046174889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367" t="s">
        <v>321</v>
      </c>
      <c r="I246" s="480">
        <f>'[70]Sch B'!C90</f>
        <v>190.08204767063924</v>
      </c>
      <c r="K246" s="460"/>
    </row>
    <row r="247" spans="1:13">
      <c r="H247" s="367" t="s">
        <v>322</v>
      </c>
      <c r="I247" s="480">
        <f>'[70]Sch B'!E90</f>
        <v>197.81716710182769</v>
      </c>
      <c r="K247" s="460"/>
    </row>
    <row r="248" spans="1:13" ht="15.5">
      <c r="B248"/>
      <c r="H248" s="367" t="s">
        <v>323</v>
      </c>
      <c r="I248" s="480">
        <f>'[70]Sch B'!G90</f>
        <v>238.80486111111111</v>
      </c>
      <c r="K248" s="460"/>
    </row>
    <row r="249" spans="1:13" ht="15.5">
      <c r="B249"/>
      <c r="H249" s="367" t="s">
        <v>324</v>
      </c>
      <c r="I249" s="480">
        <f>'[70]Sch B'!I90</f>
        <v>226.97430722891568</v>
      </c>
      <c r="K249" s="460"/>
    </row>
    <row r="250" spans="1:13" ht="15.5">
      <c r="B250"/>
      <c r="H250" s="367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0">
    <tabColor rgb="FFE28CAB"/>
    <pageSetUpPr fitToPage="1"/>
  </sheetPr>
  <dimension ref="A1:P277"/>
  <sheetViews>
    <sheetView showGridLines="0" topLeftCell="A4" zoomScaleNormal="100" workbookViewId="0">
      <selection activeCell="R1" sqref="R1:AF1048576"/>
    </sheetView>
  </sheetViews>
  <sheetFormatPr defaultColWidth="8.75" defaultRowHeight="14.5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3320312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611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 t="s">
        <v>447</v>
      </c>
      <c r="F1" s="419"/>
      <c r="G1" s="419"/>
      <c r="H1" s="419"/>
      <c r="I1" s="419"/>
      <c r="J1" s="419"/>
      <c r="K1" s="420"/>
    </row>
    <row r="2" spans="1:16" s="613" customFormat="1" ht="23">
      <c r="A2" s="140"/>
      <c r="B2" s="141" t="s">
        <v>178</v>
      </c>
      <c r="C2" s="234" t="s">
        <v>448</v>
      </c>
      <c r="D2" s="234"/>
      <c r="E2" s="234"/>
      <c r="F2" s="142"/>
      <c r="G2" s="142"/>
      <c r="H2" s="138"/>
      <c r="I2" s="138"/>
      <c r="J2" s="138"/>
      <c r="K2" s="316"/>
      <c r="L2" s="139"/>
      <c r="M2" s="139"/>
      <c r="N2" s="138"/>
      <c r="O2" s="138"/>
      <c r="P2" s="138"/>
    </row>
    <row r="3" spans="1:16">
      <c r="A3" s="143"/>
      <c r="B3" s="138" t="s">
        <v>71</v>
      </c>
      <c r="C3" s="557">
        <f>'[71]Sch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'[71]Sch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612" customFormat="1" ht="16.5" customHeight="1">
      <c r="A10" s="158" t="s">
        <v>505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  <c r="N10" s="162"/>
      <c r="O10" s="162"/>
      <c r="P10" s="162"/>
    </row>
    <row r="11" spans="1:16" s="612" customFormat="1" ht="16.5" customHeight="1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  <c r="N11" s="162"/>
      <c r="O11" s="162"/>
      <c r="P11" s="162"/>
    </row>
    <row r="12" spans="1:16" s="612" customFormat="1" ht="16.5" customHeight="1">
      <c r="A12" s="158"/>
      <c r="B12" s="160" t="s">
        <v>512</v>
      </c>
      <c r="C12" s="480">
        <f>'[71]Sch B'!E10</f>
        <v>3212578</v>
      </c>
      <c r="D12" s="480">
        <f>'[71]Sch B'!G10</f>
        <v>-1009607</v>
      </c>
      <c r="E12" s="480"/>
      <c r="F12" s="166">
        <f>C12+D12+E12</f>
        <v>2202971</v>
      </c>
      <c r="G12" s="626"/>
      <c r="H12" s="607"/>
      <c r="I12" s="166">
        <f>F12+G12+H12</f>
        <v>2202971</v>
      </c>
      <c r="J12" s="167">
        <f>IF($I$26=0,0,I12/$I$26)</f>
        <v>0.17244480480290544</v>
      </c>
      <c r="K12" s="463"/>
      <c r="L12" s="163"/>
      <c r="M12" s="163"/>
      <c r="N12" s="162"/>
      <c r="O12" s="162"/>
      <c r="P12" s="162"/>
    </row>
    <row r="13" spans="1:16" s="612" customFormat="1" ht="16.5" customHeight="1">
      <c r="A13" s="158"/>
      <c r="B13" s="160" t="s">
        <v>513</v>
      </c>
      <c r="C13" s="480">
        <f>'[71]Sch B'!E12</f>
        <v>379468</v>
      </c>
      <c r="D13" s="480">
        <f>'[71]Sch B'!G12</f>
        <v>0</v>
      </c>
      <c r="E13" s="480"/>
      <c r="F13" s="166">
        <f t="shared" ref="F13:F25" si="0">C13+D13+E13</f>
        <v>379468</v>
      </c>
      <c r="G13" s="626">
        <v>77980</v>
      </c>
      <c r="H13" s="607"/>
      <c r="I13" s="166">
        <f t="shared" ref="I13:I25" si="1">F13+G13+H13</f>
        <v>457448</v>
      </c>
      <c r="J13" s="167">
        <f>IF($I$26=0,0,I13/$I$26)</f>
        <v>3.5808247619909424E-2</v>
      </c>
      <c r="K13" s="463"/>
      <c r="L13" s="163"/>
      <c r="M13" s="163"/>
      <c r="N13" s="162"/>
      <c r="O13" s="162"/>
      <c r="P13" s="162"/>
    </row>
    <row r="14" spans="1:16" s="612" customFormat="1" ht="16.5" customHeight="1">
      <c r="A14" s="158"/>
      <c r="B14" s="160" t="s">
        <v>514</v>
      </c>
      <c r="C14" s="480">
        <f>'[71]Sch B'!E13</f>
        <v>6077896</v>
      </c>
      <c r="D14" s="480">
        <f>'[71]Sch B'!G13</f>
        <v>0</v>
      </c>
      <c r="E14" s="480"/>
      <c r="F14" s="166">
        <f t="shared" si="0"/>
        <v>6077896</v>
      </c>
      <c r="G14" s="626"/>
      <c r="H14" s="607"/>
      <c r="I14" s="166">
        <f t="shared" si="1"/>
        <v>6077896</v>
      </c>
      <c r="J14" s="167">
        <f>IF($I$26=0,0,I14/$I$26)</f>
        <v>0.47576731120489546</v>
      </c>
      <c r="K14" s="463"/>
      <c r="L14" s="163"/>
      <c r="M14" s="163"/>
      <c r="N14" s="162"/>
      <c r="O14" s="162"/>
      <c r="P14" s="162"/>
    </row>
    <row r="15" spans="1:16" s="612" customFormat="1" ht="16.5" customHeight="1" thickBot="1">
      <c r="A15" s="158"/>
      <c r="B15" s="160" t="s">
        <v>515</v>
      </c>
      <c r="C15" s="480">
        <f>'[71]Sch B'!E14</f>
        <v>0</v>
      </c>
      <c r="D15" s="480">
        <f>'[71]Sch B'!G14</f>
        <v>0</v>
      </c>
      <c r="E15" s="480"/>
      <c r="F15" s="166">
        <f t="shared" si="0"/>
        <v>0</v>
      </c>
      <c r="G15" s="626">
        <v>124542</v>
      </c>
      <c r="H15" s="607"/>
      <c r="I15" s="166">
        <f t="shared" si="1"/>
        <v>124542</v>
      </c>
      <c r="J15" s="167">
        <f>IF($I$26=0,0,I15/$I$26)</f>
        <v>9.7489349064347423E-3</v>
      </c>
      <c r="K15" s="463"/>
      <c r="L15" s="163"/>
      <c r="M15" s="163"/>
      <c r="N15" s="162"/>
      <c r="O15" s="162"/>
      <c r="P15" s="162"/>
    </row>
    <row r="16" spans="1:16" s="612" customFormat="1">
      <c r="A16" s="164" t="s">
        <v>9</v>
      </c>
      <c r="B16" s="165" t="s">
        <v>197</v>
      </c>
      <c r="C16" s="480">
        <f>'[71]Sch B'!E15</f>
        <v>9669942</v>
      </c>
      <c r="D16" s="480">
        <f>'[71]Sch B'!G15</f>
        <v>-1009607</v>
      </c>
      <c r="E16" s="480"/>
      <c r="F16" s="166">
        <f t="shared" si="0"/>
        <v>8660335</v>
      </c>
      <c r="G16" s="626"/>
      <c r="H16" s="607"/>
      <c r="I16" s="166">
        <f>SUM(I12:I15)</f>
        <v>8862857</v>
      </c>
      <c r="J16" s="167">
        <f t="shared" ref="J16:J26" si="2">IF($I$26=0,0,I16/$I$26)</f>
        <v>0.69376929853414504</v>
      </c>
      <c r="K16" s="458"/>
      <c r="L16" s="333" t="s">
        <v>325</v>
      </c>
      <c r="M16" s="334">
        <f>I26</f>
        <v>12774934</v>
      </c>
      <c r="N16" s="162"/>
      <c r="O16" s="324">
        <f>IFERROR(I16/I224,0)</f>
        <v>433.64600254428024</v>
      </c>
      <c r="P16" s="324">
        <f>SUMMARY!L18</f>
        <v>284.96439647002933</v>
      </c>
    </row>
    <row r="17" spans="1:16" s="612" customFormat="1">
      <c r="A17" s="164" t="s">
        <v>11</v>
      </c>
      <c r="B17" s="165" t="s">
        <v>196</v>
      </c>
      <c r="C17" s="480">
        <f>'[71]Sch B'!E20</f>
        <v>0</v>
      </c>
      <c r="D17" s="480">
        <f>'[71]Sch B'!G20</f>
        <v>1009607</v>
      </c>
      <c r="E17" s="480"/>
      <c r="F17" s="166">
        <f t="shared" si="0"/>
        <v>1009607</v>
      </c>
      <c r="G17" s="626"/>
      <c r="H17" s="607"/>
      <c r="I17" s="166">
        <f t="shared" si="1"/>
        <v>1009607</v>
      </c>
      <c r="J17" s="167">
        <f t="shared" si="2"/>
        <v>7.9030310450136185E-2</v>
      </c>
      <c r="K17" s="458"/>
      <c r="L17" s="335" t="s">
        <v>326</v>
      </c>
      <c r="M17" s="336">
        <f>I213</f>
        <v>10532672</v>
      </c>
      <c r="N17" s="162"/>
      <c r="O17" s="324">
        <f t="shared" ref="O17:O24" si="3">IFERROR(I17/I225,0)</f>
        <v>559.02934662236987</v>
      </c>
      <c r="P17" s="324">
        <f>SUMMARY!L19</f>
        <v>273.55163068176057</v>
      </c>
    </row>
    <row r="18" spans="1:16" s="612" customFormat="1">
      <c r="A18" s="164" t="s">
        <v>12</v>
      </c>
      <c r="B18" s="165" t="s">
        <v>162</v>
      </c>
      <c r="C18" s="480">
        <f>'[71]Sch B'!E26</f>
        <v>1248977</v>
      </c>
      <c r="D18" s="480">
        <f>'[71]Sch B'!G26</f>
        <v>0</v>
      </c>
      <c r="E18" s="480"/>
      <c r="F18" s="166">
        <f t="shared" si="0"/>
        <v>1248977</v>
      </c>
      <c r="G18" s="626"/>
      <c r="H18" s="607"/>
      <c r="I18" s="166">
        <f t="shared" si="1"/>
        <v>1248977</v>
      </c>
      <c r="J18" s="167">
        <f t="shared" si="2"/>
        <v>9.7767784945112041E-2</v>
      </c>
      <c r="K18" s="458"/>
      <c r="L18" s="335" t="s">
        <v>327</v>
      </c>
      <c r="M18" s="336">
        <f>I233</f>
        <v>29510</v>
      </c>
      <c r="N18" s="162"/>
      <c r="O18" s="324">
        <f t="shared" si="3"/>
        <v>455.49854121079505</v>
      </c>
      <c r="P18" s="324">
        <f>SUMMARY!L20</f>
        <v>561.11364502829144</v>
      </c>
    </row>
    <row r="19" spans="1:16" s="612" customFormat="1">
      <c r="A19" s="168" t="s">
        <v>14</v>
      </c>
      <c r="B19" s="169" t="s">
        <v>287</v>
      </c>
      <c r="C19" s="480">
        <f>'[71]Sch B'!E32</f>
        <v>1173807</v>
      </c>
      <c r="D19" s="480">
        <f>'[71]Sch B'!G32</f>
        <v>-874874</v>
      </c>
      <c r="E19" s="480"/>
      <c r="F19" s="166">
        <f t="shared" si="0"/>
        <v>298933</v>
      </c>
      <c r="G19" s="626"/>
      <c r="H19" s="607"/>
      <c r="I19" s="166">
        <f t="shared" si="1"/>
        <v>298933</v>
      </c>
      <c r="J19" s="170">
        <f t="shared" si="2"/>
        <v>2.3399964336410662E-2</v>
      </c>
      <c r="K19" s="464"/>
      <c r="L19" s="335" t="s">
        <v>328</v>
      </c>
      <c r="M19" s="336">
        <f>I236</f>
        <v>65</v>
      </c>
      <c r="N19" s="162"/>
      <c r="O19" s="324">
        <f t="shared" si="3"/>
        <v>438.96182085168869</v>
      </c>
      <c r="P19" s="324">
        <f>SUMMARY!L21</f>
        <v>411.84844994976652</v>
      </c>
    </row>
    <row r="20" spans="1:16" s="612" customFormat="1">
      <c r="A20" s="164" t="s">
        <v>15</v>
      </c>
      <c r="B20" s="165" t="s">
        <v>163</v>
      </c>
      <c r="C20" s="480">
        <f>'[71]Sch B'!E37</f>
        <v>0</v>
      </c>
      <c r="D20" s="480">
        <f>'[71]Sch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23725</v>
      </c>
      <c r="N20" s="162"/>
      <c r="O20" s="324">
        <f t="shared" si="3"/>
        <v>0</v>
      </c>
      <c r="P20" s="324">
        <f>SUMMARY!L22</f>
        <v>340.77076510151483</v>
      </c>
    </row>
    <row r="21" spans="1:16" s="612" customFormat="1">
      <c r="A21" s="164" t="s">
        <v>17</v>
      </c>
      <c r="B21" s="165" t="s">
        <v>164</v>
      </c>
      <c r="C21" s="480">
        <f>'[71]Sch B'!E42</f>
        <v>367403</v>
      </c>
      <c r="D21" s="480">
        <f>'[71]Sch B'!G42</f>
        <v>874874</v>
      </c>
      <c r="E21" s="480"/>
      <c r="F21" s="166">
        <f t="shared" si="0"/>
        <v>1242277</v>
      </c>
      <c r="G21" s="626"/>
      <c r="H21" s="607"/>
      <c r="I21" s="166">
        <f t="shared" si="1"/>
        <v>1242277</v>
      </c>
      <c r="J21" s="167">
        <f t="shared" si="2"/>
        <v>9.7243320396019267E-2</v>
      </c>
      <c r="K21" s="458"/>
      <c r="L21" s="337"/>
      <c r="M21" s="336"/>
      <c r="N21" s="162"/>
      <c r="O21" s="324">
        <f t="shared" si="3"/>
        <v>323.25709081446786</v>
      </c>
      <c r="P21" s="324">
        <f>SUMMARY!L23</f>
        <v>225.41338272883894</v>
      </c>
    </row>
    <row r="22" spans="1:16" s="612" customFormat="1">
      <c r="A22" s="164" t="s">
        <v>199</v>
      </c>
      <c r="B22" s="165" t="s">
        <v>212</v>
      </c>
      <c r="C22" s="480">
        <f>'[71]Sch B'!E47</f>
        <v>0</v>
      </c>
      <c r="D22" s="480">
        <f>'[71]Sch B'!G47</f>
        <v>0</v>
      </c>
      <c r="E22" s="480"/>
      <c r="F22" s="166">
        <f t="shared" si="0"/>
        <v>0</v>
      </c>
      <c r="G22" s="626"/>
      <c r="H22" s="607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270371</v>
      </c>
      <c r="N22" s="162"/>
      <c r="O22" s="324">
        <f t="shared" si="3"/>
        <v>0</v>
      </c>
      <c r="P22" s="324">
        <f>SUMMARY!L24</f>
        <v>188.3985734235572</v>
      </c>
    </row>
    <row r="23" spans="1:16" s="612" customFormat="1" ht="15" thickBot="1">
      <c r="A23" s="164" t="s">
        <v>200</v>
      </c>
      <c r="B23" s="165" t="s">
        <v>213</v>
      </c>
      <c r="C23" s="480">
        <f>'[71]Sch B'!E52</f>
        <v>0</v>
      </c>
      <c r="D23" s="480">
        <f>'[71]Sch B'!G52</f>
        <v>0</v>
      </c>
      <c r="E23" s="480"/>
      <c r="F23" s="166">
        <f t="shared" si="0"/>
        <v>0</v>
      </c>
      <c r="G23" s="626"/>
      <c r="H23" s="607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293954</v>
      </c>
      <c r="N23" s="162"/>
      <c r="O23" s="324">
        <f t="shared" si="3"/>
        <v>0</v>
      </c>
      <c r="P23" s="324">
        <f>SUMMARY!L25</f>
        <v>202.2975348857334</v>
      </c>
    </row>
    <row r="24" spans="1:16" s="612" customFormat="1">
      <c r="A24" s="164" t="s">
        <v>211</v>
      </c>
      <c r="B24" s="171" t="s">
        <v>165</v>
      </c>
      <c r="C24" s="480">
        <f>'[71]Sch B'!E57</f>
        <v>0</v>
      </c>
      <c r="D24" s="480">
        <f>'[71]Sch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N24" s="162"/>
      <c r="O24" s="324">
        <f t="shared" si="3"/>
        <v>0</v>
      </c>
      <c r="P24" s="324">
        <f>SUMMARY!L26</f>
        <v>387.88037830590139</v>
      </c>
    </row>
    <row r="25" spans="1:16" s="612" customFormat="1">
      <c r="A25" s="164" t="s">
        <v>173</v>
      </c>
      <c r="B25" s="23" t="s">
        <v>171</v>
      </c>
      <c r="C25" s="480">
        <f>'[71]Sch B'!E72</f>
        <v>112283</v>
      </c>
      <c r="D25" s="480">
        <f>'[71]Sch B'!G72</f>
        <v>0</v>
      </c>
      <c r="E25" s="480"/>
      <c r="F25" s="166">
        <f t="shared" si="0"/>
        <v>112283</v>
      </c>
      <c r="G25" s="626"/>
      <c r="H25" s="607"/>
      <c r="I25" s="166">
        <f t="shared" si="1"/>
        <v>112283</v>
      </c>
      <c r="J25" s="167">
        <f t="shared" si="2"/>
        <v>8.7893213381767758E-3</v>
      </c>
      <c r="K25" s="458" t="s">
        <v>497</v>
      </c>
      <c r="L25" s="163"/>
      <c r="M25" s="163"/>
      <c r="N25" s="162"/>
      <c r="O25" s="327" t="s">
        <v>184</v>
      </c>
      <c r="P25" s="327" t="s">
        <v>184</v>
      </c>
    </row>
    <row r="26" spans="1:16" s="612" customFormat="1">
      <c r="A26" s="164"/>
      <c r="B26" s="172" t="s">
        <v>69</v>
      </c>
      <c r="C26" s="480">
        <f>SUM(C16:C25)</f>
        <v>12572412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12572412</v>
      </c>
      <c r="G26" s="166">
        <f>SUM(G12:G25)</f>
        <v>202522</v>
      </c>
      <c r="H26" s="166">
        <f>SUM(H12:H25)</f>
        <v>0</v>
      </c>
      <c r="I26" s="166">
        <f>SUM(I16:I25)</f>
        <v>12774934</v>
      </c>
      <c r="J26" s="167">
        <f t="shared" si="2"/>
        <v>1</v>
      </c>
      <c r="K26" s="458"/>
      <c r="L26" s="163"/>
      <c r="M26" s="163"/>
      <c r="N26" s="162"/>
      <c r="O26" s="324">
        <f>IFERROR(I26/I233,0)</f>
        <v>432.90186377499151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612" customFormat="1">
      <c r="A30" s="164" t="s">
        <v>75</v>
      </c>
      <c r="B30" s="165" t="s">
        <v>10</v>
      </c>
      <c r="C30" s="480">
        <f>'[71]Sch C'!D10</f>
        <v>0</v>
      </c>
      <c r="D30" s="480">
        <f>'[71]Sch C'!F10</f>
        <v>182410</v>
      </c>
      <c r="E30" s="480">
        <f>+'[71]Sch C'!H10</f>
        <v>0</v>
      </c>
      <c r="F30" s="166">
        <f t="shared" ref="F30:F65" si="5">C30+D30+E30</f>
        <v>182410</v>
      </c>
      <c r="G30" s="626"/>
      <c r="H30" s="607"/>
      <c r="I30" s="166">
        <f t="shared" ref="I30:I65" si="6">F30+G30+H30</f>
        <v>182410</v>
      </c>
      <c r="J30" s="167">
        <f>IF($I$213=0,0,I30/$I$213)</f>
        <v>1.7318492401548251E-2</v>
      </c>
      <c r="K30" s="458"/>
      <c r="L30" s="176">
        <v>743</v>
      </c>
      <c r="M30" s="176">
        <v>805</v>
      </c>
      <c r="N30" s="162"/>
      <c r="O30" s="324">
        <f>I30/I$233</f>
        <v>6.1812944764486613</v>
      </c>
      <c r="P30" s="324">
        <f>SUMMARY!L32</f>
        <v>5.7025515464403815</v>
      </c>
    </row>
    <row r="31" spans="1:16" s="612" customFormat="1">
      <c r="A31" s="164" t="s">
        <v>76</v>
      </c>
      <c r="B31" s="165" t="s">
        <v>167</v>
      </c>
      <c r="C31" s="480">
        <f>'[71]Sch C'!D11</f>
        <v>0</v>
      </c>
      <c r="D31" s="480">
        <f>'[71]Sch C'!F11</f>
        <v>0</v>
      </c>
      <c r="E31" s="480">
        <f>+'[71]Sch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N31" s="162"/>
      <c r="O31" s="324">
        <f t="shared" ref="O31:O65" si="8">I31/I$233</f>
        <v>0</v>
      </c>
      <c r="P31" s="324">
        <f>SUMMARY!L33</f>
        <v>7.4306926374758907E-3</v>
      </c>
    </row>
    <row r="32" spans="1:16" s="612" customFormat="1">
      <c r="A32" s="164" t="s">
        <v>77</v>
      </c>
      <c r="B32" s="165" t="s">
        <v>13</v>
      </c>
      <c r="C32" s="480">
        <f>'[71]Sch C'!D12</f>
        <v>491922</v>
      </c>
      <c r="D32" s="480">
        <f>'[71]Sch C'!F12</f>
        <v>-182410</v>
      </c>
      <c r="E32" s="480">
        <f>+'[71]Sch C'!H12</f>
        <v>0</v>
      </c>
      <c r="F32" s="166">
        <f t="shared" si="5"/>
        <v>309512</v>
      </c>
      <c r="G32" s="626"/>
      <c r="H32" s="607"/>
      <c r="I32" s="166">
        <f t="shared" si="6"/>
        <v>309512</v>
      </c>
      <c r="J32" s="167">
        <f t="shared" si="7"/>
        <v>2.9385895620788343E-2</v>
      </c>
      <c r="K32" s="458"/>
      <c r="L32" s="176">
        <v>14540</v>
      </c>
      <c r="M32" s="176">
        <v>15770</v>
      </c>
      <c r="N32" s="162"/>
      <c r="O32" s="324">
        <f t="shared" si="8"/>
        <v>10.48837682141647</v>
      </c>
      <c r="P32" s="324">
        <f>SUMMARY!L34</f>
        <v>6.6325016080849428</v>
      </c>
    </row>
    <row r="33" spans="1:16" s="612" customFormat="1">
      <c r="A33" s="164" t="s">
        <v>78</v>
      </c>
      <c r="B33" s="165" t="s">
        <v>37</v>
      </c>
      <c r="C33" s="480">
        <f>'[71]Sch C'!D13</f>
        <v>1023438</v>
      </c>
      <c r="D33" s="480">
        <f>'[71]Sch C'!F13</f>
        <v>-940815</v>
      </c>
      <c r="E33" s="480">
        <f>+'[71]Sch C'!H13</f>
        <v>0</v>
      </c>
      <c r="F33" s="166">
        <f t="shared" si="5"/>
        <v>82623</v>
      </c>
      <c r="G33" s="626"/>
      <c r="H33" s="607"/>
      <c r="I33" s="166">
        <f t="shared" si="6"/>
        <v>82623</v>
      </c>
      <c r="J33" s="167">
        <f t="shared" si="7"/>
        <v>7.8444482083938442E-3</v>
      </c>
      <c r="K33" s="458"/>
      <c r="L33" s="163"/>
      <c r="M33" s="163"/>
      <c r="N33" s="162"/>
      <c r="O33" s="324">
        <f t="shared" si="8"/>
        <v>2.7998305659098612</v>
      </c>
      <c r="P33" s="324">
        <f>SUMMARY!L35</f>
        <v>2.633715227073087</v>
      </c>
    </row>
    <row r="34" spans="1:16" s="612" customFormat="1">
      <c r="A34" s="164" t="s">
        <v>166</v>
      </c>
      <c r="B34" s="165" t="s">
        <v>16</v>
      </c>
      <c r="C34" s="480">
        <f>'[71]Sch C'!D14</f>
        <v>505</v>
      </c>
      <c r="D34" s="480">
        <f>'[71]Sch C'!F14</f>
        <v>0</v>
      </c>
      <c r="E34" s="480">
        <f>+'[71]Sch C'!H14</f>
        <v>0</v>
      </c>
      <c r="F34" s="166">
        <f t="shared" si="5"/>
        <v>505</v>
      </c>
      <c r="G34" s="626"/>
      <c r="H34" s="607"/>
      <c r="I34" s="166">
        <f t="shared" si="6"/>
        <v>505</v>
      </c>
      <c r="J34" s="167">
        <f t="shared" si="7"/>
        <v>4.7946048258219759E-5</v>
      </c>
      <c r="K34" s="458"/>
      <c r="L34" s="163"/>
      <c r="M34" s="163"/>
      <c r="N34" s="162"/>
      <c r="O34" s="324">
        <f t="shared" si="8"/>
        <v>1.7112843104032532E-2</v>
      </c>
      <c r="P34" s="324">
        <f>SUMMARY!L36</f>
        <v>6.5625298170003482E-2</v>
      </c>
    </row>
    <row r="35" spans="1:16" s="612" customFormat="1">
      <c r="A35" s="164" t="s">
        <v>80</v>
      </c>
      <c r="B35" s="165" t="s">
        <v>18</v>
      </c>
      <c r="C35" s="480">
        <f>'[71]Sch C'!D15</f>
        <v>0</v>
      </c>
      <c r="D35" s="480">
        <f>'[71]Sch C'!F15</f>
        <v>0</v>
      </c>
      <c r="E35" s="480">
        <f>+'[71]Sch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 t="s">
        <v>494</v>
      </c>
      <c r="L35" s="163"/>
      <c r="M35" s="163"/>
      <c r="N35" s="162"/>
      <c r="O35" s="324">
        <f t="shared" si="8"/>
        <v>0</v>
      </c>
      <c r="P35" s="324">
        <f>SUMMARY!L37</f>
        <v>2.0746895801227896</v>
      </c>
    </row>
    <row r="36" spans="1:16" s="612" customFormat="1">
      <c r="A36" s="164" t="s">
        <v>81</v>
      </c>
      <c r="B36" s="165" t="s">
        <v>140</v>
      </c>
      <c r="C36" s="480">
        <f>'[71]Sch C'!D16</f>
        <v>0</v>
      </c>
      <c r="D36" s="480">
        <f>'[71]Sch C'!F16</f>
        <v>0</v>
      </c>
      <c r="E36" s="480">
        <f>+'[71]Sch C'!H16</f>
        <v>0</v>
      </c>
      <c r="F36" s="166">
        <f t="shared" si="5"/>
        <v>0</v>
      </c>
      <c r="G36" s="626"/>
      <c r="H36" s="607"/>
      <c r="I36" s="166">
        <f t="shared" si="6"/>
        <v>0</v>
      </c>
      <c r="J36" s="167">
        <f t="shared" si="7"/>
        <v>0</v>
      </c>
      <c r="K36" s="458"/>
      <c r="L36" s="163"/>
      <c r="M36" s="163"/>
      <c r="N36" s="162"/>
      <c r="O36" s="324">
        <f t="shared" si="8"/>
        <v>0</v>
      </c>
      <c r="P36" s="324">
        <f>SUMMARY!L38</f>
        <v>11.005418746452923</v>
      </c>
    </row>
    <row r="37" spans="1:16" s="612" customFormat="1">
      <c r="A37" s="164" t="s">
        <v>82</v>
      </c>
      <c r="B37" s="165" t="s">
        <v>19</v>
      </c>
      <c r="C37" s="480">
        <f>'[71]Sch C'!D17</f>
        <v>2410</v>
      </c>
      <c r="D37" s="480">
        <f>'[71]Sch C'!F17</f>
        <v>-2410</v>
      </c>
      <c r="E37" s="480">
        <f>+'[71]Sch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 t="s">
        <v>494</v>
      </c>
      <c r="L37" s="163"/>
      <c r="M37" s="163"/>
      <c r="N37" s="162"/>
      <c r="O37" s="324">
        <f t="shared" si="8"/>
        <v>0</v>
      </c>
      <c r="P37" s="324">
        <f>SUMMARY!L39</f>
        <v>2.8419922440799456E-2</v>
      </c>
    </row>
    <row r="38" spans="1:16" s="612" customFormat="1">
      <c r="A38" s="164" t="s">
        <v>83</v>
      </c>
      <c r="B38" s="165" t="s">
        <v>20</v>
      </c>
      <c r="C38" s="480">
        <f>'[71]Sch C'!D18</f>
        <v>45398</v>
      </c>
      <c r="D38" s="480">
        <f>'[71]Sch C'!F18</f>
        <v>0</v>
      </c>
      <c r="E38" s="480">
        <f>+'[71]Sch C'!H18</f>
        <v>0</v>
      </c>
      <c r="F38" s="166">
        <f t="shared" si="5"/>
        <v>45398</v>
      </c>
      <c r="G38" s="626"/>
      <c r="H38" s="607"/>
      <c r="I38" s="166">
        <f t="shared" si="6"/>
        <v>45398</v>
      </c>
      <c r="J38" s="167">
        <f t="shared" si="7"/>
        <v>4.3102073244092286E-3</v>
      </c>
      <c r="K38" s="458"/>
      <c r="L38" s="163"/>
      <c r="M38" s="163"/>
      <c r="N38" s="162"/>
      <c r="O38" s="324">
        <f t="shared" si="8"/>
        <v>1.5383937648254828</v>
      </c>
      <c r="P38" s="324">
        <f>SUMMARY!L40</f>
        <v>0.80988262736368721</v>
      </c>
    </row>
    <row r="39" spans="1:16" s="612" customFormat="1">
      <c r="A39" s="164" t="s">
        <v>84</v>
      </c>
      <c r="B39" s="165" t="s">
        <v>21</v>
      </c>
      <c r="C39" s="480">
        <f>'[71]Sch C'!D19</f>
        <v>18424</v>
      </c>
      <c r="D39" s="480">
        <f>'[71]Sch C'!F19</f>
        <v>0</v>
      </c>
      <c r="E39" s="480">
        <f>+'[71]Sch C'!H19</f>
        <v>0</v>
      </c>
      <c r="F39" s="166">
        <f t="shared" si="5"/>
        <v>18424</v>
      </c>
      <c r="G39" s="626"/>
      <c r="H39" s="607"/>
      <c r="I39" s="166">
        <f t="shared" si="6"/>
        <v>18424</v>
      </c>
      <c r="J39" s="167">
        <f t="shared" si="7"/>
        <v>1.749223748731566E-3</v>
      </c>
      <c r="K39" s="458"/>
      <c r="L39" s="163"/>
      <c r="M39" s="163"/>
      <c r="N39" s="162"/>
      <c r="O39" s="324">
        <f t="shared" si="8"/>
        <v>0.62433073534395123</v>
      </c>
      <c r="P39" s="324">
        <f>SUMMARY!L41</f>
        <v>0.82657763931017914</v>
      </c>
    </row>
    <row r="40" spans="1:16" s="612" customFormat="1">
      <c r="A40" s="164" t="s">
        <v>85</v>
      </c>
      <c r="B40" s="165" t="s">
        <v>22</v>
      </c>
      <c r="C40" s="480">
        <f>'[71]Sch C'!D20</f>
        <v>36631</v>
      </c>
      <c r="D40" s="480">
        <f>'[71]Sch C'!F20</f>
        <v>0</v>
      </c>
      <c r="E40" s="480">
        <f>+'[71]Sch C'!H20</f>
        <v>0</v>
      </c>
      <c r="F40" s="166">
        <f t="shared" si="5"/>
        <v>36631</v>
      </c>
      <c r="G40" s="626"/>
      <c r="H40" s="607"/>
      <c r="I40" s="166">
        <f t="shared" si="6"/>
        <v>36631</v>
      </c>
      <c r="J40" s="167">
        <f t="shared" si="7"/>
        <v>3.4778449381125702E-3</v>
      </c>
      <c r="K40" s="458"/>
      <c r="L40" s="163"/>
      <c r="M40" s="163"/>
      <c r="N40" s="162"/>
      <c r="O40" s="324">
        <f t="shared" si="8"/>
        <v>1.2413080311758726</v>
      </c>
      <c r="P40" s="324">
        <f>SUMMARY!L42</f>
        <v>0.90392603551804096</v>
      </c>
    </row>
    <row r="41" spans="1:16" s="612" customFormat="1">
      <c r="A41" s="164" t="s">
        <v>86</v>
      </c>
      <c r="B41" s="165" t="s">
        <v>23</v>
      </c>
      <c r="C41" s="480">
        <f>'[71]Sch C'!D21</f>
        <v>90543</v>
      </c>
      <c r="D41" s="480">
        <f>'[71]Sch C'!F21</f>
        <v>-56198</v>
      </c>
      <c r="E41" s="480">
        <f>+'[71]Sch C'!H21</f>
        <v>0</v>
      </c>
      <c r="F41" s="166">
        <f t="shared" si="5"/>
        <v>34345</v>
      </c>
      <c r="G41" s="626"/>
      <c r="H41" s="607">
        <v>1156</v>
      </c>
      <c r="I41" s="166">
        <f t="shared" si="6"/>
        <v>35501</v>
      </c>
      <c r="J41" s="167">
        <f t="shared" si="7"/>
        <v>3.3705597212179399E-3</v>
      </c>
      <c r="K41" s="458" t="s">
        <v>497</v>
      </c>
      <c r="L41" s="163"/>
      <c r="M41" s="163"/>
      <c r="N41" s="162"/>
      <c r="O41" s="324">
        <f t="shared" si="8"/>
        <v>1.2030159268044731</v>
      </c>
      <c r="P41" s="324">
        <f>SUMMARY!L43</f>
        <v>1.1753464048909035</v>
      </c>
    </row>
    <row r="42" spans="1:16" s="612" customFormat="1">
      <c r="A42" s="158">
        <v>130</v>
      </c>
      <c r="B42" s="165" t="s">
        <v>24</v>
      </c>
      <c r="C42" s="480">
        <f>'[71]Sch C'!D22</f>
        <v>0</v>
      </c>
      <c r="D42" s="480">
        <f>'[71]Sch C'!F22</f>
        <v>0</v>
      </c>
      <c r="E42" s="480">
        <f>+'[71]Sch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N42" s="162"/>
      <c r="O42" s="324">
        <f t="shared" si="8"/>
        <v>0</v>
      </c>
      <c r="P42" s="324">
        <f>SUMMARY!L44</f>
        <v>5.0122283354925422E-3</v>
      </c>
    </row>
    <row r="43" spans="1:16" s="612" customFormat="1">
      <c r="A43" s="158">
        <v>140</v>
      </c>
      <c r="B43" s="165" t="s">
        <v>141</v>
      </c>
      <c r="C43" s="480">
        <f>'[71]Sch C'!D23</f>
        <v>39530</v>
      </c>
      <c r="D43" s="480">
        <f>'[71]Sch C'!F23</f>
        <v>0</v>
      </c>
      <c r="E43" s="480">
        <f>+'[71]Sch C'!H23</f>
        <v>0</v>
      </c>
      <c r="F43" s="166">
        <f t="shared" si="5"/>
        <v>39530</v>
      </c>
      <c r="G43" s="626"/>
      <c r="H43" s="607"/>
      <c r="I43" s="166">
        <f t="shared" si="6"/>
        <v>39530</v>
      </c>
      <c r="J43" s="167">
        <f t="shared" si="7"/>
        <v>3.7530837379156968E-3</v>
      </c>
      <c r="K43" s="458"/>
      <c r="L43" s="163"/>
      <c r="M43" s="163"/>
      <c r="N43" s="162"/>
      <c r="O43" s="324">
        <f t="shared" si="8"/>
        <v>1.3395459166384276</v>
      </c>
      <c r="P43" s="324">
        <f>SUMMARY!L45</f>
        <v>0.72348899540311395</v>
      </c>
    </row>
    <row r="44" spans="1:16" s="612" customFormat="1">
      <c r="A44" s="158">
        <v>150</v>
      </c>
      <c r="B44" s="165" t="s">
        <v>25</v>
      </c>
      <c r="C44" s="480">
        <f>'[71]Sch C'!D24</f>
        <v>0</v>
      </c>
      <c r="D44" s="480">
        <f>'[71]Sch C'!F24</f>
        <v>0</v>
      </c>
      <c r="E44" s="480">
        <f>+'[71]Sch C'!H24</f>
        <v>0</v>
      </c>
      <c r="F44" s="166">
        <f t="shared" si="5"/>
        <v>0</v>
      </c>
      <c r="G44" s="626"/>
      <c r="H44" s="607"/>
      <c r="I44" s="166">
        <f t="shared" si="6"/>
        <v>0</v>
      </c>
      <c r="J44" s="167">
        <f t="shared" si="7"/>
        <v>0</v>
      </c>
      <c r="K44" s="458"/>
      <c r="L44" s="163"/>
      <c r="M44" s="163"/>
      <c r="N44" s="162"/>
      <c r="O44" s="324">
        <f t="shared" si="8"/>
        <v>0</v>
      </c>
      <c r="P44" s="324">
        <f>SUMMARY!L46</f>
        <v>1.4239131804333707</v>
      </c>
    </row>
    <row r="45" spans="1:16" s="612" customFormat="1">
      <c r="A45" s="158">
        <v>160</v>
      </c>
      <c r="B45" s="165" t="s">
        <v>26</v>
      </c>
      <c r="C45" s="480">
        <f>'[71]Sch C'!D25</f>
        <v>0</v>
      </c>
      <c r="D45" s="480">
        <f>'[71]Sch C'!F25</f>
        <v>0</v>
      </c>
      <c r="E45" s="480">
        <f>+'[71]Sch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N45" s="162"/>
      <c r="O45" s="324">
        <f t="shared" si="8"/>
        <v>0</v>
      </c>
      <c r="P45" s="324">
        <f>SUMMARY!L47</f>
        <v>0.42470123769493451</v>
      </c>
    </row>
    <row r="46" spans="1:16" s="612" customFormat="1">
      <c r="A46" s="158">
        <v>170</v>
      </c>
      <c r="B46" s="165" t="s">
        <v>27</v>
      </c>
      <c r="C46" s="480">
        <f>'[71]Sch C'!D26</f>
        <v>458765</v>
      </c>
      <c r="D46" s="480">
        <f>'[71]Sch C'!F26</f>
        <v>0</v>
      </c>
      <c r="E46" s="480">
        <f>+'[71]Sch C'!H26</f>
        <v>0</v>
      </c>
      <c r="F46" s="166">
        <f t="shared" si="5"/>
        <v>458765</v>
      </c>
      <c r="G46" s="626"/>
      <c r="H46" s="607"/>
      <c r="I46" s="166">
        <f t="shared" si="6"/>
        <v>458765</v>
      </c>
      <c r="J46" s="167">
        <f t="shared" si="7"/>
        <v>4.355637391917265E-2</v>
      </c>
      <c r="K46" s="458"/>
      <c r="L46" s="163"/>
      <c r="M46" s="163"/>
      <c r="N46" s="162"/>
      <c r="O46" s="324">
        <f t="shared" si="8"/>
        <v>15.54608607251779</v>
      </c>
      <c r="P46" s="324">
        <f>SUMMARY!L48</f>
        <v>15.367126265775411</v>
      </c>
    </row>
    <row r="47" spans="1:16" s="612" customFormat="1">
      <c r="A47" s="158">
        <v>180</v>
      </c>
      <c r="B47" s="165" t="s">
        <v>28</v>
      </c>
      <c r="C47" s="480">
        <f>'[71]Sch C'!D27</f>
        <v>2843</v>
      </c>
      <c r="D47" s="480">
        <f>'[71]Sch C'!F27</f>
        <v>0</v>
      </c>
      <c r="E47" s="480">
        <f>+'[71]Sch C'!H27</f>
        <v>0</v>
      </c>
      <c r="F47" s="166">
        <f t="shared" si="5"/>
        <v>2843</v>
      </c>
      <c r="G47" s="626"/>
      <c r="H47" s="607"/>
      <c r="I47" s="166">
        <f t="shared" si="6"/>
        <v>2843</v>
      </c>
      <c r="J47" s="167">
        <f t="shared" si="7"/>
        <v>2.6992201029330448E-4</v>
      </c>
      <c r="K47" s="458"/>
      <c r="L47" s="163"/>
      <c r="M47" s="163"/>
      <c r="N47" s="162"/>
      <c r="O47" s="324">
        <f t="shared" si="8"/>
        <v>9.6340223652998977E-2</v>
      </c>
      <c r="P47" s="324">
        <f>SUMMARY!L49</f>
        <v>0.48664573766381269</v>
      </c>
    </row>
    <row r="48" spans="1:16" s="612" customFormat="1">
      <c r="A48" s="158">
        <v>190</v>
      </c>
      <c r="B48" s="165" t="s">
        <v>29</v>
      </c>
      <c r="C48" s="480">
        <f>'[71]Sch C'!D28</f>
        <v>0</v>
      </c>
      <c r="D48" s="480">
        <f>'[71]Sch C'!F28</f>
        <v>0</v>
      </c>
      <c r="E48" s="480">
        <f>+'[71]Sch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N48" s="162"/>
      <c r="O48" s="324">
        <f t="shared" si="8"/>
        <v>0</v>
      </c>
      <c r="P48" s="324">
        <f>SUMMARY!L50</f>
        <v>0</v>
      </c>
    </row>
    <row r="49" spans="1:16" s="612" customFormat="1">
      <c r="A49" s="158">
        <v>200</v>
      </c>
      <c r="B49" s="165" t="s">
        <v>30</v>
      </c>
      <c r="C49" s="480">
        <f>'[71]Sch C'!D29</f>
        <v>0</v>
      </c>
      <c r="D49" s="480">
        <f>'[71]Sch C'!F29</f>
        <v>0</v>
      </c>
      <c r="E49" s="480">
        <f>+'[71]Sch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N49" s="162"/>
      <c r="O49" s="324">
        <f t="shared" si="8"/>
        <v>0</v>
      </c>
      <c r="P49" s="324">
        <f>SUMMARY!L51</f>
        <v>0</v>
      </c>
    </row>
    <row r="50" spans="1:16" s="612" customFormat="1">
      <c r="A50" s="158">
        <v>210</v>
      </c>
      <c r="B50" s="165" t="s">
        <v>31</v>
      </c>
      <c r="C50" s="480">
        <f>'[71]Sch C'!D30</f>
        <v>347161</v>
      </c>
      <c r="D50" s="480">
        <f>'[71]Sch C'!F30</f>
        <v>-347161</v>
      </c>
      <c r="E50" s="480">
        <f>+'[71]Sch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N50" s="162"/>
      <c r="O50" s="324">
        <f t="shared" si="8"/>
        <v>0</v>
      </c>
      <c r="P50" s="324">
        <f>SUMMARY!L52</f>
        <v>0</v>
      </c>
    </row>
    <row r="51" spans="1:16" s="612" customFormat="1">
      <c r="A51" s="158">
        <v>220</v>
      </c>
      <c r="B51" s="165" t="s">
        <v>179</v>
      </c>
      <c r="C51" s="480">
        <f>'[71]Sch C'!D31</f>
        <v>69445</v>
      </c>
      <c r="D51" s="480">
        <f>'[71]Sch C'!F31</f>
        <v>0</v>
      </c>
      <c r="E51" s="480">
        <f>+'[71]Sch C'!H31</f>
        <v>0</v>
      </c>
      <c r="F51" s="166">
        <f t="shared" si="5"/>
        <v>69445</v>
      </c>
      <c r="G51" s="626"/>
      <c r="H51" s="607"/>
      <c r="I51" s="166">
        <f t="shared" si="6"/>
        <v>69445</v>
      </c>
      <c r="J51" s="167">
        <f t="shared" si="7"/>
        <v>6.5932937055288533E-3</v>
      </c>
      <c r="K51" s="458"/>
      <c r="L51" s="163"/>
      <c r="M51" s="163"/>
      <c r="N51" s="162"/>
      <c r="O51" s="324">
        <f t="shared" si="8"/>
        <v>2.3532700779396816</v>
      </c>
      <c r="P51" s="324">
        <f>SUMMARY!L53</f>
        <v>1.4965630085043737</v>
      </c>
    </row>
    <row r="52" spans="1:16" s="612" customFormat="1">
      <c r="A52" s="158">
        <v>230</v>
      </c>
      <c r="B52" s="165" t="s">
        <v>180</v>
      </c>
      <c r="C52" s="480">
        <f>'[71]Sch C'!D32</f>
        <v>33768</v>
      </c>
      <c r="D52" s="480">
        <f>'[71]Sch C'!F32</f>
        <v>0</v>
      </c>
      <c r="E52" s="480">
        <f>+'[71]Sch C'!H32</f>
        <v>0</v>
      </c>
      <c r="F52" s="166">
        <f t="shared" si="5"/>
        <v>33768</v>
      </c>
      <c r="G52" s="626"/>
      <c r="H52" s="607"/>
      <c r="I52" s="166">
        <f t="shared" si="6"/>
        <v>33768</v>
      </c>
      <c r="J52" s="167">
        <f t="shared" si="7"/>
        <v>3.2060240744229006E-3</v>
      </c>
      <c r="K52" s="458"/>
      <c r="L52" s="163"/>
      <c r="M52" s="163"/>
      <c r="N52" s="162"/>
      <c r="O52" s="324">
        <f t="shared" si="8"/>
        <v>1.1442900711623178</v>
      </c>
      <c r="P52" s="324">
        <f>SUMMARY!L54</f>
        <v>2.4668444148593718</v>
      </c>
    </row>
    <row r="53" spans="1:16" s="612" customFormat="1">
      <c r="A53" s="158">
        <v>240</v>
      </c>
      <c r="B53" s="165" t="s">
        <v>185</v>
      </c>
      <c r="C53" s="480">
        <f>'[71]Sch C'!D33</f>
        <v>0</v>
      </c>
      <c r="D53" s="480">
        <f>'[71]Sch C'!F33</f>
        <v>0</v>
      </c>
      <c r="E53" s="480">
        <f>+'[71]Sch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N53" s="162"/>
      <c r="O53" s="324">
        <f t="shared" si="8"/>
        <v>0</v>
      </c>
      <c r="P53" s="324">
        <f>SUMMARY!L55</f>
        <v>0</v>
      </c>
    </row>
    <row r="54" spans="1:16" s="612" customFormat="1">
      <c r="A54" s="158">
        <v>250</v>
      </c>
      <c r="B54" s="165" t="s">
        <v>186</v>
      </c>
      <c r="C54" s="480">
        <f>'[71]Sch C'!D34</f>
        <v>0</v>
      </c>
      <c r="D54" s="480">
        <f>'[71]Sch C'!F34</f>
        <v>0</v>
      </c>
      <c r="E54" s="480">
        <f>+'[71]Sch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N54" s="162"/>
      <c r="O54" s="324">
        <f t="shared" si="8"/>
        <v>0</v>
      </c>
      <c r="P54" s="324">
        <f>SUMMARY!L56</f>
        <v>1.6479117061408751E-2</v>
      </c>
    </row>
    <row r="55" spans="1:16" s="612" customFormat="1">
      <c r="A55" s="158">
        <v>270</v>
      </c>
      <c r="B55" s="165" t="s">
        <v>187</v>
      </c>
      <c r="C55" s="480">
        <f>'[71]Sch C'!D35</f>
        <v>0</v>
      </c>
      <c r="D55" s="480">
        <f>'[71]Sch C'!F35</f>
        <v>0</v>
      </c>
      <c r="E55" s="480">
        <f>+'[71]Sch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N55" s="162"/>
      <c r="O55" s="324">
        <f t="shared" si="8"/>
        <v>0</v>
      </c>
      <c r="P55" s="324">
        <f>SUMMARY!L57</f>
        <v>0</v>
      </c>
    </row>
    <row r="56" spans="1:16" s="612" customFormat="1">
      <c r="A56" s="158">
        <v>280</v>
      </c>
      <c r="B56" s="165" t="s">
        <v>188</v>
      </c>
      <c r="C56" s="480">
        <f>'[71]Sch C'!D36</f>
        <v>82640</v>
      </c>
      <c r="D56" s="480">
        <f>'[71]Sch C'!F36</f>
        <v>0</v>
      </c>
      <c r="E56" s="480">
        <f>+'[71]Sch C'!H36</f>
        <v>0</v>
      </c>
      <c r="F56" s="166">
        <f t="shared" si="5"/>
        <v>82640</v>
      </c>
      <c r="G56" s="626"/>
      <c r="H56" s="607"/>
      <c r="I56" s="166">
        <f t="shared" si="6"/>
        <v>82640</v>
      </c>
      <c r="J56" s="167">
        <f t="shared" si="7"/>
        <v>7.8460622337807543E-3</v>
      </c>
      <c r="K56" s="458"/>
      <c r="L56" s="176">
        <v>4245</v>
      </c>
      <c r="M56" s="176">
        <v>4712</v>
      </c>
      <c r="N56" s="162"/>
      <c r="O56" s="324">
        <f t="shared" si="8"/>
        <v>2.8004066418163336</v>
      </c>
      <c r="P56" s="324">
        <f>SUMMARY!L58</f>
        <v>1.001605250150277</v>
      </c>
    </row>
    <row r="57" spans="1:16" s="612" customFormat="1">
      <c r="A57" s="158">
        <v>290</v>
      </c>
      <c r="B57" s="165" t="s">
        <v>189</v>
      </c>
      <c r="C57" s="480">
        <f>'[71]Sch C'!D37</f>
        <v>0</v>
      </c>
      <c r="D57" s="480">
        <f>'[71]Sch C'!F37</f>
        <v>13880</v>
      </c>
      <c r="E57" s="480">
        <f>+'[71]Sch C'!H37</f>
        <v>0</v>
      </c>
      <c r="F57" s="166">
        <f t="shared" si="5"/>
        <v>13880</v>
      </c>
      <c r="G57" s="626"/>
      <c r="H57" s="607"/>
      <c r="I57" s="166">
        <f t="shared" si="6"/>
        <v>13880</v>
      </c>
      <c r="J57" s="167">
        <f t="shared" si="7"/>
        <v>1.3178042570774063E-3</v>
      </c>
      <c r="K57" s="458"/>
      <c r="L57" s="163"/>
      <c r="M57" s="163"/>
      <c r="N57" s="162"/>
      <c r="O57" s="324">
        <f t="shared" si="8"/>
        <v>0.47034903422568619</v>
      </c>
      <c r="P57" s="324">
        <f>SUMMARY!L59</f>
        <v>0.15575226114614515</v>
      </c>
    </row>
    <row r="58" spans="1:16" s="612" customFormat="1">
      <c r="A58" s="158">
        <v>300</v>
      </c>
      <c r="B58" s="165" t="s">
        <v>190</v>
      </c>
      <c r="C58" s="480">
        <f>'[71]Sch C'!D38</f>
        <v>0</v>
      </c>
      <c r="D58" s="480">
        <f>'[71]Sch C'!F38</f>
        <v>0</v>
      </c>
      <c r="E58" s="480">
        <f>+'[71]Sch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N58" s="162"/>
      <c r="O58" s="324">
        <f t="shared" si="8"/>
        <v>0</v>
      </c>
      <c r="P58" s="324">
        <f>SUMMARY!L60</f>
        <v>2.203221905251131E-3</v>
      </c>
    </row>
    <row r="59" spans="1:16" s="612" customFormat="1">
      <c r="A59" s="158">
        <v>310</v>
      </c>
      <c r="B59" s="165" t="s">
        <v>191</v>
      </c>
      <c r="C59" s="480">
        <f>'[71]Sch C'!D39</f>
        <v>3491</v>
      </c>
      <c r="D59" s="480">
        <f>'[71]Sch C'!F39</f>
        <v>0</v>
      </c>
      <c r="E59" s="480">
        <f>+'[71]Sch C'!H39</f>
        <v>0</v>
      </c>
      <c r="F59" s="166">
        <f t="shared" si="5"/>
        <v>3491</v>
      </c>
      <c r="G59" s="626"/>
      <c r="H59" s="607"/>
      <c r="I59" s="166">
        <f t="shared" si="6"/>
        <v>3491</v>
      </c>
      <c r="J59" s="167">
        <f t="shared" si="7"/>
        <v>3.3144486033553498E-4</v>
      </c>
      <c r="K59" s="458"/>
      <c r="L59" s="163"/>
      <c r="M59" s="163"/>
      <c r="N59" s="162"/>
      <c r="O59" s="324">
        <f t="shared" si="8"/>
        <v>0.11829888173500508</v>
      </c>
      <c r="P59" s="324">
        <f>SUMMARY!L61</f>
        <v>0.34455056155574998</v>
      </c>
    </row>
    <row r="60" spans="1:16" s="612" customFormat="1">
      <c r="A60" s="158">
        <v>320</v>
      </c>
      <c r="B60" s="165" t="s">
        <v>192</v>
      </c>
      <c r="C60" s="480">
        <f>'[71]Sch C'!D40</f>
        <v>22814</v>
      </c>
      <c r="D60" s="480">
        <f>'[71]Sch C'!F40</f>
        <v>0</v>
      </c>
      <c r="E60" s="480">
        <f>+'[71]Sch C'!H40</f>
        <v>0</v>
      </c>
      <c r="F60" s="166">
        <f t="shared" si="5"/>
        <v>22814</v>
      </c>
      <c r="G60" s="626"/>
      <c r="H60" s="607"/>
      <c r="I60" s="166">
        <f t="shared" si="6"/>
        <v>22814</v>
      </c>
      <c r="J60" s="167">
        <f t="shared" si="7"/>
        <v>2.1660220692337139E-3</v>
      </c>
      <c r="K60" s="458"/>
      <c r="L60" s="163"/>
      <c r="M60" s="163"/>
      <c r="N60" s="162"/>
      <c r="O60" s="324">
        <f t="shared" si="8"/>
        <v>0.77309386648593692</v>
      </c>
      <c r="P60" s="324">
        <f>SUMMARY!L62</f>
        <v>0.15992401847550186</v>
      </c>
    </row>
    <row r="61" spans="1:16" s="612" customFormat="1">
      <c r="A61" s="158">
        <v>330</v>
      </c>
      <c r="B61" s="165" t="s">
        <v>40</v>
      </c>
      <c r="C61" s="480">
        <f>'[71]Sch C'!D41</f>
        <v>71741</v>
      </c>
      <c r="D61" s="480">
        <f>'[71]Sch C'!F41</f>
        <v>0</v>
      </c>
      <c r="E61" s="480">
        <f>+'[71]Sch C'!H41</f>
        <v>0</v>
      </c>
      <c r="F61" s="166">
        <f t="shared" si="5"/>
        <v>71741</v>
      </c>
      <c r="G61" s="626"/>
      <c r="H61" s="607"/>
      <c r="I61" s="166">
        <f t="shared" si="6"/>
        <v>71741</v>
      </c>
      <c r="J61" s="167">
        <f t="shared" si="7"/>
        <v>6.8112820754315717E-3</v>
      </c>
      <c r="K61" s="458"/>
      <c r="L61" s="163"/>
      <c r="M61" s="163"/>
      <c r="N61" s="162"/>
      <c r="O61" s="324">
        <f t="shared" si="8"/>
        <v>2.431074212131481</v>
      </c>
      <c r="P61" s="324">
        <f>SUMMARY!L63</f>
        <v>2.4880217241389828</v>
      </c>
    </row>
    <row r="62" spans="1:16" s="612" customFormat="1">
      <c r="A62" s="158">
        <v>340</v>
      </c>
      <c r="B62" s="165" t="s">
        <v>193</v>
      </c>
      <c r="C62" s="480">
        <f>'[71]Sch C'!D42</f>
        <v>26162</v>
      </c>
      <c r="D62" s="480">
        <f>'[71]Sch C'!F42</f>
        <v>0</v>
      </c>
      <c r="E62" s="480">
        <f>+'[71]Sch C'!H42</f>
        <v>0</v>
      </c>
      <c r="F62" s="166">
        <f t="shared" si="5"/>
        <v>26162</v>
      </c>
      <c r="G62" s="626"/>
      <c r="H62" s="607"/>
      <c r="I62" s="166">
        <f t="shared" si="6"/>
        <v>26162</v>
      </c>
      <c r="J62" s="167">
        <f t="shared" si="7"/>
        <v>2.483890127785238E-3</v>
      </c>
      <c r="K62" s="458"/>
      <c r="L62" s="163"/>
      <c r="M62" s="163"/>
      <c r="N62" s="162"/>
      <c r="O62" s="324">
        <f t="shared" si="8"/>
        <v>0.88654693324296852</v>
      </c>
      <c r="P62" s="324">
        <f>SUMMARY!L64</f>
        <v>0.18301067435151055</v>
      </c>
    </row>
    <row r="63" spans="1:16" s="612" customFormat="1">
      <c r="A63" s="158">
        <v>350</v>
      </c>
      <c r="B63" s="165" t="s">
        <v>194</v>
      </c>
      <c r="C63" s="480">
        <f>'[71]Sch C'!D43</f>
        <v>0</v>
      </c>
      <c r="D63" s="480">
        <f>'[71]Sch C'!F43</f>
        <v>0</v>
      </c>
      <c r="E63" s="480">
        <f>+'[71]Sch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N63" s="162"/>
      <c r="O63" s="324">
        <f t="shared" si="8"/>
        <v>0</v>
      </c>
      <c r="P63" s="324">
        <f>SUMMARY!L65</f>
        <v>5.2846978346530885E-3</v>
      </c>
    </row>
    <row r="64" spans="1:16" s="612" customFormat="1">
      <c r="A64" s="158">
        <v>360</v>
      </c>
      <c r="B64" s="165" t="s">
        <v>195</v>
      </c>
      <c r="C64" s="480">
        <f>'[71]Sch C'!D44</f>
        <v>0</v>
      </c>
      <c r="D64" s="480">
        <f>'[71]Sch C'!F44</f>
        <v>0</v>
      </c>
      <c r="E64" s="480">
        <f>+'[71]Sch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N64" s="162"/>
      <c r="O64" s="324">
        <f t="shared" si="8"/>
        <v>0</v>
      </c>
      <c r="P64" s="324">
        <f>SUMMARY!L66</f>
        <v>6.2782191322027911E-3</v>
      </c>
    </row>
    <row r="65" spans="1:16" s="612" customFormat="1">
      <c r="A65" s="158">
        <v>490</v>
      </c>
      <c r="B65" s="165" t="s">
        <v>32</v>
      </c>
      <c r="C65" s="480">
        <f>'[71]Sch C'!D45</f>
        <v>41670</v>
      </c>
      <c r="D65" s="480">
        <f>'[71]Sch C'!F45</f>
        <v>0</v>
      </c>
      <c r="E65" s="480">
        <f>+'[71]Sch C'!H45</f>
        <v>0</v>
      </c>
      <c r="F65" s="166">
        <f t="shared" si="5"/>
        <v>41670</v>
      </c>
      <c r="G65" s="626">
        <f>-1033-1793</f>
        <v>-2826</v>
      </c>
      <c r="H65" s="607">
        <v>-514</v>
      </c>
      <c r="I65" s="166">
        <f t="shared" si="6"/>
        <v>38330</v>
      </c>
      <c r="J65" s="167">
        <f t="shared" si="7"/>
        <v>3.6391525341337885E-3</v>
      </c>
      <c r="K65" s="458" t="s">
        <v>494</v>
      </c>
      <c r="L65" s="163"/>
      <c r="M65" s="163"/>
      <c r="N65" s="162"/>
      <c r="O65" s="324">
        <f t="shared" si="8"/>
        <v>1.298881735005083</v>
      </c>
      <c r="P65" s="324">
        <f>SUMMARY!L67</f>
        <v>0.59230987926739842</v>
      </c>
    </row>
    <row r="66" spans="1:16" s="612" customFormat="1">
      <c r="A66" s="158"/>
      <c r="B66" s="165" t="s">
        <v>168</v>
      </c>
      <c r="C66" s="480">
        <f t="shared" ref="C66:E66" si="9">SUM(C30:C65)</f>
        <v>2909301</v>
      </c>
      <c r="D66" s="480">
        <f t="shared" si="9"/>
        <v>-1332704</v>
      </c>
      <c r="E66" s="480">
        <f t="shared" si="9"/>
        <v>0</v>
      </c>
      <c r="F66" s="166">
        <f t="shared" ref="F66:I66" si="10">SUM(F30:F65)</f>
        <v>1576597</v>
      </c>
      <c r="G66" s="166">
        <f t="shared" si="10"/>
        <v>-2826</v>
      </c>
      <c r="H66" s="166">
        <f t="shared" si="10"/>
        <v>642</v>
      </c>
      <c r="I66" s="166">
        <f t="shared" si="10"/>
        <v>1574413</v>
      </c>
      <c r="J66" s="178">
        <f t="shared" si="7"/>
        <v>0.14947897361657136</v>
      </c>
      <c r="K66" s="465"/>
      <c r="L66" s="163"/>
      <c r="M66" s="163"/>
      <c r="N66" s="162"/>
      <c r="O66" s="329">
        <f>I66/I$233</f>
        <v>53.351846831582513</v>
      </c>
      <c r="P66" s="324">
        <f>SUMMARY!L68</f>
        <v>59.215800022194173</v>
      </c>
    </row>
    <row r="67" spans="1:16" s="612" customFormat="1">
      <c r="A67" s="158"/>
      <c r="B67" s="162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N67" s="162"/>
      <c r="O67" s="324"/>
      <c r="P67" s="324"/>
    </row>
    <row r="68" spans="1:16" s="61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N68" s="162"/>
      <c r="O68" s="324"/>
      <c r="P68" s="324"/>
    </row>
    <row r="69" spans="1:16" s="612" customFormat="1">
      <c r="A69" s="180">
        <v>230</v>
      </c>
      <c r="B69" s="181" t="s">
        <v>234</v>
      </c>
      <c r="C69" s="480">
        <f>'[71]Sch C'!D57</f>
        <v>8147</v>
      </c>
      <c r="D69" s="480">
        <f>'[71]Sch C'!F57</f>
        <v>0</v>
      </c>
      <c r="E69" s="480">
        <f>+'[71]Sch C'!H57</f>
        <v>0</v>
      </c>
      <c r="F69" s="166">
        <f>C69+D69+E69</f>
        <v>8147</v>
      </c>
      <c r="G69" s="626"/>
      <c r="H69" s="607">
        <v>-6709</v>
      </c>
      <c r="I69" s="166">
        <f>F69+G69+H69</f>
        <v>1438</v>
      </c>
      <c r="J69" s="167">
        <f t="shared" ref="J69:J84" si="11">IF($I$213=0,0,I69/$I$213)</f>
        <v>1.3652755919865348E-4</v>
      </c>
      <c r="K69" s="458" t="s">
        <v>494</v>
      </c>
      <c r="L69" s="182"/>
      <c r="M69" s="163"/>
      <c r="N69" s="162"/>
      <c r="O69" s="324">
        <f t="shared" ref="O69:O84" si="12">I69/I$233</f>
        <v>4.8729244323957983E-2</v>
      </c>
      <c r="P69" s="324">
        <f>SUMMARY!L71</f>
        <v>5.5678350677000719</v>
      </c>
    </row>
    <row r="70" spans="1:16" s="612" customFormat="1">
      <c r="A70" s="183">
        <v>240</v>
      </c>
      <c r="B70" s="181" t="s">
        <v>235</v>
      </c>
      <c r="C70" s="480">
        <f>'[71]Sch C'!D58</f>
        <v>113472</v>
      </c>
      <c r="D70" s="480">
        <f>'[71]Sch C'!F58</f>
        <v>0</v>
      </c>
      <c r="E70" s="480">
        <f>+'[71]Sch C'!H58</f>
        <v>0</v>
      </c>
      <c r="F70" s="166">
        <f t="shared" ref="F70:F83" si="13">C70+D70+E70</f>
        <v>113472</v>
      </c>
      <c r="G70" s="626"/>
      <c r="H70" s="607">
        <v>18512</v>
      </c>
      <c r="I70" s="166">
        <f t="shared" ref="I70:I83" si="14">F70+G70+H70</f>
        <v>131984</v>
      </c>
      <c r="J70" s="167">
        <f t="shared" si="11"/>
        <v>1.2530913333292825E-2</v>
      </c>
      <c r="K70" s="458" t="s">
        <v>494</v>
      </c>
      <c r="L70" s="182"/>
      <c r="M70" s="163"/>
      <c r="N70" s="162"/>
      <c r="O70" s="324">
        <f t="shared" si="12"/>
        <v>4.4725177905794649</v>
      </c>
      <c r="P70" s="324">
        <f>SUMMARY!L72</f>
        <v>7.239229297174937</v>
      </c>
    </row>
    <row r="71" spans="1:16" s="612" customFormat="1">
      <c r="A71" s="140">
        <v>250</v>
      </c>
      <c r="B71" s="181" t="s">
        <v>288</v>
      </c>
      <c r="C71" s="480">
        <f>'[71]Sch C'!D59</f>
        <v>0</v>
      </c>
      <c r="D71" s="480">
        <f>'[71]Sch C'!F59</f>
        <v>0</v>
      </c>
      <c r="E71" s="480">
        <f>+'[71]Sch C'!H59</f>
        <v>0</v>
      </c>
      <c r="F71" s="166">
        <f t="shared" si="13"/>
        <v>0</v>
      </c>
      <c r="G71" s="626"/>
      <c r="H71" s="607">
        <v>27269</v>
      </c>
      <c r="I71" s="166">
        <f t="shared" si="14"/>
        <v>27269</v>
      </c>
      <c r="J71" s="167">
        <f t="shared" si="11"/>
        <v>2.5889916632740487E-3</v>
      </c>
      <c r="K71" s="458" t="s">
        <v>494</v>
      </c>
      <c r="L71" s="182"/>
      <c r="M71" s="163"/>
      <c r="N71" s="162"/>
      <c r="O71" s="324">
        <f t="shared" si="12"/>
        <v>0.92405964079972891</v>
      </c>
      <c r="P71" s="324">
        <f>SUMMARY!L73</f>
        <v>5.8636471293295891</v>
      </c>
    </row>
    <row r="72" spans="1:16" s="612" customFormat="1">
      <c r="A72" s="140">
        <v>260</v>
      </c>
      <c r="B72" s="184" t="s">
        <v>289</v>
      </c>
      <c r="C72" s="480">
        <f>'[71]Sch C'!D60</f>
        <v>0</v>
      </c>
      <c r="D72" s="480">
        <f>'[71]Sch C'!F60</f>
        <v>0</v>
      </c>
      <c r="E72" s="480">
        <f>+'[71]Sch C'!H60</f>
        <v>0</v>
      </c>
      <c r="F72" s="166">
        <f t="shared" si="13"/>
        <v>0</v>
      </c>
      <c r="G72" s="626"/>
      <c r="H72" s="607"/>
      <c r="I72" s="166">
        <f t="shared" si="14"/>
        <v>0</v>
      </c>
      <c r="J72" s="167">
        <f t="shared" si="11"/>
        <v>0</v>
      </c>
      <c r="K72" s="458" t="s">
        <v>494</v>
      </c>
      <c r="L72" s="185"/>
      <c r="M72" s="163"/>
      <c r="N72" s="162"/>
      <c r="O72" s="324">
        <f t="shared" si="12"/>
        <v>0</v>
      </c>
      <c r="P72" s="324">
        <f>SUMMARY!L74</f>
        <v>1.2959622397945991</v>
      </c>
    </row>
    <row r="73" spans="1:16" s="612" customFormat="1">
      <c r="A73" s="140">
        <v>270</v>
      </c>
      <c r="B73" s="184" t="s">
        <v>290</v>
      </c>
      <c r="C73" s="480">
        <f>'[71]Sch C'!D61</f>
        <v>12416</v>
      </c>
      <c r="D73" s="480">
        <f>'[71]Sch C'!F61</f>
        <v>0</v>
      </c>
      <c r="E73" s="480">
        <f>+'[71]Sch C'!H61</f>
        <v>0</v>
      </c>
      <c r="F73" s="166">
        <f t="shared" si="13"/>
        <v>12416</v>
      </c>
      <c r="G73" s="626"/>
      <c r="H73" s="607">
        <v>23</v>
      </c>
      <c r="I73" s="166">
        <f t="shared" si="14"/>
        <v>12439</v>
      </c>
      <c r="J73" s="167">
        <f t="shared" si="11"/>
        <v>1.1809918698692981E-3</v>
      </c>
      <c r="K73" s="458" t="s">
        <v>494</v>
      </c>
      <c r="L73" s="185"/>
      <c r="M73" s="163"/>
      <c r="N73" s="162"/>
      <c r="O73" s="324">
        <f t="shared" si="12"/>
        <v>0.42151812944764488</v>
      </c>
      <c r="P73" s="324">
        <f>SUMMARY!L75</f>
        <v>0.50050008022994208</v>
      </c>
    </row>
    <row r="74" spans="1:16" s="612" customFormat="1">
      <c r="A74" s="140">
        <v>280</v>
      </c>
      <c r="B74" s="186" t="s">
        <v>239</v>
      </c>
      <c r="C74" s="480">
        <f>'[71]Sch C'!D62</f>
        <v>0</v>
      </c>
      <c r="D74" s="480">
        <f>'[71]Sch C'!F62</f>
        <v>0</v>
      </c>
      <c r="E74" s="480">
        <f>+'[71]Sch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N74" s="162"/>
      <c r="O74" s="324">
        <f t="shared" si="12"/>
        <v>0</v>
      </c>
      <c r="P74" s="324">
        <f>SUMMARY!L76</f>
        <v>0.18067081385468792</v>
      </c>
    </row>
    <row r="75" spans="1:16" s="612" customFormat="1">
      <c r="A75" s="140">
        <v>290</v>
      </c>
      <c r="B75" s="186" t="s">
        <v>240</v>
      </c>
      <c r="C75" s="480">
        <f>'[71]Sch C'!D63</f>
        <v>0</v>
      </c>
      <c r="D75" s="480">
        <f>'[71]Sch C'!F63</f>
        <v>0</v>
      </c>
      <c r="E75" s="480">
        <f>+'[71]Sch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N75" s="162"/>
      <c r="O75" s="324">
        <f t="shared" si="12"/>
        <v>0</v>
      </c>
      <c r="P75" s="324">
        <f>SUMMARY!L77</f>
        <v>1.4662156559309312E-3</v>
      </c>
    </row>
    <row r="76" spans="1:16" s="612" customFormat="1">
      <c r="A76" s="140">
        <v>300</v>
      </c>
      <c r="B76" s="186" t="s">
        <v>241</v>
      </c>
      <c r="C76" s="480">
        <f>'[71]Sch C'!D64</f>
        <v>0</v>
      </c>
      <c r="D76" s="480">
        <f>'[71]Sch C'!F64</f>
        <v>0</v>
      </c>
      <c r="E76" s="480">
        <f>+'[71]Sch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N76" s="162"/>
      <c r="O76" s="324">
        <f t="shared" si="12"/>
        <v>0</v>
      </c>
      <c r="P76" s="324">
        <f>SUMMARY!L78</f>
        <v>0</v>
      </c>
    </row>
    <row r="77" spans="1:16" s="612" customFormat="1">
      <c r="A77" s="140">
        <v>310</v>
      </c>
      <c r="B77" s="186" t="s">
        <v>291</v>
      </c>
      <c r="C77" s="480">
        <f>'[71]Sch C'!D65</f>
        <v>0</v>
      </c>
      <c r="D77" s="480">
        <f>'[71]Sch C'!F65</f>
        <v>0</v>
      </c>
      <c r="E77" s="480">
        <f>+'[71]Sch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N77" s="162"/>
      <c r="O77" s="324">
        <f t="shared" si="12"/>
        <v>0</v>
      </c>
      <c r="P77" s="324">
        <f>SUMMARY!L79</f>
        <v>0.14437446490936168</v>
      </c>
    </row>
    <row r="78" spans="1:16" s="612" customFormat="1">
      <c r="A78" s="140">
        <v>320</v>
      </c>
      <c r="B78" s="186" t="s">
        <v>243</v>
      </c>
      <c r="C78" s="480">
        <f>'[71]Sch C'!D66</f>
        <v>224045</v>
      </c>
      <c r="D78" s="480">
        <f>'[71]Sch C'!F66</f>
        <v>0</v>
      </c>
      <c r="E78" s="480">
        <f>+'[71]Sch C'!H66</f>
        <v>0</v>
      </c>
      <c r="F78" s="166">
        <f t="shared" si="13"/>
        <v>224045</v>
      </c>
      <c r="G78" s="626"/>
      <c r="H78" s="607"/>
      <c r="I78" s="166">
        <f t="shared" si="14"/>
        <v>224045</v>
      </c>
      <c r="J78" s="167">
        <f t="shared" si="11"/>
        <v>2.1271430459431376E-2</v>
      </c>
      <c r="K78" s="458"/>
      <c r="L78" s="187"/>
      <c r="M78" s="163"/>
      <c r="N78" s="162"/>
      <c r="O78" s="324">
        <f t="shared" si="12"/>
        <v>7.5921721450355815</v>
      </c>
      <c r="P78" s="324">
        <f>SUMMARY!L80</f>
        <v>1.1839694573213462</v>
      </c>
    </row>
    <row r="79" spans="1:16" s="612" customFormat="1">
      <c r="A79" s="140">
        <v>330</v>
      </c>
      <c r="B79" s="186" t="s">
        <v>244</v>
      </c>
      <c r="C79" s="480">
        <f>'[71]Sch C'!D67</f>
        <v>185057</v>
      </c>
      <c r="D79" s="480">
        <f>'[71]Sch C'!F67</f>
        <v>0</v>
      </c>
      <c r="E79" s="480">
        <f>+'[71]Sch C'!H67</f>
        <v>0</v>
      </c>
      <c r="F79" s="166">
        <f t="shared" si="13"/>
        <v>185057</v>
      </c>
      <c r="G79" s="626"/>
      <c r="H79" s="607"/>
      <c r="I79" s="166">
        <f t="shared" si="14"/>
        <v>185057</v>
      </c>
      <c r="J79" s="167">
        <f t="shared" si="11"/>
        <v>1.7569805648557174E-2</v>
      </c>
      <c r="K79" s="458"/>
      <c r="L79" s="187"/>
      <c r="M79" s="163"/>
      <c r="N79" s="162"/>
      <c r="O79" s="324">
        <f t="shared" si="12"/>
        <v>6.2709928837682138</v>
      </c>
      <c r="P79" s="324">
        <f>SUMMARY!L81</f>
        <v>2.3883190965570051</v>
      </c>
    </row>
    <row r="80" spans="1:16" s="612" customFormat="1">
      <c r="A80" s="140">
        <v>340</v>
      </c>
      <c r="B80" s="186" t="s">
        <v>245</v>
      </c>
      <c r="C80" s="480">
        <f>'[71]Sch C'!D68</f>
        <v>0</v>
      </c>
      <c r="D80" s="480">
        <f>'[71]Sch C'!F68</f>
        <v>0</v>
      </c>
      <c r="E80" s="480">
        <f>+'[71]Sch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N80" s="162"/>
      <c r="O80" s="324">
        <f t="shared" si="12"/>
        <v>0</v>
      </c>
      <c r="P80" s="324">
        <f>SUMMARY!L82</f>
        <v>0.12636843743302953</v>
      </c>
    </row>
    <row r="81" spans="1:16" s="612" customFormat="1">
      <c r="A81" s="162">
        <v>350</v>
      </c>
      <c r="B81" s="186" t="s">
        <v>292</v>
      </c>
      <c r="C81" s="480">
        <f>'[71]Sch C'!D69</f>
        <v>2461</v>
      </c>
      <c r="D81" s="480">
        <f>'[71]Sch C'!F69</f>
        <v>0</v>
      </c>
      <c r="E81" s="480">
        <f>+'[71]Sch C'!H69</f>
        <v>0</v>
      </c>
      <c r="F81" s="166">
        <f t="shared" si="13"/>
        <v>2461</v>
      </c>
      <c r="G81" s="626"/>
      <c r="H81" s="607"/>
      <c r="I81" s="166">
        <f t="shared" si="14"/>
        <v>2461</v>
      </c>
      <c r="J81" s="167">
        <f t="shared" si="11"/>
        <v>2.3365391042273035E-4</v>
      </c>
      <c r="K81" s="458"/>
      <c r="L81" s="187"/>
      <c r="M81" s="163"/>
      <c r="N81" s="162"/>
      <c r="O81" s="324">
        <f t="shared" si="12"/>
        <v>8.3395459166384273E-2</v>
      </c>
      <c r="P81" s="324">
        <f>SUMMARY!L83</f>
        <v>0.19472433207226941</v>
      </c>
    </row>
    <row r="82" spans="1:16" s="612" customFormat="1">
      <c r="A82" s="140">
        <v>360</v>
      </c>
      <c r="B82" s="186" t="s">
        <v>181</v>
      </c>
      <c r="C82" s="480">
        <f>'[71]Sch C'!D70</f>
        <v>0</v>
      </c>
      <c r="D82" s="480">
        <f>'[71]Sch C'!F70</f>
        <v>0</v>
      </c>
      <c r="E82" s="480">
        <f>+'[71]Sch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N82" s="162"/>
      <c r="O82" s="324">
        <f t="shared" si="12"/>
        <v>0</v>
      </c>
      <c r="P82" s="324">
        <f>SUMMARY!L84</f>
        <v>1.2406564424643622E-2</v>
      </c>
    </row>
    <row r="83" spans="1:16" s="612" customFormat="1">
      <c r="A83" s="140">
        <v>490</v>
      </c>
      <c r="B83" s="186" t="s">
        <v>293</v>
      </c>
      <c r="C83" s="480">
        <f>'[71]Sch C'!D71</f>
        <v>0</v>
      </c>
      <c r="D83" s="480">
        <f>'[71]Sch C'!F71</f>
        <v>0</v>
      </c>
      <c r="E83" s="480">
        <f>+'[71]Sch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N83" s="162"/>
      <c r="O83" s="324">
        <f t="shared" si="12"/>
        <v>0</v>
      </c>
      <c r="P83" s="324">
        <f>SUMMARY!L85</f>
        <v>4.4804703255419236E-3</v>
      </c>
    </row>
    <row r="84" spans="1:16" s="612" customFormat="1">
      <c r="A84" s="158"/>
      <c r="B84" s="165" t="s">
        <v>142</v>
      </c>
      <c r="C84" s="480">
        <f t="shared" ref="C84:E84" si="15">SUM(C69:C83)</f>
        <v>545598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545598</v>
      </c>
      <c r="G84" s="166">
        <f t="shared" si="16"/>
        <v>0</v>
      </c>
      <c r="H84" s="166">
        <f t="shared" si="16"/>
        <v>39095</v>
      </c>
      <c r="I84" s="166">
        <f t="shared" si="16"/>
        <v>584693</v>
      </c>
      <c r="J84" s="167">
        <f t="shared" si="11"/>
        <v>5.5512314444046106E-2</v>
      </c>
      <c r="K84" s="458"/>
      <c r="L84" s="187"/>
      <c r="M84" s="163"/>
      <c r="N84" s="162"/>
      <c r="O84" s="324">
        <f t="shared" si="12"/>
        <v>19.813385293120977</v>
      </c>
      <c r="P84" s="324">
        <f>SUMMARY!L86</f>
        <v>24.703953666782958</v>
      </c>
    </row>
    <row r="85" spans="1:16" s="61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N85" s="162"/>
      <c r="O85" s="324"/>
      <c r="P85" s="324"/>
    </row>
    <row r="86" spans="1:16" s="61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N86" s="162"/>
      <c r="O86" s="324"/>
      <c r="P86" s="324"/>
    </row>
    <row r="87" spans="1:16" s="612" customFormat="1">
      <c r="A87" s="164" t="s">
        <v>77</v>
      </c>
      <c r="B87" s="145" t="s">
        <v>36</v>
      </c>
      <c r="C87" s="480">
        <f>'[71]Sch C'!D75</f>
        <v>51545</v>
      </c>
      <c r="D87" s="480">
        <f>'[71]Sch C'!F75</f>
        <v>0</v>
      </c>
      <c r="E87" s="480">
        <f>+'[71]Sch C'!H75</f>
        <v>0</v>
      </c>
      <c r="F87" s="166">
        <f t="shared" ref="F87:F97" si="17">C87+D87+E87</f>
        <v>51545</v>
      </c>
      <c r="G87" s="626"/>
      <c r="H87" s="607"/>
      <c r="I87" s="166">
        <f t="shared" ref="I87:I97" si="18">F87+G87+H87</f>
        <v>51545</v>
      </c>
      <c r="J87" s="167">
        <f t="shared" ref="J87:J98" si="19">IF($I$213=0,0,I87/$I$213)</f>
        <v>4.8938199157820541E-3</v>
      </c>
      <c r="K87" s="458"/>
      <c r="L87" s="176">
        <v>2609</v>
      </c>
      <c r="M87" s="176">
        <v>2823</v>
      </c>
      <c r="N87" s="162"/>
      <c r="O87" s="324">
        <f t="shared" ref="O87:O97" si="20">I87/I$233</f>
        <v>1.7466960352422907</v>
      </c>
      <c r="P87" s="324">
        <f>SUMMARY!L89</f>
        <v>2.4551177909052431</v>
      </c>
    </row>
    <row r="88" spans="1:16" s="612" customFormat="1">
      <c r="A88" s="164" t="s">
        <v>78</v>
      </c>
      <c r="B88" s="191" t="s">
        <v>37</v>
      </c>
      <c r="C88" s="480">
        <f>'[71]Sch C'!D76</f>
        <v>0</v>
      </c>
      <c r="D88" s="480">
        <f>'[71]Sch C'!F76</f>
        <v>8658</v>
      </c>
      <c r="E88" s="480">
        <f>+'[71]Sch C'!H76</f>
        <v>0</v>
      </c>
      <c r="F88" s="166">
        <f t="shared" si="17"/>
        <v>8658</v>
      </c>
      <c r="G88" s="626"/>
      <c r="H88" s="607"/>
      <c r="I88" s="166">
        <f t="shared" si="18"/>
        <v>8658</v>
      </c>
      <c r="J88" s="167">
        <f t="shared" si="19"/>
        <v>8.2201363528646863E-4</v>
      </c>
      <c r="K88" s="458"/>
      <c r="L88" s="163"/>
      <c r="M88" s="163"/>
      <c r="N88" s="162"/>
      <c r="O88" s="324">
        <f t="shared" si="20"/>
        <v>0.29339207048458149</v>
      </c>
      <c r="P88" s="324">
        <f>SUMMARY!L90</f>
        <v>0.50076580891723654</v>
      </c>
    </row>
    <row r="89" spans="1:16" s="612" customFormat="1">
      <c r="A89" s="164" t="s">
        <v>85</v>
      </c>
      <c r="B89" s="191" t="s">
        <v>39</v>
      </c>
      <c r="C89" s="480">
        <f>'[71]Sch C'!D77</f>
        <v>37181</v>
      </c>
      <c r="D89" s="480">
        <f>'[71]Sch C'!F77</f>
        <v>0</v>
      </c>
      <c r="E89" s="480">
        <f>+'[71]Sch C'!H77</f>
        <v>0</v>
      </c>
      <c r="F89" s="166">
        <f t="shared" si="17"/>
        <v>37181</v>
      </c>
      <c r="G89" s="626"/>
      <c r="H89" s="607"/>
      <c r="I89" s="166">
        <f t="shared" si="18"/>
        <v>37181</v>
      </c>
      <c r="J89" s="167">
        <f t="shared" si="19"/>
        <v>3.5300634065126113E-3</v>
      </c>
      <c r="K89" s="458"/>
      <c r="L89" s="163"/>
      <c r="M89" s="163"/>
      <c r="N89" s="162"/>
      <c r="O89" s="324">
        <f t="shared" si="20"/>
        <v>1.2599457810911556</v>
      </c>
      <c r="P89" s="324">
        <f>SUMMARY!L91</f>
        <v>0.61766396792525358</v>
      </c>
    </row>
    <row r="90" spans="1:16" s="612" customFormat="1">
      <c r="A90" s="164">
        <v>230</v>
      </c>
      <c r="B90" s="191" t="s">
        <v>38</v>
      </c>
      <c r="C90" s="480">
        <f>'[71]Sch C'!D78</f>
        <v>0</v>
      </c>
      <c r="D90" s="480">
        <f>'[71]Sch C'!F78</f>
        <v>0</v>
      </c>
      <c r="E90" s="480">
        <f>+'[71]Sch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N90" s="162"/>
      <c r="O90" s="324">
        <f t="shared" si="20"/>
        <v>0</v>
      </c>
      <c r="P90" s="324">
        <f>SUMMARY!L92</f>
        <v>0.24523901522861224</v>
      </c>
    </row>
    <row r="91" spans="1:16" s="612" customFormat="1">
      <c r="A91" s="164">
        <v>240</v>
      </c>
      <c r="B91" s="192" t="s">
        <v>248</v>
      </c>
      <c r="C91" s="480">
        <f>'[71]Sch C'!D79</f>
        <v>21710</v>
      </c>
      <c r="D91" s="480">
        <f>'[71]Sch C'!F79</f>
        <v>0</v>
      </c>
      <c r="E91" s="480">
        <f>+'[71]Sch C'!H79</f>
        <v>0</v>
      </c>
      <c r="F91" s="166">
        <f t="shared" si="17"/>
        <v>21710</v>
      </c>
      <c r="G91" s="626"/>
      <c r="H91" s="607"/>
      <c r="I91" s="166">
        <f t="shared" si="18"/>
        <v>21710</v>
      </c>
      <c r="J91" s="167">
        <f t="shared" si="19"/>
        <v>2.0612053617543582E-3</v>
      </c>
      <c r="K91" s="458"/>
      <c r="L91" s="163"/>
      <c r="M91" s="163"/>
      <c r="N91" s="162"/>
      <c r="O91" s="324">
        <f t="shared" si="20"/>
        <v>0.73568281938325997</v>
      </c>
      <c r="P91" s="324">
        <f>SUMMARY!L93</f>
        <v>0.6231522775072933</v>
      </c>
    </row>
    <row r="92" spans="1:16" s="612" customFormat="1">
      <c r="A92" s="164">
        <v>310</v>
      </c>
      <c r="B92" s="191" t="s">
        <v>46</v>
      </c>
      <c r="C92" s="480">
        <f>'[71]Sch C'!D80</f>
        <v>36292</v>
      </c>
      <c r="D92" s="480">
        <f>'[71]Sch C'!F80</f>
        <v>0</v>
      </c>
      <c r="E92" s="480">
        <f>+'[71]Sch C'!H80</f>
        <v>0</v>
      </c>
      <c r="F92" s="166">
        <f t="shared" si="17"/>
        <v>36292</v>
      </c>
      <c r="G92" s="626"/>
      <c r="H92" s="607"/>
      <c r="I92" s="166">
        <f t="shared" si="18"/>
        <v>36292</v>
      </c>
      <c r="J92" s="167">
        <f t="shared" si="19"/>
        <v>3.4456593730441808E-3</v>
      </c>
      <c r="K92" s="458"/>
      <c r="L92" s="163"/>
      <c r="M92" s="163"/>
      <c r="N92" s="162"/>
      <c r="O92" s="324">
        <f t="shared" si="20"/>
        <v>1.2298203998644528</v>
      </c>
      <c r="P92" s="324">
        <f>SUMMARY!L94</f>
        <v>1.1835704208895077</v>
      </c>
    </row>
    <row r="93" spans="1:16" s="612" customFormat="1">
      <c r="A93" s="164">
        <v>320</v>
      </c>
      <c r="B93" s="193" t="s">
        <v>294</v>
      </c>
      <c r="C93" s="480">
        <f>'[71]Sch C'!D81</f>
        <v>1290</v>
      </c>
      <c r="D93" s="480">
        <f>'[71]Sch C'!F81</f>
        <v>0</v>
      </c>
      <c r="E93" s="480">
        <f>+'[71]Sch C'!H81</f>
        <v>0</v>
      </c>
      <c r="F93" s="166">
        <f t="shared" si="17"/>
        <v>1290</v>
      </c>
      <c r="G93" s="626"/>
      <c r="H93" s="607">
        <v>1384</v>
      </c>
      <c r="I93" s="166">
        <f t="shared" si="18"/>
        <v>2674</v>
      </c>
      <c r="J93" s="167">
        <f t="shared" si="19"/>
        <v>2.5387669909401905E-4</v>
      </c>
      <c r="K93" s="458" t="s">
        <v>494</v>
      </c>
      <c r="L93" s="163"/>
      <c r="M93" s="163"/>
      <c r="N93" s="162"/>
      <c r="O93" s="324">
        <f t="shared" si="20"/>
        <v>9.0613351406302944E-2</v>
      </c>
      <c r="P93" s="324">
        <f>SUMMARY!L95</f>
        <v>0.70603607941087931</v>
      </c>
    </row>
    <row r="94" spans="1:16" s="612" customFormat="1">
      <c r="A94" s="164">
        <v>330</v>
      </c>
      <c r="B94" s="193" t="s">
        <v>295</v>
      </c>
      <c r="C94" s="480">
        <f>'[71]Sch C'!D82</f>
        <v>30517</v>
      </c>
      <c r="D94" s="480">
        <f>'[71]Sch C'!F82</f>
        <v>0</v>
      </c>
      <c r="E94" s="480">
        <f>+'[71]Sch C'!H82</f>
        <v>0</v>
      </c>
      <c r="F94" s="166">
        <f t="shared" si="17"/>
        <v>30517</v>
      </c>
      <c r="G94" s="626"/>
      <c r="H94" s="607"/>
      <c r="I94" s="166">
        <f t="shared" si="18"/>
        <v>30517</v>
      </c>
      <c r="J94" s="167">
        <f t="shared" si="19"/>
        <v>2.8973654548437471E-3</v>
      </c>
      <c r="K94" s="458"/>
      <c r="L94" s="163"/>
      <c r="M94" s="163"/>
      <c r="N94" s="162"/>
      <c r="O94" s="324">
        <f t="shared" si="20"/>
        <v>1.0341240257539817</v>
      </c>
      <c r="P94" s="324">
        <f>SUMMARY!L96</f>
        <v>0.41394888006539005</v>
      </c>
    </row>
    <row r="95" spans="1:16" s="612" customFormat="1">
      <c r="A95" s="158">
        <v>340</v>
      </c>
      <c r="B95" s="193" t="s">
        <v>281</v>
      </c>
      <c r="C95" s="480">
        <f>'[71]Sch C'!D83</f>
        <v>7379</v>
      </c>
      <c r="D95" s="480">
        <f>'[71]Sch C'!F83</f>
        <v>0</v>
      </c>
      <c r="E95" s="480">
        <f>+'[71]Sch C'!H83</f>
        <v>0</v>
      </c>
      <c r="F95" s="166">
        <f t="shared" si="17"/>
        <v>7379</v>
      </c>
      <c r="G95" s="626"/>
      <c r="H95" s="607"/>
      <c r="I95" s="166">
        <f t="shared" si="18"/>
        <v>7379</v>
      </c>
      <c r="J95" s="167">
        <f t="shared" si="19"/>
        <v>7.0058196058891801E-4</v>
      </c>
      <c r="K95" s="458"/>
      <c r="L95" s="163"/>
      <c r="M95" s="163"/>
      <c r="N95" s="162"/>
      <c r="O95" s="324">
        <f t="shared" si="20"/>
        <v>0.25005083022704166</v>
      </c>
      <c r="P95" s="324">
        <f>SUMMARY!L97</f>
        <v>0.21173503442349134</v>
      </c>
    </row>
    <row r="96" spans="1:16" s="612" customFormat="1">
      <c r="A96" s="158">
        <v>350</v>
      </c>
      <c r="B96" s="191" t="s">
        <v>41</v>
      </c>
      <c r="C96" s="480">
        <f>'[71]Sch C'!D84</f>
        <v>96227</v>
      </c>
      <c r="D96" s="480">
        <f>'[71]Sch C'!F84</f>
        <v>0</v>
      </c>
      <c r="E96" s="480">
        <f>+'[71]Sch C'!H84</f>
        <v>0</v>
      </c>
      <c r="F96" s="166">
        <f t="shared" si="17"/>
        <v>96227</v>
      </c>
      <c r="G96" s="626"/>
      <c r="H96" s="607"/>
      <c r="I96" s="166">
        <f t="shared" si="18"/>
        <v>96227</v>
      </c>
      <c r="J96" s="167">
        <f t="shared" si="19"/>
        <v>9.1360482886014109E-3</v>
      </c>
      <c r="K96" s="458"/>
      <c r="L96" s="163"/>
      <c r="M96" s="163"/>
      <c r="N96" s="162"/>
      <c r="O96" s="324">
        <f t="shared" si="20"/>
        <v>3.2608268383598782</v>
      </c>
      <c r="P96" s="324">
        <f>SUMMARY!L98</f>
        <v>4.6189606641285916</v>
      </c>
    </row>
    <row r="97" spans="1:16" s="612" customFormat="1">
      <c r="A97" s="158">
        <v>490</v>
      </c>
      <c r="B97" s="145" t="s">
        <v>293</v>
      </c>
      <c r="C97" s="480">
        <f>'[71]Sch C'!D85</f>
        <v>0</v>
      </c>
      <c r="D97" s="480">
        <f>'[71]Sch C'!F85</f>
        <v>0</v>
      </c>
      <c r="E97" s="480">
        <f>+'[71]Sch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N97" s="162"/>
      <c r="O97" s="324">
        <f t="shared" si="20"/>
        <v>0</v>
      </c>
      <c r="P97" s="324">
        <f>SUMMARY!L99</f>
        <v>9.3095120404143514E-2</v>
      </c>
    </row>
    <row r="98" spans="1:16" s="612" customFormat="1">
      <c r="A98" s="158"/>
      <c r="B98" s="165" t="s">
        <v>42</v>
      </c>
      <c r="C98" s="480">
        <f t="shared" ref="C98:E98" si="21">SUM(C87:C97)</f>
        <v>282141</v>
      </c>
      <c r="D98" s="480">
        <f t="shared" si="21"/>
        <v>8658</v>
      </c>
      <c r="E98" s="480">
        <f t="shared" si="21"/>
        <v>0</v>
      </c>
      <c r="F98" s="166">
        <f t="shared" ref="F98:I98" si="22">SUM(F87:F97)</f>
        <v>290799</v>
      </c>
      <c r="G98" s="166">
        <f t="shared" si="22"/>
        <v>0</v>
      </c>
      <c r="H98" s="166">
        <f t="shared" si="22"/>
        <v>1384</v>
      </c>
      <c r="I98" s="166">
        <f t="shared" si="22"/>
        <v>292183</v>
      </c>
      <c r="J98" s="167">
        <f t="shared" si="19"/>
        <v>2.7740634095507768E-2</v>
      </c>
      <c r="K98" s="458"/>
      <c r="L98" s="163"/>
      <c r="M98" s="163"/>
      <c r="N98" s="162"/>
      <c r="O98" s="329">
        <f>I98/I$233</f>
        <v>9.9011521518129442</v>
      </c>
      <c r="P98" s="324">
        <f>SUMMARY!L100</f>
        <v>11.669285059805642</v>
      </c>
    </row>
    <row r="99" spans="1:16" s="612" customFormat="1">
      <c r="A99" s="158"/>
      <c r="B99" s="162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N99" s="162"/>
      <c r="O99" s="324"/>
      <c r="P99" s="324"/>
    </row>
    <row r="100" spans="1:16" s="61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N100" s="162"/>
      <c r="O100" s="324"/>
      <c r="P100" s="324"/>
    </row>
    <row r="101" spans="1:16" s="612" customFormat="1">
      <c r="A101" s="164" t="s">
        <v>77</v>
      </c>
      <c r="B101" s="165" t="s">
        <v>36</v>
      </c>
      <c r="C101" s="480">
        <f>'[71]Sch C'!D89</f>
        <v>188702</v>
      </c>
      <c r="D101" s="480">
        <f>'[71]Sch C'!F89</f>
        <v>0</v>
      </c>
      <c r="E101" s="480">
        <f>+'[71]Sch C'!H89</f>
        <v>0</v>
      </c>
      <c r="F101" s="166">
        <f t="shared" ref="F101:F106" si="23">C101+D101+E101</f>
        <v>188702</v>
      </c>
      <c r="G101" s="626"/>
      <c r="H101" s="607"/>
      <c r="I101" s="166">
        <f t="shared" ref="I101:I106" si="24">F101+G101+H101</f>
        <v>188702</v>
      </c>
      <c r="J101" s="167">
        <f t="shared" ref="J101:J107" si="25">IF($I$213=0,0,I101/$I$213)</f>
        <v>1.7915871680044722E-2</v>
      </c>
      <c r="K101" s="458"/>
      <c r="L101" s="176">
        <v>18606</v>
      </c>
      <c r="M101" s="176">
        <v>19295</v>
      </c>
      <c r="N101" s="162"/>
      <c r="O101" s="329">
        <f t="shared" ref="O101:O106" si="26">I101/I$233</f>
        <v>6.3945103354794988</v>
      </c>
      <c r="P101" s="324">
        <f>SUMMARY!L103</f>
        <v>8.3473223649132038</v>
      </c>
    </row>
    <row r="102" spans="1:16" s="612" customFormat="1">
      <c r="A102" s="164" t="s">
        <v>78</v>
      </c>
      <c r="B102" s="165" t="s">
        <v>37</v>
      </c>
      <c r="C102" s="480">
        <f>'[71]Sch C'!D90</f>
        <v>0</v>
      </c>
      <c r="D102" s="480">
        <f>'[71]Sch C'!F90</f>
        <v>31694</v>
      </c>
      <c r="E102" s="480">
        <f>+'[71]Sch C'!H90</f>
        <v>0</v>
      </c>
      <c r="F102" s="166">
        <f t="shared" si="23"/>
        <v>31694</v>
      </c>
      <c r="G102" s="626"/>
      <c r="H102" s="607"/>
      <c r="I102" s="166">
        <f t="shared" si="24"/>
        <v>31694</v>
      </c>
      <c r="J102" s="167">
        <f t="shared" si="25"/>
        <v>3.0091129772198354E-3</v>
      </c>
      <c r="K102" s="458"/>
      <c r="L102" s="163"/>
      <c r="M102" s="163"/>
      <c r="N102" s="162"/>
      <c r="O102" s="329">
        <f t="shared" si="26"/>
        <v>1.0740088105726873</v>
      </c>
      <c r="P102" s="324">
        <f>SUMMARY!L104</f>
        <v>1.5609428437092472</v>
      </c>
    </row>
    <row r="103" spans="1:16" s="612" customFormat="1">
      <c r="A103" s="164">
        <v>310</v>
      </c>
      <c r="B103" s="165" t="s">
        <v>46</v>
      </c>
      <c r="C103" s="480">
        <f>'[71]Sch C'!D91</f>
        <v>518</v>
      </c>
      <c r="D103" s="480">
        <f>'[71]Sch C'!F91</f>
        <v>0</v>
      </c>
      <c r="E103" s="480">
        <f>+'[71]Sch C'!H91</f>
        <v>0</v>
      </c>
      <c r="F103" s="166">
        <f t="shared" si="23"/>
        <v>518</v>
      </c>
      <c r="G103" s="626"/>
      <c r="H103" s="607"/>
      <c r="I103" s="166">
        <f t="shared" si="24"/>
        <v>518</v>
      </c>
      <c r="J103" s="167">
        <f t="shared" si="25"/>
        <v>4.9180302965857094E-5</v>
      </c>
      <c r="K103" s="458"/>
      <c r="L103" s="163"/>
      <c r="M103" s="163"/>
      <c r="N103" s="162"/>
      <c r="O103" s="329">
        <f t="shared" si="26"/>
        <v>1.7553371738393764E-2</v>
      </c>
      <c r="P103" s="324">
        <f>SUMMARY!L105</f>
        <v>3.2648403854914108</v>
      </c>
    </row>
    <row r="104" spans="1:16" s="612" customFormat="1">
      <c r="A104" s="164">
        <v>380</v>
      </c>
      <c r="B104" s="165" t="s">
        <v>44</v>
      </c>
      <c r="C104" s="480">
        <f>'[71]Sch C'!D92</f>
        <v>198834</v>
      </c>
      <c r="D104" s="480">
        <f>'[71]Sch C'!F92</f>
        <v>0</v>
      </c>
      <c r="E104" s="480">
        <f>+'[71]Sch C'!H92</f>
        <v>0</v>
      </c>
      <c r="F104" s="166">
        <f t="shared" si="23"/>
        <v>198834</v>
      </c>
      <c r="G104" s="626"/>
      <c r="H104" s="607"/>
      <c r="I104" s="166">
        <f t="shared" si="24"/>
        <v>198834</v>
      </c>
      <c r="J104" s="167">
        <f t="shared" si="25"/>
        <v>1.8877830810643301E-2</v>
      </c>
      <c r="K104" s="458"/>
      <c r="L104" s="163"/>
      <c r="M104" s="163"/>
      <c r="N104" s="162"/>
      <c r="O104" s="329">
        <f t="shared" si="26"/>
        <v>6.7378515757370385</v>
      </c>
      <c r="P104" s="324">
        <f>SUMMARY!L106</f>
        <v>6.7215221396948683</v>
      </c>
    </row>
    <row r="105" spans="1:16" s="612" customFormat="1">
      <c r="A105" s="164">
        <v>390</v>
      </c>
      <c r="B105" s="165" t="s">
        <v>526</v>
      </c>
      <c r="C105" s="480">
        <f>'[71]Sch C'!D93</f>
        <v>22458</v>
      </c>
      <c r="D105" s="480">
        <f>'[71]Sch C'!F93</f>
        <v>0</v>
      </c>
      <c r="E105" s="480">
        <f>+'[71]Sch C'!H93</f>
        <v>0</v>
      </c>
      <c r="F105" s="166">
        <f t="shared" si="23"/>
        <v>22458</v>
      </c>
      <c r="G105" s="626"/>
      <c r="H105" s="607"/>
      <c r="I105" s="166">
        <f t="shared" si="24"/>
        <v>22458</v>
      </c>
      <c r="J105" s="167">
        <f t="shared" si="25"/>
        <v>2.1322224787784145E-3</v>
      </c>
      <c r="K105" s="458"/>
      <c r="L105" s="163"/>
      <c r="M105" s="163"/>
      <c r="N105" s="162"/>
      <c r="O105" s="329">
        <f t="shared" si="26"/>
        <v>0.76103015926804474</v>
      </c>
      <c r="P105" s="324">
        <f>SUMMARY!L107</f>
        <v>0.67646258646257007</v>
      </c>
    </row>
    <row r="106" spans="1:16" s="612" customFormat="1">
      <c r="A106" s="164">
        <v>490</v>
      </c>
      <c r="B106" s="194" t="s">
        <v>293</v>
      </c>
      <c r="C106" s="480">
        <f>'[71]Sch C'!D94</f>
        <v>0</v>
      </c>
      <c r="D106" s="480">
        <f>'[71]Sch C'!F94</f>
        <v>0</v>
      </c>
      <c r="E106" s="480">
        <f>+'[71]Sch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N106" s="162"/>
      <c r="O106" s="329">
        <f t="shared" si="26"/>
        <v>0</v>
      </c>
      <c r="P106" s="324">
        <f>SUMMARY!L108</f>
        <v>5.9815901897626589E-2</v>
      </c>
    </row>
    <row r="107" spans="1:16" s="612" customFormat="1">
      <c r="A107" s="164"/>
      <c r="B107" s="165" t="s">
        <v>47</v>
      </c>
      <c r="C107" s="480">
        <f t="shared" ref="C107:E107" si="27">SUM(C101:C106)</f>
        <v>410512</v>
      </c>
      <c r="D107" s="480">
        <f t="shared" si="27"/>
        <v>31694</v>
      </c>
      <c r="E107" s="480">
        <f t="shared" si="27"/>
        <v>0</v>
      </c>
      <c r="F107" s="166">
        <f t="shared" ref="F107:I107" si="28">SUM(F101:F106)</f>
        <v>442206</v>
      </c>
      <c r="G107" s="166">
        <f t="shared" si="28"/>
        <v>0</v>
      </c>
      <c r="H107" s="166">
        <f t="shared" si="28"/>
        <v>0</v>
      </c>
      <c r="I107" s="166">
        <f t="shared" si="28"/>
        <v>442206</v>
      </c>
      <c r="J107" s="167">
        <f t="shared" si="25"/>
        <v>4.1984218249652129E-2</v>
      </c>
      <c r="K107" s="458"/>
      <c r="L107" s="163"/>
      <c r="M107" s="163"/>
      <c r="N107" s="162"/>
      <c r="O107" s="329">
        <f>I107/I$233</f>
        <v>14.984954252795662</v>
      </c>
      <c r="P107" s="324">
        <f>SUMMARY!L109</f>
        <v>20.630906222168928</v>
      </c>
    </row>
    <row r="108" spans="1:16" s="612" customFormat="1">
      <c r="A108" s="158"/>
      <c r="B108" s="162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N108" s="162"/>
      <c r="O108" s="324"/>
      <c r="P108" s="324"/>
    </row>
    <row r="109" spans="1:16" s="61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N109" s="162"/>
      <c r="O109" s="324"/>
      <c r="P109" s="324"/>
    </row>
    <row r="110" spans="1:16" s="612" customFormat="1">
      <c r="A110" s="164" t="s">
        <v>77</v>
      </c>
      <c r="B110" s="165" t="s">
        <v>36</v>
      </c>
      <c r="C110" s="480">
        <f>'[71]Sch C'!D98</f>
        <v>43802</v>
      </c>
      <c r="D110" s="480">
        <f>'[71]Sch C'!F98</f>
        <v>0</v>
      </c>
      <c r="E110" s="480">
        <f>+'[71]Sch C'!H98</f>
        <v>0</v>
      </c>
      <c r="F110" s="166">
        <f t="shared" ref="F110:F115" si="29">C110+D110+E110</f>
        <v>43802</v>
      </c>
      <c r="G110" s="626"/>
      <c r="H110" s="607"/>
      <c r="I110" s="166">
        <f t="shared" ref="I110:I115" si="30">F110+G110+H110</f>
        <v>43802</v>
      </c>
      <c r="J110" s="167">
        <f t="shared" ref="J110:J116" si="31">IF($I$213=0,0,I110/$I$213)</f>
        <v>4.1586788233792908E-3</v>
      </c>
      <c r="K110" s="458"/>
      <c r="L110" s="176">
        <v>4309</v>
      </c>
      <c r="M110" s="176">
        <v>4479</v>
      </c>
      <c r="N110" s="162"/>
      <c r="O110" s="329">
        <f t="shared" ref="O110:O115" si="32">I110/I$233</f>
        <v>1.4843104032531345</v>
      </c>
      <c r="P110" s="324">
        <f>SUMMARY!L112</f>
        <v>1.0420421927982051</v>
      </c>
    </row>
    <row r="111" spans="1:16" s="612" customFormat="1">
      <c r="A111" s="164" t="s">
        <v>78</v>
      </c>
      <c r="B111" s="165" t="s">
        <v>37</v>
      </c>
      <c r="C111" s="480">
        <f>'[71]Sch C'!D99</f>
        <v>0</v>
      </c>
      <c r="D111" s="480">
        <f>'[71]Sch C'!F99</f>
        <v>7357</v>
      </c>
      <c r="E111" s="480">
        <f>+'[71]Sch C'!H99</f>
        <v>0</v>
      </c>
      <c r="F111" s="166">
        <f t="shared" si="29"/>
        <v>7357</v>
      </c>
      <c r="G111" s="626"/>
      <c r="H111" s="607"/>
      <c r="I111" s="166">
        <f t="shared" si="30"/>
        <v>7357</v>
      </c>
      <c r="J111" s="167">
        <f t="shared" si="31"/>
        <v>6.9849322185291636E-4</v>
      </c>
      <c r="K111" s="458"/>
      <c r="L111" s="163"/>
      <c r="M111" s="163"/>
      <c r="N111" s="162"/>
      <c r="O111" s="329">
        <f t="shared" si="32"/>
        <v>0.24930532023043037</v>
      </c>
      <c r="P111" s="324">
        <f>SUMMARY!L113</f>
        <v>0.20078964936815169</v>
      </c>
    </row>
    <row r="112" spans="1:16" s="612" customFormat="1">
      <c r="A112" s="164">
        <v>110</v>
      </c>
      <c r="B112" s="165" t="s">
        <v>39</v>
      </c>
      <c r="C112" s="480">
        <f>'[71]Sch C'!D100</f>
        <v>4158</v>
      </c>
      <c r="D112" s="480">
        <f>'[71]Sch C'!F100</f>
        <v>0</v>
      </c>
      <c r="E112" s="480">
        <f>+'[71]Sch C'!H100</f>
        <v>0</v>
      </c>
      <c r="F112" s="166">
        <f t="shared" si="29"/>
        <v>4158</v>
      </c>
      <c r="G112" s="626"/>
      <c r="H112" s="607"/>
      <c r="I112" s="166">
        <f t="shared" si="30"/>
        <v>4158</v>
      </c>
      <c r="J112" s="167">
        <f t="shared" si="31"/>
        <v>3.9477162110431238E-4</v>
      </c>
      <c r="K112" s="458"/>
      <c r="L112" s="163"/>
      <c r="M112" s="163"/>
      <c r="N112" s="162"/>
      <c r="O112" s="329">
        <f t="shared" si="32"/>
        <v>0.14090138935953914</v>
      </c>
      <c r="P112" s="324">
        <f>SUMMARY!L114</f>
        <v>0.2184369107272279</v>
      </c>
    </row>
    <row r="113" spans="1:16" s="612" customFormat="1">
      <c r="A113" s="164">
        <v>310</v>
      </c>
      <c r="B113" s="165" t="s">
        <v>46</v>
      </c>
      <c r="C113" s="480">
        <f>'[71]Sch C'!D101</f>
        <v>0</v>
      </c>
      <c r="D113" s="480">
        <f>'[71]Sch C'!F101</f>
        <v>0</v>
      </c>
      <c r="E113" s="480">
        <f>+'[71]Sch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N113" s="162"/>
      <c r="O113" s="329">
        <f t="shared" si="32"/>
        <v>0</v>
      </c>
      <c r="P113" s="324">
        <f>SUMMARY!L115</f>
        <v>0.64566906925728618</v>
      </c>
    </row>
    <row r="114" spans="1:16" s="612" customFormat="1">
      <c r="A114" s="164">
        <v>410</v>
      </c>
      <c r="B114" s="165" t="s">
        <v>49</v>
      </c>
      <c r="C114" s="480">
        <f>'[71]Sch C'!D102</f>
        <v>9708</v>
      </c>
      <c r="D114" s="480">
        <f>'[71]Sch C'!F102</f>
        <v>0</v>
      </c>
      <c r="E114" s="480">
        <f>+'[71]Sch C'!H102</f>
        <v>0</v>
      </c>
      <c r="F114" s="166">
        <f t="shared" si="29"/>
        <v>9708</v>
      </c>
      <c r="G114" s="626"/>
      <c r="H114" s="607"/>
      <c r="I114" s="166">
        <f t="shared" si="30"/>
        <v>9708</v>
      </c>
      <c r="J114" s="167">
        <f t="shared" si="31"/>
        <v>9.2170343859563839E-4</v>
      </c>
      <c r="K114" s="458"/>
      <c r="L114" s="163"/>
      <c r="M114" s="163"/>
      <c r="N114" s="162"/>
      <c r="O114" s="329">
        <f t="shared" si="32"/>
        <v>0.32897322941375806</v>
      </c>
      <c r="P114" s="324">
        <f>SUMMARY!L116</f>
        <v>0.18302825246264015</v>
      </c>
    </row>
    <row r="115" spans="1:16" s="612" customFormat="1">
      <c r="A115" s="164">
        <v>490</v>
      </c>
      <c r="B115" s="194" t="s">
        <v>293</v>
      </c>
      <c r="C115" s="480">
        <f>'[71]Sch C'!D103</f>
        <v>0</v>
      </c>
      <c r="D115" s="480">
        <f>'[71]Sch C'!F103</f>
        <v>0</v>
      </c>
      <c r="E115" s="480">
        <f>+'[71]Sch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N115" s="162"/>
      <c r="O115" s="329">
        <f t="shared" si="32"/>
        <v>0</v>
      </c>
      <c r="P115" s="324">
        <f>SUMMARY!L117</f>
        <v>6.0532522203232677E-3</v>
      </c>
    </row>
    <row r="116" spans="1:16" s="612" customFormat="1">
      <c r="A116" s="158"/>
      <c r="B116" s="165" t="s">
        <v>50</v>
      </c>
      <c r="C116" s="480">
        <f t="shared" ref="C116:E116" si="33">SUM(C110:C115)</f>
        <v>57668</v>
      </c>
      <c r="D116" s="480">
        <f t="shared" si="33"/>
        <v>7357</v>
      </c>
      <c r="E116" s="480">
        <f t="shared" si="33"/>
        <v>0</v>
      </c>
      <c r="F116" s="166">
        <f t="shared" ref="F116:I116" si="34">SUM(F110:F115)</f>
        <v>65025</v>
      </c>
      <c r="G116" s="166">
        <f t="shared" si="34"/>
        <v>0</v>
      </c>
      <c r="H116" s="166">
        <f t="shared" si="34"/>
        <v>0</v>
      </c>
      <c r="I116" s="166">
        <f t="shared" si="34"/>
        <v>65025</v>
      </c>
      <c r="J116" s="167">
        <f t="shared" si="31"/>
        <v>6.1736471049321576E-3</v>
      </c>
      <c r="K116" s="458"/>
      <c r="L116" s="163"/>
      <c r="M116" s="163"/>
      <c r="N116" s="162"/>
      <c r="O116" s="329">
        <f>I116/I$233</f>
        <v>2.2034903422568619</v>
      </c>
      <c r="P116" s="324">
        <f>SUMMARY!L118</f>
        <v>2.2960193268338349</v>
      </c>
    </row>
    <row r="117" spans="1:16" s="612" customFormat="1">
      <c r="A117" s="158"/>
      <c r="B117" s="162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N117" s="162"/>
      <c r="O117" s="324"/>
      <c r="P117" s="324"/>
    </row>
    <row r="118" spans="1:16" s="61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N118" s="162"/>
      <c r="O118" s="324"/>
      <c r="P118" s="324"/>
    </row>
    <row r="119" spans="1:16" s="612" customFormat="1">
      <c r="A119" s="164" t="s">
        <v>77</v>
      </c>
      <c r="B119" s="165" t="s">
        <v>36</v>
      </c>
      <c r="C119" s="480">
        <f>'[71]Sch C'!D115</f>
        <v>128523</v>
      </c>
      <c r="D119" s="480">
        <f>'[71]Sch C'!F115</f>
        <v>0</v>
      </c>
      <c r="E119" s="480">
        <f>+'[71]Sch C'!H115</f>
        <v>0</v>
      </c>
      <c r="F119" s="166">
        <f t="shared" ref="F119:F123" si="35">C119+D119+E119</f>
        <v>128523</v>
      </c>
      <c r="G119" s="626"/>
      <c r="H119" s="607"/>
      <c r="I119" s="166">
        <f t="shared" ref="I119:I123" si="36">F119+G119+H119</f>
        <v>128523</v>
      </c>
      <c r="J119" s="167">
        <f t="shared" ref="J119:J124" si="37">IF($I$213=0,0,I119/$I$213)</f>
        <v>1.2202316753051837E-2</v>
      </c>
      <c r="K119" s="458"/>
      <c r="L119" s="176">
        <v>11602</v>
      </c>
      <c r="M119" s="176">
        <v>12382</v>
      </c>
      <c r="N119" s="162"/>
      <c r="O119" s="329">
        <f t="shared" ref="O119:O124" si="38">I119/I$233</f>
        <v>4.3552355133852929</v>
      </c>
      <c r="P119" s="324">
        <f>SUMMARY!L121</f>
        <v>3.6316697482212446</v>
      </c>
    </row>
    <row r="120" spans="1:16" s="612" customFormat="1">
      <c r="A120" s="164" t="s">
        <v>78</v>
      </c>
      <c r="B120" s="165" t="s">
        <v>143</v>
      </c>
      <c r="C120" s="480">
        <f>'[71]Sch C'!D116</f>
        <v>0</v>
      </c>
      <c r="D120" s="480">
        <f>'[71]Sch C'!F116</f>
        <v>21587</v>
      </c>
      <c r="E120" s="480">
        <f>+'[71]Sch C'!H116</f>
        <v>0</v>
      </c>
      <c r="F120" s="166">
        <f t="shared" si="35"/>
        <v>21587</v>
      </c>
      <c r="G120" s="626"/>
      <c r="H120" s="607"/>
      <c r="I120" s="166">
        <f t="shared" si="36"/>
        <v>21587</v>
      </c>
      <c r="J120" s="167">
        <f t="shared" si="37"/>
        <v>2.0495274133667126E-3</v>
      </c>
      <c r="K120" s="458"/>
      <c r="L120" s="163"/>
      <c r="M120" s="163"/>
      <c r="N120" s="162"/>
      <c r="O120" s="329">
        <f t="shared" si="38"/>
        <v>0.73151474076584211</v>
      </c>
      <c r="P120" s="324">
        <f>SUMMARY!L122</f>
        <v>0.73639428778580995</v>
      </c>
    </row>
    <row r="121" spans="1:16" s="612" customFormat="1">
      <c r="A121" s="164" t="s">
        <v>85</v>
      </c>
      <c r="B121" s="165" t="s">
        <v>39</v>
      </c>
      <c r="C121" s="480">
        <f>'[71]Sch C'!D117</f>
        <v>43528</v>
      </c>
      <c r="D121" s="480">
        <f>'[71]Sch C'!F117</f>
        <v>0</v>
      </c>
      <c r="E121" s="480">
        <f>+'[71]Sch C'!H117</f>
        <v>0</v>
      </c>
      <c r="F121" s="166">
        <f t="shared" si="35"/>
        <v>43528</v>
      </c>
      <c r="G121" s="626"/>
      <c r="H121" s="607"/>
      <c r="I121" s="166">
        <f t="shared" si="36"/>
        <v>43528</v>
      </c>
      <c r="J121" s="167">
        <f t="shared" si="37"/>
        <v>4.1326645318490885E-3</v>
      </c>
      <c r="K121" s="458"/>
      <c r="L121" s="163"/>
      <c r="M121" s="163"/>
      <c r="N121" s="162"/>
      <c r="O121" s="329">
        <f t="shared" si="38"/>
        <v>1.4750254151135209</v>
      </c>
      <c r="P121" s="324">
        <f>SUMMARY!L123</f>
        <v>0.93523261358838172</v>
      </c>
    </row>
    <row r="122" spans="1:16" s="612" customFormat="1">
      <c r="A122" s="164">
        <v>310</v>
      </c>
      <c r="B122" s="165" t="s">
        <v>52</v>
      </c>
      <c r="C122" s="480">
        <f>'[71]Sch C'!D118</f>
        <v>2667</v>
      </c>
      <c r="D122" s="480">
        <f>'[71]Sch C'!F118</f>
        <v>0</v>
      </c>
      <c r="E122" s="480">
        <f>+'[71]Sch C'!H118</f>
        <v>0</v>
      </c>
      <c r="F122" s="166">
        <f t="shared" si="35"/>
        <v>2667</v>
      </c>
      <c r="G122" s="626"/>
      <c r="H122" s="607"/>
      <c r="I122" s="166">
        <f t="shared" si="36"/>
        <v>2667</v>
      </c>
      <c r="J122" s="167">
        <f t="shared" si="37"/>
        <v>2.5321210040529129E-4</v>
      </c>
      <c r="K122" s="458"/>
      <c r="L122" s="163"/>
      <c r="M122" s="163"/>
      <c r="N122" s="162"/>
      <c r="O122" s="329">
        <f t="shared" si="38"/>
        <v>9.0376143680108434E-2</v>
      </c>
      <c r="P122" s="324">
        <f>SUMMARY!L124</f>
        <v>1.1004196025979425</v>
      </c>
    </row>
    <row r="123" spans="1:16" s="612" customFormat="1">
      <c r="A123" s="164">
        <v>490</v>
      </c>
      <c r="B123" s="194" t="s">
        <v>293</v>
      </c>
      <c r="C123" s="480">
        <f>'[71]Sch C'!D119</f>
        <v>0</v>
      </c>
      <c r="D123" s="480">
        <f>'[71]Sch C'!F119</f>
        <v>0</v>
      </c>
      <c r="E123" s="480">
        <f>+'[71]Sch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N123" s="162"/>
      <c r="O123" s="329">
        <f t="shared" si="38"/>
        <v>0</v>
      </c>
      <c r="P123" s="324">
        <f>SUMMARY!L125</f>
        <v>1.509992127773452E-2</v>
      </c>
    </row>
    <row r="124" spans="1:16" s="612" customFormat="1">
      <c r="A124" s="158"/>
      <c r="B124" s="165" t="s">
        <v>53</v>
      </c>
      <c r="C124" s="480">
        <f t="shared" ref="C124:E124" si="39">SUM(C119:C123)</f>
        <v>174718</v>
      </c>
      <c r="D124" s="480">
        <f t="shared" si="39"/>
        <v>21587</v>
      </c>
      <c r="E124" s="480">
        <f t="shared" si="39"/>
        <v>0</v>
      </c>
      <c r="F124" s="166">
        <f t="shared" ref="F124:I124" si="40">SUM(F119:F123)</f>
        <v>196305</v>
      </c>
      <c r="G124" s="166">
        <f t="shared" si="40"/>
        <v>0</v>
      </c>
      <c r="H124" s="166">
        <f t="shared" si="40"/>
        <v>0</v>
      </c>
      <c r="I124" s="166">
        <f t="shared" si="40"/>
        <v>196305</v>
      </c>
      <c r="J124" s="167">
        <f t="shared" si="37"/>
        <v>1.863772079867293E-2</v>
      </c>
      <c r="K124" s="458"/>
      <c r="L124" s="163"/>
      <c r="M124" s="163"/>
      <c r="N124" s="162"/>
      <c r="O124" s="329">
        <f t="shared" si="38"/>
        <v>6.6521518129447648</v>
      </c>
      <c r="P124" s="324">
        <f>SUMMARY!L126</f>
        <v>6.4188161734711136</v>
      </c>
    </row>
    <row r="125" spans="1:16" s="61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N125" s="162"/>
      <c r="O125" s="324"/>
      <c r="P125" s="324"/>
    </row>
    <row r="126" spans="1:16" s="61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N126" s="162"/>
      <c r="O126" s="324"/>
      <c r="P126" s="324"/>
    </row>
    <row r="127" spans="1:16" s="61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N127" s="162"/>
      <c r="O127" s="324"/>
      <c r="P127" s="324"/>
    </row>
    <row r="128" spans="1:16" s="612" customFormat="1">
      <c r="A128" s="162"/>
      <c r="B128" s="323" t="s">
        <v>672</v>
      </c>
      <c r="C128" s="480">
        <f>'[71]Sch C'!D124</f>
        <v>0</v>
      </c>
      <c r="D128" s="480">
        <f>'[71]Sch C'!F124</f>
        <v>0</v>
      </c>
      <c r="E128" s="480">
        <f>+'[71]Sch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N128" s="162"/>
      <c r="O128" s="329">
        <f t="shared" ref="O128:O165" si="43">I128/I$233</f>
        <v>0</v>
      </c>
      <c r="P128" s="324">
        <f>SUMMARY!L130</f>
        <v>0.80275923694324991</v>
      </c>
    </row>
    <row r="129" spans="1:16" s="612" customFormat="1">
      <c r="A129" s="162"/>
      <c r="B129" s="323" t="s">
        <v>673</v>
      </c>
      <c r="C129" s="480">
        <f>'[71]Sch C'!D125</f>
        <v>321528</v>
      </c>
      <c r="D129" s="480">
        <f>'[71]Sch C'!F125</f>
        <v>0</v>
      </c>
      <c r="E129" s="480">
        <f>+'[71]Sch C'!H125</f>
        <v>0</v>
      </c>
      <c r="F129" s="166">
        <f t="shared" si="41"/>
        <v>321528</v>
      </c>
      <c r="G129" s="626"/>
      <c r="H129" s="607"/>
      <c r="I129" s="166">
        <f t="shared" si="42"/>
        <v>321528</v>
      </c>
      <c r="J129" s="167">
        <f>IF($I$213=0,0,I129/$I$213)</f>
        <v>3.052672674132452E-2</v>
      </c>
      <c r="K129" s="458"/>
      <c r="L129" s="176">
        <v>4018</v>
      </c>
      <c r="M129" s="176">
        <v>4456</v>
      </c>
      <c r="N129" s="162"/>
      <c r="O129" s="329">
        <f t="shared" si="43"/>
        <v>10.895560826838359</v>
      </c>
      <c r="P129" s="324">
        <f>SUMMARY!L131</f>
        <v>9.5410604060393975</v>
      </c>
    </row>
    <row r="130" spans="1:16" s="612" customFormat="1">
      <c r="A130" s="158" t="s">
        <v>182</v>
      </c>
      <c r="B130" s="323" t="s">
        <v>674</v>
      </c>
      <c r="C130" s="480">
        <f>'[71]Sch C'!D126</f>
        <v>0</v>
      </c>
      <c r="D130" s="480">
        <f>'[71]Sch C'!F126</f>
        <v>0</v>
      </c>
      <c r="E130" s="480">
        <f>+'[71]Sch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N130" s="162"/>
      <c r="O130" s="329">
        <f t="shared" si="43"/>
        <v>0</v>
      </c>
      <c r="P130" s="324">
        <f>SUMMARY!L132</f>
        <v>0.73740366987881678</v>
      </c>
    </row>
    <row r="131" spans="1:16" s="612" customFormat="1">
      <c r="A131" s="164"/>
      <c r="B131" s="257" t="s">
        <v>676</v>
      </c>
      <c r="C131" s="480">
        <f>'[71]Sch C'!D127</f>
        <v>0</v>
      </c>
      <c r="D131" s="480">
        <f>'[71]Sch C'!F127</f>
        <v>0</v>
      </c>
      <c r="E131" s="480">
        <f>+'[71]Sch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N131" s="162"/>
      <c r="O131" s="329">
        <f t="shared" si="43"/>
        <v>0</v>
      </c>
      <c r="P131" s="324">
        <f>SUMMARY!L133</f>
        <v>7.3626382620363751E-2</v>
      </c>
    </row>
    <row r="132" spans="1:16" s="612" customFormat="1">
      <c r="A132" s="164"/>
      <c r="B132" s="257" t="s">
        <v>678</v>
      </c>
      <c r="C132" s="480">
        <f>'[71]Sch C'!D128</f>
        <v>301446</v>
      </c>
      <c r="D132" s="480">
        <f>'[71]Sch C'!F128</f>
        <v>0</v>
      </c>
      <c r="E132" s="480">
        <f>+'[71]Sch C'!H128</f>
        <v>0</v>
      </c>
      <c r="F132" s="166">
        <f t="shared" si="41"/>
        <v>301446</v>
      </c>
      <c r="G132" s="626"/>
      <c r="H132" s="607"/>
      <c r="I132" s="166">
        <f t="shared" si="42"/>
        <v>301446</v>
      </c>
      <c r="J132" s="167">
        <f>IF($I$213=0,0,I132/$I$213)</f>
        <v>2.8620088046034282E-2</v>
      </c>
      <c r="K132" s="458"/>
      <c r="L132" s="176">
        <v>18658</v>
      </c>
      <c r="M132" s="176">
        <v>20286</v>
      </c>
      <c r="N132" s="162"/>
      <c r="O132" s="329">
        <f t="shared" si="43"/>
        <v>10.215045747204337</v>
      </c>
      <c r="P132" s="324">
        <f>SUMMARY!L134</f>
        <v>2.9246178488865282</v>
      </c>
    </row>
    <row r="133" spans="1:16" s="61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N133" s="162"/>
      <c r="O133" s="329"/>
      <c r="P133" s="324"/>
    </row>
    <row r="134" spans="1:16" s="612" customFormat="1">
      <c r="A134" s="164"/>
      <c r="B134" s="257" t="s">
        <v>680</v>
      </c>
      <c r="C134" s="480">
        <f>'[71]Sch C'!D130</f>
        <v>0</v>
      </c>
      <c r="D134" s="480">
        <f>'[71]Sch C'!F130</f>
        <v>0</v>
      </c>
      <c r="E134" s="480">
        <f>+'[71]Sch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N134" s="162"/>
      <c r="O134" s="329">
        <f t="shared" si="43"/>
        <v>0</v>
      </c>
      <c r="P134" s="324">
        <f>SUMMARY!L136</f>
        <v>0.14277129220841339</v>
      </c>
    </row>
    <row r="135" spans="1:16" s="612" customFormat="1">
      <c r="A135" s="164"/>
      <c r="B135" s="323" t="s">
        <v>673</v>
      </c>
      <c r="C135" s="480">
        <f>'[71]Sch C'!D131</f>
        <v>0</v>
      </c>
      <c r="D135" s="480">
        <f>'[71]Sch C'!F131</f>
        <v>54004</v>
      </c>
      <c r="E135" s="480">
        <f>+'[71]Sch C'!H131</f>
        <v>0</v>
      </c>
      <c r="F135" s="166">
        <f t="shared" si="44"/>
        <v>54004</v>
      </c>
      <c r="G135" s="626"/>
      <c r="H135" s="607"/>
      <c r="I135" s="166">
        <f t="shared" si="45"/>
        <v>54004</v>
      </c>
      <c r="J135" s="167">
        <f>IF($I$213=0,0,I135/$I$213)</f>
        <v>5.1272839408651478E-3</v>
      </c>
      <c r="K135" s="458"/>
      <c r="L135" s="196"/>
      <c r="M135" s="196"/>
      <c r="N135" s="162"/>
      <c r="O135" s="329">
        <f t="shared" si="43"/>
        <v>1.8300237207726195</v>
      </c>
      <c r="P135" s="324">
        <f>SUMMARY!L137</f>
        <v>1.7172183827658836</v>
      </c>
    </row>
    <row r="136" spans="1:16" s="612" customFormat="1">
      <c r="A136" s="162"/>
      <c r="B136" s="323" t="s">
        <v>674</v>
      </c>
      <c r="C136" s="480">
        <f>'[71]Sch C'!D132</f>
        <v>0</v>
      </c>
      <c r="D136" s="480">
        <f>'[71]Sch C'!F132</f>
        <v>0</v>
      </c>
      <c r="E136" s="480">
        <f>+'[71]Sch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N136" s="162"/>
      <c r="O136" s="329">
        <f t="shared" si="43"/>
        <v>0</v>
      </c>
      <c r="P136" s="324">
        <f>SUMMARY!L138</f>
        <v>0.13474113570830348</v>
      </c>
    </row>
    <row r="137" spans="1:16" s="612" customFormat="1">
      <c r="A137" s="162"/>
      <c r="B137" s="323" t="s">
        <v>683</v>
      </c>
      <c r="C137" s="480">
        <f>'[71]Sch C'!D133</f>
        <v>0</v>
      </c>
      <c r="D137" s="480">
        <f>'[71]Sch C'!F133</f>
        <v>0</v>
      </c>
      <c r="E137" s="480">
        <f>+'[71]Sch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N137" s="162"/>
      <c r="O137" s="329">
        <f t="shared" si="43"/>
        <v>0</v>
      </c>
      <c r="P137" s="324">
        <f>SUMMARY!L139</f>
        <v>2.1178039395593925E-2</v>
      </c>
    </row>
    <row r="138" spans="1:16" s="612" customFormat="1">
      <c r="A138" s="162"/>
      <c r="B138" s="323" t="s">
        <v>684</v>
      </c>
      <c r="C138" s="480">
        <f>'[71]Sch C'!D134</f>
        <v>0</v>
      </c>
      <c r="D138" s="480">
        <f>'[71]Sch C'!F134</f>
        <v>50631</v>
      </c>
      <c r="E138" s="480">
        <f>+'[71]Sch C'!H134</f>
        <v>0</v>
      </c>
      <c r="F138" s="166">
        <f t="shared" si="44"/>
        <v>50631</v>
      </c>
      <c r="G138" s="626"/>
      <c r="H138" s="607"/>
      <c r="I138" s="166">
        <f t="shared" si="45"/>
        <v>50631</v>
      </c>
      <c r="J138" s="167">
        <f>IF($I$213=0,0,I138/$I$213)</f>
        <v>4.8070423155681672E-3</v>
      </c>
      <c r="K138" s="458"/>
      <c r="L138" s="163"/>
      <c r="M138" s="163"/>
      <c r="N138" s="162"/>
      <c r="O138" s="329">
        <f t="shared" si="43"/>
        <v>1.7157234835648933</v>
      </c>
      <c r="P138" s="324">
        <f>SUMMARY!L140</f>
        <v>0.57311755736724024</v>
      </c>
    </row>
    <row r="139" spans="1:16" s="61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N139" s="162"/>
      <c r="O139" s="329"/>
      <c r="P139" s="324"/>
    </row>
    <row r="140" spans="1:16" s="612" customFormat="1">
      <c r="A140" s="164"/>
      <c r="B140" s="323" t="s">
        <v>686</v>
      </c>
      <c r="C140" s="480">
        <f>'[71]Sch C'!D136</f>
        <v>1839670</v>
      </c>
      <c r="D140" s="480">
        <f>'[71]Sch C'!F136</f>
        <v>0</v>
      </c>
      <c r="E140" s="480">
        <f>+'[71]Sch C'!H136</f>
        <v>0</v>
      </c>
      <c r="F140" s="166">
        <f t="shared" ref="F140:F143" si="46">C140+D140+E140</f>
        <v>1839670</v>
      </c>
      <c r="G140" s="626"/>
      <c r="H140" s="607"/>
      <c r="I140" s="166">
        <f t="shared" ref="I140:I143" si="47">F140+G140+H140</f>
        <v>1839670</v>
      </c>
      <c r="J140" s="167">
        <f>IF($I$213=0,0,I140/$I$213)</f>
        <v>0.17466318138455275</v>
      </c>
      <c r="K140" s="457"/>
      <c r="L140" s="176">
        <v>53197</v>
      </c>
      <c r="M140" s="176">
        <v>59002</v>
      </c>
      <c r="N140" s="162"/>
      <c r="O140" s="329">
        <f t="shared" si="43"/>
        <v>62.340562521179258</v>
      </c>
      <c r="P140" s="324">
        <f>SUMMARY!L142</f>
        <v>23.522763912591504</v>
      </c>
    </row>
    <row r="141" spans="1:16" s="612" customFormat="1">
      <c r="A141" s="164"/>
      <c r="B141" s="323" t="s">
        <v>688</v>
      </c>
      <c r="C141" s="480">
        <f>'[71]Sch C'!D137</f>
        <v>485631</v>
      </c>
      <c r="D141" s="480">
        <f>'[71]Sch C'!F137</f>
        <v>0</v>
      </c>
      <c r="E141" s="480">
        <f>+'[71]Sch C'!H137</f>
        <v>0</v>
      </c>
      <c r="F141" s="166">
        <f t="shared" si="46"/>
        <v>485631</v>
      </c>
      <c r="G141" s="626"/>
      <c r="H141" s="607"/>
      <c r="I141" s="166">
        <f t="shared" si="47"/>
        <v>485631</v>
      </c>
      <c r="J141" s="167">
        <f>IF($I$213=0,0,I141/$I$213)</f>
        <v>4.6107103686509936E-2</v>
      </c>
      <c r="K141" s="457"/>
      <c r="L141" s="176">
        <v>18693</v>
      </c>
      <c r="M141" s="176">
        <v>20034</v>
      </c>
      <c r="N141" s="162"/>
      <c r="O141" s="329">
        <f t="shared" si="43"/>
        <v>16.456489325652321</v>
      </c>
      <c r="P141" s="324">
        <f>SUMMARY!L143</f>
        <v>13.698966340347111</v>
      </c>
    </row>
    <row r="142" spans="1:16" s="612" customFormat="1">
      <c r="A142" s="164"/>
      <c r="B142" s="323" t="s">
        <v>690</v>
      </c>
      <c r="C142" s="480">
        <f>'[71]Sch C'!D138</f>
        <v>1299024</v>
      </c>
      <c r="D142" s="480">
        <f>'[71]Sch C'!F138</f>
        <v>0</v>
      </c>
      <c r="E142" s="480">
        <f>+'[71]Sch C'!H138</f>
        <v>0</v>
      </c>
      <c r="F142" s="166">
        <f t="shared" si="46"/>
        <v>1299024</v>
      </c>
      <c r="G142" s="626"/>
      <c r="H142" s="607"/>
      <c r="I142" s="166">
        <f t="shared" si="47"/>
        <v>1299024</v>
      </c>
      <c r="J142" s="167">
        <f>IF($I$213=0,0,I142/$I$213)</f>
        <v>0.12333280671799141</v>
      </c>
      <c r="K142" s="457"/>
      <c r="L142" s="176">
        <v>88748</v>
      </c>
      <c r="M142" s="176">
        <v>95356</v>
      </c>
      <c r="N142" s="162"/>
      <c r="O142" s="329">
        <f t="shared" si="43"/>
        <v>44.019789901728231</v>
      </c>
      <c r="P142" s="324">
        <f>SUMMARY!L144</f>
        <v>32.258417105951196</v>
      </c>
    </row>
    <row r="143" spans="1:16" s="612" customFormat="1">
      <c r="A143" s="164"/>
      <c r="B143" s="323" t="s">
        <v>692</v>
      </c>
      <c r="C143" s="480">
        <f>'[71]Sch C'!D139</f>
        <v>716339</v>
      </c>
      <c r="D143" s="480">
        <f>'[71]Sch C'!F139</f>
        <v>0</v>
      </c>
      <c r="E143" s="480">
        <f>+'[71]Sch C'!H139</f>
        <v>0</v>
      </c>
      <c r="F143" s="166">
        <f t="shared" si="46"/>
        <v>716339</v>
      </c>
      <c r="G143" s="626"/>
      <c r="H143" s="607"/>
      <c r="I143" s="166">
        <f t="shared" si="47"/>
        <v>716339</v>
      </c>
      <c r="J143" s="167">
        <f>IF($I$213=0,0,I143/$I$213)</f>
        <v>6.8011137154940365E-2</v>
      </c>
      <c r="K143" s="458"/>
      <c r="L143" s="176">
        <v>23778</v>
      </c>
      <c r="M143" s="176">
        <v>27032</v>
      </c>
      <c r="N143" s="162"/>
      <c r="O143" s="329">
        <f t="shared" si="43"/>
        <v>24.274449339207049</v>
      </c>
      <c r="P143" s="324">
        <f>SUMMARY!L145</f>
        <v>1.9999236429814966</v>
      </c>
    </row>
    <row r="144" spans="1:16" s="61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7"/>
      <c r="L144" s="365"/>
      <c r="M144" s="365"/>
      <c r="N144" s="162"/>
      <c r="O144" s="329"/>
      <c r="P144" s="324"/>
    </row>
    <row r="145" spans="1:16" s="612" customFormat="1">
      <c r="A145" s="164"/>
      <c r="B145" s="323" t="s">
        <v>681</v>
      </c>
      <c r="C145" s="480">
        <f>'[71]Sch C'!D141</f>
        <v>0</v>
      </c>
      <c r="D145" s="480">
        <f>'[71]Sch C'!F141</f>
        <v>308991</v>
      </c>
      <c r="E145" s="480">
        <f>+'[71]Sch C'!H141</f>
        <v>0</v>
      </c>
      <c r="F145" s="166">
        <f t="shared" ref="F145:F148" si="48">C145+D145+E145</f>
        <v>308991</v>
      </c>
      <c r="G145" s="626"/>
      <c r="H145" s="607"/>
      <c r="I145" s="166">
        <f t="shared" ref="I145:I148" si="49">F145+G145+H145</f>
        <v>308991</v>
      </c>
      <c r="J145" s="167">
        <f>IF($I$213=0,0,I145/$I$213)</f>
        <v>2.9336430489813031E-2</v>
      </c>
      <c r="K145" s="457"/>
      <c r="L145" s="163"/>
      <c r="M145" s="163"/>
      <c r="N145" s="162"/>
      <c r="O145" s="329">
        <f t="shared" si="43"/>
        <v>10.470721789223992</v>
      </c>
      <c r="P145" s="324">
        <f>SUMMARY!L147</f>
        <v>4.4613578559170044</v>
      </c>
    </row>
    <row r="146" spans="1:16" s="612" customFormat="1">
      <c r="A146" s="164"/>
      <c r="B146" s="323" t="s">
        <v>688</v>
      </c>
      <c r="C146" s="480">
        <f>'[71]Sch C'!D142</f>
        <v>0</v>
      </c>
      <c r="D146" s="480">
        <f>'[71]Sch C'!F142</f>
        <v>81567</v>
      </c>
      <c r="E146" s="480">
        <f>+'[71]Sch C'!H142</f>
        <v>0</v>
      </c>
      <c r="F146" s="166">
        <f t="shared" si="48"/>
        <v>81567</v>
      </c>
      <c r="G146" s="626"/>
      <c r="H146" s="607"/>
      <c r="I146" s="166">
        <f t="shared" si="49"/>
        <v>81567</v>
      </c>
      <c r="J146" s="167">
        <f>IF($I$213=0,0,I146/$I$213)</f>
        <v>7.7441887490657642E-3</v>
      </c>
      <c r="K146" s="457"/>
      <c r="L146" s="163"/>
      <c r="M146" s="163"/>
      <c r="N146" s="162"/>
      <c r="O146" s="329">
        <f t="shared" si="43"/>
        <v>2.764046086072518</v>
      </c>
      <c r="P146" s="324">
        <f>SUMMARY!L148</f>
        <v>2.5881018642050413</v>
      </c>
    </row>
    <row r="147" spans="1:16" s="612" customFormat="1">
      <c r="A147" s="164"/>
      <c r="B147" s="323" t="s">
        <v>690</v>
      </c>
      <c r="C147" s="480">
        <f>'[71]Sch C'!D143</f>
        <v>0</v>
      </c>
      <c r="D147" s="480">
        <f>'[71]Sch C'!F143</f>
        <v>218184</v>
      </c>
      <c r="E147" s="480">
        <f>+'[71]Sch C'!H143</f>
        <v>0</v>
      </c>
      <c r="F147" s="166">
        <f t="shared" si="48"/>
        <v>218184</v>
      </c>
      <c r="G147" s="626"/>
      <c r="H147" s="607"/>
      <c r="I147" s="166">
        <f t="shared" si="49"/>
        <v>218184</v>
      </c>
      <c r="J147" s="167">
        <f>IF($I$213=0,0,I147/$I$213)</f>
        <v>2.0714971471626573E-2</v>
      </c>
      <c r="K147" s="457"/>
      <c r="L147" s="163"/>
      <c r="M147" s="163"/>
      <c r="N147" s="162"/>
      <c r="O147" s="329">
        <f t="shared" si="43"/>
        <v>7.3935615045747207</v>
      </c>
      <c r="P147" s="324">
        <f>SUMMARY!L149</f>
        <v>5.926405773153995</v>
      </c>
    </row>
    <row r="148" spans="1:16" s="612" customFormat="1">
      <c r="A148" s="164"/>
      <c r="B148" s="323" t="s">
        <v>692</v>
      </c>
      <c r="C148" s="480">
        <f>'[71]Sch C'!D144</f>
        <v>0</v>
      </c>
      <c r="D148" s="480">
        <f>'[71]Sch C'!F144</f>
        <v>120316</v>
      </c>
      <c r="E148" s="480">
        <f>+'[71]Sch C'!H144</f>
        <v>0</v>
      </c>
      <c r="F148" s="166">
        <f t="shared" si="48"/>
        <v>120316</v>
      </c>
      <c r="G148" s="626"/>
      <c r="H148" s="607"/>
      <c r="I148" s="166">
        <f t="shared" si="49"/>
        <v>120316</v>
      </c>
      <c r="J148" s="167">
        <f>IF($I$213=0,0,I148/$I$213)</f>
        <v>1.1423122261853403E-2</v>
      </c>
      <c r="K148" s="458"/>
      <c r="L148" s="163"/>
      <c r="M148" s="163"/>
      <c r="N148" s="162"/>
      <c r="O148" s="329">
        <f t="shared" si="43"/>
        <v>4.0771263978312433</v>
      </c>
      <c r="P148" s="324">
        <f>SUMMARY!L150</f>
        <v>0.58146571018408233</v>
      </c>
    </row>
    <row r="149" spans="1:16" s="61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N149" s="162"/>
      <c r="O149" s="329"/>
      <c r="P149" s="324"/>
    </row>
    <row r="150" spans="1:16" s="612" customFormat="1">
      <c r="A150" s="164"/>
      <c r="B150" s="323" t="s">
        <v>694</v>
      </c>
      <c r="C150" s="480">
        <f>'[71]Sch C'!D146</f>
        <v>253976</v>
      </c>
      <c r="D150" s="480">
        <f>'[71]Sch C'!F146</f>
        <v>0</v>
      </c>
      <c r="E150" s="480">
        <f>+'[71]Sch C'!H146</f>
        <v>0</v>
      </c>
      <c r="F150" s="166">
        <f t="shared" ref="F150:F158" si="50">C150+D150+E150</f>
        <v>253976</v>
      </c>
      <c r="G150" s="626"/>
      <c r="H150" s="607"/>
      <c r="I150" s="166">
        <f t="shared" ref="I150:I158" si="51">F150+G150+H150</f>
        <v>253976</v>
      </c>
      <c r="J150" s="167">
        <f t="shared" ref="J150:J158" si="52">IF($I$213=0,0,I150/$I$213)</f>
        <v>2.4113159509761624E-2</v>
      </c>
      <c r="K150" s="458"/>
      <c r="L150" s="176">
        <v>0</v>
      </c>
      <c r="M150" s="176">
        <v>0</v>
      </c>
      <c r="N150" s="162"/>
      <c r="O150" s="329">
        <f t="shared" si="43"/>
        <v>8.6064384954252802</v>
      </c>
      <c r="P150" s="324">
        <f>SUMMARY!L152</f>
        <v>1.8353464912966555</v>
      </c>
    </row>
    <row r="151" spans="1:16" s="612" customFormat="1">
      <c r="A151" s="164"/>
      <c r="B151" s="323" t="s">
        <v>696</v>
      </c>
      <c r="C151" s="480">
        <f>'[71]Sch C'!D147</f>
        <v>19245</v>
      </c>
      <c r="D151" s="480">
        <f>'[71]Sch C'!F147</f>
        <v>0</v>
      </c>
      <c r="E151" s="480">
        <f>+'[71]Sch C'!H147</f>
        <v>0</v>
      </c>
      <c r="F151" s="166">
        <f t="shared" si="50"/>
        <v>19245</v>
      </c>
      <c r="G151" s="626"/>
      <c r="H151" s="607"/>
      <c r="I151" s="166">
        <f t="shared" si="51"/>
        <v>19245</v>
      </c>
      <c r="J151" s="167">
        <f t="shared" si="52"/>
        <v>1.8271716806523548E-3</v>
      </c>
      <c r="K151" s="458"/>
      <c r="L151" s="176">
        <v>0</v>
      </c>
      <c r="M151" s="176">
        <v>0</v>
      </c>
      <c r="N151" s="162"/>
      <c r="O151" s="329">
        <f t="shared" si="43"/>
        <v>0.65215181294476454</v>
      </c>
      <c r="P151" s="324">
        <f>SUMMARY!L153</f>
        <v>1.6124946612088766</v>
      </c>
    </row>
    <row r="152" spans="1:16" s="612" customFormat="1">
      <c r="A152" s="164"/>
      <c r="B152" s="323" t="s">
        <v>698</v>
      </c>
      <c r="C152" s="480">
        <f>'[71]Sch C'!D148</f>
        <v>0</v>
      </c>
      <c r="D152" s="480">
        <f>'[71]Sch C'!F148</f>
        <v>0</v>
      </c>
      <c r="E152" s="480">
        <f>+'[71]Sch C'!H148</f>
        <v>0</v>
      </c>
      <c r="F152" s="166">
        <f t="shared" si="50"/>
        <v>0</v>
      </c>
      <c r="G152" s="626"/>
      <c r="H152" s="607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N152" s="162"/>
      <c r="O152" s="329">
        <f t="shared" si="43"/>
        <v>0</v>
      </c>
      <c r="P152" s="324">
        <f>SUMMARY!L154</f>
        <v>0.75115383579892336</v>
      </c>
    </row>
    <row r="153" spans="1:16" s="612" customFormat="1">
      <c r="A153" s="164"/>
      <c r="B153" s="323" t="s">
        <v>683</v>
      </c>
      <c r="C153" s="480">
        <f>'[71]Sch C'!D149</f>
        <v>0</v>
      </c>
      <c r="D153" s="480">
        <f>'[71]Sch C'!F149</f>
        <v>0</v>
      </c>
      <c r="E153" s="480">
        <f>+'[71]Sch C'!H149</f>
        <v>0</v>
      </c>
      <c r="F153" s="166">
        <f t="shared" si="50"/>
        <v>0</v>
      </c>
      <c r="G153" s="626"/>
      <c r="H153" s="607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N153" s="162"/>
      <c r="O153" s="329">
        <f t="shared" si="43"/>
        <v>0</v>
      </c>
      <c r="P153" s="324">
        <f>SUMMARY!L155</f>
        <v>2.153048452423644</v>
      </c>
    </row>
    <row r="154" spans="1:16" s="612" customFormat="1">
      <c r="A154" s="164"/>
      <c r="B154" s="323" t="s">
        <v>700</v>
      </c>
      <c r="C154" s="480">
        <f>'[71]Sch C'!D150</f>
        <v>27307</v>
      </c>
      <c r="D154" s="480">
        <f>'[71]Sch C'!F150</f>
        <v>0</v>
      </c>
      <c r="E154" s="480">
        <f>+'[71]Sch C'!H150</f>
        <v>0</v>
      </c>
      <c r="F154" s="166">
        <f t="shared" si="50"/>
        <v>27307</v>
      </c>
      <c r="G154" s="626"/>
      <c r="H154" s="607"/>
      <c r="I154" s="166">
        <f t="shared" si="51"/>
        <v>27307</v>
      </c>
      <c r="J154" s="167">
        <f t="shared" si="52"/>
        <v>2.5925994847271422E-3</v>
      </c>
      <c r="K154" s="458"/>
      <c r="L154" s="176">
        <v>0</v>
      </c>
      <c r="M154" s="176">
        <v>0</v>
      </c>
      <c r="N154" s="162"/>
      <c r="O154" s="329">
        <f t="shared" si="43"/>
        <v>0.92534733988478479</v>
      </c>
      <c r="P154" s="324">
        <f>SUMMARY!L156</f>
        <v>0.8651921749421968</v>
      </c>
    </row>
    <row r="155" spans="1:16" s="612" customFormat="1">
      <c r="A155" s="164">
        <v>110</v>
      </c>
      <c r="B155" s="162" t="s">
        <v>57</v>
      </c>
      <c r="C155" s="480">
        <f>'[71]Sch C'!D151</f>
        <v>373757</v>
      </c>
      <c r="D155" s="480">
        <f>'[71]Sch C'!F151</f>
        <v>0</v>
      </c>
      <c r="E155" s="480">
        <f>+'[71]Sch C'!H151</f>
        <v>0</v>
      </c>
      <c r="F155" s="166">
        <f t="shared" si="50"/>
        <v>373757</v>
      </c>
      <c r="G155" s="626"/>
      <c r="H155" s="607"/>
      <c r="I155" s="166">
        <f t="shared" si="51"/>
        <v>373757</v>
      </c>
      <c r="J155" s="167">
        <f t="shared" si="52"/>
        <v>3.5485487443262263E-2</v>
      </c>
      <c r="K155" s="458"/>
      <c r="L155" s="163"/>
      <c r="M155" s="163"/>
      <c r="N155" s="162"/>
      <c r="O155" s="329">
        <f t="shared" si="43"/>
        <v>12.665435445611656</v>
      </c>
      <c r="P155" s="324">
        <f>SUMMARY!L157</f>
        <v>5.7407714042076297</v>
      </c>
    </row>
    <row r="156" spans="1:16" s="612" customFormat="1">
      <c r="A156" s="164">
        <v>111</v>
      </c>
      <c r="B156" s="165" t="s">
        <v>89</v>
      </c>
      <c r="C156" s="480">
        <f>'[71]Sch C'!D152</f>
        <v>60534</v>
      </c>
      <c r="D156" s="480">
        <f>'[71]Sch C'!F152</f>
        <v>0</v>
      </c>
      <c r="E156" s="480">
        <f>+'[71]Sch C'!H152</f>
        <v>0</v>
      </c>
      <c r="F156" s="166">
        <f t="shared" si="50"/>
        <v>60534</v>
      </c>
      <c r="G156" s="626"/>
      <c r="H156" s="607"/>
      <c r="I156" s="166">
        <f t="shared" si="51"/>
        <v>60534</v>
      </c>
      <c r="J156" s="167">
        <f t="shared" si="52"/>
        <v>5.7472595747783657E-3</v>
      </c>
      <c r="K156" s="458"/>
      <c r="L156" s="163"/>
      <c r="M156" s="163"/>
      <c r="N156" s="162"/>
      <c r="O156" s="329">
        <f t="shared" si="43"/>
        <v>2.05130464249407</v>
      </c>
      <c r="P156" s="324">
        <f>SUMMARY!L158</f>
        <v>0.39306127844528371</v>
      </c>
    </row>
    <row r="157" spans="1:16" s="612" customFormat="1">
      <c r="A157" s="164">
        <v>230</v>
      </c>
      <c r="B157" s="165" t="s">
        <v>58</v>
      </c>
      <c r="C157" s="480">
        <f>'[71]Sch C'!D153</f>
        <v>0</v>
      </c>
      <c r="D157" s="480">
        <f>'[71]Sch C'!F153</f>
        <v>0</v>
      </c>
      <c r="E157" s="480">
        <f>+'[71]Sch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N157" s="162"/>
      <c r="O157" s="329">
        <f t="shared" si="43"/>
        <v>0</v>
      </c>
      <c r="P157" s="324">
        <f>SUMMARY!L159</f>
        <v>0.10204288586563798</v>
      </c>
    </row>
    <row r="158" spans="1:16" s="612" customFormat="1">
      <c r="A158" s="164">
        <v>430</v>
      </c>
      <c r="B158" s="165" t="s">
        <v>91</v>
      </c>
      <c r="C158" s="480">
        <f>'[71]Sch C'!D154</f>
        <v>25808</v>
      </c>
      <c r="D158" s="480">
        <f>'[71]Sch C'!F154</f>
        <v>0</v>
      </c>
      <c r="E158" s="480">
        <f>+'[71]Sch C'!H154</f>
        <v>0</v>
      </c>
      <c r="F158" s="166">
        <f t="shared" si="50"/>
        <v>25808</v>
      </c>
      <c r="G158" s="626"/>
      <c r="H158" s="607"/>
      <c r="I158" s="166">
        <f t="shared" si="51"/>
        <v>25808</v>
      </c>
      <c r="J158" s="167">
        <f t="shared" si="52"/>
        <v>2.4502804226695751E-3</v>
      </c>
      <c r="K158" s="458"/>
      <c r="L158" s="163"/>
      <c r="M158" s="163"/>
      <c r="N158" s="162"/>
      <c r="O158" s="329">
        <f t="shared" si="43"/>
        <v>0.87455099966113181</v>
      </c>
      <c r="P158" s="324">
        <f>SUMMARY!L160</f>
        <v>1.5994484918386225</v>
      </c>
    </row>
    <row r="159" spans="1:16" s="61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N159" s="162"/>
      <c r="O159" s="329"/>
      <c r="P159" s="324"/>
    </row>
    <row r="160" spans="1:16" s="612" customFormat="1">
      <c r="A160" s="164">
        <v>440.1</v>
      </c>
      <c r="B160" s="158" t="s">
        <v>207</v>
      </c>
      <c r="C160" s="480">
        <f>'[71]Sch C'!D156</f>
        <v>0</v>
      </c>
      <c r="D160" s="480">
        <f>'[71]Sch C'!F156</f>
        <v>0</v>
      </c>
      <c r="E160" s="480">
        <f>+'[71]Sch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N160" s="162"/>
      <c r="O160" s="329">
        <f t="shared" si="43"/>
        <v>0</v>
      </c>
      <c r="P160" s="324">
        <f>SUMMARY!L162</f>
        <v>0</v>
      </c>
    </row>
    <row r="161" spans="1:16" s="612" customFormat="1">
      <c r="A161" s="164">
        <v>440.2</v>
      </c>
      <c r="B161" s="158" t="s">
        <v>208</v>
      </c>
      <c r="C161" s="480">
        <f>'[71]Sch C'!D157</f>
        <v>0</v>
      </c>
      <c r="D161" s="480">
        <f>'[71]Sch C'!F157</f>
        <v>0</v>
      </c>
      <c r="E161" s="480">
        <f>+'[71]Sch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N161" s="162"/>
      <c r="O161" s="329">
        <f t="shared" si="43"/>
        <v>0</v>
      </c>
      <c r="P161" s="324">
        <f>SUMMARY!L163</f>
        <v>1.902167931499783E-2</v>
      </c>
    </row>
    <row r="162" spans="1:16" s="612" customFormat="1">
      <c r="A162" s="164">
        <v>440.3</v>
      </c>
      <c r="B162" s="158" t="s">
        <v>209</v>
      </c>
      <c r="C162" s="480">
        <f>'[71]Sch C'!D158</f>
        <v>0</v>
      </c>
      <c r="D162" s="480">
        <f>'[71]Sch C'!F158</f>
        <v>0</v>
      </c>
      <c r="E162" s="480">
        <f>+'[71]Sch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N162" s="162"/>
      <c r="O162" s="329">
        <f t="shared" si="43"/>
        <v>0</v>
      </c>
      <c r="P162" s="324">
        <f>SUMMARY!L164</f>
        <v>3.2668124805482774E-3</v>
      </c>
    </row>
    <row r="163" spans="1:16" s="612" customFormat="1">
      <c r="A163" s="164">
        <v>440.4</v>
      </c>
      <c r="B163" s="158" t="s">
        <v>210</v>
      </c>
      <c r="C163" s="480">
        <f>'[71]Sch C'!D159</f>
        <v>0</v>
      </c>
      <c r="D163" s="480">
        <f>'[71]Sch C'!F159</f>
        <v>0</v>
      </c>
      <c r="E163" s="480">
        <f>+'[71]Sch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N163" s="162"/>
      <c r="O163" s="329">
        <f t="shared" si="43"/>
        <v>0</v>
      </c>
      <c r="P163" s="324">
        <f>SUMMARY!L165</f>
        <v>8.1576082215767929E-4</v>
      </c>
    </row>
    <row r="164" spans="1:16" s="612" customFormat="1">
      <c r="A164" s="164">
        <v>440.5</v>
      </c>
      <c r="B164" s="158" t="s">
        <v>282</v>
      </c>
      <c r="C164" s="480">
        <f>'[71]Sch C'!D160</f>
        <v>0</v>
      </c>
      <c r="D164" s="480">
        <f>'[71]Sch C'!F160</f>
        <v>0</v>
      </c>
      <c r="E164" s="480">
        <f>+'[71]Sch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N164" s="162"/>
      <c r="O164" s="329">
        <f t="shared" si="43"/>
        <v>0</v>
      </c>
      <c r="P164" s="324">
        <f>SUMMARY!L166</f>
        <v>9.900111029624771E-3</v>
      </c>
    </row>
    <row r="165" spans="1:16" s="612" customFormat="1">
      <c r="A165" s="164">
        <v>490</v>
      </c>
      <c r="B165" s="194" t="s">
        <v>296</v>
      </c>
      <c r="C165" s="480">
        <f>'[71]Sch C'!D161</f>
        <v>0</v>
      </c>
      <c r="D165" s="480">
        <f>'[71]Sch C'!F161</f>
        <v>0</v>
      </c>
      <c r="E165" s="480">
        <f>+'[71]Sch C'!H161</f>
        <v>0</v>
      </c>
      <c r="F165" s="166">
        <f t="shared" si="53"/>
        <v>0</v>
      </c>
      <c r="G165" s="626"/>
      <c r="H165" s="607"/>
      <c r="I165" s="166">
        <f t="shared" si="54"/>
        <v>0</v>
      </c>
      <c r="J165" s="167">
        <f t="shared" si="55"/>
        <v>0</v>
      </c>
      <c r="K165" s="458"/>
      <c r="L165" s="163"/>
      <c r="M165" s="163"/>
      <c r="N165" s="162"/>
      <c r="O165" s="329">
        <f t="shared" si="43"/>
        <v>0</v>
      </c>
      <c r="P165" s="324">
        <f>SUMMARY!L167</f>
        <v>0.46627165535370629</v>
      </c>
    </row>
    <row r="166" spans="1:16" s="612" customFormat="1">
      <c r="A166" s="164"/>
      <c r="B166" s="165" t="s">
        <v>216</v>
      </c>
      <c r="C166" s="480">
        <f t="shared" ref="C166:E166" si="56">SUM(C128:C165)</f>
        <v>5724265</v>
      </c>
      <c r="D166" s="480">
        <f t="shared" si="56"/>
        <v>833693</v>
      </c>
      <c r="E166" s="480">
        <f t="shared" si="56"/>
        <v>0</v>
      </c>
      <c r="F166" s="166">
        <f t="shared" ref="F166:I166" si="57">SUM(F128:F165)</f>
        <v>6557958</v>
      </c>
      <c r="G166" s="166">
        <f t="shared" si="57"/>
        <v>0</v>
      </c>
      <c r="H166" s="166">
        <f t="shared" si="57"/>
        <v>0</v>
      </c>
      <c r="I166" s="166">
        <f t="shared" si="57"/>
        <v>6557958</v>
      </c>
      <c r="J166" s="167">
        <f t="shared" si="55"/>
        <v>0.62263004107599662</v>
      </c>
      <c r="K166" s="458"/>
      <c r="L166" s="163"/>
      <c r="M166" s="163"/>
      <c r="N166" s="162"/>
      <c r="O166" s="329">
        <f>I166/I$233</f>
        <v>222.22832937987124</v>
      </c>
      <c r="P166" s="324">
        <f>SUMMARY!L168</f>
        <v>117.25773185217372</v>
      </c>
    </row>
    <row r="167" spans="1:16" s="61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N167" s="162"/>
      <c r="O167" s="324"/>
      <c r="P167" s="324"/>
    </row>
    <row r="168" spans="1:16" s="61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N168" s="162"/>
      <c r="O168" s="324"/>
      <c r="P168" s="324"/>
    </row>
    <row r="169" spans="1:16">
      <c r="A169" s="207" t="s">
        <v>87</v>
      </c>
      <c r="B169" s="145" t="s">
        <v>94</v>
      </c>
      <c r="C169" s="480">
        <f>'[71]Sch C'!D175</f>
        <v>0</v>
      </c>
      <c r="D169" s="480">
        <f>'[71]Sch C'!F175</f>
        <v>0</v>
      </c>
      <c r="E169" s="480">
        <f>+'[71]Sch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</row>
    <row r="170" spans="1:16">
      <c r="A170" s="207" t="s">
        <v>115</v>
      </c>
      <c r="B170" s="145" t="s">
        <v>95</v>
      </c>
      <c r="C170" s="480">
        <f>'[71]Sch C'!D176</f>
        <v>0</v>
      </c>
      <c r="D170" s="480">
        <f>'[71]Sch C'!F176</f>
        <v>0</v>
      </c>
      <c r="E170" s="480">
        <f>+'[71]Sch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</row>
    <row r="171" spans="1:16">
      <c r="A171" s="207" t="s">
        <v>116</v>
      </c>
      <c r="B171" s="145" t="s">
        <v>96</v>
      </c>
      <c r="C171" s="480">
        <f>'[71]Sch C'!D177</f>
        <v>0</v>
      </c>
      <c r="D171" s="480">
        <f>'[71]Sch C'!F177</f>
        <v>0</v>
      </c>
      <c r="E171" s="480">
        <f>+'[71]Sch C'!H177</f>
        <v>0</v>
      </c>
      <c r="F171" s="166">
        <f t="shared" si="58"/>
        <v>0</v>
      </c>
      <c r="G171" s="626"/>
      <c r="H171" s="607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</row>
    <row r="172" spans="1:16">
      <c r="A172" s="207" t="s">
        <v>149</v>
      </c>
      <c r="B172" s="145" t="s">
        <v>97</v>
      </c>
      <c r="C172" s="480">
        <f>'[71]Sch C'!D178</f>
        <v>0</v>
      </c>
      <c r="D172" s="480">
        <f>'[71]Sch C'!F178</f>
        <v>0</v>
      </c>
      <c r="E172" s="480">
        <f>+'[71]Sch C'!H178</f>
        <v>0</v>
      </c>
      <c r="F172" s="166">
        <f t="shared" si="58"/>
        <v>0</v>
      </c>
      <c r="G172" s="626"/>
      <c r="H172" s="607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</row>
    <row r="173" spans="1:16">
      <c r="A173" s="207" t="s">
        <v>150</v>
      </c>
      <c r="B173" s="145" t="s">
        <v>297</v>
      </c>
      <c r="C173" s="480">
        <f>'[71]Sch C'!D179</f>
        <v>0</v>
      </c>
      <c r="D173" s="480">
        <f>'[71]Sch C'!F179</f>
        <v>0</v>
      </c>
      <c r="E173" s="480">
        <f>+'[71]Sch C'!H179</f>
        <v>0</v>
      </c>
      <c r="F173" s="166">
        <f t="shared" si="58"/>
        <v>0</v>
      </c>
      <c r="G173" s="626"/>
      <c r="H173" s="607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</row>
    <row r="174" spans="1:16">
      <c r="A174" s="207" t="s">
        <v>78</v>
      </c>
      <c r="B174" s="145" t="s">
        <v>298</v>
      </c>
      <c r="C174" s="480">
        <f>'[71]Sch C'!D180</f>
        <v>0</v>
      </c>
      <c r="D174" s="480">
        <f>'[71]Sch C'!F180</f>
        <v>0</v>
      </c>
      <c r="E174" s="480">
        <f>+'[71]Sch C'!H180</f>
        <v>0</v>
      </c>
      <c r="F174" s="166">
        <f t="shared" si="58"/>
        <v>0</v>
      </c>
      <c r="G174" s="626"/>
      <c r="H174" s="607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</row>
    <row r="175" spans="1:16">
      <c r="A175" s="207" t="s">
        <v>88</v>
      </c>
      <c r="B175" s="145" t="s">
        <v>299</v>
      </c>
      <c r="C175" s="480">
        <f>'[71]Sch C'!D181</f>
        <v>0</v>
      </c>
      <c r="D175" s="480">
        <f>'[71]Sch C'!F181</f>
        <v>0</v>
      </c>
      <c r="E175" s="480">
        <f>+'[71]Sch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</row>
    <row r="176" spans="1:16">
      <c r="A176" s="207" t="s">
        <v>117</v>
      </c>
      <c r="B176" s="145" t="s">
        <v>101</v>
      </c>
      <c r="C176" s="480">
        <f>'[71]Sch C'!D182</f>
        <v>0</v>
      </c>
      <c r="D176" s="480">
        <f>'[71]Sch C'!F182</f>
        <v>0</v>
      </c>
      <c r="E176" s="480">
        <f>+'[71]Sch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</row>
    <row r="177" spans="1:16">
      <c r="A177" s="207" t="s">
        <v>118</v>
      </c>
      <c r="B177" s="145" t="s">
        <v>300</v>
      </c>
      <c r="C177" s="480">
        <f>'[71]Sch C'!D183</f>
        <v>0</v>
      </c>
      <c r="D177" s="480">
        <f>'[71]Sch C'!F183</f>
        <v>0</v>
      </c>
      <c r="E177" s="480">
        <f>+'[71]Sch C'!H183</f>
        <v>0</v>
      </c>
      <c r="F177" s="166">
        <f t="shared" si="58"/>
        <v>0</v>
      </c>
      <c r="G177" s="626"/>
      <c r="H177" s="607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</row>
    <row r="178" spans="1:16">
      <c r="A178" s="207" t="s">
        <v>119</v>
      </c>
      <c r="B178" s="145" t="s">
        <v>103</v>
      </c>
      <c r="C178" s="480">
        <f>'[71]Sch C'!D184</f>
        <v>0</v>
      </c>
      <c r="D178" s="480">
        <f>'[71]Sch C'!F184</f>
        <v>0</v>
      </c>
      <c r="E178" s="480">
        <f>+'[71]Sch C'!H184</f>
        <v>0</v>
      </c>
      <c r="F178" s="166">
        <f t="shared" si="58"/>
        <v>0</v>
      </c>
      <c r="G178" s="626"/>
      <c r="H178" s="607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</row>
    <row r="179" spans="1:16">
      <c r="A179" s="207" t="s">
        <v>120</v>
      </c>
      <c r="B179" s="145" t="s">
        <v>301</v>
      </c>
      <c r="C179" s="480">
        <f>'[71]Sch C'!D185</f>
        <v>0</v>
      </c>
      <c r="D179" s="480">
        <f>'[71]Sch C'!F185</f>
        <v>0</v>
      </c>
      <c r="E179" s="480">
        <f>+'[71]Sch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</row>
    <row r="180" spans="1:16">
      <c r="A180" s="207" t="s">
        <v>121</v>
      </c>
      <c r="B180" s="145" t="s">
        <v>302</v>
      </c>
      <c r="C180" s="480">
        <f>'[71]Sch C'!D186</f>
        <v>0</v>
      </c>
      <c r="D180" s="480">
        <f>'[71]Sch C'!F186</f>
        <v>0</v>
      </c>
      <c r="E180" s="480">
        <f>+'[71]Sch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</row>
    <row r="181" spans="1:16">
      <c r="A181" s="214" t="s">
        <v>274</v>
      </c>
      <c r="B181" s="145" t="s">
        <v>146</v>
      </c>
      <c r="C181" s="480">
        <f>'[71]Sch C'!D187</f>
        <v>0</v>
      </c>
      <c r="D181" s="480">
        <f>'[71]Sch C'!F187</f>
        <v>0</v>
      </c>
      <c r="E181" s="480">
        <f>+'[71]Sch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</row>
    <row r="182" spans="1:16">
      <c r="A182" s="214" t="s">
        <v>275</v>
      </c>
      <c r="B182" s="145" t="s">
        <v>303</v>
      </c>
      <c r="C182" s="480">
        <f>'[71]Sch C'!D188</f>
        <v>0</v>
      </c>
      <c r="D182" s="480">
        <f>'[71]Sch C'!F188</f>
        <v>0</v>
      </c>
      <c r="E182" s="480">
        <f>+'[71]Sch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</row>
    <row r="183" spans="1:16">
      <c r="A183" s="214" t="s">
        <v>276</v>
      </c>
      <c r="B183" s="145" t="s">
        <v>304</v>
      </c>
      <c r="C183" s="480">
        <f>'[71]Sch C'!D189</f>
        <v>0</v>
      </c>
      <c r="D183" s="480">
        <f>'[71]Sch C'!F189</f>
        <v>0</v>
      </c>
      <c r="E183" s="480">
        <f>+'[71]Sch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</row>
    <row r="184" spans="1:16">
      <c r="A184" s="214" t="s">
        <v>277</v>
      </c>
      <c r="B184" s="145" t="s">
        <v>305</v>
      </c>
      <c r="C184" s="480">
        <f>'[71]Sch C'!D190</f>
        <v>0</v>
      </c>
      <c r="D184" s="480">
        <f>'[71]Sch C'!F190</f>
        <v>0</v>
      </c>
      <c r="E184" s="480">
        <f>+'[71]Sch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</row>
    <row r="185" spans="1:16">
      <c r="A185" s="214" t="s">
        <v>278</v>
      </c>
      <c r="B185" s="145" t="s">
        <v>306</v>
      </c>
      <c r="C185" s="480">
        <f>'[71]Sch C'!D191</f>
        <v>-78</v>
      </c>
      <c r="D185" s="480">
        <f>'[71]Sch C'!F191</f>
        <v>0</v>
      </c>
      <c r="E185" s="480">
        <f>+'[71]Sch C'!H191</f>
        <v>0</v>
      </c>
      <c r="F185" s="166">
        <f t="shared" si="58"/>
        <v>-78</v>
      </c>
      <c r="G185" s="626"/>
      <c r="H185" s="607"/>
      <c r="I185" s="166">
        <f t="shared" si="59"/>
        <v>-78</v>
      </c>
      <c r="J185" s="167">
        <f t="shared" si="60"/>
        <v>-7.4055282458240414E-6</v>
      </c>
      <c r="K185" s="458"/>
      <c r="L185" s="213"/>
      <c r="M185" s="208"/>
      <c r="N185" s="210"/>
      <c r="O185" s="329">
        <f t="shared" si="61"/>
        <v>-2.6431718061674008E-3</v>
      </c>
      <c r="P185" s="324">
        <f>SUMMARY!L187</f>
        <v>8.8642067843300684E-2</v>
      </c>
    </row>
    <row r="186" spans="1:16">
      <c r="A186" s="214" t="s">
        <v>279</v>
      </c>
      <c r="B186" s="145" t="s">
        <v>109</v>
      </c>
      <c r="C186" s="480">
        <f>'[71]Sch C'!D192</f>
        <v>0</v>
      </c>
      <c r="D186" s="480">
        <f>'[71]Sch C'!F192</f>
        <v>0</v>
      </c>
      <c r="E186" s="480">
        <f>+'[71]Sch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</row>
    <row r="187" spans="1:16">
      <c r="A187" s="214" t="s">
        <v>124</v>
      </c>
      <c r="B187" s="145" t="s">
        <v>110</v>
      </c>
      <c r="C187" s="480">
        <f>'[71]Sch C'!D193</f>
        <v>0</v>
      </c>
      <c r="D187" s="480">
        <f>'[71]Sch C'!F193</f>
        <v>0</v>
      </c>
      <c r="E187" s="480">
        <f>+'[71]Sch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</row>
    <row r="188" spans="1:16">
      <c r="A188" s="214" t="s">
        <v>125</v>
      </c>
      <c r="B188" s="145" t="s">
        <v>111</v>
      </c>
      <c r="C188" s="480">
        <f>'[71]Sch C'!D194</f>
        <v>103049</v>
      </c>
      <c r="D188" s="480">
        <f>'[71]Sch C'!F194</f>
        <v>0</v>
      </c>
      <c r="E188" s="480">
        <f>+'[71]Sch C'!H194</f>
        <v>0</v>
      </c>
      <c r="F188" s="166">
        <f t="shared" si="58"/>
        <v>103049</v>
      </c>
      <c r="G188" s="626"/>
      <c r="H188" s="607"/>
      <c r="I188" s="166">
        <f t="shared" si="59"/>
        <v>103049</v>
      </c>
      <c r="J188" s="167">
        <f t="shared" si="60"/>
        <v>9.7837471821015601E-3</v>
      </c>
      <c r="K188" s="458"/>
      <c r="L188" s="213"/>
      <c r="M188" s="208"/>
      <c r="N188" s="211"/>
      <c r="O188" s="329">
        <f t="shared" si="61"/>
        <v>3.4920027109454423</v>
      </c>
      <c r="P188" s="324">
        <f>SUMMARY!L190</f>
        <v>6.5644691954713696</v>
      </c>
    </row>
    <row r="189" spans="1:16">
      <c r="A189" s="214" t="s">
        <v>126</v>
      </c>
      <c r="B189" s="145" t="s">
        <v>307</v>
      </c>
      <c r="C189" s="480">
        <f>'[71]Sch C'!D195</f>
        <v>35282</v>
      </c>
      <c r="D189" s="480">
        <f>'[71]Sch C'!F195</f>
        <v>0</v>
      </c>
      <c r="E189" s="480">
        <f>+'[71]Sch C'!H195</f>
        <v>0</v>
      </c>
      <c r="F189" s="166">
        <f t="shared" si="58"/>
        <v>35282</v>
      </c>
      <c r="G189" s="626"/>
      <c r="H189" s="607"/>
      <c r="I189" s="166">
        <f t="shared" si="59"/>
        <v>35282</v>
      </c>
      <c r="J189" s="167">
        <f t="shared" si="60"/>
        <v>3.3497672765277417E-3</v>
      </c>
      <c r="K189" s="458"/>
      <c r="L189" s="213"/>
      <c r="M189" s="208"/>
      <c r="N189" s="211"/>
      <c r="O189" s="329">
        <f t="shared" si="61"/>
        <v>1.1955947136563876</v>
      </c>
      <c r="P189" s="324">
        <f>SUMMARY!L191</f>
        <v>1.502971695522523</v>
      </c>
    </row>
    <row r="190" spans="1:16">
      <c r="A190" s="214" t="s">
        <v>127</v>
      </c>
      <c r="B190" s="145" t="s">
        <v>308</v>
      </c>
      <c r="C190" s="480">
        <f>'[71]Sch C'!D196</f>
        <v>0</v>
      </c>
      <c r="D190" s="480">
        <f>'[71]Sch C'!F196</f>
        <v>0</v>
      </c>
      <c r="E190" s="480">
        <f>+'[71]Sch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211"/>
      <c r="O190" s="329">
        <f t="shared" si="61"/>
        <v>0</v>
      </c>
      <c r="P190" s="324">
        <f>SUMMARY!L192</f>
        <v>0</v>
      </c>
    </row>
    <row r="191" spans="1:16">
      <c r="A191" s="214" t="s">
        <v>128</v>
      </c>
      <c r="B191" s="145" t="s">
        <v>309</v>
      </c>
      <c r="C191" s="480">
        <f>'[71]Sch C'!D197</f>
        <v>67463</v>
      </c>
      <c r="D191" s="480">
        <f>'[71]Sch C'!F197</f>
        <v>0</v>
      </c>
      <c r="E191" s="480">
        <f>+'[71]Sch C'!H197</f>
        <v>0</v>
      </c>
      <c r="F191" s="166">
        <f t="shared" si="58"/>
        <v>67463</v>
      </c>
      <c r="G191" s="626"/>
      <c r="H191" s="607"/>
      <c r="I191" s="166">
        <f t="shared" si="59"/>
        <v>67463</v>
      </c>
      <c r="J191" s="167">
        <f t="shared" si="60"/>
        <v>6.4051173339490682E-3</v>
      </c>
      <c r="K191" s="458"/>
      <c r="L191" s="213"/>
      <c r="M191" s="208"/>
      <c r="N191" s="211"/>
      <c r="O191" s="329">
        <f t="shared" si="61"/>
        <v>2.2861064046086073</v>
      </c>
      <c r="P191" s="324">
        <f>SUMMARY!L193</f>
        <v>4.8968748660590737</v>
      </c>
    </row>
    <row r="192" spans="1:16">
      <c r="A192" s="214" t="s">
        <v>129</v>
      </c>
      <c r="B192" s="145" t="s">
        <v>114</v>
      </c>
      <c r="C192" s="480">
        <f>'[71]Sch C'!D198</f>
        <v>29882</v>
      </c>
      <c r="D192" s="480">
        <f>'[71]Sch C'!F198</f>
        <v>0</v>
      </c>
      <c r="E192" s="480">
        <f>+'[71]Sch C'!H198</f>
        <v>0</v>
      </c>
      <c r="F192" s="166">
        <f t="shared" si="58"/>
        <v>29882</v>
      </c>
      <c r="G192" s="626"/>
      <c r="H192" s="607"/>
      <c r="I192" s="166">
        <f t="shared" si="59"/>
        <v>29882</v>
      </c>
      <c r="J192" s="167">
        <f t="shared" si="60"/>
        <v>2.837076859509154E-3</v>
      </c>
      <c r="K192" s="458"/>
      <c r="L192" s="213"/>
      <c r="M192" s="208"/>
      <c r="N192" s="211"/>
      <c r="O192" s="329">
        <f t="shared" si="61"/>
        <v>1.0126058963063369</v>
      </c>
      <c r="P192" s="324">
        <f>SUMMARY!L194</f>
        <v>1.2996922131725721</v>
      </c>
    </row>
    <row r="193" spans="1:16">
      <c r="A193" s="214" t="s">
        <v>256</v>
      </c>
      <c r="B193" s="145" t="s">
        <v>310</v>
      </c>
      <c r="C193" s="480">
        <f>'[71]Sch C'!D199</f>
        <v>0</v>
      </c>
      <c r="D193" s="480">
        <f>'[71]Sch C'!F199</f>
        <v>0</v>
      </c>
      <c r="E193" s="480">
        <f>+'[71]Sch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211"/>
      <c r="O193" s="329">
        <f t="shared" si="61"/>
        <v>0</v>
      </c>
      <c r="P193" s="324">
        <f>SUMMARY!L195</f>
        <v>2.1027298641690924E-3</v>
      </c>
    </row>
    <row r="194" spans="1:16">
      <c r="A194" s="214" t="s">
        <v>258</v>
      </c>
      <c r="B194" s="145" t="s">
        <v>259</v>
      </c>
      <c r="C194" s="480">
        <f>'[71]Sch C'!D200</f>
        <v>0</v>
      </c>
      <c r="D194" s="480">
        <f>'[71]Sch C'!F200</f>
        <v>0</v>
      </c>
      <c r="E194" s="480">
        <f>+'[71]Sch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211"/>
      <c r="O194" s="329">
        <f t="shared" si="61"/>
        <v>0</v>
      </c>
      <c r="P194" s="324">
        <f>SUMMARY!L196</f>
        <v>3.182328735996106E-3</v>
      </c>
    </row>
    <row r="195" spans="1:16">
      <c r="A195" s="215" t="s">
        <v>260</v>
      </c>
      <c r="B195" s="216" t="s">
        <v>261</v>
      </c>
      <c r="C195" s="480">
        <f>'[71]Sch C'!D201</f>
        <v>0</v>
      </c>
      <c r="D195" s="480">
        <f>'[71]Sch C'!F201</f>
        <v>0</v>
      </c>
      <c r="E195" s="480">
        <f>+'[71]Sch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211"/>
      <c r="O195" s="329">
        <f t="shared" si="61"/>
        <v>0</v>
      </c>
      <c r="P195" s="324">
        <f>SUMMARY!L197</f>
        <v>2.7229719324431581E-3</v>
      </c>
    </row>
    <row r="196" spans="1:16">
      <c r="A196" s="215" t="s">
        <v>262</v>
      </c>
      <c r="B196" s="216" t="s">
        <v>263</v>
      </c>
      <c r="C196" s="480">
        <f>'[71]Sch C'!D202</f>
        <v>0</v>
      </c>
      <c r="D196" s="480">
        <f>'[71]Sch C'!F202</f>
        <v>0</v>
      </c>
      <c r="E196" s="480">
        <f>+'[71]Sch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211"/>
      <c r="O196" s="329">
        <f t="shared" si="61"/>
        <v>0</v>
      </c>
      <c r="P196" s="324">
        <f>SUMMARY!L198</f>
        <v>1.5622492814304837E-3</v>
      </c>
    </row>
    <row r="197" spans="1:16">
      <c r="A197" s="215" t="s">
        <v>264</v>
      </c>
      <c r="B197" s="216" t="s">
        <v>311</v>
      </c>
      <c r="C197" s="480">
        <f>'[71]Sch C'!D203</f>
        <v>0</v>
      </c>
      <c r="D197" s="480">
        <f>'[71]Sch C'!F203</f>
        <v>0</v>
      </c>
      <c r="E197" s="480">
        <f>+'[71]Sch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N197" s="211"/>
      <c r="O197" s="329">
        <f t="shared" si="61"/>
        <v>0</v>
      </c>
      <c r="P197" s="324">
        <f>SUMMARY!L199</f>
        <v>8.6370876638656183E-2</v>
      </c>
    </row>
    <row r="198" spans="1:16">
      <c r="A198" s="215" t="s">
        <v>266</v>
      </c>
      <c r="B198" s="216" t="s">
        <v>312</v>
      </c>
      <c r="C198" s="480">
        <f>'[71]Sch C'!D204</f>
        <v>0</v>
      </c>
      <c r="D198" s="480">
        <f>'[71]Sch C'!F204</f>
        <v>0</v>
      </c>
      <c r="E198" s="480">
        <f>+'[71]Sch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211"/>
      <c r="O198" s="329">
        <f t="shared" si="61"/>
        <v>0</v>
      </c>
      <c r="P198" s="324">
        <f>SUMMARY!L200</f>
        <v>2.6895338155745165E-2</v>
      </c>
    </row>
    <row r="199" spans="1:16">
      <c r="A199" s="214" t="s">
        <v>130</v>
      </c>
      <c r="B199" s="145" t="s">
        <v>313</v>
      </c>
      <c r="C199" s="480">
        <f>'[71]Sch C'!D205</f>
        <v>383081</v>
      </c>
      <c r="D199" s="480">
        <f>'[71]Sch C'!F205</f>
        <v>0</v>
      </c>
      <c r="E199" s="480">
        <f>+'[71]Sch C'!H205</f>
        <v>0</v>
      </c>
      <c r="F199" s="166">
        <f t="shared" si="58"/>
        <v>383081</v>
      </c>
      <c r="G199" s="626"/>
      <c r="H199" s="607"/>
      <c r="I199" s="166">
        <f t="shared" si="59"/>
        <v>383081</v>
      </c>
      <c r="J199" s="167">
        <f t="shared" si="60"/>
        <v>3.6370732896647689E-2</v>
      </c>
      <c r="K199" s="458"/>
      <c r="L199" s="213"/>
      <c r="M199" s="208"/>
      <c r="N199" s="211"/>
      <c r="O199" s="329">
        <f t="shared" si="61"/>
        <v>12.981396136902745</v>
      </c>
      <c r="P199" s="324">
        <f>SUMMARY!L201</f>
        <v>8.282884891032662</v>
      </c>
    </row>
    <row r="200" spans="1:16">
      <c r="A200" s="214" t="s">
        <v>131</v>
      </c>
      <c r="B200" s="145" t="s">
        <v>59</v>
      </c>
      <c r="C200" s="480">
        <f>'[71]Sch C'!D206</f>
        <v>23844</v>
      </c>
      <c r="D200" s="480">
        <f>'[71]Sch C'!F206</f>
        <v>0</v>
      </c>
      <c r="E200" s="480">
        <f>+'[71]Sch C'!H206</f>
        <v>0</v>
      </c>
      <c r="F200" s="166">
        <f t="shared" si="58"/>
        <v>23844</v>
      </c>
      <c r="G200" s="626"/>
      <c r="H200" s="607"/>
      <c r="I200" s="166">
        <f t="shared" si="59"/>
        <v>23844</v>
      </c>
      <c r="J200" s="167">
        <f t="shared" si="60"/>
        <v>2.2638130191465185E-3</v>
      </c>
      <c r="K200" s="458"/>
      <c r="L200" s="213"/>
      <c r="M200" s="208"/>
      <c r="N200" s="211"/>
      <c r="O200" s="329">
        <f t="shared" si="61"/>
        <v>0.80799728905455781</v>
      </c>
      <c r="P200" s="324">
        <f>SUMMARY!L202</f>
        <v>0.50085155199169495</v>
      </c>
    </row>
    <row r="201" spans="1:16">
      <c r="A201" s="215" t="s">
        <v>135</v>
      </c>
      <c r="B201" s="186" t="s">
        <v>314</v>
      </c>
      <c r="C201" s="480">
        <f>'[71]Sch C'!D207</f>
        <v>0</v>
      </c>
      <c r="D201" s="480">
        <f>'[71]Sch C'!F207</f>
        <v>0</v>
      </c>
      <c r="E201" s="480">
        <f>+'[71]Sch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/>
      <c r="L201" s="213"/>
      <c r="M201" s="208"/>
      <c r="N201" s="211"/>
      <c r="O201" s="329">
        <f t="shared" si="61"/>
        <v>0</v>
      </c>
      <c r="P201" s="324">
        <f>SUMMARY!L203</f>
        <v>0.38409432252006021</v>
      </c>
    </row>
    <row r="202" spans="1:16" s="612" customFormat="1">
      <c r="A202" s="158"/>
      <c r="B202" s="204" t="s">
        <v>122</v>
      </c>
      <c r="C202" s="480">
        <f t="shared" ref="C202:E202" si="62">SUM(C169:C201)</f>
        <v>642523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642523</v>
      </c>
      <c r="G202" s="166">
        <f t="shared" si="63"/>
        <v>0</v>
      </c>
      <c r="H202" s="166">
        <f t="shared" si="63"/>
        <v>0</v>
      </c>
      <c r="I202" s="166">
        <f t="shared" si="63"/>
        <v>642523</v>
      </c>
      <c r="J202" s="167">
        <f>IF($I$213=0,0,I202/$I$213)</f>
        <v>6.1002849039635904E-2</v>
      </c>
      <c r="K202" s="458"/>
      <c r="L202" s="163"/>
      <c r="M202" s="163"/>
      <c r="N202" s="162"/>
      <c r="O202" s="329">
        <f>I202/I$233</f>
        <v>21.773059979667909</v>
      </c>
      <c r="P202" s="324">
        <f>SUMMARY!L204</f>
        <v>35.511780513975516</v>
      </c>
    </row>
    <row r="203" spans="1:16" s="612" customFormat="1">
      <c r="A203" s="158"/>
      <c r="B203" s="162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N203" s="162"/>
      <c r="O203" s="324"/>
      <c r="P203" s="324"/>
    </row>
    <row r="204" spans="1:16" s="61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N204" s="162"/>
      <c r="O204" s="324"/>
      <c r="P204" s="324"/>
    </row>
    <row r="205" spans="1:16" s="612" customFormat="1">
      <c r="A205" s="164" t="s">
        <v>77</v>
      </c>
      <c r="B205" s="165" t="s">
        <v>61</v>
      </c>
      <c r="C205" s="480">
        <f>'[71]Sch C'!D211</f>
        <v>142570</v>
      </c>
      <c r="D205" s="480">
        <f>'[71]Sch C'!F211</f>
        <v>0</v>
      </c>
      <c r="E205" s="480">
        <f>+'[71]Sch C'!H211</f>
        <v>0</v>
      </c>
      <c r="F205" s="166">
        <f t="shared" ref="F205:F210" si="64">C205+D205+E205</f>
        <v>142570</v>
      </c>
      <c r="G205" s="626"/>
      <c r="H205" s="607"/>
      <c r="I205" s="166">
        <f t="shared" ref="I205:I210" si="65">F205+G205+H205</f>
        <v>142570</v>
      </c>
      <c r="J205" s="167">
        <f t="shared" ref="J205:J211" si="66">IF($I$213=0,0,I205/$I$213)</f>
        <v>1.3535976435988892E-2</v>
      </c>
      <c r="K205" s="458"/>
      <c r="L205" s="176">
        <v>6625</v>
      </c>
      <c r="M205" s="176">
        <v>7522</v>
      </c>
      <c r="N205" s="162"/>
      <c r="O205" s="329">
        <f t="shared" ref="O205:O210" si="67">I205/I$233</f>
        <v>4.8312436462216199</v>
      </c>
      <c r="P205" s="324">
        <f>SUMMARY!L207</f>
        <v>5.7476972960172068</v>
      </c>
    </row>
    <row r="206" spans="1:16" s="612" customFormat="1">
      <c r="A206" s="164" t="s">
        <v>78</v>
      </c>
      <c r="B206" s="165" t="s">
        <v>37</v>
      </c>
      <c r="C206" s="480">
        <f>'[71]Sch C'!D212</f>
        <v>0</v>
      </c>
      <c r="D206" s="480">
        <f>'[71]Sch C'!F212</f>
        <v>23946</v>
      </c>
      <c r="E206" s="480">
        <f>+'[71]Sch C'!H212</f>
        <v>0</v>
      </c>
      <c r="F206" s="166">
        <f t="shared" si="64"/>
        <v>23946</v>
      </c>
      <c r="G206" s="626"/>
      <c r="H206" s="607"/>
      <c r="I206" s="166">
        <f t="shared" si="65"/>
        <v>23946</v>
      </c>
      <c r="J206" s="167">
        <f t="shared" si="66"/>
        <v>2.2734971714679806E-3</v>
      </c>
      <c r="K206" s="458"/>
      <c r="L206" s="163"/>
      <c r="M206" s="163"/>
      <c r="N206" s="162"/>
      <c r="O206" s="329">
        <f t="shared" si="67"/>
        <v>0.81145374449339203</v>
      </c>
      <c r="P206" s="324">
        <f>SUMMARY!L208</f>
        <v>1.2734909412462843</v>
      </c>
    </row>
    <row r="207" spans="1:16" s="612" customFormat="1">
      <c r="A207" s="164" t="s">
        <v>132</v>
      </c>
      <c r="B207" s="165" t="s">
        <v>46</v>
      </c>
      <c r="C207" s="480">
        <f>'[71]Sch C'!D213</f>
        <v>6752</v>
      </c>
      <c r="D207" s="480">
        <f>'[71]Sch C'!F213</f>
        <v>0</v>
      </c>
      <c r="E207" s="480">
        <f>+'[71]Sch C'!H213</f>
        <v>0</v>
      </c>
      <c r="F207" s="166">
        <f t="shared" si="64"/>
        <v>6752</v>
      </c>
      <c r="G207" s="626"/>
      <c r="H207" s="607"/>
      <c r="I207" s="166">
        <f t="shared" si="65"/>
        <v>6752</v>
      </c>
      <c r="J207" s="167">
        <f t="shared" si="66"/>
        <v>6.4105290661287085E-4</v>
      </c>
      <c r="K207" s="458"/>
      <c r="L207" s="163"/>
      <c r="M207" s="163"/>
      <c r="N207" s="162"/>
      <c r="O207" s="329">
        <f t="shared" si="67"/>
        <v>0.22880379532361911</v>
      </c>
      <c r="P207" s="324">
        <f>SUMMARY!L209</f>
        <v>0.51656684080340909</v>
      </c>
    </row>
    <row r="208" spans="1:16" s="612" customFormat="1">
      <c r="A208" s="164" t="s">
        <v>133</v>
      </c>
      <c r="B208" s="165" t="s">
        <v>62</v>
      </c>
      <c r="C208" s="480">
        <f>'[71]Sch C'!D214</f>
        <v>0</v>
      </c>
      <c r="D208" s="480">
        <f>'[71]Sch C'!F214</f>
        <v>0</v>
      </c>
      <c r="E208" s="480">
        <f>+'[71]Sch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N208" s="162"/>
      <c r="O208" s="329">
        <f t="shared" si="67"/>
        <v>0</v>
      </c>
      <c r="P208" s="324">
        <f>SUMMARY!L210</f>
        <v>1.8304832857876697E-2</v>
      </c>
    </row>
    <row r="209" spans="1:16" s="612" customFormat="1">
      <c r="A209" s="164" t="s">
        <v>134</v>
      </c>
      <c r="B209" s="194" t="s">
        <v>63</v>
      </c>
      <c r="C209" s="480">
        <f>'[71]Sch C'!D215</f>
        <v>0</v>
      </c>
      <c r="D209" s="480">
        <f>'[71]Sch C'!F215</f>
        <v>0</v>
      </c>
      <c r="E209" s="480">
        <f>+'[71]Sch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N209" s="162"/>
      <c r="O209" s="329">
        <f t="shared" si="67"/>
        <v>0</v>
      </c>
      <c r="P209" s="324">
        <f>SUMMARY!L211</f>
        <v>0</v>
      </c>
    </row>
    <row r="210" spans="1:16" s="612" customFormat="1">
      <c r="A210" s="164" t="s">
        <v>135</v>
      </c>
      <c r="B210" s="165" t="s">
        <v>293</v>
      </c>
      <c r="C210" s="480">
        <f>'[71]Sch C'!D216</f>
        <v>4098</v>
      </c>
      <c r="D210" s="480">
        <f>'[71]Sch C'!F216</f>
        <v>0</v>
      </c>
      <c r="E210" s="480">
        <f>+'[71]Sch C'!H216</f>
        <v>0</v>
      </c>
      <c r="F210" s="166">
        <f t="shared" si="64"/>
        <v>4098</v>
      </c>
      <c r="G210" s="626"/>
      <c r="H210" s="607"/>
      <c r="I210" s="166">
        <f t="shared" si="65"/>
        <v>4098</v>
      </c>
      <c r="J210" s="167">
        <f t="shared" si="66"/>
        <v>3.8907506091521695E-4</v>
      </c>
      <c r="K210" s="458"/>
      <c r="L210" s="163"/>
      <c r="M210" s="163"/>
      <c r="N210" s="162"/>
      <c r="O210" s="329">
        <f t="shared" si="67"/>
        <v>0.1388681802778719</v>
      </c>
      <c r="P210" s="324">
        <f>SUMMARY!L212</f>
        <v>0.31711176711674705</v>
      </c>
    </row>
    <row r="211" spans="1:16" s="612" customFormat="1">
      <c r="A211" s="158"/>
      <c r="B211" s="165" t="s">
        <v>136</v>
      </c>
      <c r="C211" s="480">
        <f t="shared" ref="C211:E211" si="68">SUM(C205:C210)</f>
        <v>153420</v>
      </c>
      <c r="D211" s="480">
        <f t="shared" si="68"/>
        <v>23946</v>
      </c>
      <c r="E211" s="480">
        <f t="shared" si="68"/>
        <v>0</v>
      </c>
      <c r="F211" s="166">
        <f t="shared" ref="F211:I211" si="69">SUM(F205:F210)</f>
        <v>177366</v>
      </c>
      <c r="G211" s="166">
        <f t="shared" si="69"/>
        <v>0</v>
      </c>
      <c r="H211" s="166">
        <f t="shared" si="69"/>
        <v>0</v>
      </c>
      <c r="I211" s="166">
        <f t="shared" si="69"/>
        <v>177366</v>
      </c>
      <c r="J211" s="167">
        <f t="shared" si="66"/>
        <v>1.6839601574984962E-2</v>
      </c>
      <c r="K211" s="458"/>
      <c r="L211" s="163"/>
      <c r="M211" s="163"/>
      <c r="N211" s="162"/>
      <c r="O211" s="329">
        <f>I211/I$233</f>
        <v>6.0103693663165032</v>
      </c>
      <c r="P211" s="324">
        <f>SUMMARY!L213</f>
        <v>7.8731716780415235</v>
      </c>
    </row>
    <row r="212" spans="1:16" s="612" customFormat="1">
      <c r="A212" s="158"/>
      <c r="B212" s="162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N212" s="162"/>
      <c r="O212" s="324"/>
      <c r="P212" s="324"/>
    </row>
    <row r="213" spans="1:16" s="612" customFormat="1">
      <c r="A213" s="217"/>
      <c r="B213" s="218" t="s">
        <v>137</v>
      </c>
      <c r="C213" s="480">
        <f t="shared" ref="C213:E213" si="70">SUM(C30:C211)/2</f>
        <v>10900146</v>
      </c>
      <c r="D213" s="480">
        <f t="shared" si="70"/>
        <v>-405769</v>
      </c>
      <c r="E213" s="480">
        <f t="shared" si="70"/>
        <v>0</v>
      </c>
      <c r="F213" s="166">
        <f t="shared" ref="F213:I213" si="71">SUM(F30:F211)/2</f>
        <v>10494377</v>
      </c>
      <c r="G213" s="166">
        <f t="shared" si="71"/>
        <v>-2826</v>
      </c>
      <c r="H213" s="166">
        <f t="shared" si="71"/>
        <v>41121</v>
      </c>
      <c r="I213" s="166">
        <f t="shared" si="71"/>
        <v>10532672</v>
      </c>
      <c r="J213" s="167">
        <f>IF($I$213=0,0,I213/$I$213)</f>
        <v>1</v>
      </c>
      <c r="K213" s="458"/>
      <c r="L213" s="176">
        <f>SUM(L30:L205)</f>
        <v>270371</v>
      </c>
      <c r="M213" s="176">
        <f>SUM(M30:M205)</f>
        <v>293954</v>
      </c>
      <c r="N213" s="162"/>
      <c r="O213" s="329">
        <f>I213/I$233</f>
        <v>356.91873941036937</v>
      </c>
      <c r="P213" s="324">
        <f>SUMMARY!L215</f>
        <v>285.57746451544745</v>
      </c>
    </row>
    <row r="214" spans="1:16" s="612" customFormat="1" ht="15.5">
      <c r="A214" s="158"/>
      <c r="B214" s="165"/>
      <c r="C214" s="160"/>
      <c r="D214" s="160"/>
      <c r="E214" s="160"/>
      <c r="F214" s="160"/>
      <c r="G214" s="160"/>
      <c r="H214"/>
      <c r="I214"/>
      <c r="J214" s="162"/>
      <c r="K214" s="460"/>
      <c r="L214" s="163"/>
      <c r="M214" s="163"/>
      <c r="N214" s="162"/>
      <c r="O214" s="162"/>
      <c r="P214" s="162"/>
    </row>
    <row r="215" spans="1:16" s="612" customFormat="1" ht="15.5">
      <c r="A215" s="158"/>
      <c r="B215" s="165"/>
      <c r="C215" s="160"/>
      <c r="D215" s="160"/>
      <c r="E215" s="160"/>
      <c r="F215" s="160"/>
      <c r="G215" s="160"/>
      <c r="H215"/>
      <c r="I215"/>
      <c r="J215" s="162"/>
      <c r="K215" s="460"/>
      <c r="L215" s="163"/>
      <c r="M215" s="163"/>
      <c r="N215" s="162"/>
      <c r="O215" s="162"/>
      <c r="P215" s="162"/>
    </row>
    <row r="216" spans="1:16" s="612" customFormat="1" ht="15.5">
      <c r="A216" s="158"/>
      <c r="B216" s="218" t="s">
        <v>172</v>
      </c>
      <c r="C216" s="480">
        <f>'[71]Sch C'!D221</f>
        <v>10900146</v>
      </c>
      <c r="D216" s="188"/>
      <c r="E216" s="188"/>
      <c r="F216" s="160"/>
      <c r="G216" s="160"/>
      <c r="H216" s="399"/>
      <c r="I216"/>
      <c r="J216" s="162"/>
      <c r="K216" s="460"/>
      <c r="L216" s="163"/>
      <c r="M216" s="163"/>
      <c r="N216" s="162"/>
      <c r="O216" s="162"/>
      <c r="P216" s="162"/>
    </row>
    <row r="217" spans="1:16" s="61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J217" s="162"/>
      <c r="K217" s="460"/>
      <c r="L217" s="163"/>
      <c r="M217" s="163"/>
      <c r="N217" s="162"/>
      <c r="O217" s="162"/>
      <c r="P217" s="162"/>
    </row>
    <row r="218" spans="1:16" s="61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  <c r="N218" s="162"/>
      <c r="O218" s="162"/>
      <c r="P218" s="162"/>
    </row>
    <row r="219" spans="1:16" s="61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J219" s="162"/>
      <c r="K219" s="460"/>
      <c r="L219" s="163"/>
      <c r="M219" s="163"/>
      <c r="N219" s="162"/>
      <c r="O219" s="162"/>
      <c r="P219" s="162"/>
    </row>
    <row r="220" spans="1:16" s="612" customFormat="1">
      <c r="A220" s="158"/>
      <c r="B220" s="218" t="s">
        <v>70</v>
      </c>
      <c r="C220" s="480">
        <f t="shared" ref="C220:E220" si="72">C26-C213</f>
        <v>1672266</v>
      </c>
      <c r="D220" s="480">
        <f t="shared" si="72"/>
        <v>405769</v>
      </c>
      <c r="E220" s="480">
        <f t="shared" si="72"/>
        <v>0</v>
      </c>
      <c r="F220" s="166">
        <f t="shared" ref="F220:I220" si="73">F26-F213</f>
        <v>2078035</v>
      </c>
      <c r="G220" s="166">
        <f t="shared" si="73"/>
        <v>205348</v>
      </c>
      <c r="H220" s="166">
        <f t="shared" si="73"/>
        <v>-41121</v>
      </c>
      <c r="I220" s="166">
        <f t="shared" si="73"/>
        <v>2242262</v>
      </c>
      <c r="J220" s="162"/>
      <c r="K220" s="460"/>
      <c r="L220" s="163"/>
      <c r="M220" s="163"/>
      <c r="N220" s="162"/>
      <c r="O220" s="321"/>
      <c r="P220" s="324"/>
    </row>
    <row r="221" spans="1:16" s="61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J221" s="162"/>
      <c r="K221" s="460"/>
      <c r="L221" s="163"/>
      <c r="M221" s="163"/>
      <c r="N221" s="162"/>
      <c r="O221" s="162"/>
      <c r="P221" s="162"/>
    </row>
    <row r="222" spans="1:16" s="61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J222" s="162"/>
      <c r="K222" s="460"/>
      <c r="L222" s="163"/>
      <c r="M222" s="163"/>
      <c r="N222" s="162"/>
      <c r="O222" s="162"/>
      <c r="P222" s="162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'[71]Sch D'!C9</f>
        <v>20438</v>
      </c>
      <c r="D224" s="480"/>
      <c r="E224" s="480"/>
      <c r="F224" s="224">
        <f>C224+D224+E224</f>
        <v>20438</v>
      </c>
      <c r="G224" s="627"/>
      <c r="H224" s="223"/>
      <c r="I224" s="224">
        <f>F224+G224+H224</f>
        <v>20438</v>
      </c>
      <c r="J224" s="167">
        <f t="shared" ref="J224:J233" si="74">IF($I$233=0,0,I224/$I$233)</f>
        <v>0.69257878685191465</v>
      </c>
      <c r="K224" s="458"/>
      <c r="L224" s="163"/>
      <c r="M224" s="163"/>
    </row>
    <row r="225" spans="1:13">
      <c r="A225" s="158"/>
      <c r="B225" s="165" t="s">
        <v>201</v>
      </c>
      <c r="C225" s="504">
        <f>'[71]Sch D'!D9</f>
        <v>1806</v>
      </c>
      <c r="D225" s="480"/>
      <c r="E225" s="480"/>
      <c r="F225" s="224">
        <f t="shared" ref="F225:F232" si="75">C225+D225+E225</f>
        <v>1806</v>
      </c>
      <c r="G225" s="627"/>
      <c r="H225" s="223"/>
      <c r="I225" s="224">
        <f t="shared" ref="I225:I232" si="76">F225+G225+H225</f>
        <v>1806</v>
      </c>
      <c r="J225" s="167">
        <f t="shared" si="74"/>
        <v>6.1199593358183667E-2</v>
      </c>
      <c r="K225" s="458"/>
      <c r="L225" s="163"/>
      <c r="M225" s="163"/>
    </row>
    <row r="226" spans="1:13">
      <c r="A226" s="158"/>
      <c r="B226" s="165" t="s">
        <v>64</v>
      </c>
      <c r="C226" s="504">
        <f>'[71]Sch D'!E9</f>
        <v>2742</v>
      </c>
      <c r="D226" s="480"/>
      <c r="E226" s="480"/>
      <c r="F226" s="224">
        <f t="shared" si="75"/>
        <v>2742</v>
      </c>
      <c r="G226" s="627"/>
      <c r="H226" s="223"/>
      <c r="I226" s="224">
        <f t="shared" si="76"/>
        <v>2742</v>
      </c>
      <c r="J226" s="167">
        <f t="shared" si="74"/>
        <v>9.2917655032192473E-2</v>
      </c>
      <c r="K226" s="458"/>
      <c r="L226" s="163"/>
      <c r="M226" s="163"/>
    </row>
    <row r="227" spans="1:13">
      <c r="A227" s="158"/>
      <c r="B227" s="194" t="s">
        <v>315</v>
      </c>
      <c r="C227" s="504">
        <f>'[71]Sch D'!F9</f>
        <v>681</v>
      </c>
      <c r="D227" s="480"/>
      <c r="E227" s="480"/>
      <c r="F227" s="224">
        <f t="shared" si="75"/>
        <v>681</v>
      </c>
      <c r="G227" s="627"/>
      <c r="H227" s="223"/>
      <c r="I227" s="224">
        <f t="shared" si="76"/>
        <v>681</v>
      </c>
      <c r="J227" s="167">
        <f t="shared" si="74"/>
        <v>2.3076923076923078E-2</v>
      </c>
      <c r="K227" s="458"/>
      <c r="L227" s="163"/>
      <c r="M227" s="163"/>
    </row>
    <row r="228" spans="1:13">
      <c r="A228" s="158"/>
      <c r="B228" s="165" t="s">
        <v>65</v>
      </c>
      <c r="C228" s="504">
        <f>'[71]Sch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'[71]Sch D'!H9</f>
        <v>3843</v>
      </c>
      <c r="D229" s="480"/>
      <c r="E229" s="480"/>
      <c r="F229" s="224">
        <f t="shared" si="75"/>
        <v>3843</v>
      </c>
      <c r="G229" s="627"/>
      <c r="H229" s="223"/>
      <c r="I229" s="224">
        <f t="shared" si="76"/>
        <v>3843</v>
      </c>
      <c r="J229" s="167">
        <f t="shared" si="74"/>
        <v>0.13022704168078617</v>
      </c>
      <c r="K229" s="458"/>
      <c r="L229" s="163"/>
      <c r="M229" s="163"/>
    </row>
    <row r="230" spans="1:13">
      <c r="A230" s="158"/>
      <c r="B230" s="165" t="s">
        <v>219</v>
      </c>
      <c r="C230" s="504">
        <f>'[71]Sch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'[71]Sch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'[71]Sch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5" thickBot="1">
      <c r="A233" s="158"/>
      <c r="B233" s="225" t="s">
        <v>67</v>
      </c>
      <c r="C233" s="504">
        <f t="shared" ref="C233:E233" si="77">SUM(C224:C232)</f>
        <v>29510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29510</v>
      </c>
      <c r="G233" s="226">
        <f t="shared" si="78"/>
        <v>0</v>
      </c>
      <c r="H233" s="226">
        <f t="shared" si="78"/>
        <v>0</v>
      </c>
      <c r="I233" s="226">
        <f t="shared" si="78"/>
        <v>29510</v>
      </c>
      <c r="J233" s="167">
        <f t="shared" si="74"/>
        <v>1</v>
      </c>
      <c r="K233" s="458"/>
      <c r="L233" s="163"/>
      <c r="M233" s="163"/>
    </row>
    <row r="234" spans="1:13" ht="1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'[71]Sch D'!N22</f>
        <v>65</v>
      </c>
      <c r="D236" s="480"/>
      <c r="E236" s="480"/>
      <c r="F236" s="224">
        <f>C236+E236</f>
        <v>65</v>
      </c>
      <c r="G236" s="627"/>
      <c r="H236" s="224"/>
      <c r="I236" s="224">
        <f>F236+G236+H236</f>
        <v>65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'[71]Sch D'!N24</f>
        <v>65</v>
      </c>
      <c r="D237" s="480"/>
      <c r="E237" s="480"/>
      <c r="F237" s="224">
        <f>C237+E237</f>
        <v>65</v>
      </c>
      <c r="G237" s="627"/>
      <c r="H237" s="224"/>
      <c r="I237" s="224">
        <f>F237+G237+H237</f>
        <v>65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9">
      <c r="A240" s="158"/>
      <c r="B240" s="231" t="s">
        <v>506</v>
      </c>
      <c r="C240" s="504">
        <f>'[71]Sch D'!N28</f>
        <v>23725</v>
      </c>
      <c r="D240" s="427"/>
      <c r="E240" s="427"/>
      <c r="F240" s="223">
        <f>F236*F238</f>
        <v>23725</v>
      </c>
      <c r="G240"/>
      <c r="H240" s="228"/>
      <c r="I240" s="223">
        <f>I236*I238</f>
        <v>23725</v>
      </c>
      <c r="J240" s="162"/>
      <c r="K240" s="460"/>
      <c r="L240" s="163"/>
      <c r="M240" s="163"/>
    </row>
    <row r="241" spans="1:13" ht="29">
      <c r="A241" s="158"/>
      <c r="B241" s="231" t="s">
        <v>507</v>
      </c>
      <c r="C241" s="505">
        <f>'[71]Sch D'!N30</f>
        <v>1.2438356164383562</v>
      </c>
      <c r="D241" s="228"/>
      <c r="E241" s="228"/>
      <c r="F241" s="232">
        <f>F233/F240</f>
        <v>1.2438356164383562</v>
      </c>
      <c r="G241"/>
      <c r="H241" s="233"/>
      <c r="I241" s="232">
        <f>I233/I240</f>
        <v>1.2438356164383562</v>
      </c>
      <c r="J241" s="162"/>
      <c r="K241" s="460"/>
      <c r="L241" s="163"/>
      <c r="M241" s="163"/>
    </row>
    <row r="242" spans="1:13" ht="29">
      <c r="A242" s="158"/>
      <c r="B242" s="231" t="s">
        <v>508</v>
      </c>
      <c r="C242" s="505">
        <f>'[71]Sch D'!N32</f>
        <v>0.93757639620653321</v>
      </c>
      <c r="D242" s="228"/>
      <c r="E242" s="228"/>
      <c r="F242" s="232">
        <f>(F224+F225)/F240</f>
        <v>0.93757639620653321</v>
      </c>
      <c r="G242"/>
      <c r="H242" s="233"/>
      <c r="I242" s="232">
        <f>(I224+I225)/I240</f>
        <v>0.93757639620653321</v>
      </c>
      <c r="J242" s="162"/>
      <c r="K242" s="460"/>
      <c r="L242" s="163"/>
      <c r="M242" s="163"/>
    </row>
    <row r="243" spans="1:13" ht="27.5">
      <c r="A243" s="158"/>
      <c r="B243" s="231" t="s">
        <v>509</v>
      </c>
      <c r="C243" s="505">
        <f>'[71]Sch D'!N34</f>
        <v>0.75377838021009824</v>
      </c>
      <c r="D243" s="228"/>
      <c r="E243" s="228"/>
      <c r="F243" s="232">
        <f>(F242/F241)</f>
        <v>0.75377838021009824</v>
      </c>
      <c r="G243"/>
      <c r="H243" s="233"/>
      <c r="I243" s="232">
        <f>(I242/I241)</f>
        <v>0.75377838021009824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'[71]Sch B'!C90</f>
        <v>323.25709081446786</v>
      </c>
      <c r="K246" s="460"/>
    </row>
    <row r="247" spans="1:13">
      <c r="H247" s="140" t="s">
        <v>322</v>
      </c>
      <c r="I247" s="480">
        <f>'[71]Sch B'!E90</f>
        <v>323.25709081446786</v>
      </c>
      <c r="K247" s="460"/>
    </row>
    <row r="248" spans="1:13">
      <c r="H248" s="140" t="s">
        <v>323</v>
      </c>
      <c r="I248" s="480">
        <f>'[71]Sch B'!G90</f>
        <v>323.25709081446786</v>
      </c>
      <c r="K248" s="460"/>
    </row>
    <row r="249" spans="1:13">
      <c r="H249" s="140" t="s">
        <v>324</v>
      </c>
      <c r="I249" s="480">
        <f>'[71]Sch B'!I90</f>
        <v>323.25709081446786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honeticPr fontId="0" type="noConversion"/>
  <printOptions horizontalCentered="1"/>
  <pageMargins left="0.75" right="0.75" top="1" bottom="1" header="0.5" footer="0.5"/>
  <pageSetup scale="39" fitToHeight="4" orientation="landscape" horizontalDpi="300" verticalDpi="300" r:id="rId1"/>
  <headerFooter alignWithMargins="0">
    <oddFooter>&amp;RLVT
&amp;D
&amp;T
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E28CAB"/>
  </sheetPr>
  <dimension ref="A1:Q277"/>
  <sheetViews>
    <sheetView showGridLines="0" topLeftCell="A211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3320312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528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'[72]Sch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'[72]Sch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'[72]Sch B'!E10</f>
        <v>1367841</v>
      </c>
      <c r="D12" s="480">
        <f>'[72]Sch B'!G10</f>
        <v>-328077</v>
      </c>
      <c r="E12" s="480"/>
      <c r="F12" s="166">
        <f>C12+D12+E12</f>
        <v>1039764</v>
      </c>
      <c r="G12" s="626"/>
      <c r="H12" s="607"/>
      <c r="I12" s="166">
        <f>F12+G12+H12</f>
        <v>1039764</v>
      </c>
      <c r="J12" s="167">
        <f>IF($I$26=0,0,I12/$I$26)</f>
        <v>0.18583318722457157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'[72]Sch B'!E12</f>
        <v>0</v>
      </c>
      <c r="D13" s="480">
        <f>'[72]Sch B'!G12</f>
        <v>0</v>
      </c>
      <c r="E13" s="480"/>
      <c r="F13" s="166">
        <f t="shared" ref="F13:F25" si="0">C13+D13+E13</f>
        <v>0</v>
      </c>
      <c r="G13" s="626"/>
      <c r="H13" s="607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'[72]Sch B'!E13</f>
        <v>383347</v>
      </c>
      <c r="D14" s="480">
        <f>'[72]Sch B'!G13</f>
        <v>0</v>
      </c>
      <c r="E14" s="480"/>
      <c r="F14" s="166">
        <f t="shared" si="0"/>
        <v>383347</v>
      </c>
      <c r="G14" s="626"/>
      <c r="H14" s="607"/>
      <c r="I14" s="166">
        <f t="shared" si="1"/>
        <v>383347</v>
      </c>
      <c r="J14" s="167">
        <f>IF($I$26=0,0,I14/$I$26)</f>
        <v>6.8514196320489884E-2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'[72]Sch B'!E14</f>
        <v>0</v>
      </c>
      <c r="D15" s="480">
        <f>'[72]Sch B'!G14</f>
        <v>0</v>
      </c>
      <c r="E15" s="480"/>
      <c r="F15" s="166">
        <f t="shared" si="0"/>
        <v>0</v>
      </c>
      <c r="G15" s="626"/>
      <c r="H15" s="607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'[72]Sch B'!E15</f>
        <v>1751188</v>
      </c>
      <c r="D16" s="480">
        <f>'[72]Sch B'!G15</f>
        <v>-328077</v>
      </c>
      <c r="E16" s="480"/>
      <c r="F16" s="166">
        <f t="shared" si="0"/>
        <v>1423111</v>
      </c>
      <c r="G16" s="626"/>
      <c r="H16" s="607"/>
      <c r="I16" s="166">
        <f>SUM(I12:I15)</f>
        <v>1423111</v>
      </c>
      <c r="J16" s="167">
        <f t="shared" ref="J16:J26" si="2">IF($I$26=0,0,I16/$I$26)</f>
        <v>0.25434738354506148</v>
      </c>
      <c r="K16" s="458"/>
      <c r="L16" s="333" t="s">
        <v>325</v>
      </c>
      <c r="M16" s="334">
        <f>I26</f>
        <v>5595147</v>
      </c>
      <c r="O16" s="324">
        <f>IFERROR(I16/I224,0)</f>
        <v>507.70995362112023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'[72]Sch B'!E20</f>
        <v>0</v>
      </c>
      <c r="D17" s="480">
        <f>'[72]Sch B'!G20</f>
        <v>328077</v>
      </c>
      <c r="E17" s="480"/>
      <c r="F17" s="166">
        <f t="shared" si="0"/>
        <v>328077</v>
      </c>
      <c r="G17" s="626"/>
      <c r="H17" s="607"/>
      <c r="I17" s="166">
        <f t="shared" si="1"/>
        <v>328077</v>
      </c>
      <c r="J17" s="167">
        <f t="shared" si="2"/>
        <v>5.8635992941740406E-2</v>
      </c>
      <c r="K17" s="458"/>
      <c r="L17" s="335" t="s">
        <v>326</v>
      </c>
      <c r="M17" s="336">
        <f>I213</f>
        <v>6259825</v>
      </c>
      <c r="O17" s="324">
        <f t="shared" ref="O17:O24" si="3">IFERROR(I17/I225,0)</f>
        <v>640.775390625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'[72]Sch B'!E26</f>
        <v>2969800</v>
      </c>
      <c r="D18" s="480">
        <f>'[72]Sch B'!G26</f>
        <v>0</v>
      </c>
      <c r="E18" s="480"/>
      <c r="F18" s="166">
        <f t="shared" si="0"/>
        <v>2969800</v>
      </c>
      <c r="G18" s="626"/>
      <c r="H18" s="607"/>
      <c r="I18" s="166">
        <f t="shared" si="1"/>
        <v>2969800</v>
      </c>
      <c r="J18" s="167">
        <f t="shared" si="2"/>
        <v>0.5307814075304903</v>
      </c>
      <c r="K18" s="458"/>
      <c r="L18" s="335" t="s">
        <v>327</v>
      </c>
      <c r="M18" s="336">
        <f>I233</f>
        <v>11224</v>
      </c>
      <c r="O18" s="324">
        <f t="shared" si="3"/>
        <v>497.28734092431347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'[72]Sch B'!E32</f>
        <v>756054</v>
      </c>
      <c r="D19" s="480">
        <f>'[72]Sch B'!G32</f>
        <v>-374745</v>
      </c>
      <c r="E19" s="480"/>
      <c r="F19" s="166">
        <f t="shared" si="0"/>
        <v>381309</v>
      </c>
      <c r="G19" s="626"/>
      <c r="H19" s="607"/>
      <c r="I19" s="166">
        <f t="shared" si="1"/>
        <v>381309</v>
      </c>
      <c r="J19" s="170">
        <f t="shared" si="2"/>
        <v>6.8149952092411509E-2</v>
      </c>
      <c r="K19" s="464"/>
      <c r="L19" s="335" t="s">
        <v>328</v>
      </c>
      <c r="M19" s="336">
        <f>I236</f>
        <v>95</v>
      </c>
      <c r="O19" s="324">
        <f t="shared" si="3"/>
        <v>414.91730141458106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'[72]Sch B'!E37</f>
        <v>0</v>
      </c>
      <c r="D20" s="480">
        <f>'[72]Sch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34675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'[72]Sch B'!E42</f>
        <v>52772</v>
      </c>
      <c r="D21" s="480">
        <f>'[72]Sch B'!G42</f>
        <v>374745</v>
      </c>
      <c r="E21" s="480"/>
      <c r="F21" s="166">
        <f t="shared" si="0"/>
        <v>427517</v>
      </c>
      <c r="G21" s="626"/>
      <c r="H21" s="607"/>
      <c r="I21" s="166">
        <f t="shared" si="1"/>
        <v>427517</v>
      </c>
      <c r="J21" s="167">
        <f t="shared" si="2"/>
        <v>7.6408537613042157E-2</v>
      </c>
      <c r="K21" s="458"/>
      <c r="L21" s="337"/>
      <c r="M21" s="336"/>
      <c r="O21" s="324">
        <f t="shared" si="3"/>
        <v>419.95776031434184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'[72]Sch B'!E47</f>
        <v>0</v>
      </c>
      <c r="D22" s="480">
        <f>'[72]Sch B'!G47</f>
        <v>0</v>
      </c>
      <c r="E22" s="480"/>
      <c r="F22" s="166">
        <f t="shared" si="0"/>
        <v>0</v>
      </c>
      <c r="G22" s="626"/>
      <c r="H22" s="607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132094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'[72]Sch B'!E52</f>
        <v>0</v>
      </c>
      <c r="D23" s="480">
        <f>'[72]Sch B'!G52</f>
        <v>0</v>
      </c>
      <c r="E23" s="480"/>
      <c r="F23" s="166">
        <f t="shared" si="0"/>
        <v>0</v>
      </c>
      <c r="G23" s="626"/>
      <c r="H23" s="607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145047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'[72]Sch B'!E57</f>
        <v>0</v>
      </c>
      <c r="D24" s="480">
        <f>'[72]Sch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'[72]Sch B'!E72</f>
        <v>65333</v>
      </c>
      <c r="D25" s="480">
        <f>'[72]Sch B'!G72</f>
        <v>0</v>
      </c>
      <c r="E25" s="480"/>
      <c r="F25" s="166">
        <f t="shared" si="0"/>
        <v>65333</v>
      </c>
      <c r="G25" s="626"/>
      <c r="H25" s="607"/>
      <c r="I25" s="166">
        <f t="shared" si="1"/>
        <v>65333</v>
      </c>
      <c r="J25" s="167">
        <f t="shared" si="2"/>
        <v>1.1676726277254199E-2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5595147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5595147</v>
      </c>
      <c r="G26" s="166">
        <f>SUM(G12:G25)</f>
        <v>0</v>
      </c>
      <c r="H26" s="166">
        <f>SUM(H12:H25)</f>
        <v>0</v>
      </c>
      <c r="I26" s="166">
        <f>SUM(I16:I25)</f>
        <v>5595147</v>
      </c>
      <c r="J26" s="167">
        <f t="shared" si="2"/>
        <v>1</v>
      </c>
      <c r="K26" s="458"/>
      <c r="L26" s="163"/>
      <c r="M26" s="163"/>
      <c r="O26" s="324">
        <f>IFERROR(I26/I233,0)</f>
        <v>498.49848538845333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'[72]Sch C'!D10</f>
        <v>0</v>
      </c>
      <c r="D30" s="480">
        <f>'[72]Sch C'!F10</f>
        <v>19694</v>
      </c>
      <c r="E30" s="480">
        <f>+'[72]Sch C'!H10</f>
        <v>0</v>
      </c>
      <c r="F30" s="166">
        <f t="shared" ref="F30:F65" si="5">C30+D30+E30</f>
        <v>19694</v>
      </c>
      <c r="G30" s="626"/>
      <c r="H30" s="607"/>
      <c r="I30" s="166">
        <f t="shared" ref="I30:I65" si="6">F30+G30+H30</f>
        <v>19694</v>
      </c>
      <c r="J30" s="167">
        <f>IF($I$213=0,0,I30/$I$213)</f>
        <v>3.1460943396979949E-3</v>
      </c>
      <c r="K30" s="458"/>
      <c r="L30" s="176">
        <v>553</v>
      </c>
      <c r="M30" s="176">
        <v>575</v>
      </c>
      <c r="O30" s="324">
        <f>I30/I$233</f>
        <v>1.754632929436921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'[72]Sch C'!D11</f>
        <v>0</v>
      </c>
      <c r="D31" s="480">
        <f>'[72]Sch C'!F11</f>
        <v>0</v>
      </c>
      <c r="E31" s="480">
        <f>+'[72]Sch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'[72]Sch C'!D12</f>
        <v>311442</v>
      </c>
      <c r="D32" s="480">
        <f>'[72]Sch C'!F12</f>
        <v>-19694</v>
      </c>
      <c r="E32" s="480">
        <f>+'[72]Sch C'!H12</f>
        <v>0</v>
      </c>
      <c r="F32" s="166">
        <f t="shared" si="5"/>
        <v>291748</v>
      </c>
      <c r="G32" s="626"/>
      <c r="H32" s="607"/>
      <c r="I32" s="166">
        <f t="shared" si="6"/>
        <v>291748</v>
      </c>
      <c r="J32" s="167">
        <f t="shared" si="7"/>
        <v>4.6606414716066344E-2</v>
      </c>
      <c r="K32" s="458"/>
      <c r="L32" s="176">
        <v>9575</v>
      </c>
      <c r="M32" s="176">
        <v>10604</v>
      </c>
      <c r="O32" s="324">
        <f t="shared" si="8"/>
        <v>25.993228795438345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'[72]Sch C'!D13</f>
        <v>582550</v>
      </c>
      <c r="D33" s="480">
        <f>'[72]Sch C'!F13</f>
        <v>-522661</v>
      </c>
      <c r="E33" s="480">
        <f>+'[72]Sch C'!H13</f>
        <v>0</v>
      </c>
      <c r="F33" s="166">
        <f t="shared" si="5"/>
        <v>59889</v>
      </c>
      <c r="G33" s="626"/>
      <c r="H33" s="607"/>
      <c r="I33" s="166">
        <f t="shared" si="6"/>
        <v>59889</v>
      </c>
      <c r="J33" s="167">
        <f t="shared" si="7"/>
        <v>9.5672003610324571E-3</v>
      </c>
      <c r="K33" s="458"/>
      <c r="L33" s="163"/>
      <c r="M33" s="163"/>
      <c r="O33" s="324">
        <f t="shared" si="8"/>
        <v>5.3357982893799001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'[72]Sch C'!D14</f>
        <v>600</v>
      </c>
      <c r="D34" s="480">
        <f>'[72]Sch C'!F14</f>
        <v>0</v>
      </c>
      <c r="E34" s="480">
        <f>+'[72]Sch C'!H14</f>
        <v>0</v>
      </c>
      <c r="F34" s="166">
        <f t="shared" si="5"/>
        <v>600</v>
      </c>
      <c r="G34" s="626"/>
      <c r="H34" s="607"/>
      <c r="I34" s="166">
        <f t="shared" si="6"/>
        <v>600</v>
      </c>
      <c r="J34" s="167">
        <f t="shared" si="7"/>
        <v>9.5849324861318005E-5</v>
      </c>
      <c r="K34" s="458"/>
      <c r="L34" s="163"/>
      <c r="M34" s="163"/>
      <c r="O34" s="324">
        <f t="shared" si="8"/>
        <v>5.345687811831789E-2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'[72]Sch C'!D15</f>
        <v>0</v>
      </c>
      <c r="D35" s="480">
        <f>'[72]Sch C'!F15</f>
        <v>0</v>
      </c>
      <c r="E35" s="480">
        <f>+'[72]Sch C'!H15</f>
        <v>0</v>
      </c>
      <c r="F35" s="166">
        <f t="shared" si="5"/>
        <v>0</v>
      </c>
      <c r="G35" s="626"/>
      <c r="H35" s="607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'[72]Sch C'!D16</f>
        <v>0</v>
      </c>
      <c r="D36" s="480">
        <f>'[72]Sch C'!F16</f>
        <v>0</v>
      </c>
      <c r="E36" s="480">
        <f>+'[72]Sch C'!H16</f>
        <v>0</v>
      </c>
      <c r="F36" s="166">
        <f t="shared" si="5"/>
        <v>0</v>
      </c>
      <c r="G36" s="626"/>
      <c r="H36" s="607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'[72]Sch C'!D17</f>
        <v>5891</v>
      </c>
      <c r="D37" s="480">
        <f>'[72]Sch C'!F17</f>
        <v>-5891</v>
      </c>
      <c r="E37" s="480">
        <f>+'[72]Sch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'[72]Sch C'!D18</f>
        <v>15672</v>
      </c>
      <c r="D38" s="480">
        <f>'[72]Sch C'!F18</f>
        <v>0</v>
      </c>
      <c r="E38" s="480">
        <f>+'[72]Sch C'!H18</f>
        <v>0</v>
      </c>
      <c r="F38" s="166">
        <f t="shared" si="5"/>
        <v>15672</v>
      </c>
      <c r="G38" s="626"/>
      <c r="H38" s="607"/>
      <c r="I38" s="166">
        <f t="shared" si="6"/>
        <v>15672</v>
      </c>
      <c r="J38" s="167">
        <f t="shared" si="7"/>
        <v>2.5035843653776263E-3</v>
      </c>
      <c r="K38" s="458"/>
      <c r="L38" s="163"/>
      <c r="M38" s="163"/>
      <c r="O38" s="324">
        <f t="shared" si="8"/>
        <v>1.3962936564504633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'[72]Sch C'!D19</f>
        <v>5321</v>
      </c>
      <c r="D39" s="480">
        <f>'[72]Sch C'!F19</f>
        <v>0</v>
      </c>
      <c r="E39" s="480">
        <f>+'[72]Sch C'!H19</f>
        <v>0</v>
      </c>
      <c r="F39" s="166">
        <f t="shared" si="5"/>
        <v>5321</v>
      </c>
      <c r="G39" s="626"/>
      <c r="H39" s="607"/>
      <c r="I39" s="166">
        <f t="shared" si="6"/>
        <v>5321</v>
      </c>
      <c r="J39" s="167">
        <f t="shared" si="7"/>
        <v>8.5002376264512185E-4</v>
      </c>
      <c r="K39" s="458"/>
      <c r="L39" s="163"/>
      <c r="M39" s="163"/>
      <c r="O39" s="324">
        <f t="shared" si="8"/>
        <v>0.47407341411261583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'[72]Sch C'!D20</f>
        <v>22510</v>
      </c>
      <c r="D40" s="480">
        <f>'[72]Sch C'!F20</f>
        <v>0</v>
      </c>
      <c r="E40" s="480">
        <f>+'[72]Sch C'!H20</f>
        <v>0</v>
      </c>
      <c r="F40" s="166">
        <f t="shared" si="5"/>
        <v>22510</v>
      </c>
      <c r="G40" s="626"/>
      <c r="H40" s="607"/>
      <c r="I40" s="166">
        <f t="shared" si="6"/>
        <v>22510</v>
      </c>
      <c r="J40" s="167">
        <f t="shared" si="7"/>
        <v>3.5959471710471139E-3</v>
      </c>
      <c r="K40" s="458"/>
      <c r="L40" s="163"/>
      <c r="M40" s="163"/>
      <c r="O40" s="324">
        <f t="shared" si="8"/>
        <v>2.0055238774055595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'[72]Sch C'!D21</f>
        <v>43775</v>
      </c>
      <c r="D41" s="480">
        <f>'[72]Sch C'!F21</f>
        <v>-11590</v>
      </c>
      <c r="E41" s="480">
        <f>+'[72]Sch C'!H21</f>
        <v>0</v>
      </c>
      <c r="F41" s="166">
        <f t="shared" si="5"/>
        <v>32185</v>
      </c>
      <c r="G41" s="626"/>
      <c r="H41" s="607">
        <v>3469</v>
      </c>
      <c r="I41" s="166">
        <f t="shared" si="6"/>
        <v>35654</v>
      </c>
      <c r="J41" s="167">
        <f t="shared" si="7"/>
        <v>5.6956863810090535E-3</v>
      </c>
      <c r="K41" s="458"/>
      <c r="L41" s="163"/>
      <c r="M41" s="163"/>
      <c r="O41" s="324">
        <f t="shared" si="8"/>
        <v>3.1765858873841766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'[72]Sch C'!D22</f>
        <v>0</v>
      </c>
      <c r="D42" s="480">
        <f>'[72]Sch C'!F22</f>
        <v>0</v>
      </c>
      <c r="E42" s="480">
        <f>+'[72]Sch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'[72]Sch C'!D23</f>
        <v>20919</v>
      </c>
      <c r="D43" s="480">
        <f>'[72]Sch C'!F23</f>
        <v>0</v>
      </c>
      <c r="E43" s="480">
        <f>+'[72]Sch C'!H23</f>
        <v>0</v>
      </c>
      <c r="F43" s="166">
        <f t="shared" si="5"/>
        <v>20919</v>
      </c>
      <c r="G43" s="626"/>
      <c r="H43" s="607"/>
      <c r="I43" s="166">
        <f t="shared" si="6"/>
        <v>20919</v>
      </c>
      <c r="J43" s="167">
        <f t="shared" si="7"/>
        <v>3.3417867112898523E-3</v>
      </c>
      <c r="K43" s="458"/>
      <c r="L43" s="163"/>
      <c r="M43" s="163"/>
      <c r="O43" s="324">
        <f t="shared" si="8"/>
        <v>1.8637740555951532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'[72]Sch C'!D24</f>
        <v>0</v>
      </c>
      <c r="D44" s="480">
        <f>'[72]Sch C'!F24</f>
        <v>0</v>
      </c>
      <c r="E44" s="480">
        <f>+'[72]Sch C'!H24</f>
        <v>0</v>
      </c>
      <c r="F44" s="166">
        <f t="shared" si="5"/>
        <v>0</v>
      </c>
      <c r="G44" s="626"/>
      <c r="H44" s="607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'[72]Sch C'!D25</f>
        <v>0</v>
      </c>
      <c r="D45" s="480">
        <f>'[72]Sch C'!F25</f>
        <v>0</v>
      </c>
      <c r="E45" s="480">
        <f>+'[72]Sch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'[72]Sch C'!D26</f>
        <v>12588</v>
      </c>
      <c r="D46" s="480">
        <f>'[72]Sch C'!F26</f>
        <v>0</v>
      </c>
      <c r="E46" s="480">
        <f>+'[72]Sch C'!H26</f>
        <v>0</v>
      </c>
      <c r="F46" s="166">
        <f t="shared" si="5"/>
        <v>12588</v>
      </c>
      <c r="G46" s="626"/>
      <c r="H46" s="607"/>
      <c r="I46" s="166">
        <f t="shared" si="6"/>
        <v>12588</v>
      </c>
      <c r="J46" s="167">
        <f t="shared" si="7"/>
        <v>2.0109188355904519E-3</v>
      </c>
      <c r="K46" s="458"/>
      <c r="L46" s="163"/>
      <c r="M46" s="163"/>
      <c r="O46" s="324">
        <f t="shared" si="8"/>
        <v>1.1215253029223093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'[72]Sch C'!D27</f>
        <v>1833</v>
      </c>
      <c r="D47" s="480">
        <f>'[72]Sch C'!F27</f>
        <v>0</v>
      </c>
      <c r="E47" s="480">
        <f>+'[72]Sch C'!H27</f>
        <v>0</v>
      </c>
      <c r="F47" s="166">
        <f t="shared" si="5"/>
        <v>1833</v>
      </c>
      <c r="G47" s="626"/>
      <c r="H47" s="607"/>
      <c r="I47" s="166">
        <f t="shared" si="6"/>
        <v>1833</v>
      </c>
      <c r="J47" s="167">
        <f t="shared" si="7"/>
        <v>2.9281968745132654E-4</v>
      </c>
      <c r="K47" s="458"/>
      <c r="L47" s="163"/>
      <c r="M47" s="163"/>
      <c r="O47" s="324">
        <f t="shared" si="8"/>
        <v>0.16331076265146116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'[72]Sch C'!D28</f>
        <v>0</v>
      </c>
      <c r="D48" s="480">
        <f>'[72]Sch C'!F28</f>
        <v>0</v>
      </c>
      <c r="E48" s="480">
        <f>+'[72]Sch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'[72]Sch C'!D29</f>
        <v>0</v>
      </c>
      <c r="D49" s="480">
        <f>'[72]Sch C'!F29</f>
        <v>0</v>
      </c>
      <c r="E49" s="480">
        <f>+'[72]Sch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'[72]Sch C'!D30</f>
        <v>71597</v>
      </c>
      <c r="D50" s="480">
        <f>'[72]Sch C'!F30</f>
        <v>-71597</v>
      </c>
      <c r="E50" s="480">
        <f>+'[72]Sch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'[72]Sch C'!D31</f>
        <v>38238</v>
      </c>
      <c r="D51" s="480">
        <f>'[72]Sch C'!F31</f>
        <v>0</v>
      </c>
      <c r="E51" s="480">
        <f>+'[72]Sch C'!H31</f>
        <v>0</v>
      </c>
      <c r="F51" s="166">
        <f t="shared" si="5"/>
        <v>38238</v>
      </c>
      <c r="G51" s="626"/>
      <c r="H51" s="607"/>
      <c r="I51" s="166">
        <f t="shared" si="6"/>
        <v>38238</v>
      </c>
      <c r="J51" s="167">
        <f t="shared" si="7"/>
        <v>6.1084774734117969E-3</v>
      </c>
      <c r="K51" s="458"/>
      <c r="L51" s="163"/>
      <c r="M51" s="163"/>
      <c r="O51" s="324">
        <f t="shared" si="8"/>
        <v>3.4068068424803992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'[72]Sch C'!D32</f>
        <v>49902</v>
      </c>
      <c r="D52" s="480">
        <f>'[72]Sch C'!F32</f>
        <v>0</v>
      </c>
      <c r="E52" s="480">
        <f>+'[72]Sch C'!H32</f>
        <v>0</v>
      </c>
      <c r="F52" s="166">
        <f t="shared" si="5"/>
        <v>49902</v>
      </c>
      <c r="G52" s="626"/>
      <c r="H52" s="607"/>
      <c r="I52" s="166">
        <f t="shared" si="6"/>
        <v>49902</v>
      </c>
      <c r="J52" s="167">
        <f t="shared" si="7"/>
        <v>7.9717883487158189E-3</v>
      </c>
      <c r="K52" s="458"/>
      <c r="L52" s="163"/>
      <c r="M52" s="163"/>
      <c r="O52" s="324">
        <f t="shared" si="8"/>
        <v>4.4460085531004987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'[72]Sch C'!D33</f>
        <v>0</v>
      </c>
      <c r="D53" s="480">
        <f>'[72]Sch C'!F33</f>
        <v>0</v>
      </c>
      <c r="E53" s="480">
        <f>+'[72]Sch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'[72]Sch C'!D34</f>
        <v>0</v>
      </c>
      <c r="D54" s="480">
        <f>'[72]Sch C'!F34</f>
        <v>0</v>
      </c>
      <c r="E54" s="480">
        <f>+'[72]Sch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'[72]Sch C'!D35</f>
        <v>0</v>
      </c>
      <c r="D55" s="480">
        <f>'[72]Sch C'!F35</f>
        <v>0</v>
      </c>
      <c r="E55" s="480">
        <f>+'[72]Sch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'[72]Sch C'!D36</f>
        <v>42054</v>
      </c>
      <c r="D56" s="480">
        <f>'[72]Sch C'!F36</f>
        <v>0</v>
      </c>
      <c r="E56" s="480">
        <f>+'[72]Sch C'!H36</f>
        <v>0</v>
      </c>
      <c r="F56" s="166">
        <f t="shared" si="5"/>
        <v>42054</v>
      </c>
      <c r="G56" s="626"/>
      <c r="H56" s="607"/>
      <c r="I56" s="166">
        <f t="shared" si="6"/>
        <v>42054</v>
      </c>
      <c r="J56" s="167">
        <f t="shared" si="7"/>
        <v>6.7180791795297791E-3</v>
      </c>
      <c r="K56" s="458"/>
      <c r="L56" s="176">
        <v>2182</v>
      </c>
      <c r="M56" s="176">
        <v>2398</v>
      </c>
      <c r="O56" s="324">
        <f t="shared" si="8"/>
        <v>3.7467925873129011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'[72]Sch C'!D37</f>
        <v>0</v>
      </c>
      <c r="D57" s="480">
        <f>'[72]Sch C'!F37</f>
        <v>8087</v>
      </c>
      <c r="E57" s="480">
        <f>+'[72]Sch C'!H37</f>
        <v>0</v>
      </c>
      <c r="F57" s="166">
        <f t="shared" si="5"/>
        <v>8087</v>
      </c>
      <c r="G57" s="626"/>
      <c r="H57" s="607"/>
      <c r="I57" s="166">
        <f t="shared" si="6"/>
        <v>8087</v>
      </c>
      <c r="J57" s="167">
        <f t="shared" si="7"/>
        <v>1.2918891502557979E-3</v>
      </c>
      <c r="K57" s="458"/>
      <c r="L57" s="163"/>
      <c r="M57" s="163"/>
      <c r="O57" s="324">
        <f t="shared" si="8"/>
        <v>0.72050962223806125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'[72]Sch C'!D38</f>
        <v>0</v>
      </c>
      <c r="D58" s="480">
        <f>'[72]Sch C'!F38</f>
        <v>0</v>
      </c>
      <c r="E58" s="480">
        <f>+'[72]Sch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'[72]Sch C'!D39</f>
        <v>2111</v>
      </c>
      <c r="D59" s="480">
        <f>'[72]Sch C'!F39</f>
        <v>0</v>
      </c>
      <c r="E59" s="480">
        <f>+'[72]Sch C'!H39</f>
        <v>0</v>
      </c>
      <c r="F59" s="166">
        <f t="shared" si="5"/>
        <v>2111</v>
      </c>
      <c r="G59" s="626"/>
      <c r="H59" s="607"/>
      <c r="I59" s="166">
        <f t="shared" si="6"/>
        <v>2111</v>
      </c>
      <c r="J59" s="167">
        <f t="shared" si="7"/>
        <v>3.3722987463707054E-4</v>
      </c>
      <c r="K59" s="458"/>
      <c r="L59" s="163"/>
      <c r="M59" s="163"/>
      <c r="O59" s="324">
        <f t="shared" si="8"/>
        <v>0.18807911617961512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'[72]Sch C'!D40</f>
        <v>14592</v>
      </c>
      <c r="D60" s="480">
        <f>'[72]Sch C'!F40</f>
        <v>0</v>
      </c>
      <c r="E60" s="480">
        <f>+'[72]Sch C'!H40</f>
        <v>0</v>
      </c>
      <c r="F60" s="166">
        <f t="shared" si="5"/>
        <v>14592</v>
      </c>
      <c r="G60" s="626"/>
      <c r="H60" s="607"/>
      <c r="I60" s="166">
        <f t="shared" si="6"/>
        <v>14592</v>
      </c>
      <c r="J60" s="167">
        <f t="shared" si="7"/>
        <v>2.331055580627254E-3</v>
      </c>
      <c r="K60" s="458"/>
      <c r="L60" s="163"/>
      <c r="M60" s="163"/>
      <c r="O60" s="324">
        <f t="shared" si="8"/>
        <v>1.300071275837491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'[72]Sch C'!D41</f>
        <v>42821</v>
      </c>
      <c r="D61" s="480">
        <f>'[72]Sch C'!F41</f>
        <v>0</v>
      </c>
      <c r="E61" s="480">
        <f>+'[72]Sch C'!H41</f>
        <v>0</v>
      </c>
      <c r="F61" s="166">
        <f t="shared" si="5"/>
        <v>42821</v>
      </c>
      <c r="G61" s="626"/>
      <c r="H61" s="607"/>
      <c r="I61" s="166">
        <f t="shared" si="6"/>
        <v>42821</v>
      </c>
      <c r="J61" s="167">
        <f t="shared" si="7"/>
        <v>6.8406065664774977E-3</v>
      </c>
      <c r="K61" s="458"/>
      <c r="L61" s="163"/>
      <c r="M61" s="163"/>
      <c r="O61" s="324">
        <f t="shared" si="8"/>
        <v>3.815128296507484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'[72]Sch C'!D42</f>
        <v>12466</v>
      </c>
      <c r="D62" s="480">
        <f>'[72]Sch C'!F42</f>
        <v>0</v>
      </c>
      <c r="E62" s="480">
        <f>+'[72]Sch C'!H42</f>
        <v>0</v>
      </c>
      <c r="F62" s="166">
        <f t="shared" si="5"/>
        <v>12466</v>
      </c>
      <c r="G62" s="626"/>
      <c r="H62" s="607"/>
      <c r="I62" s="166">
        <f t="shared" si="6"/>
        <v>12466</v>
      </c>
      <c r="J62" s="167">
        <f t="shared" si="7"/>
        <v>1.9914294728686503E-3</v>
      </c>
      <c r="K62" s="458"/>
      <c r="L62" s="163"/>
      <c r="M62" s="163"/>
      <c r="O62" s="324">
        <f t="shared" si="8"/>
        <v>1.110655737704918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'[72]Sch C'!D43</f>
        <v>0</v>
      </c>
      <c r="D63" s="480">
        <f>'[72]Sch C'!F43</f>
        <v>0</v>
      </c>
      <c r="E63" s="480">
        <f>+'[72]Sch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'[72]Sch C'!D44</f>
        <v>0</v>
      </c>
      <c r="D64" s="480">
        <f>'[72]Sch C'!F44</f>
        <v>0</v>
      </c>
      <c r="E64" s="480">
        <f>+'[72]Sch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'[72]Sch C'!D45</f>
        <v>20761</v>
      </c>
      <c r="D65" s="480">
        <f>'[72]Sch C'!F45</f>
        <v>0</v>
      </c>
      <c r="E65" s="480">
        <f>+'[72]Sch C'!H45</f>
        <v>0</v>
      </c>
      <c r="F65" s="166">
        <f t="shared" si="5"/>
        <v>20761</v>
      </c>
      <c r="G65" s="626">
        <f>-3002-5306</f>
        <v>-8308</v>
      </c>
      <c r="H65" s="607">
        <v>-1542</v>
      </c>
      <c r="I65" s="166">
        <f t="shared" si="6"/>
        <v>10911</v>
      </c>
      <c r="J65" s="167">
        <f t="shared" si="7"/>
        <v>1.7430199726030679E-3</v>
      </c>
      <c r="K65" s="458"/>
      <c r="L65" s="163"/>
      <c r="M65" s="163"/>
      <c r="O65" s="324">
        <f t="shared" si="8"/>
        <v>0.97211332858161081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1317643</v>
      </c>
      <c r="D66" s="480">
        <f t="shared" si="9"/>
        <v>-603652</v>
      </c>
      <c r="E66" s="480">
        <f t="shared" si="9"/>
        <v>0</v>
      </c>
      <c r="F66" s="166">
        <f t="shared" ref="F66:I66" si="10">SUM(F30:F65)</f>
        <v>713991</v>
      </c>
      <c r="G66" s="166">
        <f t="shared" si="10"/>
        <v>-8308</v>
      </c>
      <c r="H66" s="166">
        <f t="shared" si="10"/>
        <v>1927</v>
      </c>
      <c r="I66" s="166">
        <f t="shared" si="10"/>
        <v>707610</v>
      </c>
      <c r="J66" s="178">
        <f t="shared" si="7"/>
        <v>0.11303990127519539</v>
      </c>
      <c r="K66" s="465"/>
      <c r="L66" s="163"/>
      <c r="M66" s="163"/>
      <c r="O66" s="329">
        <f>I66/I$233</f>
        <v>63.044369208838205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'[72]Sch C'!D57</f>
        <v>181895</v>
      </c>
      <c r="D69" s="480">
        <f>'[72]Sch C'!F57</f>
        <v>0</v>
      </c>
      <c r="E69" s="480">
        <f>+'[72]Sch C'!H57</f>
        <v>0</v>
      </c>
      <c r="F69" s="166">
        <f>C69+D69+E69</f>
        <v>181895</v>
      </c>
      <c r="G69" s="626"/>
      <c r="H69" s="607">
        <v>-180954</v>
      </c>
      <c r="I69" s="166">
        <f>F69+G69+H69</f>
        <v>941</v>
      </c>
      <c r="J69" s="167">
        <f t="shared" ref="J69:J84" si="11">IF($I$213=0,0,I69/$I$213)</f>
        <v>1.503236911575004E-4</v>
      </c>
      <c r="K69" s="458"/>
      <c r="L69" s="182"/>
      <c r="M69" s="163"/>
      <c r="O69" s="324">
        <f t="shared" ref="O69:O84" si="12">I69/I$233</f>
        <v>8.3838203848895218E-2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'[72]Sch C'!D58</f>
        <v>61420</v>
      </c>
      <c r="D70" s="480">
        <f>'[72]Sch C'!F58</f>
        <v>0</v>
      </c>
      <c r="E70" s="480">
        <f>+'[72]Sch C'!H58</f>
        <v>0</v>
      </c>
      <c r="F70" s="166">
        <f t="shared" ref="F70:F83" si="13">C70+D70+E70</f>
        <v>61420</v>
      </c>
      <c r="G70" s="626"/>
      <c r="H70" s="607">
        <v>55536</v>
      </c>
      <c r="I70" s="166">
        <f t="shared" ref="I70:I83" si="14">F70+G70+H70</f>
        <v>116956</v>
      </c>
      <c r="J70" s="167">
        <f t="shared" si="11"/>
        <v>1.8683589397467181E-2</v>
      </c>
      <c r="K70" s="458"/>
      <c r="L70" s="182"/>
      <c r="M70" s="163"/>
      <c r="O70" s="324">
        <f t="shared" si="12"/>
        <v>10.420171062009979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'[72]Sch C'!D59</f>
        <v>101077</v>
      </c>
      <c r="D71" s="480">
        <f>'[72]Sch C'!F59</f>
        <v>0</v>
      </c>
      <c r="E71" s="480">
        <f>+'[72]Sch C'!H59</f>
        <v>0</v>
      </c>
      <c r="F71" s="166">
        <f t="shared" si="13"/>
        <v>101077</v>
      </c>
      <c r="G71" s="626"/>
      <c r="H71" s="607">
        <v>81806</v>
      </c>
      <c r="I71" s="166">
        <f t="shared" si="14"/>
        <v>182883</v>
      </c>
      <c r="J71" s="167">
        <f t="shared" si="11"/>
        <v>2.9215353464354034E-2</v>
      </c>
      <c r="K71" s="458"/>
      <c r="L71" s="182"/>
      <c r="M71" s="163"/>
      <c r="O71" s="324">
        <f t="shared" si="12"/>
        <v>16.293923734853884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'[72]Sch C'!D60</f>
        <v>0</v>
      </c>
      <c r="D72" s="480">
        <f>'[72]Sch C'!F60</f>
        <v>0</v>
      </c>
      <c r="E72" s="480">
        <f>+'[72]Sch C'!H60</f>
        <v>0</v>
      </c>
      <c r="F72" s="166">
        <f t="shared" si="13"/>
        <v>0</v>
      </c>
      <c r="G72" s="626"/>
      <c r="H72" s="607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'[72]Sch C'!D61</f>
        <v>6089</v>
      </c>
      <c r="D73" s="480">
        <f>'[72]Sch C'!F61</f>
        <v>0</v>
      </c>
      <c r="E73" s="480">
        <f>+'[72]Sch C'!H61</f>
        <v>0</v>
      </c>
      <c r="F73" s="166">
        <f t="shared" si="13"/>
        <v>6089</v>
      </c>
      <c r="G73" s="626"/>
      <c r="H73" s="607">
        <v>69</v>
      </c>
      <c r="I73" s="166">
        <f t="shared" si="14"/>
        <v>6158</v>
      </c>
      <c r="J73" s="167">
        <f t="shared" si="11"/>
        <v>9.8373357082666055E-4</v>
      </c>
      <c r="K73" s="458"/>
      <c r="L73" s="185"/>
      <c r="M73" s="163"/>
      <c r="O73" s="324">
        <f t="shared" si="12"/>
        <v>0.54864575908766933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'[72]Sch C'!D62</f>
        <v>0</v>
      </c>
      <c r="D74" s="480">
        <f>'[72]Sch C'!F62</f>
        <v>0</v>
      </c>
      <c r="E74" s="480">
        <f>+'[72]Sch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'[72]Sch C'!D63</f>
        <v>0</v>
      </c>
      <c r="D75" s="480">
        <f>'[72]Sch C'!F63</f>
        <v>0</v>
      </c>
      <c r="E75" s="480">
        <f>+'[72]Sch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'[72]Sch C'!D64</f>
        <v>0</v>
      </c>
      <c r="D76" s="480">
        <f>'[72]Sch C'!F64</f>
        <v>0</v>
      </c>
      <c r="E76" s="480">
        <f>+'[72]Sch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'[72]Sch C'!D65</f>
        <v>1248</v>
      </c>
      <c r="D77" s="480">
        <f>'[72]Sch C'!F65</f>
        <v>0</v>
      </c>
      <c r="E77" s="480">
        <f>+'[72]Sch C'!H65</f>
        <v>0</v>
      </c>
      <c r="F77" s="166">
        <f t="shared" si="13"/>
        <v>1248</v>
      </c>
      <c r="G77" s="626"/>
      <c r="H77" s="607"/>
      <c r="I77" s="166">
        <f t="shared" si="14"/>
        <v>1248</v>
      </c>
      <c r="J77" s="167">
        <f t="shared" si="11"/>
        <v>1.9936659571154146E-4</v>
      </c>
      <c r="K77" s="458"/>
      <c r="L77" s="187"/>
      <c r="M77" s="163"/>
      <c r="O77" s="324">
        <f t="shared" si="12"/>
        <v>0.11119030648610122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'[72]Sch C'!D66</f>
        <v>92324</v>
      </c>
      <c r="D78" s="480">
        <f>'[72]Sch C'!F66</f>
        <v>0</v>
      </c>
      <c r="E78" s="480">
        <f>+'[72]Sch C'!H66</f>
        <v>0</v>
      </c>
      <c r="F78" s="166">
        <f t="shared" si="13"/>
        <v>92324</v>
      </c>
      <c r="G78" s="626"/>
      <c r="H78" s="607"/>
      <c r="I78" s="166">
        <f t="shared" si="14"/>
        <v>92324</v>
      </c>
      <c r="J78" s="167">
        <f t="shared" si="11"/>
        <v>1.474865511416054E-2</v>
      </c>
      <c r="K78" s="458"/>
      <c r="L78" s="187"/>
      <c r="M78" s="163"/>
      <c r="O78" s="324">
        <f t="shared" si="12"/>
        <v>8.2255880256593024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'[72]Sch C'!D67</f>
        <v>49962</v>
      </c>
      <c r="D79" s="480">
        <f>'[72]Sch C'!F67</f>
        <v>0</v>
      </c>
      <c r="E79" s="480">
        <f>+'[72]Sch C'!H67</f>
        <v>0</v>
      </c>
      <c r="F79" s="166">
        <f t="shared" si="13"/>
        <v>49962</v>
      </c>
      <c r="G79" s="626"/>
      <c r="H79" s="607"/>
      <c r="I79" s="166">
        <f t="shared" si="14"/>
        <v>49962</v>
      </c>
      <c r="J79" s="167">
        <f t="shared" si="11"/>
        <v>7.9813732812019506E-3</v>
      </c>
      <c r="K79" s="458"/>
      <c r="L79" s="187"/>
      <c r="M79" s="163"/>
      <c r="O79" s="324">
        <f t="shared" si="12"/>
        <v>4.4513542409123303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'[72]Sch C'!D68</f>
        <v>0</v>
      </c>
      <c r="D80" s="480">
        <f>'[72]Sch C'!F68</f>
        <v>0</v>
      </c>
      <c r="E80" s="480">
        <f>+'[72]Sch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'[72]Sch C'!D69</f>
        <v>560</v>
      </c>
      <c r="D81" s="480">
        <f>'[72]Sch C'!F69</f>
        <v>0</v>
      </c>
      <c r="E81" s="480">
        <f>+'[72]Sch C'!H69</f>
        <v>0</v>
      </c>
      <c r="F81" s="166">
        <f t="shared" si="13"/>
        <v>560</v>
      </c>
      <c r="G81" s="626"/>
      <c r="H81" s="607"/>
      <c r="I81" s="166">
        <f t="shared" si="14"/>
        <v>560</v>
      </c>
      <c r="J81" s="167">
        <f t="shared" si="11"/>
        <v>8.945936987056347E-5</v>
      </c>
      <c r="K81" s="458"/>
      <c r="L81" s="187"/>
      <c r="M81" s="163"/>
      <c r="O81" s="324">
        <f t="shared" si="12"/>
        <v>4.9893086243763367E-2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'[72]Sch C'!D70</f>
        <v>0</v>
      </c>
      <c r="D82" s="480">
        <f>'[72]Sch C'!F70</f>
        <v>0</v>
      </c>
      <c r="E82" s="480">
        <f>+'[72]Sch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'[72]Sch C'!D71</f>
        <v>0</v>
      </c>
      <c r="D83" s="480">
        <f>'[72]Sch C'!F71</f>
        <v>0</v>
      </c>
      <c r="E83" s="480">
        <f>+'[72]Sch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494575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494575</v>
      </c>
      <c r="G84" s="166">
        <f t="shared" si="16"/>
        <v>0</v>
      </c>
      <c r="H84" s="166">
        <f t="shared" si="16"/>
        <v>-43543</v>
      </c>
      <c r="I84" s="166">
        <f t="shared" si="16"/>
        <v>451032</v>
      </c>
      <c r="J84" s="167">
        <f t="shared" si="11"/>
        <v>7.2051854484749975E-2</v>
      </c>
      <c r="K84" s="458"/>
      <c r="L84" s="187"/>
      <c r="M84" s="163"/>
      <c r="O84" s="324">
        <f t="shared" si="12"/>
        <v>40.184604419101923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'[72]Sch C'!D75</f>
        <v>48311</v>
      </c>
      <c r="D87" s="480">
        <f>'[72]Sch C'!F75</f>
        <v>0</v>
      </c>
      <c r="E87" s="480">
        <f>+'[72]Sch C'!H75</f>
        <v>0</v>
      </c>
      <c r="F87" s="166">
        <f t="shared" ref="F87:F97" si="17">C87+D87+E87</f>
        <v>48311</v>
      </c>
      <c r="G87" s="626"/>
      <c r="H87" s="607"/>
      <c r="I87" s="166">
        <f t="shared" ref="I87:I97" si="18">F87+G87+H87</f>
        <v>48311</v>
      </c>
      <c r="J87" s="167">
        <f t="shared" ref="J87:J98" si="19">IF($I$213=0,0,I87/$I$213)</f>
        <v>7.7176278889585573E-3</v>
      </c>
      <c r="K87" s="458"/>
      <c r="L87" s="176">
        <v>2220</v>
      </c>
      <c r="M87" s="176">
        <v>2459</v>
      </c>
      <c r="O87" s="324">
        <f t="shared" ref="O87:O97" si="20">I87/I$233</f>
        <v>4.3042587312900924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'[72]Sch C'!D76</f>
        <v>0</v>
      </c>
      <c r="D88" s="480">
        <f>'[72]Sch C'!F76</f>
        <v>9290</v>
      </c>
      <c r="E88" s="480">
        <f>+'[72]Sch C'!H76</f>
        <v>0</v>
      </c>
      <c r="F88" s="166">
        <f t="shared" si="17"/>
        <v>9290</v>
      </c>
      <c r="G88" s="626"/>
      <c r="H88" s="607"/>
      <c r="I88" s="166">
        <f t="shared" si="18"/>
        <v>9290</v>
      </c>
      <c r="J88" s="167">
        <f t="shared" si="19"/>
        <v>1.4840670466027405E-3</v>
      </c>
      <c r="K88" s="458"/>
      <c r="L88" s="163"/>
      <c r="M88" s="163"/>
      <c r="O88" s="324">
        <f t="shared" si="20"/>
        <v>0.8276906628652887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'[72]Sch C'!D77</f>
        <v>16192</v>
      </c>
      <c r="D89" s="480">
        <f>'[72]Sch C'!F77</f>
        <v>0</v>
      </c>
      <c r="E89" s="480">
        <f>+'[72]Sch C'!H77</f>
        <v>0</v>
      </c>
      <c r="F89" s="166">
        <f t="shared" si="17"/>
        <v>16192</v>
      </c>
      <c r="G89" s="626"/>
      <c r="H89" s="607"/>
      <c r="I89" s="166">
        <f t="shared" si="18"/>
        <v>16192</v>
      </c>
      <c r="J89" s="167">
        <f t="shared" si="19"/>
        <v>2.5866537802574354E-3</v>
      </c>
      <c r="K89" s="458"/>
      <c r="L89" s="163"/>
      <c r="M89" s="163"/>
      <c r="O89" s="324">
        <f t="shared" si="20"/>
        <v>1.4426229508196722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'[72]Sch C'!D78</f>
        <v>0</v>
      </c>
      <c r="D90" s="480">
        <f>'[72]Sch C'!F78</f>
        <v>0</v>
      </c>
      <c r="E90" s="480">
        <f>+'[72]Sch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'[72]Sch C'!D79</f>
        <v>7416</v>
      </c>
      <c r="D91" s="480">
        <f>'[72]Sch C'!F79</f>
        <v>0</v>
      </c>
      <c r="E91" s="480">
        <f>+'[72]Sch C'!H79</f>
        <v>0</v>
      </c>
      <c r="F91" s="166">
        <f t="shared" si="17"/>
        <v>7416</v>
      </c>
      <c r="G91" s="626"/>
      <c r="H91" s="607"/>
      <c r="I91" s="166">
        <f t="shared" si="18"/>
        <v>7416</v>
      </c>
      <c r="J91" s="167">
        <f t="shared" si="19"/>
        <v>1.1846976552858906E-3</v>
      </c>
      <c r="K91" s="458"/>
      <c r="L91" s="163"/>
      <c r="M91" s="163"/>
      <c r="O91" s="324">
        <f t="shared" si="20"/>
        <v>0.66072701354240915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'[72]Sch C'!D80</f>
        <v>24428</v>
      </c>
      <c r="D92" s="480">
        <f>'[72]Sch C'!F80</f>
        <v>0</v>
      </c>
      <c r="E92" s="480">
        <f>+'[72]Sch C'!H80</f>
        <v>0</v>
      </c>
      <c r="F92" s="166">
        <f t="shared" si="17"/>
        <v>24428</v>
      </c>
      <c r="G92" s="626"/>
      <c r="H92" s="607"/>
      <c r="I92" s="166">
        <f t="shared" si="18"/>
        <v>24428</v>
      </c>
      <c r="J92" s="167">
        <f t="shared" si="19"/>
        <v>3.9023455128537939E-3</v>
      </c>
      <c r="K92" s="458"/>
      <c r="L92" s="163"/>
      <c r="M92" s="163"/>
      <c r="O92" s="324">
        <f t="shared" si="20"/>
        <v>2.1764076977904492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'[72]Sch C'!D81</f>
        <v>8362</v>
      </c>
      <c r="D93" s="480">
        <f>'[72]Sch C'!F81</f>
        <v>0</v>
      </c>
      <c r="E93" s="480">
        <f>+'[72]Sch C'!H81</f>
        <v>0</v>
      </c>
      <c r="F93" s="166">
        <f t="shared" si="17"/>
        <v>8362</v>
      </c>
      <c r="G93" s="626"/>
      <c r="H93" s="607">
        <v>4151</v>
      </c>
      <c r="I93" s="166">
        <f t="shared" si="18"/>
        <v>12513</v>
      </c>
      <c r="J93" s="167">
        <f t="shared" si="19"/>
        <v>1.9989376699827872E-3</v>
      </c>
      <c r="K93" s="458"/>
      <c r="L93" s="163"/>
      <c r="M93" s="163"/>
      <c r="O93" s="324">
        <f t="shared" si="20"/>
        <v>1.1148431931575196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'[72]Sch C'!D82</f>
        <v>17677</v>
      </c>
      <c r="D94" s="480">
        <f>'[72]Sch C'!F82</f>
        <v>0</v>
      </c>
      <c r="E94" s="480">
        <f>+'[72]Sch C'!H82</f>
        <v>0</v>
      </c>
      <c r="F94" s="166">
        <f t="shared" si="17"/>
        <v>17677</v>
      </c>
      <c r="G94" s="626"/>
      <c r="H94" s="607"/>
      <c r="I94" s="166">
        <f t="shared" si="18"/>
        <v>17677</v>
      </c>
      <c r="J94" s="167">
        <f t="shared" si="19"/>
        <v>2.8238808592891975E-3</v>
      </c>
      <c r="K94" s="458"/>
      <c r="L94" s="163"/>
      <c r="M94" s="163"/>
      <c r="O94" s="324">
        <f t="shared" si="20"/>
        <v>1.574928724162509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'[72]Sch C'!D83</f>
        <v>3949</v>
      </c>
      <c r="D95" s="480">
        <f>'[72]Sch C'!F83</f>
        <v>0</v>
      </c>
      <c r="E95" s="480">
        <f>+'[72]Sch C'!H83</f>
        <v>0</v>
      </c>
      <c r="F95" s="166">
        <f t="shared" si="17"/>
        <v>3949</v>
      </c>
      <c r="G95" s="626"/>
      <c r="H95" s="607"/>
      <c r="I95" s="166">
        <f t="shared" si="18"/>
        <v>3949</v>
      </c>
      <c r="J95" s="167">
        <f t="shared" si="19"/>
        <v>6.3084830646224137E-4</v>
      </c>
      <c r="K95" s="458"/>
      <c r="L95" s="163"/>
      <c r="M95" s="163"/>
      <c r="O95" s="324">
        <f t="shared" si="20"/>
        <v>0.35183535281539557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'[72]Sch C'!D84</f>
        <v>69714</v>
      </c>
      <c r="D96" s="480">
        <f>'[72]Sch C'!F84</f>
        <v>0</v>
      </c>
      <c r="E96" s="480">
        <f>+'[72]Sch C'!H84</f>
        <v>0</v>
      </c>
      <c r="F96" s="166">
        <f t="shared" si="17"/>
        <v>69714</v>
      </c>
      <c r="G96" s="626"/>
      <c r="H96" s="607"/>
      <c r="I96" s="166">
        <f t="shared" si="18"/>
        <v>69714</v>
      </c>
      <c r="J96" s="167">
        <f t="shared" si="19"/>
        <v>1.113673305563654E-2</v>
      </c>
      <c r="K96" s="458"/>
      <c r="L96" s="163"/>
      <c r="M96" s="163"/>
      <c r="O96" s="324">
        <f t="shared" si="20"/>
        <v>6.2111546685673558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'[72]Sch C'!D85</f>
        <v>0</v>
      </c>
      <c r="D97" s="480">
        <f>'[72]Sch C'!F85</f>
        <v>0</v>
      </c>
      <c r="E97" s="480">
        <f>+'[72]Sch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196049</v>
      </c>
      <c r="D98" s="480">
        <f t="shared" si="21"/>
        <v>9290</v>
      </c>
      <c r="E98" s="480">
        <f t="shared" si="21"/>
        <v>0</v>
      </c>
      <c r="F98" s="166">
        <f t="shared" ref="F98:I98" si="22">SUM(F87:F97)</f>
        <v>205339</v>
      </c>
      <c r="G98" s="166">
        <f t="shared" si="22"/>
        <v>0</v>
      </c>
      <c r="H98" s="166">
        <f t="shared" si="22"/>
        <v>4151</v>
      </c>
      <c r="I98" s="166">
        <f t="shared" si="22"/>
        <v>209490</v>
      </c>
      <c r="J98" s="167">
        <f t="shared" si="19"/>
        <v>3.3465791775329184E-2</v>
      </c>
      <c r="K98" s="458"/>
      <c r="L98" s="163"/>
      <c r="M98" s="163"/>
      <c r="O98" s="329">
        <f>I98/I$233</f>
        <v>18.66446899501069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'[72]Sch C'!D89</f>
        <v>198520</v>
      </c>
      <c r="D101" s="480">
        <f>'[72]Sch C'!F89</f>
        <v>0</v>
      </c>
      <c r="E101" s="480">
        <f>+'[72]Sch C'!H89</f>
        <v>0</v>
      </c>
      <c r="F101" s="166">
        <f t="shared" ref="F101:F106" si="23">C101+D101+E101</f>
        <v>198520</v>
      </c>
      <c r="G101" s="626"/>
      <c r="H101" s="607"/>
      <c r="I101" s="166">
        <f t="shared" ref="I101:I106" si="24">F101+G101+H101</f>
        <v>198520</v>
      </c>
      <c r="J101" s="167">
        <f t="shared" ref="J101:J107" si="25">IF($I$213=0,0,I101/$I$213)</f>
        <v>3.1713346619114749E-2</v>
      </c>
      <c r="K101" s="458"/>
      <c r="L101" s="176">
        <v>13408</v>
      </c>
      <c r="M101" s="176">
        <v>15074</v>
      </c>
      <c r="O101" s="329">
        <f t="shared" ref="O101:O106" si="26">I101/I$233</f>
        <v>17.687099073414114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'[72]Sch C'!D90</f>
        <v>0</v>
      </c>
      <c r="D102" s="480">
        <f>'[72]Sch C'!F90</f>
        <v>38175</v>
      </c>
      <c r="E102" s="480">
        <f>+'[72]Sch C'!H90</f>
        <v>0</v>
      </c>
      <c r="F102" s="166">
        <f t="shared" si="23"/>
        <v>38175</v>
      </c>
      <c r="G102" s="626"/>
      <c r="H102" s="607"/>
      <c r="I102" s="166">
        <f t="shared" si="24"/>
        <v>38175</v>
      </c>
      <c r="J102" s="167">
        <f t="shared" si="25"/>
        <v>6.098413294301358E-3</v>
      </c>
      <c r="K102" s="458"/>
      <c r="L102" s="163"/>
      <c r="M102" s="163"/>
      <c r="O102" s="329">
        <f t="shared" si="26"/>
        <v>3.4011938702779756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'[72]Sch C'!D91</f>
        <v>450</v>
      </c>
      <c r="D103" s="480">
        <f>'[72]Sch C'!F91</f>
        <v>0</v>
      </c>
      <c r="E103" s="480">
        <f>+'[72]Sch C'!H91</f>
        <v>0</v>
      </c>
      <c r="F103" s="166">
        <f t="shared" si="23"/>
        <v>450</v>
      </c>
      <c r="G103" s="626"/>
      <c r="H103" s="607"/>
      <c r="I103" s="166">
        <f t="shared" si="24"/>
        <v>450</v>
      </c>
      <c r="J103" s="167">
        <f t="shared" si="25"/>
        <v>7.1886993645988511E-5</v>
      </c>
      <c r="K103" s="458"/>
      <c r="L103" s="163"/>
      <c r="M103" s="163"/>
      <c r="O103" s="329">
        <f t="shared" si="26"/>
        <v>4.0092658588738415E-2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'[72]Sch C'!D92</f>
        <v>126815</v>
      </c>
      <c r="D104" s="480">
        <f>'[72]Sch C'!F92</f>
        <v>0</v>
      </c>
      <c r="E104" s="480">
        <f>+'[72]Sch C'!H92</f>
        <v>0</v>
      </c>
      <c r="F104" s="166">
        <f t="shared" si="23"/>
        <v>126815</v>
      </c>
      <c r="G104" s="626"/>
      <c r="H104" s="607"/>
      <c r="I104" s="166">
        <f t="shared" si="24"/>
        <v>126815</v>
      </c>
      <c r="J104" s="167">
        <f t="shared" si="25"/>
        <v>2.0258553553813407E-2</v>
      </c>
      <c r="K104" s="458"/>
      <c r="L104" s="163"/>
      <c r="M104" s="163"/>
      <c r="O104" s="329">
        <f t="shared" si="26"/>
        <v>11.298556664290805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'[72]Sch C'!D93</f>
        <v>12957</v>
      </c>
      <c r="D105" s="480">
        <f>'[72]Sch C'!F93</f>
        <v>0</v>
      </c>
      <c r="E105" s="480">
        <f>+'[72]Sch C'!H93</f>
        <v>0</v>
      </c>
      <c r="F105" s="166">
        <f t="shared" si="23"/>
        <v>12957</v>
      </c>
      <c r="G105" s="626"/>
      <c r="H105" s="607"/>
      <c r="I105" s="166">
        <f t="shared" si="24"/>
        <v>12957</v>
      </c>
      <c r="J105" s="167">
        <f t="shared" si="25"/>
        <v>2.0698661703801623E-3</v>
      </c>
      <c r="K105" s="458"/>
      <c r="L105" s="163"/>
      <c r="M105" s="163"/>
      <c r="O105" s="329">
        <f t="shared" si="26"/>
        <v>1.1544012829650749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'[72]Sch C'!D94</f>
        <v>0</v>
      </c>
      <c r="D106" s="480">
        <f>'[72]Sch C'!F94</f>
        <v>0</v>
      </c>
      <c r="E106" s="480">
        <f>+'[72]Sch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338742</v>
      </c>
      <c r="D107" s="480">
        <f t="shared" si="27"/>
        <v>38175</v>
      </c>
      <c r="E107" s="480">
        <f t="shared" si="27"/>
        <v>0</v>
      </c>
      <c r="F107" s="166">
        <f t="shared" ref="F107:I107" si="28">SUM(F101:F106)</f>
        <v>376917</v>
      </c>
      <c r="G107" s="166">
        <f t="shared" si="28"/>
        <v>0</v>
      </c>
      <c r="H107" s="166">
        <f t="shared" si="28"/>
        <v>0</v>
      </c>
      <c r="I107" s="166">
        <f t="shared" si="28"/>
        <v>376917</v>
      </c>
      <c r="J107" s="167">
        <f t="shared" si="25"/>
        <v>6.0212066631255667E-2</v>
      </c>
      <c r="K107" s="458"/>
      <c r="L107" s="163"/>
      <c r="M107" s="163"/>
      <c r="O107" s="329">
        <f>I107/I$233</f>
        <v>33.581343549536705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'[72]Sch C'!D98</f>
        <v>25064</v>
      </c>
      <c r="D110" s="480">
        <f>'[72]Sch C'!F98</f>
        <v>0</v>
      </c>
      <c r="E110" s="480">
        <f>+'[72]Sch C'!H98</f>
        <v>0</v>
      </c>
      <c r="F110" s="166">
        <f t="shared" ref="F110:F115" si="29">C110+D110+E110</f>
        <v>25064</v>
      </c>
      <c r="G110" s="626"/>
      <c r="H110" s="607"/>
      <c r="I110" s="166">
        <f t="shared" ref="I110:I115" si="30">F110+G110+H110</f>
        <v>25064</v>
      </c>
      <c r="J110" s="167">
        <f t="shared" ref="J110:J116" si="31">IF($I$213=0,0,I110/$I$213)</f>
        <v>4.0039457972067911E-3</v>
      </c>
      <c r="K110" s="458"/>
      <c r="L110" s="176">
        <v>2403</v>
      </c>
      <c r="M110" s="176">
        <v>2563</v>
      </c>
      <c r="O110" s="329">
        <f t="shared" ref="O110:O115" si="32">I110/I$233</f>
        <v>2.2330719885958659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'[72]Sch C'!D99</f>
        <v>0</v>
      </c>
      <c r="D111" s="480">
        <f>'[72]Sch C'!F99</f>
        <v>4820</v>
      </c>
      <c r="E111" s="480">
        <f>+'[72]Sch C'!H99</f>
        <v>0</v>
      </c>
      <c r="F111" s="166">
        <f t="shared" si="29"/>
        <v>4820</v>
      </c>
      <c r="G111" s="626"/>
      <c r="H111" s="607"/>
      <c r="I111" s="166">
        <f t="shared" si="30"/>
        <v>4820</v>
      </c>
      <c r="J111" s="167">
        <f t="shared" si="31"/>
        <v>7.6998957638592131E-4</v>
      </c>
      <c r="K111" s="458"/>
      <c r="L111" s="163"/>
      <c r="M111" s="163"/>
      <c r="O111" s="329">
        <f t="shared" si="32"/>
        <v>0.42943692088382041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'[72]Sch C'!D100</f>
        <v>2851</v>
      </c>
      <c r="D112" s="480">
        <f>'[72]Sch C'!F100</f>
        <v>0</v>
      </c>
      <c r="E112" s="480">
        <f>+'[72]Sch C'!H100</f>
        <v>0</v>
      </c>
      <c r="F112" s="166">
        <f t="shared" si="29"/>
        <v>2851</v>
      </c>
      <c r="G112" s="626"/>
      <c r="H112" s="607"/>
      <c r="I112" s="166">
        <f t="shared" si="30"/>
        <v>2851</v>
      </c>
      <c r="J112" s="167">
        <f t="shared" si="31"/>
        <v>4.5544404196602939E-4</v>
      </c>
      <c r="K112" s="458"/>
      <c r="L112" s="163"/>
      <c r="M112" s="163"/>
      <c r="O112" s="329">
        <f t="shared" si="32"/>
        <v>0.25400926585887385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'[72]Sch C'!D101</f>
        <v>0</v>
      </c>
      <c r="D113" s="480">
        <f>'[72]Sch C'!F101</f>
        <v>0</v>
      </c>
      <c r="E113" s="480">
        <f>+'[72]Sch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'[72]Sch C'!D102</f>
        <v>5750</v>
      </c>
      <c r="D114" s="480">
        <f>'[72]Sch C'!F102</f>
        <v>0</v>
      </c>
      <c r="E114" s="480">
        <f>+'[72]Sch C'!H102</f>
        <v>0</v>
      </c>
      <c r="F114" s="166">
        <f t="shared" si="29"/>
        <v>5750</v>
      </c>
      <c r="G114" s="626"/>
      <c r="H114" s="607"/>
      <c r="I114" s="166">
        <f t="shared" si="30"/>
        <v>5750</v>
      </c>
      <c r="J114" s="167">
        <f t="shared" si="31"/>
        <v>9.185560299209642E-4</v>
      </c>
      <c r="K114" s="458"/>
      <c r="L114" s="163"/>
      <c r="M114" s="163"/>
      <c r="O114" s="329">
        <f t="shared" si="32"/>
        <v>0.51229508196721307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'[72]Sch C'!D103</f>
        <v>0</v>
      </c>
      <c r="D115" s="480">
        <f>'[72]Sch C'!F103</f>
        <v>0</v>
      </c>
      <c r="E115" s="480">
        <f>+'[72]Sch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33665</v>
      </c>
      <c r="D116" s="480">
        <f t="shared" si="33"/>
        <v>4820</v>
      </c>
      <c r="E116" s="480">
        <f t="shared" si="33"/>
        <v>0</v>
      </c>
      <c r="F116" s="166">
        <f t="shared" ref="F116:I116" si="34">SUM(F110:F115)</f>
        <v>38485</v>
      </c>
      <c r="G116" s="166">
        <f t="shared" si="34"/>
        <v>0</v>
      </c>
      <c r="H116" s="166">
        <f t="shared" si="34"/>
        <v>0</v>
      </c>
      <c r="I116" s="166">
        <f t="shared" si="34"/>
        <v>38485</v>
      </c>
      <c r="J116" s="167">
        <f t="shared" si="31"/>
        <v>6.1479354454797063E-3</v>
      </c>
      <c r="K116" s="458"/>
      <c r="L116" s="163"/>
      <c r="M116" s="163"/>
      <c r="O116" s="329">
        <f>I116/I$233</f>
        <v>3.4288132573057735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'[72]Sch C'!D115</f>
        <v>56559</v>
      </c>
      <c r="D119" s="480">
        <f>'[72]Sch C'!F115</f>
        <v>0</v>
      </c>
      <c r="E119" s="480">
        <f>+'[72]Sch C'!H115</f>
        <v>0</v>
      </c>
      <c r="F119" s="166">
        <f t="shared" ref="F119:F123" si="35">C119+D119+E119</f>
        <v>56559</v>
      </c>
      <c r="G119" s="626"/>
      <c r="H119" s="607"/>
      <c r="I119" s="166">
        <f t="shared" ref="I119:I123" si="36">F119+G119+H119</f>
        <v>56559</v>
      </c>
      <c r="J119" s="167">
        <f t="shared" ref="J119:J124" si="37">IF($I$213=0,0,I119/$I$213)</f>
        <v>9.0352366080521419E-3</v>
      </c>
      <c r="K119" s="458"/>
      <c r="L119" s="176">
        <v>5123</v>
      </c>
      <c r="M119" s="176">
        <v>5449</v>
      </c>
      <c r="O119" s="329">
        <f t="shared" ref="O119:O124" si="38">I119/I$233</f>
        <v>5.0391126158232362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'[72]Sch C'!D116</f>
        <v>0</v>
      </c>
      <c r="D120" s="480">
        <f>'[72]Sch C'!F116</f>
        <v>10876</v>
      </c>
      <c r="E120" s="480">
        <f>+'[72]Sch C'!H116</f>
        <v>0</v>
      </c>
      <c r="F120" s="166">
        <f t="shared" si="35"/>
        <v>10876</v>
      </c>
      <c r="G120" s="626"/>
      <c r="H120" s="607"/>
      <c r="I120" s="166">
        <f t="shared" si="36"/>
        <v>10876</v>
      </c>
      <c r="J120" s="167">
        <f t="shared" si="37"/>
        <v>1.7374287619861578E-3</v>
      </c>
      <c r="K120" s="458"/>
      <c r="L120" s="163"/>
      <c r="M120" s="163"/>
      <c r="O120" s="329">
        <f t="shared" si="38"/>
        <v>0.96899501069137561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'[72]Sch C'!D117</f>
        <v>21168</v>
      </c>
      <c r="D121" s="480">
        <f>'[72]Sch C'!F117</f>
        <v>0</v>
      </c>
      <c r="E121" s="480">
        <f>+'[72]Sch C'!H117</f>
        <v>0</v>
      </c>
      <c r="F121" s="166">
        <f t="shared" si="35"/>
        <v>21168</v>
      </c>
      <c r="G121" s="626"/>
      <c r="H121" s="607"/>
      <c r="I121" s="166">
        <f t="shared" si="36"/>
        <v>21168</v>
      </c>
      <c r="J121" s="167">
        <f t="shared" si="37"/>
        <v>3.3815641811072994E-3</v>
      </c>
      <c r="K121" s="458"/>
      <c r="L121" s="163"/>
      <c r="M121" s="163"/>
      <c r="O121" s="329">
        <f t="shared" si="38"/>
        <v>1.8859586600142553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'[72]Sch C'!D118</f>
        <v>7839</v>
      </c>
      <c r="D122" s="480">
        <f>'[72]Sch C'!F118</f>
        <v>0</v>
      </c>
      <c r="E122" s="480">
        <f>+'[72]Sch C'!H118</f>
        <v>0</v>
      </c>
      <c r="F122" s="166">
        <f t="shared" si="35"/>
        <v>7839</v>
      </c>
      <c r="G122" s="626"/>
      <c r="H122" s="607"/>
      <c r="I122" s="166">
        <f t="shared" si="36"/>
        <v>7839</v>
      </c>
      <c r="J122" s="167">
        <f t="shared" si="37"/>
        <v>1.2522714293131197E-3</v>
      </c>
      <c r="K122" s="458"/>
      <c r="L122" s="163"/>
      <c r="M122" s="163"/>
      <c r="O122" s="329">
        <f t="shared" si="38"/>
        <v>0.6984141126158232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'[72]Sch C'!D119</f>
        <v>0</v>
      </c>
      <c r="D123" s="480">
        <f>'[72]Sch C'!F119</f>
        <v>0</v>
      </c>
      <c r="E123" s="480">
        <f>+'[72]Sch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85566</v>
      </c>
      <c r="D124" s="480">
        <f t="shared" si="39"/>
        <v>10876</v>
      </c>
      <c r="E124" s="480">
        <f t="shared" si="39"/>
        <v>0</v>
      </c>
      <c r="F124" s="166">
        <f t="shared" ref="F124:I124" si="40">SUM(F119:F123)</f>
        <v>96442</v>
      </c>
      <c r="G124" s="166">
        <f t="shared" si="40"/>
        <v>0</v>
      </c>
      <c r="H124" s="166">
        <f t="shared" si="40"/>
        <v>0</v>
      </c>
      <c r="I124" s="166">
        <f t="shared" si="40"/>
        <v>96442</v>
      </c>
      <c r="J124" s="167">
        <f t="shared" si="37"/>
        <v>1.5406500980458719E-2</v>
      </c>
      <c r="K124" s="458"/>
      <c r="L124" s="163"/>
      <c r="M124" s="163"/>
      <c r="O124" s="329">
        <f t="shared" si="38"/>
        <v>8.5924803991446908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'[72]Sch C'!D124</f>
        <v>0</v>
      </c>
      <c r="D128" s="480">
        <f>'[72]Sch C'!F124</f>
        <v>0</v>
      </c>
      <c r="E128" s="480">
        <f>+'[72]Sch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'[72]Sch C'!D125</f>
        <v>155629</v>
      </c>
      <c r="D129" s="480">
        <f>'[72]Sch C'!F125</f>
        <v>0</v>
      </c>
      <c r="E129" s="480">
        <f>+'[72]Sch C'!H125</f>
        <v>0</v>
      </c>
      <c r="F129" s="166">
        <f t="shared" si="41"/>
        <v>155629</v>
      </c>
      <c r="G129" s="626"/>
      <c r="H129" s="607"/>
      <c r="I129" s="166">
        <f t="shared" si="42"/>
        <v>155629</v>
      </c>
      <c r="J129" s="167">
        <f>IF($I$213=0,0,I129/$I$213)</f>
        <v>2.4861557631403432E-2</v>
      </c>
      <c r="K129" s="458"/>
      <c r="L129" s="176">
        <v>1933</v>
      </c>
      <c r="M129" s="176">
        <v>2157</v>
      </c>
      <c r="O129" s="329">
        <f t="shared" si="43"/>
        <v>13.865734141126158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'[72]Sch C'!D126</f>
        <v>0</v>
      </c>
      <c r="D130" s="480">
        <f>'[72]Sch C'!F126</f>
        <v>0</v>
      </c>
      <c r="E130" s="480">
        <f>+'[72]Sch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'[72]Sch C'!D127</f>
        <v>0</v>
      </c>
      <c r="D131" s="480">
        <f>'[72]Sch C'!F127</f>
        <v>0</v>
      </c>
      <c r="E131" s="480">
        <f>+'[72]Sch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'[72]Sch C'!D128</f>
        <v>135081</v>
      </c>
      <c r="D132" s="480">
        <f>'[72]Sch C'!F128</f>
        <v>0</v>
      </c>
      <c r="E132" s="480">
        <f>+'[72]Sch C'!H128</f>
        <v>0</v>
      </c>
      <c r="F132" s="166">
        <f t="shared" si="41"/>
        <v>135081</v>
      </c>
      <c r="G132" s="626"/>
      <c r="H132" s="607"/>
      <c r="I132" s="166">
        <f t="shared" si="42"/>
        <v>135081</v>
      </c>
      <c r="J132" s="167">
        <f>IF($I$213=0,0,I132/$I$213)</f>
        <v>2.1579037752652831E-2</v>
      </c>
      <c r="K132" s="458"/>
      <c r="L132" s="176">
        <v>8390</v>
      </c>
      <c r="M132" s="176">
        <v>9073</v>
      </c>
      <c r="O132" s="329">
        <f t="shared" si="43"/>
        <v>12.035014255167498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'[72]Sch C'!D130</f>
        <v>0</v>
      </c>
      <c r="D134" s="480">
        <f>'[72]Sch C'!F130</f>
        <v>0</v>
      </c>
      <c r="E134" s="480">
        <f>+'[72]Sch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'[72]Sch C'!D131</f>
        <v>0</v>
      </c>
      <c r="D135" s="480">
        <f>'[72]Sch C'!F131</f>
        <v>29927</v>
      </c>
      <c r="E135" s="480">
        <f>+'[72]Sch C'!H131</f>
        <v>0</v>
      </c>
      <c r="F135" s="166">
        <f t="shared" si="44"/>
        <v>29927</v>
      </c>
      <c r="G135" s="626"/>
      <c r="H135" s="607"/>
      <c r="I135" s="166">
        <f t="shared" si="45"/>
        <v>29927</v>
      </c>
      <c r="J135" s="167">
        <f>IF($I$213=0,0,I135/$I$213)</f>
        <v>4.7808045752077734E-3</v>
      </c>
      <c r="K135" s="458"/>
      <c r="L135" s="196"/>
      <c r="M135" s="196"/>
      <c r="O135" s="329">
        <f t="shared" si="43"/>
        <v>2.6663399857448327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'[72]Sch C'!D132</f>
        <v>0</v>
      </c>
      <c r="D136" s="480">
        <f>'[72]Sch C'!F132</f>
        <v>0</v>
      </c>
      <c r="E136" s="480">
        <f>+'[72]Sch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'[72]Sch C'!D133</f>
        <v>0</v>
      </c>
      <c r="D137" s="480">
        <f>'[72]Sch C'!F133</f>
        <v>0</v>
      </c>
      <c r="E137" s="480">
        <f>+'[72]Sch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'[72]Sch C'!D134</f>
        <v>0</v>
      </c>
      <c r="D138" s="480">
        <f>'[72]Sch C'!F134</f>
        <v>25976</v>
      </c>
      <c r="E138" s="480">
        <f>+'[72]Sch C'!H134</f>
        <v>0</v>
      </c>
      <c r="F138" s="166">
        <f t="shared" si="44"/>
        <v>25976</v>
      </c>
      <c r="G138" s="626"/>
      <c r="H138" s="607"/>
      <c r="I138" s="166">
        <f t="shared" si="45"/>
        <v>25976</v>
      </c>
      <c r="J138" s="167">
        <f>IF($I$213=0,0,I138/$I$213)</f>
        <v>4.1496367709959944E-3</v>
      </c>
      <c r="K138" s="458"/>
      <c r="L138" s="163"/>
      <c r="M138" s="163"/>
      <c r="O138" s="329">
        <f t="shared" si="43"/>
        <v>2.3143264433357094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'[72]Sch C'!D136</f>
        <v>880548</v>
      </c>
      <c r="D140" s="480">
        <f>'[72]Sch C'!F136</f>
        <v>0</v>
      </c>
      <c r="E140" s="480">
        <f>+'[72]Sch C'!H136</f>
        <v>0</v>
      </c>
      <c r="F140" s="166">
        <f t="shared" ref="F140:F143" si="46">C140+D140+E140</f>
        <v>880548</v>
      </c>
      <c r="G140" s="626"/>
      <c r="H140" s="607"/>
      <c r="I140" s="166">
        <f t="shared" ref="I140:I143" si="47">F140+G140+H140</f>
        <v>880548</v>
      </c>
      <c r="J140" s="167">
        <f>IF($I$213=0,0,I140/$I$213)</f>
        <v>0.14066655217997309</v>
      </c>
      <c r="K140" s="457" t="s">
        <v>374</v>
      </c>
      <c r="L140" s="176">
        <v>25573</v>
      </c>
      <c r="M140" s="176">
        <v>28241</v>
      </c>
      <c r="O140" s="329">
        <f t="shared" si="43"/>
        <v>78.452245188880966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'[72]Sch C'!D137</f>
        <v>221006</v>
      </c>
      <c r="D141" s="480">
        <f>'[72]Sch C'!F137</f>
        <v>0</v>
      </c>
      <c r="E141" s="480">
        <f>+'[72]Sch C'!H137</f>
        <v>0</v>
      </c>
      <c r="F141" s="166">
        <f t="shared" si="46"/>
        <v>221006</v>
      </c>
      <c r="G141" s="626"/>
      <c r="H141" s="607"/>
      <c r="I141" s="166">
        <f t="shared" si="47"/>
        <v>221006</v>
      </c>
      <c r="J141" s="167">
        <f>IF($I$213=0,0,I141/$I$213)</f>
        <v>3.5305459817167414E-2</v>
      </c>
      <c r="K141" s="457" t="s">
        <v>374</v>
      </c>
      <c r="L141" s="176">
        <v>8541</v>
      </c>
      <c r="M141" s="176">
        <v>9144</v>
      </c>
      <c r="O141" s="329">
        <f t="shared" si="43"/>
        <v>19.69048467569494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'[72]Sch C'!D138</f>
        <v>525602</v>
      </c>
      <c r="D142" s="480">
        <f>'[72]Sch C'!F138</f>
        <v>0</v>
      </c>
      <c r="E142" s="480">
        <f>+'[72]Sch C'!H138</f>
        <v>0</v>
      </c>
      <c r="F142" s="166">
        <f t="shared" si="46"/>
        <v>525602</v>
      </c>
      <c r="G142" s="626"/>
      <c r="H142" s="607"/>
      <c r="I142" s="166">
        <f t="shared" si="47"/>
        <v>525602</v>
      </c>
      <c r="J142" s="167">
        <f>IF($I$213=0,0,I142/$I$213)</f>
        <v>8.3964328076264111E-2</v>
      </c>
      <c r="K142" s="457" t="s">
        <v>374</v>
      </c>
      <c r="L142" s="176">
        <v>36394</v>
      </c>
      <c r="M142" s="176">
        <v>41309</v>
      </c>
      <c r="O142" s="329">
        <f t="shared" si="43"/>
        <v>46.828403421240196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'[72]Sch C'!D139</f>
        <v>353560</v>
      </c>
      <c r="D143" s="480">
        <f>'[72]Sch C'!F139</f>
        <v>0</v>
      </c>
      <c r="E143" s="480">
        <f>+'[72]Sch C'!H139</f>
        <v>0</v>
      </c>
      <c r="F143" s="166">
        <f t="shared" si="46"/>
        <v>353560</v>
      </c>
      <c r="G143" s="626"/>
      <c r="H143" s="607"/>
      <c r="I143" s="166">
        <f t="shared" si="47"/>
        <v>353560</v>
      </c>
      <c r="J143" s="167">
        <f>IF($I$213=0,0,I143/$I$213)</f>
        <v>5.6480812163279326E-2</v>
      </c>
      <c r="K143" s="458"/>
      <c r="L143" s="176">
        <v>12118</v>
      </c>
      <c r="M143" s="176">
        <v>12118</v>
      </c>
      <c r="O143" s="329">
        <f t="shared" si="43"/>
        <v>31.500356379187455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7" t="s">
        <v>418</v>
      </c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'[72]Sch C'!D141</f>
        <v>0</v>
      </c>
      <c r="D145" s="480">
        <f>'[72]Sch C'!F141</f>
        <v>169326</v>
      </c>
      <c r="E145" s="480">
        <f>+'[72]Sch C'!H141</f>
        <v>0</v>
      </c>
      <c r="F145" s="166">
        <f t="shared" ref="F145:F148" si="48">C145+D145+E145</f>
        <v>169326</v>
      </c>
      <c r="G145" s="626"/>
      <c r="H145" s="607"/>
      <c r="I145" s="166">
        <f t="shared" ref="I145:I148" si="49">F145+G145+H145</f>
        <v>169326</v>
      </c>
      <c r="J145" s="167">
        <f>IF($I$213=0,0,I145/$I$213)</f>
        <v>2.7049637969112555E-2</v>
      </c>
      <c r="K145" s="457" t="s">
        <v>377</v>
      </c>
      <c r="L145" s="163"/>
      <c r="M145" s="163"/>
      <c r="O145" s="329">
        <f t="shared" si="43"/>
        <v>15.086065573770492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'[72]Sch C'!D142</f>
        <v>0</v>
      </c>
      <c r="D146" s="480">
        <f>'[72]Sch C'!F142</f>
        <v>42498</v>
      </c>
      <c r="E146" s="480">
        <f>+'[72]Sch C'!H142</f>
        <v>0</v>
      </c>
      <c r="F146" s="166">
        <f t="shared" si="48"/>
        <v>42498</v>
      </c>
      <c r="G146" s="626"/>
      <c r="H146" s="607"/>
      <c r="I146" s="166">
        <f t="shared" si="49"/>
        <v>42498</v>
      </c>
      <c r="J146" s="167">
        <f>IF($I$213=0,0,I146/$I$213)</f>
        <v>6.7890076799271542E-3</v>
      </c>
      <c r="K146" s="457" t="s">
        <v>377</v>
      </c>
      <c r="L146" s="163"/>
      <c r="M146" s="163"/>
      <c r="O146" s="329">
        <f t="shared" si="43"/>
        <v>3.7863506771204563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'[72]Sch C'!D143</f>
        <v>0</v>
      </c>
      <c r="D147" s="480">
        <f>'[72]Sch C'!F143</f>
        <v>101071</v>
      </c>
      <c r="E147" s="480">
        <f>+'[72]Sch C'!H143</f>
        <v>0</v>
      </c>
      <c r="F147" s="166">
        <f t="shared" si="48"/>
        <v>101071</v>
      </c>
      <c r="G147" s="626"/>
      <c r="H147" s="607"/>
      <c r="I147" s="166">
        <f t="shared" si="49"/>
        <v>101071</v>
      </c>
      <c r="J147" s="167">
        <f>IF($I$213=0,0,I147/$I$213)</f>
        <v>1.6145978521763787E-2</v>
      </c>
      <c r="K147" s="457" t="s">
        <v>377</v>
      </c>
      <c r="L147" s="163"/>
      <c r="M147" s="163"/>
      <c r="O147" s="329">
        <f t="shared" si="43"/>
        <v>9.0049002138275132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'[72]Sch C'!D144</f>
        <v>0</v>
      </c>
      <c r="D148" s="480">
        <f>'[72]Sch C'!F144</f>
        <v>67988</v>
      </c>
      <c r="E148" s="480">
        <f>+'[72]Sch C'!H144</f>
        <v>0</v>
      </c>
      <c r="F148" s="166">
        <f t="shared" si="48"/>
        <v>67988</v>
      </c>
      <c r="G148" s="626"/>
      <c r="H148" s="607"/>
      <c r="I148" s="166">
        <f t="shared" si="49"/>
        <v>67988</v>
      </c>
      <c r="J148" s="167">
        <f>IF($I$213=0,0,I148/$I$213)</f>
        <v>1.0861006497785481E-2</v>
      </c>
      <c r="K148" s="458"/>
      <c r="L148" s="163"/>
      <c r="M148" s="163"/>
      <c r="O148" s="329">
        <f t="shared" si="43"/>
        <v>6.057377049180328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'[72]Sch C'!D146</f>
        <v>122351</v>
      </c>
      <c r="D150" s="480">
        <f>'[72]Sch C'!F146</f>
        <v>0</v>
      </c>
      <c r="E150" s="480">
        <f>+'[72]Sch C'!H146</f>
        <v>0</v>
      </c>
      <c r="F150" s="166">
        <f t="shared" ref="F150:F158" si="50">C150+D150+E150</f>
        <v>122351</v>
      </c>
      <c r="G150" s="626"/>
      <c r="H150" s="607"/>
      <c r="I150" s="166">
        <f t="shared" ref="I150:I158" si="51">F150+G150+H150</f>
        <v>122351</v>
      </c>
      <c r="J150" s="167">
        <f t="shared" ref="J150:J158" si="52">IF($I$213=0,0,I150/$I$213)</f>
        <v>1.95454345768452E-2</v>
      </c>
      <c r="K150" s="458"/>
      <c r="L150" s="176">
        <v>0</v>
      </c>
      <c r="M150" s="176">
        <v>0</v>
      </c>
      <c r="O150" s="329">
        <f t="shared" si="43"/>
        <v>10.90083749109052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'[72]Sch C'!D147</f>
        <v>7065</v>
      </c>
      <c r="D151" s="480">
        <f>'[72]Sch C'!F147</f>
        <v>0</v>
      </c>
      <c r="E151" s="480">
        <f>+'[72]Sch C'!H147</f>
        <v>0</v>
      </c>
      <c r="F151" s="166">
        <f t="shared" si="50"/>
        <v>7065</v>
      </c>
      <c r="G151" s="626"/>
      <c r="H151" s="607"/>
      <c r="I151" s="166">
        <f t="shared" si="51"/>
        <v>7065</v>
      </c>
      <c r="J151" s="167">
        <f t="shared" si="52"/>
        <v>1.1286258002420196E-3</v>
      </c>
      <c r="K151" s="458"/>
      <c r="L151" s="176">
        <v>0</v>
      </c>
      <c r="M151" s="176">
        <v>0</v>
      </c>
      <c r="O151" s="329">
        <f t="shared" si="43"/>
        <v>0.62945473984319311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'[72]Sch C'!D148</f>
        <v>0</v>
      </c>
      <c r="D152" s="480">
        <f>'[72]Sch C'!F148</f>
        <v>0</v>
      </c>
      <c r="E152" s="480">
        <f>+'[72]Sch C'!H148</f>
        <v>0</v>
      </c>
      <c r="F152" s="166">
        <f t="shared" si="50"/>
        <v>0</v>
      </c>
      <c r="G152" s="626"/>
      <c r="H152" s="607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'[72]Sch C'!D149</f>
        <v>0</v>
      </c>
      <c r="D153" s="480">
        <f>'[72]Sch C'!F149</f>
        <v>0</v>
      </c>
      <c r="E153" s="480">
        <f>+'[72]Sch C'!H149</f>
        <v>0</v>
      </c>
      <c r="F153" s="166">
        <f t="shared" si="50"/>
        <v>0</v>
      </c>
      <c r="G153" s="626"/>
      <c r="H153" s="607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'[72]Sch C'!D150</f>
        <v>10583</v>
      </c>
      <c r="D154" s="480">
        <f>'[72]Sch C'!F150</f>
        <v>0</v>
      </c>
      <c r="E154" s="480">
        <f>+'[72]Sch C'!H150</f>
        <v>0</v>
      </c>
      <c r="F154" s="166">
        <f t="shared" si="50"/>
        <v>10583</v>
      </c>
      <c r="G154" s="626"/>
      <c r="H154" s="607"/>
      <c r="I154" s="166">
        <f t="shared" si="51"/>
        <v>10583</v>
      </c>
      <c r="J154" s="167">
        <f t="shared" si="52"/>
        <v>1.6906223416788808E-3</v>
      </c>
      <c r="K154" s="458"/>
      <c r="L154" s="176">
        <v>0</v>
      </c>
      <c r="M154" s="176">
        <v>0</v>
      </c>
      <c r="O154" s="329">
        <f t="shared" si="43"/>
        <v>0.94289023521026372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'[72]Sch C'!D151</f>
        <v>181425</v>
      </c>
      <c r="D155" s="480">
        <f>'[72]Sch C'!F151</f>
        <v>0</v>
      </c>
      <c r="E155" s="480">
        <f>+'[72]Sch C'!H151</f>
        <v>0</v>
      </c>
      <c r="F155" s="166">
        <f t="shared" si="50"/>
        <v>181425</v>
      </c>
      <c r="G155" s="626"/>
      <c r="H155" s="607"/>
      <c r="I155" s="166">
        <f t="shared" si="51"/>
        <v>181425</v>
      </c>
      <c r="J155" s="167">
        <f t="shared" si="52"/>
        <v>2.8982439604941033E-2</v>
      </c>
      <c r="K155" s="458"/>
      <c r="L155" s="163"/>
      <c r="M155" s="163"/>
      <c r="O155" s="329">
        <f t="shared" si="43"/>
        <v>16.164023521026373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'[72]Sch C'!D152</f>
        <v>27610</v>
      </c>
      <c r="D156" s="480">
        <f>'[72]Sch C'!F152</f>
        <v>0</v>
      </c>
      <c r="E156" s="480">
        <f>+'[72]Sch C'!H152</f>
        <v>0</v>
      </c>
      <c r="F156" s="166">
        <f t="shared" si="50"/>
        <v>27610</v>
      </c>
      <c r="G156" s="626"/>
      <c r="H156" s="607"/>
      <c r="I156" s="166">
        <f t="shared" si="51"/>
        <v>27610</v>
      </c>
      <c r="J156" s="167">
        <f t="shared" si="52"/>
        <v>4.4106664323683171E-3</v>
      </c>
      <c r="K156" s="458"/>
      <c r="L156" s="163"/>
      <c r="M156" s="163"/>
      <c r="O156" s="329">
        <f t="shared" si="43"/>
        <v>2.4599073414112618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'[72]Sch C'!D153</f>
        <v>0</v>
      </c>
      <c r="D157" s="480">
        <f>'[72]Sch C'!F153</f>
        <v>0</v>
      </c>
      <c r="E157" s="480">
        <f>+'[72]Sch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'[72]Sch C'!D154</f>
        <v>0</v>
      </c>
      <c r="D158" s="480">
        <f>'[72]Sch C'!F154</f>
        <v>0</v>
      </c>
      <c r="E158" s="480">
        <f>+'[72]Sch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'[72]Sch C'!D156</f>
        <v>0</v>
      </c>
      <c r="D160" s="480">
        <f>'[72]Sch C'!F156</f>
        <v>0</v>
      </c>
      <c r="E160" s="480">
        <f>+'[72]Sch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'[72]Sch C'!D157</f>
        <v>0</v>
      </c>
      <c r="D161" s="480">
        <f>'[72]Sch C'!F157</f>
        <v>0</v>
      </c>
      <c r="E161" s="480">
        <f>+'[72]Sch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'[72]Sch C'!D158</f>
        <v>0</v>
      </c>
      <c r="D162" s="480">
        <f>'[72]Sch C'!F158</f>
        <v>0</v>
      </c>
      <c r="E162" s="480">
        <f>+'[72]Sch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'[72]Sch C'!D159</f>
        <v>0</v>
      </c>
      <c r="D163" s="480">
        <f>'[72]Sch C'!F159</f>
        <v>0</v>
      </c>
      <c r="E163" s="480">
        <f>+'[72]Sch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'[72]Sch C'!D160</f>
        <v>0</v>
      </c>
      <c r="D164" s="480">
        <f>'[72]Sch C'!F160</f>
        <v>0</v>
      </c>
      <c r="E164" s="480">
        <f>+'[72]Sch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'[72]Sch C'!D161</f>
        <v>0</v>
      </c>
      <c r="D165" s="480">
        <f>'[72]Sch C'!F161</f>
        <v>0</v>
      </c>
      <c r="E165" s="480">
        <f>+'[72]Sch C'!H161</f>
        <v>0</v>
      </c>
      <c r="F165" s="166">
        <f t="shared" si="53"/>
        <v>0</v>
      </c>
      <c r="G165" s="626"/>
      <c r="H165" s="607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2620460</v>
      </c>
      <c r="D166" s="480">
        <f t="shared" si="56"/>
        <v>436786</v>
      </c>
      <c r="E166" s="480">
        <f t="shared" si="56"/>
        <v>0</v>
      </c>
      <c r="F166" s="166">
        <f t="shared" ref="F166:I166" si="57">SUM(F128:F165)</f>
        <v>3057246</v>
      </c>
      <c r="G166" s="166">
        <f t="shared" si="57"/>
        <v>0</v>
      </c>
      <c r="H166" s="166">
        <f t="shared" si="57"/>
        <v>0</v>
      </c>
      <c r="I166" s="166">
        <f t="shared" si="57"/>
        <v>3057246</v>
      </c>
      <c r="J166" s="167">
        <f t="shared" si="55"/>
        <v>0.48839160839160839</v>
      </c>
      <c r="K166" s="458"/>
      <c r="L166" s="163"/>
      <c r="M166" s="163"/>
      <c r="O166" s="329">
        <f>I166/I$233</f>
        <v>272.38471133285816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'[72]Sch C'!D175</f>
        <v>0</v>
      </c>
      <c r="D169" s="480">
        <f>'[72]Sch C'!F175</f>
        <v>0</v>
      </c>
      <c r="E169" s="480">
        <f>+'[72]Sch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'[72]Sch C'!D176</f>
        <v>0</v>
      </c>
      <c r="D170" s="480">
        <f>'[72]Sch C'!F176</f>
        <v>0</v>
      </c>
      <c r="E170" s="480">
        <f>+'[72]Sch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'[72]Sch C'!D177</f>
        <v>0</v>
      </c>
      <c r="D171" s="480">
        <f>'[72]Sch C'!F177</f>
        <v>0</v>
      </c>
      <c r="E171" s="480">
        <f>+'[72]Sch C'!H177</f>
        <v>0</v>
      </c>
      <c r="F171" s="166">
        <f t="shared" si="58"/>
        <v>0</v>
      </c>
      <c r="G171" s="626"/>
      <c r="H171" s="607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'[72]Sch C'!D178</f>
        <v>0</v>
      </c>
      <c r="D172" s="480">
        <f>'[72]Sch C'!F178</f>
        <v>0</v>
      </c>
      <c r="E172" s="480">
        <f>+'[72]Sch C'!H178</f>
        <v>0</v>
      </c>
      <c r="F172" s="166">
        <f t="shared" si="58"/>
        <v>0</v>
      </c>
      <c r="G172" s="626"/>
      <c r="H172" s="607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'[72]Sch C'!D179</f>
        <v>0</v>
      </c>
      <c r="D173" s="480">
        <f>'[72]Sch C'!F179</f>
        <v>0</v>
      </c>
      <c r="E173" s="480">
        <f>+'[72]Sch C'!H179</f>
        <v>0</v>
      </c>
      <c r="F173" s="166">
        <f t="shared" si="58"/>
        <v>0</v>
      </c>
      <c r="G173" s="626"/>
      <c r="H173" s="607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'[72]Sch C'!D180</f>
        <v>0</v>
      </c>
      <c r="D174" s="480">
        <f>'[72]Sch C'!F180</f>
        <v>0</v>
      </c>
      <c r="E174" s="480">
        <f>+'[72]Sch C'!H180</f>
        <v>0</v>
      </c>
      <c r="F174" s="166">
        <f t="shared" si="58"/>
        <v>0</v>
      </c>
      <c r="G174" s="626"/>
      <c r="H174" s="607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'[72]Sch C'!D181</f>
        <v>0</v>
      </c>
      <c r="D175" s="480">
        <f>'[72]Sch C'!F181</f>
        <v>0</v>
      </c>
      <c r="E175" s="480">
        <f>+'[72]Sch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'[72]Sch C'!D182</f>
        <v>0</v>
      </c>
      <c r="D176" s="480">
        <f>'[72]Sch C'!F182</f>
        <v>0</v>
      </c>
      <c r="E176" s="480">
        <f>+'[72]Sch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'[72]Sch C'!D183</f>
        <v>0</v>
      </c>
      <c r="D177" s="480">
        <f>'[72]Sch C'!F183</f>
        <v>0</v>
      </c>
      <c r="E177" s="480">
        <f>+'[72]Sch C'!H183</f>
        <v>0</v>
      </c>
      <c r="F177" s="166">
        <f t="shared" si="58"/>
        <v>0</v>
      </c>
      <c r="G177" s="626"/>
      <c r="H177" s="607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'[72]Sch C'!D184</f>
        <v>0</v>
      </c>
      <c r="D178" s="480">
        <f>'[72]Sch C'!F184</f>
        <v>0</v>
      </c>
      <c r="E178" s="480">
        <f>+'[72]Sch C'!H184</f>
        <v>0</v>
      </c>
      <c r="F178" s="166">
        <f t="shared" si="58"/>
        <v>0</v>
      </c>
      <c r="G178" s="626"/>
      <c r="H178" s="607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'[72]Sch C'!D185</f>
        <v>0</v>
      </c>
      <c r="D179" s="480">
        <f>'[72]Sch C'!F185</f>
        <v>0</v>
      </c>
      <c r="E179" s="480">
        <f>+'[72]Sch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'[72]Sch C'!D186</f>
        <v>0</v>
      </c>
      <c r="D180" s="480">
        <f>'[72]Sch C'!F186</f>
        <v>0</v>
      </c>
      <c r="E180" s="480">
        <f>+'[72]Sch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'[72]Sch C'!D187</f>
        <v>0</v>
      </c>
      <c r="D181" s="480">
        <f>'[72]Sch C'!F187</f>
        <v>0</v>
      </c>
      <c r="E181" s="480">
        <f>+'[72]Sch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'[72]Sch C'!D188</f>
        <v>0</v>
      </c>
      <c r="D182" s="480">
        <f>'[72]Sch C'!F188</f>
        <v>0</v>
      </c>
      <c r="E182" s="480">
        <f>+'[72]Sch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'[72]Sch C'!D189</f>
        <v>0</v>
      </c>
      <c r="D183" s="480">
        <f>'[72]Sch C'!F189</f>
        <v>0</v>
      </c>
      <c r="E183" s="480">
        <f>+'[72]Sch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'[72]Sch C'!D190</f>
        <v>0</v>
      </c>
      <c r="D184" s="480">
        <f>'[72]Sch C'!F190</f>
        <v>0</v>
      </c>
      <c r="E184" s="480">
        <f>+'[72]Sch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'[72]Sch C'!D191</f>
        <v>0</v>
      </c>
      <c r="D185" s="480">
        <f>'[72]Sch C'!F191</f>
        <v>0</v>
      </c>
      <c r="E185" s="480">
        <f>+'[72]Sch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'[72]Sch C'!D192</f>
        <v>0</v>
      </c>
      <c r="D186" s="480">
        <f>'[72]Sch C'!F192</f>
        <v>0</v>
      </c>
      <c r="E186" s="480">
        <f>+'[72]Sch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'[72]Sch C'!D193</f>
        <v>0</v>
      </c>
      <c r="D187" s="480">
        <f>'[72]Sch C'!F193</f>
        <v>0</v>
      </c>
      <c r="E187" s="480">
        <f>+'[72]Sch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'[72]Sch C'!D194</f>
        <v>348546</v>
      </c>
      <c r="D188" s="480">
        <f>'[72]Sch C'!F194</f>
        <v>0</v>
      </c>
      <c r="E188" s="480">
        <f>+'[72]Sch C'!H194</f>
        <v>0</v>
      </c>
      <c r="F188" s="166">
        <f t="shared" si="58"/>
        <v>348546</v>
      </c>
      <c r="G188" s="626"/>
      <c r="H188" s="607"/>
      <c r="I188" s="166">
        <f t="shared" si="59"/>
        <v>348546</v>
      </c>
      <c r="J188" s="167">
        <f t="shared" si="60"/>
        <v>5.5679831305188242E-2</v>
      </c>
      <c r="K188" s="458"/>
      <c r="L188" s="213"/>
      <c r="M188" s="208"/>
      <c r="O188" s="329">
        <f t="shared" si="61"/>
        <v>31.053635067712044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'[72]Sch C'!D195</f>
        <v>32212</v>
      </c>
      <c r="D189" s="480">
        <f>'[72]Sch C'!F195</f>
        <v>0</v>
      </c>
      <c r="E189" s="480">
        <f>+'[72]Sch C'!H195</f>
        <v>0</v>
      </c>
      <c r="F189" s="166">
        <f t="shared" si="58"/>
        <v>32212</v>
      </c>
      <c r="G189" s="626"/>
      <c r="H189" s="607"/>
      <c r="I189" s="166">
        <f t="shared" si="59"/>
        <v>32212</v>
      </c>
      <c r="J189" s="167">
        <f t="shared" si="60"/>
        <v>5.1458307540546257E-3</v>
      </c>
      <c r="K189" s="458"/>
      <c r="L189" s="213"/>
      <c r="M189" s="208"/>
      <c r="O189" s="329">
        <f t="shared" si="61"/>
        <v>2.8699215965787599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'[72]Sch C'!D196</f>
        <v>0</v>
      </c>
      <c r="D190" s="480">
        <f>'[72]Sch C'!F196</f>
        <v>0</v>
      </c>
      <c r="E190" s="480">
        <f>+'[72]Sch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'[72]Sch C'!D197</f>
        <v>301136</v>
      </c>
      <c r="D191" s="480">
        <f>'[72]Sch C'!F197</f>
        <v>0</v>
      </c>
      <c r="E191" s="480">
        <f>+'[72]Sch C'!H197</f>
        <v>0</v>
      </c>
      <c r="F191" s="166">
        <f t="shared" si="58"/>
        <v>301136</v>
      </c>
      <c r="G191" s="626"/>
      <c r="H191" s="607"/>
      <c r="I191" s="166">
        <f t="shared" si="59"/>
        <v>301136</v>
      </c>
      <c r="J191" s="167">
        <f t="shared" si="60"/>
        <v>4.8106137152396436E-2</v>
      </c>
      <c r="K191" s="458"/>
      <c r="L191" s="213"/>
      <c r="M191" s="208"/>
      <c r="O191" s="329">
        <f t="shared" si="61"/>
        <v>26.829650748396293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'[72]Sch C'!D198</f>
        <v>43516</v>
      </c>
      <c r="D192" s="480">
        <f>'[72]Sch C'!F198</f>
        <v>0</v>
      </c>
      <c r="E192" s="480">
        <f>+'[72]Sch C'!H198</f>
        <v>0</v>
      </c>
      <c r="F192" s="166">
        <f t="shared" si="58"/>
        <v>43516</v>
      </c>
      <c r="G192" s="626"/>
      <c r="H192" s="607"/>
      <c r="I192" s="166">
        <f t="shared" si="59"/>
        <v>43516</v>
      </c>
      <c r="J192" s="167">
        <f t="shared" si="60"/>
        <v>6.9516320344418575E-3</v>
      </c>
      <c r="K192" s="458"/>
      <c r="L192" s="213"/>
      <c r="M192" s="208"/>
      <c r="O192" s="329">
        <f t="shared" si="61"/>
        <v>3.877049180327869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'[72]Sch C'!D199</f>
        <v>0</v>
      </c>
      <c r="D193" s="480">
        <f>'[72]Sch C'!F199</f>
        <v>0</v>
      </c>
      <c r="E193" s="480">
        <f>+'[72]Sch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'[72]Sch C'!D200</f>
        <v>0</v>
      </c>
      <c r="D194" s="480">
        <f>'[72]Sch C'!F200</f>
        <v>0</v>
      </c>
      <c r="E194" s="480">
        <f>+'[72]Sch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'[72]Sch C'!D201</f>
        <v>0</v>
      </c>
      <c r="D195" s="480">
        <f>'[72]Sch C'!F201</f>
        <v>0</v>
      </c>
      <c r="E195" s="480">
        <f>+'[72]Sch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'[72]Sch C'!D202</f>
        <v>0</v>
      </c>
      <c r="D196" s="480">
        <f>'[72]Sch C'!F202</f>
        <v>0</v>
      </c>
      <c r="E196" s="480">
        <f>+'[72]Sch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'[72]Sch C'!D203</f>
        <v>0</v>
      </c>
      <c r="D197" s="480">
        <f>'[72]Sch C'!F203</f>
        <v>0</v>
      </c>
      <c r="E197" s="480">
        <f>+'[72]Sch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'[72]Sch C'!D204</f>
        <v>0</v>
      </c>
      <c r="D198" s="480">
        <f>'[72]Sch C'!F204</f>
        <v>0</v>
      </c>
      <c r="E198" s="480">
        <f>+'[72]Sch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'[72]Sch C'!D205</f>
        <v>491001</v>
      </c>
      <c r="D199" s="480">
        <f>'[72]Sch C'!F205</f>
        <v>0</v>
      </c>
      <c r="E199" s="480">
        <f>+'[72]Sch C'!H205</f>
        <v>0</v>
      </c>
      <c r="F199" s="166">
        <f t="shared" si="58"/>
        <v>491001</v>
      </c>
      <c r="G199" s="626"/>
      <c r="H199" s="607"/>
      <c r="I199" s="166">
        <f t="shared" si="59"/>
        <v>491001</v>
      </c>
      <c r="J199" s="167">
        <f t="shared" si="60"/>
        <v>7.8436857260386669E-2</v>
      </c>
      <c r="K199" s="458"/>
      <c r="L199" s="213"/>
      <c r="M199" s="208"/>
      <c r="O199" s="329">
        <f t="shared" si="61"/>
        <v>43.745634354953673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'[72]Sch C'!D206</f>
        <v>7487</v>
      </c>
      <c r="D200" s="480">
        <f>'[72]Sch C'!F206</f>
        <v>0</v>
      </c>
      <c r="E200" s="480">
        <f>+'[72]Sch C'!H206</f>
        <v>0</v>
      </c>
      <c r="F200" s="166">
        <f t="shared" si="58"/>
        <v>7487</v>
      </c>
      <c r="G200" s="626"/>
      <c r="H200" s="607"/>
      <c r="I200" s="166">
        <f t="shared" si="59"/>
        <v>7487</v>
      </c>
      <c r="J200" s="167">
        <f t="shared" si="60"/>
        <v>1.1960398253944798E-3</v>
      </c>
      <c r="K200" s="458"/>
      <c r="L200" s="213"/>
      <c r="M200" s="208"/>
      <c r="O200" s="329">
        <f t="shared" si="61"/>
        <v>0.66705274411974336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'[72]Sch C'!D207</f>
        <v>0</v>
      </c>
      <c r="D201" s="480">
        <f>'[72]Sch C'!F207</f>
        <v>0</v>
      </c>
      <c r="E201" s="480">
        <f>+'[72]Sch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1223898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1223898</v>
      </c>
      <c r="G202" s="166">
        <f t="shared" si="63"/>
        <v>0</v>
      </c>
      <c r="H202" s="166">
        <f t="shared" si="63"/>
        <v>0</v>
      </c>
      <c r="I202" s="166">
        <f t="shared" si="63"/>
        <v>1223898</v>
      </c>
      <c r="J202" s="167">
        <f>IF($I$213=0,0,I202/$I$213)</f>
        <v>0.1955163283318623</v>
      </c>
      <c r="K202" s="458"/>
      <c r="L202" s="163"/>
      <c r="M202" s="163"/>
      <c r="O202" s="329">
        <f>I202/I$233</f>
        <v>109.04294369208839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'[72]Sch C'!D211</f>
        <v>76070</v>
      </c>
      <c r="D205" s="480">
        <f>'[72]Sch C'!F211</f>
        <v>0</v>
      </c>
      <c r="E205" s="480">
        <f>+'[72]Sch C'!H211</f>
        <v>0</v>
      </c>
      <c r="F205" s="166">
        <f t="shared" ref="F205:F210" si="64">C205+D205+E205</f>
        <v>76070</v>
      </c>
      <c r="G205" s="626"/>
      <c r="H205" s="607"/>
      <c r="I205" s="166">
        <f t="shared" ref="I205:I210" si="65">F205+G205+H205</f>
        <v>76070</v>
      </c>
      <c r="J205" s="167">
        <f t="shared" ref="J205:J211" si="66">IF($I$213=0,0,I205/$I$213)</f>
        <v>1.2152096903667435E-2</v>
      </c>
      <c r="K205" s="458"/>
      <c r="L205" s="176">
        <v>3681</v>
      </c>
      <c r="M205" s="176">
        <v>3883</v>
      </c>
      <c r="O205" s="329">
        <f t="shared" ref="O205:O210" si="67">I205/I$233</f>
        <v>6.7774411974340696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'[72]Sch C'!D212</f>
        <v>0</v>
      </c>
      <c r="D206" s="480">
        <f>'[72]Sch C'!F212</f>
        <v>14628</v>
      </c>
      <c r="E206" s="480">
        <f>+'[72]Sch C'!H212</f>
        <v>0</v>
      </c>
      <c r="F206" s="166">
        <f t="shared" si="64"/>
        <v>14628</v>
      </c>
      <c r="G206" s="626"/>
      <c r="H206" s="607"/>
      <c r="I206" s="166">
        <f t="shared" si="65"/>
        <v>14628</v>
      </c>
      <c r="J206" s="167">
        <f t="shared" si="66"/>
        <v>2.336806540118933E-3</v>
      </c>
      <c r="K206" s="458"/>
      <c r="L206" s="163"/>
      <c r="M206" s="163"/>
      <c r="O206" s="329">
        <f t="shared" si="67"/>
        <v>1.3032786885245902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'[72]Sch C'!D213</f>
        <v>2193</v>
      </c>
      <c r="D207" s="480">
        <f>'[72]Sch C'!F213</f>
        <v>0</v>
      </c>
      <c r="E207" s="480">
        <f>+'[72]Sch C'!H213</f>
        <v>0</v>
      </c>
      <c r="F207" s="166">
        <f t="shared" si="64"/>
        <v>2193</v>
      </c>
      <c r="G207" s="626"/>
      <c r="H207" s="607"/>
      <c r="I207" s="166">
        <f t="shared" si="65"/>
        <v>2193</v>
      </c>
      <c r="J207" s="167">
        <f t="shared" si="66"/>
        <v>3.503292823681173E-4</v>
      </c>
      <c r="K207" s="458"/>
      <c r="L207" s="163"/>
      <c r="M207" s="163"/>
      <c r="O207" s="329">
        <f t="shared" si="67"/>
        <v>0.19538488952245189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'[72]Sch C'!D214</f>
        <v>5814</v>
      </c>
      <c r="D208" s="480">
        <f>'[72]Sch C'!F214</f>
        <v>0</v>
      </c>
      <c r="E208" s="480">
        <f>+'[72]Sch C'!H214</f>
        <v>0</v>
      </c>
      <c r="F208" s="166">
        <f t="shared" si="64"/>
        <v>5814</v>
      </c>
      <c r="G208" s="626">
        <v>-5814</v>
      </c>
      <c r="H208" s="607"/>
      <c r="I208" s="166">
        <f t="shared" si="65"/>
        <v>0</v>
      </c>
      <c r="J208" s="167">
        <f t="shared" si="66"/>
        <v>0</v>
      </c>
      <c r="K208" s="162" t="s">
        <v>634</v>
      </c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'[72]Sch C'!D215</f>
        <v>0</v>
      </c>
      <c r="D209" s="480">
        <f>'[72]Sch C'!F215</f>
        <v>0</v>
      </c>
      <c r="E209" s="480">
        <f>+'[72]Sch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685" t="s">
        <v>666</v>
      </c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'[72]Sch C'!D216</f>
        <v>0</v>
      </c>
      <c r="D210" s="480">
        <f>'[72]Sch C'!F216</f>
        <v>0</v>
      </c>
      <c r="E210" s="480">
        <f>+'[72]Sch C'!H216</f>
        <v>0</v>
      </c>
      <c r="F210" s="166">
        <f t="shared" si="64"/>
        <v>0</v>
      </c>
      <c r="G210" s="626">
        <v>5814</v>
      </c>
      <c r="H210" s="607"/>
      <c r="I210" s="166">
        <f t="shared" si="65"/>
        <v>5814</v>
      </c>
      <c r="J210" s="167">
        <f t="shared" si="66"/>
        <v>9.287799579061715E-4</v>
      </c>
      <c r="K210" s="162" t="s">
        <v>634</v>
      </c>
      <c r="L210" s="163"/>
      <c r="M210" s="163"/>
      <c r="O210" s="329">
        <f t="shared" si="67"/>
        <v>0.5179971489665004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84077</v>
      </c>
      <c r="D211" s="480">
        <f t="shared" si="68"/>
        <v>14628</v>
      </c>
      <c r="E211" s="480">
        <f t="shared" si="68"/>
        <v>0</v>
      </c>
      <c r="F211" s="166">
        <f t="shared" ref="F211:I211" si="69">SUM(F205:F210)</f>
        <v>98705</v>
      </c>
      <c r="G211" s="166">
        <f t="shared" si="69"/>
        <v>0</v>
      </c>
      <c r="H211" s="166">
        <f t="shared" si="69"/>
        <v>0</v>
      </c>
      <c r="I211" s="166">
        <f t="shared" si="69"/>
        <v>98705</v>
      </c>
      <c r="J211" s="167">
        <f t="shared" si="66"/>
        <v>1.5768012684060657E-2</v>
      </c>
      <c r="K211" s="458"/>
      <c r="L211" s="163"/>
      <c r="M211" s="163"/>
      <c r="O211" s="329">
        <f>I211/I$233</f>
        <v>8.7941019244476131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6394675</v>
      </c>
      <c r="D213" s="480">
        <f t="shared" si="70"/>
        <v>-89077</v>
      </c>
      <c r="E213" s="480">
        <f t="shared" si="70"/>
        <v>0</v>
      </c>
      <c r="F213" s="166">
        <f t="shared" ref="F213:I213" si="71">SUM(F30:F211)/2</f>
        <v>6305598</v>
      </c>
      <c r="G213" s="166">
        <f t="shared" si="71"/>
        <v>-8308</v>
      </c>
      <c r="H213" s="166">
        <f t="shared" si="71"/>
        <v>-37465</v>
      </c>
      <c r="I213" s="166">
        <f t="shared" si="71"/>
        <v>6259825</v>
      </c>
      <c r="J213" s="167">
        <f>IF($I$213=0,0,I213/$I$213)</f>
        <v>1</v>
      </c>
      <c r="K213" s="458"/>
      <c r="L213" s="176">
        <f>SUM(L30:L205)</f>
        <v>132094</v>
      </c>
      <c r="M213" s="176">
        <f>SUM(M30:M205)</f>
        <v>145047</v>
      </c>
      <c r="O213" s="329">
        <f>I213/I$233</f>
        <v>557.71783677833218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'[72]Sch C'!D221</f>
        <v>6394675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-799528</v>
      </c>
      <c r="D220" s="480">
        <f t="shared" si="72"/>
        <v>89077</v>
      </c>
      <c r="E220" s="480">
        <f t="shared" si="72"/>
        <v>0</v>
      </c>
      <c r="F220" s="166">
        <f t="shared" ref="F220:I220" si="73">F26-F213</f>
        <v>-710451</v>
      </c>
      <c r="G220" s="166">
        <f t="shared" si="73"/>
        <v>8308</v>
      </c>
      <c r="H220" s="166">
        <f t="shared" si="73"/>
        <v>37465</v>
      </c>
      <c r="I220" s="166">
        <f t="shared" si="73"/>
        <v>-664678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'[72]Sch D'!C9</f>
        <v>2803</v>
      </c>
      <c r="D224" s="480"/>
      <c r="E224" s="480"/>
      <c r="F224" s="224">
        <f>C224+D224+E224</f>
        <v>2803</v>
      </c>
      <c r="G224" s="627"/>
      <c r="H224" s="223"/>
      <c r="I224" s="224">
        <f>F224+G224+H224</f>
        <v>2803</v>
      </c>
      <c r="J224" s="167">
        <f t="shared" ref="J224:J233" si="74">IF($I$233=0,0,I224/$I$233)</f>
        <v>0.24973271560940841</v>
      </c>
      <c r="K224" s="458"/>
      <c r="L224" s="163"/>
      <c r="M224" s="163"/>
    </row>
    <row r="225" spans="1:13">
      <c r="A225" s="158"/>
      <c r="B225" s="165" t="s">
        <v>201</v>
      </c>
      <c r="C225" s="504">
        <f>'[72]Sch D'!D9</f>
        <v>512</v>
      </c>
      <c r="D225" s="480"/>
      <c r="E225" s="480"/>
      <c r="F225" s="224">
        <f t="shared" ref="F225:F232" si="75">C225+D225+E225</f>
        <v>512</v>
      </c>
      <c r="G225" s="627"/>
      <c r="H225" s="223"/>
      <c r="I225" s="224">
        <f t="shared" ref="I225:I232" si="76">F225+G225+H225</f>
        <v>512</v>
      </c>
      <c r="J225" s="167">
        <f t="shared" si="74"/>
        <v>4.5616535994297935E-2</v>
      </c>
      <c r="K225" s="458"/>
      <c r="L225" s="163"/>
      <c r="M225" s="163"/>
    </row>
    <row r="226" spans="1:13">
      <c r="A226" s="158"/>
      <c r="B226" s="165" t="s">
        <v>64</v>
      </c>
      <c r="C226" s="504">
        <f>'[72]Sch D'!E9</f>
        <v>5972</v>
      </c>
      <c r="D226" s="480"/>
      <c r="E226" s="480"/>
      <c r="F226" s="224">
        <f t="shared" si="75"/>
        <v>5972</v>
      </c>
      <c r="G226" s="627"/>
      <c r="H226" s="223"/>
      <c r="I226" s="224">
        <f t="shared" si="76"/>
        <v>5972</v>
      </c>
      <c r="J226" s="167">
        <f t="shared" si="74"/>
        <v>0.53207412687099076</v>
      </c>
      <c r="K226" s="458"/>
      <c r="L226" s="163"/>
      <c r="M226" s="163"/>
    </row>
    <row r="227" spans="1:13">
      <c r="A227" s="158"/>
      <c r="B227" s="194" t="s">
        <v>315</v>
      </c>
      <c r="C227" s="504">
        <f>'[72]Sch D'!F9</f>
        <v>919</v>
      </c>
      <c r="D227" s="480"/>
      <c r="E227" s="480"/>
      <c r="F227" s="224">
        <f t="shared" si="75"/>
        <v>919</v>
      </c>
      <c r="G227" s="627"/>
      <c r="H227" s="223"/>
      <c r="I227" s="224">
        <f t="shared" si="76"/>
        <v>919</v>
      </c>
      <c r="J227" s="167">
        <f t="shared" si="74"/>
        <v>8.1878118317890242E-2</v>
      </c>
      <c r="K227" s="458"/>
      <c r="L227" s="163"/>
      <c r="M227" s="163"/>
    </row>
    <row r="228" spans="1:13">
      <c r="A228" s="158"/>
      <c r="B228" s="165" t="s">
        <v>65</v>
      </c>
      <c r="C228" s="504">
        <f>'[72]Sch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'[72]Sch D'!H9</f>
        <v>1018</v>
      </c>
      <c r="D229" s="480"/>
      <c r="E229" s="480"/>
      <c r="F229" s="224">
        <f t="shared" si="75"/>
        <v>1018</v>
      </c>
      <c r="G229" s="627"/>
      <c r="H229" s="223"/>
      <c r="I229" s="224">
        <f t="shared" si="76"/>
        <v>1018</v>
      </c>
      <c r="J229" s="167">
        <f t="shared" si="74"/>
        <v>9.0698503207412684E-2</v>
      </c>
      <c r="K229" s="458"/>
      <c r="L229" s="163"/>
      <c r="M229" s="163"/>
    </row>
    <row r="230" spans="1:13">
      <c r="A230" s="158"/>
      <c r="B230" s="165" t="s">
        <v>219</v>
      </c>
      <c r="C230" s="504">
        <f>'[72]Sch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'[72]Sch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'[72]Sch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11224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11224</v>
      </c>
      <c r="G233" s="226">
        <f t="shared" si="78"/>
        <v>0</v>
      </c>
      <c r="H233" s="226">
        <f t="shared" si="78"/>
        <v>0</v>
      </c>
      <c r="I233" s="226">
        <f t="shared" si="78"/>
        <v>11224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'[72]Sch D'!N22</f>
        <v>95</v>
      </c>
      <c r="D236" s="480"/>
      <c r="E236" s="480"/>
      <c r="F236" s="224">
        <f>C236+E236</f>
        <v>95</v>
      </c>
      <c r="G236" s="627"/>
      <c r="H236" s="224"/>
      <c r="I236" s="224">
        <f>F236+G236+H236</f>
        <v>95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'[72]Sch D'!N24</f>
        <v>95</v>
      </c>
      <c r="D237" s="480"/>
      <c r="E237" s="480"/>
      <c r="F237" s="224">
        <f>C237+E237</f>
        <v>95</v>
      </c>
      <c r="G237" s="627"/>
      <c r="H237" s="224"/>
      <c r="I237" s="224">
        <f>F237+G237+H237</f>
        <v>95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'[72]Sch D'!N28</f>
        <v>34675</v>
      </c>
      <c r="D240" s="427"/>
      <c r="E240" s="427"/>
      <c r="F240" s="223">
        <f>F236*F238</f>
        <v>34675</v>
      </c>
      <c r="G240"/>
      <c r="H240" s="228"/>
      <c r="I240" s="223">
        <f>I236*I238</f>
        <v>34675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'[72]Sch D'!N30</f>
        <v>0.32369142033165105</v>
      </c>
      <c r="D241" s="228"/>
      <c r="E241" s="228"/>
      <c r="F241" s="232">
        <f>F233/F240</f>
        <v>0.32369142033165105</v>
      </c>
      <c r="G241"/>
      <c r="H241" s="233"/>
      <c r="I241" s="232">
        <f>I233/I240</f>
        <v>0.32369142033165105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'[72]Sch D'!N32</f>
        <v>9.5602018745493872E-2</v>
      </c>
      <c r="D242" s="228"/>
      <c r="E242" s="228"/>
      <c r="F242" s="232">
        <f>(F224+F225)/F240</f>
        <v>9.5602018745493872E-2</v>
      </c>
      <c r="G242"/>
      <c r="H242" s="233"/>
      <c r="I242" s="232">
        <f>(I224+I225)/I240</f>
        <v>9.5602018745493872E-2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'[72]Sch D'!N34</f>
        <v>0.29534925160370634</v>
      </c>
      <c r="D243" s="228"/>
      <c r="E243" s="228"/>
      <c r="F243" s="232">
        <f>(F242/F241)</f>
        <v>0.29534925160370634</v>
      </c>
      <c r="G243"/>
      <c r="H243" s="233"/>
      <c r="I243" s="232">
        <f>(I242/I241)</f>
        <v>0.29534925160370634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'[72]Sch B'!C90</f>
        <v>419.95776031434184</v>
      </c>
      <c r="K246" s="460"/>
    </row>
    <row r="247" spans="1:13">
      <c r="H247" s="140" t="s">
        <v>322</v>
      </c>
      <c r="I247" s="480">
        <f>'[72]Sch B'!E90</f>
        <v>419.95776031434178</v>
      </c>
      <c r="K247" s="460"/>
    </row>
    <row r="248" spans="1:13">
      <c r="H248" s="140" t="s">
        <v>323</v>
      </c>
      <c r="I248" s="480">
        <f>'[72]Sch B'!G90</f>
        <v>419.9577603143419</v>
      </c>
      <c r="K248" s="460"/>
    </row>
    <row r="249" spans="1:13">
      <c r="H249" s="140" t="s">
        <v>324</v>
      </c>
      <c r="I249" s="480">
        <f>'[72]Sch B'!I90</f>
        <v>419.95776031434184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2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3320312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449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'[73]Sch A Pg 1'!B39</f>
        <v>42917</v>
      </c>
      <c r="D3" s="620"/>
      <c r="E3" s="142"/>
      <c r="F3" s="144"/>
      <c r="G3" s="144"/>
      <c r="H3" s="399"/>
    </row>
    <row r="4" spans="1:16">
      <c r="A4" s="143"/>
      <c r="B4" s="145" t="s">
        <v>72</v>
      </c>
      <c r="C4" s="557">
        <f>'[73]Sch A Pg 1'!G39</f>
        <v>43281</v>
      </c>
      <c r="D4" s="620"/>
      <c r="E4" s="142"/>
      <c r="F4" s="146"/>
      <c r="G4" s="146"/>
      <c r="H4" s="399"/>
      <c r="I4" s="147"/>
    </row>
    <row r="5" spans="1:16">
      <c r="A5" s="143"/>
      <c r="B5" s="145"/>
      <c r="C5" s="148"/>
      <c r="D5" s="148"/>
      <c r="E5" s="142"/>
      <c r="H5" s="411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'[73]Sch B'!E10</f>
        <v>2887478.1</v>
      </c>
      <c r="D12" s="480">
        <f>'[73]Sch B'!G10</f>
        <v>0</v>
      </c>
      <c r="E12" s="480"/>
      <c r="F12" s="166">
        <f>C12+D12+E12</f>
        <v>2887478.1</v>
      </c>
      <c r="G12" s="626"/>
      <c r="H12" s="607"/>
      <c r="I12" s="166">
        <f>F12+G12+H12</f>
        <v>2887478.1</v>
      </c>
      <c r="J12" s="167">
        <f>IF($I$26=0,0,I12/$I$26)</f>
        <v>0.33419193631622568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'[73]Sch B'!E12</f>
        <v>1398904.92</v>
      </c>
      <c r="D13" s="480">
        <f>'[73]Sch B'!G12</f>
        <v>917161.40999999992</v>
      </c>
      <c r="E13" s="480"/>
      <c r="F13" s="166">
        <f t="shared" ref="F13:F25" si="0">C13+D13+E13</f>
        <v>2316066.33</v>
      </c>
      <c r="G13" s="626"/>
      <c r="H13" s="607"/>
      <c r="I13" s="166">
        <f t="shared" ref="I13:I25" si="1">F13+G13+H13</f>
        <v>2316066.33</v>
      </c>
      <c r="J13" s="167">
        <f>IF($I$26=0,0,I13/$I$26)</f>
        <v>0.26805768378278422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'[73]Sch B'!E13</f>
        <v>65245.51</v>
      </c>
      <c r="D14" s="480">
        <f>'[73]Sch B'!G13</f>
        <v>0</v>
      </c>
      <c r="E14" s="480"/>
      <c r="F14" s="166">
        <f t="shared" si="0"/>
        <v>65245.51</v>
      </c>
      <c r="G14" s="626"/>
      <c r="H14" s="607"/>
      <c r="I14" s="166">
        <f t="shared" si="1"/>
        <v>65245.51</v>
      </c>
      <c r="J14" s="167">
        <f>IF($I$26=0,0,I14/$I$26)</f>
        <v>7.5514073415274274E-3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'[73]Sch B'!E14</f>
        <v>76701.45</v>
      </c>
      <c r="D15" s="480">
        <f>'[73]Sch B'!G14</f>
        <v>0</v>
      </c>
      <c r="E15" s="480"/>
      <c r="F15" s="166">
        <f t="shared" si="0"/>
        <v>76701.45</v>
      </c>
      <c r="G15" s="626"/>
      <c r="H15" s="607"/>
      <c r="I15" s="166">
        <f t="shared" si="1"/>
        <v>76701.45</v>
      </c>
      <c r="J15" s="167">
        <f>IF($I$26=0,0,I15/$I$26)</f>
        <v>8.87729887674721E-3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'[73]Sch B'!E15</f>
        <v>4428329.9800000004</v>
      </c>
      <c r="D16" s="480">
        <f>'[73]Sch B'!G15</f>
        <v>917161.40999999992</v>
      </c>
      <c r="E16" s="480"/>
      <c r="F16" s="166">
        <f t="shared" si="0"/>
        <v>5345491.3900000006</v>
      </c>
      <c r="G16" s="626"/>
      <c r="H16" s="607"/>
      <c r="I16" s="166">
        <f>SUM(I12:I15)</f>
        <v>5345491.3899999997</v>
      </c>
      <c r="J16" s="167">
        <f t="shared" ref="J16:J26" si="2">IF($I$26=0,0,I16/$I$26)</f>
        <v>0.61867832631728448</v>
      </c>
      <c r="K16" s="458"/>
      <c r="L16" s="333" t="s">
        <v>325</v>
      </c>
      <c r="M16" s="334">
        <f>I26</f>
        <v>8640178.8499999996</v>
      </c>
      <c r="O16" s="324">
        <f>IFERROR(I16/I224,0)</f>
        <v>348.49021383401782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'[73]Sch B'!E20</f>
        <v>0</v>
      </c>
      <c r="D17" s="480">
        <f>'[73]Sch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7675841.4599999981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'[73]Sch B'!E26</f>
        <v>1093994.25</v>
      </c>
      <c r="D18" s="480">
        <f>'[73]Sch B'!G26</f>
        <v>0</v>
      </c>
      <c r="E18" s="480"/>
      <c r="F18" s="166">
        <f t="shared" si="0"/>
        <v>1093994.25</v>
      </c>
      <c r="G18" s="626"/>
      <c r="H18" s="607"/>
      <c r="I18" s="166">
        <f t="shared" si="1"/>
        <v>1093994.25</v>
      </c>
      <c r="J18" s="167">
        <f t="shared" si="2"/>
        <v>0.12661708385816575</v>
      </c>
      <c r="K18" s="458"/>
      <c r="L18" s="335" t="s">
        <v>327</v>
      </c>
      <c r="M18" s="336">
        <f>I233</f>
        <v>26377</v>
      </c>
      <c r="O18" s="324">
        <f t="shared" si="3"/>
        <v>539.71102614701533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'[73]Sch B'!E32</f>
        <v>587875.12999999989</v>
      </c>
      <c r="D19" s="480">
        <f>'[73]Sch B'!G32</f>
        <v>0</v>
      </c>
      <c r="E19" s="480"/>
      <c r="F19" s="166">
        <f t="shared" si="0"/>
        <v>587875.12999999989</v>
      </c>
      <c r="G19" s="626"/>
      <c r="H19" s="607"/>
      <c r="I19" s="166">
        <f t="shared" si="1"/>
        <v>587875.12999999989</v>
      </c>
      <c r="J19" s="170">
        <f t="shared" si="2"/>
        <v>6.8039694571831677E-2</v>
      </c>
      <c r="K19" s="464"/>
      <c r="L19" s="335" t="s">
        <v>328</v>
      </c>
      <c r="M19" s="336">
        <f>I236</f>
        <v>140</v>
      </c>
      <c r="O19" s="324">
        <f t="shared" si="3"/>
        <v>241.52634757600651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'[73]Sch B'!E37</f>
        <v>0</v>
      </c>
      <c r="D20" s="480">
        <f>'[73]Sch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51100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'[73]Sch B'!E42</f>
        <v>1200580.82</v>
      </c>
      <c r="D21" s="480">
        <f>'[73]Sch B'!G42</f>
        <v>0</v>
      </c>
      <c r="E21" s="480"/>
      <c r="F21" s="166">
        <f t="shared" si="0"/>
        <v>1200580.82</v>
      </c>
      <c r="G21" s="626"/>
      <c r="H21" s="607"/>
      <c r="I21" s="166">
        <f t="shared" si="1"/>
        <v>1200580.82</v>
      </c>
      <c r="J21" s="167">
        <f t="shared" si="2"/>
        <v>0.13895323706175366</v>
      </c>
      <c r="K21" s="458"/>
      <c r="L21" s="337"/>
      <c r="M21" s="336"/>
      <c r="O21" s="324">
        <f t="shared" si="3"/>
        <v>270.40108558558558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'[73]Sch B'!E47</f>
        <v>352407.32</v>
      </c>
      <c r="D22" s="480">
        <f>'[73]Sch B'!G47</f>
        <v>0</v>
      </c>
      <c r="E22" s="480"/>
      <c r="F22" s="166">
        <f t="shared" si="0"/>
        <v>352407.32</v>
      </c>
      <c r="G22" s="626"/>
      <c r="H22" s="607"/>
      <c r="I22" s="166">
        <f t="shared" si="1"/>
        <v>352407.32</v>
      </c>
      <c r="J22" s="167">
        <f t="shared" si="2"/>
        <v>4.0787039958090687E-2</v>
      </c>
      <c r="K22" s="458"/>
      <c r="L22" s="335" t="s">
        <v>148</v>
      </c>
      <c r="M22" s="336">
        <f>L213</f>
        <v>178859.98000000004</v>
      </c>
      <c r="O22" s="324">
        <f t="shared" si="3"/>
        <v>191.83849755035385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'[73]Sch B'!E52</f>
        <v>59829.939999999995</v>
      </c>
      <c r="D23" s="480">
        <f>'[73]Sch B'!G52</f>
        <v>0</v>
      </c>
      <c r="E23" s="480"/>
      <c r="F23" s="166">
        <f t="shared" si="0"/>
        <v>59829.939999999995</v>
      </c>
      <c r="G23" s="626"/>
      <c r="H23" s="607"/>
      <c r="I23" s="166">
        <f t="shared" si="1"/>
        <v>59829.939999999995</v>
      </c>
      <c r="J23" s="167">
        <f t="shared" si="2"/>
        <v>6.924618232873732E-3</v>
      </c>
      <c r="K23" s="458"/>
      <c r="L23" s="338" t="s">
        <v>233</v>
      </c>
      <c r="M23" s="339">
        <f>M213</f>
        <v>185573.27000000005</v>
      </c>
      <c r="O23" s="324">
        <f t="shared" si="3"/>
        <v>199.43313333333333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'[73]Sch B'!E57</f>
        <v>0</v>
      </c>
      <c r="D24" s="480">
        <f>'[73]Sch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'[73]Sch B'!E72</f>
        <v>890.78</v>
      </c>
      <c r="D25" s="480">
        <f>'[73]Sch B'!G72</f>
        <v>-890.78</v>
      </c>
      <c r="E25" s="480"/>
      <c r="F25" s="166">
        <f t="shared" si="0"/>
        <v>0</v>
      </c>
      <c r="G25" s="626"/>
      <c r="H25" s="607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7723908.2200000016</v>
      </c>
      <c r="D26" s="480">
        <f t="shared" ref="D26:F26" si="4">SUM(D16:D25)</f>
        <v>916270.62999999989</v>
      </c>
      <c r="E26" s="480">
        <f t="shared" si="4"/>
        <v>0</v>
      </c>
      <c r="F26" s="166">
        <f t="shared" si="4"/>
        <v>8640178.8499999996</v>
      </c>
      <c r="G26" s="166">
        <f>SUM(G12:G25)</f>
        <v>0</v>
      </c>
      <c r="H26" s="166">
        <f>SUM(H12:H25)</f>
        <v>0</v>
      </c>
      <c r="I26" s="166">
        <f>SUM(I16:I25)</f>
        <v>8640178.8499999996</v>
      </c>
      <c r="J26" s="167">
        <f t="shared" si="2"/>
        <v>1</v>
      </c>
      <c r="K26" s="458"/>
      <c r="L26" s="163"/>
      <c r="M26" s="163"/>
      <c r="O26" s="324">
        <f>IFERROR(I26/I233,0)</f>
        <v>327.56488038821698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'[73]Sch C'!D10</f>
        <v>111626.51</v>
      </c>
      <c r="D30" s="480">
        <f>'[73]Sch C'!F10</f>
        <v>5838</v>
      </c>
      <c r="E30" s="480">
        <f>+'[73]Sch C'!H10</f>
        <v>0</v>
      </c>
      <c r="F30" s="166">
        <f t="shared" ref="F30:F65" si="5">C30+D30+E30</f>
        <v>117464.51</v>
      </c>
      <c r="G30" s="626"/>
      <c r="H30" s="607"/>
      <c r="I30" s="166">
        <f t="shared" ref="I30:I65" si="6">F30+G30+H30</f>
        <v>117464.51</v>
      </c>
      <c r="J30" s="167">
        <f>IF($I$213=0,0,I30/$I$213)</f>
        <v>1.5303144366923913E-2</v>
      </c>
      <c r="K30" s="458"/>
      <c r="L30" s="176">
        <v>1841</v>
      </c>
      <c r="M30" s="176">
        <v>1841</v>
      </c>
      <c r="O30" s="324">
        <f>I30/I$233</f>
        <v>4.4532930204344696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'[73]Sch C'!D11</f>
        <v>0</v>
      </c>
      <c r="D31" s="480">
        <f>'[73]Sch C'!F11</f>
        <v>0</v>
      </c>
      <c r="E31" s="480">
        <f>+'[73]Sch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'[73]Sch C'!D12</f>
        <v>205821.7</v>
      </c>
      <c r="D32" s="480">
        <f>'[73]Sch C'!F12</f>
        <v>-63703.01</v>
      </c>
      <c r="E32" s="480">
        <f>+'[73]Sch C'!H12</f>
        <v>0</v>
      </c>
      <c r="F32" s="166">
        <f t="shared" si="5"/>
        <v>142118.69</v>
      </c>
      <c r="G32" s="626"/>
      <c r="H32" s="607"/>
      <c r="I32" s="166">
        <f t="shared" si="6"/>
        <v>142118.69</v>
      </c>
      <c r="J32" s="167">
        <f t="shared" si="7"/>
        <v>1.8515063233210661E-2</v>
      </c>
      <c r="K32" s="458"/>
      <c r="L32" s="176">
        <v>7938.1</v>
      </c>
      <c r="M32" s="176">
        <v>8439.01</v>
      </c>
      <c r="O32" s="324">
        <f t="shared" si="8"/>
        <v>5.3879777836751712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'[73]Sch C'!D13</f>
        <v>72767.92</v>
      </c>
      <c r="D33" s="480">
        <f>'[73]Sch C'!F13</f>
        <v>-13275.4</v>
      </c>
      <c r="E33" s="480">
        <f>+'[73]Sch C'!H13</f>
        <v>0</v>
      </c>
      <c r="F33" s="166">
        <f t="shared" si="5"/>
        <v>59492.52</v>
      </c>
      <c r="G33" s="626">
        <v>-5822</v>
      </c>
      <c r="H33" s="607"/>
      <c r="I33" s="166">
        <f t="shared" si="6"/>
        <v>53670.52</v>
      </c>
      <c r="J33" s="167">
        <f t="shared" si="7"/>
        <v>6.9921350355769346E-3</v>
      </c>
      <c r="K33" s="458"/>
      <c r="L33" s="163"/>
      <c r="M33" s="163"/>
      <c r="O33" s="324">
        <f t="shared" si="8"/>
        <v>2.0347469386207679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'[73]Sch C'!D14</f>
        <v>0</v>
      </c>
      <c r="D34" s="480">
        <f>'[73]Sch C'!F14</f>
        <v>0</v>
      </c>
      <c r="E34" s="480">
        <f>+'[73]Sch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'[73]Sch C'!D15</f>
        <v>472128.51</v>
      </c>
      <c r="D35" s="480">
        <f>'[73]Sch C'!F15+472129</f>
        <v>0.48999999999068677</v>
      </c>
      <c r="E35" s="480">
        <f>+'[73]Sch C'!H15</f>
        <v>0</v>
      </c>
      <c r="F35" s="166">
        <f t="shared" si="5"/>
        <v>472129</v>
      </c>
      <c r="G35" s="626"/>
      <c r="H35" s="480">
        <v>-472128.51</v>
      </c>
      <c r="I35" s="166">
        <f t="shared" si="6"/>
        <v>0.48999999999068677</v>
      </c>
      <c r="J35" s="167">
        <f t="shared" si="7"/>
        <v>6.383664938158935E-8</v>
      </c>
      <c r="K35" s="458"/>
      <c r="L35" s="163"/>
      <c r="M35" s="163"/>
      <c r="O35" s="324">
        <f t="shared" si="8"/>
        <v>1.8576790385210097E-5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'[73]Sch C'!D16</f>
        <v>0</v>
      </c>
      <c r="D36" s="480">
        <f>'[73]Sch C'!F16-304471</f>
        <v>0</v>
      </c>
      <c r="E36" s="480">
        <f>+'[73]Sch C'!H16</f>
        <v>0</v>
      </c>
      <c r="F36" s="166">
        <f t="shared" si="5"/>
        <v>0</v>
      </c>
      <c r="G36" s="626"/>
      <c r="H36" s="480">
        <v>304471</v>
      </c>
      <c r="I36" s="166">
        <f t="shared" si="6"/>
        <v>304471</v>
      </c>
      <c r="J36" s="167">
        <f t="shared" si="7"/>
        <v>3.9666139743329207E-2</v>
      </c>
      <c r="K36" s="458"/>
      <c r="L36" s="163"/>
      <c r="M36" s="163"/>
      <c r="O36" s="324">
        <f t="shared" si="8"/>
        <v>11.543048868332258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'[73]Sch C'!D17</f>
        <v>0</v>
      </c>
      <c r="D37" s="480">
        <f>'[73]Sch C'!F17</f>
        <v>0</v>
      </c>
      <c r="E37" s="480">
        <f>+'[73]Sch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'[73]Sch C'!D18</f>
        <v>10820.89</v>
      </c>
      <c r="D38" s="480">
        <f>'[73]Sch C'!F18</f>
        <v>0</v>
      </c>
      <c r="E38" s="480">
        <f>+'[73]Sch C'!H18</f>
        <v>0</v>
      </c>
      <c r="F38" s="166">
        <f t="shared" si="5"/>
        <v>10820.89</v>
      </c>
      <c r="G38" s="626"/>
      <c r="H38" s="607"/>
      <c r="I38" s="166">
        <f t="shared" si="6"/>
        <v>10820.89</v>
      </c>
      <c r="J38" s="167">
        <f t="shared" si="7"/>
        <v>1.4097333896732154E-3</v>
      </c>
      <c r="K38" s="458"/>
      <c r="L38" s="163"/>
      <c r="M38" s="163"/>
      <c r="O38" s="324">
        <f t="shared" si="8"/>
        <v>0.41023960268415666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'[73]Sch C'!D19</f>
        <v>41314.54</v>
      </c>
      <c r="D39" s="480">
        <f>'[73]Sch C'!F19-3089</f>
        <v>0</v>
      </c>
      <c r="E39" s="480">
        <f>+'[73]Sch C'!H19</f>
        <v>0</v>
      </c>
      <c r="F39" s="166">
        <f t="shared" si="5"/>
        <v>41314.54</v>
      </c>
      <c r="G39" s="626"/>
      <c r="H39" s="480">
        <v>3089</v>
      </c>
      <c r="I39" s="166">
        <f t="shared" si="6"/>
        <v>44403.54</v>
      </c>
      <c r="J39" s="167">
        <f t="shared" si="7"/>
        <v>5.7848432945617418E-3</v>
      </c>
      <c r="K39" s="458"/>
      <c r="L39" s="163"/>
      <c r="M39" s="163"/>
      <c r="O39" s="324">
        <f t="shared" si="8"/>
        <v>1.683418887667286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'[73]Sch C'!D20</f>
        <v>20668.04</v>
      </c>
      <c r="D40" s="480">
        <f>'[73]Sch C'!F20+2902</f>
        <v>0</v>
      </c>
      <c r="E40" s="480">
        <f>+'[73]Sch C'!H20</f>
        <v>0</v>
      </c>
      <c r="F40" s="166">
        <f t="shared" si="5"/>
        <v>20668.04</v>
      </c>
      <c r="G40" s="626"/>
      <c r="H40" s="480">
        <v>-2902</v>
      </c>
      <c r="I40" s="166">
        <f t="shared" si="6"/>
        <v>17766.04</v>
      </c>
      <c r="J40" s="167">
        <f t="shared" si="7"/>
        <v>2.3145397273486683E-3</v>
      </c>
      <c r="K40" s="458"/>
      <c r="L40" s="163"/>
      <c r="M40" s="163"/>
      <c r="O40" s="324">
        <f t="shared" si="8"/>
        <v>0.67354285930924673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'[73]Sch C'!D21</f>
        <v>15781.85</v>
      </c>
      <c r="D41" s="480">
        <f>'[73]Sch C'!F21-21065</f>
        <v>0</v>
      </c>
      <c r="E41" s="480">
        <f>+'[73]Sch C'!H21</f>
        <v>0</v>
      </c>
      <c r="F41" s="166">
        <f t="shared" si="5"/>
        <v>15781.85</v>
      </c>
      <c r="G41" s="626"/>
      <c r="H41" s="480">
        <v>21065</v>
      </c>
      <c r="I41" s="166">
        <f t="shared" si="6"/>
        <v>36846.85</v>
      </c>
      <c r="J41" s="167">
        <f t="shared" si="7"/>
        <v>4.8003662128790255E-3</v>
      </c>
      <c r="K41" s="458"/>
      <c r="L41" s="163"/>
      <c r="M41" s="163"/>
      <c r="O41" s="324">
        <f t="shared" si="8"/>
        <v>1.3969310384046707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'[73]Sch C'!D22</f>
        <v>0</v>
      </c>
      <c r="D42" s="480">
        <f>'[73]Sch C'!F22</f>
        <v>0</v>
      </c>
      <c r="E42" s="480">
        <f>+'[73]Sch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'[73]Sch C'!D23</f>
        <v>33231.65</v>
      </c>
      <c r="D43" s="480">
        <f>'[73]Sch C'!F23-20328</f>
        <v>0</v>
      </c>
      <c r="E43" s="480">
        <f>+'[73]Sch C'!H23</f>
        <v>0</v>
      </c>
      <c r="F43" s="166">
        <f t="shared" si="5"/>
        <v>33231.65</v>
      </c>
      <c r="G43" s="626">
        <v>860</v>
      </c>
      <c r="H43" s="480">
        <v>20328</v>
      </c>
      <c r="I43" s="166">
        <f t="shared" si="6"/>
        <v>54419.65</v>
      </c>
      <c r="J43" s="167">
        <f t="shared" si="7"/>
        <v>7.0897308501731374E-3</v>
      </c>
      <c r="K43" s="458"/>
      <c r="L43" s="163"/>
      <c r="M43" s="163"/>
      <c r="O43" s="324">
        <f t="shared" si="8"/>
        <v>2.063147818174925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'[73]Sch C'!D24</f>
        <v>58899.17</v>
      </c>
      <c r="D44" s="480">
        <f>'[73]Sch C'!F24</f>
        <v>0</v>
      </c>
      <c r="E44" s="480">
        <f>+'[73]Sch C'!H24</f>
        <v>0</v>
      </c>
      <c r="F44" s="166">
        <f t="shared" si="5"/>
        <v>58899.17</v>
      </c>
      <c r="G44" s="626"/>
      <c r="H44" s="607"/>
      <c r="I44" s="166">
        <f t="shared" si="6"/>
        <v>58899.17</v>
      </c>
      <c r="J44" s="167">
        <f t="shared" si="7"/>
        <v>7.6733176820981417E-3</v>
      </c>
      <c r="K44" s="458"/>
      <c r="L44" s="163"/>
      <c r="M44" s="163"/>
      <c r="O44" s="324">
        <f t="shared" si="8"/>
        <v>2.232974561170717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'[73]Sch C'!D25</f>
        <v>0</v>
      </c>
      <c r="D45" s="480">
        <f>'[73]Sch C'!F25</f>
        <v>0</v>
      </c>
      <c r="E45" s="480">
        <f>+'[73]Sch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'[73]Sch C'!D26</f>
        <v>459797.68</v>
      </c>
      <c r="D46" s="480">
        <f>'[73]Sch C'!F26</f>
        <v>0</v>
      </c>
      <c r="E46" s="480">
        <f>+'[73]Sch C'!H26</f>
        <v>0</v>
      </c>
      <c r="F46" s="166">
        <f t="shared" si="5"/>
        <v>459797.68</v>
      </c>
      <c r="G46" s="626"/>
      <c r="H46" s="607"/>
      <c r="I46" s="166">
        <f t="shared" si="6"/>
        <v>459797.68</v>
      </c>
      <c r="J46" s="167">
        <f t="shared" si="7"/>
        <v>5.990192507180836E-2</v>
      </c>
      <c r="K46" s="458"/>
      <c r="L46" s="163"/>
      <c r="M46" s="163"/>
      <c r="O46" s="324">
        <f t="shared" si="8"/>
        <v>17.431765553322972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'[73]Sch C'!D27</f>
        <v>229.16</v>
      </c>
      <c r="D47" s="480">
        <f>'[73]Sch C'!F27-18082</f>
        <v>0.22000000000116415</v>
      </c>
      <c r="E47" s="480">
        <f>+'[73]Sch C'!H27</f>
        <v>0</v>
      </c>
      <c r="F47" s="166">
        <f t="shared" si="5"/>
        <v>229.38000000000116</v>
      </c>
      <c r="G47" s="626"/>
      <c r="H47" s="480">
        <v>18082.22</v>
      </c>
      <c r="I47" s="166">
        <f t="shared" si="6"/>
        <v>18311.600000000002</v>
      </c>
      <c r="J47" s="167">
        <f t="shared" si="7"/>
        <v>2.3856146710982233E-3</v>
      </c>
      <c r="K47" s="458"/>
      <c r="L47" s="163"/>
      <c r="M47" s="163"/>
      <c r="O47" s="324">
        <f t="shared" si="8"/>
        <v>0.69422603025363017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'[73]Sch C'!D28</f>
        <v>0</v>
      </c>
      <c r="D48" s="480">
        <f>'[73]Sch C'!F28</f>
        <v>0</v>
      </c>
      <c r="E48" s="480">
        <f>+'[73]Sch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'[73]Sch C'!D29</f>
        <v>749956.47</v>
      </c>
      <c r="D49" s="480">
        <f>'[73]Sch C'!F29</f>
        <v>-749956.47</v>
      </c>
      <c r="E49" s="480">
        <f>+'[73]Sch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'[73]Sch C'!D30</f>
        <v>0</v>
      </c>
      <c r="D50" s="480">
        <f>'[73]Sch C'!F30</f>
        <v>0</v>
      </c>
      <c r="E50" s="480">
        <f>+'[73]Sch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'[73]Sch C'!D31</f>
        <v>0</v>
      </c>
      <c r="D51" s="480">
        <f>'[73]Sch C'!F31</f>
        <v>0</v>
      </c>
      <c r="E51" s="480">
        <f>+'[73]Sch C'!H31</f>
        <v>0</v>
      </c>
      <c r="F51" s="166">
        <f t="shared" si="5"/>
        <v>0</v>
      </c>
      <c r="G51" s="626">
        <v>66569</v>
      </c>
      <c r="H51" s="607"/>
      <c r="I51" s="166">
        <f t="shared" si="6"/>
        <v>66569</v>
      </c>
      <c r="J51" s="167">
        <f t="shared" si="7"/>
        <v>8.6725345158444704E-3</v>
      </c>
      <c r="K51" s="458"/>
      <c r="L51" s="163"/>
      <c r="M51" s="163"/>
      <c r="O51" s="324">
        <f t="shared" si="8"/>
        <v>2.5237517534215415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'[73]Sch C'!D32</f>
        <v>161273.5</v>
      </c>
      <c r="D52" s="480">
        <f>'[73]Sch C'!F32-7077</f>
        <v>0</v>
      </c>
      <c r="E52" s="480">
        <f>+'[73]Sch C'!H32</f>
        <v>0</v>
      </c>
      <c r="F52" s="166">
        <f t="shared" si="5"/>
        <v>161273.5</v>
      </c>
      <c r="G52" s="626"/>
      <c r="H52" s="480">
        <v>7077</v>
      </c>
      <c r="I52" s="166">
        <f t="shared" si="6"/>
        <v>168350.5</v>
      </c>
      <c r="J52" s="167">
        <f t="shared" si="7"/>
        <v>2.1932513963101061E-2</v>
      </c>
      <c r="K52" s="458"/>
      <c r="L52" s="163"/>
      <c r="M52" s="163"/>
      <c r="O52" s="324">
        <f t="shared" si="8"/>
        <v>6.3824733669484779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'[73]Sch C'!D33</f>
        <v>0</v>
      </c>
      <c r="D53" s="480">
        <f>'[73]Sch C'!F33</f>
        <v>0</v>
      </c>
      <c r="E53" s="480">
        <f>+'[73]Sch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'[73]Sch C'!D34</f>
        <v>0</v>
      </c>
      <c r="D54" s="480">
        <f>'[73]Sch C'!F34</f>
        <v>0</v>
      </c>
      <c r="E54" s="480">
        <f>+'[73]Sch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'[73]Sch C'!D35</f>
        <v>0</v>
      </c>
      <c r="D55" s="480">
        <f>'[73]Sch C'!F35</f>
        <v>0</v>
      </c>
      <c r="E55" s="480">
        <f>+'[73]Sch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'[73]Sch C'!D36</f>
        <v>0</v>
      </c>
      <c r="D56" s="480">
        <f>'[73]Sch C'!F36</f>
        <v>0</v>
      </c>
      <c r="E56" s="480">
        <f>+'[73]Sch C'!H36</f>
        <v>0</v>
      </c>
      <c r="F56" s="166">
        <f t="shared" si="5"/>
        <v>0</v>
      </c>
      <c r="G56" s="626"/>
      <c r="H56" s="607">
        <v>32034</v>
      </c>
      <c r="I56" s="166">
        <f t="shared" si="6"/>
        <v>32034</v>
      </c>
      <c r="J56" s="167">
        <f t="shared" si="7"/>
        <v>4.1733535231197969E-3</v>
      </c>
      <c r="K56" s="458"/>
      <c r="L56" s="176">
        <v>0</v>
      </c>
      <c r="M56" s="176">
        <v>0</v>
      </c>
      <c r="O56" s="324">
        <f t="shared" si="8"/>
        <v>1.2144671494104713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'[73]Sch C'!D37</f>
        <v>0</v>
      </c>
      <c r="D57" s="480">
        <f>'[73]Sch C'!F37</f>
        <v>0</v>
      </c>
      <c r="E57" s="480">
        <f>+'[73]Sch C'!H37</f>
        <v>0</v>
      </c>
      <c r="F57" s="166">
        <f t="shared" si="5"/>
        <v>0</v>
      </c>
      <c r="G57" s="626"/>
      <c r="H57" s="607">
        <v>6111</v>
      </c>
      <c r="I57" s="166">
        <f t="shared" si="6"/>
        <v>6111</v>
      </c>
      <c r="J57" s="167">
        <f t="shared" si="7"/>
        <v>7.9613421301695324E-4</v>
      </c>
      <c r="K57" s="458"/>
      <c r="L57" s="163"/>
      <c r="M57" s="163"/>
      <c r="O57" s="324">
        <f t="shared" si="8"/>
        <v>0.23167911437995223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'[73]Sch C'!D38</f>
        <v>0</v>
      </c>
      <c r="D58" s="480">
        <f>'[73]Sch C'!F38</f>
        <v>0</v>
      </c>
      <c r="E58" s="480">
        <f>+'[73]Sch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'[73]Sch C'!D39</f>
        <v>10656.66</v>
      </c>
      <c r="D59" s="480">
        <f>'[73]Sch C'!F39-4741</f>
        <v>0</v>
      </c>
      <c r="E59" s="480">
        <f>+'[73]Sch C'!H39</f>
        <v>0</v>
      </c>
      <c r="F59" s="166">
        <f t="shared" si="5"/>
        <v>10656.66</v>
      </c>
      <c r="G59" s="626"/>
      <c r="H59" s="480">
        <v>4741</v>
      </c>
      <c r="I59" s="166">
        <f t="shared" si="6"/>
        <v>15397.66</v>
      </c>
      <c r="J59" s="167">
        <f t="shared" si="7"/>
        <v>2.0059898423175617E-3</v>
      </c>
      <c r="K59" s="458"/>
      <c r="L59" s="163"/>
      <c r="M59" s="163"/>
      <c r="O59" s="324">
        <f t="shared" si="8"/>
        <v>0.58375326989422605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'[73]Sch C'!D40</f>
        <v>11050.87</v>
      </c>
      <c r="D60" s="480">
        <f>'[73]Sch C'!F40</f>
        <v>-11050.87</v>
      </c>
      <c r="E60" s="480">
        <f>+'[73]Sch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'[73]Sch C'!D41</f>
        <v>26918.41</v>
      </c>
      <c r="D61" s="480">
        <f>'[73]Sch C'!F41-56134</f>
        <v>0</v>
      </c>
      <c r="E61" s="480">
        <f>+'[73]Sch C'!H41</f>
        <v>0</v>
      </c>
      <c r="F61" s="166">
        <f t="shared" si="5"/>
        <v>26918.41</v>
      </c>
      <c r="G61" s="626"/>
      <c r="H61" s="480">
        <v>56134</v>
      </c>
      <c r="I61" s="166">
        <f t="shared" si="6"/>
        <v>83052.41</v>
      </c>
      <c r="J61" s="167">
        <f t="shared" si="7"/>
        <v>1.0819974648095457E-2</v>
      </c>
      <c r="K61" s="458"/>
      <c r="L61" s="163"/>
      <c r="M61" s="163"/>
      <c r="O61" s="324">
        <f t="shared" si="8"/>
        <v>3.1486677787466353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'[73]Sch C'!D42</f>
        <v>42.5</v>
      </c>
      <c r="D62" s="480">
        <f>'[73]Sch C'!F42-3427</f>
        <v>0</v>
      </c>
      <c r="E62" s="480">
        <f>+'[73]Sch C'!H42</f>
        <v>0</v>
      </c>
      <c r="F62" s="166">
        <f t="shared" si="5"/>
        <v>42.5</v>
      </c>
      <c r="G62" s="626"/>
      <c r="H62" s="480">
        <v>3427</v>
      </c>
      <c r="I62" s="166">
        <f t="shared" si="6"/>
        <v>3469.5</v>
      </c>
      <c r="J62" s="167">
        <f t="shared" si="7"/>
        <v>4.5200256129313031E-4</v>
      </c>
      <c r="K62" s="458"/>
      <c r="L62" s="163"/>
      <c r="M62" s="163"/>
      <c r="O62" s="324">
        <f t="shared" si="8"/>
        <v>0.13153504947492134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'[73]Sch C'!D43</f>
        <v>0</v>
      </c>
      <c r="D63" s="480">
        <f>'[73]Sch C'!F43</f>
        <v>0</v>
      </c>
      <c r="E63" s="480">
        <f>+'[73]Sch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'[73]Sch C'!D44</f>
        <v>0</v>
      </c>
      <c r="D64" s="480">
        <f>'[73]Sch C'!F44</f>
        <v>0</v>
      </c>
      <c r="E64" s="480">
        <f>+'[73]Sch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'[73]Sch C'!D45</f>
        <v>10976.66</v>
      </c>
      <c r="D65" s="480">
        <f>'[73]Sch C'!F45-11</f>
        <v>0</v>
      </c>
      <c r="E65" s="480">
        <f>+'[73]Sch C'!H45</f>
        <v>0</v>
      </c>
      <c r="F65" s="166">
        <f t="shared" si="5"/>
        <v>10976.66</v>
      </c>
      <c r="G65" s="626">
        <v>13831</v>
      </c>
      <c r="H65" s="480">
        <v>11</v>
      </c>
      <c r="I65" s="166">
        <f t="shared" si="6"/>
        <v>24818.66</v>
      </c>
      <c r="J65" s="167">
        <f t="shared" si="7"/>
        <v>3.2333471358591617E-3</v>
      </c>
      <c r="K65" s="458"/>
      <c r="L65" s="163"/>
      <c r="M65" s="163"/>
      <c r="O65" s="324">
        <f t="shared" si="8"/>
        <v>0.94092049891951324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2473962.6900000004</v>
      </c>
      <c r="D66" s="480">
        <f t="shared" si="9"/>
        <v>-832147.03999999992</v>
      </c>
      <c r="E66" s="480">
        <f t="shared" si="9"/>
        <v>0</v>
      </c>
      <c r="F66" s="166">
        <f t="shared" ref="F66:I66" si="10">SUM(F30:F65)</f>
        <v>1641815.6499999997</v>
      </c>
      <c r="G66" s="166">
        <f t="shared" si="10"/>
        <v>75438</v>
      </c>
      <c r="H66" s="166">
        <f t="shared" si="10"/>
        <v>1539.7099999999919</v>
      </c>
      <c r="I66" s="166">
        <f t="shared" si="10"/>
        <v>1718793.3599999999</v>
      </c>
      <c r="J66" s="178">
        <f t="shared" si="7"/>
        <v>0.2239224675179782</v>
      </c>
      <c r="K66" s="465"/>
      <c r="L66" s="163"/>
      <c r="M66" s="163"/>
      <c r="O66" s="329">
        <f>I66/I$233</f>
        <v>65.162579520036388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'[73]Sch C'!D57</f>
        <v>1026000</v>
      </c>
      <c r="D69" s="480">
        <f>'[73]Sch C'!F57</f>
        <v>0</v>
      </c>
      <c r="E69" s="480">
        <f>+'[73]Sch C'!H57</f>
        <v>-1026000</v>
      </c>
      <c r="F69" s="166">
        <f>C69+D69+E69</f>
        <v>0</v>
      </c>
      <c r="G69" s="626"/>
      <c r="H69" s="607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'[73]Sch C'!D58</f>
        <v>9515.36</v>
      </c>
      <c r="D70" s="480">
        <f>'[73]Sch C'!F58-9007</f>
        <v>0</v>
      </c>
      <c r="E70" s="480">
        <f>+'[73]Sch C'!H58</f>
        <v>168333.36</v>
      </c>
      <c r="F70" s="166">
        <f t="shared" ref="F70:F83" si="13">C70+D70+E70</f>
        <v>177848.71999999997</v>
      </c>
      <c r="G70" s="626"/>
      <c r="H70" s="480">
        <v>9007</v>
      </c>
      <c r="I70" s="166">
        <f t="shared" ref="I70:I83" si="14">F70+G70+H70</f>
        <v>186855.71999999997</v>
      </c>
      <c r="J70" s="167">
        <f t="shared" si="11"/>
        <v>2.4343353230226829E-2</v>
      </c>
      <c r="K70" s="458"/>
      <c r="L70" s="182"/>
      <c r="M70" s="163"/>
      <c r="O70" s="324">
        <f t="shared" si="12"/>
        <v>7.0840398832316023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'[73]Sch C'!D59</f>
        <v>0</v>
      </c>
      <c r="D71" s="480">
        <f>'[73]Sch C'!F59</f>
        <v>0</v>
      </c>
      <c r="E71" s="480">
        <f>+'[73]Sch C'!H59</f>
        <v>620991.41</v>
      </c>
      <c r="F71" s="166">
        <f t="shared" si="13"/>
        <v>620991.41</v>
      </c>
      <c r="G71" s="626"/>
      <c r="H71" s="607"/>
      <c r="I71" s="166">
        <f t="shared" si="14"/>
        <v>620991.41</v>
      </c>
      <c r="J71" s="167">
        <f t="shared" si="11"/>
        <v>8.090206308143319E-2</v>
      </c>
      <c r="K71" s="458"/>
      <c r="L71" s="182"/>
      <c r="M71" s="163"/>
      <c r="O71" s="324">
        <f t="shared" si="12"/>
        <v>23.542912764908824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'[73]Sch C'!D60</f>
        <v>72515.34</v>
      </c>
      <c r="D72" s="480">
        <f>'[73]Sch C'!F60</f>
        <v>-7200.4</v>
      </c>
      <c r="E72" s="480">
        <f>+'[73]Sch C'!H60</f>
        <v>0</v>
      </c>
      <c r="F72" s="166">
        <f t="shared" si="13"/>
        <v>65314.939999999995</v>
      </c>
      <c r="G72" s="626"/>
      <c r="H72" s="607"/>
      <c r="I72" s="166">
        <f t="shared" si="14"/>
        <v>65314.939999999995</v>
      </c>
      <c r="J72" s="167">
        <f t="shared" si="11"/>
        <v>8.5091569882424344E-3</v>
      </c>
      <c r="K72" s="458"/>
      <c r="L72" s="185"/>
      <c r="M72" s="163"/>
      <c r="O72" s="324">
        <f t="shared" si="12"/>
        <v>2.476208060052318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'[73]Sch C'!D61</f>
        <v>21297.55</v>
      </c>
      <c r="D73" s="480">
        <f>'[73]Sch C'!F61-2022</f>
        <v>0</v>
      </c>
      <c r="E73" s="480">
        <f>+'[73]Sch C'!H61</f>
        <v>0</v>
      </c>
      <c r="F73" s="166">
        <f t="shared" si="13"/>
        <v>21297.55</v>
      </c>
      <c r="G73" s="626"/>
      <c r="H73" s="480">
        <v>2022</v>
      </c>
      <c r="I73" s="166">
        <f t="shared" si="14"/>
        <v>23319.55</v>
      </c>
      <c r="J73" s="167">
        <f t="shared" si="11"/>
        <v>3.0380447696219098E-3</v>
      </c>
      <c r="K73" s="458"/>
      <c r="L73" s="185"/>
      <c r="M73" s="163"/>
      <c r="O73" s="324">
        <f t="shared" si="12"/>
        <v>0.88408651476665279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'[73]Sch C'!D62</f>
        <v>0</v>
      </c>
      <c r="D74" s="480">
        <f>'[73]Sch C'!F62</f>
        <v>0</v>
      </c>
      <c r="E74" s="480">
        <f>+'[73]Sch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'[73]Sch C'!D63</f>
        <v>0</v>
      </c>
      <c r="D75" s="480">
        <f>'[73]Sch C'!F63</f>
        <v>0</v>
      </c>
      <c r="E75" s="480">
        <f>+'[73]Sch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'[73]Sch C'!D64</f>
        <v>0</v>
      </c>
      <c r="D76" s="480">
        <f>'[73]Sch C'!F64</f>
        <v>0</v>
      </c>
      <c r="E76" s="480">
        <f>+'[73]Sch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'[73]Sch C'!D65</f>
        <v>0</v>
      </c>
      <c r="D77" s="480">
        <f>'[73]Sch C'!F65</f>
        <v>0</v>
      </c>
      <c r="E77" s="480">
        <f>+'[73]Sch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'[73]Sch C'!D66</f>
        <v>0</v>
      </c>
      <c r="D78" s="480">
        <f>'[73]Sch C'!F66</f>
        <v>0</v>
      </c>
      <c r="E78" s="480">
        <f>+'[73]Sch C'!H66</f>
        <v>0</v>
      </c>
      <c r="F78" s="166">
        <f t="shared" si="13"/>
        <v>0</v>
      </c>
      <c r="G78" s="626"/>
      <c r="H78" s="607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'[73]Sch C'!D67</f>
        <v>23752.76</v>
      </c>
      <c r="D79" s="480">
        <f>'[73]Sch C'!F67-29064</f>
        <v>0</v>
      </c>
      <c r="E79" s="480">
        <f>+'[73]Sch C'!H67</f>
        <v>0</v>
      </c>
      <c r="F79" s="166">
        <f t="shared" si="13"/>
        <v>23752.76</v>
      </c>
      <c r="G79" s="626"/>
      <c r="H79" s="480">
        <v>29064</v>
      </c>
      <c r="I79" s="166">
        <f t="shared" si="14"/>
        <v>52816.759999999995</v>
      </c>
      <c r="J79" s="167">
        <f t="shared" si="11"/>
        <v>6.8809081421543593E-3</v>
      </c>
      <c r="K79" s="458"/>
      <c r="L79" s="187"/>
      <c r="M79" s="163"/>
      <c r="O79" s="324">
        <f t="shared" si="12"/>
        <v>2.0023793456420362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'[73]Sch C'!D68</f>
        <v>0</v>
      </c>
      <c r="D80" s="480">
        <f>'[73]Sch C'!F68</f>
        <v>0</v>
      </c>
      <c r="E80" s="480">
        <f>+'[73]Sch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'[73]Sch C'!D69</f>
        <v>7824.36</v>
      </c>
      <c r="D81" s="480">
        <f>'[73]Sch C'!F69</f>
        <v>0</v>
      </c>
      <c r="E81" s="480">
        <f>+'[73]Sch C'!H69</f>
        <v>0</v>
      </c>
      <c r="F81" s="166">
        <f t="shared" si="13"/>
        <v>7824.36</v>
      </c>
      <c r="G81" s="626"/>
      <c r="H81" s="607"/>
      <c r="I81" s="166">
        <f t="shared" si="14"/>
        <v>7824.36</v>
      </c>
      <c r="J81" s="167">
        <f t="shared" si="11"/>
        <v>1.0193488284996445E-3</v>
      </c>
      <c r="K81" s="458"/>
      <c r="L81" s="187"/>
      <c r="M81" s="163"/>
      <c r="O81" s="324">
        <f t="shared" si="12"/>
        <v>0.2966357053493574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'[73]Sch C'!D70</f>
        <v>0</v>
      </c>
      <c r="D82" s="480">
        <f>'[73]Sch C'!F70</f>
        <v>0</v>
      </c>
      <c r="E82" s="480">
        <f>+'[73]Sch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'[73]Sch C'!D71</f>
        <v>0</v>
      </c>
      <c r="D83" s="480">
        <f>'[73]Sch C'!F71</f>
        <v>0</v>
      </c>
      <c r="E83" s="480">
        <f>+'[73]Sch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1160905.3700000001</v>
      </c>
      <c r="D84" s="480">
        <f t="shared" si="15"/>
        <v>-7200.4</v>
      </c>
      <c r="E84" s="480">
        <f t="shared" si="15"/>
        <v>-236675.22999999998</v>
      </c>
      <c r="F84" s="166">
        <f t="shared" ref="F84:I84" si="16">SUM(F69:F83)</f>
        <v>917029.74</v>
      </c>
      <c r="G84" s="166">
        <f t="shared" si="16"/>
        <v>0</v>
      </c>
      <c r="H84" s="166">
        <f t="shared" si="16"/>
        <v>40093</v>
      </c>
      <c r="I84" s="166">
        <f t="shared" si="16"/>
        <v>957122.74</v>
      </c>
      <c r="J84" s="167">
        <f t="shared" si="11"/>
        <v>0.12469287504017836</v>
      </c>
      <c r="K84" s="458"/>
      <c r="L84" s="187"/>
      <c r="M84" s="163"/>
      <c r="O84" s="324">
        <f t="shared" si="12"/>
        <v>36.28626227395079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'[73]Sch C'!D75</f>
        <v>71252.45</v>
      </c>
      <c r="D87" s="480">
        <f>'[73]Sch C'!F75</f>
        <v>0</v>
      </c>
      <c r="E87" s="480">
        <f>+'[73]Sch C'!H75</f>
        <v>0</v>
      </c>
      <c r="F87" s="166">
        <f t="shared" ref="F87:F97" si="17">C87+D87+E87</f>
        <v>71252.45</v>
      </c>
      <c r="G87" s="626"/>
      <c r="H87" s="607"/>
      <c r="I87" s="166">
        <f t="shared" ref="I87:I97" si="18">F87+G87+H87</f>
        <v>71252.45</v>
      </c>
      <c r="J87" s="167">
        <f t="shared" ref="J87:J98" si="19">IF($I$213=0,0,I87/$I$213)</f>
        <v>9.2826891190115873E-3</v>
      </c>
      <c r="K87" s="458"/>
      <c r="L87" s="176">
        <v>3756.66</v>
      </c>
      <c r="M87" s="176">
        <v>3874.47</v>
      </c>
      <c r="O87" s="324">
        <f t="shared" ref="O87:O97" si="20">I87/I$233</f>
        <v>2.7013098532812676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'[73]Sch C'!D76</f>
        <v>13134.93</v>
      </c>
      <c r="D88" s="480">
        <f>'[73]Sch C'!F76</f>
        <v>0</v>
      </c>
      <c r="E88" s="480">
        <f>+'[73]Sch C'!H76</f>
        <v>0</v>
      </c>
      <c r="F88" s="166">
        <f t="shared" si="17"/>
        <v>13134.93</v>
      </c>
      <c r="G88" s="626">
        <v>-1359</v>
      </c>
      <c r="H88" s="607"/>
      <c r="I88" s="166">
        <f t="shared" si="18"/>
        <v>11775.93</v>
      </c>
      <c r="J88" s="167">
        <f t="shared" si="19"/>
        <v>1.5341549276865867E-3</v>
      </c>
      <c r="K88" s="458"/>
      <c r="L88" s="163"/>
      <c r="M88" s="163"/>
      <c r="O88" s="324">
        <f t="shared" si="20"/>
        <v>0.44644690450013269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'[73]Sch C'!D77</f>
        <v>13190.57</v>
      </c>
      <c r="D89" s="480">
        <f>'[73]Sch C'!F77</f>
        <v>0</v>
      </c>
      <c r="E89" s="480">
        <f>+'[73]Sch C'!H77</f>
        <v>0</v>
      </c>
      <c r="F89" s="166">
        <f t="shared" si="17"/>
        <v>13190.57</v>
      </c>
      <c r="G89" s="626"/>
      <c r="H89" s="607"/>
      <c r="I89" s="166">
        <f t="shared" si="18"/>
        <v>13190.57</v>
      </c>
      <c r="J89" s="167">
        <f t="shared" si="19"/>
        <v>1.7184526372435007E-3</v>
      </c>
      <c r="K89" s="458"/>
      <c r="L89" s="163"/>
      <c r="M89" s="163"/>
      <c r="O89" s="324">
        <f t="shared" si="20"/>
        <v>0.50007847746142475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'[73]Sch C'!D78</f>
        <v>12011.52</v>
      </c>
      <c r="D90" s="480">
        <f>'[73]Sch C'!F78-2008</f>
        <v>0</v>
      </c>
      <c r="E90" s="480">
        <f>+'[73]Sch C'!H78</f>
        <v>0</v>
      </c>
      <c r="F90" s="166">
        <f t="shared" si="17"/>
        <v>12011.52</v>
      </c>
      <c r="G90" s="626"/>
      <c r="H90" s="480">
        <v>2008</v>
      </c>
      <c r="I90" s="166">
        <f t="shared" si="18"/>
        <v>14019.52</v>
      </c>
      <c r="J90" s="167">
        <f t="shared" si="19"/>
        <v>1.8264473117452851E-3</v>
      </c>
      <c r="K90" s="458"/>
      <c r="L90" s="163"/>
      <c r="M90" s="163"/>
      <c r="O90" s="324">
        <f t="shared" si="20"/>
        <v>0.53150547825757288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'[73]Sch C'!D79</f>
        <v>16440.59</v>
      </c>
      <c r="D91" s="480">
        <f>'[73]Sch C'!F79</f>
        <v>0</v>
      </c>
      <c r="E91" s="480">
        <f>+'[73]Sch C'!H79</f>
        <v>0</v>
      </c>
      <c r="F91" s="166">
        <f t="shared" si="17"/>
        <v>16440.59</v>
      </c>
      <c r="G91" s="626"/>
      <c r="H91" s="607"/>
      <c r="I91" s="166">
        <f t="shared" si="18"/>
        <v>16440.59</v>
      </c>
      <c r="J91" s="167">
        <f t="shared" si="19"/>
        <v>2.1418615907681871E-3</v>
      </c>
      <c r="K91" s="458"/>
      <c r="L91" s="163"/>
      <c r="M91" s="163"/>
      <c r="O91" s="324">
        <f t="shared" si="20"/>
        <v>0.62329264131629825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'[73]Sch C'!D80</f>
        <v>59557.46</v>
      </c>
      <c r="D92" s="480">
        <f>'[73]Sch C'!F80</f>
        <v>0</v>
      </c>
      <c r="E92" s="480">
        <f>+'[73]Sch C'!H80</f>
        <v>0</v>
      </c>
      <c r="F92" s="166">
        <f t="shared" si="17"/>
        <v>59557.46</v>
      </c>
      <c r="G92" s="626"/>
      <c r="H92" s="607"/>
      <c r="I92" s="166">
        <f t="shared" si="18"/>
        <v>59557.46</v>
      </c>
      <c r="J92" s="167">
        <f t="shared" si="19"/>
        <v>7.7590789635720294E-3</v>
      </c>
      <c r="K92" s="458"/>
      <c r="L92" s="163"/>
      <c r="M92" s="163"/>
      <c r="O92" s="324">
        <f t="shared" si="20"/>
        <v>2.257931531258293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'[73]Sch C'!D81</f>
        <v>1695.65</v>
      </c>
      <c r="D93" s="480">
        <f>'[73]Sch C'!F81</f>
        <v>0</v>
      </c>
      <c r="E93" s="480">
        <f>+'[73]Sch C'!H81</f>
        <v>0</v>
      </c>
      <c r="F93" s="166">
        <f t="shared" si="17"/>
        <v>1695.65</v>
      </c>
      <c r="G93" s="626"/>
      <c r="H93" s="607"/>
      <c r="I93" s="166">
        <f t="shared" si="18"/>
        <v>1695.65</v>
      </c>
      <c r="J93" s="167">
        <f t="shared" si="19"/>
        <v>2.209073765835701E-4</v>
      </c>
      <c r="K93" s="458"/>
      <c r="L93" s="163"/>
      <c r="M93" s="163"/>
      <c r="O93" s="324">
        <f t="shared" si="20"/>
        <v>6.4285172688326953E-2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'[73]Sch C'!D82</f>
        <v>0</v>
      </c>
      <c r="D94" s="480">
        <f>'[73]Sch C'!F82</f>
        <v>0</v>
      </c>
      <c r="E94" s="480">
        <f>+'[73]Sch C'!H82</f>
        <v>0</v>
      </c>
      <c r="F94" s="166">
        <f t="shared" si="17"/>
        <v>0</v>
      </c>
      <c r="G94" s="626"/>
      <c r="H94" s="607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'[73]Sch C'!D83</f>
        <v>0</v>
      </c>
      <c r="D95" s="480">
        <f>'[73]Sch C'!F83</f>
        <v>0</v>
      </c>
      <c r="E95" s="480">
        <f>+'[73]Sch C'!H83</f>
        <v>0</v>
      </c>
      <c r="F95" s="166">
        <f t="shared" si="17"/>
        <v>0</v>
      </c>
      <c r="G95" s="626"/>
      <c r="H95" s="607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'[73]Sch C'!D84</f>
        <v>205156.94</v>
      </c>
      <c r="D96" s="480">
        <f>'[73]Sch C'!F84-968</f>
        <v>0</v>
      </c>
      <c r="E96" s="480">
        <f>+'[73]Sch C'!H84</f>
        <v>0</v>
      </c>
      <c r="F96" s="166">
        <f t="shared" si="17"/>
        <v>205156.94</v>
      </c>
      <c r="G96" s="626"/>
      <c r="H96" s="480">
        <v>968</v>
      </c>
      <c r="I96" s="166">
        <f t="shared" si="18"/>
        <v>206124.94</v>
      </c>
      <c r="J96" s="167">
        <f t="shared" si="19"/>
        <v>2.6853725558839258E-2</v>
      </c>
      <c r="K96" s="458"/>
      <c r="L96" s="163"/>
      <c r="M96" s="163"/>
      <c r="O96" s="324">
        <f t="shared" si="20"/>
        <v>7.8145710277893619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'[73]Sch C'!D85</f>
        <v>12872.27</v>
      </c>
      <c r="D97" s="480">
        <f>'[73]Sch C'!F85</f>
        <v>0</v>
      </c>
      <c r="E97" s="480">
        <f>+'[73]Sch C'!H85</f>
        <v>0</v>
      </c>
      <c r="F97" s="166">
        <f t="shared" si="17"/>
        <v>12872.27</v>
      </c>
      <c r="G97" s="626"/>
      <c r="H97" s="607"/>
      <c r="I97" s="166">
        <f t="shared" si="18"/>
        <v>12872.27</v>
      </c>
      <c r="J97" s="167">
        <f t="shared" si="19"/>
        <v>1.6769848709199374E-3</v>
      </c>
      <c r="K97" s="458"/>
      <c r="L97" s="163"/>
      <c r="M97" s="163"/>
      <c r="O97" s="324">
        <f t="shared" si="20"/>
        <v>0.48801114607423135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405312.38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405312.38</v>
      </c>
      <c r="G98" s="166">
        <f t="shared" si="22"/>
        <v>-1359</v>
      </c>
      <c r="H98" s="166">
        <f t="shared" si="22"/>
        <v>2976</v>
      </c>
      <c r="I98" s="166">
        <f t="shared" si="22"/>
        <v>406929.38</v>
      </c>
      <c r="J98" s="167">
        <f t="shared" si="19"/>
        <v>5.3014302356369947E-2</v>
      </c>
      <c r="K98" s="458"/>
      <c r="L98" s="163"/>
      <c r="M98" s="163"/>
      <c r="O98" s="329">
        <f>I98/I$233</f>
        <v>15.427432232626909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'[73]Sch C'!D89</f>
        <v>311141.92</v>
      </c>
      <c r="D101" s="480">
        <f>'[73]Sch C'!F89</f>
        <v>0</v>
      </c>
      <c r="E101" s="480">
        <f>+'[73]Sch C'!H89</f>
        <v>0</v>
      </c>
      <c r="F101" s="166">
        <f t="shared" ref="F101:F106" si="23">C101+D101+E101</f>
        <v>311141.92</v>
      </c>
      <c r="G101" s="626"/>
      <c r="H101" s="607"/>
      <c r="I101" s="166">
        <f t="shared" ref="I101:I106" si="24">F101+G101+H101</f>
        <v>311141.92</v>
      </c>
      <c r="J101" s="167">
        <f t="shared" ref="J101:J107" si="25">IF($I$213=0,0,I101/$I$213)</f>
        <v>4.0535219704759255E-2</v>
      </c>
      <c r="K101" s="458"/>
      <c r="L101" s="176">
        <v>22139.02</v>
      </c>
      <c r="M101" s="176">
        <v>23168.61</v>
      </c>
      <c r="O101" s="329">
        <f t="shared" ref="O101:O106" si="26">I101/I$233</f>
        <v>11.795955567350342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'[73]Sch C'!D90</f>
        <v>69217.87</v>
      </c>
      <c r="D102" s="480">
        <f>'[73]Sch C'!F90</f>
        <v>0</v>
      </c>
      <c r="E102" s="480">
        <f>+'[73]Sch C'!H90</f>
        <v>0</v>
      </c>
      <c r="F102" s="166">
        <f t="shared" si="23"/>
        <v>69217.87</v>
      </c>
      <c r="G102" s="626">
        <v>-5829</v>
      </c>
      <c r="H102" s="607"/>
      <c r="I102" s="166">
        <f t="shared" si="24"/>
        <v>63388.869999999995</v>
      </c>
      <c r="J102" s="167">
        <f t="shared" si="25"/>
        <v>8.2582307529837917E-3</v>
      </c>
      <c r="K102" s="458"/>
      <c r="L102" s="163"/>
      <c r="M102" s="163"/>
      <c r="O102" s="329">
        <f t="shared" si="26"/>
        <v>2.4031872464647228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'[73]Sch C'!D91</f>
        <v>14667.36</v>
      </c>
      <c r="D103" s="480">
        <f>'[73]Sch C'!F91</f>
        <v>0</v>
      </c>
      <c r="E103" s="480">
        <f>+'[73]Sch C'!H91</f>
        <v>0</v>
      </c>
      <c r="F103" s="166">
        <f t="shared" si="23"/>
        <v>14667.36</v>
      </c>
      <c r="G103" s="626"/>
      <c r="H103" s="607"/>
      <c r="I103" s="166">
        <f t="shared" si="24"/>
        <v>14667.36</v>
      </c>
      <c r="J103" s="167">
        <f t="shared" si="25"/>
        <v>1.9108471789619278E-3</v>
      </c>
      <c r="K103" s="458"/>
      <c r="L103" s="163"/>
      <c r="M103" s="163"/>
      <c r="O103" s="329">
        <f t="shared" si="26"/>
        <v>0.55606626985631424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'[73]Sch C'!D92</f>
        <v>243685.1</v>
      </c>
      <c r="D104" s="480">
        <f>'[73]Sch C'!F92</f>
        <v>0</v>
      </c>
      <c r="E104" s="480">
        <f>+'[73]Sch C'!H92</f>
        <v>0</v>
      </c>
      <c r="F104" s="166">
        <f t="shared" si="23"/>
        <v>243685.1</v>
      </c>
      <c r="G104" s="626"/>
      <c r="H104" s="607"/>
      <c r="I104" s="166">
        <f t="shared" si="24"/>
        <v>243685.1</v>
      </c>
      <c r="J104" s="167">
        <f t="shared" si="25"/>
        <v>3.1747020996965726E-2</v>
      </c>
      <c r="K104" s="458"/>
      <c r="L104" s="163"/>
      <c r="M104" s="163"/>
      <c r="O104" s="329">
        <f t="shared" si="26"/>
        <v>9.2385449444591874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'[73]Sch C'!D93</f>
        <v>13318.44</v>
      </c>
      <c r="D105" s="480">
        <f>'[73]Sch C'!F93</f>
        <v>0</v>
      </c>
      <c r="E105" s="480">
        <f>+'[73]Sch C'!H93</f>
        <v>0</v>
      </c>
      <c r="F105" s="166">
        <f t="shared" si="23"/>
        <v>13318.44</v>
      </c>
      <c r="G105" s="626"/>
      <c r="H105" s="607"/>
      <c r="I105" s="166">
        <f t="shared" si="24"/>
        <v>13318.44</v>
      </c>
      <c r="J105" s="167">
        <f t="shared" si="25"/>
        <v>1.7351113971548866E-3</v>
      </c>
      <c r="K105" s="458"/>
      <c r="L105" s="163"/>
      <c r="M105" s="163"/>
      <c r="O105" s="329">
        <f t="shared" si="26"/>
        <v>0.50492626151571451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'[73]Sch C'!D94</f>
        <v>11074.59</v>
      </c>
      <c r="D106" s="480">
        <f>'[73]Sch C'!F94</f>
        <v>0</v>
      </c>
      <c r="E106" s="480">
        <f>+'[73]Sch C'!H94</f>
        <v>0</v>
      </c>
      <c r="F106" s="166">
        <f t="shared" si="23"/>
        <v>11074.59</v>
      </c>
      <c r="G106" s="626">
        <v>-860</v>
      </c>
      <c r="H106" s="607"/>
      <c r="I106" s="166">
        <f t="shared" si="24"/>
        <v>10214.59</v>
      </c>
      <c r="J106" s="167">
        <f t="shared" si="25"/>
        <v>1.330745306977719E-3</v>
      </c>
      <c r="K106" s="458"/>
      <c r="L106" s="163"/>
      <c r="M106" s="163"/>
      <c r="O106" s="329">
        <f t="shared" si="26"/>
        <v>0.38725366796830574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663105.27999999991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663105.27999999991</v>
      </c>
      <c r="G107" s="166">
        <f t="shared" si="28"/>
        <v>-6689</v>
      </c>
      <c r="H107" s="166">
        <f t="shared" si="28"/>
        <v>0</v>
      </c>
      <c r="I107" s="166">
        <f t="shared" si="28"/>
        <v>656416.27999999991</v>
      </c>
      <c r="J107" s="167">
        <f t="shared" si="25"/>
        <v>8.55171753378033E-2</v>
      </c>
      <c r="K107" s="458"/>
      <c r="L107" s="163"/>
      <c r="M107" s="163"/>
      <c r="O107" s="329">
        <f>I107/I$233</f>
        <v>24.885933957614586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'[73]Sch C'!D98</f>
        <v>30814.97</v>
      </c>
      <c r="D110" s="480">
        <f>'[73]Sch C'!F98</f>
        <v>0</v>
      </c>
      <c r="E110" s="480">
        <f>+'[73]Sch C'!H98</f>
        <v>0</v>
      </c>
      <c r="F110" s="166">
        <f t="shared" ref="F110:F115" si="29">C110+D110+E110</f>
        <v>30814.97</v>
      </c>
      <c r="G110" s="626"/>
      <c r="H110" s="607"/>
      <c r="I110" s="166">
        <f t="shared" ref="I110:I115" si="30">F110+G110+H110</f>
        <v>30814.97</v>
      </c>
      <c r="J110" s="167">
        <f t="shared" ref="J110:J116" si="31">IF($I$213=0,0,I110/$I$213)</f>
        <v>4.0145396645542503E-3</v>
      </c>
      <c r="K110" s="458"/>
      <c r="L110" s="176">
        <v>3133.8</v>
      </c>
      <c r="M110" s="176">
        <v>3375.6</v>
      </c>
      <c r="O110" s="329">
        <f t="shared" ref="O110:O115" si="32">I110/I$233</f>
        <v>1.1682515069947303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'[73]Sch C'!D99</f>
        <v>8762.93</v>
      </c>
      <c r="D111" s="480">
        <f>'[73]Sch C'!F99</f>
        <v>0</v>
      </c>
      <c r="E111" s="480">
        <f>+'[73]Sch C'!H99</f>
        <v>0</v>
      </c>
      <c r="F111" s="166">
        <f t="shared" si="29"/>
        <v>8762.93</v>
      </c>
      <c r="G111" s="626">
        <v>-597</v>
      </c>
      <c r="H111" s="607"/>
      <c r="I111" s="166">
        <f t="shared" si="30"/>
        <v>8165.93</v>
      </c>
      <c r="J111" s="167">
        <f t="shared" si="31"/>
        <v>1.0638481842745098E-3</v>
      </c>
      <c r="K111" s="458"/>
      <c r="L111" s="163"/>
      <c r="M111" s="163"/>
      <c r="O111" s="329">
        <f t="shared" si="32"/>
        <v>0.30958524472077947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'[73]Sch C'!D100</f>
        <v>12778.14</v>
      </c>
      <c r="D112" s="480">
        <f>'[73]Sch C'!F100</f>
        <v>0</v>
      </c>
      <c r="E112" s="480">
        <f>+'[73]Sch C'!H100</f>
        <v>0</v>
      </c>
      <c r="F112" s="166">
        <f t="shared" si="29"/>
        <v>12778.14</v>
      </c>
      <c r="G112" s="626"/>
      <c r="H112" s="607"/>
      <c r="I112" s="166">
        <f t="shared" si="30"/>
        <v>12778.14</v>
      </c>
      <c r="J112" s="167">
        <f t="shared" si="31"/>
        <v>1.6647217202946246E-3</v>
      </c>
      <c r="K112" s="458"/>
      <c r="L112" s="163"/>
      <c r="M112" s="163"/>
      <c r="O112" s="329">
        <f t="shared" si="32"/>
        <v>0.48444250672934752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'[73]Sch C'!D101</f>
        <v>1343.99</v>
      </c>
      <c r="D113" s="480">
        <f>'[73]Sch C'!F101</f>
        <v>0</v>
      </c>
      <c r="E113" s="480">
        <f>+'[73]Sch C'!H101</f>
        <v>0</v>
      </c>
      <c r="F113" s="166">
        <f t="shared" si="29"/>
        <v>1343.99</v>
      </c>
      <c r="G113" s="626"/>
      <c r="H113" s="607"/>
      <c r="I113" s="166">
        <f t="shared" si="30"/>
        <v>1343.99</v>
      </c>
      <c r="J113" s="167">
        <f t="shared" si="31"/>
        <v>1.7509350694692441E-4</v>
      </c>
      <c r="K113" s="458"/>
      <c r="L113" s="163"/>
      <c r="M113" s="163"/>
      <c r="O113" s="329">
        <f t="shared" si="32"/>
        <v>5.0953103082230729E-2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'[73]Sch C'!D102</f>
        <v>4710.28</v>
      </c>
      <c r="D114" s="480">
        <f>'[73]Sch C'!F102</f>
        <v>0</v>
      </c>
      <c r="E114" s="480">
        <f>+'[73]Sch C'!H102</f>
        <v>0</v>
      </c>
      <c r="F114" s="166">
        <f t="shared" si="29"/>
        <v>4710.28</v>
      </c>
      <c r="G114" s="626"/>
      <c r="H114" s="607"/>
      <c r="I114" s="166">
        <f t="shared" si="30"/>
        <v>4710.28</v>
      </c>
      <c r="J114" s="167">
        <f t="shared" si="31"/>
        <v>6.1364998541801581E-4</v>
      </c>
      <c r="K114" s="458"/>
      <c r="L114" s="163"/>
      <c r="M114" s="163"/>
      <c r="O114" s="329">
        <f t="shared" si="32"/>
        <v>0.17857527391287864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'[73]Sch C'!D103</f>
        <v>288</v>
      </c>
      <c r="D115" s="480">
        <f>'[73]Sch C'!F103</f>
        <v>0</v>
      </c>
      <c r="E115" s="480">
        <f>+'[73]Sch C'!H103</f>
        <v>0</v>
      </c>
      <c r="F115" s="166">
        <f t="shared" si="29"/>
        <v>288</v>
      </c>
      <c r="G115" s="626"/>
      <c r="H115" s="607"/>
      <c r="I115" s="166">
        <f t="shared" si="30"/>
        <v>288</v>
      </c>
      <c r="J115" s="167">
        <f t="shared" si="31"/>
        <v>3.7520316371932998E-5</v>
      </c>
      <c r="K115" s="458"/>
      <c r="L115" s="163"/>
      <c r="M115" s="163"/>
      <c r="O115" s="329">
        <f t="shared" si="32"/>
        <v>1.0918603328657543E-2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58698.31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58698.31</v>
      </c>
      <c r="G116" s="166">
        <f t="shared" si="34"/>
        <v>-597</v>
      </c>
      <c r="H116" s="166">
        <f t="shared" si="34"/>
        <v>0</v>
      </c>
      <c r="I116" s="166">
        <f t="shared" si="34"/>
        <v>58101.31</v>
      </c>
      <c r="J116" s="167">
        <f t="shared" si="31"/>
        <v>7.5693733778602577E-3</v>
      </c>
      <c r="K116" s="458"/>
      <c r="L116" s="163"/>
      <c r="M116" s="163"/>
      <c r="O116" s="329">
        <f>I116/I$233</f>
        <v>2.2027262387686242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'[73]Sch C'!D115</f>
        <v>90938.34</v>
      </c>
      <c r="D119" s="480">
        <f>'[73]Sch C'!F115</f>
        <v>0</v>
      </c>
      <c r="E119" s="480">
        <f>+'[73]Sch C'!H115</f>
        <v>0</v>
      </c>
      <c r="F119" s="166">
        <f t="shared" ref="F119:F123" si="35">C119+D119+E119</f>
        <v>90938.34</v>
      </c>
      <c r="G119" s="626"/>
      <c r="H119" s="607"/>
      <c r="I119" s="166">
        <f t="shared" ref="I119:I123" si="36">F119+G119+H119</f>
        <v>90938.34</v>
      </c>
      <c r="J119" s="167">
        <f t="shared" ref="J119:J124" si="37">IF($I$213=0,0,I119/$I$213)</f>
        <v>1.1847344747008366E-2</v>
      </c>
      <c r="K119" s="458"/>
      <c r="L119" s="176">
        <v>8696.4500000000007</v>
      </c>
      <c r="M119" s="176">
        <v>9160.4500000000007</v>
      </c>
      <c r="O119" s="329">
        <f t="shared" ref="O119:O124" si="38">I119/I$233</f>
        <v>3.4476377146756643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'[73]Sch C'!D116</f>
        <v>21159.09</v>
      </c>
      <c r="D120" s="480">
        <f>'[73]Sch C'!F116</f>
        <v>0</v>
      </c>
      <c r="E120" s="480">
        <f>+'[73]Sch C'!H116</f>
        <v>0</v>
      </c>
      <c r="F120" s="166">
        <f t="shared" si="35"/>
        <v>21159.09</v>
      </c>
      <c r="G120" s="626">
        <v>-1767</v>
      </c>
      <c r="H120" s="607"/>
      <c r="I120" s="166">
        <f t="shared" si="36"/>
        <v>19392.09</v>
      </c>
      <c r="J120" s="167">
        <f t="shared" si="37"/>
        <v>2.5263796941423547E-3</v>
      </c>
      <c r="K120" s="458"/>
      <c r="L120" s="163"/>
      <c r="M120" s="163"/>
      <c r="O120" s="329">
        <f t="shared" si="38"/>
        <v>0.7351893695264814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'[73]Sch C'!D117</f>
        <v>24874.37</v>
      </c>
      <c r="D121" s="480">
        <f>'[73]Sch C'!F117</f>
        <v>0</v>
      </c>
      <c r="E121" s="480">
        <f>+'[73]Sch C'!H117</f>
        <v>0</v>
      </c>
      <c r="F121" s="166">
        <f t="shared" si="35"/>
        <v>24874.37</v>
      </c>
      <c r="G121" s="626"/>
      <c r="H121" s="607"/>
      <c r="I121" s="166">
        <f t="shared" si="36"/>
        <v>24874.37</v>
      </c>
      <c r="J121" s="167">
        <f t="shared" si="37"/>
        <v>3.2406049720573576E-3</v>
      </c>
      <c r="K121" s="458"/>
      <c r="L121" s="163"/>
      <c r="M121" s="163"/>
      <c r="O121" s="329">
        <f t="shared" si="38"/>
        <v>0.94303256625090037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'[73]Sch C'!D118</f>
        <v>4282.74</v>
      </c>
      <c r="D122" s="480">
        <f>'[73]Sch C'!F118</f>
        <v>0</v>
      </c>
      <c r="E122" s="480">
        <f>+'[73]Sch C'!H118</f>
        <v>0</v>
      </c>
      <c r="F122" s="166">
        <f t="shared" si="35"/>
        <v>4282.74</v>
      </c>
      <c r="G122" s="626"/>
      <c r="H122" s="607"/>
      <c r="I122" s="166">
        <f t="shared" si="36"/>
        <v>4282.74</v>
      </c>
      <c r="J122" s="167">
        <f t="shared" si="37"/>
        <v>5.5795055464837604E-4</v>
      </c>
      <c r="K122" s="458"/>
      <c r="L122" s="163"/>
      <c r="M122" s="163"/>
      <c r="O122" s="329">
        <f t="shared" si="38"/>
        <v>0.16236645562421806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'[73]Sch C'!D119</f>
        <v>944</v>
      </c>
      <c r="D123" s="480">
        <f>'[73]Sch C'!F119</f>
        <v>0</v>
      </c>
      <c r="E123" s="480">
        <f>+'[73]Sch C'!H119</f>
        <v>0</v>
      </c>
      <c r="F123" s="166">
        <f t="shared" si="35"/>
        <v>944</v>
      </c>
      <c r="G123" s="626"/>
      <c r="H123" s="607"/>
      <c r="I123" s="166">
        <f t="shared" si="36"/>
        <v>944</v>
      </c>
      <c r="J123" s="167">
        <f t="shared" si="37"/>
        <v>1.2298325921911371E-4</v>
      </c>
      <c r="K123" s="458"/>
      <c r="L123" s="163"/>
      <c r="M123" s="163"/>
      <c r="O123" s="329">
        <f t="shared" si="38"/>
        <v>3.5788755355044166E-2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142198.53999999998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142198.53999999998</v>
      </c>
      <c r="G124" s="166">
        <f t="shared" si="40"/>
        <v>-1767</v>
      </c>
      <c r="H124" s="166">
        <f t="shared" si="40"/>
        <v>0</v>
      </c>
      <c r="I124" s="166">
        <f t="shared" si="40"/>
        <v>140431.53999999998</v>
      </c>
      <c r="J124" s="167">
        <f t="shared" si="37"/>
        <v>1.8295263227075566E-2</v>
      </c>
      <c r="K124" s="458"/>
      <c r="L124" s="163"/>
      <c r="M124" s="163"/>
      <c r="O124" s="329">
        <f t="shared" si="38"/>
        <v>5.3240148614323077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'[73]Sch C'!D124</f>
        <v>212143.1</v>
      </c>
      <c r="D128" s="480">
        <f>'[73]Sch C'!F124</f>
        <v>0</v>
      </c>
      <c r="E128" s="480">
        <f>+'[73]Sch C'!H124</f>
        <v>0</v>
      </c>
      <c r="F128" s="166">
        <f t="shared" ref="F128:F132" si="41">C128+D128+E128</f>
        <v>212143.1</v>
      </c>
      <c r="G128" s="626"/>
      <c r="H128" s="607"/>
      <c r="I128" s="166">
        <f t="shared" ref="I128:I132" si="42">F128+G128+H128</f>
        <v>212143.1</v>
      </c>
      <c r="J128" s="167">
        <f>IF($I$213=0,0,I128/$I$213)</f>
        <v>2.7637764680981315E-2</v>
      </c>
      <c r="K128" s="458"/>
      <c r="L128" s="176">
        <v>5534.84</v>
      </c>
      <c r="M128" s="176">
        <v>5651</v>
      </c>
      <c r="O128" s="329">
        <f t="shared" ref="O128:O165" si="43">I128/I$233</f>
        <v>8.0427304090685077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'[73]Sch C'!D125</f>
        <v>97538.61</v>
      </c>
      <c r="D129" s="480">
        <f>'[73]Sch C'!F125</f>
        <v>0</v>
      </c>
      <c r="E129" s="480">
        <f>+'[73]Sch C'!H125</f>
        <v>0</v>
      </c>
      <c r="F129" s="166">
        <f t="shared" si="41"/>
        <v>97538.61</v>
      </c>
      <c r="G129" s="626"/>
      <c r="H129" s="607"/>
      <c r="I129" s="166">
        <f t="shared" si="42"/>
        <v>97538.61</v>
      </c>
      <c r="J129" s="167">
        <f>IF($I$213=0,0,I129/$I$213)</f>
        <v>1.2707220505828429E-2</v>
      </c>
      <c r="K129" s="458"/>
      <c r="L129" s="176">
        <v>2340.9299999999998</v>
      </c>
      <c r="M129" s="176">
        <v>2463.04</v>
      </c>
      <c r="O129" s="329">
        <f t="shared" si="43"/>
        <v>3.697865943814687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'[73]Sch C'!D126</f>
        <v>0</v>
      </c>
      <c r="D130" s="480">
        <f>'[73]Sch C'!F126</f>
        <v>0</v>
      </c>
      <c r="E130" s="480">
        <f>+'[73]Sch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'[73]Sch C'!D127</f>
        <v>0</v>
      </c>
      <c r="D131" s="480">
        <f>'[73]Sch C'!F127</f>
        <v>0</v>
      </c>
      <c r="E131" s="480">
        <f>+'[73]Sch C'!H127</f>
        <v>0</v>
      </c>
      <c r="F131" s="166">
        <f t="shared" si="41"/>
        <v>0</v>
      </c>
      <c r="G131" s="626"/>
      <c r="H131" s="607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'[73]Sch C'!D128</f>
        <v>40832.68</v>
      </c>
      <c r="D132" s="480">
        <f>'[73]Sch C'!F128-53855</f>
        <v>0</v>
      </c>
      <c r="E132" s="480">
        <f>+'[73]Sch C'!H128</f>
        <v>0</v>
      </c>
      <c r="F132" s="166">
        <f t="shared" si="41"/>
        <v>40832.68</v>
      </c>
      <c r="G132" s="626"/>
      <c r="H132" s="480">
        <v>53855</v>
      </c>
      <c r="I132" s="166">
        <f t="shared" si="42"/>
        <v>94687.679999999993</v>
      </c>
      <c r="J132" s="167">
        <f>IF($I$213=0,0,I132/$I$213)</f>
        <v>1.233580454904289E-2</v>
      </c>
      <c r="K132" s="458"/>
      <c r="L132" s="176">
        <v>2736.7</v>
      </c>
      <c r="M132" s="176">
        <v>2841.22</v>
      </c>
      <c r="O132" s="329">
        <f t="shared" si="43"/>
        <v>3.5897820070515976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'[73]Sch C'!D130</f>
        <v>35813.520000000004</v>
      </c>
      <c r="D134" s="480">
        <f>'[73]Sch C'!F130</f>
        <v>0</v>
      </c>
      <c r="E134" s="480">
        <f>+'[73]Sch C'!H130</f>
        <v>0</v>
      </c>
      <c r="F134" s="166">
        <f t="shared" ref="F134:F138" si="44">C134+D134+E134</f>
        <v>35813.520000000004</v>
      </c>
      <c r="G134" s="626">
        <v>-4236</v>
      </c>
      <c r="H134" s="607"/>
      <c r="I134" s="166">
        <f t="shared" ref="I134:I138" si="45">F134+G134+H134</f>
        <v>31577.520000000004</v>
      </c>
      <c r="J134" s="167">
        <f>IF($I$213=0,0,I134/$I$213)</f>
        <v>4.1138838216702844E-3</v>
      </c>
      <c r="K134" s="458"/>
      <c r="L134" s="196"/>
      <c r="M134" s="196"/>
      <c r="O134" s="329">
        <f t="shared" si="43"/>
        <v>1.1971611631345491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'[73]Sch C'!D131</f>
        <v>16038.609999999999</v>
      </c>
      <c r="D135" s="480">
        <f>'[73]Sch C'!F131</f>
        <v>0</v>
      </c>
      <c r="E135" s="480">
        <f>+'[73]Sch C'!H131</f>
        <v>0</v>
      </c>
      <c r="F135" s="166">
        <f t="shared" si="44"/>
        <v>16038.609999999999</v>
      </c>
      <c r="G135" s="626">
        <v>-377</v>
      </c>
      <c r="H135" s="607"/>
      <c r="I135" s="166">
        <f t="shared" si="45"/>
        <v>15661.609999999999</v>
      </c>
      <c r="J135" s="167">
        <f>IF($I$213=0,0,I135/$I$213)</f>
        <v>2.0403769517146858E-3</v>
      </c>
      <c r="K135" s="458"/>
      <c r="L135" s="196"/>
      <c r="M135" s="196"/>
      <c r="O135" s="329">
        <f t="shared" si="43"/>
        <v>0.59376009402130636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'[73]Sch C'!D132</f>
        <v>0</v>
      </c>
      <c r="D136" s="480">
        <f>'[73]Sch C'!F132</f>
        <v>0</v>
      </c>
      <c r="E136" s="480">
        <f>+'[73]Sch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'[73]Sch C'!D133</f>
        <v>0</v>
      </c>
      <c r="D137" s="480">
        <f>'[73]Sch C'!F133</f>
        <v>0</v>
      </c>
      <c r="E137" s="480">
        <f>+'[73]Sch C'!H133</f>
        <v>0</v>
      </c>
      <c r="F137" s="166">
        <f t="shared" si="44"/>
        <v>0</v>
      </c>
      <c r="G137" s="626"/>
      <c r="H137" s="607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'[73]Sch C'!D134</f>
        <v>10403.32</v>
      </c>
      <c r="D138" s="480">
        <f>'[73]Sch C'!F134</f>
        <v>0</v>
      </c>
      <c r="E138" s="480">
        <f>+'[73]Sch C'!H134</f>
        <v>0</v>
      </c>
      <c r="F138" s="166">
        <f t="shared" si="44"/>
        <v>10403.32</v>
      </c>
      <c r="G138" s="626">
        <v>-785</v>
      </c>
      <c r="H138" s="607"/>
      <c r="I138" s="166">
        <f t="shared" si="45"/>
        <v>9618.32</v>
      </c>
      <c r="J138" s="167">
        <f>IF($I$213=0,0,I138/$I$213)</f>
        <v>1.2530639214114255E-3</v>
      </c>
      <c r="K138" s="458"/>
      <c r="L138" s="163"/>
      <c r="M138" s="163"/>
      <c r="O138" s="329">
        <f t="shared" si="43"/>
        <v>0.36464798877810212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'[73]Sch C'!D136</f>
        <v>551368.43000000005</v>
      </c>
      <c r="D140" s="480">
        <f>'[73]Sch C'!F136</f>
        <v>0</v>
      </c>
      <c r="E140" s="480">
        <f>+'[73]Sch C'!H136</f>
        <v>0</v>
      </c>
      <c r="F140" s="166">
        <f t="shared" ref="F140:F143" si="46">C140+D140+E140</f>
        <v>551368.43000000005</v>
      </c>
      <c r="G140" s="626"/>
      <c r="H140" s="607"/>
      <c r="I140" s="166">
        <f t="shared" ref="I140:I143" si="47">F140+G140+H140</f>
        <v>551368.43000000005</v>
      </c>
      <c r="J140" s="167">
        <f>IF($I$213=0,0,I140/$I$213)</f>
        <v>7.1831659482972196E-2</v>
      </c>
      <c r="K140" s="457" t="s">
        <v>374</v>
      </c>
      <c r="L140" s="176">
        <v>18992.97</v>
      </c>
      <c r="M140" s="176">
        <v>19760.71</v>
      </c>
      <c r="O140" s="329">
        <f t="shared" si="43"/>
        <v>20.90337908025932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'[73]Sch C'!D137</f>
        <v>418246.03</v>
      </c>
      <c r="D141" s="480">
        <f>'[73]Sch C'!F137</f>
        <v>0</v>
      </c>
      <c r="E141" s="480">
        <f>+'[73]Sch C'!H137</f>
        <v>0</v>
      </c>
      <c r="F141" s="166">
        <f t="shared" si="46"/>
        <v>418246.03</v>
      </c>
      <c r="G141" s="626"/>
      <c r="H141" s="607"/>
      <c r="I141" s="166">
        <f t="shared" si="47"/>
        <v>418246.03</v>
      </c>
      <c r="J141" s="167">
        <f>IF($I$213=0,0,I141/$I$213)</f>
        <v>5.44886228017534E-2</v>
      </c>
      <c r="K141" s="457" t="s">
        <v>374</v>
      </c>
      <c r="L141" s="176">
        <v>16584.09</v>
      </c>
      <c r="M141" s="176">
        <v>16893.2</v>
      </c>
      <c r="O141" s="329">
        <f t="shared" si="43"/>
        <v>15.856466997763205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'[73]Sch C'!D138</f>
        <v>642843.18999999994</v>
      </c>
      <c r="D142" s="480">
        <f>'[73]Sch C'!F138</f>
        <v>0</v>
      </c>
      <c r="E142" s="480">
        <f>+'[73]Sch C'!H138</f>
        <v>0</v>
      </c>
      <c r="F142" s="166">
        <f t="shared" si="46"/>
        <v>642843.18999999994</v>
      </c>
      <c r="G142" s="626"/>
      <c r="H142" s="607"/>
      <c r="I142" s="166">
        <f t="shared" si="47"/>
        <v>642843.18999999994</v>
      </c>
      <c r="J142" s="167">
        <f>IF($I$213=0,0,I142/$I$213)</f>
        <v>8.3748888424800799E-2</v>
      </c>
      <c r="K142" s="457" t="s">
        <v>374</v>
      </c>
      <c r="L142" s="176">
        <v>52317.34</v>
      </c>
      <c r="M142" s="176">
        <v>54117.38</v>
      </c>
      <c r="O142" s="329">
        <f t="shared" si="43"/>
        <v>24.371353451870945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'[73]Sch C'!D139</f>
        <v>79956.44</v>
      </c>
      <c r="D143" s="480">
        <f>'[73]Sch C'!F139</f>
        <v>0</v>
      </c>
      <c r="E143" s="480">
        <f>+'[73]Sch C'!H139</f>
        <v>0</v>
      </c>
      <c r="F143" s="166">
        <f t="shared" si="46"/>
        <v>79956.44</v>
      </c>
      <c r="G143" s="626"/>
      <c r="H143" s="607"/>
      <c r="I143" s="166">
        <f t="shared" si="47"/>
        <v>79956.44</v>
      </c>
      <c r="J143" s="167">
        <f>IF($I$213=0,0,I143/$I$213)</f>
        <v>1.0416635155463467E-2</v>
      </c>
      <c r="K143" s="458"/>
      <c r="L143" s="176">
        <v>7243.42</v>
      </c>
      <c r="M143" s="176">
        <v>7347.42</v>
      </c>
      <c r="O143" s="329">
        <f t="shared" si="43"/>
        <v>3.0312939303180801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7" t="s">
        <v>418</v>
      </c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'[73]Sch C'!D141</f>
        <v>93080.78</v>
      </c>
      <c r="D145" s="480">
        <f>'[73]Sch C'!F141</f>
        <v>0</v>
      </c>
      <c r="E145" s="480">
        <f>+'[73]Sch C'!H141</f>
        <v>0</v>
      </c>
      <c r="F145" s="166">
        <f t="shared" ref="F145:F148" si="48">C145+D145+E145</f>
        <v>93080.78</v>
      </c>
      <c r="G145" s="626">
        <v>-11009</v>
      </c>
      <c r="H145" s="607"/>
      <c r="I145" s="166">
        <f t="shared" ref="I145:I148" si="49">F145+G145+H145</f>
        <v>82071.78</v>
      </c>
      <c r="J145" s="167">
        <f>IF($I$213=0,0,I145/$I$213)</f>
        <v>1.0692219273637789E-2</v>
      </c>
      <c r="K145" s="457" t="s">
        <v>377</v>
      </c>
      <c r="L145" s="163"/>
      <c r="M145" s="163"/>
      <c r="O145" s="329">
        <f t="shared" si="43"/>
        <v>3.1114903135307275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'[73]Sch C'!D142</f>
        <v>70607.350000000006</v>
      </c>
      <c r="D146" s="480">
        <f>'[73]Sch C'!F142</f>
        <v>0</v>
      </c>
      <c r="E146" s="480">
        <f>+'[73]Sch C'!H142</f>
        <v>0</v>
      </c>
      <c r="F146" s="166">
        <f t="shared" si="48"/>
        <v>70607.350000000006</v>
      </c>
      <c r="G146" s="626">
        <v>-8351</v>
      </c>
      <c r="H146" s="607"/>
      <c r="I146" s="166">
        <f t="shared" si="49"/>
        <v>62256.350000000006</v>
      </c>
      <c r="J146" s="167">
        <f>IF($I$213=0,0,I146/$I$213)</f>
        <v>8.1106873200062195E-3</v>
      </c>
      <c r="K146" s="457" t="s">
        <v>377</v>
      </c>
      <c r="L146" s="163"/>
      <c r="M146" s="163"/>
      <c r="O146" s="329">
        <f t="shared" si="43"/>
        <v>2.360251355347462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'[73]Sch C'!D143</f>
        <v>108523.34</v>
      </c>
      <c r="D147" s="480">
        <f>'[73]Sch C'!F143</f>
        <v>0</v>
      </c>
      <c r="E147" s="480">
        <f>+'[73]Sch C'!H143</f>
        <v>0</v>
      </c>
      <c r="F147" s="166">
        <f t="shared" si="48"/>
        <v>108523.34</v>
      </c>
      <c r="G147" s="626">
        <v>-12835</v>
      </c>
      <c r="H147" s="607"/>
      <c r="I147" s="166">
        <f t="shared" si="49"/>
        <v>95688.34</v>
      </c>
      <c r="J147" s="167">
        <f>IF($I$213=0,0,I147/$I$213)</f>
        <v>1.2466169409392677E-2</v>
      </c>
      <c r="K147" s="457" t="s">
        <v>377</v>
      </c>
      <c r="L147" s="163"/>
      <c r="M147" s="163"/>
      <c r="O147" s="329">
        <f t="shared" si="43"/>
        <v>3.6277188459642868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'[73]Sch C'!D144</f>
        <v>13498.07</v>
      </c>
      <c r="D148" s="480">
        <f>'[73]Sch C'!F144</f>
        <v>0</v>
      </c>
      <c r="E148" s="480">
        <f>+'[73]Sch C'!H144</f>
        <v>0</v>
      </c>
      <c r="F148" s="166">
        <f t="shared" si="48"/>
        <v>13498.07</v>
      </c>
      <c r="G148" s="626">
        <v>-1596</v>
      </c>
      <c r="H148" s="607"/>
      <c r="I148" s="166">
        <f t="shared" si="49"/>
        <v>11902.07</v>
      </c>
      <c r="J148" s="167">
        <f>IF($I$213=0,0,I148/$I$213)</f>
        <v>1.5505883051419879E-3</v>
      </c>
      <c r="K148" s="458"/>
      <c r="L148" s="163"/>
      <c r="M148" s="163"/>
      <c r="O148" s="329">
        <f t="shared" si="43"/>
        <v>0.45122910111081621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'[73]Sch C'!D146</f>
        <v>38982.879999999997</v>
      </c>
      <c r="D150" s="480">
        <f>'[73]Sch C'!F146</f>
        <v>0</v>
      </c>
      <c r="E150" s="480">
        <f>+'[73]Sch C'!H146</f>
        <v>0</v>
      </c>
      <c r="F150" s="166">
        <f t="shared" ref="F150:F158" si="50">C150+D150+E150</f>
        <v>38982.879999999997</v>
      </c>
      <c r="G150" s="626"/>
      <c r="H150" s="607"/>
      <c r="I150" s="166">
        <f t="shared" ref="I150:I158" si="51">F150+G150+H150</f>
        <v>38982.879999999997</v>
      </c>
      <c r="J150" s="167">
        <f t="shared" ref="J150:J158" si="52">IF($I$213=0,0,I150/$I$213)</f>
        <v>5.0786458010038168E-3</v>
      </c>
      <c r="K150" s="458"/>
      <c r="L150" s="176" t="s">
        <v>537</v>
      </c>
      <c r="M150" s="176" t="s">
        <v>537</v>
      </c>
      <c r="O150" s="329">
        <f t="shared" si="43"/>
        <v>1.4779118171133943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'[73]Sch C'!D147</f>
        <v>17827.5</v>
      </c>
      <c r="D151" s="480">
        <f>'[73]Sch C'!F147</f>
        <v>0</v>
      </c>
      <c r="E151" s="480">
        <f>+'[73]Sch C'!H147</f>
        <v>0</v>
      </c>
      <c r="F151" s="166">
        <f t="shared" si="50"/>
        <v>17827.5</v>
      </c>
      <c r="G151" s="626"/>
      <c r="H151" s="607"/>
      <c r="I151" s="166">
        <f t="shared" si="51"/>
        <v>17827.5</v>
      </c>
      <c r="J151" s="167">
        <f t="shared" si="52"/>
        <v>2.32254666708554E-3</v>
      </c>
      <c r="K151" s="458"/>
      <c r="L151" s="176">
        <v>299.67</v>
      </c>
      <c r="M151" s="176">
        <v>299.67</v>
      </c>
      <c r="O151" s="329">
        <f t="shared" si="43"/>
        <v>0.67587291958903595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'[73]Sch C'!D148</f>
        <v>691</v>
      </c>
      <c r="D152" s="480">
        <f>'[73]Sch C'!F148</f>
        <v>0</v>
      </c>
      <c r="E152" s="480">
        <f>+'[73]Sch C'!H148</f>
        <v>0</v>
      </c>
      <c r="F152" s="166">
        <f t="shared" si="50"/>
        <v>691</v>
      </c>
      <c r="G152" s="626"/>
      <c r="H152" s="607"/>
      <c r="I152" s="166">
        <f t="shared" si="51"/>
        <v>691</v>
      </c>
      <c r="J152" s="167">
        <f t="shared" si="52"/>
        <v>9.0022703517380907E-5</v>
      </c>
      <c r="K152" s="458"/>
      <c r="L152" s="176">
        <v>14.3</v>
      </c>
      <c r="M152" s="176">
        <v>14.3</v>
      </c>
      <c r="O152" s="329">
        <f t="shared" si="43"/>
        <v>2.6197065625355422E-2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'[73]Sch C'!D149</f>
        <v>45833.17</v>
      </c>
      <c r="D153" s="480">
        <f>'[73]Sch C'!F149</f>
        <v>0</v>
      </c>
      <c r="E153" s="480">
        <f>+'[73]Sch C'!H149</f>
        <v>0</v>
      </c>
      <c r="F153" s="166">
        <f t="shared" si="50"/>
        <v>45833.17</v>
      </c>
      <c r="G153" s="626"/>
      <c r="H153" s="607"/>
      <c r="I153" s="166">
        <f t="shared" si="51"/>
        <v>45833.17</v>
      </c>
      <c r="J153" s="167">
        <f t="shared" si="52"/>
        <v>5.9710938844742649E-3</v>
      </c>
      <c r="K153" s="458"/>
      <c r="L153" s="176">
        <v>1882.14</v>
      </c>
      <c r="M153" s="176">
        <v>1882.14</v>
      </c>
      <c r="O153" s="329">
        <f t="shared" si="43"/>
        <v>1.7376187587671077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'[73]Sch C'!D150</f>
        <v>11587.85</v>
      </c>
      <c r="D154" s="480">
        <f>'[73]Sch C'!F150</f>
        <v>0</v>
      </c>
      <c r="E154" s="480">
        <f>+'[73]Sch C'!H150</f>
        <v>0</v>
      </c>
      <c r="F154" s="166">
        <f t="shared" si="50"/>
        <v>11587.85</v>
      </c>
      <c r="G154" s="626"/>
      <c r="H154" s="607"/>
      <c r="I154" s="166">
        <f t="shared" si="51"/>
        <v>11587.85</v>
      </c>
      <c r="J154" s="167">
        <f t="shared" si="52"/>
        <v>1.5096520766336937E-3</v>
      </c>
      <c r="K154" s="458"/>
      <c r="L154" s="176" t="s">
        <v>538</v>
      </c>
      <c r="M154" s="176" t="s">
        <v>538</v>
      </c>
      <c r="O154" s="329">
        <f t="shared" si="43"/>
        <v>0.43931644993744551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'[73]Sch C'!D151</f>
        <v>111183.34</v>
      </c>
      <c r="D155" s="480">
        <f>'[73]Sch C'!F151</f>
        <v>0</v>
      </c>
      <c r="E155" s="480">
        <f>+'[73]Sch C'!H151</f>
        <v>0</v>
      </c>
      <c r="F155" s="166">
        <f t="shared" si="50"/>
        <v>111183.34</v>
      </c>
      <c r="G155" s="626"/>
      <c r="H155" s="607"/>
      <c r="I155" s="166">
        <f t="shared" si="51"/>
        <v>111183.34</v>
      </c>
      <c r="J155" s="167">
        <f t="shared" si="52"/>
        <v>1.4484840597528447E-2</v>
      </c>
      <c r="K155" s="458"/>
      <c r="L155" s="163"/>
      <c r="M155" s="163"/>
      <c r="O155" s="329">
        <f t="shared" si="43"/>
        <v>4.2151624521363305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'[73]Sch C'!D152</f>
        <v>46304.800000000003</v>
      </c>
      <c r="D156" s="480">
        <f>'[73]Sch C'!F152</f>
        <v>0</v>
      </c>
      <c r="E156" s="480">
        <f>+'[73]Sch C'!H152</f>
        <v>0</v>
      </c>
      <c r="F156" s="166">
        <f t="shared" si="50"/>
        <v>46304.800000000003</v>
      </c>
      <c r="G156" s="626"/>
      <c r="H156" s="607"/>
      <c r="I156" s="166">
        <f t="shared" si="51"/>
        <v>46304.800000000003</v>
      </c>
      <c r="J156" s="167">
        <f t="shared" si="52"/>
        <v>6.0325373108995944E-3</v>
      </c>
      <c r="K156" s="458"/>
      <c r="L156" s="163"/>
      <c r="M156" s="163"/>
      <c r="O156" s="329">
        <f t="shared" si="43"/>
        <v>1.755499109072298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'[73]Sch C'!D153</f>
        <v>0</v>
      </c>
      <c r="D157" s="480">
        <f>'[73]Sch C'!F153</f>
        <v>0</v>
      </c>
      <c r="E157" s="480">
        <f>+'[73]Sch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'[73]Sch C'!D154</f>
        <v>0</v>
      </c>
      <c r="D158" s="480">
        <f>'[73]Sch C'!F154</f>
        <v>0</v>
      </c>
      <c r="E158" s="480">
        <f>+'[73]Sch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'[73]Sch C'!D156</f>
        <v>0</v>
      </c>
      <c r="D160" s="480">
        <f>'[73]Sch C'!F156</f>
        <v>0</v>
      </c>
      <c r="E160" s="480">
        <f>+'[73]Sch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'[73]Sch C'!D157</f>
        <v>0</v>
      </c>
      <c r="D161" s="480">
        <f>'[73]Sch C'!F157</f>
        <v>0</v>
      </c>
      <c r="E161" s="480">
        <f>+'[73]Sch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'[73]Sch C'!D158</f>
        <v>0</v>
      </c>
      <c r="D162" s="480">
        <f>'[73]Sch C'!F158</f>
        <v>0</v>
      </c>
      <c r="E162" s="480">
        <f>+'[73]Sch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'[73]Sch C'!D159</f>
        <v>0</v>
      </c>
      <c r="D163" s="480">
        <f>'[73]Sch C'!F159</f>
        <v>0</v>
      </c>
      <c r="E163" s="480">
        <f>+'[73]Sch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'[73]Sch C'!D160</f>
        <v>0</v>
      </c>
      <c r="D164" s="480">
        <f>'[73]Sch C'!F160</f>
        <v>0</v>
      </c>
      <c r="E164" s="480">
        <f>+'[73]Sch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'[73]Sch C'!D161</f>
        <v>14076.53</v>
      </c>
      <c r="D165" s="480">
        <f>'[73]Sch C'!F161</f>
        <v>0</v>
      </c>
      <c r="E165" s="480">
        <f>+'[73]Sch C'!H161</f>
        <v>0</v>
      </c>
      <c r="F165" s="166">
        <f t="shared" si="53"/>
        <v>14076.53</v>
      </c>
      <c r="G165" s="626"/>
      <c r="H165" s="607"/>
      <c r="I165" s="166">
        <f t="shared" si="54"/>
        <v>14076.53</v>
      </c>
      <c r="J165" s="167">
        <f t="shared" si="55"/>
        <v>1.8338745104826597E-3</v>
      </c>
      <c r="K165" s="458"/>
      <c r="L165" s="163"/>
      <c r="M165" s="163"/>
      <c r="O165" s="329">
        <f t="shared" si="43"/>
        <v>0.53366683095120748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2677380.5399999991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2677380.5399999991</v>
      </c>
      <c r="G166" s="166">
        <f t="shared" si="57"/>
        <v>-39189</v>
      </c>
      <c r="H166" s="166">
        <f t="shared" si="57"/>
        <v>53855</v>
      </c>
      <c r="I166" s="166">
        <f t="shared" si="57"/>
        <v>2692046.5399999991</v>
      </c>
      <c r="J166" s="167">
        <f t="shared" si="55"/>
        <v>0.35071679815544288</v>
      </c>
      <c r="K166" s="458"/>
      <c r="L166" s="163"/>
      <c r="M166" s="163"/>
      <c r="O166" s="329">
        <f>I166/I$233</f>
        <v>102.06037608522573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'[73]Sch C'!D175</f>
        <v>0</v>
      </c>
      <c r="D169" s="480">
        <f>'[73]Sch C'!F175</f>
        <v>0</v>
      </c>
      <c r="E169" s="480">
        <f>+'[73]Sch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'[73]Sch C'!D176</f>
        <v>0</v>
      </c>
      <c r="D170" s="480">
        <f>'[73]Sch C'!F176</f>
        <v>0</v>
      </c>
      <c r="E170" s="480">
        <f>+'[73]Sch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'[73]Sch C'!D177</f>
        <v>267591.67</v>
      </c>
      <c r="D171" s="480">
        <f>'[73]Sch C'!F177-16672</f>
        <v>0</v>
      </c>
      <c r="E171" s="480">
        <f>+'[73]Sch C'!H177</f>
        <v>0</v>
      </c>
      <c r="F171" s="166">
        <f t="shared" si="58"/>
        <v>267591.67</v>
      </c>
      <c r="G171" s="626"/>
      <c r="H171" s="480">
        <v>16672</v>
      </c>
      <c r="I171" s="166">
        <f t="shared" si="59"/>
        <v>284263.67</v>
      </c>
      <c r="J171" s="167">
        <f t="shared" si="60"/>
        <v>3.703355149807902E-2</v>
      </c>
      <c r="K171" s="468"/>
      <c r="L171" s="176">
        <v>7108.85</v>
      </c>
      <c r="M171" s="176">
        <v>7282.05</v>
      </c>
      <c r="N171" s="208"/>
      <c r="O171" s="329">
        <f t="shared" si="61"/>
        <v>10.776952269022253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'[73]Sch C'!D178</f>
        <v>48634.81</v>
      </c>
      <c r="D172" s="480">
        <f>'[73]Sch C'!F178</f>
        <v>0</v>
      </c>
      <c r="E172" s="480">
        <f>+'[73]Sch C'!H178</f>
        <v>0</v>
      </c>
      <c r="F172" s="166">
        <f t="shared" si="58"/>
        <v>48634.81</v>
      </c>
      <c r="G172" s="626">
        <v>-5083</v>
      </c>
      <c r="H172" s="607"/>
      <c r="I172" s="166">
        <f t="shared" si="59"/>
        <v>43551.81</v>
      </c>
      <c r="J172" s="167">
        <f t="shared" si="60"/>
        <v>5.6738808672580389E-3</v>
      </c>
      <c r="K172" s="469"/>
      <c r="L172" s="212"/>
      <c r="M172" s="212"/>
      <c r="N172" s="208"/>
      <c r="O172" s="329">
        <f t="shared" si="61"/>
        <v>1.6511282556772946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'[73]Sch C'!D179</f>
        <v>48494.99</v>
      </c>
      <c r="D173" s="480">
        <f>'[73]Sch C'!F179</f>
        <v>0</v>
      </c>
      <c r="E173" s="480">
        <f>+'[73]Sch C'!H179</f>
        <v>0</v>
      </c>
      <c r="F173" s="166">
        <f t="shared" si="58"/>
        <v>48494.99</v>
      </c>
      <c r="G173" s="626"/>
      <c r="H173" s="607"/>
      <c r="I173" s="166">
        <f t="shared" si="59"/>
        <v>48494.99</v>
      </c>
      <c r="J173" s="167">
        <f t="shared" si="60"/>
        <v>6.3178728029643291E-3</v>
      </c>
      <c r="K173" s="468"/>
      <c r="L173" s="176">
        <v>1172.92</v>
      </c>
      <c r="M173" s="176">
        <v>1266.92</v>
      </c>
      <c r="N173" s="208"/>
      <c r="O173" s="329">
        <f t="shared" si="61"/>
        <v>1.8385331917958827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'[73]Sch C'!D180</f>
        <v>9115.24</v>
      </c>
      <c r="D174" s="480">
        <f>'[73]Sch C'!F180</f>
        <v>0</v>
      </c>
      <c r="E174" s="480">
        <f>+'[73]Sch C'!H180</f>
        <v>0</v>
      </c>
      <c r="F174" s="166">
        <f t="shared" si="58"/>
        <v>9115.24</v>
      </c>
      <c r="G174" s="626">
        <v>-933</v>
      </c>
      <c r="H174" s="607"/>
      <c r="I174" s="166">
        <f t="shared" si="59"/>
        <v>8182.24</v>
      </c>
      <c r="J174" s="167">
        <f t="shared" si="60"/>
        <v>1.0659730327468231E-3</v>
      </c>
      <c r="K174" s="469"/>
      <c r="L174" s="212"/>
      <c r="M174" s="212"/>
      <c r="N174" s="208"/>
      <c r="O174" s="329">
        <f t="shared" si="61"/>
        <v>0.31020358645789892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'[73]Sch C'!D181</f>
        <v>0</v>
      </c>
      <c r="D175" s="480">
        <f>'[73]Sch C'!F181</f>
        <v>0</v>
      </c>
      <c r="E175" s="480">
        <f>+'[73]Sch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'[73]Sch C'!D182</f>
        <v>0</v>
      </c>
      <c r="D176" s="480">
        <f>'[73]Sch C'!F182</f>
        <v>0</v>
      </c>
      <c r="E176" s="480">
        <f>+'[73]Sch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'[73]Sch C'!D183</f>
        <v>146962.91</v>
      </c>
      <c r="D177" s="480">
        <f>'[73]Sch C'!F183</f>
        <v>0</v>
      </c>
      <c r="E177" s="480">
        <f>+'[73]Sch C'!H183</f>
        <v>0</v>
      </c>
      <c r="F177" s="166">
        <f t="shared" si="58"/>
        <v>146962.91</v>
      </c>
      <c r="G177" s="626"/>
      <c r="H177" s="607"/>
      <c r="I177" s="166">
        <f t="shared" si="59"/>
        <v>146962.91</v>
      </c>
      <c r="J177" s="167">
        <f t="shared" si="60"/>
        <v>1.9146162771319152E-2</v>
      </c>
      <c r="K177" s="468"/>
      <c r="L177" s="176">
        <v>4934.7</v>
      </c>
      <c r="M177" s="176">
        <v>5225.7</v>
      </c>
      <c r="N177" s="208"/>
      <c r="O177" s="329">
        <f t="shared" si="61"/>
        <v>5.5716309663722186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'[73]Sch C'!D184</f>
        <v>32817.64</v>
      </c>
      <c r="D178" s="480">
        <f>'[73]Sch C'!F184</f>
        <v>0</v>
      </c>
      <c r="E178" s="480">
        <f>+'[73]Sch C'!H184</f>
        <v>0</v>
      </c>
      <c r="F178" s="166">
        <f t="shared" si="58"/>
        <v>32817.64</v>
      </c>
      <c r="G178" s="626">
        <v>-2809</v>
      </c>
      <c r="H178" s="607"/>
      <c r="I178" s="166">
        <f t="shared" si="59"/>
        <v>30008.639999999999</v>
      </c>
      <c r="J178" s="167">
        <f t="shared" si="60"/>
        <v>3.9094918982341782E-3</v>
      </c>
      <c r="K178" s="469"/>
      <c r="L178" s="212"/>
      <c r="M178" s="212"/>
      <c r="N178" s="208"/>
      <c r="O178" s="329">
        <f t="shared" si="61"/>
        <v>1.1376820715016871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'[73]Sch C'!D185</f>
        <v>0</v>
      </c>
      <c r="D179" s="480">
        <f>'[73]Sch C'!F185</f>
        <v>0</v>
      </c>
      <c r="E179" s="480">
        <f>+'[73]Sch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'[73]Sch C'!D186</f>
        <v>0</v>
      </c>
      <c r="D180" s="480">
        <f>'[73]Sch C'!F186</f>
        <v>0</v>
      </c>
      <c r="E180" s="480">
        <f>+'[73]Sch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'[73]Sch C'!D187</f>
        <v>0</v>
      </c>
      <c r="D181" s="480">
        <f>'[73]Sch C'!F187</f>
        <v>0</v>
      </c>
      <c r="E181" s="480">
        <f>+'[73]Sch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'[73]Sch C'!D188</f>
        <v>10135</v>
      </c>
      <c r="D182" s="480">
        <f>'[73]Sch C'!F188</f>
        <v>0</v>
      </c>
      <c r="E182" s="480">
        <f>+'[73]Sch C'!H188</f>
        <v>0</v>
      </c>
      <c r="F182" s="166">
        <f t="shared" si="58"/>
        <v>10135</v>
      </c>
      <c r="G182" s="626"/>
      <c r="H182" s="607"/>
      <c r="I182" s="166">
        <f t="shared" si="59"/>
        <v>10135</v>
      </c>
      <c r="J182" s="167">
        <f t="shared" si="60"/>
        <v>1.3203764112136838E-3</v>
      </c>
      <c r="K182" s="458"/>
      <c r="L182" s="213"/>
      <c r="M182" s="208"/>
      <c r="N182" s="210"/>
      <c r="O182" s="329">
        <f t="shared" si="61"/>
        <v>0.38423626644425068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'[73]Sch C'!D189</f>
        <v>43</v>
      </c>
      <c r="D183" s="480">
        <f>'[73]Sch C'!F189</f>
        <v>0</v>
      </c>
      <c r="E183" s="480">
        <f>+'[73]Sch C'!H189</f>
        <v>0</v>
      </c>
      <c r="F183" s="166">
        <f t="shared" si="58"/>
        <v>43</v>
      </c>
      <c r="G183" s="626"/>
      <c r="H183" s="607"/>
      <c r="I183" s="166">
        <f t="shared" si="59"/>
        <v>43</v>
      </c>
      <c r="J183" s="167">
        <f t="shared" si="60"/>
        <v>5.6019916805316625E-6</v>
      </c>
      <c r="K183" s="458"/>
      <c r="L183" s="213"/>
      <c r="M183" s="208"/>
      <c r="N183" s="210"/>
      <c r="O183" s="329">
        <f t="shared" si="61"/>
        <v>1.6302081358759526E-3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'[73]Sch C'!D190</f>
        <v>0</v>
      </c>
      <c r="D184" s="480">
        <f>'[73]Sch C'!F190</f>
        <v>0</v>
      </c>
      <c r="E184" s="480">
        <f>+'[73]Sch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'[73]Sch C'!D191</f>
        <v>0</v>
      </c>
      <c r="D185" s="480">
        <f>'[73]Sch C'!F191</f>
        <v>0</v>
      </c>
      <c r="E185" s="480">
        <f>+'[73]Sch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'[73]Sch C'!D192</f>
        <v>43898.38</v>
      </c>
      <c r="D186" s="480">
        <f>'[73]Sch C'!F192</f>
        <v>0</v>
      </c>
      <c r="E186" s="480">
        <f>+'[73]Sch C'!H192</f>
        <v>0</v>
      </c>
      <c r="F186" s="166">
        <f t="shared" si="58"/>
        <v>43898.38</v>
      </c>
      <c r="G186" s="626"/>
      <c r="H186" s="607"/>
      <c r="I186" s="166">
        <f t="shared" si="59"/>
        <v>43898.38</v>
      </c>
      <c r="J186" s="167">
        <f t="shared" si="60"/>
        <v>5.7190316174143604E-3</v>
      </c>
      <c r="K186" s="458"/>
      <c r="L186" s="213"/>
      <c r="M186" s="208"/>
      <c r="N186" s="210"/>
      <c r="O186" s="329">
        <f t="shared" si="61"/>
        <v>1.6642673541342836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'[73]Sch C'!D193</f>
        <v>0</v>
      </c>
      <c r="D187" s="480">
        <f>'[73]Sch C'!F193</f>
        <v>0</v>
      </c>
      <c r="E187" s="480">
        <f>+'[73]Sch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'[73]Sch C'!D194</f>
        <v>0</v>
      </c>
      <c r="D188" s="480">
        <f>'[73]Sch C'!F194</f>
        <v>0</v>
      </c>
      <c r="E188" s="480">
        <f>+'[73]Sch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'[73]Sch C'!D195</f>
        <v>2248.29</v>
      </c>
      <c r="D189" s="480">
        <f>'[73]Sch C'!F195</f>
        <v>0</v>
      </c>
      <c r="E189" s="480">
        <f>+'[73]Sch C'!H195</f>
        <v>0</v>
      </c>
      <c r="F189" s="166">
        <f t="shared" si="58"/>
        <v>2248.29</v>
      </c>
      <c r="G189" s="626"/>
      <c r="H189" s="607"/>
      <c r="I189" s="166">
        <f t="shared" si="59"/>
        <v>2248.29</v>
      </c>
      <c r="J189" s="167">
        <f t="shared" si="60"/>
        <v>2.9290469477726819E-4</v>
      </c>
      <c r="K189" s="458"/>
      <c r="L189" s="213"/>
      <c r="M189" s="208"/>
      <c r="O189" s="329">
        <f t="shared" si="61"/>
        <v>8.5236759297873152E-2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'[73]Sch C'!D196</f>
        <v>0</v>
      </c>
      <c r="D190" s="480">
        <f>'[73]Sch C'!F196</f>
        <v>0</v>
      </c>
      <c r="E190" s="480">
        <f>+'[73]Sch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'[73]Sch C'!D197</f>
        <v>0</v>
      </c>
      <c r="D191" s="480">
        <f>'[73]Sch C'!F197</f>
        <v>0</v>
      </c>
      <c r="E191" s="480">
        <f>+'[73]Sch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'[73]Sch C'!D198</f>
        <v>0</v>
      </c>
      <c r="D192" s="480">
        <f>'[73]Sch C'!F198+334</f>
        <v>0</v>
      </c>
      <c r="E192" s="480">
        <f>+'[73]Sch C'!H198</f>
        <v>0</v>
      </c>
      <c r="F192" s="166">
        <f t="shared" si="58"/>
        <v>0</v>
      </c>
      <c r="G192" s="626"/>
      <c r="H192" s="480">
        <v>-334</v>
      </c>
      <c r="I192" s="166">
        <f t="shared" si="59"/>
        <v>-334</v>
      </c>
      <c r="J192" s="167">
        <f t="shared" si="60"/>
        <v>-4.351314468133896E-5</v>
      </c>
      <c r="K192" s="458"/>
      <c r="L192" s="213"/>
      <c r="M192" s="208"/>
      <c r="O192" s="329">
        <f t="shared" si="61"/>
        <v>-1.2662546915873677E-2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'[73]Sch C'!D199</f>
        <v>0</v>
      </c>
      <c r="D193" s="480">
        <f>'[73]Sch C'!F199</f>
        <v>0</v>
      </c>
      <c r="E193" s="480">
        <f>+'[73]Sch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'[73]Sch C'!D200</f>
        <v>0</v>
      </c>
      <c r="D194" s="480">
        <f>'[73]Sch C'!F200</f>
        <v>0</v>
      </c>
      <c r="E194" s="480">
        <f>+'[73]Sch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'[73]Sch C'!D201</f>
        <v>259</v>
      </c>
      <c r="D195" s="480">
        <f>'[73]Sch C'!F201</f>
        <v>0</v>
      </c>
      <c r="E195" s="480">
        <f>+'[73]Sch C'!H201</f>
        <v>0</v>
      </c>
      <c r="F195" s="166">
        <f t="shared" si="58"/>
        <v>259</v>
      </c>
      <c r="G195" s="626"/>
      <c r="H195" s="607"/>
      <c r="I195" s="166">
        <f t="shared" si="59"/>
        <v>259</v>
      </c>
      <c r="J195" s="167">
        <f t="shared" si="60"/>
        <v>3.3742228959481409E-5</v>
      </c>
      <c r="K195" s="458"/>
      <c r="L195" s="213"/>
      <c r="M195" s="208"/>
      <c r="O195" s="329">
        <f t="shared" si="61"/>
        <v>9.8191606323691089E-3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'[73]Sch C'!D202</f>
        <v>0</v>
      </c>
      <c r="D196" s="480">
        <f>'[73]Sch C'!F202</f>
        <v>0</v>
      </c>
      <c r="E196" s="480">
        <f>+'[73]Sch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'[73]Sch C'!D203</f>
        <v>13322.01</v>
      </c>
      <c r="D197" s="480">
        <f>'[73]Sch C'!F203</f>
        <v>0</v>
      </c>
      <c r="E197" s="480">
        <f>+'[73]Sch C'!H203</f>
        <v>0</v>
      </c>
      <c r="F197" s="166">
        <f t="shared" si="58"/>
        <v>13322.01</v>
      </c>
      <c r="G197" s="626"/>
      <c r="H197" s="607"/>
      <c r="I197" s="166">
        <f t="shared" si="59"/>
        <v>13322.01</v>
      </c>
      <c r="J197" s="167">
        <f t="shared" si="60"/>
        <v>1.7355764927432468E-3</v>
      </c>
      <c r="K197" s="458"/>
      <c r="L197" s="213"/>
      <c r="M197" s="208"/>
      <c r="O197" s="329">
        <f t="shared" si="61"/>
        <v>0.50506160670280931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'[73]Sch C'!D204</f>
        <v>0</v>
      </c>
      <c r="D198" s="480">
        <f>'[73]Sch C'!F204</f>
        <v>0</v>
      </c>
      <c r="E198" s="480">
        <f>+'[73]Sch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'[73]Sch C'!D205</f>
        <v>186586.99</v>
      </c>
      <c r="D199" s="480">
        <f>'[73]Sch C'!F205</f>
        <v>0</v>
      </c>
      <c r="E199" s="480">
        <f>+'[73]Sch C'!H205</f>
        <v>0</v>
      </c>
      <c r="F199" s="166">
        <f t="shared" si="58"/>
        <v>186586.99</v>
      </c>
      <c r="G199" s="626"/>
      <c r="H199" s="607"/>
      <c r="I199" s="166">
        <f t="shared" si="59"/>
        <v>186586.99</v>
      </c>
      <c r="J199" s="167">
        <f t="shared" si="60"/>
        <v>2.4308343387801034E-2</v>
      </c>
      <c r="K199" s="458"/>
      <c r="L199" s="213"/>
      <c r="M199" s="208"/>
      <c r="O199" s="329">
        <f t="shared" si="61"/>
        <v>7.0738518406187207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'[73]Sch C'!D206</f>
        <v>28940.52</v>
      </c>
      <c r="D200" s="480">
        <f>'[73]Sch C'!F206</f>
        <v>0</v>
      </c>
      <c r="E200" s="480">
        <f>+'[73]Sch C'!H206</f>
        <v>0</v>
      </c>
      <c r="F200" s="166">
        <f t="shared" si="58"/>
        <v>28940.52</v>
      </c>
      <c r="G200" s="626"/>
      <c r="H200" s="607"/>
      <c r="I200" s="166">
        <f t="shared" si="59"/>
        <v>28940.52</v>
      </c>
      <c r="J200" s="167">
        <f t="shared" si="60"/>
        <v>3.7703384248897721E-3</v>
      </c>
      <c r="K200" s="458"/>
      <c r="L200" s="213"/>
      <c r="M200" s="208"/>
      <c r="O200" s="329">
        <f t="shared" si="61"/>
        <v>1.0971877014065283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'[73]Sch C'!D207</f>
        <v>18890.439999999999</v>
      </c>
      <c r="D201" s="480">
        <f>'[73]Sch C'!F207</f>
        <v>0</v>
      </c>
      <c r="E201" s="480">
        <f>+'[73]Sch C'!H207</f>
        <v>0</v>
      </c>
      <c r="F201" s="166">
        <f t="shared" si="58"/>
        <v>18890.439999999999</v>
      </c>
      <c r="G201" s="626"/>
      <c r="H201" s="607"/>
      <c r="I201" s="166">
        <f t="shared" si="59"/>
        <v>18890.439999999999</v>
      </c>
      <c r="J201" s="167">
        <f t="shared" si="60"/>
        <v>2.4610252958507566E-3</v>
      </c>
      <c r="K201" s="458"/>
      <c r="L201" s="213"/>
      <c r="M201" s="208"/>
      <c r="O201" s="329">
        <f t="shared" si="61"/>
        <v>0.71617090647154713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857940.89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857940.89</v>
      </c>
      <c r="G202" s="166">
        <f t="shared" si="63"/>
        <v>-8825</v>
      </c>
      <c r="H202" s="166">
        <f t="shared" si="63"/>
        <v>16338</v>
      </c>
      <c r="I202" s="166">
        <f t="shared" si="63"/>
        <v>865453.89</v>
      </c>
      <c r="J202" s="167">
        <f>IF($I$213=0,0,I202/$I$213)</f>
        <v>0.11275036027125035</v>
      </c>
      <c r="K202" s="458"/>
      <c r="L202" s="163"/>
      <c r="M202" s="163"/>
      <c r="O202" s="329">
        <f>I202/I$233</f>
        <v>32.810929597755624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'[73]Sch C'!D211</f>
        <v>165196</v>
      </c>
      <c r="D205" s="480">
        <f>'[73]Sch C'!F211</f>
        <v>0</v>
      </c>
      <c r="E205" s="480">
        <f>+'[73]Sch C'!H211</f>
        <v>0</v>
      </c>
      <c r="F205" s="166">
        <f t="shared" ref="F205:F210" si="64">C205+D205+E205</f>
        <v>165196</v>
      </c>
      <c r="G205" s="626"/>
      <c r="H205" s="607">
        <v>-32034</v>
      </c>
      <c r="I205" s="166">
        <f t="shared" ref="I205:I210" si="65">F205+G205+H205</f>
        <v>133162</v>
      </c>
      <c r="J205" s="167">
        <f t="shared" ref="J205:J211" si="66">IF($I$213=0,0,I205/$I$213)</f>
        <v>1.7348195724719937E-2</v>
      </c>
      <c r="K205" s="458"/>
      <c r="L205" s="176">
        <v>10192.08</v>
      </c>
      <c r="M205" s="176">
        <v>10669.38</v>
      </c>
      <c r="O205" s="329">
        <f t="shared" ref="O205:O210" si="67">I205/I$233</f>
        <v>5.0484133904538044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'[73]Sch C'!D212</f>
        <v>44212.79</v>
      </c>
      <c r="D206" s="480">
        <f>'[73]Sch C'!F212</f>
        <v>0</v>
      </c>
      <c r="E206" s="480">
        <f>+'[73]Sch C'!H212</f>
        <v>0</v>
      </c>
      <c r="F206" s="166">
        <f t="shared" si="64"/>
        <v>44212.79</v>
      </c>
      <c r="G206" s="626">
        <v>-3181</v>
      </c>
      <c r="H206" s="607">
        <v>-6111</v>
      </c>
      <c r="I206" s="166">
        <f t="shared" si="65"/>
        <v>34920.79</v>
      </c>
      <c r="J206" s="167">
        <f t="shared" si="66"/>
        <v>4.549441280409146E-3</v>
      </c>
      <c r="K206" s="458"/>
      <c r="L206" s="163"/>
      <c r="M206" s="163"/>
      <c r="O206" s="329">
        <f t="shared" si="67"/>
        <v>1.3239106039352466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'[73]Sch C'!D213</f>
        <v>17976.84</v>
      </c>
      <c r="D207" s="480">
        <f>'[73]Sch C'!F213</f>
        <v>0</v>
      </c>
      <c r="E207" s="480">
        <f>+'[73]Sch C'!H213</f>
        <v>0</v>
      </c>
      <c r="F207" s="166">
        <f t="shared" si="64"/>
        <v>17976.84</v>
      </c>
      <c r="G207" s="626">
        <v>-13831</v>
      </c>
      <c r="H207" s="607"/>
      <c r="I207" s="166">
        <f t="shared" si="65"/>
        <v>4145.84</v>
      </c>
      <c r="J207" s="167">
        <f t="shared" si="66"/>
        <v>5.401153764840788E-4</v>
      </c>
      <c r="K207" s="458"/>
      <c r="L207" s="163"/>
      <c r="M207" s="163"/>
      <c r="O207" s="329">
        <f t="shared" si="67"/>
        <v>0.1571763278613944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'[73]Sch C'!D214</f>
        <v>0</v>
      </c>
      <c r="D208" s="480">
        <f>'[73]Sch C'!F214</f>
        <v>0</v>
      </c>
      <c r="E208" s="480">
        <f>+'[73]Sch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'[73]Sch C'!D215</f>
        <v>0</v>
      </c>
      <c r="D209" s="480">
        <f>'[73]Sch C'!F215</f>
        <v>0</v>
      </c>
      <c r="E209" s="480">
        <f>+'[73]Sch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'[73]Sch C'!D216</f>
        <v>8317.7900000000009</v>
      </c>
      <c r="D210" s="480">
        <f>'[73]Sch C'!F216</f>
        <v>0</v>
      </c>
      <c r="E210" s="480">
        <f>+'[73]Sch C'!H216</f>
        <v>0</v>
      </c>
      <c r="F210" s="166">
        <f t="shared" si="64"/>
        <v>8317.7900000000009</v>
      </c>
      <c r="G210" s="626"/>
      <c r="H210" s="607"/>
      <c r="I210" s="166">
        <f t="shared" si="65"/>
        <v>8317.7900000000009</v>
      </c>
      <c r="J210" s="167">
        <f t="shared" si="66"/>
        <v>1.0836323344281271E-3</v>
      </c>
      <c r="K210" s="458"/>
      <c r="L210" s="163"/>
      <c r="M210" s="163"/>
      <c r="O210" s="329">
        <f t="shared" si="67"/>
        <v>0.31534253326761957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235703.42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235703.42</v>
      </c>
      <c r="G211" s="166">
        <f t="shared" si="69"/>
        <v>-17012</v>
      </c>
      <c r="H211" s="166">
        <f t="shared" si="69"/>
        <v>-38145</v>
      </c>
      <c r="I211" s="166">
        <f t="shared" si="69"/>
        <v>180546.42</v>
      </c>
      <c r="J211" s="167">
        <f t="shared" si="66"/>
        <v>2.3521384716041288E-2</v>
      </c>
      <c r="K211" s="458"/>
      <c r="L211" s="163"/>
      <c r="M211" s="163"/>
      <c r="O211" s="329">
        <f>I211/I$233</f>
        <v>6.8448428555180652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8675207.4199999962</v>
      </c>
      <c r="D213" s="480">
        <f t="shared" si="70"/>
        <v>-839347.43999999983</v>
      </c>
      <c r="E213" s="480">
        <f t="shared" si="70"/>
        <v>-236675.22999999998</v>
      </c>
      <c r="F213" s="166">
        <f t="shared" ref="F213:I213" si="71">SUM(F30:F211)/2</f>
        <v>7599184.7499999972</v>
      </c>
      <c r="G213" s="166">
        <f t="shared" si="71"/>
        <v>0</v>
      </c>
      <c r="H213" s="166">
        <f t="shared" si="71"/>
        <v>76656.709999999992</v>
      </c>
      <c r="I213" s="166">
        <f t="shared" si="71"/>
        <v>7675841.4599999981</v>
      </c>
      <c r="J213" s="167">
        <f>IF($I$213=0,0,I213/$I$213)</f>
        <v>1</v>
      </c>
      <c r="K213" s="458"/>
      <c r="L213" s="176">
        <f>SUM(L30:L205)</f>
        <v>178859.98000000004</v>
      </c>
      <c r="M213" s="176">
        <f>SUM(M30:M205)</f>
        <v>185573.27000000005</v>
      </c>
      <c r="O213" s="329">
        <f>I213/I$233</f>
        <v>291.00509762292899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'[73]Sch C'!D221</f>
        <v>8675207.4499999993</v>
      </c>
      <c r="D216" s="188"/>
      <c r="E216" s="188"/>
      <c r="F216" s="160"/>
      <c r="G216" s="160"/>
      <c r="H216" s="3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-3.0000003054738045E-2</v>
      </c>
      <c r="D217" s="219"/>
      <c r="E217" s="219"/>
      <c r="F217" s="160"/>
      <c r="G217" s="160"/>
      <c r="H217" s="399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41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-951299.1999999946</v>
      </c>
      <c r="D220" s="480">
        <f t="shared" si="72"/>
        <v>1755618.0699999998</v>
      </c>
      <c r="E220" s="480">
        <f t="shared" si="72"/>
        <v>236675.22999999998</v>
      </c>
      <c r="F220" s="166">
        <f t="shared" ref="F220:I220" si="73">F26-F213</f>
        <v>1040994.1000000024</v>
      </c>
      <c r="G220" s="166">
        <f t="shared" si="73"/>
        <v>0</v>
      </c>
      <c r="H220" s="166">
        <f t="shared" si="73"/>
        <v>-76656.709999999992</v>
      </c>
      <c r="I220" s="166">
        <f t="shared" si="73"/>
        <v>964337.39000000153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'[73]Sch D'!C9</f>
        <v>15339</v>
      </c>
      <c r="D224" s="480"/>
      <c r="E224" s="480"/>
      <c r="F224" s="224">
        <f>C224+D224+E224</f>
        <v>15339</v>
      </c>
      <c r="G224" s="627"/>
      <c r="H224" s="223"/>
      <c r="I224" s="224">
        <f>F224+G224+H224</f>
        <v>15339</v>
      </c>
      <c r="J224" s="167">
        <f t="shared" ref="J224:J233" si="74">IF($I$233=0,0,I224/$I$233)</f>
        <v>0.58152936270235434</v>
      </c>
      <c r="K224" s="458"/>
      <c r="L224" s="163"/>
      <c r="M224" s="163"/>
    </row>
    <row r="225" spans="1:13">
      <c r="A225" s="158"/>
      <c r="B225" s="165" t="s">
        <v>201</v>
      </c>
      <c r="C225" s="504">
        <f>'[73]Sch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'[73]Sch D'!E9</f>
        <v>2027</v>
      </c>
      <c r="D226" s="480"/>
      <c r="E226" s="480"/>
      <c r="F226" s="224">
        <f t="shared" si="75"/>
        <v>2027</v>
      </c>
      <c r="G226" s="627"/>
      <c r="H226" s="223"/>
      <c r="I226" s="224">
        <f t="shared" si="76"/>
        <v>2027</v>
      </c>
      <c r="J226" s="167">
        <f t="shared" si="74"/>
        <v>7.6847253288850129E-2</v>
      </c>
      <c r="K226" s="458"/>
      <c r="L226" s="163"/>
      <c r="M226" s="163"/>
    </row>
    <row r="227" spans="1:13">
      <c r="A227" s="158"/>
      <c r="B227" s="194" t="s">
        <v>315</v>
      </c>
      <c r="C227" s="504">
        <f>'[73]Sch D'!F9</f>
        <v>2434</v>
      </c>
      <c r="D227" s="480"/>
      <c r="E227" s="480"/>
      <c r="F227" s="224">
        <f t="shared" si="75"/>
        <v>2434</v>
      </c>
      <c r="G227" s="627"/>
      <c r="H227" s="223"/>
      <c r="I227" s="224">
        <f t="shared" si="76"/>
        <v>2434</v>
      </c>
      <c r="J227" s="167">
        <f t="shared" si="74"/>
        <v>9.2277362854001593E-2</v>
      </c>
      <c r="K227" s="458"/>
      <c r="L227" s="163"/>
      <c r="M227" s="163"/>
    </row>
    <row r="228" spans="1:13">
      <c r="A228" s="158"/>
      <c r="B228" s="165" t="s">
        <v>65</v>
      </c>
      <c r="C228" s="504">
        <f>'[73]Sch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'[73]Sch D'!H9</f>
        <v>4440</v>
      </c>
      <c r="D229" s="480"/>
      <c r="E229" s="480"/>
      <c r="F229" s="224">
        <f t="shared" si="75"/>
        <v>4440</v>
      </c>
      <c r="G229" s="627"/>
      <c r="H229" s="223"/>
      <c r="I229" s="224">
        <f t="shared" si="76"/>
        <v>4440</v>
      </c>
      <c r="J229" s="167">
        <f t="shared" si="74"/>
        <v>0.16832846798347045</v>
      </c>
      <c r="K229" s="458"/>
      <c r="L229" s="163"/>
      <c r="M229" s="163"/>
    </row>
    <row r="230" spans="1:13">
      <c r="A230" s="158"/>
      <c r="B230" s="165" t="s">
        <v>219</v>
      </c>
      <c r="C230" s="504">
        <f>'[73]Sch D'!I9</f>
        <v>1837</v>
      </c>
      <c r="D230" s="480"/>
      <c r="E230" s="480"/>
      <c r="F230" s="224">
        <f t="shared" si="75"/>
        <v>1837</v>
      </c>
      <c r="G230" s="627"/>
      <c r="H230" s="223"/>
      <c r="I230" s="224">
        <f t="shared" si="76"/>
        <v>1837</v>
      </c>
      <c r="J230" s="167">
        <f t="shared" si="74"/>
        <v>6.9644008037305222E-2</v>
      </c>
      <c r="K230" s="458"/>
      <c r="L230" s="163"/>
      <c r="M230" s="163"/>
    </row>
    <row r="231" spans="1:13">
      <c r="A231" s="158"/>
      <c r="B231" s="165" t="s">
        <v>218</v>
      </c>
      <c r="C231" s="504">
        <f>'[73]Sch D'!J9</f>
        <v>300</v>
      </c>
      <c r="D231" s="480"/>
      <c r="E231" s="480"/>
      <c r="F231" s="224">
        <f t="shared" si="75"/>
        <v>300</v>
      </c>
      <c r="G231" s="627"/>
      <c r="H231" s="223"/>
      <c r="I231" s="224">
        <f t="shared" si="76"/>
        <v>300</v>
      </c>
      <c r="J231" s="167">
        <f>IF($I$233=0,0,I231/$I$233)</f>
        <v>1.1373545134018273E-2</v>
      </c>
      <c r="K231" s="458"/>
      <c r="L231" s="163"/>
      <c r="M231" s="163"/>
    </row>
    <row r="232" spans="1:13">
      <c r="A232" s="158"/>
      <c r="B232" s="165" t="s">
        <v>170</v>
      </c>
      <c r="C232" s="504">
        <f>'[73]Sch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26377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26377</v>
      </c>
      <c r="G233" s="226">
        <f t="shared" si="78"/>
        <v>0</v>
      </c>
      <c r="H233" s="226">
        <f t="shared" si="78"/>
        <v>0</v>
      </c>
      <c r="I233" s="226">
        <f t="shared" si="78"/>
        <v>26377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'[73]Sch D'!N22</f>
        <v>140</v>
      </c>
      <c r="D236" s="480"/>
      <c r="E236" s="480"/>
      <c r="F236" s="224">
        <f>C236+E236</f>
        <v>140</v>
      </c>
      <c r="G236" s="627"/>
      <c r="H236" s="224"/>
      <c r="I236" s="224">
        <f>F236+G236+H236</f>
        <v>140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'[73]Sch D'!N24</f>
        <v>140</v>
      </c>
      <c r="D237" s="480"/>
      <c r="E237" s="480"/>
      <c r="F237" s="224">
        <f>C237+E237</f>
        <v>140</v>
      </c>
      <c r="G237" s="627"/>
      <c r="H237" s="224"/>
      <c r="I237" s="224">
        <f>F237+G237+H237</f>
        <v>140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'[73]Sch D'!N28</f>
        <v>51100</v>
      </c>
      <c r="D240" s="427"/>
      <c r="E240" s="427"/>
      <c r="F240" s="223">
        <f>F236*F238</f>
        <v>51100</v>
      </c>
      <c r="G240"/>
      <c r="H240" s="228"/>
      <c r="I240" s="223">
        <f>I236*I238</f>
        <v>51100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'[73]Sch D'!N30</f>
        <v>0.51618395303326814</v>
      </c>
      <c r="D241" s="228"/>
      <c r="E241" s="228"/>
      <c r="F241" s="232">
        <f>F233/F240</f>
        <v>0.51618395303326814</v>
      </c>
      <c r="G241"/>
      <c r="H241" s="233"/>
      <c r="I241" s="232">
        <f>I233/I240</f>
        <v>0.51618395303326814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'[73]Sch D'!N32</f>
        <v>0.3001761252446184</v>
      </c>
      <c r="D242" s="228"/>
      <c r="E242" s="228"/>
      <c r="F242" s="232">
        <f>(F224+F225)/F240</f>
        <v>0.3001761252446184</v>
      </c>
      <c r="G242"/>
      <c r="H242" s="233"/>
      <c r="I242" s="232">
        <f>(I224+I225)/I240</f>
        <v>0.3001761252446184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'[73]Sch D'!N34</f>
        <v>0.58152936270235434</v>
      </c>
      <c r="D243" s="228"/>
      <c r="E243" s="228"/>
      <c r="F243" s="232">
        <f>(F242/F241)</f>
        <v>0.58152936270235434</v>
      </c>
      <c r="G243"/>
      <c r="H243" s="233"/>
      <c r="I243" s="232">
        <f>(I242/I241)</f>
        <v>0.58152936270235434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'[73]Sch B'!C90</f>
        <v>276.40845079787232</v>
      </c>
      <c r="K246" s="460"/>
    </row>
    <row r="247" spans="1:13">
      <c r="H247" s="140" t="s">
        <v>322</v>
      </c>
      <c r="I247" s="480">
        <f>'[73]Sch B'!E90</f>
        <v>282.4566581306018</v>
      </c>
      <c r="K247" s="460"/>
    </row>
    <row r="248" spans="1:13">
      <c r="H248" s="140" t="s">
        <v>323</v>
      </c>
      <c r="I248" s="480">
        <f>'[73]Sch B'!G90</f>
        <v>269.16294591484461</v>
      </c>
      <c r="K248" s="460"/>
    </row>
    <row r="249" spans="1:13">
      <c r="H249" s="140" t="s">
        <v>324</v>
      </c>
      <c r="I249" s="480">
        <f>'[73]Sch B'!I90</f>
        <v>256.89055987558322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2" sqref="B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28CAB"/>
  </sheetPr>
  <dimension ref="A1:Q277"/>
  <sheetViews>
    <sheetView showGridLines="0" topLeftCell="B1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 t="s">
        <v>743</v>
      </c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455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'[8]Sch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'[8]Sch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'[8]Sch B'!E10</f>
        <v>119892</v>
      </c>
      <c r="D12" s="480">
        <f>'[8]Sch B'!G10</f>
        <v>0</v>
      </c>
      <c r="E12" s="480"/>
      <c r="F12" s="166">
        <f>C12+D12+E12</f>
        <v>119892</v>
      </c>
      <c r="G12" s="626"/>
      <c r="H12" s="166"/>
      <c r="I12" s="166">
        <f>F12+G12+H12</f>
        <v>119892</v>
      </c>
      <c r="J12" s="167">
        <f>IF($I$26=0,0,I12/$I$26)</f>
        <v>2.7237243588767876E-2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'[8]Sch B'!E12</f>
        <v>0</v>
      </c>
      <c r="D13" s="480">
        <f>'[8]Sch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'[8]Sch B'!E13</f>
        <v>0</v>
      </c>
      <c r="D14" s="480">
        <f>'[8]Sch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'[8]Sch B'!E14</f>
        <v>0</v>
      </c>
      <c r="D15" s="480">
        <f>'[8]Sch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'[8]Sch B'!E15</f>
        <v>119892</v>
      </c>
      <c r="D16" s="480">
        <f>'[8]Sch B'!G15</f>
        <v>0</v>
      </c>
      <c r="E16" s="480"/>
      <c r="F16" s="166">
        <f t="shared" si="0"/>
        <v>119892</v>
      </c>
      <c r="G16" s="626"/>
      <c r="H16" s="166"/>
      <c r="I16" s="166">
        <f>SUM(I12:I15)</f>
        <v>119892</v>
      </c>
      <c r="J16" s="167">
        <f t="shared" ref="J16:J26" si="2">IF($I$26=0,0,I16/$I$26)</f>
        <v>2.7237243588767876E-2</v>
      </c>
      <c r="K16" s="458"/>
      <c r="L16" s="333" t="s">
        <v>325</v>
      </c>
      <c r="M16" s="334">
        <f>I26</f>
        <v>4401767</v>
      </c>
      <c r="O16" s="324">
        <f>IFERROR(I16/I224,0)</f>
        <v>194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'[8]Sch B'!E20</f>
        <v>0</v>
      </c>
      <c r="D17" s="480">
        <f>'[8]Sch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4686677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'[8]Sch B'!E26</f>
        <v>2377106</v>
      </c>
      <c r="D18" s="480">
        <f>'[8]Sch B'!G26</f>
        <v>0</v>
      </c>
      <c r="E18" s="480"/>
      <c r="F18" s="166">
        <f t="shared" si="0"/>
        <v>2377106</v>
      </c>
      <c r="G18" s="626"/>
      <c r="H18" s="166"/>
      <c r="I18" s="166">
        <f t="shared" si="1"/>
        <v>2377106</v>
      </c>
      <c r="J18" s="167">
        <f t="shared" si="2"/>
        <v>0.54003449069430531</v>
      </c>
      <c r="K18" s="458"/>
      <c r="L18" s="335" t="s">
        <v>327</v>
      </c>
      <c r="M18" s="336">
        <f>I233</f>
        <v>12339</v>
      </c>
      <c r="O18" s="324">
        <f t="shared" si="3"/>
        <v>466.55662414131501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'[8]Sch B'!E32</f>
        <v>388389</v>
      </c>
      <c r="D19" s="480">
        <f>'[8]Sch B'!G32</f>
        <v>0</v>
      </c>
      <c r="E19" s="480"/>
      <c r="F19" s="166">
        <f t="shared" si="0"/>
        <v>388389</v>
      </c>
      <c r="G19" s="626"/>
      <c r="H19" s="166"/>
      <c r="I19" s="166">
        <f t="shared" si="1"/>
        <v>388389</v>
      </c>
      <c r="J19" s="170">
        <f t="shared" si="2"/>
        <v>8.8234792982000182E-2</v>
      </c>
      <c r="K19" s="464"/>
      <c r="L19" s="335" t="s">
        <v>328</v>
      </c>
      <c r="M19" s="336">
        <f>I236</f>
        <v>45</v>
      </c>
      <c r="O19" s="324">
        <f t="shared" si="3"/>
        <v>427.2706270627063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'[8]Sch B'!E37</f>
        <v>0</v>
      </c>
      <c r="D20" s="480">
        <f>'[8]Sch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16425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'[8]Sch B'!E42</f>
        <v>1509288</v>
      </c>
      <c r="D21" s="480">
        <f>'[8]Sch B'!G42</f>
        <v>0</v>
      </c>
      <c r="E21" s="480"/>
      <c r="F21" s="166">
        <f t="shared" si="0"/>
        <v>1509288</v>
      </c>
      <c r="G21" s="626"/>
      <c r="H21" s="166"/>
      <c r="I21" s="166">
        <f t="shared" si="1"/>
        <v>1509288</v>
      </c>
      <c r="J21" s="167">
        <f t="shared" si="2"/>
        <v>0.34288230158479538</v>
      </c>
      <c r="K21" s="458"/>
      <c r="L21" s="337"/>
      <c r="M21" s="336"/>
      <c r="O21" s="324">
        <f t="shared" si="3"/>
        <v>264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'[8]Sch B'!E47</f>
        <v>0</v>
      </c>
      <c r="D22" s="480">
        <f>'[8]Sch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85552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'[8]Sch B'!E52</f>
        <v>0</v>
      </c>
      <c r="D23" s="480">
        <f>'[8]Sch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90613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'[8]Sch B'!E57</f>
        <v>0</v>
      </c>
      <c r="D24" s="480">
        <f>'[8]Sch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'[8]Sch B'!E72</f>
        <v>26860</v>
      </c>
      <c r="D25" s="480">
        <f>'[8]Sch B'!G72</f>
        <v>-19768</v>
      </c>
      <c r="E25" s="480"/>
      <c r="F25" s="166">
        <f t="shared" si="0"/>
        <v>7092</v>
      </c>
      <c r="G25" s="626"/>
      <c r="H25" s="166"/>
      <c r="I25" s="166">
        <f t="shared" si="1"/>
        <v>7092</v>
      </c>
      <c r="J25" s="167">
        <f t="shared" si="2"/>
        <v>1.6111711501312995E-3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561</v>
      </c>
      <c r="C26" s="480">
        <f>SUM(C16:C25)</f>
        <v>4421535</v>
      </c>
      <c r="D26" s="480">
        <f>SUM(D16:D25)</f>
        <v>-19768</v>
      </c>
      <c r="E26" s="480"/>
      <c r="F26" s="166">
        <f t="shared" ref="F26" si="4">SUM(F16:F25)</f>
        <v>4401767</v>
      </c>
      <c r="G26" s="166">
        <f>SUM(G12:G25)</f>
        <v>0</v>
      </c>
      <c r="H26" s="166">
        <f>SUM(H12:H25)</f>
        <v>0</v>
      </c>
      <c r="I26" s="166">
        <f>SUM(I16:I25)</f>
        <v>4401767</v>
      </c>
      <c r="J26" s="167">
        <f t="shared" si="2"/>
        <v>1</v>
      </c>
      <c r="K26" s="458"/>
      <c r="L26" s="163"/>
      <c r="M26" s="163"/>
      <c r="O26" s="324">
        <f>IFERROR(I26/I233,0)</f>
        <v>356.73612124159172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'[8]Sch C'!D10</f>
        <v>32933</v>
      </c>
      <c r="D30" s="480">
        <f>'[8]Sch C'!F10</f>
        <v>0</v>
      </c>
      <c r="E30" s="480">
        <f>+'[8]Sch C'!H10</f>
        <v>0</v>
      </c>
      <c r="F30" s="166">
        <f t="shared" ref="F30:F65" si="5">C30+D30+E30</f>
        <v>32933</v>
      </c>
      <c r="G30" s="626"/>
      <c r="H30" s="166"/>
      <c r="I30" s="166">
        <f t="shared" ref="I30:I65" si="6">F30+G30+H30</f>
        <v>32933</v>
      </c>
      <c r="J30" s="167">
        <f>IF($I$213=0,0,I30/$I$213)</f>
        <v>7.0269404100175882E-3</v>
      </c>
      <c r="K30" s="458"/>
      <c r="L30" s="176">
        <v>501</v>
      </c>
      <c r="M30" s="176">
        <v>532</v>
      </c>
      <c r="O30" s="324">
        <f>I30/I$233</f>
        <v>2.6690169381635465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'[8]Sch C'!D11</f>
        <v>0</v>
      </c>
      <c r="D31" s="480">
        <f>'[8]Sch C'!F11</f>
        <v>0</v>
      </c>
      <c r="E31" s="480">
        <f>+'[8]Sch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'[8]Sch C'!D12</f>
        <v>58102</v>
      </c>
      <c r="D32" s="480">
        <f>'[8]Sch C'!F12</f>
        <v>0</v>
      </c>
      <c r="E32" s="480">
        <f>+'[8]Sch C'!H12</f>
        <v>0</v>
      </c>
      <c r="F32" s="166">
        <f t="shared" si="5"/>
        <v>58102</v>
      </c>
      <c r="G32" s="626"/>
      <c r="H32" s="166"/>
      <c r="I32" s="166">
        <f t="shared" si="6"/>
        <v>58102</v>
      </c>
      <c r="J32" s="167">
        <f t="shared" si="7"/>
        <v>1.2397269963345031E-2</v>
      </c>
      <c r="K32" s="458"/>
      <c r="L32" s="176">
        <v>2769</v>
      </c>
      <c r="M32" s="176">
        <v>2894</v>
      </c>
      <c r="O32" s="324">
        <f t="shared" si="8"/>
        <v>4.7088094659210631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'[8]Sch C'!D13</f>
        <v>14313</v>
      </c>
      <c r="D33" s="480">
        <f>'[8]Sch C'!F13</f>
        <v>0</v>
      </c>
      <c r="E33" s="480">
        <f>+'[8]Sch C'!H13</f>
        <v>0</v>
      </c>
      <c r="F33" s="166">
        <f t="shared" si="5"/>
        <v>14313</v>
      </c>
      <c r="G33" s="626"/>
      <c r="H33" s="166"/>
      <c r="I33" s="166">
        <f t="shared" si="6"/>
        <v>14313</v>
      </c>
      <c r="J33" s="167">
        <f t="shared" si="7"/>
        <v>3.0539761967807895E-3</v>
      </c>
      <c r="K33" s="458"/>
      <c r="L33" s="163"/>
      <c r="M33" s="163"/>
      <c r="O33" s="324">
        <f t="shared" si="8"/>
        <v>1.1599805494772673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'[8]Sch C'!D14</f>
        <v>0</v>
      </c>
      <c r="D34" s="480">
        <f>'[8]Sch C'!F14</f>
        <v>0</v>
      </c>
      <c r="E34" s="480">
        <f>+'[8]Sch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'[8]Sch C'!D15</f>
        <v>0</v>
      </c>
      <c r="D35" s="480">
        <f>'[8]Sch C'!F15</f>
        <v>0</v>
      </c>
      <c r="E35" s="480">
        <f>+'[8]Sch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'[8]Sch C'!D16</f>
        <v>133970</v>
      </c>
      <c r="D36" s="480">
        <f>'[8]Sch C'!F16</f>
        <v>0</v>
      </c>
      <c r="E36" s="480">
        <f>+'[8]Sch C'!H16</f>
        <v>11429</v>
      </c>
      <c r="F36" s="166">
        <f t="shared" si="5"/>
        <v>145399</v>
      </c>
      <c r="G36" s="626"/>
      <c r="H36" s="166"/>
      <c r="I36" s="166">
        <f t="shared" si="6"/>
        <v>145399</v>
      </c>
      <c r="J36" s="167">
        <f t="shared" si="7"/>
        <v>3.1023900302922517E-2</v>
      </c>
      <c r="K36" s="458"/>
      <c r="L36" s="163"/>
      <c r="M36" s="163"/>
      <c r="O36" s="324">
        <f t="shared" si="8"/>
        <v>11.783693978442336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'[8]Sch C'!D17</f>
        <v>0</v>
      </c>
      <c r="D37" s="480">
        <f>'[8]Sch C'!F17</f>
        <v>0</v>
      </c>
      <c r="E37" s="480">
        <f>+'[8]Sch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'[8]Sch C'!D18</f>
        <v>7410</v>
      </c>
      <c r="D38" s="480">
        <f>'[8]Sch C'!F18</f>
        <v>0</v>
      </c>
      <c r="E38" s="480">
        <f>+'[8]Sch C'!H18</f>
        <v>0</v>
      </c>
      <c r="F38" s="166">
        <f t="shared" si="5"/>
        <v>7410</v>
      </c>
      <c r="G38" s="626"/>
      <c r="H38" s="166"/>
      <c r="I38" s="166">
        <f t="shared" si="6"/>
        <v>7410</v>
      </c>
      <c r="J38" s="167">
        <f t="shared" si="7"/>
        <v>1.581077595063624E-3</v>
      </c>
      <c r="K38" s="458"/>
      <c r="L38" s="163"/>
      <c r="M38" s="163"/>
      <c r="O38" s="324">
        <f t="shared" si="8"/>
        <v>0.60053488937515198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'[8]Sch C'!D19</f>
        <v>2117</v>
      </c>
      <c r="D39" s="480">
        <f>'[8]Sch C'!F19</f>
        <v>0</v>
      </c>
      <c r="E39" s="480">
        <f>+'[8]Sch C'!H19</f>
        <v>0</v>
      </c>
      <c r="F39" s="166">
        <f t="shared" si="5"/>
        <v>2117</v>
      </c>
      <c r="G39" s="626"/>
      <c r="H39" s="166"/>
      <c r="I39" s="166">
        <f t="shared" si="6"/>
        <v>2117</v>
      </c>
      <c r="J39" s="167">
        <f t="shared" si="7"/>
        <v>4.5170597419024182E-4</v>
      </c>
      <c r="K39" s="458"/>
      <c r="L39" s="163"/>
      <c r="M39" s="163"/>
      <c r="O39" s="324">
        <f t="shared" si="8"/>
        <v>0.17156981927222628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'[8]Sch C'!D20</f>
        <v>4061</v>
      </c>
      <c r="D40" s="480">
        <f>'[8]Sch C'!F20</f>
        <v>0</v>
      </c>
      <c r="E40" s="480">
        <f>+'[8]Sch C'!H20</f>
        <v>0</v>
      </c>
      <c r="F40" s="166">
        <f t="shared" si="5"/>
        <v>4061</v>
      </c>
      <c r="G40" s="626"/>
      <c r="H40" s="166"/>
      <c r="I40" s="166">
        <f t="shared" si="6"/>
        <v>4061</v>
      </c>
      <c r="J40" s="167">
        <f t="shared" si="7"/>
        <v>8.6649880074944358E-4</v>
      </c>
      <c r="K40" s="458"/>
      <c r="L40" s="163"/>
      <c r="M40" s="163"/>
      <c r="O40" s="324">
        <f t="shared" si="8"/>
        <v>0.32911905340789366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'[8]Sch C'!D21</f>
        <v>5113</v>
      </c>
      <c r="D41" s="480">
        <f>'[8]Sch C'!F21</f>
        <v>0</v>
      </c>
      <c r="E41" s="480">
        <f>+'[8]Sch C'!H21</f>
        <v>0</v>
      </c>
      <c r="F41" s="166">
        <f t="shared" si="5"/>
        <v>5113</v>
      </c>
      <c r="G41" s="626"/>
      <c r="H41" s="166"/>
      <c r="I41" s="166">
        <f t="shared" si="6"/>
        <v>5113</v>
      </c>
      <c r="J41" s="167">
        <f t="shared" si="7"/>
        <v>1.0909648776734561E-3</v>
      </c>
      <c r="K41" s="458" t="s">
        <v>494</v>
      </c>
      <c r="L41" s="163"/>
      <c r="M41" s="163"/>
      <c r="O41" s="324">
        <f t="shared" si="8"/>
        <v>0.41437717805332686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'[8]Sch C'!D22</f>
        <v>0</v>
      </c>
      <c r="D42" s="480">
        <f>'[8]Sch C'!F22</f>
        <v>0</v>
      </c>
      <c r="E42" s="480">
        <f>+'[8]Sch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'[8]Sch C'!D23</f>
        <v>29432</v>
      </c>
      <c r="D43" s="480">
        <f>'[8]Sch C'!F23</f>
        <v>0</v>
      </c>
      <c r="E43" s="480">
        <f>+'[8]Sch C'!H23</f>
        <v>0</v>
      </c>
      <c r="F43" s="166">
        <f t="shared" si="5"/>
        <v>29432</v>
      </c>
      <c r="G43" s="626"/>
      <c r="H43" s="166"/>
      <c r="I43" s="166">
        <f t="shared" si="6"/>
        <v>29432</v>
      </c>
      <c r="J43" s="167">
        <f t="shared" si="7"/>
        <v>6.2799292547790261E-3</v>
      </c>
      <c r="K43" s="458"/>
      <c r="L43" s="163"/>
      <c r="M43" s="163"/>
      <c r="O43" s="324">
        <f t="shared" si="8"/>
        <v>2.3852824377988493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'[8]Sch C'!D24</f>
        <v>0</v>
      </c>
      <c r="D44" s="480">
        <f>'[8]Sch C'!F24</f>
        <v>0</v>
      </c>
      <c r="E44" s="480">
        <f>+'[8]Sch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'[8]Sch C'!D25</f>
        <v>0</v>
      </c>
      <c r="D45" s="480">
        <f>'[8]Sch C'!F25</f>
        <v>0</v>
      </c>
      <c r="E45" s="480">
        <f>+'[8]Sch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'[8]Sch C'!D26</f>
        <v>123269</v>
      </c>
      <c r="D46" s="480">
        <f>'[8]Sch C'!F26</f>
        <v>0</v>
      </c>
      <c r="E46" s="480">
        <f>+'[8]Sch C'!H26</f>
        <v>0</v>
      </c>
      <c r="F46" s="166">
        <f t="shared" si="5"/>
        <v>123269</v>
      </c>
      <c r="G46" s="626"/>
      <c r="H46" s="166"/>
      <c r="I46" s="166">
        <f t="shared" si="6"/>
        <v>123269</v>
      </c>
      <c r="J46" s="167">
        <f t="shared" si="7"/>
        <v>2.6302004597287161E-2</v>
      </c>
      <c r="K46" s="458" t="s">
        <v>494</v>
      </c>
      <c r="L46" s="163"/>
      <c r="M46" s="163"/>
      <c r="O46" s="324">
        <f t="shared" si="8"/>
        <v>9.9901936947888803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'[8]Sch C'!D27</f>
        <v>0</v>
      </c>
      <c r="D47" s="480">
        <f>'[8]Sch C'!F27</f>
        <v>0</v>
      </c>
      <c r="E47" s="480">
        <f>+'[8]Sch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'[8]Sch C'!D28</f>
        <v>0</v>
      </c>
      <c r="D48" s="480">
        <f>'[8]Sch C'!F28</f>
        <v>0</v>
      </c>
      <c r="E48" s="480">
        <f>+'[8]Sch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'[8]Sch C'!D29</f>
        <v>50033</v>
      </c>
      <c r="D49" s="480">
        <f>'[8]Sch C'!F29</f>
        <v>-50033</v>
      </c>
      <c r="E49" s="480">
        <f>+'[8]Sch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'[8]Sch C'!D30</f>
        <v>0</v>
      </c>
      <c r="D50" s="480">
        <f>'[8]Sch C'!F30</f>
        <v>0</v>
      </c>
      <c r="E50" s="480">
        <f>+'[8]Sch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'[8]Sch C'!D31</f>
        <v>25590</v>
      </c>
      <c r="D51" s="480">
        <f>'[8]Sch C'!F31</f>
        <v>0</v>
      </c>
      <c r="E51" s="480">
        <f>+'[8]Sch C'!H31</f>
        <v>0</v>
      </c>
      <c r="F51" s="166">
        <f t="shared" si="5"/>
        <v>25590</v>
      </c>
      <c r="G51" s="626"/>
      <c r="H51" s="166"/>
      <c r="I51" s="166">
        <f t="shared" si="6"/>
        <v>25590</v>
      </c>
      <c r="J51" s="167">
        <f t="shared" si="7"/>
        <v>5.4601586582561593E-3</v>
      </c>
      <c r="K51" s="458"/>
      <c r="L51" s="163"/>
      <c r="M51" s="163"/>
      <c r="O51" s="324">
        <f t="shared" si="8"/>
        <v>2.0739119863846343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'[8]Sch C'!D32</f>
        <v>22293</v>
      </c>
      <c r="D52" s="480">
        <f>'[8]Sch C'!F32</f>
        <v>0</v>
      </c>
      <c r="E52" s="480">
        <f>+'[8]Sch C'!H32</f>
        <v>0</v>
      </c>
      <c r="F52" s="166">
        <f t="shared" si="5"/>
        <v>22293</v>
      </c>
      <c r="G52" s="626"/>
      <c r="H52" s="166"/>
      <c r="I52" s="166">
        <f t="shared" si="6"/>
        <v>22293</v>
      </c>
      <c r="J52" s="167">
        <f t="shared" si="7"/>
        <v>4.756675145310846E-3</v>
      </c>
      <c r="K52" s="458"/>
      <c r="L52" s="163"/>
      <c r="M52" s="163"/>
      <c r="O52" s="324">
        <f t="shared" si="8"/>
        <v>1.8067104303428154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'[8]Sch C'!D33</f>
        <v>7388</v>
      </c>
      <c r="D53" s="480">
        <f>'[8]Sch C'!F33</f>
        <v>-7388</v>
      </c>
      <c r="E53" s="480">
        <f>+'[8]Sch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'[8]Sch C'!D34</f>
        <v>0</v>
      </c>
      <c r="D54" s="480">
        <f>'[8]Sch C'!F34</f>
        <v>0</v>
      </c>
      <c r="E54" s="480">
        <f>+'[8]Sch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'[8]Sch C'!D35</f>
        <v>0</v>
      </c>
      <c r="D55" s="480">
        <f>'[8]Sch C'!F35</f>
        <v>0</v>
      </c>
      <c r="E55" s="480">
        <f>+'[8]Sch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'[8]Sch C'!D36</f>
        <v>0</v>
      </c>
      <c r="D56" s="480">
        <f>'[8]Sch C'!F36</f>
        <v>0</v>
      </c>
      <c r="E56" s="480">
        <f>+'[8]Sch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'[8]Sch C'!D37</f>
        <v>0</v>
      </c>
      <c r="D57" s="480">
        <f>'[8]Sch C'!F37</f>
        <v>0</v>
      </c>
      <c r="E57" s="480">
        <f>+'[8]Sch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'[8]Sch C'!D38</f>
        <v>0</v>
      </c>
      <c r="D58" s="480">
        <f>'[8]Sch C'!F38</f>
        <v>0</v>
      </c>
      <c r="E58" s="480">
        <f>+'[8]Sch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'[8]Sch C'!D39</f>
        <v>33</v>
      </c>
      <c r="D59" s="480">
        <f>'[8]Sch C'!F39</f>
        <v>0</v>
      </c>
      <c r="E59" s="480">
        <f>+'[8]Sch C'!H39</f>
        <v>0</v>
      </c>
      <c r="F59" s="166">
        <f t="shared" si="5"/>
        <v>33</v>
      </c>
      <c r="G59" s="626"/>
      <c r="H59" s="166"/>
      <c r="I59" s="166">
        <f t="shared" si="6"/>
        <v>33</v>
      </c>
      <c r="J59" s="167">
        <f t="shared" si="7"/>
        <v>7.0412362533197826E-6</v>
      </c>
      <c r="K59" s="458"/>
      <c r="L59" s="163"/>
      <c r="M59" s="163"/>
      <c r="O59" s="324">
        <f t="shared" si="8"/>
        <v>2.6744468757597859E-3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'[8]Sch C'!D40</f>
        <v>0</v>
      </c>
      <c r="D60" s="480">
        <f>'[8]Sch C'!F40</f>
        <v>0</v>
      </c>
      <c r="E60" s="480">
        <f>+'[8]Sch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'[8]Sch C'!D41</f>
        <v>40151</v>
      </c>
      <c r="D61" s="480">
        <f>'[8]Sch C'!F41</f>
        <v>0</v>
      </c>
      <c r="E61" s="480">
        <f>+'[8]Sch C'!H41</f>
        <v>0</v>
      </c>
      <c r="F61" s="166">
        <f t="shared" si="5"/>
        <v>40151</v>
      </c>
      <c r="G61" s="626"/>
      <c r="H61" s="166"/>
      <c r="I61" s="166">
        <f t="shared" si="6"/>
        <v>40151</v>
      </c>
      <c r="J61" s="167">
        <f t="shared" si="7"/>
        <v>8.5670508123346246E-3</v>
      </c>
      <c r="K61" s="458"/>
      <c r="L61" s="163"/>
      <c r="M61" s="163"/>
      <c r="O61" s="324">
        <f t="shared" si="8"/>
        <v>3.2539914093524596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'[8]Sch C'!D42</f>
        <v>0</v>
      </c>
      <c r="D62" s="480">
        <f>'[8]Sch C'!F42</f>
        <v>0</v>
      </c>
      <c r="E62" s="480">
        <f>+'[8]Sch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'[8]Sch C'!D43</f>
        <v>11921</v>
      </c>
      <c r="D63" s="480">
        <f>'[8]Sch C'!F43</f>
        <v>0</v>
      </c>
      <c r="E63" s="480">
        <f>+'[8]Sch C'!H43</f>
        <v>0</v>
      </c>
      <c r="F63" s="166">
        <f t="shared" si="5"/>
        <v>11921</v>
      </c>
      <c r="G63" s="626">
        <v>-11921</v>
      </c>
      <c r="H63" s="166"/>
      <c r="I63" s="166">
        <f t="shared" si="6"/>
        <v>0</v>
      </c>
      <c r="J63" s="167">
        <f t="shared" si="7"/>
        <v>0</v>
      </c>
      <c r="K63" s="458" t="s">
        <v>740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'[8]Sch C'!D44</f>
        <v>0</v>
      </c>
      <c r="D64" s="480">
        <f>'[8]Sch C'!F44</f>
        <v>0</v>
      </c>
      <c r="E64" s="480">
        <f>+'[8]Sch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'[8]Sch C'!D45</f>
        <v>0</v>
      </c>
      <c r="D65" s="480">
        <f>'[8]Sch C'!F45</f>
        <v>0</v>
      </c>
      <c r="E65" s="480">
        <f>+'[8]Sch C'!H45</f>
        <v>0</v>
      </c>
      <c r="F65" s="166">
        <f t="shared" si="5"/>
        <v>0</v>
      </c>
      <c r="G65" s="626"/>
      <c r="H65" s="166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568129</v>
      </c>
      <c r="D66" s="480">
        <f t="shared" si="9"/>
        <v>-57421</v>
      </c>
      <c r="E66" s="480">
        <f t="shared" si="9"/>
        <v>11429</v>
      </c>
      <c r="F66" s="166">
        <f t="shared" ref="F66:I66" si="10">SUM(F30:F65)</f>
        <v>522137</v>
      </c>
      <c r="G66" s="166">
        <f t="shared" si="10"/>
        <v>-11921</v>
      </c>
      <c r="H66" s="166">
        <f t="shared" si="10"/>
        <v>0</v>
      </c>
      <c r="I66" s="166">
        <f t="shared" si="10"/>
        <v>510216</v>
      </c>
      <c r="J66" s="178">
        <f t="shared" si="7"/>
        <v>0.10886519382496383</v>
      </c>
      <c r="K66" s="465"/>
      <c r="L66" s="163"/>
      <c r="M66" s="163"/>
      <c r="O66" s="329">
        <f>I66/I$233</f>
        <v>41.349866277656211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'[8]Sch C'!D57</f>
        <v>263258</v>
      </c>
      <c r="D69" s="480">
        <f>'[8]Sch C'!F57</f>
        <v>0</v>
      </c>
      <c r="E69" s="480">
        <f>+'[8]Sch C'!H57</f>
        <v>-263258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'[8]Sch C'!D58</f>
        <v>19634</v>
      </c>
      <c r="D70" s="480">
        <f>'[8]Sch C'!F58</f>
        <v>0</v>
      </c>
      <c r="E70" s="480">
        <f>+'[8]Sch C'!H58</f>
        <v>137364</v>
      </c>
      <c r="F70" s="166">
        <f t="shared" ref="F70:F83" si="13">C70+D70+E70</f>
        <v>156998</v>
      </c>
      <c r="G70" s="626"/>
      <c r="H70" s="166"/>
      <c r="I70" s="166">
        <f t="shared" ref="I70:I83" si="14">F70+G70+H70</f>
        <v>156998</v>
      </c>
      <c r="J70" s="167">
        <f t="shared" si="11"/>
        <v>3.3498788160566645E-2</v>
      </c>
      <c r="K70" s="458"/>
      <c r="L70" s="182"/>
      <c r="M70" s="163"/>
      <c r="O70" s="324">
        <f t="shared" si="12"/>
        <v>12.723721533349542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'[8]Sch C'!D59</f>
        <v>0</v>
      </c>
      <c r="D71" s="480">
        <f>'[8]Sch C'!F59</f>
        <v>0</v>
      </c>
      <c r="E71" s="480">
        <f>+'[8]Sch C'!H59</f>
        <v>101833</v>
      </c>
      <c r="F71" s="166">
        <f t="shared" si="13"/>
        <v>101833</v>
      </c>
      <c r="G71" s="626"/>
      <c r="H71" s="166"/>
      <c r="I71" s="166">
        <f t="shared" si="14"/>
        <v>101833</v>
      </c>
      <c r="J71" s="167">
        <f t="shared" si="11"/>
        <v>2.1728188223767073E-2</v>
      </c>
      <c r="K71" s="458"/>
      <c r="L71" s="182"/>
      <c r="M71" s="163"/>
      <c r="O71" s="324">
        <f t="shared" si="12"/>
        <v>8.2529378393710999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'[8]Sch C'!D60</f>
        <v>13204</v>
      </c>
      <c r="D72" s="480">
        <f>'[8]Sch C'!F60</f>
        <v>0</v>
      </c>
      <c r="E72" s="480">
        <f>+'[8]Sch C'!H60</f>
        <v>0</v>
      </c>
      <c r="F72" s="166">
        <f t="shared" si="13"/>
        <v>13204</v>
      </c>
      <c r="G72" s="626"/>
      <c r="H72" s="166"/>
      <c r="I72" s="166">
        <f t="shared" si="14"/>
        <v>13204</v>
      </c>
      <c r="J72" s="167">
        <f t="shared" si="11"/>
        <v>2.8173479845101336E-3</v>
      </c>
      <c r="K72" s="458"/>
      <c r="L72" s="185"/>
      <c r="M72" s="163"/>
      <c r="O72" s="324">
        <f t="shared" si="12"/>
        <v>1.0701029256827943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'[8]Sch C'!D61</f>
        <v>692</v>
      </c>
      <c r="D73" s="480">
        <f>'[8]Sch C'!F61</f>
        <v>0</v>
      </c>
      <c r="E73" s="480">
        <f>+'[8]Sch C'!H61</f>
        <v>0</v>
      </c>
      <c r="F73" s="166">
        <f t="shared" si="13"/>
        <v>692</v>
      </c>
      <c r="G73" s="626"/>
      <c r="H73" s="166"/>
      <c r="I73" s="166">
        <f t="shared" si="14"/>
        <v>692</v>
      </c>
      <c r="J73" s="167">
        <f t="shared" si="11"/>
        <v>1.4765259052416029E-4</v>
      </c>
      <c r="K73" s="458"/>
      <c r="L73" s="185"/>
      <c r="M73" s="163"/>
      <c r="O73" s="324">
        <f t="shared" si="12"/>
        <v>5.6082340546235517E-2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'[8]Sch C'!D62</f>
        <v>0</v>
      </c>
      <c r="D74" s="480">
        <f>'[8]Sch C'!F62</f>
        <v>0</v>
      </c>
      <c r="E74" s="480">
        <f>+'[8]Sch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'[8]Sch C'!D63</f>
        <v>0</v>
      </c>
      <c r="D75" s="480">
        <f>'[8]Sch C'!F63</f>
        <v>0</v>
      </c>
      <c r="E75" s="480">
        <f>+'[8]Sch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'[8]Sch C'!D64</f>
        <v>0</v>
      </c>
      <c r="D76" s="480">
        <f>'[8]Sch C'!F64</f>
        <v>0</v>
      </c>
      <c r="E76" s="480">
        <f>+'[8]Sch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'[8]Sch C'!D65</f>
        <v>418</v>
      </c>
      <c r="D77" s="480">
        <f>'[8]Sch C'!F65</f>
        <v>0</v>
      </c>
      <c r="E77" s="480">
        <f>+'[8]Sch C'!H65</f>
        <v>0</v>
      </c>
      <c r="F77" s="166">
        <f t="shared" si="13"/>
        <v>418</v>
      </c>
      <c r="G77" s="626"/>
      <c r="H77" s="166"/>
      <c r="I77" s="166">
        <f t="shared" si="14"/>
        <v>418</v>
      </c>
      <c r="J77" s="167">
        <f t="shared" si="11"/>
        <v>8.9188992542050584E-5</v>
      </c>
      <c r="K77" s="458"/>
      <c r="L77" s="187"/>
      <c r="M77" s="163"/>
      <c r="O77" s="324">
        <f t="shared" si="12"/>
        <v>3.3876327092957292E-2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'[8]Sch C'!D66</f>
        <v>0</v>
      </c>
      <c r="D78" s="480">
        <f>'[8]Sch C'!F66</f>
        <v>0</v>
      </c>
      <c r="E78" s="480">
        <f>+'[8]Sch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'[8]Sch C'!D67</f>
        <v>13945</v>
      </c>
      <c r="D79" s="480">
        <f>'[8]Sch C'!F67</f>
        <v>0</v>
      </c>
      <c r="E79" s="480">
        <f>+'[8]Sch C'!H67</f>
        <v>0</v>
      </c>
      <c r="F79" s="166">
        <f t="shared" si="13"/>
        <v>13945</v>
      </c>
      <c r="G79" s="626"/>
      <c r="H79" s="166"/>
      <c r="I79" s="166">
        <f t="shared" si="14"/>
        <v>13945</v>
      </c>
      <c r="J79" s="167">
        <f t="shared" si="11"/>
        <v>2.9754557440164961E-3</v>
      </c>
      <c r="K79" s="458"/>
      <c r="L79" s="187"/>
      <c r="M79" s="163"/>
      <c r="O79" s="324">
        <f t="shared" si="12"/>
        <v>1.1301564146203096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'[8]Sch C'!D68</f>
        <v>0</v>
      </c>
      <c r="D80" s="480">
        <f>'[8]Sch C'!F68</f>
        <v>0</v>
      </c>
      <c r="E80" s="480">
        <f>+'[8]Sch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'[8]Sch C'!D69</f>
        <v>938</v>
      </c>
      <c r="D81" s="480">
        <f>'[8]Sch C'!F69</f>
        <v>0</v>
      </c>
      <c r="E81" s="480">
        <f>+'[8]Sch C'!H69</f>
        <v>0</v>
      </c>
      <c r="F81" s="166">
        <f t="shared" si="13"/>
        <v>938</v>
      </c>
      <c r="G81" s="626"/>
      <c r="H81" s="166"/>
      <c r="I81" s="166">
        <f t="shared" si="14"/>
        <v>938</v>
      </c>
      <c r="J81" s="167">
        <f t="shared" si="11"/>
        <v>2.0014180623072596E-4</v>
      </c>
      <c r="K81" s="458"/>
      <c r="L81" s="187"/>
      <c r="M81" s="163"/>
      <c r="O81" s="324">
        <f t="shared" si="12"/>
        <v>7.6019126347353916E-2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'[8]Sch C'!D70</f>
        <v>0</v>
      </c>
      <c r="D82" s="480">
        <f>'[8]Sch C'!F70</f>
        <v>0</v>
      </c>
      <c r="E82" s="480">
        <f>+'[8]Sch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'[8]Sch C'!D71</f>
        <v>0</v>
      </c>
      <c r="D83" s="480">
        <f>'[8]Sch C'!F71</f>
        <v>0</v>
      </c>
      <c r="E83" s="480">
        <f>+'[8]Sch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312089</v>
      </c>
      <c r="D84" s="480">
        <f t="shared" si="15"/>
        <v>0</v>
      </c>
      <c r="E84" s="480">
        <f t="shared" si="15"/>
        <v>-24061</v>
      </c>
      <c r="F84" s="166">
        <f t="shared" ref="F84:I84" si="16">SUM(F69:F83)</f>
        <v>288028</v>
      </c>
      <c r="G84" s="166">
        <f t="shared" si="16"/>
        <v>0</v>
      </c>
      <c r="H84" s="166">
        <f t="shared" si="16"/>
        <v>0</v>
      </c>
      <c r="I84" s="166">
        <f t="shared" si="16"/>
        <v>288028</v>
      </c>
      <c r="J84" s="167">
        <f t="shared" si="11"/>
        <v>6.1456763502157286E-2</v>
      </c>
      <c r="K84" s="458"/>
      <c r="L84" s="187"/>
      <c r="M84" s="163"/>
      <c r="O84" s="324">
        <f t="shared" si="12"/>
        <v>23.342896507010291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'[8]Sch C'!D75</f>
        <v>18001</v>
      </c>
      <c r="D87" s="480">
        <f>'[8]Sch C'!F75</f>
        <v>0</v>
      </c>
      <c r="E87" s="480">
        <f>+'[8]Sch C'!H75</f>
        <v>0</v>
      </c>
      <c r="F87" s="166">
        <f t="shared" ref="F87:F97" si="17">C87+D87+E87</f>
        <v>18001</v>
      </c>
      <c r="G87" s="626"/>
      <c r="H87" s="166"/>
      <c r="I87" s="166">
        <f t="shared" ref="I87:I97" si="18">F87+G87+H87</f>
        <v>18001</v>
      </c>
      <c r="J87" s="167">
        <f t="shared" ref="J87:J98" si="19">IF($I$213=0,0,I87/$I$213)</f>
        <v>3.8408876907881639E-3</v>
      </c>
      <c r="K87" s="458"/>
      <c r="L87" s="176">
        <v>911</v>
      </c>
      <c r="M87" s="176">
        <v>964</v>
      </c>
      <c r="O87" s="324">
        <f t="shared" ref="O87:O97" si="20">I87/I$233</f>
        <v>1.4588702488046033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'[8]Sch C'!D76</f>
        <v>2830</v>
      </c>
      <c r="D88" s="480">
        <f>'[8]Sch C'!F76</f>
        <v>0</v>
      </c>
      <c r="E88" s="480">
        <f>+'[8]Sch C'!H76</f>
        <v>0</v>
      </c>
      <c r="F88" s="166">
        <f t="shared" si="17"/>
        <v>2830</v>
      </c>
      <c r="G88" s="626"/>
      <c r="H88" s="166"/>
      <c r="I88" s="166">
        <f t="shared" si="18"/>
        <v>2830</v>
      </c>
      <c r="J88" s="167">
        <f t="shared" si="19"/>
        <v>6.0383935142106012E-4</v>
      </c>
      <c r="K88" s="458"/>
      <c r="L88" s="163"/>
      <c r="M88" s="163"/>
      <c r="O88" s="324">
        <f t="shared" si="20"/>
        <v>0.22935408055758166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'[8]Sch C'!D77</f>
        <v>1015</v>
      </c>
      <c r="D89" s="480">
        <f>'[8]Sch C'!F77</f>
        <v>0</v>
      </c>
      <c r="E89" s="480">
        <f>+'[8]Sch C'!H77</f>
        <v>0</v>
      </c>
      <c r="F89" s="166">
        <f t="shared" si="17"/>
        <v>1015</v>
      </c>
      <c r="G89" s="626"/>
      <c r="H89" s="166"/>
      <c r="I89" s="166">
        <f t="shared" si="18"/>
        <v>1015</v>
      </c>
      <c r="J89" s="167">
        <f t="shared" si="19"/>
        <v>2.165713574884721E-4</v>
      </c>
      <c r="K89" s="458"/>
      <c r="L89" s="163"/>
      <c r="M89" s="163"/>
      <c r="O89" s="324">
        <f t="shared" si="20"/>
        <v>8.2259502390793424E-2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'[8]Sch C'!D78</f>
        <v>10727</v>
      </c>
      <c r="D90" s="480">
        <f>'[8]Sch C'!F78</f>
        <v>0</v>
      </c>
      <c r="E90" s="480">
        <f>+'[8]Sch C'!H78</f>
        <v>0</v>
      </c>
      <c r="F90" s="166">
        <f t="shared" si="17"/>
        <v>10727</v>
      </c>
      <c r="G90" s="626"/>
      <c r="H90" s="166"/>
      <c r="I90" s="166">
        <f t="shared" si="18"/>
        <v>10727</v>
      </c>
      <c r="J90" s="167">
        <f t="shared" si="19"/>
        <v>2.2888285239200399E-3</v>
      </c>
      <c r="K90" s="458"/>
      <c r="L90" s="163"/>
      <c r="M90" s="163"/>
      <c r="O90" s="324">
        <f t="shared" si="20"/>
        <v>0.86935732231137042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'[8]Sch C'!D79</f>
        <v>0</v>
      </c>
      <c r="D91" s="480">
        <f>'[8]Sch C'!F79</f>
        <v>0</v>
      </c>
      <c r="E91" s="480">
        <f>+'[8]Sch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'[8]Sch C'!D80</f>
        <v>22834</v>
      </c>
      <c r="D92" s="480">
        <f>'[8]Sch C'!F80</f>
        <v>0</v>
      </c>
      <c r="E92" s="480">
        <f>+'[8]Sch C'!H80</f>
        <v>0</v>
      </c>
      <c r="F92" s="166">
        <f t="shared" si="17"/>
        <v>22834</v>
      </c>
      <c r="G92" s="626"/>
      <c r="H92" s="166"/>
      <c r="I92" s="166">
        <f t="shared" si="18"/>
        <v>22834</v>
      </c>
      <c r="J92" s="167">
        <f t="shared" si="19"/>
        <v>4.8721087457061791E-3</v>
      </c>
      <c r="K92" s="458"/>
      <c r="L92" s="163"/>
      <c r="M92" s="163"/>
      <c r="O92" s="324">
        <f t="shared" si="20"/>
        <v>1.850555150336332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'[8]Sch C'!D81</f>
        <v>0</v>
      </c>
      <c r="D93" s="480">
        <f>'[8]Sch C'!F81</f>
        <v>0</v>
      </c>
      <c r="E93" s="480">
        <f>+'[8]Sch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'[8]Sch C'!D82</f>
        <v>838</v>
      </c>
      <c r="D94" s="480">
        <f>'[8]Sch C'!F82</f>
        <v>0</v>
      </c>
      <c r="E94" s="480">
        <f>+'[8]Sch C'!H82</f>
        <v>0</v>
      </c>
      <c r="F94" s="166">
        <f t="shared" si="17"/>
        <v>838</v>
      </c>
      <c r="G94" s="626"/>
      <c r="H94" s="166"/>
      <c r="I94" s="166">
        <f t="shared" si="18"/>
        <v>838</v>
      </c>
      <c r="J94" s="167">
        <f t="shared" si="19"/>
        <v>1.7880472667521145E-4</v>
      </c>
      <c r="K94" s="458"/>
      <c r="L94" s="163"/>
      <c r="M94" s="163"/>
      <c r="O94" s="324">
        <f t="shared" si="20"/>
        <v>6.7914741875354567E-2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'[8]Sch C'!D83</f>
        <v>0</v>
      </c>
      <c r="D95" s="480">
        <f>'[8]Sch C'!F83</f>
        <v>0</v>
      </c>
      <c r="E95" s="480">
        <f>+'[8]Sch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'[8]Sch C'!D84</f>
        <v>29520</v>
      </c>
      <c r="D96" s="480">
        <f>'[8]Sch C'!F84</f>
        <v>0</v>
      </c>
      <c r="E96" s="480">
        <f>+'[8]Sch C'!H84</f>
        <v>0</v>
      </c>
      <c r="F96" s="166">
        <f t="shared" si="17"/>
        <v>29520</v>
      </c>
      <c r="G96" s="626"/>
      <c r="H96" s="166"/>
      <c r="I96" s="166">
        <f t="shared" si="18"/>
        <v>29520</v>
      </c>
      <c r="J96" s="167">
        <f t="shared" si="19"/>
        <v>6.2987058847878783E-3</v>
      </c>
      <c r="K96" s="458"/>
      <c r="L96" s="163"/>
      <c r="M96" s="163"/>
      <c r="O96" s="324">
        <f t="shared" si="20"/>
        <v>2.3924142961342088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'[8]Sch C'!D85</f>
        <v>0</v>
      </c>
      <c r="D97" s="480">
        <f>'[8]Sch C'!F85</f>
        <v>0</v>
      </c>
      <c r="E97" s="480">
        <f>+'[8]Sch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85765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85765</v>
      </c>
      <c r="G98" s="166">
        <f t="shared" si="22"/>
        <v>0</v>
      </c>
      <c r="H98" s="166">
        <f t="shared" si="22"/>
        <v>0</v>
      </c>
      <c r="I98" s="166">
        <f t="shared" si="22"/>
        <v>85765</v>
      </c>
      <c r="J98" s="167">
        <f t="shared" si="19"/>
        <v>1.8299746280787007E-2</v>
      </c>
      <c r="K98" s="458"/>
      <c r="L98" s="163"/>
      <c r="M98" s="163"/>
      <c r="O98" s="329">
        <f>I98/I$233</f>
        <v>6.9507253424102435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'[8]Sch C'!D89</f>
        <v>143874</v>
      </c>
      <c r="D101" s="480">
        <f>'[8]Sch C'!F89</f>
        <v>0</v>
      </c>
      <c r="E101" s="480">
        <f>+'[8]Sch C'!H89</f>
        <v>0</v>
      </c>
      <c r="F101" s="166">
        <f t="shared" ref="F101:F106" si="23">C101+D101+E101</f>
        <v>143874</v>
      </c>
      <c r="G101" s="626"/>
      <c r="H101" s="166"/>
      <c r="I101" s="166">
        <f t="shared" ref="I101:I106" si="24">F101+G101+H101</f>
        <v>143874</v>
      </c>
      <c r="J101" s="167">
        <f t="shared" ref="J101:J107" si="25">IF($I$213=0,0,I101/$I$213)</f>
        <v>3.0698509839700922E-2</v>
      </c>
      <c r="K101" s="458"/>
      <c r="L101" s="176">
        <v>9699</v>
      </c>
      <c r="M101" s="176">
        <v>10194</v>
      </c>
      <c r="O101" s="329">
        <f t="shared" ref="O101:O106" si="26">I101/I$233</f>
        <v>11.660102115244348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'[8]Sch C'!D90</f>
        <v>22620</v>
      </c>
      <c r="D102" s="480">
        <f>'[8]Sch C'!F90</f>
        <v>0</v>
      </c>
      <c r="E102" s="480">
        <f>+'[8]Sch C'!H90</f>
        <v>0</v>
      </c>
      <c r="F102" s="166">
        <f t="shared" si="23"/>
        <v>22620</v>
      </c>
      <c r="G102" s="626"/>
      <c r="H102" s="166"/>
      <c r="I102" s="166">
        <f t="shared" si="24"/>
        <v>22620</v>
      </c>
      <c r="J102" s="167">
        <f t="shared" si="25"/>
        <v>4.8264473954573789E-3</v>
      </c>
      <c r="K102" s="458"/>
      <c r="L102" s="163"/>
      <c r="M102" s="163"/>
      <c r="O102" s="329">
        <f t="shared" si="26"/>
        <v>1.8332117675662534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'[8]Sch C'!D91</f>
        <v>6261</v>
      </c>
      <c r="D103" s="480">
        <f>'[8]Sch C'!F91</f>
        <v>0</v>
      </c>
      <c r="E103" s="480">
        <f>+'[8]Sch C'!H91</f>
        <v>0</v>
      </c>
      <c r="F103" s="166">
        <f t="shared" si="23"/>
        <v>6261</v>
      </c>
      <c r="G103" s="626"/>
      <c r="H103" s="166"/>
      <c r="I103" s="166">
        <f t="shared" si="24"/>
        <v>6261</v>
      </c>
      <c r="J103" s="167">
        <f t="shared" si="25"/>
        <v>1.3359145509707624E-3</v>
      </c>
      <c r="K103" s="458"/>
      <c r="L103" s="163"/>
      <c r="M103" s="163"/>
      <c r="O103" s="329">
        <f t="shared" si="26"/>
        <v>0.50741551179187938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'[8]Sch C'!D92</f>
        <v>85663</v>
      </c>
      <c r="D104" s="480">
        <f>'[8]Sch C'!F92</f>
        <v>0</v>
      </c>
      <c r="E104" s="480">
        <f>+'[8]Sch C'!H92</f>
        <v>0</v>
      </c>
      <c r="F104" s="166">
        <f t="shared" si="23"/>
        <v>85663</v>
      </c>
      <c r="G104" s="626"/>
      <c r="H104" s="166"/>
      <c r="I104" s="166">
        <f t="shared" si="24"/>
        <v>85663</v>
      </c>
      <c r="J104" s="167">
        <f t="shared" si="25"/>
        <v>1.8277982459640379E-2</v>
      </c>
      <c r="K104" s="458"/>
      <c r="L104" s="163"/>
      <c r="M104" s="163"/>
      <c r="O104" s="329">
        <f t="shared" si="26"/>
        <v>6.9424588702488048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'[8]Sch C'!D93</f>
        <v>10067</v>
      </c>
      <c r="D105" s="480">
        <f>'[8]Sch C'!F93</f>
        <v>0</v>
      </c>
      <c r="E105" s="480">
        <f>+'[8]Sch C'!H93</f>
        <v>0</v>
      </c>
      <c r="F105" s="166">
        <f t="shared" si="23"/>
        <v>10067</v>
      </c>
      <c r="G105" s="626"/>
      <c r="H105" s="166"/>
      <c r="I105" s="166">
        <f t="shared" si="24"/>
        <v>10067</v>
      </c>
      <c r="J105" s="167">
        <f t="shared" si="25"/>
        <v>2.1480037988536442E-3</v>
      </c>
      <c r="K105" s="458"/>
      <c r="L105" s="163"/>
      <c r="M105" s="163"/>
      <c r="O105" s="329">
        <f t="shared" si="26"/>
        <v>0.81586838479617474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'[8]Sch C'!D94</f>
        <v>0</v>
      </c>
      <c r="D106" s="480">
        <f>'[8]Sch C'!F94</f>
        <v>0</v>
      </c>
      <c r="E106" s="480">
        <f>+'[8]Sch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268485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268485</v>
      </c>
      <c r="G107" s="166">
        <f t="shared" si="28"/>
        <v>0</v>
      </c>
      <c r="H107" s="166">
        <f t="shared" si="28"/>
        <v>0</v>
      </c>
      <c r="I107" s="166">
        <f t="shared" si="28"/>
        <v>268485</v>
      </c>
      <c r="J107" s="167">
        <f t="shared" si="25"/>
        <v>5.7286858044623086E-2</v>
      </c>
      <c r="K107" s="458"/>
      <c r="L107" s="163"/>
      <c r="M107" s="163"/>
      <c r="O107" s="329">
        <f>I107/I$233</f>
        <v>21.759056649647459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'[8]Sch C'!D98</f>
        <v>9826</v>
      </c>
      <c r="D110" s="480">
        <f>'[8]Sch C'!F98</f>
        <v>0</v>
      </c>
      <c r="E110" s="480">
        <f>+'[8]Sch C'!H98</f>
        <v>0</v>
      </c>
      <c r="F110" s="166">
        <f t="shared" ref="F110:F115" si="29">C110+D110+E110</f>
        <v>9826</v>
      </c>
      <c r="G110" s="626"/>
      <c r="H110" s="166"/>
      <c r="I110" s="166">
        <f t="shared" ref="I110:I115" si="30">F110+G110+H110</f>
        <v>9826</v>
      </c>
      <c r="J110" s="167">
        <f t="shared" ref="J110:J116" si="31">IF($I$213=0,0,I110/$I$213)</f>
        <v>2.0965814371248542E-3</v>
      </c>
      <c r="K110" s="458"/>
      <c r="L110" s="176">
        <v>829</v>
      </c>
      <c r="M110" s="176">
        <v>864</v>
      </c>
      <c r="O110" s="329">
        <f t="shared" ref="O110:O115" si="32">I110/I$233</f>
        <v>0.79633681821865632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'[8]Sch C'!D99</f>
        <v>1545</v>
      </c>
      <c r="D111" s="480">
        <f>'[8]Sch C'!F99</f>
        <v>0</v>
      </c>
      <c r="E111" s="480">
        <f>+'[8]Sch C'!H99</f>
        <v>0</v>
      </c>
      <c r="F111" s="166">
        <f t="shared" si="29"/>
        <v>1545</v>
      </c>
      <c r="G111" s="626"/>
      <c r="H111" s="166"/>
      <c r="I111" s="166">
        <f t="shared" si="30"/>
        <v>1545</v>
      </c>
      <c r="J111" s="167">
        <f t="shared" si="31"/>
        <v>3.2965787913269895E-4</v>
      </c>
      <c r="K111" s="458"/>
      <c r="L111" s="163"/>
      <c r="M111" s="163"/>
      <c r="O111" s="329">
        <f t="shared" si="32"/>
        <v>0.12521274009238997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'[8]Sch C'!D100</f>
        <v>5894</v>
      </c>
      <c r="D112" s="480">
        <f>'[8]Sch C'!F100</f>
        <v>0</v>
      </c>
      <c r="E112" s="480">
        <f>+'[8]Sch C'!H100</f>
        <v>0</v>
      </c>
      <c r="F112" s="166">
        <f t="shared" si="29"/>
        <v>5894</v>
      </c>
      <c r="G112" s="626"/>
      <c r="H112" s="166"/>
      <c r="I112" s="166">
        <f t="shared" si="30"/>
        <v>5894</v>
      </c>
      <c r="J112" s="167">
        <f t="shared" si="31"/>
        <v>1.2576074690020243E-3</v>
      </c>
      <c r="K112" s="458"/>
      <c r="L112" s="163"/>
      <c r="M112" s="163"/>
      <c r="O112" s="329">
        <f t="shared" si="32"/>
        <v>0.47767242077964178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'[8]Sch C'!D101</f>
        <v>0</v>
      </c>
      <c r="D113" s="480">
        <f>'[8]Sch C'!F101</f>
        <v>0</v>
      </c>
      <c r="E113" s="480">
        <f>+'[8]Sch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'[8]Sch C'!D102</f>
        <v>0</v>
      </c>
      <c r="D114" s="480">
        <f>'[8]Sch C'!F102</f>
        <v>0</v>
      </c>
      <c r="E114" s="480">
        <f>+'[8]Sch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'[8]Sch C'!D103</f>
        <v>0</v>
      </c>
      <c r="D115" s="480">
        <f>'[8]Sch C'!F103</f>
        <v>0</v>
      </c>
      <c r="E115" s="480">
        <f>+'[8]Sch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17265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17265</v>
      </c>
      <c r="G116" s="166">
        <f t="shared" si="34"/>
        <v>0</v>
      </c>
      <c r="H116" s="166">
        <f t="shared" si="34"/>
        <v>0</v>
      </c>
      <c r="I116" s="166">
        <f t="shared" si="34"/>
        <v>17265</v>
      </c>
      <c r="J116" s="167">
        <f t="shared" si="31"/>
        <v>3.6838467852595772E-3</v>
      </c>
      <c r="K116" s="458"/>
      <c r="L116" s="163"/>
      <c r="M116" s="163"/>
      <c r="O116" s="329">
        <f>I116/I$233</f>
        <v>1.3992219790906881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'[8]Sch C'!D115</f>
        <v>21983</v>
      </c>
      <c r="D119" s="480">
        <f>'[8]Sch C'!F115</f>
        <v>0</v>
      </c>
      <c r="E119" s="480">
        <f>+'[8]Sch C'!H115</f>
        <v>0</v>
      </c>
      <c r="F119" s="166">
        <f t="shared" ref="F119:F123" si="35">C119+D119+E119</f>
        <v>21983</v>
      </c>
      <c r="G119" s="626"/>
      <c r="H119" s="166"/>
      <c r="I119" s="166">
        <f t="shared" ref="I119:I123" si="36">F119+G119+H119</f>
        <v>21983</v>
      </c>
      <c r="J119" s="167">
        <f t="shared" ref="J119:J124" si="37">IF($I$213=0,0,I119/$I$213)</f>
        <v>4.6905301986887513E-3</v>
      </c>
      <c r="K119" s="458"/>
      <c r="L119" s="176">
        <v>1782</v>
      </c>
      <c r="M119" s="176">
        <v>1869</v>
      </c>
      <c r="O119" s="329">
        <f t="shared" ref="O119:O124" si="38">I119/I$233</f>
        <v>1.7815868384796174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'[8]Sch C'!D116</f>
        <v>3456</v>
      </c>
      <c r="D120" s="480">
        <f>'[8]Sch C'!F116</f>
        <v>0</v>
      </c>
      <c r="E120" s="480">
        <f>+'[8]Sch C'!H116</f>
        <v>0</v>
      </c>
      <c r="F120" s="166">
        <f t="shared" si="35"/>
        <v>3456</v>
      </c>
      <c r="G120" s="626"/>
      <c r="H120" s="166"/>
      <c r="I120" s="166">
        <f t="shared" si="36"/>
        <v>3456</v>
      </c>
      <c r="J120" s="167">
        <f t="shared" si="37"/>
        <v>7.3740946943858085E-4</v>
      </c>
      <c r="K120" s="458"/>
      <c r="L120" s="163"/>
      <c r="M120" s="163"/>
      <c r="O120" s="329">
        <f t="shared" si="38"/>
        <v>0.28008752735229758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'[8]Sch C'!D117</f>
        <v>2253</v>
      </c>
      <c r="D121" s="480">
        <f>'[8]Sch C'!F117</f>
        <v>0</v>
      </c>
      <c r="E121" s="480">
        <f>+'[8]Sch C'!H117</f>
        <v>0</v>
      </c>
      <c r="F121" s="166">
        <f t="shared" si="35"/>
        <v>2253</v>
      </c>
      <c r="G121" s="626"/>
      <c r="H121" s="166"/>
      <c r="I121" s="166">
        <f t="shared" si="36"/>
        <v>2253</v>
      </c>
      <c r="J121" s="167">
        <f t="shared" si="37"/>
        <v>4.8072440238574156E-4</v>
      </c>
      <c r="K121" s="458"/>
      <c r="L121" s="163"/>
      <c r="M121" s="163"/>
      <c r="O121" s="329">
        <f t="shared" si="38"/>
        <v>0.1825917821541454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'[8]Sch C'!D118</f>
        <v>263</v>
      </c>
      <c r="D122" s="480">
        <f>'[8]Sch C'!F118</f>
        <v>0</v>
      </c>
      <c r="E122" s="480">
        <f>+'[8]Sch C'!H118</f>
        <v>0</v>
      </c>
      <c r="F122" s="166">
        <f t="shared" si="35"/>
        <v>263</v>
      </c>
      <c r="G122" s="626"/>
      <c r="H122" s="166"/>
      <c r="I122" s="166">
        <f t="shared" si="36"/>
        <v>263</v>
      </c>
      <c r="J122" s="167">
        <f t="shared" si="37"/>
        <v>5.6116519231003119E-5</v>
      </c>
      <c r="K122" s="458"/>
      <c r="L122" s="163"/>
      <c r="M122" s="163"/>
      <c r="O122" s="329">
        <f t="shared" si="38"/>
        <v>2.1314531161358296E-2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'[8]Sch C'!D119</f>
        <v>0</v>
      </c>
      <c r="D123" s="480">
        <f>'[8]Sch C'!F119</f>
        <v>0</v>
      </c>
      <c r="E123" s="480">
        <f>+'[8]Sch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27955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27955</v>
      </c>
      <c r="G124" s="166">
        <f t="shared" si="40"/>
        <v>0</v>
      </c>
      <c r="H124" s="166">
        <f t="shared" si="40"/>
        <v>0</v>
      </c>
      <c r="I124" s="166">
        <f t="shared" si="40"/>
        <v>27955</v>
      </c>
      <c r="J124" s="167">
        <f t="shared" si="37"/>
        <v>5.9647805897440767E-3</v>
      </c>
      <c r="K124" s="458"/>
      <c r="L124" s="163"/>
      <c r="M124" s="163"/>
      <c r="O124" s="329">
        <f t="shared" si="38"/>
        <v>2.2655806791474187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'[8]Sch C'!D124</f>
        <v>0</v>
      </c>
      <c r="D128" s="480">
        <f>'[8]Sch C'!F124</f>
        <v>0</v>
      </c>
      <c r="E128" s="480">
        <f>+'[8]Sch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'[8]Sch C'!D125</f>
        <v>237687</v>
      </c>
      <c r="D129" s="480">
        <f>'[8]Sch C'!F125</f>
        <v>0</v>
      </c>
      <c r="E129" s="480">
        <f>+'[8]Sch C'!H125</f>
        <v>0</v>
      </c>
      <c r="F129" s="166">
        <f t="shared" si="41"/>
        <v>237687</v>
      </c>
      <c r="G129" s="626"/>
      <c r="H129" s="166"/>
      <c r="I129" s="166">
        <f t="shared" si="42"/>
        <v>237687</v>
      </c>
      <c r="J129" s="167">
        <f>IF($I$213=0,0,I129/$I$213)</f>
        <v>5.0715464283115734E-2</v>
      </c>
      <c r="K129" s="458"/>
      <c r="L129" s="176">
        <v>5629</v>
      </c>
      <c r="M129" s="176">
        <v>5930</v>
      </c>
      <c r="O129" s="329">
        <f t="shared" si="43"/>
        <v>19.2630683199611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'[8]Sch C'!D126</f>
        <v>0</v>
      </c>
      <c r="D130" s="480">
        <f>'[8]Sch C'!F126</f>
        <v>0</v>
      </c>
      <c r="E130" s="480">
        <f>+'[8]Sch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'[8]Sch C'!D127</f>
        <v>0</v>
      </c>
      <c r="D131" s="480">
        <f>'[8]Sch C'!F127</f>
        <v>0</v>
      </c>
      <c r="E131" s="480">
        <f>+'[8]Sch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'[8]Sch C'!D128</f>
        <v>55665</v>
      </c>
      <c r="D132" s="480">
        <f>'[8]Sch C'!F128</f>
        <v>0</v>
      </c>
      <c r="E132" s="480">
        <f>+'[8]Sch C'!H128</f>
        <v>0</v>
      </c>
      <c r="F132" s="166">
        <f t="shared" si="41"/>
        <v>55665</v>
      </c>
      <c r="G132" s="626"/>
      <c r="H132" s="166"/>
      <c r="I132" s="166">
        <f t="shared" si="42"/>
        <v>55665</v>
      </c>
      <c r="J132" s="167">
        <f>IF($I$213=0,0,I132/$I$213)</f>
        <v>1.1877285334577143E-2</v>
      </c>
      <c r="K132" s="458"/>
      <c r="L132" s="176">
        <v>2543</v>
      </c>
      <c r="M132" s="176">
        <v>2845</v>
      </c>
      <c r="O132" s="329">
        <f t="shared" si="43"/>
        <v>4.5113056163384391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'[8]Sch C'!D130</f>
        <v>0</v>
      </c>
      <c r="D134" s="480">
        <f>'[8]Sch C'!F130</f>
        <v>0</v>
      </c>
      <c r="E134" s="480">
        <f>+'[8]Sch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'[8]Sch C'!D131</f>
        <v>37369</v>
      </c>
      <c r="D135" s="480">
        <f>'[8]Sch C'!F131</f>
        <v>0</v>
      </c>
      <c r="E135" s="480">
        <f>+'[8]Sch C'!H131</f>
        <v>0</v>
      </c>
      <c r="F135" s="166">
        <f t="shared" si="44"/>
        <v>37369</v>
      </c>
      <c r="G135" s="626"/>
      <c r="H135" s="166"/>
      <c r="I135" s="166">
        <f t="shared" si="45"/>
        <v>37369</v>
      </c>
      <c r="J135" s="167">
        <f>IF($I$213=0,0,I135/$I$213)</f>
        <v>7.9734532591002119E-3</v>
      </c>
      <c r="K135" s="458"/>
      <c r="L135" s="196"/>
      <c r="M135" s="196"/>
      <c r="O135" s="329">
        <f t="shared" si="43"/>
        <v>3.0285274333414378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'[8]Sch C'!D132</f>
        <v>0</v>
      </c>
      <c r="D136" s="480">
        <f>'[8]Sch C'!F132</f>
        <v>0</v>
      </c>
      <c r="E136" s="480">
        <f>+'[8]Sch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'[8]Sch C'!D133</f>
        <v>0</v>
      </c>
      <c r="D137" s="480">
        <f>'[8]Sch C'!F133</f>
        <v>0</v>
      </c>
      <c r="E137" s="480">
        <f>+'[8]Sch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'[8]Sch C'!D134</f>
        <v>8752</v>
      </c>
      <c r="D138" s="480">
        <f>'[8]Sch C'!F134</f>
        <v>0</v>
      </c>
      <c r="E138" s="480">
        <f>+'[8]Sch C'!H134</f>
        <v>0</v>
      </c>
      <c r="F138" s="166">
        <f t="shared" si="44"/>
        <v>8752</v>
      </c>
      <c r="G138" s="626"/>
      <c r="H138" s="166"/>
      <c r="I138" s="166">
        <f t="shared" si="45"/>
        <v>8752</v>
      </c>
      <c r="J138" s="167">
        <f>IF($I$213=0,0,I138/$I$213)</f>
        <v>1.8674212026986285E-3</v>
      </c>
      <c r="K138" s="458"/>
      <c r="L138" s="163"/>
      <c r="M138" s="163"/>
      <c r="O138" s="329">
        <f t="shared" si="43"/>
        <v>0.70929572898938331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'[8]Sch C'!D136</f>
        <v>495379</v>
      </c>
      <c r="D140" s="480">
        <f>'[8]Sch C'!F136</f>
        <v>0</v>
      </c>
      <c r="E140" s="480">
        <f>+'[8]Sch C'!H136</f>
        <v>0</v>
      </c>
      <c r="F140" s="166">
        <f t="shared" ref="F140:F143" si="46">C140+D140+E140</f>
        <v>495379</v>
      </c>
      <c r="G140" s="626"/>
      <c r="H140" s="166"/>
      <c r="I140" s="166">
        <f t="shared" ref="I140:I143" si="47">F140+G140+H140</f>
        <v>495379</v>
      </c>
      <c r="J140" s="167">
        <f>IF($I$213=0,0,I140/$I$213)</f>
        <v>0.10569941133131214</v>
      </c>
      <c r="K140" s="458"/>
      <c r="L140" s="176">
        <v>13056</v>
      </c>
      <c r="M140" s="176">
        <v>14027</v>
      </c>
      <c r="O140" s="329">
        <f t="shared" si="43"/>
        <v>40.147418753545665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'[8]Sch C'!D137</f>
        <v>230410</v>
      </c>
      <c r="D141" s="480">
        <f>'[8]Sch C'!F137</f>
        <v>0</v>
      </c>
      <c r="E141" s="480">
        <f>+'[8]Sch C'!H137</f>
        <v>0</v>
      </c>
      <c r="F141" s="166">
        <f t="shared" si="46"/>
        <v>230410</v>
      </c>
      <c r="G141" s="626"/>
      <c r="H141" s="166"/>
      <c r="I141" s="166">
        <f t="shared" si="47"/>
        <v>230410</v>
      </c>
      <c r="J141" s="167">
        <f>IF($I$213=0,0,I141/$I$213)</f>
        <v>4.9162765003860943E-2</v>
      </c>
      <c r="K141" s="458"/>
      <c r="L141" s="176">
        <v>7617</v>
      </c>
      <c r="M141" s="176">
        <v>8436</v>
      </c>
      <c r="O141" s="329">
        <f t="shared" si="43"/>
        <v>18.673312261933706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'[8]Sch C'!D138</f>
        <v>472430</v>
      </c>
      <c r="D142" s="480">
        <f>'[8]Sch C'!F138</f>
        <v>0</v>
      </c>
      <c r="E142" s="480">
        <f>+'[8]Sch C'!H138</f>
        <v>0</v>
      </c>
      <c r="F142" s="166">
        <f t="shared" si="46"/>
        <v>472430</v>
      </c>
      <c r="G142" s="626"/>
      <c r="H142" s="166"/>
      <c r="I142" s="166">
        <f t="shared" si="47"/>
        <v>472430</v>
      </c>
      <c r="J142" s="167">
        <f>IF($I$213=0,0,I142/$I$213)</f>
        <v>0.10080276494411712</v>
      </c>
      <c r="K142" s="458"/>
      <c r="L142" s="176">
        <v>27777</v>
      </c>
      <c r="M142" s="176">
        <v>29619</v>
      </c>
      <c r="O142" s="329">
        <f t="shared" si="43"/>
        <v>38.287543561066535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'[8]Sch C'!D139</f>
        <v>0</v>
      </c>
      <c r="D143" s="480">
        <f>'[8]Sch C'!F139</f>
        <v>0</v>
      </c>
      <c r="E143" s="480">
        <f>+'[8]Sch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'[8]Sch C'!D141</f>
        <v>77883</v>
      </c>
      <c r="D145" s="480">
        <f>'[8]Sch C'!F141</f>
        <v>0</v>
      </c>
      <c r="E145" s="480">
        <f>+'[8]Sch C'!H141</f>
        <v>0</v>
      </c>
      <c r="F145" s="166">
        <f t="shared" ref="F145:F148" si="48">C145+D145+E145</f>
        <v>77883</v>
      </c>
      <c r="G145" s="626"/>
      <c r="H145" s="166"/>
      <c r="I145" s="166">
        <f t="shared" ref="I145:I148" si="49">F145+G145+H145</f>
        <v>77883</v>
      </c>
      <c r="J145" s="167">
        <f>IF($I$213=0,0,I145/$I$213)</f>
        <v>1.6617957670221353E-2</v>
      </c>
      <c r="K145" s="458"/>
      <c r="L145" s="163"/>
      <c r="M145" s="163"/>
      <c r="O145" s="329">
        <f t="shared" si="43"/>
        <v>6.3119377583272547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'[8]Sch C'!D142</f>
        <v>36225</v>
      </c>
      <c r="D146" s="480">
        <f>'[8]Sch C'!F142</f>
        <v>0</v>
      </c>
      <c r="E146" s="480">
        <f>+'[8]Sch C'!H142</f>
        <v>0</v>
      </c>
      <c r="F146" s="166">
        <f t="shared" si="48"/>
        <v>36225</v>
      </c>
      <c r="G146" s="626"/>
      <c r="H146" s="166"/>
      <c r="I146" s="166">
        <f t="shared" si="49"/>
        <v>36225</v>
      </c>
      <c r="J146" s="167">
        <f>IF($I$213=0,0,I146/$I$213)</f>
        <v>7.729357068985125E-3</v>
      </c>
      <c r="K146" s="458"/>
      <c r="L146" s="163"/>
      <c r="M146" s="163"/>
      <c r="O146" s="329">
        <f t="shared" si="43"/>
        <v>2.9358132749817649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'[8]Sch C'!D143</f>
        <v>74275</v>
      </c>
      <c r="D147" s="480">
        <f>'[8]Sch C'!F143</f>
        <v>0</v>
      </c>
      <c r="E147" s="480">
        <f>+'[8]Sch C'!H143</f>
        <v>0</v>
      </c>
      <c r="F147" s="166">
        <f t="shared" si="48"/>
        <v>74275</v>
      </c>
      <c r="G147" s="626"/>
      <c r="H147" s="166"/>
      <c r="I147" s="166">
        <f t="shared" si="49"/>
        <v>74275</v>
      </c>
      <c r="J147" s="167">
        <f>IF($I$213=0,0,I147/$I$213)</f>
        <v>1.5848115839858391E-2</v>
      </c>
      <c r="K147" s="458"/>
      <c r="L147" s="163"/>
      <c r="M147" s="163"/>
      <c r="O147" s="329">
        <f t="shared" si="43"/>
        <v>6.0195315665775189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'[8]Sch C'!D144</f>
        <v>0</v>
      </c>
      <c r="D148" s="480">
        <f>'[8]Sch C'!F144</f>
        <v>0</v>
      </c>
      <c r="E148" s="480">
        <f>+'[8]Sch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'[8]Sch C'!D146</f>
        <v>67947</v>
      </c>
      <c r="D150" s="480">
        <f>'[8]Sch C'!F146</f>
        <v>0</v>
      </c>
      <c r="E150" s="480">
        <f>+'[8]Sch C'!H146</f>
        <v>0</v>
      </c>
      <c r="F150" s="166">
        <f t="shared" ref="F150:F158" si="50">C150+D150+E150</f>
        <v>67947</v>
      </c>
      <c r="G150" s="626"/>
      <c r="H150" s="166"/>
      <c r="I150" s="166">
        <f t="shared" ref="I150:I158" si="51">F150+G150+H150</f>
        <v>67947</v>
      </c>
      <c r="J150" s="167">
        <f t="shared" ref="J150:J158" si="52">IF($I$213=0,0,I150/$I$213)</f>
        <v>1.4497905445585433E-2</v>
      </c>
      <c r="K150" s="458"/>
      <c r="L150" s="176">
        <v>0</v>
      </c>
      <c r="M150" s="176">
        <v>0</v>
      </c>
      <c r="O150" s="329">
        <f t="shared" si="43"/>
        <v>5.5066861171893997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'[8]Sch C'!D147</f>
        <v>75301</v>
      </c>
      <c r="D151" s="480">
        <f>'[8]Sch C'!F147</f>
        <v>0</v>
      </c>
      <c r="E151" s="480">
        <f>+'[8]Sch C'!H147</f>
        <v>0</v>
      </c>
      <c r="F151" s="166">
        <f t="shared" si="50"/>
        <v>75301</v>
      </c>
      <c r="G151" s="626"/>
      <c r="H151" s="166"/>
      <c r="I151" s="166">
        <f t="shared" si="51"/>
        <v>75301</v>
      </c>
      <c r="J151" s="167">
        <f t="shared" si="52"/>
        <v>1.6067034276097968E-2</v>
      </c>
      <c r="K151" s="458"/>
      <c r="L151" s="176">
        <v>1240</v>
      </c>
      <c r="M151" s="176">
        <v>1240</v>
      </c>
      <c r="O151" s="329">
        <f t="shared" si="43"/>
        <v>6.1026825512602318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'[8]Sch C'!D148</f>
        <v>50060</v>
      </c>
      <c r="D152" s="480">
        <f>'[8]Sch C'!F148</f>
        <v>0</v>
      </c>
      <c r="E152" s="480">
        <f>+'[8]Sch C'!H148</f>
        <v>0</v>
      </c>
      <c r="F152" s="166">
        <f t="shared" si="50"/>
        <v>50060</v>
      </c>
      <c r="G152" s="626"/>
      <c r="H152" s="166"/>
      <c r="I152" s="166">
        <f t="shared" si="51"/>
        <v>50060</v>
      </c>
      <c r="J152" s="167">
        <f t="shared" si="52"/>
        <v>1.0681342025490556E-2</v>
      </c>
      <c r="K152" s="458"/>
      <c r="L152" s="176">
        <v>956</v>
      </c>
      <c r="M152" s="176">
        <v>956</v>
      </c>
      <c r="O152" s="329">
        <f t="shared" si="43"/>
        <v>4.0570548666828756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'[8]Sch C'!D149</f>
        <v>286123</v>
      </c>
      <c r="D153" s="480">
        <f>'[8]Sch C'!F149</f>
        <v>0</v>
      </c>
      <c r="E153" s="480">
        <f>+'[8]Sch C'!H149</f>
        <v>0</v>
      </c>
      <c r="F153" s="166">
        <f t="shared" si="50"/>
        <v>286123</v>
      </c>
      <c r="G153" s="626"/>
      <c r="H153" s="166"/>
      <c r="I153" s="166">
        <f t="shared" si="51"/>
        <v>286123</v>
      </c>
      <c r="J153" s="167">
        <f t="shared" si="52"/>
        <v>6.1050292136624731E-2</v>
      </c>
      <c r="K153" s="458"/>
      <c r="L153" s="176">
        <v>10243</v>
      </c>
      <c r="M153" s="176">
        <v>10243</v>
      </c>
      <c r="O153" s="329">
        <f t="shared" si="43"/>
        <v>23.188507982818706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'[8]Sch C'!D150</f>
        <v>0</v>
      </c>
      <c r="D154" s="480">
        <f>'[8]Sch C'!F150</f>
        <v>0</v>
      </c>
      <c r="E154" s="480">
        <f>+'[8]Sch C'!H150</f>
        <v>0</v>
      </c>
      <c r="F154" s="166">
        <f t="shared" si="50"/>
        <v>0</v>
      </c>
      <c r="G154" s="626"/>
      <c r="H154" s="166"/>
      <c r="I154" s="166">
        <f t="shared" si="51"/>
        <v>0</v>
      </c>
      <c r="J154" s="167">
        <f t="shared" si="52"/>
        <v>0</v>
      </c>
      <c r="K154" s="458"/>
      <c r="L154" s="176">
        <v>0</v>
      </c>
      <c r="M154" s="176">
        <v>0</v>
      </c>
      <c r="O154" s="329">
        <f t="shared" si="43"/>
        <v>0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'[8]Sch C'!D151</f>
        <v>144843</v>
      </c>
      <c r="D155" s="480">
        <f>'[8]Sch C'!F151</f>
        <v>0</v>
      </c>
      <c r="E155" s="480">
        <f>+'[8]Sch C'!H151</f>
        <v>0</v>
      </c>
      <c r="F155" s="166">
        <f t="shared" si="50"/>
        <v>144843</v>
      </c>
      <c r="G155" s="626"/>
      <c r="H155" s="166"/>
      <c r="I155" s="166">
        <f t="shared" si="51"/>
        <v>144843</v>
      </c>
      <c r="J155" s="167">
        <f t="shared" si="52"/>
        <v>3.0905266140593857E-2</v>
      </c>
      <c r="K155" s="458"/>
      <c r="L155" s="163"/>
      <c r="M155" s="163"/>
      <c r="O155" s="329">
        <f t="shared" si="43"/>
        <v>11.738633600778021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'[8]Sch C'!D152</f>
        <v>9140</v>
      </c>
      <c r="D156" s="480">
        <f>'[8]Sch C'!F152</f>
        <v>0</v>
      </c>
      <c r="E156" s="480">
        <f>+'[8]Sch C'!H152</f>
        <v>0</v>
      </c>
      <c r="F156" s="166">
        <f t="shared" si="50"/>
        <v>9140</v>
      </c>
      <c r="G156" s="626"/>
      <c r="H156" s="166"/>
      <c r="I156" s="166">
        <f t="shared" si="51"/>
        <v>9140</v>
      </c>
      <c r="J156" s="167">
        <f t="shared" si="52"/>
        <v>1.9502090713740248E-3</v>
      </c>
      <c r="K156" s="458"/>
      <c r="L156" s="163"/>
      <c r="M156" s="163"/>
      <c r="O156" s="329">
        <f t="shared" si="43"/>
        <v>0.7407407407407407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'[8]Sch C'!D153</f>
        <v>0</v>
      </c>
      <c r="D157" s="480">
        <f>'[8]Sch C'!F153</f>
        <v>0</v>
      </c>
      <c r="E157" s="480">
        <f>+'[8]Sch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'[8]Sch C'!D154</f>
        <v>0</v>
      </c>
      <c r="D158" s="480">
        <f>'[8]Sch C'!F154</f>
        <v>0</v>
      </c>
      <c r="E158" s="480">
        <f>+'[8]Sch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'[8]Sch C'!D156</f>
        <v>0</v>
      </c>
      <c r="D160" s="480">
        <f>'[8]Sch C'!F156</f>
        <v>0</v>
      </c>
      <c r="E160" s="480">
        <f>+'[8]Sch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'[8]Sch C'!D157</f>
        <v>0</v>
      </c>
      <c r="D161" s="480">
        <f>'[8]Sch C'!F157</f>
        <v>0</v>
      </c>
      <c r="E161" s="480">
        <f>+'[8]Sch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'[8]Sch C'!D158</f>
        <v>0</v>
      </c>
      <c r="D162" s="480">
        <f>'[8]Sch C'!F158</f>
        <v>0</v>
      </c>
      <c r="E162" s="480">
        <f>+'[8]Sch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'[8]Sch C'!D159</f>
        <v>0</v>
      </c>
      <c r="D163" s="480">
        <f>'[8]Sch C'!F159</f>
        <v>0</v>
      </c>
      <c r="E163" s="480">
        <f>+'[8]Sch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'[8]Sch C'!D160</f>
        <v>0</v>
      </c>
      <c r="D164" s="480">
        <f>'[8]Sch C'!F160</f>
        <v>0</v>
      </c>
      <c r="E164" s="480">
        <f>+'[8]Sch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'[8]Sch C'!D161</f>
        <v>0</v>
      </c>
      <c r="D165" s="480">
        <f>'[8]Sch C'!F161</f>
        <v>0</v>
      </c>
      <c r="E165" s="480">
        <f>+'[8]Sch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2359489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2359489</v>
      </c>
      <c r="G166" s="166">
        <f t="shared" si="57"/>
        <v>0</v>
      </c>
      <c r="H166" s="166">
        <f t="shared" si="57"/>
        <v>0</v>
      </c>
      <c r="I166" s="166">
        <f t="shared" si="57"/>
        <v>2359489</v>
      </c>
      <c r="J166" s="167">
        <f t="shared" si="55"/>
        <v>0.50344604503361334</v>
      </c>
      <c r="K166" s="458"/>
      <c r="L166" s="163"/>
      <c r="M166" s="163"/>
      <c r="O166" s="329">
        <f>I166/I$233</f>
        <v>191.2220601345328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'[8]Sch C'!D175</f>
        <v>0</v>
      </c>
      <c r="D169" s="480">
        <f>'[8]Sch C'!F175</f>
        <v>0</v>
      </c>
      <c r="E169" s="480">
        <f>+'[8]Sch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'[8]Sch C'!D176</f>
        <v>0</v>
      </c>
      <c r="D170" s="480">
        <f>'[8]Sch C'!F176</f>
        <v>0</v>
      </c>
      <c r="E170" s="480">
        <f>+'[8]Sch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'[8]Sch C'!D177</f>
        <v>0</v>
      </c>
      <c r="D171" s="480">
        <f>'[8]Sch C'!F177</f>
        <v>0</v>
      </c>
      <c r="E171" s="480">
        <f>+'[8]Sch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'[8]Sch C'!D178</f>
        <v>0</v>
      </c>
      <c r="D172" s="480">
        <f>'[8]Sch C'!F178</f>
        <v>0</v>
      </c>
      <c r="E172" s="480">
        <f>+'[8]Sch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'[8]Sch C'!D179</f>
        <v>0</v>
      </c>
      <c r="D173" s="480">
        <f>'[8]Sch C'!F179</f>
        <v>0</v>
      </c>
      <c r="E173" s="480">
        <f>+'[8]Sch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'[8]Sch C'!D180</f>
        <v>0</v>
      </c>
      <c r="D174" s="480">
        <f>'[8]Sch C'!F180</f>
        <v>0</v>
      </c>
      <c r="E174" s="480">
        <f>+'[8]Sch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'[8]Sch C'!D181</f>
        <v>0</v>
      </c>
      <c r="D175" s="480">
        <f>'[8]Sch C'!F181</f>
        <v>0</v>
      </c>
      <c r="E175" s="480">
        <f>+'[8]Sch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'[8]Sch C'!D182</f>
        <v>0</v>
      </c>
      <c r="D176" s="480">
        <f>'[8]Sch C'!F182</f>
        <v>0</v>
      </c>
      <c r="E176" s="480">
        <f>+'[8]Sch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'[8]Sch C'!D183</f>
        <v>0</v>
      </c>
      <c r="D177" s="480">
        <f>'[8]Sch C'!F183</f>
        <v>0</v>
      </c>
      <c r="E177" s="480">
        <f>+'[8]Sch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'[8]Sch C'!D184</f>
        <v>0</v>
      </c>
      <c r="D178" s="480">
        <f>'[8]Sch C'!F184</f>
        <v>0</v>
      </c>
      <c r="E178" s="480">
        <f>+'[8]Sch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'[8]Sch C'!D185</f>
        <v>0</v>
      </c>
      <c r="D179" s="480">
        <f>'[8]Sch C'!F185</f>
        <v>0</v>
      </c>
      <c r="E179" s="480">
        <f>+'[8]Sch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'[8]Sch C'!D186</f>
        <v>0</v>
      </c>
      <c r="D180" s="480">
        <f>'[8]Sch C'!F186</f>
        <v>0</v>
      </c>
      <c r="E180" s="480">
        <f>+'[8]Sch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'[8]Sch C'!D187</f>
        <v>0</v>
      </c>
      <c r="D181" s="480">
        <f>'[8]Sch C'!F187</f>
        <v>0</v>
      </c>
      <c r="E181" s="480">
        <f>+'[8]Sch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'[8]Sch C'!D188</f>
        <v>0</v>
      </c>
      <c r="D182" s="480">
        <f>'[8]Sch C'!F188</f>
        <v>0</v>
      </c>
      <c r="E182" s="480">
        <f>+'[8]Sch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'[8]Sch C'!D189</f>
        <v>0</v>
      </c>
      <c r="D183" s="480">
        <f>'[8]Sch C'!F189</f>
        <v>0</v>
      </c>
      <c r="E183" s="480">
        <f>+'[8]Sch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'[8]Sch C'!D190</f>
        <v>0</v>
      </c>
      <c r="D184" s="480">
        <f>'[8]Sch C'!F190</f>
        <v>0</v>
      </c>
      <c r="E184" s="480">
        <f>+'[8]Sch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'[8]Sch C'!D191</f>
        <v>0</v>
      </c>
      <c r="D185" s="480">
        <f>'[8]Sch C'!F191</f>
        <v>0</v>
      </c>
      <c r="E185" s="480">
        <f>+'[8]Sch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'[8]Sch C'!D192</f>
        <v>14947</v>
      </c>
      <c r="D186" s="480">
        <f>'[8]Sch C'!F192</f>
        <v>0</v>
      </c>
      <c r="E186" s="480">
        <f>+'[8]Sch C'!H192</f>
        <v>0</v>
      </c>
      <c r="F186" s="166">
        <f t="shared" si="58"/>
        <v>14947</v>
      </c>
      <c r="G186" s="626"/>
      <c r="H186" s="166"/>
      <c r="I186" s="166">
        <f t="shared" si="59"/>
        <v>14947</v>
      </c>
      <c r="J186" s="167">
        <f t="shared" si="60"/>
        <v>3.1892532811627515E-3</v>
      </c>
      <c r="K186" s="458"/>
      <c r="L186" s="213"/>
      <c r="M186" s="208"/>
      <c r="N186" s="210"/>
      <c r="O186" s="329">
        <f t="shared" si="61"/>
        <v>1.211362347029743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'[8]Sch C'!D193</f>
        <v>0</v>
      </c>
      <c r="D187" s="480">
        <f>'[8]Sch C'!F193</f>
        <v>0</v>
      </c>
      <c r="E187" s="480">
        <f>+'[8]Sch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'[8]Sch C'!D194</f>
        <v>280419</v>
      </c>
      <c r="D188" s="480">
        <f>'[8]Sch C'!F194</f>
        <v>0</v>
      </c>
      <c r="E188" s="480">
        <f>+'[8]Sch C'!H194</f>
        <v>0</v>
      </c>
      <c r="F188" s="166">
        <f t="shared" si="58"/>
        <v>280419</v>
      </c>
      <c r="G188" s="626"/>
      <c r="H188" s="166"/>
      <c r="I188" s="166">
        <f t="shared" si="59"/>
        <v>280419</v>
      </c>
      <c r="J188" s="167">
        <f t="shared" si="60"/>
        <v>5.9833225118778186E-2</v>
      </c>
      <c r="K188" s="458"/>
      <c r="L188" s="213"/>
      <c r="M188" s="208"/>
      <c r="O188" s="329">
        <f t="shared" si="61"/>
        <v>22.726233892535863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'[8]Sch C'!D195</f>
        <v>43538</v>
      </c>
      <c r="D189" s="480">
        <f>'[8]Sch C'!F195</f>
        <v>0</v>
      </c>
      <c r="E189" s="480">
        <f>+'[8]Sch C'!H195</f>
        <v>0</v>
      </c>
      <c r="F189" s="166">
        <f t="shared" si="58"/>
        <v>43538</v>
      </c>
      <c r="G189" s="626"/>
      <c r="H189" s="166"/>
      <c r="I189" s="166">
        <f t="shared" si="59"/>
        <v>43538</v>
      </c>
      <c r="J189" s="167">
        <f t="shared" si="60"/>
        <v>9.2897376968799003E-3</v>
      </c>
      <c r="K189" s="458"/>
      <c r="L189" s="213"/>
      <c r="M189" s="208"/>
      <c r="O189" s="329">
        <f t="shared" si="61"/>
        <v>3.5284869114190776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'[8]Sch C'!D196</f>
        <v>0</v>
      </c>
      <c r="D190" s="480">
        <f>'[8]Sch C'!F196</f>
        <v>0</v>
      </c>
      <c r="E190" s="480">
        <f>+'[8]Sch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'[8]Sch C'!D197</f>
        <v>280241</v>
      </c>
      <c r="D191" s="480">
        <f>'[8]Sch C'!F197</f>
        <v>0</v>
      </c>
      <c r="E191" s="480">
        <f>+'[8]Sch C'!H197</f>
        <v>0</v>
      </c>
      <c r="F191" s="166">
        <f t="shared" si="58"/>
        <v>280241</v>
      </c>
      <c r="G191" s="626"/>
      <c r="H191" s="166"/>
      <c r="I191" s="166">
        <f t="shared" si="59"/>
        <v>280241</v>
      </c>
      <c r="J191" s="167">
        <f t="shared" si="60"/>
        <v>5.9795245117169375E-2</v>
      </c>
      <c r="K191" s="458"/>
      <c r="L191" s="213"/>
      <c r="M191" s="208"/>
      <c r="O191" s="329">
        <f t="shared" si="61"/>
        <v>22.711808088175705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'[8]Sch C'!D198</f>
        <v>13530</v>
      </c>
      <c r="D192" s="480">
        <f>'[8]Sch C'!F198</f>
        <v>0</v>
      </c>
      <c r="E192" s="480">
        <f>+'[8]Sch C'!H198</f>
        <v>0</v>
      </c>
      <c r="F192" s="166">
        <f t="shared" si="58"/>
        <v>13530</v>
      </c>
      <c r="G192" s="626"/>
      <c r="H192" s="166"/>
      <c r="I192" s="166">
        <f t="shared" si="59"/>
        <v>13530</v>
      </c>
      <c r="J192" s="167">
        <f t="shared" si="60"/>
        <v>2.886906863861111E-3</v>
      </c>
      <c r="K192" s="458"/>
      <c r="L192" s="213"/>
      <c r="M192" s="208"/>
      <c r="O192" s="329">
        <f t="shared" si="61"/>
        <v>1.0965232190615122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'[8]Sch C'!D199</f>
        <v>0</v>
      </c>
      <c r="D193" s="480">
        <f>'[8]Sch C'!F199</f>
        <v>0</v>
      </c>
      <c r="E193" s="480">
        <f>+'[8]Sch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'[8]Sch C'!D200</f>
        <v>0</v>
      </c>
      <c r="D194" s="480">
        <f>'[8]Sch C'!F200</f>
        <v>0</v>
      </c>
      <c r="E194" s="480">
        <f>+'[8]Sch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'[8]Sch C'!D201</f>
        <v>4395</v>
      </c>
      <c r="D195" s="480">
        <f>'[8]Sch C'!F201</f>
        <v>0</v>
      </c>
      <c r="E195" s="480">
        <f>+'[8]Sch C'!H201</f>
        <v>0</v>
      </c>
      <c r="F195" s="166">
        <f t="shared" si="58"/>
        <v>4395</v>
      </c>
      <c r="G195" s="626"/>
      <c r="H195" s="166"/>
      <c r="I195" s="166">
        <f t="shared" si="59"/>
        <v>4395</v>
      </c>
      <c r="J195" s="167">
        <f t="shared" si="60"/>
        <v>9.37764646464862E-4</v>
      </c>
      <c r="K195" s="458"/>
      <c r="L195" s="213"/>
      <c r="M195" s="208"/>
      <c r="O195" s="329">
        <f t="shared" si="61"/>
        <v>0.35618769754437152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'[8]Sch C'!D202</f>
        <v>0</v>
      </c>
      <c r="D196" s="480">
        <f>'[8]Sch C'!F202</f>
        <v>0</v>
      </c>
      <c r="E196" s="480">
        <f>+'[8]Sch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'[8]Sch C'!D203</f>
        <v>0</v>
      </c>
      <c r="D197" s="480">
        <f>'[8]Sch C'!F203</f>
        <v>0</v>
      </c>
      <c r="E197" s="480">
        <f>+'[8]Sch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'[8]Sch C'!D204</f>
        <v>49949</v>
      </c>
      <c r="D198" s="480">
        <f>'[8]Sch C'!F204</f>
        <v>0</v>
      </c>
      <c r="E198" s="480">
        <f>+'[8]Sch C'!H204</f>
        <v>0</v>
      </c>
      <c r="F198" s="166">
        <f t="shared" si="58"/>
        <v>49949</v>
      </c>
      <c r="G198" s="626"/>
      <c r="H198" s="166"/>
      <c r="I198" s="166">
        <f t="shared" si="59"/>
        <v>49949</v>
      </c>
      <c r="J198" s="167">
        <f t="shared" si="60"/>
        <v>1.0657657867183935E-2</v>
      </c>
      <c r="K198" s="458"/>
      <c r="L198" s="213"/>
      <c r="M198" s="208"/>
      <c r="O198" s="329">
        <f t="shared" si="61"/>
        <v>4.0480589999189558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'[8]Sch C'!D205</f>
        <v>259995</v>
      </c>
      <c r="D199" s="480">
        <f>'[8]Sch C'!F205</f>
        <v>0</v>
      </c>
      <c r="E199" s="480">
        <f>+'[8]Sch C'!H205</f>
        <v>0</v>
      </c>
      <c r="F199" s="166">
        <f t="shared" si="58"/>
        <v>259995</v>
      </c>
      <c r="G199" s="626"/>
      <c r="H199" s="166"/>
      <c r="I199" s="166">
        <f t="shared" si="59"/>
        <v>259995</v>
      </c>
      <c r="J199" s="167">
        <f t="shared" si="60"/>
        <v>5.5475339990359911E-2</v>
      </c>
      <c r="K199" s="458"/>
      <c r="L199" s="213"/>
      <c r="M199" s="208"/>
      <c r="O199" s="329">
        <f t="shared" si="61"/>
        <v>21.070994407974716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'[8]Sch C'!D206</f>
        <v>44016</v>
      </c>
      <c r="D200" s="480">
        <f>'[8]Sch C'!F206</f>
        <v>0</v>
      </c>
      <c r="E200" s="480">
        <f>+'[8]Sch C'!H206</f>
        <v>0</v>
      </c>
      <c r="F200" s="166">
        <f t="shared" si="58"/>
        <v>44016</v>
      </c>
      <c r="G200" s="626"/>
      <c r="H200" s="166"/>
      <c r="I200" s="166">
        <f t="shared" si="59"/>
        <v>44016</v>
      </c>
      <c r="J200" s="167">
        <f t="shared" si="60"/>
        <v>9.3917289371552599E-3</v>
      </c>
      <c r="K200" s="458"/>
      <c r="L200" s="213"/>
      <c r="M200" s="208"/>
      <c r="O200" s="329">
        <f t="shared" si="61"/>
        <v>3.5672258691952345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'[8]Sch C'!D207</f>
        <v>0</v>
      </c>
      <c r="D201" s="480">
        <f>'[8]Sch C'!F207</f>
        <v>0</v>
      </c>
      <c r="E201" s="480">
        <f>+'[8]Sch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991030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991030</v>
      </c>
      <c r="G202" s="166">
        <f t="shared" si="63"/>
        <v>0</v>
      </c>
      <c r="H202" s="166">
        <f t="shared" si="63"/>
        <v>0</v>
      </c>
      <c r="I202" s="166">
        <f t="shared" si="63"/>
        <v>991030</v>
      </c>
      <c r="J202" s="167">
        <f>IF($I$213=0,0,I202/$I$213)</f>
        <v>0.21145685951901527</v>
      </c>
      <c r="K202" s="458"/>
      <c r="L202" s="163"/>
      <c r="M202" s="163"/>
      <c r="O202" s="329">
        <f>I202/I$233</f>
        <v>80.316881432855169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'[8]Sch C'!D211</f>
        <v>90246</v>
      </c>
      <c r="D205" s="480">
        <f>'[8]Sch C'!F211</f>
        <v>0</v>
      </c>
      <c r="E205" s="480">
        <f>+'[8]Sch C'!H211</f>
        <v>0</v>
      </c>
      <c r="F205" s="166">
        <f t="shared" ref="F205:F210" si="64">C205+D205+E205</f>
        <v>90246</v>
      </c>
      <c r="G205" s="626"/>
      <c r="H205" s="166"/>
      <c r="I205" s="166">
        <f t="shared" ref="I205:I210" si="65">F205+G205+H205</f>
        <v>90246</v>
      </c>
      <c r="J205" s="167">
        <f t="shared" ref="J205:J211" si="66">IF($I$213=0,0,I205/$I$213)</f>
        <v>1.9255860815669611E-2</v>
      </c>
      <c r="K205" s="458"/>
      <c r="L205" s="176">
        <v>0</v>
      </c>
      <c r="M205" s="176">
        <v>0</v>
      </c>
      <c r="O205" s="329">
        <f t="shared" ref="O205:O210" si="67">I205/I$233</f>
        <v>7.3138828106005347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'[8]Sch C'!D212</f>
        <v>14188</v>
      </c>
      <c r="D206" s="480">
        <f>'[8]Sch C'!F212</f>
        <v>0</v>
      </c>
      <c r="E206" s="480">
        <f>+'[8]Sch C'!H212</f>
        <v>0</v>
      </c>
      <c r="F206" s="166">
        <f t="shared" si="64"/>
        <v>14188</v>
      </c>
      <c r="G206" s="626"/>
      <c r="H206" s="166"/>
      <c r="I206" s="166">
        <f t="shared" si="65"/>
        <v>14188</v>
      </c>
      <c r="J206" s="167">
        <f t="shared" si="66"/>
        <v>3.0273048473363966E-3</v>
      </c>
      <c r="K206" s="458"/>
      <c r="L206" s="163"/>
      <c r="M206" s="163"/>
      <c r="O206" s="329">
        <f t="shared" si="67"/>
        <v>1.1498500688872679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'[8]Sch C'!D213</f>
        <v>26963</v>
      </c>
      <c r="D207" s="480">
        <f>'[8]Sch C'!F213</f>
        <v>0</v>
      </c>
      <c r="E207" s="480">
        <f>+'[8]Sch C'!H213</f>
        <v>0</v>
      </c>
      <c r="F207" s="166">
        <f t="shared" si="64"/>
        <v>26963</v>
      </c>
      <c r="G207" s="626"/>
      <c r="H207" s="166"/>
      <c r="I207" s="166">
        <f t="shared" si="65"/>
        <v>26963</v>
      </c>
      <c r="J207" s="167">
        <f t="shared" si="66"/>
        <v>5.7531167605533728E-3</v>
      </c>
      <c r="K207" s="458"/>
      <c r="L207" s="163"/>
      <c r="M207" s="163"/>
      <c r="O207" s="329">
        <f t="shared" si="67"/>
        <v>2.1851851851851851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'[8]Sch C'!D214</f>
        <v>7047</v>
      </c>
      <c r="D208" s="480">
        <f>'[8]Sch C'!F214</f>
        <v>0</v>
      </c>
      <c r="E208" s="480">
        <f>+'[8]Sch C'!H214</f>
        <v>0</v>
      </c>
      <c r="F208" s="166">
        <f t="shared" si="64"/>
        <v>7047</v>
      </c>
      <c r="G208" s="626"/>
      <c r="H208" s="166"/>
      <c r="I208" s="166">
        <f t="shared" si="65"/>
        <v>7047</v>
      </c>
      <c r="J208" s="167">
        <f t="shared" si="66"/>
        <v>1.5036239962771063E-3</v>
      </c>
      <c r="K208" s="458"/>
      <c r="L208" s="163"/>
      <c r="M208" s="163"/>
      <c r="O208" s="329">
        <f t="shared" si="67"/>
        <v>0.57111597374179435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'[8]Sch C'!D215</f>
        <v>0</v>
      </c>
      <c r="D209" s="480">
        <f>'[8]Sch C'!F215</f>
        <v>0</v>
      </c>
      <c r="E209" s="480">
        <f>+'[8]Sch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'[8]Sch C'!D216</f>
        <v>0</v>
      </c>
      <c r="D210" s="480">
        <f>'[8]Sch C'!F216</f>
        <v>0</v>
      </c>
      <c r="E210" s="480">
        <f>+'[8]Sch C'!H216</f>
        <v>0</v>
      </c>
      <c r="F210" s="166">
        <f t="shared" si="64"/>
        <v>0</v>
      </c>
      <c r="G210" s="626"/>
      <c r="H210" s="166"/>
      <c r="I210" s="166">
        <f t="shared" si="65"/>
        <v>0</v>
      </c>
      <c r="J210" s="167">
        <f t="shared" si="66"/>
        <v>0</v>
      </c>
      <c r="K210" s="458"/>
      <c r="L210" s="163"/>
      <c r="M210" s="163"/>
      <c r="O210" s="329">
        <f t="shared" si="67"/>
        <v>0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138444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138444</v>
      </c>
      <c r="G211" s="166">
        <f t="shared" si="69"/>
        <v>0</v>
      </c>
      <c r="H211" s="166">
        <f t="shared" si="69"/>
        <v>0</v>
      </c>
      <c r="I211" s="166">
        <f t="shared" si="69"/>
        <v>138444</v>
      </c>
      <c r="J211" s="167">
        <f t="shared" si="66"/>
        <v>2.9539906419836486E-2</v>
      </c>
      <c r="K211" s="458"/>
      <c r="L211" s="163"/>
      <c r="M211" s="163"/>
      <c r="O211" s="329">
        <f>I211/I$233</f>
        <v>11.220034038414783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4768651</v>
      </c>
      <c r="D213" s="480">
        <f t="shared" si="70"/>
        <v>-57421</v>
      </c>
      <c r="E213" s="480">
        <f t="shared" si="70"/>
        <v>-12632</v>
      </c>
      <c r="F213" s="166">
        <f t="shared" ref="F213:I213" si="71">SUM(F30:F211)/2</f>
        <v>4698598</v>
      </c>
      <c r="G213" s="166">
        <f t="shared" si="71"/>
        <v>-11921</v>
      </c>
      <c r="H213" s="166">
        <f t="shared" si="71"/>
        <v>0</v>
      </c>
      <c r="I213" s="166">
        <f t="shared" si="71"/>
        <v>4686677</v>
      </c>
      <c r="J213" s="167">
        <f>IF($I$213=0,0,I213/$I$213)</f>
        <v>1</v>
      </c>
      <c r="K213" s="458"/>
      <c r="L213" s="176">
        <f>SUM(L30:L205)</f>
        <v>85552</v>
      </c>
      <c r="M213" s="176">
        <f>SUM(M30:M205)</f>
        <v>90613</v>
      </c>
      <c r="O213" s="329">
        <f>I213/I$233</f>
        <v>379.82632304076503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'[8]Sch C'!D221</f>
        <v>4768651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-347116</v>
      </c>
      <c r="D220" s="480">
        <f t="shared" si="72"/>
        <v>37653</v>
      </c>
      <c r="E220" s="480">
        <f t="shared" si="72"/>
        <v>12632</v>
      </c>
      <c r="F220" s="166">
        <f t="shared" ref="F220:I220" si="73">F26-F213</f>
        <v>-296831</v>
      </c>
      <c r="G220" s="166">
        <f t="shared" si="73"/>
        <v>11921</v>
      </c>
      <c r="H220" s="166">
        <f t="shared" si="73"/>
        <v>0</v>
      </c>
      <c r="I220" s="166">
        <f t="shared" si="73"/>
        <v>-284910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'[8]Sch D'!C9</f>
        <v>618</v>
      </c>
      <c r="D224" s="480"/>
      <c r="E224" s="480"/>
      <c r="F224" s="224">
        <f>C224+D224+E224</f>
        <v>618</v>
      </c>
      <c r="G224" s="627"/>
      <c r="H224" s="223"/>
      <c r="I224" s="224">
        <f>F224+G224+H224</f>
        <v>618</v>
      </c>
      <c r="J224" s="167">
        <f t="shared" ref="J224:J233" si="74">IF($I$233=0,0,I224/$I$233)</f>
        <v>5.0085096036955996E-2</v>
      </c>
      <c r="K224" s="458"/>
      <c r="L224" s="163"/>
      <c r="M224" s="163"/>
    </row>
    <row r="225" spans="1:13">
      <c r="A225" s="158"/>
      <c r="B225" s="165" t="s">
        <v>201</v>
      </c>
      <c r="C225" s="504">
        <f>'[8]Sch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'[8]Sch D'!E9</f>
        <v>5095</v>
      </c>
      <c r="D226" s="480"/>
      <c r="E226" s="480"/>
      <c r="F226" s="224">
        <f t="shared" si="75"/>
        <v>5095</v>
      </c>
      <c r="G226" s="627"/>
      <c r="H226" s="223"/>
      <c r="I226" s="224">
        <f t="shared" si="76"/>
        <v>5095</v>
      </c>
      <c r="J226" s="167">
        <f t="shared" si="74"/>
        <v>0.41291838884836696</v>
      </c>
      <c r="K226" s="458"/>
      <c r="L226" s="163"/>
      <c r="M226" s="163"/>
    </row>
    <row r="227" spans="1:13">
      <c r="A227" s="158"/>
      <c r="B227" s="194" t="s">
        <v>315</v>
      </c>
      <c r="C227" s="504">
        <f>'[8]Sch D'!F9</f>
        <v>909</v>
      </c>
      <c r="D227" s="480"/>
      <c r="E227" s="480"/>
      <c r="F227" s="224">
        <f t="shared" si="75"/>
        <v>909</v>
      </c>
      <c r="G227" s="627"/>
      <c r="H227" s="223"/>
      <c r="I227" s="224">
        <f t="shared" si="76"/>
        <v>909</v>
      </c>
      <c r="J227" s="167">
        <f t="shared" si="74"/>
        <v>7.36688548504741E-2</v>
      </c>
      <c r="K227" s="458"/>
      <c r="L227" s="163"/>
      <c r="M227" s="163"/>
    </row>
    <row r="228" spans="1:13">
      <c r="A228" s="158"/>
      <c r="B228" s="165" t="s">
        <v>65</v>
      </c>
      <c r="C228" s="504">
        <f>'[8]Sch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'[8]Sch D'!H9</f>
        <v>5717</v>
      </c>
      <c r="D229" s="480"/>
      <c r="E229" s="480"/>
      <c r="F229" s="224">
        <f t="shared" si="75"/>
        <v>5717</v>
      </c>
      <c r="G229" s="627"/>
      <c r="H229" s="223"/>
      <c r="I229" s="224">
        <f t="shared" si="76"/>
        <v>5717</v>
      </c>
      <c r="J229" s="167">
        <f t="shared" si="74"/>
        <v>0.46332766026420291</v>
      </c>
      <c r="K229" s="458"/>
      <c r="L229" s="163"/>
      <c r="M229" s="163"/>
    </row>
    <row r="230" spans="1:13">
      <c r="A230" s="158"/>
      <c r="B230" s="165" t="s">
        <v>219</v>
      </c>
      <c r="C230" s="504">
        <f>'[8]Sch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'[8]Sch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12339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12339</v>
      </c>
      <c r="G233" s="226">
        <f t="shared" si="78"/>
        <v>0</v>
      </c>
      <c r="H233" s="226">
        <f t="shared" si="78"/>
        <v>0</v>
      </c>
      <c r="I233" s="226">
        <f t="shared" si="78"/>
        <v>12339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'[8]Sch D'!N22</f>
        <v>45</v>
      </c>
      <c r="D236" s="480"/>
      <c r="E236" s="480"/>
      <c r="F236" s="224">
        <f>C236+E236</f>
        <v>45</v>
      </c>
      <c r="G236" s="627"/>
      <c r="H236" s="224"/>
      <c r="I236" s="224">
        <f>F236+G236+H236</f>
        <v>45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'[8]Sch D'!N24</f>
        <v>5</v>
      </c>
      <c r="D237" s="480"/>
      <c r="E237" s="480"/>
      <c r="F237" s="224">
        <f>C237+E237</f>
        <v>5</v>
      </c>
      <c r="G237" s="627"/>
      <c r="H237" s="224"/>
      <c r="I237" s="224">
        <f>F237+G237+H237</f>
        <v>5</v>
      </c>
      <c r="J237" s="162" t="s">
        <v>559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K238" s="460"/>
      <c r="L238" s="158" t="s">
        <v>560</v>
      </c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'[8]Sch D'!N28</f>
        <v>16425</v>
      </c>
      <c r="D240" s="427"/>
      <c r="E240" s="427"/>
      <c r="F240" s="223">
        <f>F236*F238</f>
        <v>16425</v>
      </c>
      <c r="G240"/>
      <c r="H240" s="228"/>
      <c r="I240" s="223">
        <f>I236*I238</f>
        <v>16425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'[8]Sch D'!N30</f>
        <v>0.75123287671232875</v>
      </c>
      <c r="D241" s="228"/>
      <c r="E241" s="228"/>
      <c r="F241" s="232">
        <f>F233/F240</f>
        <v>0.75123287671232875</v>
      </c>
      <c r="G241"/>
      <c r="H241" s="233"/>
      <c r="I241" s="232">
        <f>I233/I240</f>
        <v>0.75123287671232875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'[8]Sch D'!N32</f>
        <v>3.762557077625571E-2</v>
      </c>
      <c r="D242" s="228"/>
      <c r="E242" s="228"/>
      <c r="F242" s="232">
        <f>(F224+F225)/F240</f>
        <v>3.762557077625571E-2</v>
      </c>
      <c r="G242"/>
      <c r="H242" s="233"/>
      <c r="I242" s="232">
        <f>(I224+I225)/I240</f>
        <v>3.762557077625571E-2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'[8]Sch D'!N34</f>
        <v>5.0085096036955996E-2</v>
      </c>
      <c r="D243" s="228"/>
      <c r="E243" s="228"/>
      <c r="F243" s="232">
        <f>(F242/F241)</f>
        <v>5.0085096036955996E-2</v>
      </c>
      <c r="G243"/>
      <c r="H243" s="233"/>
      <c r="I243" s="232">
        <f>(I242/I241)</f>
        <v>5.0085096036955996E-2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'[8]Sch B'!C90</f>
        <v>258.33434099153567</v>
      </c>
      <c r="K246" s="460"/>
    </row>
    <row r="247" spans="1:13">
      <c r="H247" s="140" t="s">
        <v>322</v>
      </c>
      <c r="I247" s="480">
        <f>'[8]Sch B'!E90</f>
        <v>258.64577464788732</v>
      </c>
      <c r="K247" s="460"/>
    </row>
    <row r="248" spans="1:13">
      <c r="H248" s="140" t="s">
        <v>323</v>
      </c>
      <c r="I248" s="480">
        <f>'[8]Sch B'!G90</f>
        <v>269.21180555555554</v>
      </c>
      <c r="K248" s="460"/>
    </row>
    <row r="249" spans="1:13">
      <c r="H249" s="140" t="s">
        <v>324</v>
      </c>
      <c r="I249" s="480">
        <f>'[8]Sch B'!I90</f>
        <v>271.87115544472152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E28CAB"/>
    <pageSetUpPr fitToPage="1"/>
  </sheetPr>
  <dimension ref="A1:Q277"/>
  <sheetViews>
    <sheetView showGridLines="0" topLeftCell="B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372</v>
      </c>
      <c r="D2" s="234"/>
      <c r="E2" s="234"/>
      <c r="F2" s="142"/>
      <c r="G2" s="142"/>
      <c r="H2" s="138" t="s">
        <v>373</v>
      </c>
    </row>
    <row r="3" spans="1:16">
      <c r="A3" s="143"/>
      <c r="B3" s="138" t="s">
        <v>71</v>
      </c>
      <c r="C3" s="557">
        <f>'[74]Sch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'[74]Sch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492" t="s">
        <v>738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'[74]Sch B'!E10</f>
        <v>512527</v>
      </c>
      <c r="D12" s="480">
        <f>'[74]Sch B'!G10</f>
        <v>0</v>
      </c>
      <c r="E12" s="480"/>
      <c r="F12" s="166">
        <f>C12+D12+E12</f>
        <v>512527</v>
      </c>
      <c r="G12" s="626"/>
      <c r="H12" s="166"/>
      <c r="I12" s="166">
        <f>F12+G12+H12</f>
        <v>512527</v>
      </c>
      <c r="J12" s="167">
        <f>IF($I$26=0,0,I12/$I$26)</f>
        <v>4.1251397644455991E-2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'[74]Sch B'!E12</f>
        <v>0</v>
      </c>
      <c r="D13" s="480">
        <f>'[74]Sch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'[74]Sch B'!E13</f>
        <v>0</v>
      </c>
      <c r="D14" s="480">
        <f>'[74]Sch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'[74]Sch B'!E14</f>
        <v>0</v>
      </c>
      <c r="D15" s="480">
        <f>'[74]Sch B'!G14</f>
        <v>0</v>
      </c>
      <c r="E15" s="480"/>
      <c r="F15" s="166">
        <f t="shared" si="0"/>
        <v>0</v>
      </c>
      <c r="G15" s="626">
        <v>5883</v>
      </c>
      <c r="H15" s="166"/>
      <c r="I15" s="166">
        <f t="shared" si="1"/>
        <v>5883</v>
      </c>
      <c r="J15" s="167">
        <f>IF($I$26=0,0,I15/$I$26)</f>
        <v>4.7350085428150048E-4</v>
      </c>
      <c r="K15" s="592" t="s">
        <v>374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'[74]Sch B'!E15</f>
        <v>512527</v>
      </c>
      <c r="D16" s="480">
        <f>'[74]Sch B'!G15</f>
        <v>0</v>
      </c>
      <c r="E16" s="480"/>
      <c r="F16" s="166">
        <f t="shared" si="0"/>
        <v>512527</v>
      </c>
      <c r="G16" s="626"/>
      <c r="H16" s="166"/>
      <c r="I16" s="166">
        <f>SUM(I12:I15)</f>
        <v>518410</v>
      </c>
      <c r="J16" s="167">
        <f t="shared" ref="J16:J26" si="2">IF($I$26=0,0,I16/$I$26)</f>
        <v>4.1724898498737492E-2</v>
      </c>
      <c r="K16" s="520"/>
      <c r="L16" s="333" t="s">
        <v>325</v>
      </c>
      <c r="M16" s="334">
        <f>I26</f>
        <v>12424476</v>
      </c>
      <c r="O16" s="324">
        <f>IFERROR(I16/I224,0)</f>
        <v>189.33893352812271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'[74]Sch B'!E20</f>
        <v>0</v>
      </c>
      <c r="D17" s="480">
        <f>'[74]Sch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520"/>
      <c r="L17" s="335" t="s">
        <v>326</v>
      </c>
      <c r="M17" s="336">
        <f>I213</f>
        <v>11447036.890000001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'[74]Sch B'!E26</f>
        <v>2211560</v>
      </c>
      <c r="D18" s="480">
        <f>'[74]Sch B'!G26</f>
        <v>0</v>
      </c>
      <c r="E18" s="480"/>
      <c r="F18" s="166">
        <f t="shared" si="0"/>
        <v>2211560</v>
      </c>
      <c r="G18" s="626"/>
      <c r="H18" s="166"/>
      <c r="I18" s="166">
        <f t="shared" si="1"/>
        <v>2211560</v>
      </c>
      <c r="J18" s="167">
        <f t="shared" si="2"/>
        <v>0.17800026335114655</v>
      </c>
      <c r="K18" s="520"/>
      <c r="L18" s="335" t="s">
        <v>327</v>
      </c>
      <c r="M18" s="336">
        <f>I233</f>
        <v>38260</v>
      </c>
      <c r="O18" s="324">
        <f t="shared" si="3"/>
        <v>582.44930208058997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'[74]Sch B'!E32</f>
        <v>93380</v>
      </c>
      <c r="D19" s="480">
        <f>'[74]Sch B'!G32</f>
        <v>0</v>
      </c>
      <c r="E19" s="480"/>
      <c r="F19" s="166">
        <f t="shared" si="0"/>
        <v>93380</v>
      </c>
      <c r="G19" s="626"/>
      <c r="H19" s="166"/>
      <c r="I19" s="166">
        <f t="shared" si="1"/>
        <v>93380</v>
      </c>
      <c r="J19" s="170">
        <f t="shared" si="2"/>
        <v>7.5158099222856559E-3</v>
      </c>
      <c r="K19" s="520"/>
      <c r="L19" s="335" t="s">
        <v>328</v>
      </c>
      <c r="M19" s="336">
        <f>I236</f>
        <v>108</v>
      </c>
      <c r="O19" s="324">
        <f t="shared" si="3"/>
        <v>622.5333333333333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'[74]Sch B'!E37</f>
        <v>7851485</v>
      </c>
      <c r="D20" s="480">
        <f>'[74]Sch B'!G37</f>
        <v>-2441291</v>
      </c>
      <c r="E20" s="480"/>
      <c r="F20" s="166">
        <f t="shared" si="0"/>
        <v>5410194</v>
      </c>
      <c r="G20" s="626"/>
      <c r="H20" s="166"/>
      <c r="I20" s="166">
        <f t="shared" si="1"/>
        <v>5410194</v>
      </c>
      <c r="J20" s="167">
        <f t="shared" si="2"/>
        <v>0.43544645263108078</v>
      </c>
      <c r="K20" s="520"/>
      <c r="L20" s="335" t="s">
        <v>329</v>
      </c>
      <c r="M20" s="336">
        <f>I240</f>
        <v>39420</v>
      </c>
      <c r="O20" s="324">
        <f t="shared" si="3"/>
        <v>414.00321395775939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'[74]Sch B'!E42</f>
        <v>1713777</v>
      </c>
      <c r="D21" s="480">
        <f>'[74]Sch B'!G42</f>
        <v>2441291</v>
      </c>
      <c r="E21" s="480"/>
      <c r="F21" s="166">
        <f t="shared" si="0"/>
        <v>4155068</v>
      </c>
      <c r="G21" s="626"/>
      <c r="H21" s="166"/>
      <c r="I21" s="166">
        <f t="shared" si="1"/>
        <v>4155068</v>
      </c>
      <c r="J21" s="167">
        <f t="shared" si="2"/>
        <v>0.33442601522993809</v>
      </c>
      <c r="K21" s="520"/>
      <c r="L21" s="337"/>
      <c r="M21" s="336"/>
      <c r="O21" s="324">
        <f t="shared" si="3"/>
        <v>226.04003916875203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'[74]Sch B'!E47</f>
        <v>3370</v>
      </c>
      <c r="D22" s="480">
        <f>'[74]Sch B'!G47</f>
        <v>0</v>
      </c>
      <c r="E22" s="480"/>
      <c r="F22" s="166">
        <f t="shared" si="0"/>
        <v>3370</v>
      </c>
      <c r="G22" s="626"/>
      <c r="H22" s="166"/>
      <c r="I22" s="166">
        <f t="shared" si="1"/>
        <v>3370</v>
      </c>
      <c r="J22" s="167">
        <f t="shared" si="2"/>
        <v>2.7123880314952516E-4</v>
      </c>
      <c r="K22" s="520"/>
      <c r="L22" s="335" t="s">
        <v>148</v>
      </c>
      <c r="M22" s="336">
        <f>L213</f>
        <v>401117</v>
      </c>
      <c r="O22" s="324">
        <f t="shared" si="3"/>
        <v>187.22222222222223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'[74]Sch B'!E52</f>
        <v>0</v>
      </c>
      <c r="D23" s="480">
        <f>'[74]Sch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520"/>
      <c r="L23" s="338" t="s">
        <v>233</v>
      </c>
      <c r="M23" s="339">
        <f>M213</f>
        <v>429188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'[74]Sch B'!E57</f>
        <v>43276</v>
      </c>
      <c r="D24" s="480">
        <f>'[74]Sch B'!G57</f>
        <v>0</v>
      </c>
      <c r="E24" s="480"/>
      <c r="F24" s="166">
        <f t="shared" si="0"/>
        <v>43276</v>
      </c>
      <c r="G24" s="626"/>
      <c r="H24" s="166"/>
      <c r="I24" s="166">
        <f t="shared" si="1"/>
        <v>43276</v>
      </c>
      <c r="J24" s="167">
        <f t="shared" si="2"/>
        <v>3.4831247611569294E-3</v>
      </c>
      <c r="K24" s="520"/>
      <c r="L24" s="163"/>
      <c r="M24" s="163"/>
      <c r="O24" s="324">
        <f t="shared" si="3"/>
        <v>404.44859813084111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'[74]Sch B'!E72</f>
        <v>40674</v>
      </c>
      <c r="D25" s="480">
        <f>'[74]Sch B'!G72</f>
        <v>-45573</v>
      </c>
      <c r="E25" s="480"/>
      <c r="F25" s="166">
        <f t="shared" si="0"/>
        <v>-4899</v>
      </c>
      <c r="G25" s="626">
        <v>-5883</v>
      </c>
      <c r="H25" s="166"/>
      <c r="I25" s="166">
        <f t="shared" si="1"/>
        <v>-10782</v>
      </c>
      <c r="J25" s="167">
        <f t="shared" si="2"/>
        <v>-8.6780319749500906E-4</v>
      </c>
      <c r="K25" s="592" t="s">
        <v>374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12470049</v>
      </c>
      <c r="D26" s="480">
        <f t="shared" ref="D26:F26" si="4">SUM(D16:D25)</f>
        <v>-45573</v>
      </c>
      <c r="E26" s="480">
        <f t="shared" si="4"/>
        <v>0</v>
      </c>
      <c r="F26" s="166">
        <f t="shared" si="4"/>
        <v>12424476</v>
      </c>
      <c r="G26" s="166">
        <f>SUM(G12:G25)</f>
        <v>0</v>
      </c>
      <c r="H26" s="166">
        <f>SUM(H12:H25)</f>
        <v>0</v>
      </c>
      <c r="I26" s="166">
        <f>SUM(I16:I25)</f>
        <v>12424476</v>
      </c>
      <c r="J26" s="167">
        <f t="shared" si="2"/>
        <v>1</v>
      </c>
      <c r="K26" s="520"/>
      <c r="L26" s="163"/>
      <c r="M26" s="163"/>
      <c r="O26" s="324">
        <f>IFERROR(I26/I233,0)</f>
        <v>324.73800313643494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519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519"/>
      <c r="O28" s="328"/>
      <c r="P28" s="328"/>
    </row>
    <row r="29" spans="1:16">
      <c r="A29" s="175" t="s">
        <v>153</v>
      </c>
      <c r="B29" s="145" t="s">
        <v>8</v>
      </c>
      <c r="K29" s="51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'[74]Sch C'!D10</f>
        <v>0</v>
      </c>
      <c r="D30" s="480">
        <f>'[74]Sch C'!F10</f>
        <v>119526</v>
      </c>
      <c r="E30" s="480">
        <f>+'[74]Sch C'!H10</f>
        <v>0</v>
      </c>
      <c r="F30" s="166">
        <f t="shared" ref="F30:F65" si="5">C30+D30+E30</f>
        <v>119526</v>
      </c>
      <c r="G30" s="626"/>
      <c r="H30" s="166"/>
      <c r="I30" s="166">
        <f t="shared" ref="I30:I65" si="6">F30+G30+H30</f>
        <v>119526</v>
      </c>
      <c r="J30" s="167">
        <f>IF($I$213=0,0,I30/$I$213)</f>
        <v>1.0441654128363693E-2</v>
      </c>
      <c r="K30" s="520"/>
      <c r="L30" s="176">
        <v>1880</v>
      </c>
      <c r="M30" s="176">
        <v>2080</v>
      </c>
      <c r="O30" s="324">
        <f>I30/I$233</f>
        <v>3.1240460010454782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'[74]Sch C'!D11</f>
        <v>0</v>
      </c>
      <c r="D31" s="480">
        <f>'[74]Sch C'!F11</f>
        <v>0</v>
      </c>
      <c r="E31" s="480">
        <f>+'[74]Sch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520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'[74]Sch C'!D12</f>
        <v>429350</v>
      </c>
      <c r="D32" s="480">
        <f>'[74]Sch C'!F12</f>
        <v>-119964</v>
      </c>
      <c r="E32" s="480">
        <f>+'[74]Sch C'!H12</f>
        <v>0</v>
      </c>
      <c r="F32" s="166">
        <f t="shared" si="5"/>
        <v>309386</v>
      </c>
      <c r="G32" s="626"/>
      <c r="H32" s="166"/>
      <c r="I32" s="166">
        <f t="shared" si="6"/>
        <v>309386</v>
      </c>
      <c r="J32" s="167">
        <f t="shared" si="7"/>
        <v>2.7027605744004899E-2</v>
      </c>
      <c r="K32" s="520"/>
      <c r="L32" s="176">
        <v>14666</v>
      </c>
      <c r="M32" s="176">
        <v>15667</v>
      </c>
      <c r="O32" s="324">
        <f t="shared" si="8"/>
        <v>8.0864087820177737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'[74]Sch C'!D13</f>
        <v>151201</v>
      </c>
      <c r="D33" s="480">
        <f>'[74]Sch C'!F13</f>
        <v>-14116</v>
      </c>
      <c r="E33" s="480">
        <f>+'[74]Sch C'!H13</f>
        <v>0</v>
      </c>
      <c r="F33" s="166">
        <f t="shared" si="5"/>
        <v>137085</v>
      </c>
      <c r="G33" s="626"/>
      <c r="H33" s="166"/>
      <c r="I33" s="166">
        <f t="shared" si="6"/>
        <v>137085</v>
      </c>
      <c r="J33" s="167">
        <f t="shared" si="7"/>
        <v>1.1975588208312307E-2</v>
      </c>
      <c r="K33" s="520"/>
      <c r="L33" s="163"/>
      <c r="M33" s="163"/>
      <c r="O33" s="324">
        <f t="shared" si="8"/>
        <v>3.5829848405645581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'[74]Sch C'!D14</f>
        <v>0</v>
      </c>
      <c r="D34" s="480">
        <f>'[74]Sch C'!F14</f>
        <v>0</v>
      </c>
      <c r="E34" s="480">
        <f>+'[74]Sch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520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'[74]Sch C'!D15</f>
        <v>0</v>
      </c>
      <c r="D35" s="480">
        <f>'[74]Sch C'!F15</f>
        <v>748085</v>
      </c>
      <c r="E35" s="480">
        <f>+'[74]Sch C'!H15</f>
        <v>0</v>
      </c>
      <c r="F35" s="166">
        <f t="shared" si="5"/>
        <v>748085</v>
      </c>
      <c r="G35" s="626"/>
      <c r="H35" s="166"/>
      <c r="I35" s="166">
        <f t="shared" si="6"/>
        <v>748085</v>
      </c>
      <c r="J35" s="167">
        <f t="shared" si="7"/>
        <v>6.5351846699604713E-2</v>
      </c>
      <c r="K35" s="520"/>
      <c r="L35" s="163"/>
      <c r="M35" s="163"/>
      <c r="O35" s="324">
        <f t="shared" si="8"/>
        <v>19.552665969681129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'[74]Sch C'!D16</f>
        <v>748085</v>
      </c>
      <c r="D36" s="480">
        <f>'[74]Sch C'!F16</f>
        <v>-748085</v>
      </c>
      <c r="E36" s="480">
        <f>+'[74]Sch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520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'[74]Sch C'!D17</f>
        <v>6916</v>
      </c>
      <c r="D37" s="480">
        <f>'[74]Sch C'!F17</f>
        <v>-6916</v>
      </c>
      <c r="E37" s="480">
        <f>+'[74]Sch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520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'[74]Sch C'!D18</f>
        <v>82249</v>
      </c>
      <c r="D38" s="480">
        <f>'[74]Sch C'!F18</f>
        <v>0</v>
      </c>
      <c r="E38" s="480">
        <f>+'[74]Sch C'!H18</f>
        <v>0</v>
      </c>
      <c r="F38" s="166">
        <f t="shared" si="5"/>
        <v>82249</v>
      </c>
      <c r="G38" s="626"/>
      <c r="H38" s="166"/>
      <c r="I38" s="166">
        <f t="shared" si="6"/>
        <v>82249</v>
      </c>
      <c r="J38" s="167">
        <f t="shared" si="7"/>
        <v>7.185178207283649E-3</v>
      </c>
      <c r="K38" s="520"/>
      <c r="L38" s="163"/>
      <c r="M38" s="163"/>
      <c r="O38" s="324">
        <f t="shared" si="8"/>
        <v>2.1497386304234185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'[74]Sch C'!D19</f>
        <v>5037</v>
      </c>
      <c r="D39" s="480">
        <f>'[74]Sch C'!F19</f>
        <v>0</v>
      </c>
      <c r="E39" s="480">
        <f>+'[74]Sch C'!H19</f>
        <v>0</v>
      </c>
      <c r="F39" s="166">
        <f t="shared" si="5"/>
        <v>5037</v>
      </c>
      <c r="G39" s="626"/>
      <c r="H39" s="166"/>
      <c r="I39" s="166">
        <f t="shared" si="6"/>
        <v>5037</v>
      </c>
      <c r="J39" s="167">
        <f t="shared" si="7"/>
        <v>4.4002653685865773E-4</v>
      </c>
      <c r="K39" s="520"/>
      <c r="L39" s="163"/>
      <c r="M39" s="163"/>
      <c r="O39" s="324">
        <f t="shared" si="8"/>
        <v>0.13165185572399374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'[74]Sch C'!D20</f>
        <v>34882</v>
      </c>
      <c r="D40" s="480">
        <f>'[74]Sch C'!F20</f>
        <v>0</v>
      </c>
      <c r="E40" s="480">
        <f>+'[74]Sch C'!H20</f>
        <v>0</v>
      </c>
      <c r="F40" s="166">
        <f t="shared" si="5"/>
        <v>34882</v>
      </c>
      <c r="G40" s="626"/>
      <c r="H40" s="166"/>
      <c r="I40" s="166">
        <f t="shared" si="6"/>
        <v>34882</v>
      </c>
      <c r="J40" s="167">
        <f t="shared" si="7"/>
        <v>3.0472514708564024E-3</v>
      </c>
      <c r="K40" s="520"/>
      <c r="L40" s="163"/>
      <c r="M40" s="163"/>
      <c r="O40" s="324">
        <f t="shared" si="8"/>
        <v>0.91170935703084166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'[74]Sch C'!D21</f>
        <v>5459</v>
      </c>
      <c r="D41" s="480">
        <f>'[74]Sch C'!F21</f>
        <v>0</v>
      </c>
      <c r="E41" s="480">
        <f>+'[74]Sch C'!H21</f>
        <v>0</v>
      </c>
      <c r="F41" s="166">
        <f t="shared" si="5"/>
        <v>5459</v>
      </c>
      <c r="G41" s="626"/>
      <c r="H41" s="166"/>
      <c r="I41" s="166">
        <f t="shared" si="6"/>
        <v>5459</v>
      </c>
      <c r="J41" s="167">
        <f t="shared" si="7"/>
        <v>4.7689197234691534E-4</v>
      </c>
      <c r="K41" s="520"/>
      <c r="L41" s="163"/>
      <c r="M41" s="163"/>
      <c r="O41" s="324">
        <f t="shared" si="8"/>
        <v>0.14268165185572398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'[74]Sch C'!D22</f>
        <v>0</v>
      </c>
      <c r="D42" s="480">
        <f>'[74]Sch C'!F22</f>
        <v>0</v>
      </c>
      <c r="E42" s="480">
        <f>+'[74]Sch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520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'[74]Sch C'!D23</f>
        <v>23915</v>
      </c>
      <c r="D43" s="480">
        <f>'[74]Sch C'!F23</f>
        <v>0</v>
      </c>
      <c r="E43" s="480">
        <f>+'[74]Sch C'!H23</f>
        <v>0</v>
      </c>
      <c r="F43" s="166">
        <f t="shared" si="5"/>
        <v>23915</v>
      </c>
      <c r="G43" s="626"/>
      <c r="H43" s="166"/>
      <c r="I43" s="166">
        <f t="shared" si="6"/>
        <v>23915</v>
      </c>
      <c r="J43" s="167">
        <f t="shared" si="7"/>
        <v>2.0891869424210442E-3</v>
      </c>
      <c r="K43" s="520"/>
      <c r="L43" s="163"/>
      <c r="M43" s="163"/>
      <c r="O43" s="324">
        <f t="shared" si="8"/>
        <v>0.62506534239414535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'[74]Sch C'!D24</f>
        <v>39398</v>
      </c>
      <c r="D44" s="480">
        <f>'[74]Sch C'!F24</f>
        <v>0</v>
      </c>
      <c r="E44" s="480">
        <f>+'[74]Sch C'!H24</f>
        <v>0</v>
      </c>
      <c r="F44" s="166">
        <f t="shared" si="5"/>
        <v>39398</v>
      </c>
      <c r="G44" s="626"/>
      <c r="H44" s="166"/>
      <c r="I44" s="166">
        <f t="shared" si="6"/>
        <v>39398</v>
      </c>
      <c r="J44" s="167">
        <f t="shared" si="7"/>
        <v>3.4417640458918796E-3</v>
      </c>
      <c r="K44" s="520"/>
      <c r="L44" s="163"/>
      <c r="M44" s="163"/>
      <c r="O44" s="324">
        <f t="shared" si="8"/>
        <v>1.0297438578149503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'[74]Sch C'!D25</f>
        <v>0</v>
      </c>
      <c r="D45" s="480">
        <f>'[74]Sch C'!F25</f>
        <v>0</v>
      </c>
      <c r="E45" s="480">
        <f>+'[74]Sch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520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'[74]Sch C'!D26</f>
        <v>0</v>
      </c>
      <c r="D46" s="480">
        <f>'[74]Sch C'!F26</f>
        <v>0</v>
      </c>
      <c r="E46" s="480">
        <f>+'[74]Sch C'!H26</f>
        <v>0</v>
      </c>
      <c r="F46" s="166">
        <f t="shared" si="5"/>
        <v>0</v>
      </c>
      <c r="G46" s="626"/>
      <c r="H46" s="166"/>
      <c r="I46" s="166">
        <f t="shared" si="6"/>
        <v>0</v>
      </c>
      <c r="J46" s="167">
        <f t="shared" si="7"/>
        <v>0</v>
      </c>
      <c r="K46" s="520"/>
      <c r="L46" s="163"/>
      <c r="M46" s="163"/>
      <c r="O46" s="324">
        <f t="shared" si="8"/>
        <v>0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'[74]Sch C'!D27</f>
        <v>0</v>
      </c>
      <c r="D47" s="480">
        <f>'[74]Sch C'!F27</f>
        <v>0</v>
      </c>
      <c r="E47" s="480">
        <f>+'[74]Sch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520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'[74]Sch C'!D28</f>
        <v>0</v>
      </c>
      <c r="D48" s="480">
        <f>'[74]Sch C'!F28</f>
        <v>0</v>
      </c>
      <c r="E48" s="480">
        <f>+'[74]Sch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520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'[74]Sch C'!D29</f>
        <v>45139</v>
      </c>
      <c r="D49" s="480">
        <f>'[74]Sch C'!F29</f>
        <v>-45139</v>
      </c>
      <c r="E49" s="480">
        <f>+'[74]Sch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520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'[74]Sch C'!D30</f>
        <v>700</v>
      </c>
      <c r="D50" s="480">
        <f>'[74]Sch C'!F30</f>
        <v>-700</v>
      </c>
      <c r="E50" s="480">
        <f>+'[74]Sch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520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'[74]Sch C'!D31</f>
        <v>0</v>
      </c>
      <c r="D51" s="480">
        <f>'[74]Sch C'!F31</f>
        <v>0</v>
      </c>
      <c r="E51" s="480">
        <f>+'[74]Sch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520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'[74]Sch C'!D32</f>
        <v>83280</v>
      </c>
      <c r="D52" s="480">
        <f>'[74]Sch C'!F32</f>
        <v>0</v>
      </c>
      <c r="E52" s="480">
        <f>+'[74]Sch C'!H32</f>
        <v>0</v>
      </c>
      <c r="F52" s="166">
        <f t="shared" si="5"/>
        <v>83280</v>
      </c>
      <c r="G52" s="626"/>
      <c r="H52" s="166"/>
      <c r="I52" s="166">
        <f t="shared" si="6"/>
        <v>83280</v>
      </c>
      <c r="J52" s="167">
        <f t="shared" si="7"/>
        <v>7.2752451835594633E-3</v>
      </c>
      <c r="K52" s="520"/>
      <c r="L52" s="163"/>
      <c r="M52" s="163"/>
      <c r="O52" s="324">
        <f t="shared" si="8"/>
        <v>2.1766858337689494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'[74]Sch C'!D33</f>
        <v>0</v>
      </c>
      <c r="D53" s="480">
        <f>'[74]Sch C'!F33</f>
        <v>0</v>
      </c>
      <c r="E53" s="480">
        <f>+'[74]Sch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520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'[74]Sch C'!D34</f>
        <v>265</v>
      </c>
      <c r="D54" s="480">
        <f>'[74]Sch C'!F34</f>
        <v>0</v>
      </c>
      <c r="E54" s="480">
        <f>+'[74]Sch C'!H34</f>
        <v>0</v>
      </c>
      <c r="F54" s="166">
        <f t="shared" si="5"/>
        <v>265</v>
      </c>
      <c r="G54" s="626"/>
      <c r="H54" s="166"/>
      <c r="I54" s="166">
        <f t="shared" si="6"/>
        <v>265</v>
      </c>
      <c r="J54" s="167">
        <f t="shared" si="7"/>
        <v>2.3150095744995889E-5</v>
      </c>
      <c r="K54" s="520"/>
      <c r="L54" s="163"/>
      <c r="M54" s="163"/>
      <c r="O54" s="324">
        <f t="shared" si="8"/>
        <v>6.9262937794040778E-3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'[74]Sch C'!D35</f>
        <v>0</v>
      </c>
      <c r="D55" s="480">
        <f>'[74]Sch C'!F35</f>
        <v>0</v>
      </c>
      <c r="E55" s="480">
        <f>+'[74]Sch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520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'[74]Sch C'!D36</f>
        <v>111928</v>
      </c>
      <c r="D56" s="480">
        <f>'[74]Sch C'!F36</f>
        <v>0</v>
      </c>
      <c r="E56" s="480">
        <f>+'[74]Sch C'!H36</f>
        <v>0</v>
      </c>
      <c r="F56" s="166">
        <f t="shared" si="5"/>
        <v>111928</v>
      </c>
      <c r="G56" s="626"/>
      <c r="H56" s="166"/>
      <c r="I56" s="166">
        <f t="shared" si="6"/>
        <v>111928</v>
      </c>
      <c r="J56" s="167">
        <f t="shared" si="7"/>
        <v>9.7779015718713214E-3</v>
      </c>
      <c r="K56" s="520"/>
      <c r="L56" s="176">
        <v>8072</v>
      </c>
      <c r="M56" s="176">
        <v>8643</v>
      </c>
      <c r="O56" s="324">
        <f t="shared" si="8"/>
        <v>2.9254573967590174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'[74]Sch C'!D37</f>
        <v>19714</v>
      </c>
      <c r="D57" s="480">
        <f>'[74]Sch C'!F37</f>
        <v>0</v>
      </c>
      <c r="E57" s="480">
        <f>+'[74]Sch C'!H37</f>
        <v>0</v>
      </c>
      <c r="F57" s="166">
        <f t="shared" si="5"/>
        <v>19714</v>
      </c>
      <c r="G57" s="626"/>
      <c r="H57" s="166"/>
      <c r="I57" s="166">
        <f t="shared" si="6"/>
        <v>19714</v>
      </c>
      <c r="J57" s="167">
        <f t="shared" si="7"/>
        <v>1.7221924057239583E-3</v>
      </c>
      <c r="K57" s="520"/>
      <c r="L57" s="163"/>
      <c r="M57" s="163"/>
      <c r="O57" s="324">
        <f t="shared" si="8"/>
        <v>0.51526398327234713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'[74]Sch C'!D38</f>
        <v>8851</v>
      </c>
      <c r="D58" s="480">
        <f>'[74]Sch C'!F38</f>
        <v>-8851</v>
      </c>
      <c r="E58" s="480">
        <f>+'[74]Sch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520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'[74]Sch C'!D39</f>
        <v>45958</v>
      </c>
      <c r="D59" s="480">
        <f>'[74]Sch C'!F39</f>
        <v>0</v>
      </c>
      <c r="E59" s="480">
        <f>+'[74]Sch C'!H39</f>
        <v>0</v>
      </c>
      <c r="F59" s="166">
        <f t="shared" si="5"/>
        <v>45958</v>
      </c>
      <c r="G59" s="626"/>
      <c r="H59" s="166"/>
      <c r="I59" s="166">
        <f t="shared" si="6"/>
        <v>45958</v>
      </c>
      <c r="J59" s="167">
        <f t="shared" si="7"/>
        <v>4.014838114145363E-3</v>
      </c>
      <c r="K59" s="520"/>
      <c r="L59" s="163"/>
      <c r="M59" s="163"/>
      <c r="O59" s="324">
        <f t="shared" si="8"/>
        <v>1.201202300052274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'[74]Sch C'!D40</f>
        <v>33141</v>
      </c>
      <c r="D60" s="480">
        <f>'[74]Sch C'!F40</f>
        <v>-33141</v>
      </c>
      <c r="E60" s="480">
        <f>+'[74]Sch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520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'[74]Sch C'!D41</f>
        <v>51714</v>
      </c>
      <c r="D61" s="480">
        <f>'[74]Sch C'!F41</f>
        <v>-15770</v>
      </c>
      <c r="E61" s="480">
        <f>+'[74]Sch C'!H41</f>
        <v>0</v>
      </c>
      <c r="F61" s="166">
        <f t="shared" si="5"/>
        <v>35944</v>
      </c>
      <c r="G61" s="626"/>
      <c r="H61" s="166"/>
      <c r="I61" s="166">
        <f t="shared" si="6"/>
        <v>35944</v>
      </c>
      <c r="J61" s="167">
        <f t="shared" si="7"/>
        <v>3.1400265715401218E-3</v>
      </c>
      <c r="K61" s="520"/>
      <c r="L61" s="163"/>
      <c r="M61" s="163"/>
      <c r="O61" s="324">
        <f t="shared" si="8"/>
        <v>0.9394668060637742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'[74]Sch C'!D42</f>
        <v>3807</v>
      </c>
      <c r="D62" s="480">
        <f>'[74]Sch C'!F42</f>
        <v>0</v>
      </c>
      <c r="E62" s="480">
        <f>+'[74]Sch C'!H42</f>
        <v>0</v>
      </c>
      <c r="F62" s="166">
        <f t="shared" si="5"/>
        <v>3807</v>
      </c>
      <c r="G62" s="626"/>
      <c r="H62" s="166"/>
      <c r="I62" s="166">
        <f t="shared" si="6"/>
        <v>3807</v>
      </c>
      <c r="J62" s="167">
        <f t="shared" si="7"/>
        <v>3.3257514906112964E-4</v>
      </c>
      <c r="K62" s="520"/>
      <c r="L62" s="163"/>
      <c r="M62" s="163"/>
      <c r="O62" s="324">
        <f t="shared" si="8"/>
        <v>9.9503397804495561E-2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'[74]Sch C'!D43</f>
        <v>23462</v>
      </c>
      <c r="D63" s="480">
        <f>'[74]Sch C'!F43</f>
        <v>-23462</v>
      </c>
      <c r="E63" s="480">
        <f>+'[74]Sch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520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'[74]Sch C'!D44</f>
        <v>0</v>
      </c>
      <c r="D64" s="480">
        <f>'[74]Sch C'!F44</f>
        <v>0</v>
      </c>
      <c r="E64" s="480">
        <f>+'[74]Sch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520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'[74]Sch C'!D45</f>
        <v>422443</v>
      </c>
      <c r="D65" s="480">
        <f>'[74]Sch C'!F45</f>
        <v>-396729</v>
      </c>
      <c r="E65" s="480">
        <f>+'[74]Sch C'!H45</f>
        <v>0</v>
      </c>
      <c r="F65" s="166">
        <f t="shared" si="5"/>
        <v>25714</v>
      </c>
      <c r="G65" s="626">
        <f>-1272.69-3459.61-3294.81</f>
        <v>-8027.1100000000006</v>
      </c>
      <c r="H65" s="166"/>
      <c r="I65" s="166">
        <f t="shared" si="6"/>
        <v>17686.89</v>
      </c>
      <c r="J65" s="167">
        <f t="shared" si="7"/>
        <v>1.5451064035140014E-3</v>
      </c>
      <c r="K65" s="520" t="s">
        <v>500</v>
      </c>
      <c r="L65" s="163"/>
      <c r="M65" s="163"/>
      <c r="O65" s="324">
        <f t="shared" si="8"/>
        <v>0.46228149503397803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2376894</v>
      </c>
      <c r="D66" s="480">
        <f t="shared" si="9"/>
        <v>-545262</v>
      </c>
      <c r="E66" s="480">
        <f t="shared" si="9"/>
        <v>0</v>
      </c>
      <c r="F66" s="166">
        <f t="shared" ref="F66:I66" si="10">SUM(F30:F65)</f>
        <v>1831632</v>
      </c>
      <c r="G66" s="166">
        <f t="shared" si="10"/>
        <v>-8027.1100000000006</v>
      </c>
      <c r="H66" s="166">
        <f t="shared" si="10"/>
        <v>0</v>
      </c>
      <c r="I66" s="166">
        <f t="shared" si="10"/>
        <v>1823604.89</v>
      </c>
      <c r="J66" s="178">
        <f t="shared" si="7"/>
        <v>0.1593080294511045</v>
      </c>
      <c r="K66" s="520" t="s">
        <v>501</v>
      </c>
      <c r="L66" s="163"/>
      <c r="M66" s="163"/>
      <c r="O66" s="329">
        <f>I66/I$233</f>
        <v>47.66348379508625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520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520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'[74]Sch C'!D57</f>
        <v>0</v>
      </c>
      <c r="D69" s="480">
        <f>'[74]Sch C'!F57</f>
        <v>0</v>
      </c>
      <c r="E69" s="480">
        <f>+'[74]Sch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520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'[74]Sch C'!D58</f>
        <v>1945</v>
      </c>
      <c r="D70" s="480">
        <f>'[74]Sch C'!F58</f>
        <v>0</v>
      </c>
      <c r="E70" s="480">
        <f>+'[74]Sch C'!H58</f>
        <v>0</v>
      </c>
      <c r="F70" s="166">
        <f t="shared" ref="F70:F83" si="13">C70+D70+E70</f>
        <v>1945</v>
      </c>
      <c r="G70" s="626"/>
      <c r="H70" s="166"/>
      <c r="I70" s="166">
        <f t="shared" ref="I70:I83" si="14">F70+G70+H70</f>
        <v>1945</v>
      </c>
      <c r="J70" s="167">
        <f t="shared" si="11"/>
        <v>1.6991296688308305E-4</v>
      </c>
      <c r="K70" s="520"/>
      <c r="L70" s="182"/>
      <c r="M70" s="163"/>
      <c r="O70" s="324">
        <f t="shared" si="12"/>
        <v>5.0836382645060116E-2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'[74]Sch C'!D59</f>
        <v>0</v>
      </c>
      <c r="D71" s="480">
        <f>'[74]Sch C'!F59</f>
        <v>0</v>
      </c>
      <c r="E71" s="480">
        <f>+'[74]Sch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520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'[74]Sch C'!D60</f>
        <v>0</v>
      </c>
      <c r="D72" s="480">
        <f>'[74]Sch C'!F60</f>
        <v>0</v>
      </c>
      <c r="E72" s="480">
        <f>+'[74]Sch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520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'[74]Sch C'!D61</f>
        <v>16209</v>
      </c>
      <c r="D73" s="480">
        <f>'[74]Sch C'!F61</f>
        <v>0</v>
      </c>
      <c r="E73" s="480">
        <f>+'[74]Sch C'!H61</f>
        <v>0</v>
      </c>
      <c r="F73" s="166">
        <f t="shared" si="13"/>
        <v>16209</v>
      </c>
      <c r="G73" s="626"/>
      <c r="H73" s="166"/>
      <c r="I73" s="166">
        <f t="shared" si="14"/>
        <v>16209</v>
      </c>
      <c r="J73" s="167">
        <f t="shared" si="11"/>
        <v>1.4159996299269373E-3</v>
      </c>
      <c r="K73" s="520"/>
      <c r="L73" s="185"/>
      <c r="M73" s="163"/>
      <c r="O73" s="324">
        <f t="shared" si="12"/>
        <v>0.42365394668060635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'[74]Sch C'!D62</f>
        <v>805</v>
      </c>
      <c r="D74" s="480">
        <f>'[74]Sch C'!F62</f>
        <v>0</v>
      </c>
      <c r="E74" s="480">
        <f>+'[74]Sch C'!H62</f>
        <v>0</v>
      </c>
      <c r="F74" s="166">
        <f t="shared" si="13"/>
        <v>805</v>
      </c>
      <c r="G74" s="626"/>
      <c r="H74" s="166"/>
      <c r="I74" s="166">
        <f t="shared" si="14"/>
        <v>805</v>
      </c>
      <c r="J74" s="167">
        <f t="shared" si="11"/>
        <v>7.0323875753666766E-5</v>
      </c>
      <c r="K74" s="520"/>
      <c r="L74" s="187"/>
      <c r="M74" s="163"/>
      <c r="O74" s="324">
        <f t="shared" si="12"/>
        <v>2.1040250914793519E-2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'[74]Sch C'!D63</f>
        <v>0</v>
      </c>
      <c r="D75" s="480">
        <f>'[74]Sch C'!F63</f>
        <v>0</v>
      </c>
      <c r="E75" s="480">
        <f>+'[74]Sch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520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'[74]Sch C'!D64</f>
        <v>0</v>
      </c>
      <c r="D76" s="480">
        <f>'[74]Sch C'!F64</f>
        <v>0</v>
      </c>
      <c r="E76" s="480">
        <f>+'[74]Sch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520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'[74]Sch C'!D65</f>
        <v>4746</v>
      </c>
      <c r="D77" s="480">
        <f>'[74]Sch C'!F65</f>
        <v>0</v>
      </c>
      <c r="E77" s="480">
        <f>+'[74]Sch C'!H65</f>
        <v>0</v>
      </c>
      <c r="F77" s="166">
        <f t="shared" si="13"/>
        <v>4746</v>
      </c>
      <c r="G77" s="626"/>
      <c r="H77" s="166"/>
      <c r="I77" s="166">
        <f t="shared" si="14"/>
        <v>4746</v>
      </c>
      <c r="J77" s="167">
        <f t="shared" si="11"/>
        <v>4.1460511096509618E-4</v>
      </c>
      <c r="K77" s="520"/>
      <c r="L77" s="187"/>
      <c r="M77" s="163"/>
      <c r="O77" s="324">
        <f t="shared" si="12"/>
        <v>0.1240460010454783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'[74]Sch C'!D66</f>
        <v>52656</v>
      </c>
      <c r="D78" s="480">
        <f>'[74]Sch C'!F66</f>
        <v>0</v>
      </c>
      <c r="E78" s="480">
        <f>+'[74]Sch C'!H66</f>
        <v>0</v>
      </c>
      <c r="F78" s="166">
        <f t="shared" si="13"/>
        <v>52656</v>
      </c>
      <c r="G78" s="626"/>
      <c r="H78" s="166"/>
      <c r="I78" s="166">
        <f t="shared" si="14"/>
        <v>52656</v>
      </c>
      <c r="J78" s="167">
        <f t="shared" si="11"/>
        <v>4.5999677039566169E-3</v>
      </c>
      <c r="K78" s="520"/>
      <c r="L78" s="187"/>
      <c r="M78" s="163"/>
      <c r="O78" s="324">
        <f t="shared" si="12"/>
        <v>1.3762676424464193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'[74]Sch C'!D67</f>
        <v>38475</v>
      </c>
      <c r="D79" s="480">
        <f>'[74]Sch C'!F67</f>
        <v>0</v>
      </c>
      <c r="E79" s="480">
        <f>+'[74]Sch C'!H67</f>
        <v>0</v>
      </c>
      <c r="F79" s="166">
        <f t="shared" si="13"/>
        <v>38475</v>
      </c>
      <c r="G79" s="626"/>
      <c r="H79" s="166"/>
      <c r="I79" s="166">
        <f t="shared" si="14"/>
        <v>38475</v>
      </c>
      <c r="J79" s="167">
        <f t="shared" si="11"/>
        <v>3.3611318256177997E-3</v>
      </c>
      <c r="K79" s="520"/>
      <c r="L79" s="187"/>
      <c r="M79" s="163"/>
      <c r="O79" s="324">
        <f t="shared" si="12"/>
        <v>1.0056194458964975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'[74]Sch C'!D68</f>
        <v>0</v>
      </c>
      <c r="D80" s="480">
        <f>'[74]Sch C'!F68</f>
        <v>0</v>
      </c>
      <c r="E80" s="480">
        <f>+'[74]Sch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520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'[74]Sch C'!D69</f>
        <v>0</v>
      </c>
      <c r="D81" s="480">
        <f>'[74]Sch C'!F69</f>
        <v>0</v>
      </c>
      <c r="E81" s="480">
        <f>+'[74]Sch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520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'[74]Sch C'!D70</f>
        <v>1776</v>
      </c>
      <c r="D82" s="480">
        <f>'[74]Sch C'!F70</f>
        <v>0</v>
      </c>
      <c r="E82" s="480">
        <f>+'[74]Sch C'!H70</f>
        <v>0</v>
      </c>
      <c r="F82" s="166">
        <f t="shared" si="13"/>
        <v>1776</v>
      </c>
      <c r="G82" s="626"/>
      <c r="H82" s="166"/>
      <c r="I82" s="166">
        <f t="shared" si="14"/>
        <v>1776</v>
      </c>
      <c r="J82" s="167">
        <f t="shared" si="11"/>
        <v>1.5514932091740641E-4</v>
      </c>
      <c r="K82" s="520"/>
      <c r="L82" s="187"/>
      <c r="M82" s="163"/>
      <c r="O82" s="324">
        <f t="shared" si="12"/>
        <v>4.6419236800836386E-2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'[74]Sch C'!D71</f>
        <v>0</v>
      </c>
      <c r="D83" s="480">
        <f>'[74]Sch C'!F71</f>
        <v>0</v>
      </c>
      <c r="E83" s="480">
        <f>+'[74]Sch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520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116612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116612</v>
      </c>
      <c r="G84" s="166">
        <f t="shared" si="16"/>
        <v>0</v>
      </c>
      <c r="H84" s="166">
        <f t="shared" si="16"/>
        <v>0</v>
      </c>
      <c r="I84" s="166">
        <f t="shared" si="16"/>
        <v>116612</v>
      </c>
      <c r="J84" s="167">
        <f t="shared" si="11"/>
        <v>1.0187090434020607E-2</v>
      </c>
      <c r="K84" s="520"/>
      <c r="L84" s="187"/>
      <c r="M84" s="163"/>
      <c r="O84" s="324">
        <f t="shared" si="12"/>
        <v>3.0478829064296917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520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52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'[74]Sch C'!D75</f>
        <v>87733</v>
      </c>
      <c r="D87" s="480">
        <f>'[74]Sch C'!F75</f>
        <v>0</v>
      </c>
      <c r="E87" s="480">
        <f>+'[74]Sch C'!H75</f>
        <v>0</v>
      </c>
      <c r="F87" s="166">
        <f t="shared" ref="F87:F97" si="17">C87+D87+E87</f>
        <v>87733</v>
      </c>
      <c r="G87" s="626"/>
      <c r="H87" s="166"/>
      <c r="I87" s="166">
        <f t="shared" ref="I87:I97" si="18">F87+G87+H87</f>
        <v>87733</v>
      </c>
      <c r="J87" s="167">
        <f t="shared" ref="J87:J98" si="19">IF($I$213=0,0,I87/$I$213)</f>
        <v>7.6642541509272617E-3</v>
      </c>
      <c r="K87" s="520"/>
      <c r="L87" s="176">
        <v>4576</v>
      </c>
      <c r="M87" s="176">
        <v>4803</v>
      </c>
      <c r="O87" s="324">
        <f t="shared" ref="O87:O97" si="20">I87/I$233</f>
        <v>2.2930737062205959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'[74]Sch C'!D76</f>
        <v>20937</v>
      </c>
      <c r="D88" s="480">
        <f>'[74]Sch C'!F76</f>
        <v>0</v>
      </c>
      <c r="E88" s="480">
        <f>+'[74]Sch C'!H76</f>
        <v>0</v>
      </c>
      <c r="F88" s="166">
        <f t="shared" si="17"/>
        <v>20937</v>
      </c>
      <c r="G88" s="626"/>
      <c r="H88" s="166"/>
      <c r="I88" s="166">
        <f t="shared" si="18"/>
        <v>20937</v>
      </c>
      <c r="J88" s="167">
        <f t="shared" si="19"/>
        <v>1.8290322815584111E-3</v>
      </c>
      <c r="K88" s="520"/>
      <c r="L88" s="163"/>
      <c r="M88" s="163"/>
      <c r="O88" s="324">
        <f t="shared" si="20"/>
        <v>0.54722948248823833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'[74]Sch C'!D77</f>
        <v>36220</v>
      </c>
      <c r="D89" s="480">
        <f>'[74]Sch C'!F77</f>
        <v>0</v>
      </c>
      <c r="E89" s="480">
        <f>+'[74]Sch C'!H77</f>
        <v>0</v>
      </c>
      <c r="F89" s="166">
        <f t="shared" si="17"/>
        <v>36220</v>
      </c>
      <c r="G89" s="626"/>
      <c r="H89" s="166"/>
      <c r="I89" s="166">
        <f t="shared" si="18"/>
        <v>36220</v>
      </c>
      <c r="J89" s="167">
        <f t="shared" si="19"/>
        <v>3.1641376146556645E-3</v>
      </c>
      <c r="K89" s="520"/>
      <c r="L89" s="163"/>
      <c r="M89" s="163"/>
      <c r="O89" s="324">
        <f t="shared" si="20"/>
        <v>0.94668060637741769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'[74]Sch C'!D78</f>
        <v>0</v>
      </c>
      <c r="D90" s="480">
        <f>'[74]Sch C'!F78</f>
        <v>0</v>
      </c>
      <c r="E90" s="480">
        <f>+'[74]Sch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520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'[74]Sch C'!D79</f>
        <v>6753</v>
      </c>
      <c r="D91" s="480">
        <f>'[74]Sch C'!F79</f>
        <v>0</v>
      </c>
      <c r="E91" s="480">
        <f>+'[74]Sch C'!H79</f>
        <v>0</v>
      </c>
      <c r="F91" s="166">
        <f t="shared" si="17"/>
        <v>6753</v>
      </c>
      <c r="G91" s="626"/>
      <c r="H91" s="166"/>
      <c r="I91" s="166">
        <f t="shared" si="18"/>
        <v>6753</v>
      </c>
      <c r="J91" s="167">
        <f t="shared" si="19"/>
        <v>5.8993432666398955E-4</v>
      </c>
      <c r="K91" s="520"/>
      <c r="L91" s="163"/>
      <c r="M91" s="163"/>
      <c r="O91" s="324">
        <f t="shared" si="20"/>
        <v>0.1765028750653424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'[74]Sch C'!D80</f>
        <v>19039</v>
      </c>
      <c r="D92" s="480">
        <f>'[74]Sch C'!F80</f>
        <v>0</v>
      </c>
      <c r="E92" s="480">
        <f>+'[74]Sch C'!H80</f>
        <v>0</v>
      </c>
      <c r="F92" s="166">
        <f t="shared" si="17"/>
        <v>19039</v>
      </c>
      <c r="G92" s="626"/>
      <c r="H92" s="166"/>
      <c r="I92" s="166">
        <f t="shared" si="18"/>
        <v>19039</v>
      </c>
      <c r="J92" s="167">
        <f t="shared" si="19"/>
        <v>1.6632251807131198E-3</v>
      </c>
      <c r="K92" s="520"/>
      <c r="L92" s="163"/>
      <c r="M92" s="163"/>
      <c r="O92" s="324">
        <f t="shared" si="20"/>
        <v>0.49762153685311028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'[74]Sch C'!D81</f>
        <v>43716</v>
      </c>
      <c r="D93" s="480">
        <f>'[74]Sch C'!F81</f>
        <v>0</v>
      </c>
      <c r="E93" s="480">
        <f>+'[74]Sch C'!H81</f>
        <v>0</v>
      </c>
      <c r="F93" s="166">
        <f t="shared" si="17"/>
        <v>43716</v>
      </c>
      <c r="G93" s="626"/>
      <c r="H93" s="166"/>
      <c r="I93" s="166">
        <f t="shared" si="18"/>
        <v>43716</v>
      </c>
      <c r="J93" s="167">
        <f t="shared" si="19"/>
        <v>3.8189795682575106E-3</v>
      </c>
      <c r="K93" s="520"/>
      <c r="L93" s="163"/>
      <c r="M93" s="163"/>
      <c r="O93" s="324">
        <f t="shared" si="20"/>
        <v>1.1426032409827496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'[74]Sch C'!D82</f>
        <v>29942</v>
      </c>
      <c r="D94" s="480">
        <f>'[74]Sch C'!F82</f>
        <v>0</v>
      </c>
      <c r="E94" s="480">
        <f>+'[74]Sch C'!H82</f>
        <v>0</v>
      </c>
      <c r="F94" s="166">
        <f t="shared" si="17"/>
        <v>29942</v>
      </c>
      <c r="G94" s="626"/>
      <c r="H94" s="166"/>
      <c r="I94" s="166">
        <f t="shared" si="18"/>
        <v>29942</v>
      </c>
      <c r="J94" s="167">
        <f t="shared" si="19"/>
        <v>2.6156987426289319E-3</v>
      </c>
      <c r="K94" s="520"/>
      <c r="L94" s="163"/>
      <c r="M94" s="163"/>
      <c r="O94" s="324">
        <f t="shared" si="20"/>
        <v>0.78259278619968631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'[74]Sch C'!D83</f>
        <v>11626</v>
      </c>
      <c r="D95" s="480">
        <f>'[74]Sch C'!F83</f>
        <v>0</v>
      </c>
      <c r="E95" s="480">
        <f>+'[74]Sch C'!H83</f>
        <v>0</v>
      </c>
      <c r="F95" s="166">
        <f t="shared" si="17"/>
        <v>11626</v>
      </c>
      <c r="G95" s="626"/>
      <c r="H95" s="166"/>
      <c r="I95" s="166">
        <f t="shared" si="18"/>
        <v>11626</v>
      </c>
      <c r="J95" s="167">
        <f t="shared" si="19"/>
        <v>1.0156340118163102E-3</v>
      </c>
      <c r="K95" s="520"/>
      <c r="L95" s="163"/>
      <c r="M95" s="163"/>
      <c r="O95" s="324">
        <f t="shared" si="20"/>
        <v>0.30386826973340303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'[74]Sch C'!D84</f>
        <v>222861</v>
      </c>
      <c r="D96" s="480">
        <f>'[74]Sch C'!F84</f>
        <v>0</v>
      </c>
      <c r="E96" s="480">
        <f>+'[74]Sch C'!H84</f>
        <v>0</v>
      </c>
      <c r="F96" s="166">
        <f t="shared" si="17"/>
        <v>222861</v>
      </c>
      <c r="G96" s="626"/>
      <c r="H96" s="166"/>
      <c r="I96" s="166">
        <f t="shared" si="18"/>
        <v>222861</v>
      </c>
      <c r="J96" s="167">
        <f t="shared" si="19"/>
        <v>1.9468881086134072E-2</v>
      </c>
      <c r="K96" s="520"/>
      <c r="L96" s="163"/>
      <c r="M96" s="163"/>
      <c r="O96" s="324">
        <f t="shared" si="20"/>
        <v>5.8249085206481963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'[74]Sch C'!D85</f>
        <v>300</v>
      </c>
      <c r="D97" s="480">
        <f>'[74]Sch C'!F85</f>
        <v>0</v>
      </c>
      <c r="E97" s="480">
        <f>+'[74]Sch C'!H85</f>
        <v>0</v>
      </c>
      <c r="F97" s="166">
        <f t="shared" si="17"/>
        <v>300</v>
      </c>
      <c r="G97" s="626"/>
      <c r="H97" s="166"/>
      <c r="I97" s="166">
        <f t="shared" si="18"/>
        <v>300</v>
      </c>
      <c r="J97" s="167">
        <f t="shared" si="19"/>
        <v>2.6207655560372705E-5</v>
      </c>
      <c r="K97" s="520"/>
      <c r="L97" s="163"/>
      <c r="M97" s="163"/>
      <c r="O97" s="324">
        <f t="shared" si="20"/>
        <v>7.8410872974385773E-3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479127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479127</v>
      </c>
      <c r="G98" s="166">
        <f t="shared" si="22"/>
        <v>0</v>
      </c>
      <c r="H98" s="166">
        <f t="shared" si="22"/>
        <v>0</v>
      </c>
      <c r="I98" s="166">
        <f t="shared" si="22"/>
        <v>479127</v>
      </c>
      <c r="J98" s="167">
        <f t="shared" si="19"/>
        <v>4.1855984618915647E-2</v>
      </c>
      <c r="K98" s="520"/>
      <c r="L98" s="163"/>
      <c r="M98" s="163"/>
      <c r="O98" s="329">
        <f>I98/I$233</f>
        <v>12.522922111866178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52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52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'[74]Sch C'!D89</f>
        <v>410004</v>
      </c>
      <c r="D101" s="480">
        <f>'[74]Sch C'!F89</f>
        <v>0</v>
      </c>
      <c r="E101" s="480">
        <f>+'[74]Sch C'!H89</f>
        <v>0</v>
      </c>
      <c r="F101" s="166">
        <f t="shared" ref="F101:F106" si="23">C101+D101+E101</f>
        <v>410004</v>
      </c>
      <c r="G101" s="626"/>
      <c r="H101" s="166"/>
      <c r="I101" s="166">
        <f t="shared" ref="I101:I106" si="24">F101+G101+H101</f>
        <v>410004</v>
      </c>
      <c r="J101" s="167">
        <f t="shared" ref="J101:J107" si="25">IF($I$213=0,0,I101/$I$213)</f>
        <v>3.5817478701250169E-2</v>
      </c>
      <c r="K101" s="520"/>
      <c r="L101" s="176">
        <v>34048</v>
      </c>
      <c r="M101" s="176">
        <v>35485</v>
      </c>
      <c r="O101" s="329">
        <f t="shared" ref="O101:O106" si="26">I101/I$233</f>
        <v>10.716257187663356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'[74]Sch C'!D90</f>
        <v>85795</v>
      </c>
      <c r="D102" s="480">
        <f>'[74]Sch C'!F90</f>
        <v>0</v>
      </c>
      <c r="E102" s="480">
        <f>+'[74]Sch C'!H90</f>
        <v>0</v>
      </c>
      <c r="F102" s="166">
        <f t="shared" si="23"/>
        <v>85795</v>
      </c>
      <c r="G102" s="626"/>
      <c r="H102" s="166"/>
      <c r="I102" s="166">
        <f t="shared" si="24"/>
        <v>85795</v>
      </c>
      <c r="J102" s="167">
        <f t="shared" si="25"/>
        <v>7.4949526960072545E-3</v>
      </c>
      <c r="K102" s="520"/>
      <c r="L102" s="163"/>
      <c r="M102" s="163"/>
      <c r="O102" s="329">
        <f t="shared" si="26"/>
        <v>2.2424202822791428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'[74]Sch C'!D91</f>
        <v>25761</v>
      </c>
      <c r="D103" s="480">
        <f>'[74]Sch C'!F91</f>
        <v>0</v>
      </c>
      <c r="E103" s="480">
        <f>+'[74]Sch C'!H91</f>
        <v>0</v>
      </c>
      <c r="F103" s="166">
        <f t="shared" si="23"/>
        <v>25761</v>
      </c>
      <c r="G103" s="626"/>
      <c r="H103" s="166"/>
      <c r="I103" s="166">
        <f t="shared" si="24"/>
        <v>25761</v>
      </c>
      <c r="J103" s="167">
        <f t="shared" si="25"/>
        <v>2.2504513829692042E-3</v>
      </c>
      <c r="K103" s="520"/>
      <c r="L103" s="163"/>
      <c r="M103" s="163"/>
      <c r="O103" s="329">
        <f t="shared" si="26"/>
        <v>0.67331416623105067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'[74]Sch C'!D92</f>
        <v>490422</v>
      </c>
      <c r="D104" s="480">
        <f>'[74]Sch C'!F92</f>
        <v>-3480</v>
      </c>
      <c r="E104" s="480">
        <f>+'[74]Sch C'!H92</f>
        <v>0</v>
      </c>
      <c r="F104" s="166">
        <f t="shared" si="23"/>
        <v>486942</v>
      </c>
      <c r="G104" s="626"/>
      <c r="H104" s="166"/>
      <c r="I104" s="166">
        <f t="shared" si="24"/>
        <v>486942</v>
      </c>
      <c r="J104" s="167">
        <f t="shared" si="25"/>
        <v>4.2538694046263356E-2</v>
      </c>
      <c r="K104" s="520"/>
      <c r="L104" s="163"/>
      <c r="M104" s="163"/>
      <c r="O104" s="329">
        <f t="shared" si="26"/>
        <v>12.727182435964453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'[74]Sch C'!D93</f>
        <v>24613</v>
      </c>
      <c r="D105" s="480">
        <f>'[74]Sch C'!F93</f>
        <v>0</v>
      </c>
      <c r="E105" s="480">
        <f>+'[74]Sch C'!H93</f>
        <v>0</v>
      </c>
      <c r="F105" s="166">
        <f t="shared" si="23"/>
        <v>24613</v>
      </c>
      <c r="G105" s="626"/>
      <c r="H105" s="166"/>
      <c r="I105" s="166">
        <f t="shared" si="24"/>
        <v>24613</v>
      </c>
      <c r="J105" s="167">
        <f t="shared" si="25"/>
        <v>2.1501634210248448E-3</v>
      </c>
      <c r="K105" s="520"/>
      <c r="L105" s="163"/>
      <c r="M105" s="163"/>
      <c r="O105" s="329">
        <f t="shared" si="26"/>
        <v>0.64330893883951912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'[74]Sch C'!D94</f>
        <v>75</v>
      </c>
      <c r="D106" s="480">
        <f>'[74]Sch C'!F94</f>
        <v>0</v>
      </c>
      <c r="E106" s="480">
        <f>+'[74]Sch C'!H94</f>
        <v>0</v>
      </c>
      <c r="F106" s="166">
        <f t="shared" si="23"/>
        <v>75</v>
      </c>
      <c r="G106" s="626"/>
      <c r="H106" s="166"/>
      <c r="I106" s="166">
        <f t="shared" si="24"/>
        <v>75</v>
      </c>
      <c r="J106" s="167">
        <f t="shared" si="25"/>
        <v>6.5519138900931763E-6</v>
      </c>
      <c r="K106" s="520"/>
      <c r="L106" s="163"/>
      <c r="M106" s="163"/>
      <c r="O106" s="329">
        <f t="shared" si="26"/>
        <v>1.9602718243596443E-3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1036670</v>
      </c>
      <c r="D107" s="480">
        <f t="shared" si="27"/>
        <v>-3480</v>
      </c>
      <c r="E107" s="480">
        <f t="shared" si="27"/>
        <v>0</v>
      </c>
      <c r="F107" s="166">
        <f t="shared" ref="F107:I107" si="28">SUM(F101:F106)</f>
        <v>1033190</v>
      </c>
      <c r="G107" s="166">
        <f t="shared" si="28"/>
        <v>0</v>
      </c>
      <c r="H107" s="166">
        <f t="shared" si="28"/>
        <v>0</v>
      </c>
      <c r="I107" s="166">
        <f t="shared" si="28"/>
        <v>1033190</v>
      </c>
      <c r="J107" s="167">
        <f t="shared" si="25"/>
        <v>9.0258292161404921E-2</v>
      </c>
      <c r="K107" s="520"/>
      <c r="L107" s="163"/>
      <c r="M107" s="163"/>
      <c r="O107" s="329">
        <f>I107/I$233</f>
        <v>27.004443282801883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52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52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'[74]Sch C'!D98</f>
        <v>53516</v>
      </c>
      <c r="D110" s="480">
        <f>'[74]Sch C'!F98</f>
        <v>0</v>
      </c>
      <c r="E110" s="480">
        <f>+'[74]Sch C'!H98</f>
        <v>0</v>
      </c>
      <c r="F110" s="166">
        <f t="shared" ref="F110:F115" si="29">C110+D110+E110</f>
        <v>53516</v>
      </c>
      <c r="G110" s="626"/>
      <c r="H110" s="166"/>
      <c r="I110" s="166">
        <f t="shared" ref="I110:I115" si="30">F110+G110+H110</f>
        <v>53516</v>
      </c>
      <c r="J110" s="167">
        <f t="shared" ref="J110:J116" si="31">IF($I$213=0,0,I110/$I$213)</f>
        <v>4.675096316563019E-3</v>
      </c>
      <c r="K110" s="520"/>
      <c r="L110" s="176">
        <v>5118</v>
      </c>
      <c r="M110" s="176">
        <v>5300</v>
      </c>
      <c r="O110" s="329">
        <f t="shared" ref="O110:O115" si="32">I110/I$233</f>
        <v>1.3987454260324099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'[74]Sch C'!D99</f>
        <v>7898</v>
      </c>
      <c r="D111" s="480">
        <f>'[74]Sch C'!F99</f>
        <v>0</v>
      </c>
      <c r="E111" s="480">
        <f>+'[74]Sch C'!H99</f>
        <v>0</v>
      </c>
      <c r="F111" s="166">
        <f t="shared" si="29"/>
        <v>7898</v>
      </c>
      <c r="G111" s="626"/>
      <c r="H111" s="166"/>
      <c r="I111" s="166">
        <f t="shared" si="30"/>
        <v>7898</v>
      </c>
      <c r="J111" s="167">
        <f t="shared" si="31"/>
        <v>6.8996021205274547E-4</v>
      </c>
      <c r="K111" s="520"/>
      <c r="L111" s="163"/>
      <c r="M111" s="163"/>
      <c r="O111" s="329">
        <f t="shared" si="32"/>
        <v>0.20642969158389962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'[74]Sch C'!D100</f>
        <v>4860</v>
      </c>
      <c r="D112" s="480">
        <f>'[74]Sch C'!F100</f>
        <v>0</v>
      </c>
      <c r="E112" s="480">
        <f>+'[74]Sch C'!H100</f>
        <v>0</v>
      </c>
      <c r="F112" s="166">
        <f t="shared" si="29"/>
        <v>4860</v>
      </c>
      <c r="G112" s="626"/>
      <c r="H112" s="166"/>
      <c r="I112" s="166">
        <f t="shared" si="30"/>
        <v>4860</v>
      </c>
      <c r="J112" s="167">
        <f t="shared" si="31"/>
        <v>4.2456402007803781E-4</v>
      </c>
      <c r="K112" s="520"/>
      <c r="L112" s="163"/>
      <c r="M112" s="163"/>
      <c r="O112" s="329">
        <f t="shared" si="32"/>
        <v>0.12702561421850497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'[74]Sch C'!D101</f>
        <v>0</v>
      </c>
      <c r="D113" s="480">
        <f>'[74]Sch C'!F101</f>
        <v>0</v>
      </c>
      <c r="E113" s="480">
        <f>+'[74]Sch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520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'[74]Sch C'!D102</f>
        <v>8451</v>
      </c>
      <c r="D114" s="480">
        <f>'[74]Sch C'!F102</f>
        <v>0</v>
      </c>
      <c r="E114" s="480">
        <f>+'[74]Sch C'!H102</f>
        <v>0</v>
      </c>
      <c r="F114" s="166">
        <f t="shared" si="29"/>
        <v>8451</v>
      </c>
      <c r="G114" s="626"/>
      <c r="H114" s="166"/>
      <c r="I114" s="166">
        <f t="shared" si="30"/>
        <v>8451</v>
      </c>
      <c r="J114" s="167">
        <f t="shared" si="31"/>
        <v>7.382696571356991E-4</v>
      </c>
      <c r="K114" s="520"/>
      <c r="L114" s="163"/>
      <c r="M114" s="163"/>
      <c r="O114" s="329">
        <f t="shared" si="32"/>
        <v>0.22088342916884474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'[74]Sch C'!D103</f>
        <v>0</v>
      </c>
      <c r="D115" s="480">
        <f>'[74]Sch C'!F103</f>
        <v>0</v>
      </c>
      <c r="E115" s="480">
        <f>+'[74]Sch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520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74725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74725</v>
      </c>
      <c r="G116" s="166">
        <f t="shared" si="34"/>
        <v>0</v>
      </c>
      <c r="H116" s="166">
        <f t="shared" si="34"/>
        <v>0</v>
      </c>
      <c r="I116" s="166">
        <f t="shared" si="34"/>
        <v>74725</v>
      </c>
      <c r="J116" s="167">
        <f t="shared" si="31"/>
        <v>6.5278902058295016E-3</v>
      </c>
      <c r="K116" s="520"/>
      <c r="L116" s="163"/>
      <c r="M116" s="163"/>
      <c r="O116" s="329">
        <f>I116/I$233</f>
        <v>1.9530841610036591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52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52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'[74]Sch C'!D115</f>
        <v>176854</v>
      </c>
      <c r="D119" s="480">
        <f>'[74]Sch C'!F115</f>
        <v>0</v>
      </c>
      <c r="E119" s="480">
        <f>+'[74]Sch C'!H115</f>
        <v>0</v>
      </c>
      <c r="F119" s="166">
        <f t="shared" ref="F119:F123" si="35">C119+D119+E119</f>
        <v>176854</v>
      </c>
      <c r="G119" s="626"/>
      <c r="H119" s="166"/>
      <c r="I119" s="166">
        <f t="shared" ref="I119:I123" si="36">F119+G119+H119</f>
        <v>176854</v>
      </c>
      <c r="J119" s="167">
        <f t="shared" ref="J119:J124" si="37">IF($I$213=0,0,I119/$I$213)</f>
        <v>1.5449762388247181E-2</v>
      </c>
      <c r="K119" s="520"/>
      <c r="L119" s="176">
        <v>16047</v>
      </c>
      <c r="M119" s="176">
        <v>16803</v>
      </c>
      <c r="O119" s="329">
        <f t="shared" ref="O119:O124" si="38">I119/I$233</f>
        <v>4.6224255096706743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'[74]Sch C'!D116</f>
        <v>29284</v>
      </c>
      <c r="D120" s="480">
        <f>'[74]Sch C'!F116</f>
        <v>0</v>
      </c>
      <c r="E120" s="480">
        <f>+'[74]Sch C'!H116</f>
        <v>0</v>
      </c>
      <c r="F120" s="166">
        <f t="shared" si="35"/>
        <v>29284</v>
      </c>
      <c r="G120" s="626"/>
      <c r="H120" s="166"/>
      <c r="I120" s="166">
        <f t="shared" si="36"/>
        <v>29284</v>
      </c>
      <c r="J120" s="167">
        <f t="shared" si="37"/>
        <v>2.5582166180998477E-3</v>
      </c>
      <c r="K120" s="520"/>
      <c r="L120" s="163"/>
      <c r="M120" s="163"/>
      <c r="O120" s="329">
        <f t="shared" si="38"/>
        <v>0.76539466806063772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'[74]Sch C'!D117</f>
        <v>86814</v>
      </c>
      <c r="D121" s="480">
        <f>'[74]Sch C'!F117</f>
        <v>0</v>
      </c>
      <c r="E121" s="480">
        <f>+'[74]Sch C'!H117</f>
        <v>0</v>
      </c>
      <c r="F121" s="166">
        <f t="shared" si="35"/>
        <v>86814</v>
      </c>
      <c r="G121" s="626"/>
      <c r="H121" s="166"/>
      <c r="I121" s="166">
        <f t="shared" si="36"/>
        <v>86814</v>
      </c>
      <c r="J121" s="167">
        <f t="shared" si="37"/>
        <v>7.5839713660606533E-3</v>
      </c>
      <c r="K121" s="520"/>
      <c r="L121" s="163"/>
      <c r="M121" s="163"/>
      <c r="O121" s="329">
        <f t="shared" si="38"/>
        <v>2.2690538421327759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'[74]Sch C'!D118</f>
        <v>0</v>
      </c>
      <c r="D122" s="480">
        <f>'[74]Sch C'!F118</f>
        <v>0</v>
      </c>
      <c r="E122" s="480">
        <f>+'[74]Sch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520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'[74]Sch C'!D119</f>
        <v>824</v>
      </c>
      <c r="D123" s="480">
        <f>'[74]Sch C'!F119</f>
        <v>0</v>
      </c>
      <c r="E123" s="480">
        <f>+'[74]Sch C'!H119</f>
        <v>0</v>
      </c>
      <c r="F123" s="166">
        <f t="shared" si="35"/>
        <v>824</v>
      </c>
      <c r="G123" s="626"/>
      <c r="H123" s="166"/>
      <c r="I123" s="166">
        <f t="shared" si="36"/>
        <v>824</v>
      </c>
      <c r="J123" s="167">
        <f t="shared" si="37"/>
        <v>7.1983693939157037E-5</v>
      </c>
      <c r="K123" s="520"/>
      <c r="L123" s="163"/>
      <c r="M123" s="163"/>
      <c r="O123" s="329">
        <f t="shared" si="38"/>
        <v>2.153685311029796E-2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293776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293776</v>
      </c>
      <c r="G124" s="166">
        <f t="shared" si="40"/>
        <v>0</v>
      </c>
      <c r="H124" s="166">
        <f t="shared" si="40"/>
        <v>0</v>
      </c>
      <c r="I124" s="166">
        <f t="shared" si="40"/>
        <v>293776</v>
      </c>
      <c r="J124" s="167">
        <f t="shared" si="37"/>
        <v>2.5663934066346841E-2</v>
      </c>
      <c r="K124" s="520"/>
      <c r="L124" s="163"/>
      <c r="M124" s="163"/>
      <c r="O124" s="329">
        <f t="shared" si="38"/>
        <v>7.6784108729743856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520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52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52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'[74]Sch C'!D124</f>
        <v>49941</v>
      </c>
      <c r="D128" s="480">
        <f>'[74]Sch C'!F124</f>
        <v>0</v>
      </c>
      <c r="E128" s="480">
        <f>+'[74]Sch C'!H124</f>
        <v>0</v>
      </c>
      <c r="F128" s="166">
        <f t="shared" ref="F128:F132" si="41">C128+D128+E128</f>
        <v>49941</v>
      </c>
      <c r="G128" s="626"/>
      <c r="H128" s="166"/>
      <c r="I128" s="166">
        <f t="shared" ref="I128:I132" si="42">F128+G128+H128</f>
        <v>49941</v>
      </c>
      <c r="J128" s="167">
        <f>IF($I$213=0,0,I128/$I$213)</f>
        <v>4.3627884211352441E-3</v>
      </c>
      <c r="K128" s="520"/>
      <c r="L128" s="176">
        <v>0</v>
      </c>
      <c r="M128" s="176">
        <v>0</v>
      </c>
      <c r="O128" s="329">
        <f t="shared" ref="O128:O165" si="43">I128/I$233</f>
        <v>1.3053058024046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'[74]Sch C'!D125</f>
        <v>425166</v>
      </c>
      <c r="D129" s="480">
        <f>'[74]Sch C'!F125</f>
        <v>0</v>
      </c>
      <c r="E129" s="480">
        <f>+'[74]Sch C'!H125</f>
        <v>0</v>
      </c>
      <c r="F129" s="166">
        <f t="shared" si="41"/>
        <v>425166</v>
      </c>
      <c r="G129" s="626"/>
      <c r="H129" s="166"/>
      <c r="I129" s="166">
        <f t="shared" si="42"/>
        <v>425166</v>
      </c>
      <c r="J129" s="167">
        <f>IF($I$213=0,0,I129/$I$213)</f>
        <v>3.7142013613271407E-2</v>
      </c>
      <c r="K129" s="520"/>
      <c r="L129" s="176">
        <v>12618</v>
      </c>
      <c r="M129" s="176">
        <v>13471</v>
      </c>
      <c r="O129" s="329">
        <f t="shared" si="43"/>
        <v>11.112545739675902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'[74]Sch C'!D126</f>
        <v>0</v>
      </c>
      <c r="D130" s="480">
        <f>'[74]Sch C'!F126</f>
        <v>0</v>
      </c>
      <c r="E130" s="480">
        <f>+'[74]Sch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520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'[74]Sch C'!D127</f>
        <v>0</v>
      </c>
      <c r="D131" s="480">
        <f>'[74]Sch C'!F127</f>
        <v>0</v>
      </c>
      <c r="E131" s="480">
        <f>+'[74]Sch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520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'[74]Sch C'!D128</f>
        <v>99754</v>
      </c>
      <c r="D132" s="480">
        <f>'[74]Sch C'!F128</f>
        <v>0</v>
      </c>
      <c r="E132" s="480">
        <f>+'[74]Sch C'!H128</f>
        <v>0</v>
      </c>
      <c r="F132" s="166">
        <f t="shared" si="41"/>
        <v>99754</v>
      </c>
      <c r="G132" s="626"/>
      <c r="H132" s="166"/>
      <c r="I132" s="166">
        <f t="shared" si="42"/>
        <v>99754</v>
      </c>
      <c r="J132" s="167">
        <f>IF($I$213=0,0,I132/$I$213)</f>
        <v>8.7143949092313971E-3</v>
      </c>
      <c r="K132" s="520"/>
      <c r="L132" s="176">
        <v>6575</v>
      </c>
      <c r="M132" s="176">
        <v>7155</v>
      </c>
      <c r="O132" s="329">
        <f t="shared" si="43"/>
        <v>2.60726607422896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573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'[74]Sch C'!D130</f>
        <v>0</v>
      </c>
      <c r="D134" s="480">
        <f>'[74]Sch C'!F130</f>
        <v>0</v>
      </c>
      <c r="E134" s="480">
        <f>+'[74]Sch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520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'[74]Sch C'!D131</f>
        <v>123302</v>
      </c>
      <c r="D135" s="480">
        <f>'[74]Sch C'!F131</f>
        <v>0</v>
      </c>
      <c r="E135" s="480">
        <f>+'[74]Sch C'!H131</f>
        <v>0</v>
      </c>
      <c r="F135" s="166">
        <f t="shared" si="44"/>
        <v>123302</v>
      </c>
      <c r="G135" s="626"/>
      <c r="H135" s="166"/>
      <c r="I135" s="166">
        <f t="shared" si="45"/>
        <v>123302</v>
      </c>
      <c r="J135" s="167">
        <f>IF($I$213=0,0,I135/$I$213)</f>
        <v>1.0771521153016918E-2</v>
      </c>
      <c r="K135" s="520"/>
      <c r="L135" s="196"/>
      <c r="M135" s="196"/>
      <c r="O135" s="329">
        <f t="shared" si="43"/>
        <v>3.2227391531625718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'[74]Sch C'!D132</f>
        <v>0</v>
      </c>
      <c r="D136" s="480">
        <f>'[74]Sch C'!F132</f>
        <v>0</v>
      </c>
      <c r="E136" s="480">
        <f>+'[74]Sch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520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'[74]Sch C'!D133</f>
        <v>0</v>
      </c>
      <c r="D137" s="480">
        <f>'[74]Sch C'!F133</f>
        <v>0</v>
      </c>
      <c r="E137" s="480">
        <f>+'[74]Sch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520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'[74]Sch C'!D134</f>
        <v>19071</v>
      </c>
      <c r="D138" s="480">
        <f>'[74]Sch C'!F134</f>
        <v>0</v>
      </c>
      <c r="E138" s="480">
        <f>+'[74]Sch C'!H134</f>
        <v>0</v>
      </c>
      <c r="F138" s="166">
        <f t="shared" si="44"/>
        <v>19071</v>
      </c>
      <c r="G138" s="626"/>
      <c r="H138" s="166"/>
      <c r="I138" s="166">
        <f t="shared" si="45"/>
        <v>19071</v>
      </c>
      <c r="J138" s="167">
        <f>IF($I$213=0,0,I138/$I$213)</f>
        <v>1.666020663972893E-3</v>
      </c>
      <c r="K138" s="520"/>
      <c r="L138" s="163"/>
      <c r="M138" s="163"/>
      <c r="O138" s="329">
        <f t="shared" si="43"/>
        <v>0.49845791949817042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574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'[74]Sch C'!D136</f>
        <v>1661125</v>
      </c>
      <c r="D140" s="480">
        <f>'[74]Sch C'!F136</f>
        <v>0</v>
      </c>
      <c r="E140" s="480">
        <f>+'[74]Sch C'!H136</f>
        <v>0</v>
      </c>
      <c r="F140" s="166">
        <f t="shared" ref="F140:F143" si="46">C140+D140+E140</f>
        <v>1661125</v>
      </c>
      <c r="G140" s="626"/>
      <c r="H140" s="166"/>
      <c r="I140" s="166">
        <f t="shared" ref="I140:I143" si="47">F140+G140+H140</f>
        <v>1661125</v>
      </c>
      <c r="J140" s="167">
        <f>IF($I$213=0,0,I140/$I$213)</f>
        <v>0.14511397280908037</v>
      </c>
      <c r="K140" s="520"/>
      <c r="L140" s="176">
        <v>71147</v>
      </c>
      <c r="M140" s="176">
        <v>74020</v>
      </c>
      <c r="O140" s="329">
        <f t="shared" si="43"/>
        <v>43.416753789858859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'[74]Sch C'!D137</f>
        <v>375335</v>
      </c>
      <c r="D141" s="480">
        <f>'[74]Sch C'!F137</f>
        <v>0</v>
      </c>
      <c r="E141" s="480">
        <f>+'[74]Sch C'!H137</f>
        <v>0</v>
      </c>
      <c r="F141" s="166">
        <f t="shared" si="46"/>
        <v>375335</v>
      </c>
      <c r="G141" s="626"/>
      <c r="H141" s="166"/>
      <c r="I141" s="166">
        <f t="shared" si="47"/>
        <v>375335</v>
      </c>
      <c r="J141" s="167">
        <f>IF($I$213=0,0,I141/$I$213)</f>
        <v>3.2788834665841635E-2</v>
      </c>
      <c r="K141" s="520"/>
      <c r="L141" s="176">
        <v>20526</v>
      </c>
      <c r="M141" s="176">
        <v>21476</v>
      </c>
      <c r="O141" s="329">
        <f t="shared" si="43"/>
        <v>9.8101150026136956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'[74]Sch C'!D138</f>
        <v>1747745</v>
      </c>
      <c r="D142" s="480">
        <f>'[74]Sch C'!F138</f>
        <v>117501</v>
      </c>
      <c r="E142" s="480">
        <f>+'[74]Sch C'!H138</f>
        <v>0</v>
      </c>
      <c r="F142" s="166">
        <f t="shared" si="46"/>
        <v>1865246</v>
      </c>
      <c r="G142" s="626"/>
      <c r="H142" s="166"/>
      <c r="I142" s="166">
        <f t="shared" si="47"/>
        <v>1865246</v>
      </c>
      <c r="J142" s="167">
        <f>IF($I$213=0,0,I142/$I$213)</f>
        <v>0.16294574901120984</v>
      </c>
      <c r="K142" s="520"/>
      <c r="L142" s="176">
        <v>187696</v>
      </c>
      <c r="M142" s="176">
        <v>204978</v>
      </c>
      <c r="O142" s="329">
        <f t="shared" si="43"/>
        <v>48.751855723993728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'[74]Sch C'!D139</f>
        <v>117501</v>
      </c>
      <c r="D143" s="480">
        <f>'[74]Sch C'!F139</f>
        <v>-117501</v>
      </c>
      <c r="E143" s="480">
        <f>+'[74]Sch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520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574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'[74]Sch C'!D141</f>
        <v>837315</v>
      </c>
      <c r="D145" s="480">
        <f>'[74]Sch C'!F141</f>
        <v>-480834</v>
      </c>
      <c r="E145" s="480">
        <f>+'[74]Sch C'!H141</f>
        <v>0</v>
      </c>
      <c r="F145" s="166">
        <f t="shared" ref="F145:F148" si="48">C145+D145+E145</f>
        <v>356481</v>
      </c>
      <c r="G145" s="626"/>
      <c r="H145" s="166"/>
      <c r="I145" s="166">
        <f t="shared" ref="I145:I148" si="49">F145+G145+H145</f>
        <v>356481</v>
      </c>
      <c r="J145" s="167">
        <f>IF($I$213=0,0,I145/$I$213)</f>
        <v>3.1141770872724076E-2</v>
      </c>
      <c r="K145" s="520"/>
      <c r="L145" s="163"/>
      <c r="M145" s="163"/>
      <c r="O145" s="329">
        <f t="shared" si="43"/>
        <v>9.3173288029273387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'[74]Sch C'!D142</f>
        <v>0</v>
      </c>
      <c r="D146" s="480">
        <f>'[74]Sch C'!F142</f>
        <v>80548</v>
      </c>
      <c r="E146" s="480">
        <f>+'[74]Sch C'!H142</f>
        <v>0</v>
      </c>
      <c r="F146" s="166">
        <f t="shared" si="48"/>
        <v>80548</v>
      </c>
      <c r="G146" s="626"/>
      <c r="H146" s="166"/>
      <c r="I146" s="166">
        <f t="shared" si="49"/>
        <v>80548</v>
      </c>
      <c r="J146" s="167">
        <f>IF($I$213=0,0,I146/$I$213)</f>
        <v>7.0365808002563358E-3</v>
      </c>
      <c r="K146" s="520"/>
      <c r="L146" s="163"/>
      <c r="M146" s="163"/>
      <c r="O146" s="329">
        <f t="shared" si="43"/>
        <v>2.1052796654469419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'[74]Sch C'!D143</f>
        <v>0</v>
      </c>
      <c r="D147" s="480">
        <f>'[74]Sch C'!F143</f>
        <v>400286</v>
      </c>
      <c r="E147" s="480">
        <f>+'[74]Sch C'!H143</f>
        <v>0</v>
      </c>
      <c r="F147" s="166">
        <f t="shared" si="48"/>
        <v>400286</v>
      </c>
      <c r="G147" s="626"/>
      <c r="H147" s="166"/>
      <c r="I147" s="166">
        <f t="shared" si="49"/>
        <v>400286</v>
      </c>
      <c r="J147" s="167">
        <f>IF($I$213=0,0,I147/$I$213)</f>
        <v>3.4968525378797827E-2</v>
      </c>
      <c r="K147" s="520"/>
      <c r="L147" s="163"/>
      <c r="M147" s="163"/>
      <c r="O147" s="329">
        <f t="shared" si="43"/>
        <v>10.462258233141663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'[74]Sch C'!D144</f>
        <v>0</v>
      </c>
      <c r="D148" s="480">
        <f>'[74]Sch C'!F144</f>
        <v>0</v>
      </c>
      <c r="E148" s="480">
        <f>+'[74]Sch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520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574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'[74]Sch C'!D146</f>
        <v>51780</v>
      </c>
      <c r="D150" s="480">
        <f>'[74]Sch C'!F146</f>
        <v>0</v>
      </c>
      <c r="E150" s="480">
        <f>+'[74]Sch C'!H146</f>
        <v>0</v>
      </c>
      <c r="F150" s="166">
        <f t="shared" ref="F150:F158" si="50">C150+D150+E150</f>
        <v>51780</v>
      </c>
      <c r="G150" s="626"/>
      <c r="H150" s="166"/>
      <c r="I150" s="166">
        <f t="shared" ref="I150:I158" si="51">F150+G150+H150</f>
        <v>51780</v>
      </c>
      <c r="J150" s="167">
        <f t="shared" ref="J150:J158" si="52">IF($I$213=0,0,I150/$I$213)</f>
        <v>4.5234413497203287E-3</v>
      </c>
      <c r="K150" s="520"/>
      <c r="L150" s="176">
        <v>286</v>
      </c>
      <c r="M150" s="176">
        <v>286</v>
      </c>
      <c r="O150" s="329">
        <f t="shared" si="43"/>
        <v>1.3533716675378986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'[74]Sch C'!D147</f>
        <v>0</v>
      </c>
      <c r="D151" s="480">
        <f>'[74]Sch C'!F147</f>
        <v>0</v>
      </c>
      <c r="E151" s="480">
        <f>+'[74]Sch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520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'[74]Sch C'!D148</f>
        <v>0</v>
      </c>
      <c r="D152" s="480">
        <f>'[74]Sch C'!F148</f>
        <v>0</v>
      </c>
      <c r="E152" s="480">
        <f>+'[74]Sch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520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'[74]Sch C'!D149</f>
        <v>0</v>
      </c>
      <c r="D153" s="480">
        <f>'[74]Sch C'!F149</f>
        <v>0</v>
      </c>
      <c r="E153" s="480">
        <f>+'[74]Sch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520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'[74]Sch C'!D150</f>
        <v>1380</v>
      </c>
      <c r="D154" s="480">
        <f>'[74]Sch C'!F150</f>
        <v>0</v>
      </c>
      <c r="E154" s="480">
        <f>+'[74]Sch C'!H150</f>
        <v>0</v>
      </c>
      <c r="F154" s="166">
        <f t="shared" si="50"/>
        <v>1380</v>
      </c>
      <c r="G154" s="626"/>
      <c r="H154" s="166"/>
      <c r="I154" s="166">
        <f t="shared" si="51"/>
        <v>1380</v>
      </c>
      <c r="J154" s="167">
        <f t="shared" si="52"/>
        <v>1.2055521557771445E-4</v>
      </c>
      <c r="K154" s="520"/>
      <c r="L154" s="176">
        <v>0</v>
      </c>
      <c r="M154" s="176">
        <v>0</v>
      </c>
      <c r="O154" s="329">
        <f t="shared" si="43"/>
        <v>3.6069001568217463E-2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'[74]Sch C'!D151</f>
        <v>136015</v>
      </c>
      <c r="D155" s="480">
        <f>'[74]Sch C'!F151</f>
        <v>0</v>
      </c>
      <c r="E155" s="480">
        <f>+'[74]Sch C'!H151</f>
        <v>0</v>
      </c>
      <c r="F155" s="166">
        <f t="shared" si="50"/>
        <v>136015</v>
      </c>
      <c r="G155" s="626"/>
      <c r="H155" s="166"/>
      <c r="I155" s="166">
        <f t="shared" si="51"/>
        <v>136015</v>
      </c>
      <c r="J155" s="167">
        <f t="shared" si="52"/>
        <v>1.1882114236813646E-2</v>
      </c>
      <c r="K155" s="520"/>
      <c r="L155" s="163"/>
      <c r="M155" s="163"/>
      <c r="O155" s="329">
        <f t="shared" si="43"/>
        <v>3.5550182958703607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'[74]Sch C'!D152</f>
        <v>13459</v>
      </c>
      <c r="D156" s="480">
        <f>'[74]Sch C'!F152</f>
        <v>0</v>
      </c>
      <c r="E156" s="480">
        <f>+'[74]Sch C'!H152</f>
        <v>0</v>
      </c>
      <c r="F156" s="166">
        <f t="shared" si="50"/>
        <v>13459</v>
      </c>
      <c r="G156" s="626"/>
      <c r="H156" s="166"/>
      <c r="I156" s="166">
        <f t="shared" si="51"/>
        <v>13459</v>
      </c>
      <c r="J156" s="167">
        <f t="shared" si="52"/>
        <v>1.1757627872901876E-3</v>
      </c>
      <c r="K156" s="520"/>
      <c r="L156" s="163"/>
      <c r="M156" s="163"/>
      <c r="O156" s="329">
        <f t="shared" si="43"/>
        <v>0.35177731312075272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'[74]Sch C'!D153</f>
        <v>0</v>
      </c>
      <c r="D157" s="480">
        <f>'[74]Sch C'!F153</f>
        <v>0</v>
      </c>
      <c r="E157" s="480">
        <f>+'[74]Sch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520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'[74]Sch C'!D154</f>
        <v>0</v>
      </c>
      <c r="D158" s="480">
        <f>'[74]Sch C'!F154</f>
        <v>0</v>
      </c>
      <c r="E158" s="480">
        <f>+'[74]Sch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520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520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'[74]Sch C'!D156</f>
        <v>0</v>
      </c>
      <c r="D160" s="480">
        <f>'[74]Sch C'!F156</f>
        <v>0</v>
      </c>
      <c r="E160" s="480">
        <f>+'[74]Sch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520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'[74]Sch C'!D157</f>
        <v>0</v>
      </c>
      <c r="D161" s="480">
        <f>'[74]Sch C'!F157</f>
        <v>0</v>
      </c>
      <c r="E161" s="480">
        <f>+'[74]Sch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520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'[74]Sch C'!D158</f>
        <v>1650</v>
      </c>
      <c r="D162" s="480">
        <f>'[74]Sch C'!F158</f>
        <v>0</v>
      </c>
      <c r="E162" s="480">
        <f>+'[74]Sch C'!H158</f>
        <v>0</v>
      </c>
      <c r="F162" s="166">
        <f t="shared" si="53"/>
        <v>1650</v>
      </c>
      <c r="G162" s="626"/>
      <c r="H162" s="166"/>
      <c r="I162" s="166">
        <f t="shared" si="54"/>
        <v>1650</v>
      </c>
      <c r="J162" s="167">
        <f t="shared" si="55"/>
        <v>1.4414210558204987E-4</v>
      </c>
      <c r="K162" s="520"/>
      <c r="L162" s="163"/>
      <c r="M162" s="163"/>
      <c r="O162" s="329">
        <f t="shared" si="43"/>
        <v>4.3125980135912179E-2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'[74]Sch C'!D159</f>
        <v>0</v>
      </c>
      <c r="D163" s="480">
        <f>'[74]Sch C'!F159</f>
        <v>0</v>
      </c>
      <c r="E163" s="480">
        <f>+'[74]Sch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520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'[74]Sch C'!D160</f>
        <v>0</v>
      </c>
      <c r="D164" s="480">
        <f>'[74]Sch C'!F160</f>
        <v>0</v>
      </c>
      <c r="E164" s="480">
        <f>+'[74]Sch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520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'[74]Sch C'!D161</f>
        <v>149823</v>
      </c>
      <c r="D165" s="480">
        <f>'[74]Sch C'!F161</f>
        <v>0</v>
      </c>
      <c r="E165" s="480">
        <f>+'[74]Sch C'!H161</f>
        <v>0</v>
      </c>
      <c r="F165" s="166">
        <f t="shared" si="53"/>
        <v>149823</v>
      </c>
      <c r="G165" s="626"/>
      <c r="H165" s="166"/>
      <c r="I165" s="166">
        <f t="shared" si="54"/>
        <v>149823</v>
      </c>
      <c r="J165" s="167">
        <f t="shared" si="55"/>
        <v>1.3088365263405732E-2</v>
      </c>
      <c r="K165" s="520"/>
      <c r="L165" s="163"/>
      <c r="M165" s="163"/>
      <c r="O165" s="329">
        <f t="shared" si="43"/>
        <v>3.9159174072138003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5810362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5810362</v>
      </c>
      <c r="G166" s="166">
        <f t="shared" si="57"/>
        <v>0</v>
      </c>
      <c r="H166" s="166">
        <f t="shared" si="57"/>
        <v>0</v>
      </c>
      <c r="I166" s="166">
        <f t="shared" si="57"/>
        <v>5810362</v>
      </c>
      <c r="J166" s="167">
        <f t="shared" si="55"/>
        <v>0.50758655325692759</v>
      </c>
      <c r="K166" s="520"/>
      <c r="L166" s="163"/>
      <c r="M166" s="163"/>
      <c r="O166" s="329">
        <f>I166/I$233</f>
        <v>151.86518557239938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520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520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'[74]Sch C'!D175</f>
        <v>0</v>
      </c>
      <c r="D169" s="480">
        <f>'[74]Sch C'!F175</f>
        <v>0</v>
      </c>
      <c r="E169" s="480">
        <f>+'[74]Sch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575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'[74]Sch C'!D176</f>
        <v>0</v>
      </c>
      <c r="D170" s="480">
        <f>'[74]Sch C'!F176</f>
        <v>0</v>
      </c>
      <c r="E170" s="480">
        <f>+'[74]Sch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576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'[74]Sch C'!D177</f>
        <v>0</v>
      </c>
      <c r="D171" s="480">
        <f>'[74]Sch C'!F177</f>
        <v>0</v>
      </c>
      <c r="E171" s="480">
        <f>+'[74]Sch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575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'[74]Sch C'!D178</f>
        <v>0</v>
      </c>
      <c r="D172" s="480">
        <f>'[74]Sch C'!F178</f>
        <v>0</v>
      </c>
      <c r="E172" s="480">
        <f>+'[74]Sch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576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'[74]Sch C'!D179</f>
        <v>0</v>
      </c>
      <c r="D173" s="480">
        <f>'[74]Sch C'!F179</f>
        <v>0</v>
      </c>
      <c r="E173" s="480">
        <f>+'[74]Sch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575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'[74]Sch C'!D180</f>
        <v>0</v>
      </c>
      <c r="D174" s="480">
        <f>'[74]Sch C'!F180</f>
        <v>0</v>
      </c>
      <c r="E174" s="480">
        <f>+'[74]Sch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576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'[74]Sch C'!D181</f>
        <v>0</v>
      </c>
      <c r="D175" s="480">
        <f>'[74]Sch C'!F181</f>
        <v>0</v>
      </c>
      <c r="E175" s="480">
        <f>+'[74]Sch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575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'[74]Sch C'!D182</f>
        <v>0</v>
      </c>
      <c r="D176" s="480">
        <f>'[74]Sch C'!F182</f>
        <v>0</v>
      </c>
      <c r="E176" s="480">
        <f>+'[74]Sch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576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'[74]Sch C'!D183</f>
        <v>0</v>
      </c>
      <c r="D177" s="480">
        <f>'[74]Sch C'!F183</f>
        <v>0</v>
      </c>
      <c r="E177" s="480">
        <f>+'[74]Sch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575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'[74]Sch C'!D184</f>
        <v>0</v>
      </c>
      <c r="D178" s="480">
        <f>'[74]Sch C'!F184</f>
        <v>0</v>
      </c>
      <c r="E178" s="480">
        <f>+'[74]Sch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576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'[74]Sch C'!D185</f>
        <v>0</v>
      </c>
      <c r="D179" s="480">
        <f>'[74]Sch C'!F185</f>
        <v>0</v>
      </c>
      <c r="E179" s="480">
        <f>+'[74]Sch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575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'[74]Sch C'!D186</f>
        <v>0</v>
      </c>
      <c r="D180" s="480">
        <f>'[74]Sch C'!F186</f>
        <v>0</v>
      </c>
      <c r="E180" s="480">
        <f>+'[74]Sch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577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'[74]Sch C'!D187</f>
        <v>0</v>
      </c>
      <c r="D181" s="480">
        <f>'[74]Sch C'!F187</f>
        <v>0</v>
      </c>
      <c r="E181" s="480">
        <f>+'[74]Sch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577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'[74]Sch C'!D188</f>
        <v>9860</v>
      </c>
      <c r="D182" s="480">
        <f>'[74]Sch C'!F188</f>
        <v>0</v>
      </c>
      <c r="E182" s="480">
        <f>+'[74]Sch C'!H188</f>
        <v>0</v>
      </c>
      <c r="F182" s="166">
        <f t="shared" si="58"/>
        <v>9860</v>
      </c>
      <c r="G182" s="626"/>
      <c r="H182" s="166"/>
      <c r="I182" s="166">
        <f t="shared" si="59"/>
        <v>9860</v>
      </c>
      <c r="J182" s="167">
        <f t="shared" si="60"/>
        <v>8.6135827941758293E-4</v>
      </c>
      <c r="K182" s="577"/>
      <c r="L182" s="213"/>
      <c r="M182" s="208"/>
      <c r="N182" s="210"/>
      <c r="O182" s="329">
        <f t="shared" si="61"/>
        <v>0.25771040250914795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'[74]Sch C'!D189</f>
        <v>0</v>
      </c>
      <c r="D183" s="480">
        <f>'[74]Sch C'!F189</f>
        <v>0</v>
      </c>
      <c r="E183" s="480">
        <f>+'[74]Sch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577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'[74]Sch C'!D190</f>
        <v>0</v>
      </c>
      <c r="D184" s="480">
        <f>'[74]Sch C'!F190</f>
        <v>0</v>
      </c>
      <c r="E184" s="480">
        <f>+'[74]Sch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577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'[74]Sch C'!D191</f>
        <v>0</v>
      </c>
      <c r="D185" s="480">
        <f>'[74]Sch C'!F191</f>
        <v>0</v>
      </c>
      <c r="E185" s="480">
        <f>+'[74]Sch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577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'[74]Sch C'!D192</f>
        <v>0</v>
      </c>
      <c r="D186" s="480">
        <f>'[74]Sch C'!F192</f>
        <v>0</v>
      </c>
      <c r="E186" s="480">
        <f>+'[74]Sch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577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'[74]Sch C'!D193</f>
        <v>43811</v>
      </c>
      <c r="D187" s="480">
        <f>'[74]Sch C'!F193</f>
        <v>0</v>
      </c>
      <c r="E187" s="480">
        <f>+'[74]Sch C'!H193</f>
        <v>0</v>
      </c>
      <c r="F187" s="166">
        <f t="shared" si="58"/>
        <v>43811</v>
      </c>
      <c r="G187" s="626"/>
      <c r="H187" s="166"/>
      <c r="I187" s="166">
        <f t="shared" si="59"/>
        <v>43811</v>
      </c>
      <c r="J187" s="167">
        <f t="shared" si="60"/>
        <v>3.8272786591849622E-3</v>
      </c>
      <c r="K187" s="577"/>
      <c r="L187" s="213"/>
      <c r="M187" s="208"/>
      <c r="N187" s="210"/>
      <c r="O187" s="329">
        <f t="shared" si="61"/>
        <v>1.1450862519602718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'[74]Sch C'!D194</f>
        <v>407107</v>
      </c>
      <c r="D188" s="480">
        <f>'[74]Sch C'!F194</f>
        <v>0</v>
      </c>
      <c r="E188" s="480">
        <f>+'[74]Sch C'!H194</f>
        <v>0</v>
      </c>
      <c r="F188" s="166">
        <f t="shared" si="58"/>
        <v>407107</v>
      </c>
      <c r="G188" s="626"/>
      <c r="H188" s="166"/>
      <c r="I188" s="166">
        <f t="shared" si="59"/>
        <v>407107</v>
      </c>
      <c r="J188" s="167">
        <f t="shared" si="60"/>
        <v>3.5564400107388837E-2</v>
      </c>
      <c r="K188" s="577"/>
      <c r="L188" s="213"/>
      <c r="M188" s="208"/>
      <c r="O188" s="329">
        <f t="shared" si="61"/>
        <v>10.640538421327758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'[74]Sch C'!D195</f>
        <v>209210</v>
      </c>
      <c r="D189" s="480">
        <f>'[74]Sch C'!F195</f>
        <v>0</v>
      </c>
      <c r="E189" s="480">
        <f>+'[74]Sch C'!H195</f>
        <v>0</v>
      </c>
      <c r="F189" s="166">
        <f t="shared" si="58"/>
        <v>209210</v>
      </c>
      <c r="G189" s="626"/>
      <c r="H189" s="166"/>
      <c r="I189" s="166">
        <f t="shared" si="59"/>
        <v>209210</v>
      </c>
      <c r="J189" s="167">
        <f t="shared" si="60"/>
        <v>1.8276345399285247E-2</v>
      </c>
      <c r="K189" s="577"/>
      <c r="L189" s="213"/>
      <c r="M189" s="208"/>
      <c r="O189" s="329">
        <f t="shared" si="61"/>
        <v>5.4681129116570828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'[74]Sch C'!D196</f>
        <v>0</v>
      </c>
      <c r="D190" s="480">
        <f>'[74]Sch C'!F196</f>
        <v>0</v>
      </c>
      <c r="E190" s="480">
        <f>+'[74]Sch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577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'[74]Sch C'!D197</f>
        <v>194606</v>
      </c>
      <c r="D191" s="480">
        <f>'[74]Sch C'!F197</f>
        <v>0</v>
      </c>
      <c r="E191" s="480">
        <f>+'[74]Sch C'!H197</f>
        <v>0</v>
      </c>
      <c r="F191" s="166">
        <f t="shared" si="58"/>
        <v>194606</v>
      </c>
      <c r="G191" s="626"/>
      <c r="H191" s="166"/>
      <c r="I191" s="166">
        <f t="shared" si="59"/>
        <v>194606</v>
      </c>
      <c r="J191" s="167">
        <f t="shared" si="60"/>
        <v>1.7000556726606303E-2</v>
      </c>
      <c r="K191" s="577"/>
      <c r="L191" s="213"/>
      <c r="M191" s="208"/>
      <c r="O191" s="329">
        <f t="shared" si="61"/>
        <v>5.0864087820177728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'[74]Sch C'!D198</f>
        <v>71531</v>
      </c>
      <c r="D192" s="480">
        <f>'[74]Sch C'!F198</f>
        <v>0</v>
      </c>
      <c r="E192" s="480">
        <f>+'[74]Sch C'!H198</f>
        <v>0</v>
      </c>
      <c r="F192" s="166">
        <f t="shared" si="58"/>
        <v>71531</v>
      </c>
      <c r="G192" s="626"/>
      <c r="H192" s="166"/>
      <c r="I192" s="166">
        <f t="shared" si="59"/>
        <v>71531</v>
      </c>
      <c r="J192" s="167">
        <f t="shared" si="60"/>
        <v>6.2488660329633999E-3</v>
      </c>
      <c r="K192" s="577"/>
      <c r="L192" s="213"/>
      <c r="M192" s="208"/>
      <c r="O192" s="329">
        <f t="shared" si="61"/>
        <v>1.8696027182435964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'[74]Sch C'!D199</f>
        <v>0</v>
      </c>
      <c r="D193" s="480">
        <f>'[74]Sch C'!F199</f>
        <v>0</v>
      </c>
      <c r="E193" s="480">
        <f>+'[74]Sch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577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'[74]Sch C'!D200</f>
        <v>0</v>
      </c>
      <c r="D194" s="480">
        <f>'[74]Sch C'!F200</f>
        <v>0</v>
      </c>
      <c r="E194" s="480">
        <f>+'[74]Sch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577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'[74]Sch C'!D201</f>
        <v>0</v>
      </c>
      <c r="D195" s="480">
        <f>'[74]Sch C'!F201</f>
        <v>0</v>
      </c>
      <c r="E195" s="480">
        <f>+'[74]Sch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577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'[74]Sch C'!D202</f>
        <v>0</v>
      </c>
      <c r="D196" s="480">
        <f>'[74]Sch C'!F202</f>
        <v>0</v>
      </c>
      <c r="E196" s="480">
        <f>+'[74]Sch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577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'[74]Sch C'!D203</f>
        <v>0</v>
      </c>
      <c r="D197" s="480">
        <f>'[74]Sch C'!F203</f>
        <v>0</v>
      </c>
      <c r="E197" s="480">
        <f>+'[74]Sch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577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'[74]Sch C'!D204</f>
        <v>0</v>
      </c>
      <c r="D198" s="480">
        <f>'[74]Sch C'!F204</f>
        <v>0</v>
      </c>
      <c r="E198" s="480">
        <f>+'[74]Sch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577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'[74]Sch C'!D205</f>
        <v>396380</v>
      </c>
      <c r="D199" s="480">
        <f>'[74]Sch C'!F205</f>
        <v>0</v>
      </c>
      <c r="E199" s="480">
        <f>+'[74]Sch C'!H205</f>
        <v>0</v>
      </c>
      <c r="F199" s="166">
        <f t="shared" si="58"/>
        <v>396380</v>
      </c>
      <c r="G199" s="626"/>
      <c r="H199" s="166"/>
      <c r="I199" s="166">
        <f t="shared" si="59"/>
        <v>396380</v>
      </c>
      <c r="J199" s="167">
        <f t="shared" si="60"/>
        <v>3.4627301703401774E-2</v>
      </c>
      <c r="K199" s="577"/>
      <c r="L199" s="213"/>
      <c r="M199" s="208"/>
      <c r="O199" s="329">
        <f t="shared" si="61"/>
        <v>10.360167276529012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'[74]Sch C'!D206</f>
        <v>10956</v>
      </c>
      <c r="D200" s="480">
        <f>'[74]Sch C'!F206</f>
        <v>0</v>
      </c>
      <c r="E200" s="480">
        <f>+'[74]Sch C'!H206</f>
        <v>0</v>
      </c>
      <c r="F200" s="166">
        <f t="shared" si="58"/>
        <v>10956</v>
      </c>
      <c r="G200" s="626"/>
      <c r="H200" s="166"/>
      <c r="I200" s="166">
        <f t="shared" si="59"/>
        <v>10956</v>
      </c>
      <c r="J200" s="167">
        <f t="shared" si="60"/>
        <v>9.5710358106481123E-4</v>
      </c>
      <c r="K200" s="577"/>
      <c r="L200" s="213"/>
      <c r="M200" s="208"/>
      <c r="O200" s="329">
        <f t="shared" si="61"/>
        <v>0.28635650810245689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'[74]Sch C'!D207</f>
        <v>0</v>
      </c>
      <c r="D201" s="480">
        <f>'[74]Sch C'!F207</f>
        <v>0</v>
      </c>
      <c r="E201" s="480">
        <f>+'[74]Sch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577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1343461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1343461</v>
      </c>
      <c r="G202" s="166">
        <f t="shared" si="63"/>
        <v>0</v>
      </c>
      <c r="H202" s="166">
        <f t="shared" si="63"/>
        <v>0</v>
      </c>
      <c r="I202" s="166">
        <f t="shared" si="63"/>
        <v>1343461</v>
      </c>
      <c r="J202" s="167">
        <f>IF($I$213=0,0,I202/$I$213)</f>
        <v>0.11736321048931292</v>
      </c>
      <c r="K202" s="520"/>
      <c r="L202" s="163"/>
      <c r="M202" s="163"/>
      <c r="O202" s="329">
        <f>I202/I$233</f>
        <v>35.113983272347099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52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52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'[74]Sch C'!D211</f>
        <v>315198</v>
      </c>
      <c r="D205" s="480">
        <f>'[74]Sch C'!F211</f>
        <v>0</v>
      </c>
      <c r="E205" s="480">
        <f>+'[74]Sch C'!H211</f>
        <v>0</v>
      </c>
      <c r="F205" s="166">
        <f t="shared" ref="F205:F210" si="64">C205+D205+E205</f>
        <v>315198</v>
      </c>
      <c r="G205" s="626"/>
      <c r="H205" s="166"/>
      <c r="I205" s="166">
        <f t="shared" ref="I205:I210" si="65">F205+G205+H205</f>
        <v>315198</v>
      </c>
      <c r="J205" s="167">
        <f t="shared" ref="J205:J211" si="66">IF($I$213=0,0,I205/$I$213)</f>
        <v>2.7535335391061188E-2</v>
      </c>
      <c r="K205" s="520"/>
      <c r="L205" s="176">
        <v>17862</v>
      </c>
      <c r="M205" s="176">
        <v>19021</v>
      </c>
      <c r="O205" s="329">
        <f t="shared" ref="O205:O210" si="67">I205/I$233</f>
        <v>8.2383167799268158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'[74]Sch C'!D212</f>
        <v>136850</v>
      </c>
      <c r="D206" s="480">
        <f>'[74]Sch C'!F212</f>
        <v>0</v>
      </c>
      <c r="E206" s="480">
        <f>+'[74]Sch C'!H212</f>
        <v>0</v>
      </c>
      <c r="F206" s="166">
        <f t="shared" si="64"/>
        <v>136850</v>
      </c>
      <c r="G206" s="626"/>
      <c r="H206" s="166"/>
      <c r="I206" s="166">
        <f t="shared" si="65"/>
        <v>136850</v>
      </c>
      <c r="J206" s="167">
        <f t="shared" si="66"/>
        <v>1.1955058878123349E-2</v>
      </c>
      <c r="K206" s="520"/>
      <c r="L206" s="163"/>
      <c r="M206" s="163"/>
      <c r="O206" s="329">
        <f t="shared" si="67"/>
        <v>3.576842655514898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'[74]Sch C'!D213</f>
        <v>11713</v>
      </c>
      <c r="D207" s="480">
        <f>'[74]Sch C'!F213</f>
        <v>0</v>
      </c>
      <c r="E207" s="480">
        <f>+'[74]Sch C'!H213</f>
        <v>0</v>
      </c>
      <c r="F207" s="166">
        <f t="shared" si="64"/>
        <v>11713</v>
      </c>
      <c r="G207" s="626"/>
      <c r="H207" s="166"/>
      <c r="I207" s="166">
        <f t="shared" si="65"/>
        <v>11713</v>
      </c>
      <c r="J207" s="167">
        <f t="shared" si="66"/>
        <v>1.0232342319288184E-3</v>
      </c>
      <c r="K207" s="520"/>
      <c r="L207" s="163"/>
      <c r="M207" s="163"/>
      <c r="O207" s="329">
        <f t="shared" si="67"/>
        <v>0.30614218504966023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'[74]Sch C'!D214</f>
        <v>0</v>
      </c>
      <c r="D208" s="480">
        <f>'[74]Sch C'!F214</f>
        <v>0</v>
      </c>
      <c r="E208" s="480">
        <f>+'[74]Sch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520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'[74]Sch C'!D215</f>
        <v>0</v>
      </c>
      <c r="D209" s="480">
        <f>'[74]Sch C'!F215</f>
        <v>0</v>
      </c>
      <c r="E209" s="480">
        <f>+'[74]Sch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520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'[74]Sch C'!D216</f>
        <v>8418</v>
      </c>
      <c r="D210" s="480">
        <f>'[74]Sch C'!F216</f>
        <v>0</v>
      </c>
      <c r="E210" s="480">
        <f>+'[74]Sch C'!H216</f>
        <v>0</v>
      </c>
      <c r="F210" s="166">
        <f t="shared" si="64"/>
        <v>8418</v>
      </c>
      <c r="G210" s="626"/>
      <c r="H210" s="166"/>
      <c r="I210" s="166">
        <f t="shared" si="65"/>
        <v>8418</v>
      </c>
      <c r="J210" s="167">
        <f t="shared" si="66"/>
        <v>7.353868150240581E-4</v>
      </c>
      <c r="K210" s="520"/>
      <c r="L210" s="163"/>
      <c r="M210" s="163"/>
      <c r="O210" s="329">
        <f t="shared" si="67"/>
        <v>0.22002090956612649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472179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472179</v>
      </c>
      <c r="G211" s="166">
        <f t="shared" si="69"/>
        <v>0</v>
      </c>
      <c r="H211" s="166">
        <f t="shared" si="69"/>
        <v>0</v>
      </c>
      <c r="I211" s="166">
        <f t="shared" si="69"/>
        <v>472179</v>
      </c>
      <c r="J211" s="167">
        <f t="shared" si="66"/>
        <v>4.1249015316137415E-2</v>
      </c>
      <c r="K211" s="520"/>
      <c r="L211" s="163"/>
      <c r="M211" s="163"/>
      <c r="O211" s="329">
        <f>I211/I$233</f>
        <v>12.341322530057502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12003806</v>
      </c>
      <c r="D213" s="480">
        <f t="shared" si="70"/>
        <v>-548742</v>
      </c>
      <c r="E213" s="480">
        <f t="shared" si="70"/>
        <v>0</v>
      </c>
      <c r="F213" s="166">
        <f t="shared" ref="F213:I213" si="71">SUM(F30:F211)/2</f>
        <v>11455064</v>
      </c>
      <c r="G213" s="166">
        <f t="shared" si="71"/>
        <v>-8027.1100000000006</v>
      </c>
      <c r="H213" s="166">
        <f t="shared" si="71"/>
        <v>0</v>
      </c>
      <c r="I213" s="166">
        <f t="shared" si="71"/>
        <v>11447036.890000001</v>
      </c>
      <c r="J213" s="167">
        <f>IF($I$213=0,0,I213/$I$213)</f>
        <v>1</v>
      </c>
      <c r="K213" s="458"/>
      <c r="L213" s="176">
        <f>SUM(L30:L205)</f>
        <v>401117</v>
      </c>
      <c r="M213" s="176">
        <f>SUM(M30:M205)</f>
        <v>429188</v>
      </c>
      <c r="O213" s="329">
        <f>I213/I$233</f>
        <v>299.19071850496601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'[74]Sch C'!D221</f>
        <v>12003806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466243</v>
      </c>
      <c r="D220" s="480">
        <f t="shared" si="72"/>
        <v>503169</v>
      </c>
      <c r="E220" s="480">
        <f t="shared" si="72"/>
        <v>0</v>
      </c>
      <c r="F220" s="166">
        <f t="shared" ref="F220:I220" si="73">F26-F213</f>
        <v>969412</v>
      </c>
      <c r="G220" s="166">
        <f t="shared" si="73"/>
        <v>8027.1100000000006</v>
      </c>
      <c r="H220" s="166">
        <f t="shared" si="73"/>
        <v>0</v>
      </c>
      <c r="I220" s="166">
        <f t="shared" si="73"/>
        <v>977439.1099999994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 ht="15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682" t="s">
        <v>629</v>
      </c>
      <c r="L223" s="163"/>
      <c r="M223" s="163"/>
    </row>
    <row r="224" spans="1:16">
      <c r="A224" s="158"/>
      <c r="B224" s="165" t="s">
        <v>202</v>
      </c>
      <c r="C224" s="504">
        <f>'[74]Sch D'!C9</f>
        <v>2666</v>
      </c>
      <c r="D224" s="480"/>
      <c r="E224" s="480"/>
      <c r="F224" s="224">
        <f>C224+D224+E224</f>
        <v>2666</v>
      </c>
      <c r="G224" s="631">
        <f>-2666+2738</f>
        <v>72</v>
      </c>
      <c r="H224" s="223"/>
      <c r="I224" s="224">
        <f>F224+G224+H224</f>
        <v>2738</v>
      </c>
      <c r="J224" s="167">
        <f t="shared" ref="J224:J233" si="74">IF($I$233=0,0,I224/$I$233)</f>
        <v>7.1562990067956092E-2</v>
      </c>
      <c r="K224" s="261" t="s">
        <v>630</v>
      </c>
      <c r="L224" s="163"/>
      <c r="M224" s="163"/>
    </row>
    <row r="225" spans="1:13">
      <c r="A225" s="158"/>
      <c r="B225" s="165" t="s">
        <v>201</v>
      </c>
      <c r="C225" s="504">
        <f>'[74]Sch D'!D9</f>
        <v>0</v>
      </c>
      <c r="D225" s="480"/>
      <c r="E225" s="480"/>
      <c r="F225" s="224">
        <f t="shared" ref="F225:F232" si="75">C225+D225+E225</f>
        <v>0</v>
      </c>
      <c r="G225" s="631"/>
      <c r="H225" s="223"/>
      <c r="I225" s="224">
        <f t="shared" ref="I225:I232" si="76">F225+G225+H225</f>
        <v>0</v>
      </c>
      <c r="J225" s="167">
        <f t="shared" si="74"/>
        <v>0</v>
      </c>
      <c r="K225" s="162"/>
      <c r="L225" s="163"/>
      <c r="M225" s="163"/>
    </row>
    <row r="226" spans="1:13">
      <c r="A226" s="158"/>
      <c r="B226" s="165" t="s">
        <v>64</v>
      </c>
      <c r="C226" s="504">
        <f>'[74]Sch D'!E9</f>
        <v>3805</v>
      </c>
      <c r="D226" s="480"/>
      <c r="E226" s="480"/>
      <c r="F226" s="224">
        <f t="shared" si="75"/>
        <v>3805</v>
      </c>
      <c r="G226" s="631">
        <f>-3805+3797</f>
        <v>-8</v>
      </c>
      <c r="H226" s="223"/>
      <c r="I226" s="224">
        <f t="shared" si="76"/>
        <v>3797</v>
      </c>
      <c r="J226" s="167">
        <f t="shared" si="74"/>
        <v>9.9242028227914267E-2</v>
      </c>
      <c r="K226" s="261" t="s">
        <v>630</v>
      </c>
      <c r="L226" s="163"/>
      <c r="M226" s="163"/>
    </row>
    <row r="227" spans="1:13">
      <c r="A227" s="158"/>
      <c r="B227" s="194" t="s">
        <v>315</v>
      </c>
      <c r="C227" s="504">
        <f>'[74]Sch D'!F9</f>
        <v>100</v>
      </c>
      <c r="D227" s="480"/>
      <c r="E227" s="480"/>
      <c r="F227" s="224">
        <f t="shared" si="75"/>
        <v>100</v>
      </c>
      <c r="G227" s="631">
        <f>-100+150</f>
        <v>50</v>
      </c>
      <c r="H227" s="223"/>
      <c r="I227" s="224">
        <f t="shared" si="76"/>
        <v>150</v>
      </c>
      <c r="J227" s="167">
        <f t="shared" si="74"/>
        <v>3.9205436487192886E-3</v>
      </c>
      <c r="K227" s="261" t="s">
        <v>630</v>
      </c>
      <c r="L227" s="163"/>
      <c r="M227" s="163"/>
    </row>
    <row r="228" spans="1:13">
      <c r="A228" s="158"/>
      <c r="B228" s="165" t="s">
        <v>65</v>
      </c>
      <c r="C228" s="504">
        <f>'[74]Sch D'!G9</f>
        <v>13038</v>
      </c>
      <c r="D228" s="480"/>
      <c r="E228" s="480"/>
      <c r="F228" s="224">
        <f t="shared" si="75"/>
        <v>13038</v>
      </c>
      <c r="G228" s="631">
        <f>-13038+13068</f>
        <v>30</v>
      </c>
      <c r="H228" s="223"/>
      <c r="I228" s="224">
        <f t="shared" si="76"/>
        <v>13068</v>
      </c>
      <c r="J228" s="167">
        <f t="shared" si="74"/>
        <v>0.34155776267642446</v>
      </c>
      <c r="K228" s="261" t="s">
        <v>630</v>
      </c>
      <c r="L228" s="163"/>
      <c r="M228" s="163"/>
    </row>
    <row r="229" spans="1:13">
      <c r="A229" s="158"/>
      <c r="B229" s="165" t="s">
        <v>66</v>
      </c>
      <c r="C229" s="504">
        <f>'[74]Sch D'!H9</f>
        <v>18484</v>
      </c>
      <c r="D229" s="480"/>
      <c r="E229" s="480"/>
      <c r="F229" s="224">
        <f t="shared" si="75"/>
        <v>18484</v>
      </c>
      <c r="G229" s="631">
        <f>-18484+18382</f>
        <v>-102</v>
      </c>
      <c r="H229" s="223"/>
      <c r="I229" s="224">
        <f t="shared" si="76"/>
        <v>18382</v>
      </c>
      <c r="J229" s="167">
        <f t="shared" si="74"/>
        <v>0.48044955567171982</v>
      </c>
      <c r="K229" s="261" t="s">
        <v>630</v>
      </c>
      <c r="L229" s="163"/>
      <c r="M229" s="163"/>
    </row>
    <row r="230" spans="1:13">
      <c r="A230" s="158"/>
      <c r="B230" s="165" t="s">
        <v>219</v>
      </c>
      <c r="C230" s="504">
        <f>'[74]Sch D'!I9</f>
        <v>18</v>
      </c>
      <c r="D230" s="480"/>
      <c r="E230" s="480"/>
      <c r="F230" s="224">
        <f t="shared" si="75"/>
        <v>18</v>
      </c>
      <c r="G230" s="631"/>
      <c r="H230" s="223"/>
      <c r="I230" s="224">
        <f t="shared" si="76"/>
        <v>18</v>
      </c>
      <c r="J230" s="167">
        <f t="shared" si="74"/>
        <v>4.7046523784631468E-4</v>
      </c>
      <c r="K230" s="162"/>
      <c r="L230" s="163"/>
      <c r="M230" s="163"/>
    </row>
    <row r="231" spans="1:13">
      <c r="A231" s="158"/>
      <c r="B231" s="165" t="s">
        <v>218</v>
      </c>
      <c r="C231" s="504">
        <f>'[74]Sch D'!J9</f>
        <v>0</v>
      </c>
      <c r="D231" s="480"/>
      <c r="E231" s="480"/>
      <c r="F231" s="224">
        <f t="shared" si="75"/>
        <v>0</v>
      </c>
      <c r="G231" s="631"/>
      <c r="H231" s="223"/>
      <c r="I231" s="224">
        <f t="shared" si="76"/>
        <v>0</v>
      </c>
      <c r="J231" s="167">
        <f>IF($I$233=0,0,I231/$I$233)</f>
        <v>0</v>
      </c>
      <c r="K231" s="162"/>
      <c r="L231" s="163"/>
      <c r="M231" s="163"/>
    </row>
    <row r="232" spans="1:13">
      <c r="A232" s="158"/>
      <c r="B232" s="165" t="s">
        <v>170</v>
      </c>
      <c r="C232" s="504">
        <f>'[74]Sch D'!K9</f>
        <v>149</v>
      </c>
      <c r="D232" s="480"/>
      <c r="E232" s="480"/>
      <c r="F232" s="224">
        <f t="shared" si="75"/>
        <v>149</v>
      </c>
      <c r="G232" s="631">
        <f>-149+107</f>
        <v>-42</v>
      </c>
      <c r="H232" s="223"/>
      <c r="I232" s="224">
        <f t="shared" si="76"/>
        <v>107</v>
      </c>
      <c r="J232" s="167">
        <f t="shared" si="74"/>
        <v>2.7966544694197596E-3</v>
      </c>
      <c r="K232" s="261" t="s">
        <v>630</v>
      </c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38260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38260</v>
      </c>
      <c r="G233" s="226">
        <f t="shared" si="78"/>
        <v>0</v>
      </c>
      <c r="H233" s="226">
        <f t="shared" si="78"/>
        <v>0</v>
      </c>
      <c r="I233" s="226">
        <f t="shared" si="78"/>
        <v>38260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'[74]Sch D'!N22</f>
        <v>108</v>
      </c>
      <c r="D236" s="480"/>
      <c r="E236" s="480"/>
      <c r="F236" s="224">
        <f>C236+E236</f>
        <v>108</v>
      </c>
      <c r="G236" s="627"/>
      <c r="H236" s="224"/>
      <c r="I236" s="224">
        <f>F236+G236+H236</f>
        <v>108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'[74]Sch D'!N24</f>
        <v>10</v>
      </c>
      <c r="D237" s="480"/>
      <c r="E237" s="480"/>
      <c r="F237" s="224">
        <f>C237+E237</f>
        <v>10</v>
      </c>
      <c r="G237" s="627"/>
      <c r="H237" s="441"/>
      <c r="I237" s="224">
        <f>F237+G237+H237</f>
        <v>10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30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'[74]Sch D'!N28</f>
        <v>39420</v>
      </c>
      <c r="D240" s="427"/>
      <c r="E240" s="427"/>
      <c r="F240" s="223">
        <f>F236*F238</f>
        <v>39420</v>
      </c>
      <c r="G240"/>
      <c r="H240" s="228"/>
      <c r="I240" s="223">
        <f>I236*I238</f>
        <v>39420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'[74]Sch D'!N30</f>
        <v>0.97057331303906647</v>
      </c>
      <c r="D241" s="228"/>
      <c r="E241" s="228"/>
      <c r="F241" s="232">
        <f>F233/F240</f>
        <v>0.97057331303906647</v>
      </c>
      <c r="G241"/>
      <c r="H241" s="233"/>
      <c r="I241" s="232">
        <f>I233/I240</f>
        <v>0.97057331303906647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'[74]Sch D'!N32</f>
        <v>6.7630644342973112E-2</v>
      </c>
      <c r="D242" s="228"/>
      <c r="E242" s="228"/>
      <c r="F242" s="232">
        <f>(F224+F225)/F240</f>
        <v>6.7630644342973112E-2</v>
      </c>
      <c r="G242"/>
      <c r="H242" s="233"/>
      <c r="I242" s="232">
        <f>(I224+I225)/I240</f>
        <v>6.9457128361237949E-2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'[74]Sch D'!N34</f>
        <v>6.9681129116570831E-2</v>
      </c>
      <c r="D243" s="228"/>
      <c r="E243" s="228"/>
      <c r="F243" s="232">
        <f>(F242/F241)</f>
        <v>6.9681129116570831E-2</v>
      </c>
      <c r="G243"/>
      <c r="H243" s="233"/>
      <c r="I243" s="232">
        <f>(I242/I241)</f>
        <v>7.1562990067956092E-2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'[74]Sch B'!C90</f>
        <v>224.79265791632486</v>
      </c>
      <c r="K246" s="460"/>
    </row>
    <row r="247" spans="1:13">
      <c r="H247" s="140" t="s">
        <v>322</v>
      </c>
      <c r="I247" s="480">
        <f>'[74]Sch B'!E90</f>
        <v>224.79263359591229</v>
      </c>
      <c r="K247" s="460"/>
    </row>
    <row r="248" spans="1:13">
      <c r="H248" s="140" t="s">
        <v>323</v>
      </c>
      <c r="I248" s="480">
        <f>'[74]Sch B'!G90</f>
        <v>224.79268566300203</v>
      </c>
      <c r="K248" s="460"/>
    </row>
    <row r="249" spans="1:13">
      <c r="H249" s="140" t="s">
        <v>324</v>
      </c>
      <c r="I249" s="480">
        <f>'[74]Sch B'!I90</f>
        <v>224.79277054333184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.75" right="0.75" top="1" bottom="1" header="0.5" footer="0.5"/>
  <pageSetup scale="36" fitToHeight="4" orientation="landscape" horizontalDpi="300" verticalDpi="300" r:id="rId1"/>
  <headerFooter alignWithMargins="0">
    <oddFooter>&amp;RLVT
&amp;D
&amp;T
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6">
    <tabColor rgb="FFE28CAB"/>
  </sheetPr>
  <dimension ref="A1:Q277"/>
  <sheetViews>
    <sheetView showGridLines="0" topLeftCell="A211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47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22"/>
      <c r="I1" s="422"/>
      <c r="J1" s="422"/>
      <c r="K1" s="420"/>
    </row>
    <row r="2" spans="1:16" ht="23">
      <c r="B2" s="141" t="s">
        <v>178</v>
      </c>
      <c r="C2" s="234" t="s">
        <v>451</v>
      </c>
      <c r="D2" s="234"/>
      <c r="E2" s="234"/>
      <c r="F2"/>
      <c r="G2"/>
      <c r="H2"/>
      <c r="I2"/>
      <c r="J2"/>
    </row>
    <row r="3" spans="1:16" ht="15.5">
      <c r="A3" s="143"/>
      <c r="B3" s="138" t="s">
        <v>71</v>
      </c>
      <c r="C3" s="557">
        <f>'[75]Sch A Pg 1'!B39</f>
        <v>42917</v>
      </c>
      <c r="D3" s="620"/>
      <c r="E3" s="342"/>
      <c r="F3" s="144"/>
      <c r="G3" s="144"/>
      <c r="H3" s="406"/>
      <c r="I3"/>
      <c r="J3"/>
    </row>
    <row r="4" spans="1:16" ht="15.5">
      <c r="A4" s="143"/>
      <c r="B4" s="145" t="s">
        <v>72</v>
      </c>
      <c r="C4" s="557">
        <f>'[75]Sch A Pg 1'!G39</f>
        <v>43281</v>
      </c>
      <c r="D4" s="620"/>
      <c r="E4" s="342"/>
      <c r="F4" s="146"/>
      <c r="G4" s="146"/>
      <c r="H4" s="406"/>
      <c r="I4"/>
      <c r="J4"/>
    </row>
    <row r="5" spans="1:16" ht="15.5">
      <c r="A5" s="143"/>
      <c r="B5" s="145"/>
      <c r="C5" s="148"/>
      <c r="D5" s="148"/>
      <c r="E5" s="142"/>
      <c r="H5" s="406"/>
      <c r="I5"/>
      <c r="J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9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4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4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/>
      <c r="D10"/>
      <c r="E1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434"/>
      <c r="D11" s="434"/>
      <c r="E11" s="434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'[75]Sch B'!E10</f>
        <v>1493560</v>
      </c>
      <c r="D12" s="480">
        <f>'[75]Sch B'!G10</f>
        <v>0</v>
      </c>
      <c r="E12" s="480"/>
      <c r="F12" s="166">
        <f>C12+D12+E12</f>
        <v>1493560</v>
      </c>
      <c r="G12" s="626"/>
      <c r="H12" s="610"/>
      <c r="I12" s="166">
        <f>F12+G12+H12</f>
        <v>1493560</v>
      </c>
      <c r="J12" s="167">
        <f>IF($I$26=0,0,I12/$I$26)</f>
        <v>0.42360209832732815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'[75]Sch B'!E12</f>
        <v>655004</v>
      </c>
      <c r="D13" s="480">
        <f>'[75]Sch B'!G12</f>
        <v>323970</v>
      </c>
      <c r="E13" s="480"/>
      <c r="F13" s="166">
        <f t="shared" ref="F13:F25" si="0">C13+D13+E13</f>
        <v>978974</v>
      </c>
      <c r="G13" s="626"/>
      <c r="H13" s="610"/>
      <c r="I13" s="166">
        <f t="shared" ref="I13:I25" si="1">F13+G13+H13</f>
        <v>978974</v>
      </c>
      <c r="J13" s="167">
        <f>IF($I$26=0,0,I13/$I$26)</f>
        <v>0.27765569552471797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'[75]Sch B'!E13</f>
        <v>0</v>
      </c>
      <c r="D14" s="480">
        <f>'[75]Sch B'!G13</f>
        <v>0</v>
      </c>
      <c r="E14" s="480"/>
      <c r="F14" s="166">
        <f t="shared" si="0"/>
        <v>0</v>
      </c>
      <c r="G14" s="626"/>
      <c r="H14" s="610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'[75]Sch B'!E14</f>
        <v>24212</v>
      </c>
      <c r="D15" s="480">
        <f>'[75]Sch B'!G14</f>
        <v>0</v>
      </c>
      <c r="E15" s="480"/>
      <c r="F15" s="166">
        <f t="shared" si="0"/>
        <v>24212</v>
      </c>
      <c r="G15" s="626"/>
      <c r="H15" s="610"/>
      <c r="I15" s="166">
        <f t="shared" si="1"/>
        <v>24212</v>
      </c>
      <c r="J15" s="167">
        <f>IF($I$26=0,0,I15/$I$26)</f>
        <v>6.8669849250791865E-3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'[75]Sch B'!E15</f>
        <v>2172776</v>
      </c>
      <c r="D16" s="480">
        <f>'[75]Sch B'!G15</f>
        <v>323970</v>
      </c>
      <c r="E16" s="480"/>
      <c r="F16" s="166">
        <f t="shared" si="0"/>
        <v>2496746</v>
      </c>
      <c r="G16" s="626"/>
      <c r="H16" s="610"/>
      <c r="I16" s="166">
        <f>SUM(I12:I15)</f>
        <v>2496746</v>
      </c>
      <c r="J16" s="167">
        <f t="shared" ref="J16:J26" si="2">IF($I$26=0,0,I16/$I$26)</f>
        <v>0.70812477877712532</v>
      </c>
      <c r="K16" s="458"/>
      <c r="L16" s="333" t="s">
        <v>325</v>
      </c>
      <c r="M16" s="334">
        <f>I26</f>
        <v>3525856</v>
      </c>
      <c r="O16" s="324">
        <f>IFERROR(I16/I224,0)</f>
        <v>329.12549433166362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'[75]Sch B'!E20</f>
        <v>0</v>
      </c>
      <c r="D17" s="480">
        <f>'[75]Sch B'!G20</f>
        <v>0</v>
      </c>
      <c r="E17" s="480"/>
      <c r="F17" s="166">
        <f t="shared" si="0"/>
        <v>0</v>
      </c>
      <c r="G17" s="626"/>
      <c r="H17" s="610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2330060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'[75]Sch B'!E26</f>
        <v>907780</v>
      </c>
      <c r="D18" s="480">
        <f>'[75]Sch B'!G26</f>
        <v>0</v>
      </c>
      <c r="E18" s="480"/>
      <c r="F18" s="166">
        <f t="shared" si="0"/>
        <v>907780</v>
      </c>
      <c r="G18" s="626"/>
      <c r="H18" s="610"/>
      <c r="I18" s="166">
        <f t="shared" si="1"/>
        <v>907780</v>
      </c>
      <c r="J18" s="167">
        <f t="shared" si="2"/>
        <v>0.25746371944855378</v>
      </c>
      <c r="K18" s="458"/>
      <c r="L18" s="335" t="s">
        <v>327</v>
      </c>
      <c r="M18" s="336">
        <f>I233</f>
        <v>9930</v>
      </c>
      <c r="O18" s="324">
        <f t="shared" si="3"/>
        <v>498.23271130625687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'[75]Sch B'!E32</f>
        <v>-548</v>
      </c>
      <c r="D19" s="480">
        <f>'[75]Sch B'!G32</f>
        <v>0</v>
      </c>
      <c r="E19" s="480"/>
      <c r="F19" s="166">
        <f t="shared" si="0"/>
        <v>-548</v>
      </c>
      <c r="G19" s="626"/>
      <c r="H19" s="610"/>
      <c r="I19" s="166">
        <f t="shared" si="1"/>
        <v>-548</v>
      </c>
      <c r="J19" s="170">
        <f t="shared" si="2"/>
        <v>-1.5542325041068041E-4</v>
      </c>
      <c r="K19" s="464"/>
      <c r="L19" s="335" t="s">
        <v>328</v>
      </c>
      <c r="M19" s="336">
        <f>I236</f>
        <v>29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'[75]Sch B'!E37</f>
        <v>0</v>
      </c>
      <c r="D20" s="480">
        <f>'[75]Sch B'!G37</f>
        <v>0</v>
      </c>
      <c r="E20" s="480"/>
      <c r="F20" s="166">
        <f t="shared" si="0"/>
        <v>0</v>
      </c>
      <c r="G20" s="626"/>
      <c r="H20" s="610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10585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'[75]Sch B'!E42</f>
        <v>121704</v>
      </c>
      <c r="D21" s="480">
        <f>'[75]Sch B'!G42</f>
        <v>0</v>
      </c>
      <c r="E21" s="480"/>
      <c r="F21" s="166">
        <f t="shared" si="0"/>
        <v>121704</v>
      </c>
      <c r="G21" s="626"/>
      <c r="H21" s="610"/>
      <c r="I21" s="166">
        <f t="shared" si="1"/>
        <v>121704</v>
      </c>
      <c r="J21" s="167">
        <f t="shared" si="2"/>
        <v>3.4517575306535493E-2</v>
      </c>
      <c r="K21" s="458"/>
      <c r="L21" s="337"/>
      <c r="M21" s="336"/>
      <c r="O21" s="324">
        <f t="shared" si="3"/>
        <v>233.14942528735631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'[75]Sch B'!E47</f>
        <v>191</v>
      </c>
      <c r="D22" s="480">
        <f>'[75]Sch B'!G47</f>
        <v>0</v>
      </c>
      <c r="E22" s="480"/>
      <c r="F22" s="166">
        <f t="shared" si="0"/>
        <v>191</v>
      </c>
      <c r="G22" s="626"/>
      <c r="H22" s="610"/>
      <c r="I22" s="166">
        <f t="shared" si="1"/>
        <v>191</v>
      </c>
      <c r="J22" s="167">
        <f t="shared" si="2"/>
        <v>5.417124238766416E-5</v>
      </c>
      <c r="K22" s="458"/>
      <c r="L22" s="335" t="s">
        <v>148</v>
      </c>
      <c r="M22" s="336">
        <f>L213</f>
        <v>47893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'[75]Sch B'!E52</f>
        <v>0</v>
      </c>
      <c r="D23" s="480">
        <f>'[75]Sch B'!G52</f>
        <v>0</v>
      </c>
      <c r="E23" s="480"/>
      <c r="F23" s="166">
        <f t="shared" si="0"/>
        <v>0</v>
      </c>
      <c r="G23" s="626"/>
      <c r="H23" s="610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48673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'[75]Sch B'!E57</f>
        <v>0</v>
      </c>
      <c r="D24" s="480">
        <f>'[75]Sch B'!G57</f>
        <v>0</v>
      </c>
      <c r="E24" s="480"/>
      <c r="F24" s="166">
        <f t="shared" si="0"/>
        <v>0</v>
      </c>
      <c r="G24" s="626"/>
      <c r="H24" s="610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'[75]Sch B'!E72</f>
        <v>3173</v>
      </c>
      <c r="D25" s="480">
        <f>'[75]Sch B'!G72</f>
        <v>0</v>
      </c>
      <c r="E25" s="480"/>
      <c r="F25" s="166">
        <f t="shared" si="0"/>
        <v>3173</v>
      </c>
      <c r="G25" s="626">
        <v>-3190</v>
      </c>
      <c r="H25" s="610"/>
      <c r="I25" s="166">
        <f t="shared" si="1"/>
        <v>-17</v>
      </c>
      <c r="J25" s="167">
        <f t="shared" si="2"/>
        <v>-4.8215241915722026E-6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3205076</v>
      </c>
      <c r="D26" s="480">
        <f t="shared" ref="D26:F26" si="4">SUM(D16:D25)</f>
        <v>323970</v>
      </c>
      <c r="E26" s="480">
        <f t="shared" si="4"/>
        <v>0</v>
      </c>
      <c r="F26" s="166">
        <f t="shared" si="4"/>
        <v>3529046</v>
      </c>
      <c r="G26" s="166">
        <f>SUM(G12:G25)</f>
        <v>-3190</v>
      </c>
      <c r="H26" s="166">
        <f>SUM(H12:H25)</f>
        <v>0</v>
      </c>
      <c r="I26" s="166">
        <f>SUM(I16:I25)</f>
        <v>3525856</v>
      </c>
      <c r="J26" s="167">
        <f t="shared" si="2"/>
        <v>1</v>
      </c>
      <c r="K26" s="458"/>
      <c r="L26" s="163"/>
      <c r="M26" s="163"/>
      <c r="O26" s="324">
        <f>IFERROR(I26/I233,0)</f>
        <v>355.07109768378649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45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345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'[75]Sch C'!D10</f>
        <v>129939</v>
      </c>
      <c r="D30" s="480">
        <f>'[75]Sch C'!F10</f>
        <v>0</v>
      </c>
      <c r="E30" s="480">
        <f>+'[75]Sch C'!H10</f>
        <v>0</v>
      </c>
      <c r="F30" s="166">
        <f t="shared" ref="F30:F65" si="5">C30+D30+E30</f>
        <v>129939</v>
      </c>
      <c r="G30" s="626"/>
      <c r="H30" s="610"/>
      <c r="I30" s="166">
        <f t="shared" ref="I30:I65" si="6">F30+G30+H30</f>
        <v>129939</v>
      </c>
      <c r="J30" s="167">
        <f>IF($I$213=0,0,I30/$I$213)</f>
        <v>5.5766375114803909E-2</v>
      </c>
      <c r="K30" s="458"/>
      <c r="L30" s="176">
        <v>2000</v>
      </c>
      <c r="M30" s="176">
        <v>2088</v>
      </c>
      <c r="O30" s="324">
        <f>I30/I$233</f>
        <v>13.085498489425982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'[75]Sch C'!D11</f>
        <v>0</v>
      </c>
      <c r="D31" s="480">
        <f>'[75]Sch C'!F11</f>
        <v>0</v>
      </c>
      <c r="E31" s="480">
        <f>+'[75]Sch C'!H11</f>
        <v>0</v>
      </c>
      <c r="F31" s="166">
        <f t="shared" si="5"/>
        <v>0</v>
      </c>
      <c r="G31" s="626"/>
      <c r="H31" s="610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'[75]Sch C'!D12</f>
        <v>42763</v>
      </c>
      <c r="D32" s="480">
        <f>'[75]Sch C'!F12</f>
        <v>0</v>
      </c>
      <c r="E32" s="480">
        <f>+'[75]Sch C'!H12</f>
        <v>0</v>
      </c>
      <c r="F32" s="166">
        <f t="shared" si="5"/>
        <v>42763</v>
      </c>
      <c r="G32" s="626"/>
      <c r="H32" s="610"/>
      <c r="I32" s="166">
        <f t="shared" si="6"/>
        <v>42763</v>
      </c>
      <c r="J32" s="167">
        <f t="shared" si="7"/>
        <v>1.8352746281211644E-2</v>
      </c>
      <c r="K32" s="458"/>
      <c r="L32" s="176">
        <v>1885</v>
      </c>
      <c r="M32" s="176">
        <v>1930</v>
      </c>
      <c r="O32" s="324">
        <f t="shared" si="8"/>
        <v>4.3064451158106749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'[75]Sch C'!D13</f>
        <v>70616</v>
      </c>
      <c r="D33" s="480">
        <f>'[75]Sch C'!F13</f>
        <v>-49839</v>
      </c>
      <c r="E33" s="480">
        <f>+'[75]Sch C'!H13</f>
        <v>0</v>
      </c>
      <c r="F33" s="166">
        <f t="shared" si="5"/>
        <v>20777</v>
      </c>
      <c r="G33" s="626"/>
      <c r="H33" s="610"/>
      <c r="I33" s="166">
        <f t="shared" si="6"/>
        <v>20777</v>
      </c>
      <c r="J33" s="167">
        <f t="shared" si="7"/>
        <v>8.9169377612593661E-3</v>
      </c>
      <c r="K33" s="458"/>
      <c r="L33" s="163"/>
      <c r="M33" s="163"/>
      <c r="O33" s="324">
        <f t="shared" si="8"/>
        <v>2.0923464249748238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'[75]Sch C'!D14</f>
        <v>0</v>
      </c>
      <c r="D34" s="480">
        <f>'[75]Sch C'!F14</f>
        <v>0</v>
      </c>
      <c r="E34" s="480">
        <f>+'[75]Sch C'!H14</f>
        <v>0</v>
      </c>
      <c r="F34" s="166">
        <f t="shared" si="5"/>
        <v>0</v>
      </c>
      <c r="G34" s="626"/>
      <c r="H34" s="610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'[75]Sch C'!D15</f>
        <v>388386</v>
      </c>
      <c r="D35" s="480">
        <f>'[75]Sch C'!F15</f>
        <v>0</v>
      </c>
      <c r="E35" s="480">
        <f>+'[75]Sch C'!H15</f>
        <v>-388386</v>
      </c>
      <c r="F35" s="166">
        <f t="shared" si="5"/>
        <v>0</v>
      </c>
      <c r="G35" s="626"/>
      <c r="H35" s="610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'[75]Sch C'!D16</f>
        <v>52200</v>
      </c>
      <c r="D36" s="480">
        <f>'[75]Sch C'!F16</f>
        <v>0</v>
      </c>
      <c r="E36" s="480">
        <f>+'[75]Sch C'!H16</f>
        <v>18958</v>
      </c>
      <c r="F36" s="166">
        <f t="shared" si="5"/>
        <v>71158</v>
      </c>
      <c r="G36" s="626"/>
      <c r="H36" s="610"/>
      <c r="I36" s="166">
        <f t="shared" si="6"/>
        <v>71158</v>
      </c>
      <c r="J36" s="167">
        <f t="shared" si="7"/>
        <v>3.0539127747783317E-2</v>
      </c>
      <c r="K36" s="458"/>
      <c r="L36" s="163"/>
      <c r="M36" s="163"/>
      <c r="O36" s="324">
        <f t="shared" si="8"/>
        <v>7.1659617321248739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'[75]Sch C'!D17</f>
        <v>3467</v>
      </c>
      <c r="D37" s="480">
        <f>'[75]Sch C'!F17</f>
        <v>-3467</v>
      </c>
      <c r="E37" s="480">
        <f>+'[75]Sch C'!H17</f>
        <v>0</v>
      </c>
      <c r="F37" s="166">
        <f t="shared" si="5"/>
        <v>0</v>
      </c>
      <c r="G37" s="626"/>
      <c r="H37" s="610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'[75]Sch C'!D18</f>
        <v>5898</v>
      </c>
      <c r="D38" s="480">
        <f>'[75]Sch C'!F18</f>
        <v>0</v>
      </c>
      <c r="E38" s="480">
        <f>+'[75]Sch C'!H18</f>
        <v>0</v>
      </c>
      <c r="F38" s="166">
        <f t="shared" si="5"/>
        <v>5898</v>
      </c>
      <c r="G38" s="626"/>
      <c r="H38" s="610"/>
      <c r="I38" s="166">
        <f t="shared" si="6"/>
        <v>5898</v>
      </c>
      <c r="J38" s="167">
        <f t="shared" si="7"/>
        <v>2.5312652893058549E-3</v>
      </c>
      <c r="K38" s="458"/>
      <c r="L38" s="163"/>
      <c r="M38" s="163"/>
      <c r="O38" s="324">
        <f t="shared" si="8"/>
        <v>0.59395770392749248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'[75]Sch C'!D19</f>
        <v>17904</v>
      </c>
      <c r="D39" s="480">
        <f>'[75]Sch C'!F19</f>
        <v>0</v>
      </c>
      <c r="E39" s="480">
        <f>+'[75]Sch C'!H19</f>
        <v>0</v>
      </c>
      <c r="F39" s="166">
        <f t="shared" si="5"/>
        <v>17904</v>
      </c>
      <c r="G39" s="626"/>
      <c r="H39" s="610"/>
      <c r="I39" s="166">
        <f t="shared" si="6"/>
        <v>17904</v>
      </c>
      <c r="J39" s="167">
        <f t="shared" si="7"/>
        <v>7.6839223024299805E-3</v>
      </c>
      <c r="K39" s="458"/>
      <c r="L39" s="163"/>
      <c r="M39" s="163"/>
      <c r="O39" s="324">
        <f t="shared" si="8"/>
        <v>1.8030211480362537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'[75]Sch C'!D20</f>
        <v>11474</v>
      </c>
      <c r="D40" s="480">
        <f>'[75]Sch C'!F20</f>
        <v>0</v>
      </c>
      <c r="E40" s="480">
        <f>+'[75]Sch C'!H20</f>
        <v>0</v>
      </c>
      <c r="F40" s="166">
        <f t="shared" si="5"/>
        <v>11474</v>
      </c>
      <c r="G40" s="626">
        <v>-3190</v>
      </c>
      <c r="H40" s="610"/>
      <c r="I40" s="166">
        <f t="shared" si="6"/>
        <v>8284</v>
      </c>
      <c r="J40" s="167">
        <f t="shared" si="7"/>
        <v>3.5552732547659716E-3</v>
      </c>
      <c r="K40" s="458"/>
      <c r="L40" s="163"/>
      <c r="M40" s="163"/>
      <c r="O40" s="324">
        <f t="shared" si="8"/>
        <v>0.83423967774420948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'[75]Sch C'!D21</f>
        <v>16224</v>
      </c>
      <c r="D41" s="480">
        <f>'[75]Sch C'!F21</f>
        <v>0</v>
      </c>
      <c r="E41" s="480">
        <f>+'[75]Sch C'!H21</f>
        <v>0</v>
      </c>
      <c r="F41" s="166">
        <f t="shared" si="5"/>
        <v>16224</v>
      </c>
      <c r="G41" s="626"/>
      <c r="H41" s="610"/>
      <c r="I41" s="166">
        <f t="shared" si="6"/>
        <v>16224</v>
      </c>
      <c r="J41" s="167">
        <f t="shared" si="7"/>
        <v>6.9629108263306524E-3</v>
      </c>
      <c r="K41" s="458"/>
      <c r="L41" s="163"/>
      <c r="M41" s="163"/>
      <c r="O41" s="324">
        <f t="shared" si="8"/>
        <v>1.6338368580060423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'[75]Sch C'!D22</f>
        <v>0</v>
      </c>
      <c r="D42" s="480">
        <f>'[75]Sch C'!F22</f>
        <v>0</v>
      </c>
      <c r="E42" s="480">
        <f>+'[75]Sch C'!H22</f>
        <v>0</v>
      </c>
      <c r="F42" s="166">
        <f t="shared" si="5"/>
        <v>0</v>
      </c>
      <c r="G42" s="626"/>
      <c r="H42" s="610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'[75]Sch C'!D23</f>
        <v>9544</v>
      </c>
      <c r="D43" s="480">
        <f>'[75]Sch C'!F23</f>
        <v>0</v>
      </c>
      <c r="E43" s="480">
        <f>+'[75]Sch C'!H23</f>
        <v>0</v>
      </c>
      <c r="F43" s="166">
        <f t="shared" si="5"/>
        <v>9544</v>
      </c>
      <c r="G43" s="626"/>
      <c r="H43" s="610"/>
      <c r="I43" s="166">
        <f t="shared" si="6"/>
        <v>9544</v>
      </c>
      <c r="J43" s="167">
        <f t="shared" si="7"/>
        <v>4.0960318618404679E-3</v>
      </c>
      <c r="K43" s="458"/>
      <c r="L43" s="163"/>
      <c r="M43" s="163"/>
      <c r="O43" s="324">
        <f t="shared" si="8"/>
        <v>0.96112789526686804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'[75]Sch C'!D24</f>
        <v>0</v>
      </c>
      <c r="D44" s="480">
        <f>'[75]Sch C'!F24</f>
        <v>0</v>
      </c>
      <c r="E44" s="480">
        <f>+'[75]Sch C'!H24</f>
        <v>0</v>
      </c>
      <c r="F44" s="166">
        <f t="shared" si="5"/>
        <v>0</v>
      </c>
      <c r="G44" s="626"/>
      <c r="H44" s="610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'[75]Sch C'!D25</f>
        <v>0</v>
      </c>
      <c r="D45" s="480">
        <f>'[75]Sch C'!F25</f>
        <v>0</v>
      </c>
      <c r="E45" s="480">
        <f>+'[75]Sch C'!H25</f>
        <v>0</v>
      </c>
      <c r="F45" s="166">
        <f t="shared" si="5"/>
        <v>0</v>
      </c>
      <c r="G45" s="626"/>
      <c r="H45" s="610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'[75]Sch C'!D26</f>
        <v>169057</v>
      </c>
      <c r="D46" s="480">
        <f>'[75]Sch C'!F26</f>
        <v>0</v>
      </c>
      <c r="E46" s="480">
        <f>+'[75]Sch C'!H26</f>
        <v>0</v>
      </c>
      <c r="F46" s="166">
        <f t="shared" si="5"/>
        <v>169057</v>
      </c>
      <c r="G46" s="626"/>
      <c r="H46" s="610"/>
      <c r="I46" s="166">
        <f t="shared" si="6"/>
        <v>169057</v>
      </c>
      <c r="J46" s="167">
        <f t="shared" si="7"/>
        <v>7.2554783996978622E-2</v>
      </c>
      <c r="K46" s="458"/>
      <c r="L46" s="163"/>
      <c r="M46" s="163"/>
      <c r="O46" s="324">
        <f t="shared" si="8"/>
        <v>17.024874118831821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'[75]Sch C'!D27</f>
        <v>0</v>
      </c>
      <c r="D47" s="480">
        <f>'[75]Sch C'!F27</f>
        <v>0</v>
      </c>
      <c r="E47" s="480">
        <f>+'[75]Sch C'!H27</f>
        <v>0</v>
      </c>
      <c r="F47" s="166">
        <f t="shared" si="5"/>
        <v>0</v>
      </c>
      <c r="G47" s="626"/>
      <c r="H47" s="610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'[75]Sch C'!D28</f>
        <v>0</v>
      </c>
      <c r="D48" s="480">
        <f>'[75]Sch C'!F28</f>
        <v>0</v>
      </c>
      <c r="E48" s="480">
        <f>+'[75]Sch C'!H28</f>
        <v>0</v>
      </c>
      <c r="F48" s="166">
        <f t="shared" si="5"/>
        <v>0</v>
      </c>
      <c r="G48" s="626"/>
      <c r="H48" s="610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'[75]Sch C'!D29</f>
        <v>50183</v>
      </c>
      <c r="D49" s="480">
        <f>'[75]Sch C'!F29</f>
        <v>-50183</v>
      </c>
      <c r="E49" s="480">
        <f>+'[75]Sch C'!H29</f>
        <v>0</v>
      </c>
      <c r="F49" s="166">
        <f t="shared" si="5"/>
        <v>0</v>
      </c>
      <c r="G49" s="626"/>
      <c r="H49" s="610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'[75]Sch C'!D30</f>
        <v>2340</v>
      </c>
      <c r="D50" s="480">
        <f>'[75]Sch C'!F30</f>
        <v>-2340</v>
      </c>
      <c r="E50" s="480">
        <f>+'[75]Sch C'!H30</f>
        <v>0</v>
      </c>
      <c r="F50" s="166">
        <f t="shared" si="5"/>
        <v>0</v>
      </c>
      <c r="G50" s="626"/>
      <c r="H50" s="610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'[75]Sch C'!D31</f>
        <v>12275</v>
      </c>
      <c r="D51" s="480">
        <f>'[75]Sch C'!F31</f>
        <v>306</v>
      </c>
      <c r="E51" s="480">
        <f>+'[75]Sch C'!H31</f>
        <v>0</v>
      </c>
      <c r="F51" s="166">
        <f t="shared" si="5"/>
        <v>12581</v>
      </c>
      <c r="G51" s="626"/>
      <c r="H51" s="610"/>
      <c r="I51" s="166">
        <f t="shared" si="6"/>
        <v>12581</v>
      </c>
      <c r="J51" s="167">
        <f t="shared" si="7"/>
        <v>5.3994317742890744E-3</v>
      </c>
      <c r="K51" s="458"/>
      <c r="L51" s="163"/>
      <c r="M51" s="163"/>
      <c r="O51" s="324">
        <f t="shared" si="8"/>
        <v>1.2669687814702921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'[75]Sch C'!D32</f>
        <v>28065</v>
      </c>
      <c r="D52" s="480">
        <f>'[75]Sch C'!F32</f>
        <v>2787</v>
      </c>
      <c r="E52" s="480">
        <f>+'[75]Sch C'!H32</f>
        <v>0</v>
      </c>
      <c r="F52" s="166">
        <f t="shared" si="5"/>
        <v>30852</v>
      </c>
      <c r="G52" s="626"/>
      <c r="H52" s="610"/>
      <c r="I52" s="166">
        <f t="shared" si="6"/>
        <v>30852</v>
      </c>
      <c r="J52" s="167">
        <f t="shared" si="7"/>
        <v>1.3240860750366944E-2</v>
      </c>
      <c r="K52" s="458"/>
      <c r="L52" s="163"/>
      <c r="M52" s="163"/>
      <c r="O52" s="324">
        <f t="shared" si="8"/>
        <v>3.1069486404833837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'[75]Sch C'!D33</f>
        <v>0</v>
      </c>
      <c r="D53" s="480">
        <f>'[75]Sch C'!F33</f>
        <v>0</v>
      </c>
      <c r="E53" s="480">
        <f>+'[75]Sch C'!H33</f>
        <v>0</v>
      </c>
      <c r="F53" s="166">
        <f t="shared" si="5"/>
        <v>0</v>
      </c>
      <c r="G53" s="626"/>
      <c r="H53" s="610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'[75]Sch C'!D34</f>
        <v>0</v>
      </c>
      <c r="D54" s="480">
        <f>'[75]Sch C'!F34</f>
        <v>0</v>
      </c>
      <c r="E54" s="480">
        <f>+'[75]Sch C'!H34</f>
        <v>0</v>
      </c>
      <c r="F54" s="166">
        <f t="shared" si="5"/>
        <v>0</v>
      </c>
      <c r="G54" s="626"/>
      <c r="H54" s="610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'[75]Sch C'!D35</f>
        <v>18190</v>
      </c>
      <c r="D55" s="480">
        <f>'[75]Sch C'!F35</f>
        <v>-18190</v>
      </c>
      <c r="E55" s="480">
        <f>+'[75]Sch C'!H35</f>
        <v>0</v>
      </c>
      <c r="F55" s="166">
        <f t="shared" si="5"/>
        <v>0</v>
      </c>
      <c r="G55" s="626"/>
      <c r="H55" s="610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'[75]Sch C'!D36</f>
        <v>0</v>
      </c>
      <c r="D56" s="480">
        <f>'[75]Sch C'!F36</f>
        <v>0</v>
      </c>
      <c r="E56" s="480">
        <f>+'[75]Sch C'!H36</f>
        <v>0</v>
      </c>
      <c r="F56" s="166">
        <f t="shared" si="5"/>
        <v>0</v>
      </c>
      <c r="G56" s="626"/>
      <c r="H56" s="610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'[75]Sch C'!D37</f>
        <v>0</v>
      </c>
      <c r="D57" s="480">
        <f>'[75]Sch C'!F37</f>
        <v>0</v>
      </c>
      <c r="E57" s="480">
        <f>+'[75]Sch C'!H37</f>
        <v>0</v>
      </c>
      <c r="F57" s="166">
        <f t="shared" si="5"/>
        <v>0</v>
      </c>
      <c r="G57" s="626"/>
      <c r="H57" s="610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'[75]Sch C'!D38</f>
        <v>0</v>
      </c>
      <c r="D58" s="480">
        <f>'[75]Sch C'!F38</f>
        <v>0</v>
      </c>
      <c r="E58" s="480">
        <f>+'[75]Sch C'!H38</f>
        <v>0</v>
      </c>
      <c r="F58" s="166">
        <f t="shared" si="5"/>
        <v>0</v>
      </c>
      <c r="G58" s="626"/>
      <c r="H58" s="610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'[75]Sch C'!D39</f>
        <v>1747</v>
      </c>
      <c r="D59" s="480">
        <f>'[75]Sch C'!F39</f>
        <v>0</v>
      </c>
      <c r="E59" s="480">
        <f>+'[75]Sch C'!H39</f>
        <v>0</v>
      </c>
      <c r="F59" s="166">
        <f t="shared" si="5"/>
        <v>1747</v>
      </c>
      <c r="G59" s="626"/>
      <c r="H59" s="610"/>
      <c r="I59" s="166">
        <f t="shared" si="6"/>
        <v>1747</v>
      </c>
      <c r="J59" s="167">
        <f t="shared" si="7"/>
        <v>7.4976610044376541E-4</v>
      </c>
      <c r="K59" s="458"/>
      <c r="L59" s="163"/>
      <c r="M59" s="163"/>
      <c r="O59" s="324">
        <f t="shared" si="8"/>
        <v>0.17593152064451159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'[75]Sch C'!D40</f>
        <v>0</v>
      </c>
      <c r="D60" s="480">
        <f>'[75]Sch C'!F40</f>
        <v>0</v>
      </c>
      <c r="E60" s="480">
        <f>+'[75]Sch C'!H40</f>
        <v>0</v>
      </c>
      <c r="F60" s="166">
        <f t="shared" si="5"/>
        <v>0</v>
      </c>
      <c r="G60" s="626"/>
      <c r="H60" s="610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'[75]Sch C'!D41</f>
        <v>16136</v>
      </c>
      <c r="D61" s="480">
        <f>'[75]Sch C'!F41</f>
        <v>0</v>
      </c>
      <c r="E61" s="480">
        <f>+'[75]Sch C'!H41</f>
        <v>0</v>
      </c>
      <c r="F61" s="166">
        <f t="shared" si="5"/>
        <v>16136</v>
      </c>
      <c r="G61" s="626"/>
      <c r="H61" s="610"/>
      <c r="I61" s="166">
        <f t="shared" si="6"/>
        <v>16136</v>
      </c>
      <c r="J61" s="167">
        <f t="shared" si="7"/>
        <v>6.9251435585349734E-3</v>
      </c>
      <c r="K61" s="458"/>
      <c r="L61" s="163"/>
      <c r="M61" s="163"/>
      <c r="O61" s="324">
        <f t="shared" si="8"/>
        <v>1.6249748237663646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'[75]Sch C'!D42</f>
        <v>821</v>
      </c>
      <c r="D62" s="480">
        <f>'[75]Sch C'!F42</f>
        <v>0</v>
      </c>
      <c r="E62" s="480">
        <f>+'[75]Sch C'!H42</f>
        <v>0</v>
      </c>
      <c r="F62" s="166">
        <f t="shared" si="5"/>
        <v>821</v>
      </c>
      <c r="G62" s="626"/>
      <c r="H62" s="610"/>
      <c r="I62" s="166">
        <f t="shared" si="6"/>
        <v>821</v>
      </c>
      <c r="J62" s="167">
        <f t="shared" si="7"/>
        <v>3.5235144159377868E-4</v>
      </c>
      <c r="K62" s="458"/>
      <c r="L62" s="163"/>
      <c r="M62" s="163"/>
      <c r="O62" s="324">
        <f t="shared" si="8"/>
        <v>8.2678751258811675E-2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'[75]Sch C'!D43</f>
        <v>3892</v>
      </c>
      <c r="D63" s="480">
        <f>'[75]Sch C'!F43</f>
        <v>-3892</v>
      </c>
      <c r="E63" s="480">
        <f>+'[75]Sch C'!H43</f>
        <v>0</v>
      </c>
      <c r="F63" s="166">
        <f t="shared" si="5"/>
        <v>0</v>
      </c>
      <c r="G63" s="626"/>
      <c r="H63" s="610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'[75]Sch C'!D44</f>
        <v>0</v>
      </c>
      <c r="D64" s="480">
        <f>'[75]Sch C'!F44</f>
        <v>0</v>
      </c>
      <c r="E64" s="480">
        <f>+'[75]Sch C'!H44</f>
        <v>0</v>
      </c>
      <c r="F64" s="166">
        <f t="shared" si="5"/>
        <v>0</v>
      </c>
      <c r="G64" s="626"/>
      <c r="H64" s="610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'[75]Sch C'!D45</f>
        <v>19953</v>
      </c>
      <c r="D65" s="480">
        <f>'[75]Sch C'!F45</f>
        <v>-11841</v>
      </c>
      <c r="E65" s="480">
        <f>+'[75]Sch C'!H45</f>
        <v>0</v>
      </c>
      <c r="F65" s="166">
        <f t="shared" si="5"/>
        <v>8112</v>
      </c>
      <c r="G65" s="626"/>
      <c r="H65" s="610"/>
      <c r="I65" s="166">
        <f t="shared" si="6"/>
        <v>8112</v>
      </c>
      <c r="J65" s="167">
        <f t="shared" si="7"/>
        <v>3.4814554131653262E-3</v>
      </c>
      <c r="K65" s="458"/>
      <c r="L65" s="163"/>
      <c r="M65" s="163"/>
      <c r="O65" s="324">
        <f t="shared" si="8"/>
        <v>0.81691842900302114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1071074</v>
      </c>
      <c r="D66" s="480">
        <f t="shared" si="9"/>
        <v>-136659</v>
      </c>
      <c r="E66" s="480">
        <f t="shared" si="9"/>
        <v>-369428</v>
      </c>
      <c r="F66" s="166">
        <f t="shared" ref="F66:I66" si="10">SUM(F30:F65)</f>
        <v>564987</v>
      </c>
      <c r="G66" s="166">
        <f t="shared" si="10"/>
        <v>-3190</v>
      </c>
      <c r="H66" s="166">
        <f t="shared" si="10"/>
        <v>0</v>
      </c>
      <c r="I66" s="166">
        <f t="shared" si="10"/>
        <v>561797</v>
      </c>
      <c r="J66" s="178">
        <f t="shared" si="7"/>
        <v>0.24110838347510363</v>
      </c>
      <c r="K66" s="465"/>
      <c r="L66" s="163"/>
      <c r="M66" s="163"/>
      <c r="O66" s="329">
        <f>I66/I$233</f>
        <v>56.575730110775424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346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346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'[75]Sch C'!D57</f>
        <v>285792</v>
      </c>
      <c r="D69" s="480">
        <f>'[75]Sch C'!F57</f>
        <v>0</v>
      </c>
      <c r="E69" s="480">
        <f>+'[75]Sch C'!H57</f>
        <v>-285792</v>
      </c>
      <c r="F69" s="166">
        <f>C69+D69+E69</f>
        <v>0</v>
      </c>
      <c r="G69" s="626"/>
      <c r="H69" s="610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'[75]Sch C'!D58</f>
        <v>0</v>
      </c>
      <c r="D70" s="480">
        <f>'[75]Sch C'!F58</f>
        <v>0</v>
      </c>
      <c r="E70" s="480">
        <f>+'[75]Sch C'!H58</f>
        <v>51475</v>
      </c>
      <c r="F70" s="166">
        <f t="shared" ref="F70:F83" si="13">C70+D70+E70</f>
        <v>51475</v>
      </c>
      <c r="G70" s="626"/>
      <c r="H70" s="610"/>
      <c r="I70" s="166">
        <f t="shared" ref="I70:I83" si="14">F70+G70+H70</f>
        <v>51475</v>
      </c>
      <c r="J70" s="167">
        <f t="shared" si="11"/>
        <v>2.2091705792983873E-2</v>
      </c>
      <c r="K70" s="458"/>
      <c r="L70" s="182"/>
      <c r="M70" s="163"/>
      <c r="O70" s="324">
        <f t="shared" si="12"/>
        <v>5.1837865055387713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'[75]Sch C'!D59</f>
        <v>0</v>
      </c>
      <c r="D71" s="480">
        <f>'[75]Sch C'!F59</f>
        <v>0</v>
      </c>
      <c r="E71" s="480">
        <f>+'[75]Sch C'!H59</f>
        <v>77821</v>
      </c>
      <c r="F71" s="166">
        <f t="shared" si="13"/>
        <v>77821</v>
      </c>
      <c r="G71" s="626"/>
      <c r="H71" s="610"/>
      <c r="I71" s="166">
        <f t="shared" si="14"/>
        <v>77821</v>
      </c>
      <c r="J71" s="167">
        <f t="shared" si="11"/>
        <v>3.3398710762812978E-2</v>
      </c>
      <c r="K71" s="458"/>
      <c r="L71" s="182"/>
      <c r="M71" s="163"/>
      <c r="O71" s="324">
        <f t="shared" si="12"/>
        <v>7.8369587109768375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'[75]Sch C'!D60</f>
        <v>7409</v>
      </c>
      <c r="D72" s="480">
        <f>'[75]Sch C'!F60</f>
        <v>-702</v>
      </c>
      <c r="E72" s="480">
        <f>+'[75]Sch C'!H60</f>
        <v>0</v>
      </c>
      <c r="F72" s="166">
        <f t="shared" si="13"/>
        <v>6707</v>
      </c>
      <c r="G72" s="626"/>
      <c r="H72" s="610"/>
      <c r="I72" s="166">
        <f t="shared" si="14"/>
        <v>6707</v>
      </c>
      <c r="J72" s="167">
        <f t="shared" si="11"/>
        <v>2.8784666489274956E-3</v>
      </c>
      <c r="K72" s="458"/>
      <c r="L72" s="185"/>
      <c r="M72" s="163"/>
      <c r="O72" s="324">
        <f t="shared" si="12"/>
        <v>0.67542799597180259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'[75]Sch C'!D61</f>
        <v>0</v>
      </c>
      <c r="D73" s="480">
        <f>'[75]Sch C'!F61</f>
        <v>2706</v>
      </c>
      <c r="E73" s="480">
        <f>+'[75]Sch C'!H61</f>
        <v>0</v>
      </c>
      <c r="F73" s="166">
        <f t="shared" si="13"/>
        <v>2706</v>
      </c>
      <c r="G73" s="626"/>
      <c r="H73" s="610"/>
      <c r="I73" s="166">
        <f t="shared" si="14"/>
        <v>2706</v>
      </c>
      <c r="J73" s="167">
        <f t="shared" si="11"/>
        <v>1.1613434847171317E-3</v>
      </c>
      <c r="K73" s="458"/>
      <c r="L73" s="185"/>
      <c r="M73" s="163"/>
      <c r="O73" s="324">
        <f t="shared" si="12"/>
        <v>0.27250755287009065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'[75]Sch C'!D62</f>
        <v>0</v>
      </c>
      <c r="D74" s="480">
        <f>'[75]Sch C'!F62</f>
        <v>0</v>
      </c>
      <c r="E74" s="480">
        <f>+'[75]Sch C'!H62</f>
        <v>0</v>
      </c>
      <c r="F74" s="166">
        <f t="shared" si="13"/>
        <v>0</v>
      </c>
      <c r="G74" s="626"/>
      <c r="H74" s="610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'[75]Sch C'!D63</f>
        <v>0</v>
      </c>
      <c r="D75" s="480">
        <f>'[75]Sch C'!F63</f>
        <v>0</v>
      </c>
      <c r="E75" s="480">
        <f>+'[75]Sch C'!H63</f>
        <v>0</v>
      </c>
      <c r="F75" s="166">
        <f t="shared" si="13"/>
        <v>0</v>
      </c>
      <c r="G75" s="626"/>
      <c r="H75" s="610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'[75]Sch C'!D64</f>
        <v>0</v>
      </c>
      <c r="D76" s="480">
        <f>'[75]Sch C'!F64</f>
        <v>0</v>
      </c>
      <c r="E76" s="480">
        <f>+'[75]Sch C'!H64</f>
        <v>0</v>
      </c>
      <c r="F76" s="166">
        <f t="shared" si="13"/>
        <v>0</v>
      </c>
      <c r="G76" s="626"/>
      <c r="H76" s="610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'[75]Sch C'!D65</f>
        <v>7955</v>
      </c>
      <c r="D77" s="480">
        <f>'[75]Sch C'!F65</f>
        <v>-4891</v>
      </c>
      <c r="E77" s="480">
        <f>+'[75]Sch C'!H65</f>
        <v>0</v>
      </c>
      <c r="F77" s="166">
        <f t="shared" si="13"/>
        <v>3064</v>
      </c>
      <c r="G77" s="626"/>
      <c r="H77" s="610"/>
      <c r="I77" s="166">
        <f t="shared" si="14"/>
        <v>3064</v>
      </c>
      <c r="J77" s="167">
        <f t="shared" si="11"/>
        <v>1.3149875968859171E-3</v>
      </c>
      <c r="K77" s="458"/>
      <c r="L77" s="187"/>
      <c r="M77" s="163"/>
      <c r="O77" s="324">
        <f t="shared" si="12"/>
        <v>0.30855991943605238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'[75]Sch C'!D66</f>
        <v>0</v>
      </c>
      <c r="D78" s="480">
        <f>'[75]Sch C'!F66</f>
        <v>0</v>
      </c>
      <c r="E78" s="480">
        <f>+'[75]Sch C'!H66</f>
        <v>0</v>
      </c>
      <c r="F78" s="166">
        <f t="shared" si="13"/>
        <v>0</v>
      </c>
      <c r="G78" s="626">
        <v>1158</v>
      </c>
      <c r="H78" s="610"/>
      <c r="I78" s="166">
        <f t="shared" si="14"/>
        <v>1158</v>
      </c>
      <c r="J78" s="167">
        <f t="shared" si="11"/>
        <v>4.969829103113225E-4</v>
      </c>
      <c r="K78" s="458"/>
      <c r="L78" s="187"/>
      <c r="M78" s="163"/>
      <c r="O78" s="324">
        <f t="shared" si="12"/>
        <v>0.11661631419939578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'[75]Sch C'!D67</f>
        <v>0</v>
      </c>
      <c r="D79" s="480">
        <f>'[75]Sch C'!F67</f>
        <v>5439</v>
      </c>
      <c r="E79" s="480">
        <f>+'[75]Sch C'!H67</f>
        <v>2247</v>
      </c>
      <c r="F79" s="166">
        <f t="shared" si="13"/>
        <v>7686</v>
      </c>
      <c r="G79" s="626">
        <v>525</v>
      </c>
      <c r="H79" s="610"/>
      <c r="I79" s="166">
        <f t="shared" si="14"/>
        <v>8211</v>
      </c>
      <c r="J79" s="167">
        <f t="shared" si="11"/>
        <v>3.5239435894354651E-3</v>
      </c>
      <c r="K79" s="458"/>
      <c r="L79" s="187"/>
      <c r="M79" s="163"/>
      <c r="O79" s="324">
        <f t="shared" si="12"/>
        <v>0.82688821752265862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'[75]Sch C'!D68</f>
        <v>0</v>
      </c>
      <c r="D80" s="480">
        <f>'[75]Sch C'!F68</f>
        <v>0</v>
      </c>
      <c r="E80" s="480">
        <f>+'[75]Sch C'!H68</f>
        <v>0</v>
      </c>
      <c r="F80" s="166">
        <f t="shared" si="13"/>
        <v>0</v>
      </c>
      <c r="G80" s="626"/>
      <c r="H80" s="610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'[75]Sch C'!D69</f>
        <v>0</v>
      </c>
      <c r="D81" s="480">
        <f>'[75]Sch C'!F69</f>
        <v>702</v>
      </c>
      <c r="E81" s="480">
        <f>+'[75]Sch C'!H69</f>
        <v>0</v>
      </c>
      <c r="F81" s="166">
        <f t="shared" si="13"/>
        <v>702</v>
      </c>
      <c r="G81" s="626"/>
      <c r="H81" s="610"/>
      <c r="I81" s="166">
        <f t="shared" si="14"/>
        <v>702</v>
      </c>
      <c r="J81" s="167">
        <f t="shared" si="11"/>
        <v>3.0127979537007633E-4</v>
      </c>
      <c r="K81" s="458"/>
      <c r="L81" s="187"/>
      <c r="M81" s="163"/>
      <c r="O81" s="324">
        <f t="shared" si="12"/>
        <v>7.0694864048338371E-2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'[75]Sch C'!D70</f>
        <v>0</v>
      </c>
      <c r="D82" s="480">
        <f>'[75]Sch C'!F70</f>
        <v>0</v>
      </c>
      <c r="E82" s="480">
        <f>+'[75]Sch C'!H70</f>
        <v>0</v>
      </c>
      <c r="F82" s="166">
        <f t="shared" si="13"/>
        <v>0</v>
      </c>
      <c r="G82" s="626"/>
      <c r="H82" s="610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'[75]Sch C'!D71</f>
        <v>0</v>
      </c>
      <c r="D83" s="480">
        <f>'[75]Sch C'!F71</f>
        <v>0</v>
      </c>
      <c r="E83" s="480">
        <f>+'[75]Sch C'!H71</f>
        <v>0</v>
      </c>
      <c r="F83" s="166">
        <f t="shared" si="13"/>
        <v>0</v>
      </c>
      <c r="G83" s="626"/>
      <c r="H83" s="610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301156</v>
      </c>
      <c r="D84" s="480">
        <f t="shared" si="15"/>
        <v>3254</v>
      </c>
      <c r="E84" s="480">
        <f t="shared" si="15"/>
        <v>-154249</v>
      </c>
      <c r="F84" s="166">
        <f t="shared" ref="F84:I84" si="16">SUM(F69:F83)</f>
        <v>150161</v>
      </c>
      <c r="G84" s="166">
        <f t="shared" si="16"/>
        <v>1683</v>
      </c>
      <c r="H84" s="166">
        <f t="shared" si="16"/>
        <v>0</v>
      </c>
      <c r="I84" s="166">
        <f t="shared" si="16"/>
        <v>151844</v>
      </c>
      <c r="J84" s="167">
        <f t="shared" si="11"/>
        <v>6.5167420581444258E-2</v>
      </c>
      <c r="K84" s="458"/>
      <c r="L84" s="187"/>
      <c r="M84" s="163"/>
      <c r="O84" s="324">
        <f t="shared" si="12"/>
        <v>15.291440080563948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34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346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'[75]Sch C'!D75</f>
        <v>12494</v>
      </c>
      <c r="D87" s="480">
        <f>'[75]Sch C'!F75</f>
        <v>0</v>
      </c>
      <c r="E87" s="480">
        <f>+'[75]Sch C'!H75</f>
        <v>0</v>
      </c>
      <c r="F87" s="166">
        <f t="shared" ref="F87:F97" si="17">C87+D87+E87</f>
        <v>12494</v>
      </c>
      <c r="G87" s="626"/>
      <c r="H87" s="610"/>
      <c r="I87" s="166">
        <f t="shared" ref="I87:I97" si="18">F87+G87+H87</f>
        <v>12494</v>
      </c>
      <c r="J87" s="167">
        <f t="shared" ref="J87:J98" si="19">IF($I$213=0,0,I87/$I$213)</f>
        <v>5.3620936799910731E-3</v>
      </c>
      <c r="K87" s="458"/>
      <c r="L87" s="176">
        <v>311</v>
      </c>
      <c r="M87" s="176">
        <v>311</v>
      </c>
      <c r="O87" s="324">
        <f t="shared" ref="O87:O97" si="20">I87/I$233</f>
        <v>1.2582074521651561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'[75]Sch C'!D76</f>
        <v>1211</v>
      </c>
      <c r="D88" s="480">
        <f>'[75]Sch C'!F76</f>
        <v>750</v>
      </c>
      <c r="E88" s="480">
        <f>+'[75]Sch C'!H76</f>
        <v>0</v>
      </c>
      <c r="F88" s="166">
        <f t="shared" si="17"/>
        <v>1961</v>
      </c>
      <c r="G88" s="626"/>
      <c r="H88" s="610"/>
      <c r="I88" s="166">
        <f t="shared" si="18"/>
        <v>1961</v>
      </c>
      <c r="J88" s="167">
        <f t="shared" si="19"/>
        <v>8.416092289468941E-4</v>
      </c>
      <c r="K88" s="458"/>
      <c r="L88" s="163"/>
      <c r="M88" s="163"/>
      <c r="O88" s="324">
        <f t="shared" si="20"/>
        <v>0.19748237663645518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'[75]Sch C'!D77</f>
        <v>6730</v>
      </c>
      <c r="D89" s="480">
        <f>'[75]Sch C'!F77</f>
        <v>0</v>
      </c>
      <c r="E89" s="480">
        <f>+'[75]Sch C'!H77</f>
        <v>0</v>
      </c>
      <c r="F89" s="166">
        <f t="shared" si="17"/>
        <v>6730</v>
      </c>
      <c r="G89" s="626"/>
      <c r="H89" s="610"/>
      <c r="I89" s="166">
        <f t="shared" si="18"/>
        <v>6730</v>
      </c>
      <c r="J89" s="167">
        <f t="shared" si="19"/>
        <v>2.8883376393740935E-3</v>
      </c>
      <c r="K89" s="458"/>
      <c r="L89" s="163"/>
      <c r="M89" s="163"/>
      <c r="O89" s="324">
        <f t="shared" si="20"/>
        <v>0.67774420946626379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'[75]Sch C'!D78</f>
        <v>2224</v>
      </c>
      <c r="D90" s="480">
        <f>'[75]Sch C'!F78</f>
        <v>0</v>
      </c>
      <c r="E90" s="480">
        <f>+'[75]Sch C'!H78</f>
        <v>0</v>
      </c>
      <c r="F90" s="166">
        <f t="shared" si="17"/>
        <v>2224</v>
      </c>
      <c r="G90" s="626"/>
      <c r="H90" s="610"/>
      <c r="I90" s="166">
        <f t="shared" si="18"/>
        <v>2224</v>
      </c>
      <c r="J90" s="167">
        <f t="shared" si="19"/>
        <v>9.5448185883625317E-4</v>
      </c>
      <c r="K90" s="458"/>
      <c r="L90" s="163"/>
      <c r="M90" s="163"/>
      <c r="O90" s="324">
        <f t="shared" si="20"/>
        <v>0.22396777442094662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'[75]Sch C'!D79</f>
        <v>33253</v>
      </c>
      <c r="D91" s="480">
        <f>'[75]Sch C'!F79</f>
        <v>0</v>
      </c>
      <c r="E91" s="480">
        <f>+'[75]Sch C'!H79</f>
        <v>0</v>
      </c>
      <c r="F91" s="166">
        <f t="shared" si="17"/>
        <v>33253</v>
      </c>
      <c r="G91" s="626">
        <f>-21000+27992</f>
        <v>6992</v>
      </c>
      <c r="H91" s="610"/>
      <c r="I91" s="166">
        <f t="shared" si="18"/>
        <v>40245</v>
      </c>
      <c r="J91" s="167">
        <f t="shared" si="19"/>
        <v>1.7272087414058009E-2</v>
      </c>
      <c r="K91" s="458"/>
      <c r="L91" s="163"/>
      <c r="M91" s="163"/>
      <c r="O91" s="324">
        <f t="shared" si="20"/>
        <v>4.0528700906344408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'[75]Sch C'!D80</f>
        <v>11468</v>
      </c>
      <c r="D92" s="480">
        <f>'[75]Sch C'!F80</f>
        <v>0</v>
      </c>
      <c r="E92" s="480">
        <f>+'[75]Sch C'!H80</f>
        <v>0</v>
      </c>
      <c r="F92" s="166">
        <f t="shared" si="17"/>
        <v>11468</v>
      </c>
      <c r="G92" s="626"/>
      <c r="H92" s="610"/>
      <c r="I92" s="166">
        <f t="shared" si="18"/>
        <v>11468</v>
      </c>
      <c r="J92" s="167">
        <f t="shared" si="19"/>
        <v>4.9217616713732697E-3</v>
      </c>
      <c r="K92" s="458"/>
      <c r="L92" s="163"/>
      <c r="M92" s="163"/>
      <c r="O92" s="324">
        <f t="shared" si="20"/>
        <v>1.154884189325277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'[75]Sch C'!D81</f>
        <v>51157</v>
      </c>
      <c r="D93" s="480">
        <f>'[75]Sch C'!F81</f>
        <v>-44726</v>
      </c>
      <c r="E93" s="480">
        <f>+'[75]Sch C'!H81</f>
        <v>0</v>
      </c>
      <c r="F93" s="166">
        <f t="shared" si="17"/>
        <v>6431</v>
      </c>
      <c r="G93" s="626"/>
      <c r="H93" s="610"/>
      <c r="I93" s="166">
        <f t="shared" si="18"/>
        <v>6431</v>
      </c>
      <c r="J93" s="167">
        <f t="shared" si="19"/>
        <v>2.76001476356832E-3</v>
      </c>
      <c r="K93" s="458"/>
      <c r="L93" s="163"/>
      <c r="M93" s="163"/>
      <c r="O93" s="324">
        <f t="shared" si="20"/>
        <v>0.6476334340382679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'[75]Sch C'!D82</f>
        <v>0</v>
      </c>
      <c r="D94" s="480">
        <f>'[75]Sch C'!F82</f>
        <v>0</v>
      </c>
      <c r="E94" s="480">
        <f>+'[75]Sch C'!H82</f>
        <v>0</v>
      </c>
      <c r="F94" s="166">
        <f t="shared" si="17"/>
        <v>0</v>
      </c>
      <c r="G94" s="626"/>
      <c r="H94" s="610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'[75]Sch C'!D83</f>
        <v>0</v>
      </c>
      <c r="D95" s="480">
        <f>'[75]Sch C'!F83</f>
        <v>0</v>
      </c>
      <c r="E95" s="480">
        <f>+'[75]Sch C'!H83</f>
        <v>0</v>
      </c>
      <c r="F95" s="166">
        <f t="shared" si="17"/>
        <v>0</v>
      </c>
      <c r="G95" s="626"/>
      <c r="H95" s="610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'[75]Sch C'!D84</f>
        <v>21303</v>
      </c>
      <c r="D96" s="480">
        <f>'[75]Sch C'!F84</f>
        <v>0</v>
      </c>
      <c r="E96" s="480">
        <f>+'[75]Sch C'!H84</f>
        <v>0</v>
      </c>
      <c r="F96" s="166">
        <f t="shared" si="17"/>
        <v>21303</v>
      </c>
      <c r="G96" s="626"/>
      <c r="H96" s="610"/>
      <c r="I96" s="166">
        <f t="shared" si="18"/>
        <v>21303</v>
      </c>
      <c r="J96" s="167">
        <f t="shared" si="19"/>
        <v>9.1426830210380849E-3</v>
      </c>
      <c r="K96" s="458"/>
      <c r="L96" s="163"/>
      <c r="M96" s="163"/>
      <c r="O96" s="324">
        <f t="shared" si="20"/>
        <v>2.1453172205438067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'[75]Sch C'!D85</f>
        <v>2585</v>
      </c>
      <c r="D97" s="480">
        <f>'[75]Sch C'!F85</f>
        <v>0</v>
      </c>
      <c r="E97" s="480">
        <f>+'[75]Sch C'!H85</f>
        <v>0</v>
      </c>
      <c r="F97" s="166">
        <f t="shared" si="17"/>
        <v>2585</v>
      </c>
      <c r="G97" s="626"/>
      <c r="H97" s="610"/>
      <c r="I97" s="166">
        <f t="shared" si="18"/>
        <v>2585</v>
      </c>
      <c r="J97" s="167">
        <f t="shared" si="19"/>
        <v>1.109413491498073E-3</v>
      </c>
      <c r="K97" s="458"/>
      <c r="L97" s="163"/>
      <c r="M97" s="163"/>
      <c r="O97" s="324">
        <f t="shared" si="20"/>
        <v>0.26032225579053375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142425</v>
      </c>
      <c r="D98" s="480">
        <f t="shared" si="21"/>
        <v>-43976</v>
      </c>
      <c r="E98" s="480">
        <f t="shared" si="21"/>
        <v>0</v>
      </c>
      <c r="F98" s="166">
        <f t="shared" ref="F98:I98" si="22">SUM(F87:F97)</f>
        <v>98449</v>
      </c>
      <c r="G98" s="166">
        <f t="shared" si="22"/>
        <v>6992</v>
      </c>
      <c r="H98" s="166">
        <f t="shared" si="22"/>
        <v>0</v>
      </c>
      <c r="I98" s="166">
        <f t="shared" si="22"/>
        <v>105441</v>
      </c>
      <c r="J98" s="167">
        <f t="shared" si="19"/>
        <v>4.5252482768684071E-2</v>
      </c>
      <c r="K98" s="458"/>
      <c r="L98" s="163"/>
      <c r="M98" s="163"/>
      <c r="O98" s="329">
        <f>I98/I$233</f>
        <v>10.618429003021149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346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346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'[75]Sch C'!D89</f>
        <v>80828</v>
      </c>
      <c r="D101" s="480">
        <f>'[75]Sch C'!F89</f>
        <v>0</v>
      </c>
      <c r="E101" s="480">
        <f>+'[75]Sch C'!H89</f>
        <v>0</v>
      </c>
      <c r="F101" s="166">
        <f t="shared" ref="F101:F106" si="23">C101+D101+E101</f>
        <v>80828</v>
      </c>
      <c r="G101" s="626"/>
      <c r="H101" s="610"/>
      <c r="I101" s="166">
        <f t="shared" ref="I101:I106" si="24">F101+G101+H101</f>
        <v>80828</v>
      </c>
      <c r="J101" s="167">
        <f t="shared" ref="J101:J107" si="25">IF($I$213=0,0,I101/$I$213)</f>
        <v>3.4689235470331238E-2</v>
      </c>
      <c r="K101" s="458"/>
      <c r="L101" s="176">
        <v>5391</v>
      </c>
      <c r="M101" s="176">
        <v>5444</v>
      </c>
      <c r="O101" s="329">
        <f t="shared" ref="O101:O106" si="26">I101/I$233</f>
        <v>8.1397784491440088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'[75]Sch C'!D90</f>
        <v>6984</v>
      </c>
      <c r="D102" s="480">
        <f>'[75]Sch C'!F90</f>
        <v>4854</v>
      </c>
      <c r="E102" s="480">
        <f>+'[75]Sch C'!H90</f>
        <v>0</v>
      </c>
      <c r="F102" s="166">
        <f t="shared" si="23"/>
        <v>11838</v>
      </c>
      <c r="G102" s="626"/>
      <c r="H102" s="610"/>
      <c r="I102" s="166">
        <f t="shared" si="24"/>
        <v>11838</v>
      </c>
      <c r="J102" s="167">
        <f t="shared" si="25"/>
        <v>5.0805558655141929E-3</v>
      </c>
      <c r="K102" s="458"/>
      <c r="L102" s="163"/>
      <c r="M102" s="163"/>
      <c r="O102" s="329">
        <f t="shared" si="26"/>
        <v>1.1921450151057402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'[75]Sch C'!D91</f>
        <v>9667</v>
      </c>
      <c r="D103" s="480">
        <f>'[75]Sch C'!F91</f>
        <v>0</v>
      </c>
      <c r="E103" s="480">
        <f>+'[75]Sch C'!H91</f>
        <v>0</v>
      </c>
      <c r="F103" s="166">
        <f t="shared" si="23"/>
        <v>9667</v>
      </c>
      <c r="G103" s="626"/>
      <c r="H103" s="610"/>
      <c r="I103" s="166">
        <f t="shared" si="24"/>
        <v>9667</v>
      </c>
      <c r="J103" s="167">
        <f t="shared" si="25"/>
        <v>4.1488202020548825E-3</v>
      </c>
      <c r="K103" s="458"/>
      <c r="L103" s="163"/>
      <c r="M103" s="163"/>
      <c r="O103" s="329">
        <f t="shared" si="26"/>
        <v>0.97351460221550856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'[75]Sch C'!D92</f>
        <v>61745</v>
      </c>
      <c r="D104" s="480">
        <f>'[75]Sch C'!F92</f>
        <v>0</v>
      </c>
      <c r="E104" s="480">
        <f>+'[75]Sch C'!H92</f>
        <v>0</v>
      </c>
      <c r="F104" s="166">
        <f t="shared" si="23"/>
        <v>61745</v>
      </c>
      <c r="G104" s="626"/>
      <c r="H104" s="610"/>
      <c r="I104" s="166">
        <f t="shared" si="24"/>
        <v>61745</v>
      </c>
      <c r="J104" s="167">
        <f t="shared" si="25"/>
        <v>2.6499317614138693E-2</v>
      </c>
      <c r="K104" s="458"/>
      <c r="L104" s="163"/>
      <c r="M104" s="163"/>
      <c r="O104" s="329">
        <f t="shared" si="26"/>
        <v>6.2180261832829808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'[75]Sch C'!D93</f>
        <v>11673</v>
      </c>
      <c r="D105" s="480">
        <f>'[75]Sch C'!F93</f>
        <v>0</v>
      </c>
      <c r="E105" s="480">
        <f>+'[75]Sch C'!H93</f>
        <v>0</v>
      </c>
      <c r="F105" s="166">
        <f t="shared" si="23"/>
        <v>11673</v>
      </c>
      <c r="G105" s="626"/>
      <c r="H105" s="610"/>
      <c r="I105" s="166">
        <f t="shared" si="24"/>
        <v>11673</v>
      </c>
      <c r="J105" s="167">
        <f t="shared" si="25"/>
        <v>5.0097422383972943E-3</v>
      </c>
      <c r="K105" s="458"/>
      <c r="L105" s="163"/>
      <c r="M105" s="163"/>
      <c r="O105" s="329">
        <f t="shared" si="26"/>
        <v>1.1755287009063444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'[75]Sch C'!D94</f>
        <v>0</v>
      </c>
      <c r="D106" s="480">
        <f>'[75]Sch C'!F94</f>
        <v>0</v>
      </c>
      <c r="E106" s="480">
        <f>+'[75]Sch C'!H94</f>
        <v>0</v>
      </c>
      <c r="F106" s="166">
        <f t="shared" si="23"/>
        <v>0</v>
      </c>
      <c r="G106" s="626"/>
      <c r="H106" s="610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170897</v>
      </c>
      <c r="D107" s="480">
        <f t="shared" si="27"/>
        <v>4854</v>
      </c>
      <c r="E107" s="480">
        <f t="shared" si="27"/>
        <v>0</v>
      </c>
      <c r="F107" s="166">
        <f t="shared" ref="F107:I107" si="28">SUM(F101:F106)</f>
        <v>175751</v>
      </c>
      <c r="G107" s="166">
        <f t="shared" si="28"/>
        <v>0</v>
      </c>
      <c r="H107" s="166">
        <f t="shared" si="28"/>
        <v>0</v>
      </c>
      <c r="I107" s="166">
        <f t="shared" si="28"/>
        <v>175751</v>
      </c>
      <c r="J107" s="167">
        <f t="shared" si="25"/>
        <v>7.5427671390436296E-2</v>
      </c>
      <c r="K107" s="458"/>
      <c r="L107" s="163"/>
      <c r="M107" s="163"/>
      <c r="O107" s="329">
        <f>I107/I$233</f>
        <v>17.698992950654581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346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346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'[75]Sch C'!D98</f>
        <v>0</v>
      </c>
      <c r="D110" s="480">
        <f>'[75]Sch C'!F98</f>
        <v>0</v>
      </c>
      <c r="E110" s="480">
        <f>+'[75]Sch C'!H98</f>
        <v>0</v>
      </c>
      <c r="F110" s="166">
        <f t="shared" ref="F110:F115" si="29">C110+D110+E110</f>
        <v>0</v>
      </c>
      <c r="G110" s="626"/>
      <c r="H110" s="610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'[75]Sch C'!D99</f>
        <v>0</v>
      </c>
      <c r="D111" s="480">
        <f>'[75]Sch C'!F99</f>
        <v>0</v>
      </c>
      <c r="E111" s="480">
        <f>+'[75]Sch C'!H99</f>
        <v>0</v>
      </c>
      <c r="F111" s="166">
        <f t="shared" si="29"/>
        <v>0</v>
      </c>
      <c r="G111" s="626"/>
      <c r="H111" s="610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'[75]Sch C'!D100</f>
        <v>2810</v>
      </c>
      <c r="D112" s="480">
        <f>'[75]Sch C'!F100</f>
        <v>0</v>
      </c>
      <c r="E112" s="480">
        <f>+'[75]Sch C'!H100</f>
        <v>0</v>
      </c>
      <c r="F112" s="166">
        <f t="shared" si="29"/>
        <v>2810</v>
      </c>
      <c r="G112" s="626"/>
      <c r="H112" s="610"/>
      <c r="I112" s="166">
        <f t="shared" si="30"/>
        <v>2810</v>
      </c>
      <c r="J112" s="167">
        <f t="shared" si="31"/>
        <v>1.2059775284756617E-3</v>
      </c>
      <c r="K112" s="458"/>
      <c r="L112" s="163"/>
      <c r="M112" s="163"/>
      <c r="O112" s="329">
        <f t="shared" si="32"/>
        <v>0.28298086606243705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'[75]Sch C'!D101</f>
        <v>0</v>
      </c>
      <c r="D113" s="480">
        <f>'[75]Sch C'!F101</f>
        <v>0</v>
      </c>
      <c r="E113" s="480">
        <f>+'[75]Sch C'!H101</f>
        <v>0</v>
      </c>
      <c r="F113" s="166">
        <f t="shared" si="29"/>
        <v>0</v>
      </c>
      <c r="G113" s="626"/>
      <c r="H113" s="610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'[75]Sch C'!D102</f>
        <v>565</v>
      </c>
      <c r="D114" s="480">
        <f>'[75]Sch C'!F102</f>
        <v>0</v>
      </c>
      <c r="E114" s="480">
        <f>+'[75]Sch C'!H102</f>
        <v>0</v>
      </c>
      <c r="F114" s="166">
        <f t="shared" si="29"/>
        <v>565</v>
      </c>
      <c r="G114" s="626"/>
      <c r="H114" s="610"/>
      <c r="I114" s="166">
        <f t="shared" si="30"/>
        <v>565</v>
      </c>
      <c r="J114" s="167">
        <f t="shared" si="31"/>
        <v>2.4248302618816683E-4</v>
      </c>
      <c r="K114" s="458"/>
      <c r="L114" s="163"/>
      <c r="M114" s="163"/>
      <c r="O114" s="329">
        <f t="shared" si="32"/>
        <v>5.689828801611279E-2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'[75]Sch C'!D103</f>
        <v>4238</v>
      </c>
      <c r="D115" s="480">
        <f>'[75]Sch C'!F103</f>
        <v>0</v>
      </c>
      <c r="E115" s="480">
        <f>+'[75]Sch C'!H103</f>
        <v>0</v>
      </c>
      <c r="F115" s="166">
        <f t="shared" si="29"/>
        <v>4238</v>
      </c>
      <c r="G115" s="626">
        <v>-2520</v>
      </c>
      <c r="H115" s="610"/>
      <c r="I115" s="166">
        <f t="shared" si="30"/>
        <v>1718</v>
      </c>
      <c r="J115" s="167">
        <f t="shared" si="31"/>
        <v>7.3732006901109845E-4</v>
      </c>
      <c r="K115" s="458"/>
      <c r="L115" s="163"/>
      <c r="M115" s="163"/>
      <c r="O115" s="329">
        <f t="shared" si="32"/>
        <v>0.1730110775427996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7613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7613</v>
      </c>
      <c r="G116" s="166">
        <f t="shared" si="34"/>
        <v>-2520</v>
      </c>
      <c r="H116" s="166">
        <f t="shared" si="34"/>
        <v>0</v>
      </c>
      <c r="I116" s="166">
        <f t="shared" si="34"/>
        <v>5093</v>
      </c>
      <c r="J116" s="167">
        <f t="shared" si="31"/>
        <v>2.1857806236749268E-3</v>
      </c>
      <c r="K116" s="458"/>
      <c r="L116" s="163"/>
      <c r="M116" s="163"/>
      <c r="O116" s="329">
        <f>I116/I$233</f>
        <v>0.5128902316213495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346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346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'[75]Sch C'!D115</f>
        <v>41664</v>
      </c>
      <c r="D119" s="480">
        <f>'[75]Sch C'!F115</f>
        <v>0</v>
      </c>
      <c r="E119" s="480">
        <f>+'[75]Sch C'!H115</f>
        <v>0</v>
      </c>
      <c r="F119" s="166">
        <f t="shared" ref="F119:F123" si="35">C119+D119+E119</f>
        <v>41664</v>
      </c>
      <c r="G119" s="626"/>
      <c r="H119" s="610"/>
      <c r="I119" s="166">
        <f t="shared" ref="I119:I123" si="36">F119+G119+H119</f>
        <v>41664</v>
      </c>
      <c r="J119" s="167">
        <f t="shared" ref="J119:J124" si="37">IF($I$213=0,0,I119/$I$213)</f>
        <v>1.7881084607263332E-2</v>
      </c>
      <c r="K119" s="458"/>
      <c r="L119" s="176">
        <v>3440</v>
      </c>
      <c r="M119" s="176">
        <v>3548</v>
      </c>
      <c r="O119" s="329">
        <f t="shared" ref="O119:O124" si="38">I119/I$233</f>
        <v>4.1957703927492451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'[75]Sch C'!D116</f>
        <v>3333</v>
      </c>
      <c r="D120" s="480">
        <f>'[75]Sch C'!F116</f>
        <v>2502</v>
      </c>
      <c r="E120" s="480">
        <f>+'[75]Sch C'!H116</f>
        <v>0</v>
      </c>
      <c r="F120" s="166">
        <f t="shared" si="35"/>
        <v>5835</v>
      </c>
      <c r="G120" s="626"/>
      <c r="H120" s="610"/>
      <c r="I120" s="166">
        <f t="shared" si="36"/>
        <v>5835</v>
      </c>
      <c r="J120" s="167">
        <f t="shared" si="37"/>
        <v>2.5042273589521301E-3</v>
      </c>
      <c r="K120" s="458"/>
      <c r="L120" s="163"/>
      <c r="M120" s="163"/>
      <c r="O120" s="329">
        <f t="shared" si="38"/>
        <v>0.58761329305135956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'[75]Sch C'!D117</f>
        <v>9356</v>
      </c>
      <c r="D121" s="480">
        <f>'[75]Sch C'!F117</f>
        <v>0</v>
      </c>
      <c r="E121" s="480">
        <f>+'[75]Sch C'!H117</f>
        <v>0</v>
      </c>
      <c r="F121" s="166">
        <f t="shared" si="35"/>
        <v>9356</v>
      </c>
      <c r="G121" s="626">
        <v>-359</v>
      </c>
      <c r="H121" s="610"/>
      <c r="I121" s="166">
        <f t="shared" si="36"/>
        <v>8997</v>
      </c>
      <c r="J121" s="167">
        <f t="shared" si="37"/>
        <v>3.8612739586105079E-3</v>
      </c>
      <c r="K121" s="458"/>
      <c r="L121" s="163"/>
      <c r="M121" s="163"/>
      <c r="O121" s="329">
        <f t="shared" si="38"/>
        <v>0.90604229607250752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'[75]Sch C'!D118</f>
        <v>1476</v>
      </c>
      <c r="D122" s="480">
        <f>'[75]Sch C'!F118</f>
        <v>0</v>
      </c>
      <c r="E122" s="480">
        <f>+'[75]Sch C'!H118</f>
        <v>0</v>
      </c>
      <c r="F122" s="166">
        <f t="shared" si="35"/>
        <v>1476</v>
      </c>
      <c r="G122" s="626"/>
      <c r="H122" s="610"/>
      <c r="I122" s="166">
        <f t="shared" si="36"/>
        <v>1476</v>
      </c>
      <c r="J122" s="167">
        <f t="shared" si="37"/>
        <v>6.3346008257298097E-4</v>
      </c>
      <c r="K122" s="458"/>
      <c r="L122" s="163"/>
      <c r="M122" s="163"/>
      <c r="O122" s="329">
        <f t="shared" si="38"/>
        <v>0.1486404833836858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'[75]Sch C'!D119</f>
        <v>0</v>
      </c>
      <c r="D123" s="480">
        <f>'[75]Sch C'!F119</f>
        <v>0</v>
      </c>
      <c r="E123" s="480">
        <f>+'[75]Sch C'!H119</f>
        <v>0</v>
      </c>
      <c r="F123" s="166">
        <f t="shared" si="35"/>
        <v>0</v>
      </c>
      <c r="G123" s="626"/>
      <c r="H123" s="610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55829</v>
      </c>
      <c r="D124" s="480">
        <f t="shared" si="39"/>
        <v>2502</v>
      </c>
      <c r="E124" s="480">
        <f t="shared" si="39"/>
        <v>0</v>
      </c>
      <c r="F124" s="166">
        <f t="shared" ref="F124:I124" si="40">SUM(F119:F123)</f>
        <v>58331</v>
      </c>
      <c r="G124" s="166">
        <f t="shared" si="40"/>
        <v>-359</v>
      </c>
      <c r="H124" s="166">
        <f t="shared" si="40"/>
        <v>0</v>
      </c>
      <c r="I124" s="166">
        <f t="shared" si="40"/>
        <v>57972</v>
      </c>
      <c r="J124" s="167">
        <f t="shared" si="37"/>
        <v>2.4880046007398952E-2</v>
      </c>
      <c r="K124" s="458"/>
      <c r="L124" s="163"/>
      <c r="M124" s="163"/>
      <c r="O124" s="329">
        <f t="shared" si="38"/>
        <v>5.838066465256798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34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346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346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'[75]Sch C'!D124</f>
        <v>0</v>
      </c>
      <c r="D128" s="480">
        <f>'[75]Sch C'!F124</f>
        <v>0</v>
      </c>
      <c r="E128" s="480">
        <f>+'[75]Sch C'!H124</f>
        <v>0</v>
      </c>
      <c r="F128" s="166">
        <f t="shared" ref="F128:F132" si="41">C128+D128+E128</f>
        <v>0</v>
      </c>
      <c r="G128" s="626"/>
      <c r="H128" s="610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'[75]Sch C'!D125</f>
        <v>89328</v>
      </c>
      <c r="D129" s="480">
        <f>'[75]Sch C'!F125</f>
        <v>0</v>
      </c>
      <c r="E129" s="480">
        <f>+'[75]Sch C'!H125</f>
        <v>0</v>
      </c>
      <c r="F129" s="166">
        <f t="shared" si="41"/>
        <v>89328</v>
      </c>
      <c r="G129" s="626"/>
      <c r="H129" s="610"/>
      <c r="I129" s="166">
        <f t="shared" si="42"/>
        <v>89328</v>
      </c>
      <c r="J129" s="167">
        <f>IF($I$213=0,0,I129/$I$213)</f>
        <v>3.8337210200595689E-2</v>
      </c>
      <c r="K129" s="458"/>
      <c r="L129" s="176">
        <v>1769</v>
      </c>
      <c r="M129" s="176">
        <v>1825</v>
      </c>
      <c r="O129" s="329">
        <f t="shared" si="43"/>
        <v>8.9957703927492449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'[75]Sch C'!D126</f>
        <v>0</v>
      </c>
      <c r="D130" s="480">
        <f>'[75]Sch C'!F126</f>
        <v>0</v>
      </c>
      <c r="E130" s="480">
        <f>+'[75]Sch C'!H126</f>
        <v>0</v>
      </c>
      <c r="F130" s="166">
        <f t="shared" si="41"/>
        <v>0</v>
      </c>
      <c r="G130" s="626"/>
      <c r="H130" s="610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'[75]Sch C'!D127</f>
        <v>0</v>
      </c>
      <c r="D131" s="480">
        <f>'[75]Sch C'!F127</f>
        <v>0</v>
      </c>
      <c r="E131" s="480">
        <f>+'[75]Sch C'!H127</f>
        <v>0</v>
      </c>
      <c r="F131" s="166">
        <f t="shared" si="41"/>
        <v>0</v>
      </c>
      <c r="G131" s="626"/>
      <c r="H131" s="610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'[75]Sch C'!D128</f>
        <v>0</v>
      </c>
      <c r="D132" s="480">
        <f>'[75]Sch C'!F128</f>
        <v>0</v>
      </c>
      <c r="E132" s="480">
        <f>+'[75]Sch C'!H128</f>
        <v>0</v>
      </c>
      <c r="F132" s="166">
        <f t="shared" si="41"/>
        <v>0</v>
      </c>
      <c r="G132" s="626"/>
      <c r="H132" s="610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348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'[75]Sch C'!D130</f>
        <v>0</v>
      </c>
      <c r="D134" s="480">
        <f>'[75]Sch C'!F130</f>
        <v>0</v>
      </c>
      <c r="E134" s="480">
        <f>+'[75]Sch C'!H130</f>
        <v>0</v>
      </c>
      <c r="F134" s="166">
        <f t="shared" ref="F134:F138" si="44">C134+D134+E134</f>
        <v>0</v>
      </c>
      <c r="G134" s="626"/>
      <c r="H134" s="610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'[75]Sch C'!D131</f>
        <v>2605</v>
      </c>
      <c r="D135" s="480">
        <f>'[75]Sch C'!F131</f>
        <v>12824</v>
      </c>
      <c r="E135" s="480">
        <f>+'[75]Sch C'!H131</f>
        <v>0</v>
      </c>
      <c r="F135" s="166">
        <f t="shared" si="44"/>
        <v>15429</v>
      </c>
      <c r="G135" s="626"/>
      <c r="H135" s="610"/>
      <c r="I135" s="166">
        <f t="shared" si="45"/>
        <v>15429</v>
      </c>
      <c r="J135" s="167">
        <f>IF($I$213=0,0,I135/$I$213)</f>
        <v>6.6217178956765061E-3</v>
      </c>
      <c r="K135" s="458"/>
      <c r="L135" s="196"/>
      <c r="M135" s="196"/>
      <c r="O135" s="329">
        <f t="shared" si="43"/>
        <v>1.5537764350453172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'[75]Sch C'!D132</f>
        <v>0</v>
      </c>
      <c r="D136" s="480">
        <f>'[75]Sch C'!F132</f>
        <v>0</v>
      </c>
      <c r="E136" s="480">
        <f>+'[75]Sch C'!H132</f>
        <v>0</v>
      </c>
      <c r="F136" s="166">
        <f t="shared" si="44"/>
        <v>0</v>
      </c>
      <c r="G136" s="626"/>
      <c r="H136" s="610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'[75]Sch C'!D133</f>
        <v>0</v>
      </c>
      <c r="D137" s="480">
        <f>'[75]Sch C'!F133</f>
        <v>0</v>
      </c>
      <c r="E137" s="480">
        <f>+'[75]Sch C'!H133</f>
        <v>0</v>
      </c>
      <c r="F137" s="166">
        <f t="shared" si="44"/>
        <v>0</v>
      </c>
      <c r="G137" s="626"/>
      <c r="H137" s="610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'[75]Sch C'!D134</f>
        <v>0</v>
      </c>
      <c r="D138" s="480">
        <f>'[75]Sch C'!F134</f>
        <v>0</v>
      </c>
      <c r="E138" s="480">
        <f>+'[75]Sch C'!H134</f>
        <v>0</v>
      </c>
      <c r="F138" s="166">
        <f t="shared" si="44"/>
        <v>0</v>
      </c>
      <c r="G138" s="626"/>
      <c r="H138" s="610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34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'[75]Sch C'!D136</f>
        <v>150584</v>
      </c>
      <c r="D140" s="480">
        <f>'[75]Sch C'!F136</f>
        <v>-6825</v>
      </c>
      <c r="E140" s="480">
        <f>+'[75]Sch C'!H136</f>
        <v>0</v>
      </c>
      <c r="F140" s="166">
        <f t="shared" ref="F140:F143" si="46">C140+D140+E140</f>
        <v>143759</v>
      </c>
      <c r="G140" s="626"/>
      <c r="H140" s="610"/>
      <c r="I140" s="166">
        <f t="shared" ref="I140:I143" si="47">F140+G140+H140</f>
        <v>143759</v>
      </c>
      <c r="J140" s="167">
        <f>IF($I$213=0,0,I140/$I$213)</f>
        <v>6.1697552852716241E-2</v>
      </c>
      <c r="K140" s="458"/>
      <c r="L140" s="176">
        <v>5465</v>
      </c>
      <c r="M140" s="176">
        <v>5515</v>
      </c>
      <c r="O140" s="329">
        <f t="shared" si="43"/>
        <v>14.477240684793555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'[75]Sch C'!D137</f>
        <v>119849</v>
      </c>
      <c r="D141" s="480">
        <f>'[75]Sch C'!F137</f>
        <v>6825</v>
      </c>
      <c r="E141" s="480">
        <f>+'[75]Sch C'!H137</f>
        <v>0</v>
      </c>
      <c r="F141" s="166">
        <f t="shared" si="46"/>
        <v>126674</v>
      </c>
      <c r="G141" s="626"/>
      <c r="H141" s="610"/>
      <c r="I141" s="166">
        <f t="shared" si="47"/>
        <v>126674</v>
      </c>
      <c r="J141" s="167">
        <f>IF($I$213=0,0,I141/$I$213)</f>
        <v>5.4365123644884682E-2</v>
      </c>
      <c r="K141" s="458"/>
      <c r="L141" s="176">
        <v>3822</v>
      </c>
      <c r="M141" s="176">
        <v>3885</v>
      </c>
      <c r="O141" s="329">
        <f t="shared" si="43"/>
        <v>12.756696878147029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'[75]Sch C'!D138</f>
        <v>275013</v>
      </c>
      <c r="D142" s="480">
        <f>'[75]Sch C'!F138</f>
        <v>0</v>
      </c>
      <c r="E142" s="480">
        <f>+'[75]Sch C'!H138</f>
        <v>0</v>
      </c>
      <c r="F142" s="166">
        <f t="shared" si="46"/>
        <v>275013</v>
      </c>
      <c r="G142" s="626"/>
      <c r="H142" s="610"/>
      <c r="I142" s="166">
        <f t="shared" si="47"/>
        <v>275013</v>
      </c>
      <c r="J142" s="167">
        <f>IF($I$213=0,0,I142/$I$213)</f>
        <v>0.11802829111696694</v>
      </c>
      <c r="K142" s="458"/>
      <c r="L142" s="176">
        <v>19550</v>
      </c>
      <c r="M142" s="176">
        <v>19702</v>
      </c>
      <c r="O142" s="329">
        <f t="shared" si="43"/>
        <v>27.695166163141995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'[75]Sch C'!D139</f>
        <v>0</v>
      </c>
      <c r="D143" s="480">
        <f>'[75]Sch C'!F139</f>
        <v>0</v>
      </c>
      <c r="E143" s="480">
        <f>+'[75]Sch C'!H139</f>
        <v>0</v>
      </c>
      <c r="F143" s="166">
        <f t="shared" si="46"/>
        <v>0</v>
      </c>
      <c r="G143" s="626"/>
      <c r="H143" s="610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34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'[75]Sch C'!D141</f>
        <v>30044</v>
      </c>
      <c r="D145" s="480">
        <f>'[75]Sch C'!F141</f>
        <v>-9406</v>
      </c>
      <c r="E145" s="480">
        <f>+'[75]Sch C'!H141</f>
        <v>0</v>
      </c>
      <c r="F145" s="166">
        <f t="shared" ref="F145:F148" si="48">C145+D145+E145</f>
        <v>20638</v>
      </c>
      <c r="G145" s="626"/>
      <c r="H145" s="610"/>
      <c r="I145" s="166">
        <f t="shared" ref="I145:I148" si="49">F145+G145+H145</f>
        <v>20638</v>
      </c>
      <c r="J145" s="167">
        <f>IF($I$213=0,0,I145/$I$213)</f>
        <v>8.8572826450821016E-3</v>
      </c>
      <c r="K145" s="458"/>
      <c r="L145" s="163"/>
      <c r="M145" s="163"/>
      <c r="O145" s="329">
        <f t="shared" si="43"/>
        <v>2.0783484390735145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'[75]Sch C'!D142</f>
        <v>0</v>
      </c>
      <c r="D146" s="480">
        <f>'[75]Sch C'!F142</f>
        <v>18186</v>
      </c>
      <c r="E146" s="480">
        <f>+'[75]Sch C'!H142</f>
        <v>0</v>
      </c>
      <c r="F146" s="166">
        <f t="shared" si="48"/>
        <v>18186</v>
      </c>
      <c r="G146" s="626"/>
      <c r="H146" s="610"/>
      <c r="I146" s="166">
        <f t="shared" si="49"/>
        <v>18186</v>
      </c>
      <c r="J146" s="167">
        <f>IF($I$213=0,0,I146/$I$213)</f>
        <v>7.8049492287752247E-3</v>
      </c>
      <c r="K146" s="458"/>
      <c r="L146" s="163"/>
      <c r="M146" s="163"/>
      <c r="O146" s="329">
        <f t="shared" si="43"/>
        <v>1.8314199395770392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'[75]Sch C'!D143</f>
        <v>23281</v>
      </c>
      <c r="D147" s="480">
        <f>'[75]Sch C'!F143</f>
        <v>16515</v>
      </c>
      <c r="E147" s="480">
        <f>+'[75]Sch C'!H143</f>
        <v>0</v>
      </c>
      <c r="F147" s="166">
        <f t="shared" si="48"/>
        <v>39796</v>
      </c>
      <c r="G147" s="626"/>
      <c r="H147" s="610"/>
      <c r="I147" s="166">
        <f t="shared" si="49"/>
        <v>39796</v>
      </c>
      <c r="J147" s="167">
        <f>IF($I$213=0,0,I147/$I$213)</f>
        <v>1.7079388513600507E-2</v>
      </c>
      <c r="K147" s="458"/>
      <c r="L147" s="163"/>
      <c r="M147" s="163"/>
      <c r="O147" s="329">
        <f t="shared" si="43"/>
        <v>4.0076535750251763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'[75]Sch C'!D144</f>
        <v>0</v>
      </c>
      <c r="D148" s="480">
        <f>'[75]Sch C'!F144</f>
        <v>0</v>
      </c>
      <c r="E148" s="480">
        <f>+'[75]Sch C'!H144</f>
        <v>0</v>
      </c>
      <c r="F148" s="166">
        <f t="shared" si="48"/>
        <v>0</v>
      </c>
      <c r="G148" s="626"/>
      <c r="H148" s="610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34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'[75]Sch C'!D146</f>
        <v>12000</v>
      </c>
      <c r="D150" s="480">
        <f>'[75]Sch C'!F146</f>
        <v>0</v>
      </c>
      <c r="E150" s="480">
        <f>+'[75]Sch C'!H146</f>
        <v>0</v>
      </c>
      <c r="F150" s="166">
        <f t="shared" ref="F150:F158" si="50">C150+D150+E150</f>
        <v>12000</v>
      </c>
      <c r="G150" s="626"/>
      <c r="H150" s="610"/>
      <c r="I150" s="166">
        <f t="shared" ref="I150:I158" si="51">F150+G150+H150</f>
        <v>12000</v>
      </c>
      <c r="J150" s="167">
        <f t="shared" ref="J150:J158" si="52">IF($I$213=0,0,I150/$I$213)</f>
        <v>5.1500819721380566E-3</v>
      </c>
      <c r="K150" s="458"/>
      <c r="L150" s="176">
        <v>208</v>
      </c>
      <c r="M150" s="176">
        <v>208</v>
      </c>
      <c r="O150" s="329">
        <f t="shared" si="43"/>
        <v>1.2084592145015105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'[75]Sch C'!D147</f>
        <v>3625</v>
      </c>
      <c r="D151" s="480">
        <f>'[75]Sch C'!F147</f>
        <v>0</v>
      </c>
      <c r="E151" s="480">
        <f>+'[75]Sch C'!H147</f>
        <v>0</v>
      </c>
      <c r="F151" s="166">
        <f t="shared" si="50"/>
        <v>3625</v>
      </c>
      <c r="G151" s="626"/>
      <c r="H151" s="610"/>
      <c r="I151" s="166">
        <f t="shared" si="51"/>
        <v>3625</v>
      </c>
      <c r="J151" s="167">
        <f t="shared" si="52"/>
        <v>1.5557539290833712E-3</v>
      </c>
      <c r="K151" s="458"/>
      <c r="L151" s="176">
        <v>72</v>
      </c>
      <c r="M151" s="176">
        <v>72</v>
      </c>
      <c r="O151" s="329">
        <f t="shared" si="43"/>
        <v>0.36505538771399798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'[75]Sch C'!D148</f>
        <v>1813</v>
      </c>
      <c r="D152" s="480">
        <f>'[75]Sch C'!F148</f>
        <v>0</v>
      </c>
      <c r="E152" s="480">
        <f>+'[75]Sch C'!H148</f>
        <v>0</v>
      </c>
      <c r="F152" s="166">
        <f t="shared" si="50"/>
        <v>1813</v>
      </c>
      <c r="G152" s="626"/>
      <c r="H152" s="610"/>
      <c r="I152" s="166">
        <f t="shared" si="51"/>
        <v>1813</v>
      </c>
      <c r="J152" s="167">
        <f t="shared" si="52"/>
        <v>7.7809155129052469E-4</v>
      </c>
      <c r="K152" s="458"/>
      <c r="L152" s="176">
        <v>45</v>
      </c>
      <c r="M152" s="176">
        <v>45</v>
      </c>
      <c r="O152" s="329">
        <f t="shared" si="43"/>
        <v>0.18257804632426988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'[75]Sch C'!D149</f>
        <v>0</v>
      </c>
      <c r="D153" s="480">
        <f>'[75]Sch C'!F149</f>
        <v>0</v>
      </c>
      <c r="E153" s="480">
        <f>+'[75]Sch C'!H149</f>
        <v>0</v>
      </c>
      <c r="F153" s="166">
        <f t="shared" si="50"/>
        <v>0</v>
      </c>
      <c r="G153" s="626"/>
      <c r="H153" s="610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'[75]Sch C'!D150</f>
        <v>6231</v>
      </c>
      <c r="D154" s="480">
        <f>'[75]Sch C'!F150</f>
        <v>0</v>
      </c>
      <c r="E154" s="480">
        <f>+'[75]Sch C'!H150</f>
        <v>0</v>
      </c>
      <c r="F154" s="166">
        <f t="shared" si="50"/>
        <v>6231</v>
      </c>
      <c r="G154" s="626"/>
      <c r="H154" s="610"/>
      <c r="I154" s="166">
        <f t="shared" si="51"/>
        <v>6231</v>
      </c>
      <c r="J154" s="167">
        <f t="shared" si="52"/>
        <v>2.6741800640326858E-3</v>
      </c>
      <c r="K154" s="458"/>
      <c r="L154" s="176">
        <v>121</v>
      </c>
      <c r="M154" s="176">
        <v>121</v>
      </c>
      <c r="O154" s="329">
        <f t="shared" si="43"/>
        <v>0.62749244712990937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'[75]Sch C'!D151</f>
        <v>34732</v>
      </c>
      <c r="D155" s="480">
        <f>'[75]Sch C'!F151</f>
        <v>0</v>
      </c>
      <c r="E155" s="480">
        <f>+'[75]Sch C'!H151</f>
        <v>0</v>
      </c>
      <c r="F155" s="166">
        <f t="shared" si="50"/>
        <v>34732</v>
      </c>
      <c r="G155" s="626">
        <v>3991</v>
      </c>
      <c r="H155" s="610"/>
      <c r="I155" s="166">
        <f t="shared" si="51"/>
        <v>38723</v>
      </c>
      <c r="J155" s="167">
        <f t="shared" si="52"/>
        <v>1.661888535059183E-2</v>
      </c>
      <c r="K155" s="458"/>
      <c r="L155" s="163"/>
      <c r="M155" s="163"/>
      <c r="O155" s="329">
        <f t="shared" si="43"/>
        <v>3.899597180261833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'[75]Sch C'!D152</f>
        <v>38166</v>
      </c>
      <c r="D156" s="480">
        <f>'[75]Sch C'!F152</f>
        <v>0</v>
      </c>
      <c r="E156" s="480">
        <f>+'[75]Sch C'!H152</f>
        <v>0</v>
      </c>
      <c r="F156" s="166">
        <f t="shared" si="50"/>
        <v>38166</v>
      </c>
      <c r="G156" s="626">
        <f>-3991-27992-1158</f>
        <v>-33141</v>
      </c>
      <c r="H156" s="610"/>
      <c r="I156" s="166">
        <f t="shared" si="51"/>
        <v>5025</v>
      </c>
      <c r="J156" s="167">
        <f t="shared" si="52"/>
        <v>2.1565968258328112E-3</v>
      </c>
      <c r="K156" s="458"/>
      <c r="L156" s="163"/>
      <c r="M156" s="163"/>
      <c r="O156" s="329">
        <f t="shared" si="43"/>
        <v>0.5060422960725075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'[75]Sch C'!D153</f>
        <v>0</v>
      </c>
      <c r="D157" s="480">
        <f>'[75]Sch C'!F153</f>
        <v>0</v>
      </c>
      <c r="E157" s="480">
        <f>+'[75]Sch C'!H153</f>
        <v>0</v>
      </c>
      <c r="F157" s="166">
        <f t="shared" si="50"/>
        <v>0</v>
      </c>
      <c r="G157" s="626"/>
      <c r="H157" s="610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'[75]Sch C'!D154</f>
        <v>0</v>
      </c>
      <c r="D158" s="480">
        <f>'[75]Sch C'!F154</f>
        <v>0</v>
      </c>
      <c r="E158" s="480">
        <f>+'[75]Sch C'!H154</f>
        <v>0</v>
      </c>
      <c r="F158" s="166">
        <f t="shared" si="50"/>
        <v>0</v>
      </c>
      <c r="G158" s="626"/>
      <c r="H158" s="610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349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'[75]Sch C'!D156</f>
        <v>0</v>
      </c>
      <c r="D160" s="480">
        <f>'[75]Sch C'!F156</f>
        <v>0</v>
      </c>
      <c r="E160" s="480">
        <f>+'[75]Sch C'!H156</f>
        <v>0</v>
      </c>
      <c r="F160" s="166">
        <f t="shared" ref="F160:F165" si="53">C160+D160+E160</f>
        <v>0</v>
      </c>
      <c r="G160" s="626"/>
      <c r="H160" s="610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'[75]Sch C'!D157</f>
        <v>0</v>
      </c>
      <c r="D161" s="480">
        <f>'[75]Sch C'!F157</f>
        <v>0</v>
      </c>
      <c r="E161" s="480">
        <f>+'[75]Sch C'!H157</f>
        <v>0</v>
      </c>
      <c r="F161" s="166">
        <f t="shared" si="53"/>
        <v>0</v>
      </c>
      <c r="G161" s="626"/>
      <c r="H161" s="610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'[75]Sch C'!D158</f>
        <v>0</v>
      </c>
      <c r="D162" s="480">
        <f>'[75]Sch C'!F158</f>
        <v>0</v>
      </c>
      <c r="E162" s="480">
        <f>+'[75]Sch C'!H158</f>
        <v>0</v>
      </c>
      <c r="F162" s="166">
        <f t="shared" si="53"/>
        <v>0</v>
      </c>
      <c r="G162" s="626"/>
      <c r="H162" s="610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'[75]Sch C'!D159</f>
        <v>0</v>
      </c>
      <c r="D163" s="480">
        <f>'[75]Sch C'!F159</f>
        <v>0</v>
      </c>
      <c r="E163" s="480">
        <f>+'[75]Sch C'!H159</f>
        <v>0</v>
      </c>
      <c r="F163" s="166">
        <f t="shared" si="53"/>
        <v>0</v>
      </c>
      <c r="G163" s="626"/>
      <c r="H163" s="610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'[75]Sch C'!D160</f>
        <v>0</v>
      </c>
      <c r="D164" s="480">
        <f>'[75]Sch C'!F160</f>
        <v>0</v>
      </c>
      <c r="E164" s="480">
        <f>+'[75]Sch C'!H160</f>
        <v>0</v>
      </c>
      <c r="F164" s="166">
        <f t="shared" si="53"/>
        <v>0</v>
      </c>
      <c r="G164" s="626"/>
      <c r="H164" s="610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'[75]Sch C'!D161</f>
        <v>0</v>
      </c>
      <c r="D165" s="480">
        <f>'[75]Sch C'!F161</f>
        <v>0</v>
      </c>
      <c r="E165" s="480">
        <f>+'[75]Sch C'!H161</f>
        <v>0</v>
      </c>
      <c r="F165" s="166">
        <f t="shared" si="53"/>
        <v>0</v>
      </c>
      <c r="G165" s="626"/>
      <c r="H165" s="610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787271</v>
      </c>
      <c r="D166" s="480">
        <f t="shared" si="56"/>
        <v>38119</v>
      </c>
      <c r="E166" s="480">
        <f t="shared" si="56"/>
        <v>0</v>
      </c>
      <c r="F166" s="166">
        <f t="shared" ref="F166:I166" si="57">SUM(F128:F165)</f>
        <v>825390</v>
      </c>
      <c r="G166" s="166">
        <f t="shared" si="57"/>
        <v>-29150</v>
      </c>
      <c r="H166" s="166">
        <f t="shared" si="57"/>
        <v>0</v>
      </c>
      <c r="I166" s="166">
        <f t="shared" si="57"/>
        <v>796240</v>
      </c>
      <c r="J166" s="167">
        <f t="shared" si="55"/>
        <v>0.34172510579126719</v>
      </c>
      <c r="K166" s="458"/>
      <c r="L166" s="163"/>
      <c r="M166" s="163"/>
      <c r="O166" s="329">
        <f>I166/I$233</f>
        <v>80.185297079556904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34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350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'[75]Sch C'!D175</f>
        <v>0</v>
      </c>
      <c r="D169" s="480">
        <f>'[75]Sch C'!F175</f>
        <v>0</v>
      </c>
      <c r="E169" s="480">
        <f>+'[75]Sch C'!H175</f>
        <v>0</v>
      </c>
      <c r="F169" s="166">
        <f t="shared" ref="F169:F201" si="58">C169+D169+E169</f>
        <v>0</v>
      </c>
      <c r="G169" s="626"/>
      <c r="H169" s="610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'[75]Sch C'!D176</f>
        <v>0</v>
      </c>
      <c r="D170" s="480">
        <f>'[75]Sch C'!F176</f>
        <v>0</v>
      </c>
      <c r="E170" s="480">
        <f>+'[75]Sch C'!H176</f>
        <v>0</v>
      </c>
      <c r="F170" s="166">
        <f t="shared" si="58"/>
        <v>0</v>
      </c>
      <c r="G170" s="626"/>
      <c r="H170" s="610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'[75]Sch C'!D177</f>
        <v>0</v>
      </c>
      <c r="D171" s="480">
        <f>'[75]Sch C'!F177</f>
        <v>0</v>
      </c>
      <c r="E171" s="480">
        <f>+'[75]Sch C'!H177</f>
        <v>0</v>
      </c>
      <c r="F171" s="166">
        <f t="shared" si="58"/>
        <v>0</v>
      </c>
      <c r="G171" s="626"/>
      <c r="H171" s="610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'[75]Sch C'!D178</f>
        <v>0</v>
      </c>
      <c r="D172" s="480">
        <f>'[75]Sch C'!F178</f>
        <v>0</v>
      </c>
      <c r="E172" s="480">
        <f>+'[75]Sch C'!H178</f>
        <v>0</v>
      </c>
      <c r="F172" s="166">
        <f t="shared" si="58"/>
        <v>0</v>
      </c>
      <c r="G172" s="626"/>
      <c r="H172" s="610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'[75]Sch C'!D179</f>
        <v>0</v>
      </c>
      <c r="D173" s="480">
        <f>'[75]Sch C'!F179</f>
        <v>0</v>
      </c>
      <c r="E173" s="480">
        <f>+'[75]Sch C'!H179</f>
        <v>0</v>
      </c>
      <c r="F173" s="166">
        <f t="shared" si="58"/>
        <v>0</v>
      </c>
      <c r="G173" s="626"/>
      <c r="H173" s="610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'[75]Sch C'!D180</f>
        <v>0</v>
      </c>
      <c r="D174" s="480">
        <f>'[75]Sch C'!F180</f>
        <v>0</v>
      </c>
      <c r="E174" s="480">
        <f>+'[75]Sch C'!H180</f>
        <v>0</v>
      </c>
      <c r="F174" s="166">
        <f t="shared" si="58"/>
        <v>0</v>
      </c>
      <c r="G174" s="626"/>
      <c r="H174" s="610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'[75]Sch C'!D181</f>
        <v>0</v>
      </c>
      <c r="D175" s="480">
        <f>'[75]Sch C'!F181</f>
        <v>0</v>
      </c>
      <c r="E175" s="480">
        <f>+'[75]Sch C'!H181</f>
        <v>0</v>
      </c>
      <c r="F175" s="166">
        <f t="shared" si="58"/>
        <v>0</v>
      </c>
      <c r="G175" s="626"/>
      <c r="H175" s="610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'[75]Sch C'!D182</f>
        <v>0</v>
      </c>
      <c r="D176" s="480">
        <f>'[75]Sch C'!F182</f>
        <v>0</v>
      </c>
      <c r="E176" s="480">
        <f>+'[75]Sch C'!H182</f>
        <v>0</v>
      </c>
      <c r="F176" s="166">
        <f t="shared" si="58"/>
        <v>0</v>
      </c>
      <c r="G176" s="626"/>
      <c r="H176" s="610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'[75]Sch C'!D183</f>
        <v>0</v>
      </c>
      <c r="D177" s="480">
        <f>'[75]Sch C'!F183</f>
        <v>0</v>
      </c>
      <c r="E177" s="480">
        <f>+'[75]Sch C'!H183</f>
        <v>0</v>
      </c>
      <c r="F177" s="166">
        <f t="shared" si="58"/>
        <v>0</v>
      </c>
      <c r="G177" s="626"/>
      <c r="H177" s="610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'[75]Sch C'!D184</f>
        <v>0</v>
      </c>
      <c r="D178" s="480">
        <f>'[75]Sch C'!F184</f>
        <v>0</v>
      </c>
      <c r="E178" s="480">
        <f>+'[75]Sch C'!H184</f>
        <v>0</v>
      </c>
      <c r="F178" s="166">
        <f t="shared" si="58"/>
        <v>0</v>
      </c>
      <c r="G178" s="626"/>
      <c r="H178" s="610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'[75]Sch C'!D185</f>
        <v>0</v>
      </c>
      <c r="D179" s="480">
        <f>'[75]Sch C'!F185</f>
        <v>0</v>
      </c>
      <c r="E179" s="480">
        <f>+'[75]Sch C'!H185</f>
        <v>0</v>
      </c>
      <c r="F179" s="166">
        <f t="shared" si="58"/>
        <v>0</v>
      </c>
      <c r="G179" s="626"/>
      <c r="H179" s="610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'[75]Sch C'!D186</f>
        <v>0</v>
      </c>
      <c r="D180" s="480">
        <f>'[75]Sch C'!F186</f>
        <v>0</v>
      </c>
      <c r="E180" s="480">
        <f>+'[75]Sch C'!H186</f>
        <v>0</v>
      </c>
      <c r="F180" s="166">
        <f t="shared" si="58"/>
        <v>0</v>
      </c>
      <c r="G180" s="626"/>
      <c r="H180" s="610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'[75]Sch C'!D187</f>
        <v>0</v>
      </c>
      <c r="D181" s="480">
        <f>'[75]Sch C'!F187</f>
        <v>0</v>
      </c>
      <c r="E181" s="480">
        <f>+'[75]Sch C'!H187</f>
        <v>0</v>
      </c>
      <c r="F181" s="166">
        <f t="shared" si="58"/>
        <v>0</v>
      </c>
      <c r="G181" s="626"/>
      <c r="H181" s="610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'[75]Sch C'!D188</f>
        <v>0</v>
      </c>
      <c r="D182" s="480">
        <f>'[75]Sch C'!F188</f>
        <v>0</v>
      </c>
      <c r="E182" s="480">
        <f>+'[75]Sch C'!H188</f>
        <v>0</v>
      </c>
      <c r="F182" s="166">
        <f t="shared" si="58"/>
        <v>0</v>
      </c>
      <c r="G182" s="626"/>
      <c r="H182" s="610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'[75]Sch C'!D189</f>
        <v>0</v>
      </c>
      <c r="D183" s="480">
        <f>'[75]Sch C'!F189</f>
        <v>0</v>
      </c>
      <c r="E183" s="480">
        <f>+'[75]Sch C'!H189</f>
        <v>0</v>
      </c>
      <c r="F183" s="166">
        <f t="shared" si="58"/>
        <v>0</v>
      </c>
      <c r="G183" s="626"/>
      <c r="H183" s="610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'[75]Sch C'!D190</f>
        <v>0</v>
      </c>
      <c r="D184" s="480">
        <f>'[75]Sch C'!F190</f>
        <v>0</v>
      </c>
      <c r="E184" s="480">
        <f>+'[75]Sch C'!H190</f>
        <v>0</v>
      </c>
      <c r="F184" s="166">
        <f t="shared" si="58"/>
        <v>0</v>
      </c>
      <c r="G184" s="626"/>
      <c r="H184" s="610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'[75]Sch C'!D191</f>
        <v>0</v>
      </c>
      <c r="D185" s="480">
        <f>'[75]Sch C'!F191</f>
        <v>0</v>
      </c>
      <c r="E185" s="480">
        <f>+'[75]Sch C'!H191</f>
        <v>0</v>
      </c>
      <c r="F185" s="166">
        <f t="shared" si="58"/>
        <v>0</v>
      </c>
      <c r="G185" s="626"/>
      <c r="H185" s="610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'[75]Sch C'!D192</f>
        <v>0</v>
      </c>
      <c r="D186" s="480">
        <f>'[75]Sch C'!F192</f>
        <v>0</v>
      </c>
      <c r="E186" s="480">
        <f>+'[75]Sch C'!H192</f>
        <v>0</v>
      </c>
      <c r="F186" s="166">
        <f t="shared" si="58"/>
        <v>0</v>
      </c>
      <c r="G186" s="626"/>
      <c r="H186" s="610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'[75]Sch C'!D193</f>
        <v>0</v>
      </c>
      <c r="D187" s="480">
        <f>'[75]Sch C'!F193</f>
        <v>0</v>
      </c>
      <c r="E187" s="480">
        <f>+'[75]Sch C'!H193</f>
        <v>0</v>
      </c>
      <c r="F187" s="166">
        <f t="shared" si="58"/>
        <v>0</v>
      </c>
      <c r="G187" s="626"/>
      <c r="H187" s="610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'[75]Sch C'!D194</f>
        <v>140075</v>
      </c>
      <c r="D188" s="480">
        <f>'[75]Sch C'!F194</f>
        <v>0</v>
      </c>
      <c r="E188" s="480">
        <f>+'[75]Sch C'!H194</f>
        <v>0</v>
      </c>
      <c r="F188" s="166">
        <f t="shared" si="58"/>
        <v>140075</v>
      </c>
      <c r="G188" s="626"/>
      <c r="H188" s="610"/>
      <c r="I188" s="166">
        <f t="shared" si="59"/>
        <v>140075</v>
      </c>
      <c r="J188" s="167">
        <f t="shared" si="60"/>
        <v>6.0116477687269854E-2</v>
      </c>
      <c r="K188" s="458"/>
      <c r="L188" s="213"/>
      <c r="M188" s="208"/>
      <c r="O188" s="329">
        <f t="shared" si="61"/>
        <v>14.106243705941591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'[75]Sch C'!D195</f>
        <v>10964</v>
      </c>
      <c r="D189" s="480">
        <f>'[75]Sch C'!F195</f>
        <v>0</v>
      </c>
      <c r="E189" s="480">
        <f>+'[75]Sch C'!H195</f>
        <v>0</v>
      </c>
      <c r="F189" s="166">
        <f t="shared" si="58"/>
        <v>10964</v>
      </c>
      <c r="G189" s="626"/>
      <c r="H189" s="610"/>
      <c r="I189" s="166">
        <f t="shared" si="59"/>
        <v>10964</v>
      </c>
      <c r="J189" s="167">
        <f t="shared" si="60"/>
        <v>4.7054582285434706E-3</v>
      </c>
      <c r="K189" s="458"/>
      <c r="L189" s="213"/>
      <c r="M189" s="208"/>
      <c r="O189" s="329">
        <f t="shared" si="61"/>
        <v>1.1041289023162135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'[75]Sch C'!D196</f>
        <v>0</v>
      </c>
      <c r="D190" s="480">
        <f>'[75]Sch C'!F196</f>
        <v>0</v>
      </c>
      <c r="E190" s="480">
        <f>+'[75]Sch C'!H196</f>
        <v>0</v>
      </c>
      <c r="F190" s="166">
        <f t="shared" si="58"/>
        <v>0</v>
      </c>
      <c r="G190" s="626"/>
      <c r="H190" s="610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'[75]Sch C'!D197</f>
        <v>128511</v>
      </c>
      <c r="D191" s="480">
        <f>'[75]Sch C'!F197</f>
        <v>0</v>
      </c>
      <c r="E191" s="480">
        <f>+'[75]Sch C'!H197</f>
        <v>0</v>
      </c>
      <c r="F191" s="166">
        <f t="shared" si="58"/>
        <v>128511</v>
      </c>
      <c r="G191" s="626"/>
      <c r="H191" s="610"/>
      <c r="I191" s="166">
        <f t="shared" si="59"/>
        <v>128511</v>
      </c>
      <c r="J191" s="167">
        <f t="shared" si="60"/>
        <v>5.5153515360119483E-2</v>
      </c>
      <c r="K191" s="458"/>
      <c r="L191" s="213"/>
      <c r="M191" s="208"/>
      <c r="O191" s="329">
        <f t="shared" si="61"/>
        <v>12.941691842900303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'[75]Sch C'!D198</f>
        <v>11158</v>
      </c>
      <c r="D192" s="480">
        <f>'[75]Sch C'!F198</f>
        <v>0</v>
      </c>
      <c r="E192" s="480">
        <f>+'[75]Sch C'!H198</f>
        <v>0</v>
      </c>
      <c r="F192" s="166">
        <f t="shared" si="58"/>
        <v>11158</v>
      </c>
      <c r="G192" s="626"/>
      <c r="H192" s="610"/>
      <c r="I192" s="166">
        <f t="shared" si="59"/>
        <v>11158</v>
      </c>
      <c r="J192" s="167">
        <f t="shared" si="60"/>
        <v>4.7887178870930358E-3</v>
      </c>
      <c r="K192" s="458"/>
      <c r="L192" s="213"/>
      <c r="M192" s="208"/>
      <c r="O192" s="329">
        <f t="shared" si="61"/>
        <v>1.1236656596173213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'[75]Sch C'!D199</f>
        <v>0</v>
      </c>
      <c r="D193" s="480">
        <f>'[75]Sch C'!F199</f>
        <v>0</v>
      </c>
      <c r="E193" s="480">
        <f>+'[75]Sch C'!H199</f>
        <v>0</v>
      </c>
      <c r="F193" s="166">
        <f t="shared" si="58"/>
        <v>0</v>
      </c>
      <c r="G193" s="626"/>
      <c r="H193" s="610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'[75]Sch C'!D200</f>
        <v>0</v>
      </c>
      <c r="D194" s="480">
        <f>'[75]Sch C'!F200</f>
        <v>0</v>
      </c>
      <c r="E194" s="480">
        <f>+'[75]Sch C'!H200</f>
        <v>0</v>
      </c>
      <c r="F194" s="166">
        <f t="shared" si="58"/>
        <v>0</v>
      </c>
      <c r="G194" s="626"/>
      <c r="H194" s="610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'[75]Sch C'!D201</f>
        <v>0</v>
      </c>
      <c r="D195" s="480">
        <f>'[75]Sch C'!F201</f>
        <v>0</v>
      </c>
      <c r="E195" s="480">
        <f>+'[75]Sch C'!H201</f>
        <v>0</v>
      </c>
      <c r="F195" s="166">
        <f t="shared" si="58"/>
        <v>0</v>
      </c>
      <c r="G195" s="626"/>
      <c r="H195" s="610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'[75]Sch C'!D202</f>
        <v>0</v>
      </c>
      <c r="D196" s="480">
        <f>'[75]Sch C'!F202</f>
        <v>0</v>
      </c>
      <c r="E196" s="480">
        <f>+'[75]Sch C'!H202</f>
        <v>0</v>
      </c>
      <c r="F196" s="166">
        <f t="shared" si="58"/>
        <v>0</v>
      </c>
      <c r="G196" s="626"/>
      <c r="H196" s="610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'[75]Sch C'!D203</f>
        <v>0</v>
      </c>
      <c r="D197" s="480">
        <f>'[75]Sch C'!F203</f>
        <v>0</v>
      </c>
      <c r="E197" s="480">
        <f>+'[75]Sch C'!H203</f>
        <v>0</v>
      </c>
      <c r="F197" s="166">
        <f t="shared" si="58"/>
        <v>0</v>
      </c>
      <c r="G197" s="626"/>
      <c r="H197" s="610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'[75]Sch C'!D204</f>
        <v>0</v>
      </c>
      <c r="D198" s="480">
        <f>'[75]Sch C'!F204</f>
        <v>0</v>
      </c>
      <c r="E198" s="480">
        <f>+'[75]Sch C'!H204</f>
        <v>0</v>
      </c>
      <c r="F198" s="166">
        <f t="shared" si="58"/>
        <v>0</v>
      </c>
      <c r="G198" s="626"/>
      <c r="H198" s="610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'[75]Sch C'!D205</f>
        <v>95765</v>
      </c>
      <c r="D199" s="480">
        <f>'[75]Sch C'!F205</f>
        <v>0</v>
      </c>
      <c r="E199" s="480">
        <f>+'[75]Sch C'!H205</f>
        <v>0</v>
      </c>
      <c r="F199" s="166">
        <f t="shared" si="58"/>
        <v>95765</v>
      </c>
      <c r="G199" s="626"/>
      <c r="H199" s="610"/>
      <c r="I199" s="166">
        <f t="shared" si="59"/>
        <v>95765</v>
      </c>
      <c r="J199" s="167">
        <f t="shared" si="60"/>
        <v>4.1099800005150081E-2</v>
      </c>
      <c r="K199" s="458"/>
      <c r="L199" s="213"/>
      <c r="M199" s="208"/>
      <c r="O199" s="329">
        <f t="shared" si="61"/>
        <v>9.6440080563947639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'[75]Sch C'!D206</f>
        <v>0</v>
      </c>
      <c r="D200" s="480">
        <f>'[75]Sch C'!F206</f>
        <v>0</v>
      </c>
      <c r="E200" s="480">
        <f>+'[75]Sch C'!H206</f>
        <v>0</v>
      </c>
      <c r="F200" s="166">
        <f t="shared" si="58"/>
        <v>0</v>
      </c>
      <c r="G200" s="626"/>
      <c r="H200" s="610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'[75]Sch C'!D207</f>
        <v>0</v>
      </c>
      <c r="D201" s="480">
        <f>'[75]Sch C'!F207</f>
        <v>0</v>
      </c>
      <c r="E201" s="480">
        <f>+'[75]Sch C'!H207</f>
        <v>0</v>
      </c>
      <c r="F201" s="166">
        <f t="shared" si="58"/>
        <v>0</v>
      </c>
      <c r="G201" s="626"/>
      <c r="H201" s="610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386473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386473</v>
      </c>
      <c r="G202" s="166">
        <f t="shared" si="63"/>
        <v>0</v>
      </c>
      <c r="H202" s="166">
        <f t="shared" si="63"/>
        <v>0</v>
      </c>
      <c r="I202" s="166">
        <f t="shared" si="63"/>
        <v>386473</v>
      </c>
      <c r="J202" s="167">
        <f>IF($I$213=0,0,I202/$I$213)</f>
        <v>0.16586396916817592</v>
      </c>
      <c r="K202" s="458"/>
      <c r="L202" s="163"/>
      <c r="M202" s="163"/>
      <c r="O202" s="329">
        <f>I202/I$233</f>
        <v>38.919738167170195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346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346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'[75]Sch C'!D211</f>
        <v>60166</v>
      </c>
      <c r="D205" s="480">
        <f>'[75]Sch C'!F211</f>
        <v>0</v>
      </c>
      <c r="E205" s="480">
        <f>+'[75]Sch C'!H211</f>
        <v>0</v>
      </c>
      <c r="F205" s="166">
        <f t="shared" ref="F205:F210" si="64">C205+D205+E205</f>
        <v>60166</v>
      </c>
      <c r="G205" s="626"/>
      <c r="H205" s="610"/>
      <c r="I205" s="166">
        <f t="shared" ref="I205:I210" si="65">F205+G205+H205</f>
        <v>60166</v>
      </c>
      <c r="J205" s="167">
        <f t="shared" ref="J205:J211" si="66">IF($I$213=0,0,I205/$I$213)</f>
        <v>2.5821652661304859E-2</v>
      </c>
      <c r="K205" s="458"/>
      <c r="L205" s="176">
        <v>3814</v>
      </c>
      <c r="M205" s="176">
        <v>3979</v>
      </c>
      <c r="O205" s="329">
        <f t="shared" ref="O205:O210" si="67">I205/I$233</f>
        <v>6.0590130916414902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'[75]Sch C'!D212</f>
        <v>5092</v>
      </c>
      <c r="D206" s="480">
        <f>'[75]Sch C'!F212</f>
        <v>3613</v>
      </c>
      <c r="E206" s="480">
        <f>+'[75]Sch C'!H212</f>
        <v>0</v>
      </c>
      <c r="F206" s="166">
        <f t="shared" si="64"/>
        <v>8705</v>
      </c>
      <c r="G206" s="626"/>
      <c r="H206" s="610"/>
      <c r="I206" s="166">
        <f t="shared" si="65"/>
        <v>8705</v>
      </c>
      <c r="J206" s="167">
        <f t="shared" si="66"/>
        <v>3.735955297288482E-3</v>
      </c>
      <c r="K206" s="458"/>
      <c r="L206" s="163"/>
      <c r="M206" s="163"/>
      <c r="O206" s="329">
        <f t="shared" si="67"/>
        <v>0.87663645518630418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'[75]Sch C'!D213</f>
        <v>13605</v>
      </c>
      <c r="D207" s="480">
        <f>'[75]Sch C'!F213</f>
        <v>0</v>
      </c>
      <c r="E207" s="480">
        <f>+'[75]Sch C'!H213</f>
        <v>0</v>
      </c>
      <c r="F207" s="166">
        <f t="shared" si="64"/>
        <v>13605</v>
      </c>
      <c r="G207" s="626"/>
      <c r="H207" s="610"/>
      <c r="I207" s="166">
        <f t="shared" si="65"/>
        <v>13605</v>
      </c>
      <c r="J207" s="167">
        <f t="shared" si="66"/>
        <v>5.8389054359115214E-3</v>
      </c>
      <c r="K207" s="458"/>
      <c r="L207" s="163"/>
      <c r="M207" s="235"/>
      <c r="O207" s="329">
        <f t="shared" si="67"/>
        <v>1.3700906344410877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'[75]Sch C'!D214</f>
        <v>0</v>
      </c>
      <c r="D208" s="480">
        <f>'[75]Sch C'!F214</f>
        <v>0</v>
      </c>
      <c r="E208" s="480">
        <f>+'[75]Sch C'!H214</f>
        <v>0</v>
      </c>
      <c r="F208" s="166">
        <f t="shared" si="64"/>
        <v>0</v>
      </c>
      <c r="G208" s="626"/>
      <c r="H208" s="610"/>
      <c r="I208" s="166">
        <f t="shared" si="65"/>
        <v>0</v>
      </c>
      <c r="J208" s="167">
        <f t="shared" si="66"/>
        <v>0</v>
      </c>
      <c r="K208" s="458"/>
      <c r="L208" s="163"/>
      <c r="M208" s="235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'[75]Sch C'!D215</f>
        <v>0</v>
      </c>
      <c r="D209" s="480">
        <f>'[75]Sch C'!F215</f>
        <v>0</v>
      </c>
      <c r="E209" s="480">
        <f>+'[75]Sch C'!H215</f>
        <v>0</v>
      </c>
      <c r="F209" s="166">
        <f t="shared" si="64"/>
        <v>0</v>
      </c>
      <c r="G209" s="626"/>
      <c r="H209" s="610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'[75]Sch C'!D216</f>
        <v>6973</v>
      </c>
      <c r="D210" s="480">
        <f>'[75]Sch C'!F216</f>
        <v>0</v>
      </c>
      <c r="E210" s="480">
        <f>+'[75]Sch C'!H216</f>
        <v>0</v>
      </c>
      <c r="F210" s="166">
        <f t="shared" si="64"/>
        <v>6973</v>
      </c>
      <c r="G210" s="626"/>
      <c r="H210" s="610"/>
      <c r="I210" s="166">
        <f t="shared" si="65"/>
        <v>6973</v>
      </c>
      <c r="J210" s="167">
        <f t="shared" si="66"/>
        <v>2.9926267993098891E-3</v>
      </c>
      <c r="K210" s="458"/>
      <c r="L210" s="163"/>
      <c r="M210" s="163"/>
      <c r="O210" s="329">
        <f t="shared" si="67"/>
        <v>0.70221550855991943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85836</v>
      </c>
      <c r="D211" s="480">
        <f t="shared" si="68"/>
        <v>3613</v>
      </c>
      <c r="E211" s="480">
        <f t="shared" si="68"/>
        <v>0</v>
      </c>
      <c r="F211" s="166">
        <f t="shared" ref="F211:I211" si="69">SUM(F205:F210)</f>
        <v>89449</v>
      </c>
      <c r="G211" s="166">
        <f t="shared" si="69"/>
        <v>0</v>
      </c>
      <c r="H211" s="166">
        <f t="shared" si="69"/>
        <v>0</v>
      </c>
      <c r="I211" s="166">
        <f t="shared" si="69"/>
        <v>89449</v>
      </c>
      <c r="J211" s="167">
        <f t="shared" si="66"/>
        <v>3.8389140193814751E-2</v>
      </c>
      <c r="K211" s="458"/>
      <c r="L211" s="163"/>
      <c r="M211" s="163"/>
      <c r="O211" s="329">
        <f>I211/I$233</f>
        <v>9.0079556898288011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46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3008574</v>
      </c>
      <c r="D213" s="480">
        <f t="shared" si="70"/>
        <v>-128293</v>
      </c>
      <c r="E213" s="480">
        <f t="shared" si="70"/>
        <v>-523677</v>
      </c>
      <c r="F213" s="166">
        <f t="shared" ref="F213:I213" si="71">SUM(F30:F211)/2</f>
        <v>2356604</v>
      </c>
      <c r="G213" s="166">
        <f t="shared" si="71"/>
        <v>-26544</v>
      </c>
      <c r="H213" s="166">
        <f t="shared" si="71"/>
        <v>0</v>
      </c>
      <c r="I213" s="166">
        <f t="shared" si="71"/>
        <v>2330060</v>
      </c>
      <c r="J213" s="167">
        <f>IF($I$213=0,0,I213/$I$213)</f>
        <v>1</v>
      </c>
      <c r="K213" s="458"/>
      <c r="L213" s="176">
        <f>SUM(L30:L205)</f>
        <v>47893</v>
      </c>
      <c r="M213" s="176">
        <f>SUM(M30:M205)</f>
        <v>48673</v>
      </c>
      <c r="O213" s="329">
        <f>I213/I$233</f>
        <v>234.64853977844913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 s="406" t="s">
        <v>182</v>
      </c>
      <c r="I215"/>
      <c r="K215" s="460"/>
      <c r="L215"/>
      <c r="M215"/>
    </row>
    <row r="216" spans="1:16" s="162" customFormat="1" ht="15.5">
      <c r="A216" s="158"/>
      <c r="B216" s="218" t="s">
        <v>172</v>
      </c>
      <c r="C216" s="480">
        <f>'[75]Sch C'!D221</f>
        <v>3008574</v>
      </c>
      <c r="D216" s="188"/>
      <c r="E216" s="188"/>
      <c r="F216" s="160"/>
      <c r="G216" s="160"/>
      <c r="H216" s="406"/>
      <c r="I216"/>
      <c r="K216" s="460"/>
      <c r="L216"/>
      <c r="M216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06"/>
      <c r="I217"/>
      <c r="K217" s="460"/>
      <c r="L217"/>
      <c r="M217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 s="351"/>
      <c r="I218" s="221"/>
      <c r="J218" s="161"/>
      <c r="K218" s="463"/>
      <c r="L218"/>
      <c r="M218"/>
    </row>
    <row r="219" spans="1:16" s="162" customFormat="1" ht="15.5">
      <c r="A219" s="164"/>
      <c r="B219" s="218"/>
      <c r="C219" s="160"/>
      <c r="D219" s="160"/>
      <c r="E219" s="160"/>
      <c r="F219" s="160"/>
      <c r="G219" s="160"/>
      <c r="H219" s="346"/>
      <c r="I219" s="160"/>
      <c r="K219" s="460"/>
      <c r="L219"/>
      <c r="M219"/>
    </row>
    <row r="220" spans="1:16" s="162" customFormat="1">
      <c r="A220" s="158"/>
      <c r="B220" s="218" t="s">
        <v>70</v>
      </c>
      <c r="C220" s="480">
        <f t="shared" ref="C220:E220" si="72">C26-C213</f>
        <v>196502</v>
      </c>
      <c r="D220" s="480">
        <f t="shared" si="72"/>
        <v>452263</v>
      </c>
      <c r="E220" s="480">
        <f t="shared" si="72"/>
        <v>523677</v>
      </c>
      <c r="F220" s="166">
        <f t="shared" ref="F220:I220" si="73">F26-F213</f>
        <v>1172442</v>
      </c>
      <c r="G220" s="166">
        <f t="shared" si="73"/>
        <v>23354</v>
      </c>
      <c r="H220" s="166">
        <f t="shared" si="73"/>
        <v>0</v>
      </c>
      <c r="I220" s="166">
        <f t="shared" si="73"/>
        <v>1195796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4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34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259" t="s">
        <v>731</v>
      </c>
      <c r="H223" s="346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'[75]Sch D'!C9</f>
        <v>7602</v>
      </c>
      <c r="D224" s="504"/>
      <c r="E224" s="480"/>
      <c r="F224" s="224">
        <f>C224+D224+E224</f>
        <v>7602</v>
      </c>
      <c r="G224" s="627">
        <v>-16</v>
      </c>
      <c r="H224" s="352"/>
      <c r="I224" s="224">
        <f>F224+G224+H224</f>
        <v>7586</v>
      </c>
      <c r="J224" s="167">
        <f t="shared" ref="J224:J233" si="74">IF($I$233=0,0,I224/$I$233)</f>
        <v>0.76394763343403826</v>
      </c>
      <c r="K224" s="457" t="s">
        <v>374</v>
      </c>
      <c r="L224" s="163"/>
      <c r="M224" s="163"/>
    </row>
    <row r="225" spans="1:13">
      <c r="A225" s="158"/>
      <c r="B225" s="165" t="s">
        <v>201</v>
      </c>
      <c r="C225" s="504">
        <f>'[75]Sch D'!D9</f>
        <v>0</v>
      </c>
      <c r="D225" s="504"/>
      <c r="E225" s="480"/>
      <c r="F225" s="224">
        <f t="shared" ref="F225:F232" si="75">C225+D225+E225</f>
        <v>0</v>
      </c>
      <c r="G225" s="627"/>
      <c r="H225" s="352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'[75]Sch D'!E9</f>
        <v>1822</v>
      </c>
      <c r="D226" s="504"/>
      <c r="E226" s="480"/>
      <c r="F226" s="224">
        <f t="shared" si="75"/>
        <v>1822</v>
      </c>
      <c r="G226" s="627"/>
      <c r="H226" s="352"/>
      <c r="I226" s="224">
        <f t="shared" si="76"/>
        <v>1822</v>
      </c>
      <c r="J226" s="167">
        <f t="shared" si="74"/>
        <v>0.18348439073514602</v>
      </c>
      <c r="K226" s="458"/>
      <c r="L226" s="163"/>
      <c r="M226" s="163"/>
    </row>
    <row r="227" spans="1:13">
      <c r="A227" s="158"/>
      <c r="B227" s="194" t="s">
        <v>315</v>
      </c>
      <c r="C227" s="504">
        <f>'[75]Sch D'!F9</f>
        <v>0</v>
      </c>
      <c r="D227" s="504"/>
      <c r="E227" s="480"/>
      <c r="F227" s="224">
        <f t="shared" si="75"/>
        <v>0</v>
      </c>
      <c r="G227" s="627"/>
      <c r="H227" s="352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'[75]Sch D'!G9</f>
        <v>0</v>
      </c>
      <c r="D228" s="504"/>
      <c r="E228" s="480"/>
      <c r="F228" s="224">
        <f t="shared" si="75"/>
        <v>0</v>
      </c>
      <c r="G228" s="627"/>
      <c r="H228" s="352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'[75]Sch D'!H9</f>
        <v>506</v>
      </c>
      <c r="D229" s="504"/>
      <c r="E229" s="480"/>
      <c r="F229" s="224">
        <f t="shared" si="75"/>
        <v>506</v>
      </c>
      <c r="G229" s="627">
        <v>16</v>
      </c>
      <c r="H229" s="352"/>
      <c r="I229" s="224">
        <f t="shared" si="76"/>
        <v>522</v>
      </c>
      <c r="J229" s="167">
        <f t="shared" si="74"/>
        <v>5.2567975830815711E-2</v>
      </c>
      <c r="K229" s="457" t="s">
        <v>374</v>
      </c>
      <c r="L229" s="163"/>
      <c r="M229" s="163"/>
    </row>
    <row r="230" spans="1:13">
      <c r="A230" s="158"/>
      <c r="B230" s="165" t="s">
        <v>219</v>
      </c>
      <c r="C230" s="504">
        <f>'[75]Sch D'!I9</f>
        <v>0</v>
      </c>
      <c r="D230" s="504"/>
      <c r="E230" s="480"/>
      <c r="F230" s="224">
        <f t="shared" si="75"/>
        <v>0</v>
      </c>
      <c r="G230" s="627"/>
      <c r="H230" s="352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'[75]Sch D'!J9</f>
        <v>0</v>
      </c>
      <c r="D231" s="504"/>
      <c r="E231" s="480"/>
      <c r="F231" s="224">
        <f t="shared" si="75"/>
        <v>0</v>
      </c>
      <c r="G231" s="627"/>
      <c r="H231" s="352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'[75]Sch D'!K9</f>
        <v>0</v>
      </c>
      <c r="D232" s="504"/>
      <c r="E232" s="480"/>
      <c r="F232" s="224">
        <f t="shared" si="75"/>
        <v>0</v>
      </c>
      <c r="G232" s="627"/>
      <c r="H232" s="352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9930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9930</v>
      </c>
      <c r="G233" s="353">
        <f t="shared" si="78"/>
        <v>0</v>
      </c>
      <c r="H233" s="353">
        <f t="shared" si="78"/>
        <v>0</v>
      </c>
      <c r="I233" s="226">
        <f t="shared" si="78"/>
        <v>9930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354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5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'[75]Sch D'!N22</f>
        <v>29</v>
      </c>
      <c r="D236" s="480"/>
      <c r="E236" s="480"/>
      <c r="F236" s="224">
        <f>C236+E236</f>
        <v>29</v>
      </c>
      <c r="G236" s="627"/>
      <c r="H236" s="355"/>
      <c r="I236" s="224">
        <f>F236+G236+H236</f>
        <v>29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'[75]Sch D'!N24</f>
        <v>29</v>
      </c>
      <c r="D237" s="480"/>
      <c r="E237" s="480"/>
      <c r="F237" s="224">
        <f>C237+E237</f>
        <v>29</v>
      </c>
      <c r="G237" s="627"/>
      <c r="H237" s="355"/>
      <c r="I237" s="224">
        <f>F237+G237+H237</f>
        <v>29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356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356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'[75]Sch D'!N28</f>
        <v>10585</v>
      </c>
      <c r="D240" s="427"/>
      <c r="E240" s="427"/>
      <c r="F240" s="223">
        <f>F236*F238</f>
        <v>10585</v>
      </c>
      <c r="G240"/>
      <c r="H240" s="356"/>
      <c r="I240" s="223">
        <f>I236*I238</f>
        <v>10585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'[75]Sch D'!N30</f>
        <v>0.93811998110533779</v>
      </c>
      <c r="D241" s="228"/>
      <c r="E241" s="228"/>
      <c r="F241" s="232">
        <f>F233/F240</f>
        <v>0.93811998110533779</v>
      </c>
      <c r="G241"/>
      <c r="H241" s="357"/>
      <c r="I241" s="232">
        <f>I233/I240</f>
        <v>0.93811998110533779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'[75]Sch D'!N32</f>
        <v>0.71818611242324049</v>
      </c>
      <c r="D242" s="228"/>
      <c r="E242" s="228"/>
      <c r="F242" s="232">
        <f>(F224+F225)/F240</f>
        <v>0.71818611242324049</v>
      </c>
      <c r="G242"/>
      <c r="H242" s="357"/>
      <c r="I242" s="232">
        <f>(I224+I225)/I240</f>
        <v>0.71667453944260751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'[75]Sch D'!N34</f>
        <v>0.76555891238670692</v>
      </c>
      <c r="D243" s="228"/>
      <c r="E243" s="228"/>
      <c r="F243" s="232">
        <f>(F242/F241)</f>
        <v>0.76555891238670692</v>
      </c>
      <c r="G243"/>
      <c r="H243" s="357"/>
      <c r="I243" s="232">
        <f>(I242/I241)</f>
        <v>0.76394763343403826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358" t="s">
        <v>321</v>
      </c>
      <c r="I246" s="480">
        <f>'[75]Sch B'!C90</f>
        <v>40.630602409638556</v>
      </c>
      <c r="K246" s="460"/>
    </row>
    <row r="247" spans="1:13">
      <c r="H247" s="358" t="s">
        <v>322</v>
      </c>
      <c r="I247" s="480">
        <f>'[75]Sch B'!E90</f>
        <v>311.17411764705884</v>
      </c>
      <c r="K247" s="460"/>
    </row>
    <row r="248" spans="1:13">
      <c r="H248" s="358" t="s">
        <v>323</v>
      </c>
      <c r="I248" s="480">
        <f>'[75]Sch B'!G90</f>
        <v>6.8420481927710837</v>
      </c>
      <c r="K248" s="460"/>
    </row>
    <row r="249" spans="1:13">
      <c r="H249" s="358" t="s">
        <v>324</v>
      </c>
      <c r="I249" s="480">
        <f>'[75]Sch B'!I90</f>
        <v>500</v>
      </c>
      <c r="K249" s="460"/>
    </row>
    <row r="250" spans="1:13">
      <c r="H250" s="358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7" sqref="F17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21">
    <tabColor rgb="FFE28CAB"/>
    <pageSetUpPr fitToPage="1"/>
  </sheetPr>
  <dimension ref="A1:P277"/>
  <sheetViews>
    <sheetView showGridLines="0" topLeftCell="A10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9" style="138" bestFit="1" customWidth="1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403</v>
      </c>
      <c r="D2" s="234"/>
      <c r="E2" s="234"/>
      <c r="F2" s="142"/>
      <c r="G2" s="142"/>
      <c r="H2" s="404" t="s">
        <v>459</v>
      </c>
    </row>
    <row r="3" spans="1:16" ht="18" customHeight="1">
      <c r="A3" s="143"/>
      <c r="B3" s="138" t="s">
        <v>71</v>
      </c>
      <c r="C3" s="557">
        <f>'[76]Sch A Pg 1'!B39</f>
        <v>42917</v>
      </c>
      <c r="D3" s="622"/>
      <c r="E3"/>
      <c r="F3" s="359"/>
      <c r="G3" s="359"/>
      <c r="H3" s="494"/>
      <c r="I3" s="359"/>
    </row>
    <row r="4" spans="1:16" ht="23.25" customHeight="1">
      <c r="A4" s="143"/>
      <c r="B4" s="145" t="s">
        <v>72</v>
      </c>
      <c r="C4" s="557">
        <f>'[76]Sch A Pg 1'!G39</f>
        <v>43281</v>
      </c>
      <c r="D4" s="622"/>
      <c r="E4"/>
      <c r="F4" s="359"/>
      <c r="G4" s="359"/>
      <c r="H4"/>
      <c r="I4" s="359"/>
    </row>
    <row r="5" spans="1:16" ht="15.5">
      <c r="A5" s="143"/>
      <c r="B5" s="145"/>
      <c r="C5" s="148"/>
      <c r="D5" s="148"/>
      <c r="E5" s="142"/>
      <c r="H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'[76]Sch B'!E10</f>
        <v>2666633.02</v>
      </c>
      <c r="D12" s="480">
        <f>'[76]Sch B'!G10</f>
        <v>0</v>
      </c>
      <c r="E12" s="480"/>
      <c r="F12" s="166">
        <f>C12+D12+E12</f>
        <v>2666633.02</v>
      </c>
      <c r="G12" s="626"/>
      <c r="H12" s="166"/>
      <c r="I12" s="166">
        <f>F12+G12+H12</f>
        <v>2666633.02</v>
      </c>
      <c r="J12" s="167">
        <f>IF($I$26=0,0,I12/$I$26)</f>
        <v>0.40747678584628805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'[76]Sch B'!E12</f>
        <v>1248728.6499999999</v>
      </c>
      <c r="D13" s="480">
        <f>'[76]Sch B'!G12</f>
        <v>727642.46000000008</v>
      </c>
      <c r="E13" s="480"/>
      <c r="F13" s="166">
        <f t="shared" ref="F13:F25" si="0">C13+D13+E13</f>
        <v>1976371.1099999999</v>
      </c>
      <c r="G13" s="626"/>
      <c r="H13" s="166"/>
      <c r="I13" s="166">
        <f t="shared" ref="I13:I25" si="1">F13+G13+H13</f>
        <v>1976371.1099999999</v>
      </c>
      <c r="J13" s="167">
        <f>IF($I$26=0,0,I13/$I$26)</f>
        <v>0.30200081582364136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'[76]Sch B'!E13</f>
        <v>-1924.4100000000301</v>
      </c>
      <c r="D14" s="480">
        <f>'[76]Sch B'!G13</f>
        <v>0</v>
      </c>
      <c r="E14" s="480"/>
      <c r="F14" s="166">
        <f t="shared" si="0"/>
        <v>-1924.4100000000301</v>
      </c>
      <c r="G14" s="626"/>
      <c r="H14" s="166"/>
      <c r="I14" s="166">
        <f t="shared" si="1"/>
        <v>-1924.4100000000301</v>
      </c>
      <c r="J14" s="167">
        <f>IF($I$26=0,0,I14/$I$26)</f>
        <v>-2.9406086085683716E-4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'[76]Sch B'!E14</f>
        <v>24527.69</v>
      </c>
      <c r="D15" s="480">
        <f>'[76]Sch B'!G14</f>
        <v>0</v>
      </c>
      <c r="E15" s="480"/>
      <c r="F15" s="166">
        <f t="shared" si="0"/>
        <v>24527.69</v>
      </c>
      <c r="G15" s="626"/>
      <c r="H15" s="166"/>
      <c r="I15" s="166">
        <f t="shared" si="1"/>
        <v>24527.69</v>
      </c>
      <c r="J15" s="167">
        <f>IF($I$26=0,0,I15/$I$26)</f>
        <v>3.7479713970669051E-3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'[76]Sch B'!E15</f>
        <v>3937964.95</v>
      </c>
      <c r="D16" s="480">
        <f>'[76]Sch B'!G15</f>
        <v>727642.46000000008</v>
      </c>
      <c r="E16" s="480"/>
      <c r="F16" s="166">
        <f t="shared" si="0"/>
        <v>4665607.41</v>
      </c>
      <c r="G16" s="626"/>
      <c r="H16" s="166"/>
      <c r="I16" s="166">
        <f>SUM(I12:I15)</f>
        <v>4665607.41</v>
      </c>
      <c r="J16" s="167">
        <f t="shared" ref="J16:J26" si="2">IF($I$26=0,0,I16/$I$26)</f>
        <v>0.71293151220613948</v>
      </c>
      <c r="K16" s="458"/>
      <c r="L16" s="333" t="s">
        <v>325</v>
      </c>
      <c r="M16" s="334">
        <f>I26</f>
        <v>6544257.5199999996</v>
      </c>
      <c r="O16" s="324">
        <f>IFERROR(I16/I224,0)</f>
        <v>324.88039899728432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'[76]Sch B'!E20</f>
        <v>0</v>
      </c>
      <c r="D17" s="480">
        <f>'[76]Sch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6222273.0800000001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'[76]Sch B'!E26</f>
        <v>570419.55000000005</v>
      </c>
      <c r="D18" s="480">
        <f>'[76]Sch B'!G26</f>
        <v>0</v>
      </c>
      <c r="E18" s="480"/>
      <c r="F18" s="166">
        <f t="shared" si="0"/>
        <v>570419.55000000005</v>
      </c>
      <c r="G18" s="626"/>
      <c r="H18" s="166"/>
      <c r="I18" s="166">
        <f t="shared" si="1"/>
        <v>570419.55000000005</v>
      </c>
      <c r="J18" s="167">
        <f t="shared" si="2"/>
        <v>8.7163371590548308E-2</v>
      </c>
      <c r="K18" s="458"/>
      <c r="L18" s="335" t="s">
        <v>327</v>
      </c>
      <c r="M18" s="336">
        <f>I233</f>
        <v>20460</v>
      </c>
      <c r="O18" s="324">
        <f t="shared" si="3"/>
        <v>545.85602870813398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'[76]Sch B'!E32</f>
        <v>660969.22000000009</v>
      </c>
      <c r="D19" s="480">
        <f>'[76]Sch B'!G32</f>
        <v>0</v>
      </c>
      <c r="E19" s="480"/>
      <c r="F19" s="166">
        <f t="shared" si="0"/>
        <v>660969.22000000009</v>
      </c>
      <c r="G19" s="626"/>
      <c r="H19" s="166"/>
      <c r="I19" s="166">
        <f t="shared" si="1"/>
        <v>660969.22000000009</v>
      </c>
      <c r="J19" s="170">
        <f t="shared" si="2"/>
        <v>0.10099987935682582</v>
      </c>
      <c r="K19" s="464"/>
      <c r="L19" s="335" t="s">
        <v>328</v>
      </c>
      <c r="M19" s="336">
        <f>I236</f>
        <v>100</v>
      </c>
      <c r="O19" s="324">
        <f t="shared" si="3"/>
        <v>341.76278179937958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'[76]Sch B'!E37</f>
        <v>0</v>
      </c>
      <c r="D20" s="480">
        <f>'[76]Sch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36500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'[76]Sch B'!E42</f>
        <v>240264.13</v>
      </c>
      <c r="D21" s="480">
        <f>'[76]Sch B'!G42</f>
        <v>0</v>
      </c>
      <c r="E21" s="480"/>
      <c r="F21" s="166">
        <f t="shared" si="0"/>
        <v>240264.13</v>
      </c>
      <c r="G21" s="626"/>
      <c r="H21" s="166"/>
      <c r="I21" s="166">
        <f t="shared" si="1"/>
        <v>240264.13</v>
      </c>
      <c r="J21" s="167">
        <f t="shared" si="2"/>
        <v>3.6713734027997116E-2</v>
      </c>
      <c r="K21" s="458"/>
      <c r="L21" s="337"/>
      <c r="M21" s="336"/>
      <c r="O21" s="324">
        <f t="shared" si="3"/>
        <v>261.44083786724701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'[76]Sch B'!E47</f>
        <v>394690.86</v>
      </c>
      <c r="D22" s="480">
        <f>'[76]Sch B'!G47</f>
        <v>0</v>
      </c>
      <c r="E22" s="480"/>
      <c r="F22" s="166">
        <f t="shared" si="0"/>
        <v>394690.86</v>
      </c>
      <c r="G22" s="626"/>
      <c r="H22" s="166"/>
      <c r="I22" s="166">
        <f t="shared" si="1"/>
        <v>394690.86</v>
      </c>
      <c r="J22" s="167">
        <f t="shared" si="2"/>
        <v>6.0311022112711728E-2</v>
      </c>
      <c r="K22" s="458"/>
      <c r="L22" s="335" t="s">
        <v>148</v>
      </c>
      <c r="M22" s="336">
        <f>L213</f>
        <v>124195.83357142856</v>
      </c>
      <c r="O22" s="324">
        <f t="shared" si="3"/>
        <v>185.04025316455696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'[76]Sch B'!E52</f>
        <v>11961.220000000001</v>
      </c>
      <c r="D23" s="480">
        <f>'[76]Sch B'!G52</f>
        <v>0</v>
      </c>
      <c r="E23" s="480"/>
      <c r="F23" s="166">
        <f t="shared" si="0"/>
        <v>11961.220000000001</v>
      </c>
      <c r="G23" s="626"/>
      <c r="H23" s="166"/>
      <c r="I23" s="166">
        <f t="shared" si="1"/>
        <v>11961.220000000001</v>
      </c>
      <c r="J23" s="167">
        <f t="shared" si="2"/>
        <v>1.8277428666957473E-3</v>
      </c>
      <c r="K23" s="458"/>
      <c r="L23" s="338" t="s">
        <v>233</v>
      </c>
      <c r="M23" s="339">
        <f>M213</f>
        <v>130660.99821642856</v>
      </c>
      <c r="O23" s="324">
        <f t="shared" si="3"/>
        <v>175.90029411764706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'[76]Sch B'!E57</f>
        <v>0</v>
      </c>
      <c r="D24" s="480">
        <f>'[76]Sch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'[76]Sch B'!E72</f>
        <v>386.56</v>
      </c>
      <c r="D25" s="480">
        <f>'[76]Sch B'!G72</f>
        <v>-41.43</v>
      </c>
      <c r="E25" s="480"/>
      <c r="F25" s="166">
        <f t="shared" si="0"/>
        <v>345.13</v>
      </c>
      <c r="G25" s="626"/>
      <c r="H25" s="166"/>
      <c r="I25" s="166">
        <f t="shared" si="1"/>
        <v>345.13</v>
      </c>
      <c r="J25" s="167">
        <f t="shared" si="2"/>
        <v>5.273783908185814E-5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5816656.4899999993</v>
      </c>
      <c r="D26" s="480">
        <f t="shared" ref="D26:F26" si="4">SUM(D16:D25)</f>
        <v>727601.03</v>
      </c>
      <c r="E26" s="480">
        <f t="shared" si="4"/>
        <v>0</v>
      </c>
      <c r="F26" s="166">
        <f t="shared" si="4"/>
        <v>6544257.5199999996</v>
      </c>
      <c r="G26" s="166">
        <f>SUM(G12:G25)</f>
        <v>0</v>
      </c>
      <c r="H26" s="166">
        <f>SUM(H12:H25)</f>
        <v>0</v>
      </c>
      <c r="I26" s="166">
        <f>SUM(I16:I25)</f>
        <v>6544257.5199999996</v>
      </c>
      <c r="J26" s="167">
        <f t="shared" si="2"/>
        <v>1</v>
      </c>
      <c r="K26" s="458"/>
      <c r="L26" s="163"/>
      <c r="M26" s="163"/>
      <c r="O26" s="324">
        <f>IFERROR(I26/I233,0)</f>
        <v>319.856183773216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'[76]Sch C'!D10</f>
        <v>98022.040000000008</v>
      </c>
      <c r="D30" s="480">
        <f>'[76]Sch C'!F10</f>
        <v>0</v>
      </c>
      <c r="E30" s="480">
        <f>+'[76]Sch C'!H10</f>
        <v>0</v>
      </c>
      <c r="F30" s="166">
        <f t="shared" ref="F30:F65" si="5">C30+D30+E30</f>
        <v>98022.040000000008</v>
      </c>
      <c r="G30" s="626"/>
      <c r="H30" s="166"/>
      <c r="I30" s="166">
        <f t="shared" ref="I30:I65" si="6">F30+G30+H30</f>
        <v>98022.040000000008</v>
      </c>
      <c r="J30" s="167">
        <f>IF($I$213=0,0,I30/$I$213)</f>
        <v>1.5753413381207629E-2</v>
      </c>
      <c r="K30" s="458"/>
      <c r="L30" s="176">
        <v>1805.7142857142858</v>
      </c>
      <c r="M30" s="176">
        <v>1805.7142857142858</v>
      </c>
      <c r="O30" s="324">
        <f>I30/I$233</f>
        <v>4.7909110459433046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'[76]Sch C'!D11</f>
        <v>0</v>
      </c>
      <c r="D31" s="480">
        <f>'[76]Sch C'!F11</f>
        <v>0</v>
      </c>
      <c r="E31" s="480">
        <f>+'[76]Sch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'[76]Sch C'!D12</f>
        <v>236202.73000000004</v>
      </c>
      <c r="D32" s="480">
        <f>'[76]Sch C'!F12</f>
        <v>-86323.92</v>
      </c>
      <c r="E32" s="480">
        <f>+'[76]Sch C'!H12</f>
        <v>0</v>
      </c>
      <c r="F32" s="166">
        <f t="shared" si="5"/>
        <v>149878.81000000006</v>
      </c>
      <c r="G32" s="626"/>
      <c r="H32" s="166"/>
      <c r="I32" s="166">
        <f t="shared" si="6"/>
        <v>149878.81000000006</v>
      </c>
      <c r="J32" s="167">
        <f t="shared" si="7"/>
        <v>2.4087469012208648E-2</v>
      </c>
      <c r="K32" s="458"/>
      <c r="L32" s="176">
        <v>8158.5221428571431</v>
      </c>
      <c r="M32" s="176">
        <v>8619.4916458571424</v>
      </c>
      <c r="O32" s="324">
        <f t="shared" si="8"/>
        <v>7.3254550342131015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'[76]Sch C'!D13</f>
        <v>66845.98</v>
      </c>
      <c r="D33" s="480">
        <f>'[76]Sch C'!F13</f>
        <v>-17516.54</v>
      </c>
      <c r="E33" s="480">
        <f>+'[76]Sch C'!H13</f>
        <v>0</v>
      </c>
      <c r="F33" s="166">
        <f t="shared" si="5"/>
        <v>49329.439999999995</v>
      </c>
      <c r="G33" s="626"/>
      <c r="H33" s="166"/>
      <c r="I33" s="166">
        <f t="shared" si="6"/>
        <v>49329.439999999995</v>
      </c>
      <c r="J33" s="167">
        <f t="shared" si="7"/>
        <v>7.9278809151847752E-3</v>
      </c>
      <c r="K33" s="458"/>
      <c r="L33" s="163"/>
      <c r="M33" s="163"/>
      <c r="O33" s="324">
        <f t="shared" si="8"/>
        <v>2.4110185728250242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'[76]Sch C'!D14</f>
        <v>0</v>
      </c>
      <c r="D34" s="480">
        <f>'[76]Sch C'!F14</f>
        <v>0</v>
      </c>
      <c r="E34" s="480">
        <f>+'[76]Sch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708</v>
      </c>
      <c r="C35" s="480">
        <f>'[76]Sch C'!D15</f>
        <v>364063.1</v>
      </c>
      <c r="D35" s="480">
        <f>'[76]Sch C'!F15</f>
        <v>-513312.9</v>
      </c>
      <c r="E35" s="480">
        <f>+'[76]Sch C'!H15</f>
        <v>0</v>
      </c>
      <c r="F35" s="166">
        <f t="shared" si="5"/>
        <v>-149249.80000000005</v>
      </c>
      <c r="G35" s="626"/>
      <c r="H35" s="480">
        <f>149250</f>
        <v>149250</v>
      </c>
      <c r="I35" s="166">
        <f t="shared" si="6"/>
        <v>0.19999999995343387</v>
      </c>
      <c r="J35" s="167">
        <f t="shared" si="7"/>
        <v>3.2142594415581947E-8</v>
      </c>
      <c r="K35" s="458"/>
      <c r="L35" s="163"/>
      <c r="M35" s="163"/>
      <c r="O35" s="324">
        <f t="shared" si="8"/>
        <v>9.7751710632176872E-6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'[76]Sch C'!D16</f>
        <v>0</v>
      </c>
      <c r="D36" s="480">
        <f>'[76]Sch C'!F16-221631</f>
        <v>0</v>
      </c>
      <c r="E36" s="480">
        <f>+'[76]Sch C'!H16</f>
        <v>0</v>
      </c>
      <c r="F36" s="166">
        <f t="shared" si="5"/>
        <v>0</v>
      </c>
      <c r="G36" s="626"/>
      <c r="H36" s="480">
        <v>221631</v>
      </c>
      <c r="I36" s="166">
        <f t="shared" si="6"/>
        <v>221631</v>
      </c>
      <c r="J36" s="167">
        <f t="shared" si="7"/>
        <v>3.5618976722892402E-2</v>
      </c>
      <c r="K36" s="458"/>
      <c r="L36" s="163"/>
      <c r="M36" s="163"/>
      <c r="O36" s="324">
        <f t="shared" si="8"/>
        <v>10.832404692082111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'[76]Sch C'!D17</f>
        <v>0</v>
      </c>
      <c r="D37" s="480">
        <f>'[76]Sch C'!F17</f>
        <v>0</v>
      </c>
      <c r="E37" s="480">
        <f>+'[76]Sch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'[76]Sch C'!D18</f>
        <v>10890.560000000001</v>
      </c>
      <c r="D38" s="480">
        <f>'[76]Sch C'!F18</f>
        <v>0</v>
      </c>
      <c r="E38" s="480">
        <f>+'[76]Sch C'!H18</f>
        <v>0</v>
      </c>
      <c r="F38" s="166">
        <f t="shared" si="5"/>
        <v>10890.560000000001</v>
      </c>
      <c r="G38" s="626">
        <v>831</v>
      </c>
      <c r="H38" s="166"/>
      <c r="I38" s="166">
        <f t="shared" si="6"/>
        <v>11721.560000000001</v>
      </c>
      <c r="J38" s="167">
        <f t="shared" si="7"/>
        <v>1.8838067454281517E-3</v>
      </c>
      <c r="K38" s="458"/>
      <c r="L38" s="163"/>
      <c r="M38" s="163"/>
      <c r="O38" s="324">
        <f t="shared" si="8"/>
        <v>0.57290127077223862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'[76]Sch C'!D19</f>
        <v>18212.98</v>
      </c>
      <c r="D39" s="480">
        <f>'[76]Sch C'!F19</f>
        <v>0</v>
      </c>
      <c r="E39" s="480">
        <f>+'[76]Sch C'!H19</f>
        <v>0</v>
      </c>
      <c r="F39" s="166">
        <f t="shared" si="5"/>
        <v>18212.98</v>
      </c>
      <c r="G39" s="626"/>
      <c r="H39" s="166"/>
      <c r="I39" s="166">
        <f t="shared" si="6"/>
        <v>18212.98</v>
      </c>
      <c r="J39" s="167">
        <f t="shared" si="7"/>
        <v>2.9270621468770381E-3</v>
      </c>
      <c r="K39" s="458"/>
      <c r="L39" s="163"/>
      <c r="M39" s="163"/>
      <c r="O39" s="324">
        <f t="shared" si="8"/>
        <v>0.89017497556207237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'[76]Sch C'!D20</f>
        <v>12405.849999999999</v>
      </c>
      <c r="D40" s="480">
        <f>'[76]Sch C'!F20+1237</f>
        <v>0</v>
      </c>
      <c r="E40" s="480">
        <f>+'[76]Sch C'!H20</f>
        <v>0</v>
      </c>
      <c r="F40" s="166">
        <f t="shared" si="5"/>
        <v>12405.849999999999</v>
      </c>
      <c r="G40" s="626"/>
      <c r="H40" s="480">
        <v>-1237</v>
      </c>
      <c r="I40" s="166">
        <f t="shared" si="6"/>
        <v>11168.849999999999</v>
      </c>
      <c r="J40" s="167">
        <f t="shared" si="7"/>
        <v>1.7949790786102879E-3</v>
      </c>
      <c r="K40" s="458"/>
      <c r="L40" s="163"/>
      <c r="M40" s="163"/>
      <c r="O40" s="324">
        <f t="shared" si="8"/>
        <v>0.54588709677419345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'[76]Sch C'!D21</f>
        <v>20735.690000000002</v>
      </c>
      <c r="D41" s="480">
        <f>'[76]Sch C'!F21-56338</f>
        <v>0</v>
      </c>
      <c r="E41" s="480">
        <f>+'[76]Sch C'!H21</f>
        <v>0</v>
      </c>
      <c r="F41" s="166">
        <f t="shared" si="5"/>
        <v>20735.690000000002</v>
      </c>
      <c r="G41" s="626">
        <v>-1380</v>
      </c>
      <c r="H41" s="480">
        <v>56338</v>
      </c>
      <c r="I41" s="166">
        <f t="shared" si="6"/>
        <v>75693.69</v>
      </c>
      <c r="J41" s="167">
        <f t="shared" si="7"/>
        <v>1.2164957890276331E-2</v>
      </c>
      <c r="K41" s="458"/>
      <c r="L41" s="163"/>
      <c r="M41" s="163"/>
      <c r="O41" s="324">
        <f t="shared" si="8"/>
        <v>3.6995938416422289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'[76]Sch C'!D22</f>
        <v>0</v>
      </c>
      <c r="D42" s="480">
        <f>'[76]Sch C'!F22</f>
        <v>0</v>
      </c>
      <c r="E42" s="480">
        <f>+'[76]Sch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'[76]Sch C'!D23</f>
        <v>29173.87</v>
      </c>
      <c r="D43" s="480">
        <f>'[76]Sch C'!F23-19949</f>
        <v>0</v>
      </c>
      <c r="E43" s="480">
        <f>+'[76]Sch C'!H23</f>
        <v>0</v>
      </c>
      <c r="F43" s="166">
        <f t="shared" si="5"/>
        <v>29173.87</v>
      </c>
      <c r="G43" s="626">
        <v>560</v>
      </c>
      <c r="H43" s="480">
        <v>19949</v>
      </c>
      <c r="I43" s="166">
        <f t="shared" si="6"/>
        <v>49682.869999999995</v>
      </c>
      <c r="J43" s="167">
        <f t="shared" si="7"/>
        <v>7.9846817009194965E-3</v>
      </c>
      <c r="K43" s="458"/>
      <c r="L43" s="163"/>
      <c r="M43" s="163"/>
      <c r="O43" s="324">
        <f t="shared" si="8"/>
        <v>2.4282927663734113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'[76]Sch C'!D24</f>
        <v>35349.97</v>
      </c>
      <c r="D44" s="480">
        <f>'[76]Sch C'!F24</f>
        <v>0</v>
      </c>
      <c r="E44" s="480">
        <f>+'[76]Sch C'!H24</f>
        <v>0</v>
      </c>
      <c r="F44" s="166">
        <f t="shared" si="5"/>
        <v>35349.97</v>
      </c>
      <c r="G44" s="626">
        <v>1380</v>
      </c>
      <c r="H44" s="166"/>
      <c r="I44" s="166">
        <f t="shared" si="6"/>
        <v>36729.97</v>
      </c>
      <c r="J44" s="167">
        <f t="shared" si="7"/>
        <v>5.9029826444068571E-3</v>
      </c>
      <c r="K44" s="458"/>
      <c r="L44" s="163"/>
      <c r="M44" s="163"/>
      <c r="O44" s="324">
        <f t="shared" si="8"/>
        <v>1.7952086999022483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'[76]Sch C'!D25</f>
        <v>0</v>
      </c>
      <c r="D45" s="480">
        <f>'[76]Sch C'!F25</f>
        <v>0</v>
      </c>
      <c r="E45" s="480">
        <f>+'[76]Sch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'[76]Sch C'!D26</f>
        <v>366751.38</v>
      </c>
      <c r="D46" s="480">
        <f>'[76]Sch C'!F26</f>
        <v>0</v>
      </c>
      <c r="E46" s="480">
        <f>+'[76]Sch C'!H26</f>
        <v>0</v>
      </c>
      <c r="F46" s="166">
        <f t="shared" si="5"/>
        <v>366751.38</v>
      </c>
      <c r="G46" s="626"/>
      <c r="H46" s="166"/>
      <c r="I46" s="166">
        <f t="shared" si="6"/>
        <v>366751.38</v>
      </c>
      <c r="J46" s="167">
        <f t="shared" si="7"/>
        <v>5.8941704307198292E-2</v>
      </c>
      <c r="K46" s="458"/>
      <c r="L46" s="163"/>
      <c r="M46" s="163"/>
      <c r="O46" s="324">
        <f t="shared" si="8"/>
        <v>17.925287390029325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'[76]Sch C'!D27</f>
        <v>0</v>
      </c>
      <c r="D47" s="480">
        <f>'[76]Sch C'!F27-13769.57</f>
        <v>0</v>
      </c>
      <c r="E47" s="480">
        <f>+'[76]Sch C'!H27</f>
        <v>0</v>
      </c>
      <c r="F47" s="166">
        <f t="shared" si="5"/>
        <v>0</v>
      </c>
      <c r="G47" s="626"/>
      <c r="H47" s="480">
        <v>13769.57</v>
      </c>
      <c r="I47" s="166">
        <f t="shared" si="6"/>
        <v>13769.57</v>
      </c>
      <c r="J47" s="167">
        <f t="shared" si="7"/>
        <v>2.2129485194500656E-3</v>
      </c>
      <c r="K47" s="458"/>
      <c r="L47" s="163"/>
      <c r="M47" s="163"/>
      <c r="O47" s="324">
        <f t="shared" si="8"/>
        <v>0.67299951124144675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'[76]Sch C'!D28</f>
        <v>0</v>
      </c>
      <c r="D48" s="480">
        <f>'[76]Sch C'!F28</f>
        <v>0</v>
      </c>
      <c r="E48" s="480">
        <f>+'[76]Sch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'[76]Sch C'!D29</f>
        <v>113753.18</v>
      </c>
      <c r="D49" s="480">
        <f>'[76]Sch C'!F29</f>
        <v>-113753.18</v>
      </c>
      <c r="E49" s="480">
        <f>+'[76]Sch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'[76]Sch C'!D30</f>
        <v>0</v>
      </c>
      <c r="D50" s="480">
        <f>'[76]Sch C'!F30</f>
        <v>0</v>
      </c>
      <c r="E50" s="480">
        <f>+'[76]Sch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'[76]Sch C'!D31</f>
        <v>6380.3899999999994</v>
      </c>
      <c r="D51" s="480">
        <f>'[76]Sch C'!F31</f>
        <v>0</v>
      </c>
      <c r="E51" s="480">
        <f>+'[76]Sch C'!H31</f>
        <v>0</v>
      </c>
      <c r="F51" s="166">
        <f t="shared" si="5"/>
        <v>6380.3899999999994</v>
      </c>
      <c r="G51" s="626">
        <v>48345</v>
      </c>
      <c r="H51" s="166"/>
      <c r="I51" s="166">
        <f t="shared" si="6"/>
        <v>54725.39</v>
      </c>
      <c r="J51" s="167">
        <f t="shared" si="7"/>
        <v>8.7950800770704839E-3</v>
      </c>
      <c r="K51" s="458"/>
      <c r="L51" s="163"/>
      <c r="M51" s="163"/>
      <c r="O51" s="324">
        <f t="shared" si="8"/>
        <v>2.6747502443792768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'[76]Sch C'!D32</f>
        <v>116311.06</v>
      </c>
      <c r="D52" s="480">
        <f>'[76]Sch C'!F32</f>
        <v>0</v>
      </c>
      <c r="E52" s="480">
        <f>+'[76]Sch C'!H32</f>
        <v>0</v>
      </c>
      <c r="F52" s="166">
        <f t="shared" si="5"/>
        <v>116311.06</v>
      </c>
      <c r="G52" s="626"/>
      <c r="H52" s="166"/>
      <c r="I52" s="166">
        <f t="shared" si="6"/>
        <v>116311.06</v>
      </c>
      <c r="J52" s="167">
        <f t="shared" si="7"/>
        <v>1.8692696142484314E-2</v>
      </c>
      <c r="K52" s="458"/>
      <c r="L52" s="163"/>
      <c r="M52" s="163"/>
      <c r="O52" s="324">
        <f t="shared" si="8"/>
        <v>5.6848025415444772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'[76]Sch C'!D33</f>
        <v>0</v>
      </c>
      <c r="D53" s="480">
        <f>'[76]Sch C'!F33</f>
        <v>0</v>
      </c>
      <c r="E53" s="480">
        <f>+'[76]Sch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'[76]Sch C'!D34</f>
        <v>0</v>
      </c>
      <c r="D54" s="480">
        <f>'[76]Sch C'!F34-2249</f>
        <v>0</v>
      </c>
      <c r="E54" s="480">
        <f>+'[76]Sch C'!H34</f>
        <v>0</v>
      </c>
      <c r="F54" s="166">
        <f t="shared" si="5"/>
        <v>0</v>
      </c>
      <c r="G54" s="626"/>
      <c r="H54" s="480">
        <v>2249</v>
      </c>
      <c r="I54" s="166">
        <f t="shared" si="6"/>
        <v>2249</v>
      </c>
      <c r="J54" s="167">
        <f t="shared" si="7"/>
        <v>3.6144347428737411E-4</v>
      </c>
      <c r="K54" s="458"/>
      <c r="L54" s="163"/>
      <c r="M54" s="163"/>
      <c r="O54" s="324">
        <f t="shared" si="8"/>
        <v>0.10992179863147605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'[76]Sch C'!D35</f>
        <v>0</v>
      </c>
      <c r="D55" s="480">
        <f>'[76]Sch C'!F35</f>
        <v>0</v>
      </c>
      <c r="E55" s="480">
        <f>+'[76]Sch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'[76]Sch C'!D36</f>
        <v>0</v>
      </c>
      <c r="D56" s="480">
        <f>'[76]Sch C'!F36</f>
        <v>0</v>
      </c>
      <c r="E56" s="480">
        <f>+'[76]Sch C'!H36</f>
        <v>0</v>
      </c>
      <c r="F56" s="166">
        <f t="shared" si="5"/>
        <v>0</v>
      </c>
      <c r="G56" s="626">
        <v>23775</v>
      </c>
      <c r="H56" s="166"/>
      <c r="I56" s="166">
        <f t="shared" si="6"/>
        <v>23775</v>
      </c>
      <c r="J56" s="167">
        <f t="shared" si="7"/>
        <v>3.8209509120419381E-3</v>
      </c>
      <c r="K56" s="458"/>
      <c r="L56" s="176">
        <v>0</v>
      </c>
      <c r="M56" s="176">
        <v>0</v>
      </c>
      <c r="O56" s="324">
        <f t="shared" si="8"/>
        <v>1.1620234604105573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'[76]Sch C'!D37</f>
        <v>0</v>
      </c>
      <c r="D57" s="480">
        <f>'[76]Sch C'!F37</f>
        <v>0</v>
      </c>
      <c r="E57" s="480">
        <f>+'[76]Sch C'!H37</f>
        <v>0</v>
      </c>
      <c r="F57" s="166">
        <f t="shared" si="5"/>
        <v>0</v>
      </c>
      <c r="G57" s="626">
        <v>7617</v>
      </c>
      <c r="H57" s="166"/>
      <c r="I57" s="166">
        <f t="shared" si="6"/>
        <v>7617</v>
      </c>
      <c r="J57" s="167">
        <f t="shared" si="7"/>
        <v>1.2241507086024582E-3</v>
      </c>
      <c r="K57" s="458"/>
      <c r="L57" s="163"/>
      <c r="M57" s="163"/>
      <c r="O57" s="324">
        <f t="shared" si="8"/>
        <v>0.37228739002932554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'[76]Sch C'!D38</f>
        <v>0</v>
      </c>
      <c r="D58" s="480">
        <f>'[76]Sch C'!F38</f>
        <v>0</v>
      </c>
      <c r="E58" s="480">
        <f>+'[76]Sch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'[76]Sch C'!D39</f>
        <v>15238.689999999999</v>
      </c>
      <c r="D59" s="480">
        <f>'[76]Sch C'!F39-3549</f>
        <v>0</v>
      </c>
      <c r="E59" s="480">
        <f>+'[76]Sch C'!H39</f>
        <v>0</v>
      </c>
      <c r="F59" s="166">
        <f t="shared" si="5"/>
        <v>15238.689999999999</v>
      </c>
      <c r="G59" s="626"/>
      <c r="H59" s="480">
        <v>3549</v>
      </c>
      <c r="I59" s="166">
        <f t="shared" si="6"/>
        <v>18787.689999999999</v>
      </c>
      <c r="J59" s="167">
        <f t="shared" si="7"/>
        <v>3.0194254990814381E-3</v>
      </c>
      <c r="K59" s="458"/>
      <c r="L59" s="163"/>
      <c r="M59" s="163"/>
      <c r="O59" s="324">
        <f t="shared" si="8"/>
        <v>0.91826441837732153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'[76]Sch C'!D40</f>
        <v>8760.2000000000007</v>
      </c>
      <c r="D60" s="480">
        <f>'[76]Sch C'!F40</f>
        <v>-8760.2000000000007</v>
      </c>
      <c r="E60" s="480">
        <f>+'[76]Sch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'[76]Sch C'!D41</f>
        <v>17746.759999999998</v>
      </c>
      <c r="D61" s="480">
        <f>'[76]Sch C'!F41</f>
        <v>0</v>
      </c>
      <c r="E61" s="480">
        <f>+'[76]Sch C'!H41</f>
        <v>0</v>
      </c>
      <c r="F61" s="166">
        <f t="shared" si="5"/>
        <v>17746.759999999998</v>
      </c>
      <c r="G61" s="626"/>
      <c r="H61" s="166"/>
      <c r="I61" s="166">
        <f t="shared" si="6"/>
        <v>17746.759999999998</v>
      </c>
      <c r="J61" s="167">
        <f t="shared" si="7"/>
        <v>2.8521345450174293E-3</v>
      </c>
      <c r="K61" s="458"/>
      <c r="L61" s="163"/>
      <c r="M61" s="163"/>
      <c r="O61" s="324">
        <f t="shared" si="8"/>
        <v>0.86738807429130005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'[76]Sch C'!D42</f>
        <v>25.5</v>
      </c>
      <c r="D62" s="480">
        <f>'[76]Sch C'!F42-2495</f>
        <v>0</v>
      </c>
      <c r="E62" s="480">
        <f>+'[76]Sch C'!H42</f>
        <v>0</v>
      </c>
      <c r="F62" s="166">
        <f t="shared" si="5"/>
        <v>25.5</v>
      </c>
      <c r="G62" s="626"/>
      <c r="H62" s="480">
        <v>2495</v>
      </c>
      <c r="I62" s="166">
        <f t="shared" si="6"/>
        <v>2520.5</v>
      </c>
      <c r="J62" s="167">
        <f t="shared" si="7"/>
        <v>4.050770462166858E-4</v>
      </c>
      <c r="K62" s="458"/>
      <c r="L62" s="163"/>
      <c r="M62" s="163"/>
      <c r="O62" s="324">
        <f t="shared" si="8"/>
        <v>0.12319159335288367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'[76]Sch C'!D43</f>
        <v>0</v>
      </c>
      <c r="D63" s="480">
        <f>'[76]Sch C'!F43</f>
        <v>0</v>
      </c>
      <c r="E63" s="480">
        <f>+'[76]Sch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'[76]Sch C'!D44</f>
        <v>2490</v>
      </c>
      <c r="D64" s="480">
        <f>'[76]Sch C'!F44</f>
        <v>0</v>
      </c>
      <c r="E64" s="480">
        <f>+'[76]Sch C'!H44</f>
        <v>0</v>
      </c>
      <c r="F64" s="166">
        <f t="shared" si="5"/>
        <v>2490</v>
      </c>
      <c r="G64" s="626"/>
      <c r="H64" s="166"/>
      <c r="I64" s="166">
        <f t="shared" si="6"/>
        <v>2490</v>
      </c>
      <c r="J64" s="167">
        <f t="shared" si="7"/>
        <v>4.0017530056716828E-4</v>
      </c>
      <c r="K64" s="458"/>
      <c r="L64" s="163"/>
      <c r="M64" s="163"/>
      <c r="O64" s="324">
        <f t="shared" si="8"/>
        <v>0.1217008797653959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'[76]Sch C'!D45</f>
        <v>4381.3599999999997</v>
      </c>
      <c r="D65" s="480">
        <f>'[76]Sch C'!F45-5160</f>
        <v>0</v>
      </c>
      <c r="E65" s="480">
        <f>+'[76]Sch C'!H45</f>
        <v>0</v>
      </c>
      <c r="F65" s="166">
        <f t="shared" si="5"/>
        <v>4381.3599999999997</v>
      </c>
      <c r="G65" s="626">
        <v>26499</v>
      </c>
      <c r="H65" s="480">
        <v>5160</v>
      </c>
      <c r="I65" s="166">
        <f t="shared" si="6"/>
        <v>36040.36</v>
      </c>
      <c r="J65" s="167">
        <f t="shared" si="7"/>
        <v>5.7921533717064056E-3</v>
      </c>
      <c r="K65" s="458"/>
      <c r="L65" s="163"/>
      <c r="M65" s="163"/>
      <c r="O65" s="324">
        <f t="shared" si="8"/>
        <v>1.761503421309873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1543741.2899999998</v>
      </c>
      <c r="D66" s="480">
        <f t="shared" si="9"/>
        <v>-739666.74</v>
      </c>
      <c r="E66" s="480">
        <f t="shared" si="9"/>
        <v>0</v>
      </c>
      <c r="F66" s="166">
        <f t="shared" ref="F66:I66" si="10">SUM(F30:F65)</f>
        <v>804074.54999999993</v>
      </c>
      <c r="G66" s="166">
        <f t="shared" si="10"/>
        <v>107627</v>
      </c>
      <c r="H66" s="166">
        <f t="shared" si="10"/>
        <v>473153.57</v>
      </c>
      <c r="I66" s="166">
        <f t="shared" si="10"/>
        <v>1384855.12</v>
      </c>
      <c r="J66" s="178">
        <f t="shared" si="7"/>
        <v>0.22256418228433011</v>
      </c>
      <c r="K66" s="465"/>
      <c r="L66" s="163"/>
      <c r="M66" s="163"/>
      <c r="O66" s="329">
        <f>I66/I$233</f>
        <v>67.685978494623654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'[76]Sch C'!D57</f>
        <v>483624.96000000002</v>
      </c>
      <c r="D69" s="480">
        <f>'[76]Sch C'!F57</f>
        <v>0</v>
      </c>
      <c r="E69" s="480">
        <f>+'[76]Sch C'!H57</f>
        <v>0</v>
      </c>
      <c r="F69" s="166">
        <f>C69+D69+E69</f>
        <v>483624.96000000002</v>
      </c>
      <c r="G69" s="626"/>
      <c r="H69" s="166"/>
      <c r="I69" s="166">
        <f>F69+G69+H69</f>
        <v>483624.96000000002</v>
      </c>
      <c r="J69" s="167">
        <f t="shared" ref="J69:J84" si="11">IF($I$213=0,0,I69/$I$213)</f>
        <v>7.7724804710756934E-2</v>
      </c>
      <c r="K69" s="458"/>
      <c r="L69" s="182"/>
      <c r="M69" s="163"/>
      <c r="O69" s="324">
        <f t="shared" ref="O69:O84" si="12">I69/I$233</f>
        <v>23.637583577712611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'[76]Sch C'!D58</f>
        <v>657.52</v>
      </c>
      <c r="D70" s="480">
        <f>'[76]Sch C'!F58-6330.98</f>
        <v>0</v>
      </c>
      <c r="E70" s="480">
        <f>+'[76]Sch C'!H58</f>
        <v>0</v>
      </c>
      <c r="F70" s="166">
        <f t="shared" ref="F70:F83" si="13">C70+D70+E70</f>
        <v>657.52</v>
      </c>
      <c r="G70" s="626"/>
      <c r="H70" s="480">
        <v>6330.98</v>
      </c>
      <c r="I70" s="166">
        <f t="shared" ref="I70:I83" si="14">F70+G70+H70</f>
        <v>6988.5</v>
      </c>
      <c r="J70" s="167">
        <f t="shared" si="11"/>
        <v>1.1231426056279741E-3</v>
      </c>
      <c r="K70" s="458"/>
      <c r="L70" s="182"/>
      <c r="M70" s="163"/>
      <c r="O70" s="324">
        <f t="shared" si="12"/>
        <v>0.34156891495601172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'[76]Sch C'!D59</f>
        <v>0</v>
      </c>
      <c r="D71" s="480">
        <f>'[76]Sch C'!F59</f>
        <v>0</v>
      </c>
      <c r="E71" s="480">
        <f>+'[76]Sch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'[76]Sch C'!D60</f>
        <v>28250.520000000004</v>
      </c>
      <c r="D72" s="480">
        <f>'[76]Sch C'!F60</f>
        <v>-1295.73</v>
      </c>
      <c r="E72" s="480">
        <f>+'[76]Sch C'!H60</f>
        <v>0</v>
      </c>
      <c r="F72" s="166">
        <f t="shared" si="13"/>
        <v>26954.790000000005</v>
      </c>
      <c r="G72" s="626"/>
      <c r="H72" s="166"/>
      <c r="I72" s="166">
        <f t="shared" si="14"/>
        <v>26954.790000000005</v>
      </c>
      <c r="J72" s="167">
        <f t="shared" si="11"/>
        <v>4.3319844136445393E-3</v>
      </c>
      <c r="K72" s="458"/>
      <c r="L72" s="185"/>
      <c r="M72" s="163"/>
      <c r="O72" s="324">
        <f t="shared" si="12"/>
        <v>1.3174384164222877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'[76]Sch C'!D61</f>
        <v>10943.82</v>
      </c>
      <c r="D73" s="480">
        <f>'[76]Sch C'!F61-1472</f>
        <v>0</v>
      </c>
      <c r="E73" s="480">
        <f>+'[76]Sch C'!H61</f>
        <v>0</v>
      </c>
      <c r="F73" s="166">
        <f t="shared" si="13"/>
        <v>10943.82</v>
      </c>
      <c r="G73" s="626"/>
      <c r="H73" s="480">
        <v>1472</v>
      </c>
      <c r="I73" s="166">
        <f t="shared" si="14"/>
        <v>12415.82</v>
      </c>
      <c r="J73" s="167">
        <f t="shared" si="11"/>
        <v>1.9953833334489393E-3</v>
      </c>
      <c r="K73" s="458"/>
      <c r="L73" s="185"/>
      <c r="M73" s="163"/>
      <c r="O73" s="324">
        <f t="shared" si="12"/>
        <v>0.60683382209188663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'[76]Sch C'!D62</f>
        <v>1515.36</v>
      </c>
      <c r="D74" s="480">
        <f>'[76]Sch C'!F62</f>
        <v>0</v>
      </c>
      <c r="E74" s="480">
        <f>+'[76]Sch C'!H62</f>
        <v>0</v>
      </c>
      <c r="F74" s="166">
        <f t="shared" si="13"/>
        <v>1515.36</v>
      </c>
      <c r="G74" s="626"/>
      <c r="H74" s="166"/>
      <c r="I74" s="166">
        <f t="shared" si="14"/>
        <v>1515.36</v>
      </c>
      <c r="J74" s="167">
        <f t="shared" si="11"/>
        <v>2.4353800942468438E-4</v>
      </c>
      <c r="K74" s="458"/>
      <c r="L74" s="187"/>
      <c r="M74" s="163"/>
      <c r="O74" s="324">
        <f t="shared" si="12"/>
        <v>7.4064516129032254E-2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'[76]Sch C'!D63</f>
        <v>0</v>
      </c>
      <c r="D75" s="480">
        <f>'[76]Sch C'!F63</f>
        <v>0</v>
      </c>
      <c r="E75" s="480">
        <f>+'[76]Sch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'[76]Sch C'!D64</f>
        <v>0</v>
      </c>
      <c r="D76" s="480">
        <f>'[76]Sch C'!F64</f>
        <v>0</v>
      </c>
      <c r="E76" s="480">
        <f>+'[76]Sch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'[76]Sch C'!D65</f>
        <v>0</v>
      </c>
      <c r="D77" s="480">
        <f>'[76]Sch C'!F65</f>
        <v>0</v>
      </c>
      <c r="E77" s="480">
        <f>+'[76]Sch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'[76]Sch C'!D66</f>
        <v>0</v>
      </c>
      <c r="D78" s="480">
        <f>'[76]Sch C'!F66</f>
        <v>0</v>
      </c>
      <c r="E78" s="480">
        <f>+'[76]Sch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'[76]Sch C'!D67</f>
        <v>18364.690000000002</v>
      </c>
      <c r="D79" s="480">
        <f>'[76]Sch C'!F67-13175</f>
        <v>0.48999999999978172</v>
      </c>
      <c r="E79" s="480">
        <f>+'[76]Sch C'!H67</f>
        <v>0</v>
      </c>
      <c r="F79" s="166">
        <f t="shared" si="13"/>
        <v>18365.18</v>
      </c>
      <c r="G79" s="626"/>
      <c r="H79" s="480">
        <v>13175.49</v>
      </c>
      <c r="I79" s="166">
        <f t="shared" si="14"/>
        <v>31540.67</v>
      </c>
      <c r="J79" s="167">
        <f t="shared" si="11"/>
        <v>5.0689948182087823E-3</v>
      </c>
      <c r="K79" s="458"/>
      <c r="L79" s="187"/>
      <c r="M79" s="163"/>
      <c r="O79" s="324">
        <f t="shared" si="12"/>
        <v>1.5415772238514174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'[76]Sch C'!D68</f>
        <v>0</v>
      </c>
      <c r="D80" s="480">
        <f>'[76]Sch C'!F68</f>
        <v>0</v>
      </c>
      <c r="E80" s="480">
        <f>+'[76]Sch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'[76]Sch C'!D69</f>
        <v>0</v>
      </c>
      <c r="D81" s="480">
        <f>'[76]Sch C'!F69</f>
        <v>3600.73</v>
      </c>
      <c r="E81" s="480">
        <f>+'[76]Sch C'!H69</f>
        <v>0</v>
      </c>
      <c r="F81" s="166">
        <f t="shared" si="13"/>
        <v>3600.73</v>
      </c>
      <c r="G81" s="626"/>
      <c r="H81" s="166"/>
      <c r="I81" s="166">
        <f t="shared" si="14"/>
        <v>3600.73</v>
      </c>
      <c r="J81" s="167">
        <f t="shared" si="11"/>
        <v>5.7868402008482724E-4</v>
      </c>
      <c r="K81" s="458"/>
      <c r="L81" s="187"/>
      <c r="M81" s="163"/>
      <c r="O81" s="324">
        <f t="shared" si="12"/>
        <v>0.17598875855327467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'[76]Sch C'!D70</f>
        <v>0</v>
      </c>
      <c r="D82" s="480">
        <f>'[76]Sch C'!F70</f>
        <v>0</v>
      </c>
      <c r="E82" s="480">
        <f>+'[76]Sch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'[76]Sch C'!D71</f>
        <v>0</v>
      </c>
      <c r="D83" s="480">
        <f>'[76]Sch C'!F71</f>
        <v>0</v>
      </c>
      <c r="E83" s="480">
        <f>+'[76]Sch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543356.87000000011</v>
      </c>
      <c r="D84" s="480">
        <f t="shared" si="15"/>
        <v>2305.4899999999998</v>
      </c>
      <c r="E84" s="480">
        <f t="shared" si="15"/>
        <v>0</v>
      </c>
      <c r="F84" s="166">
        <f t="shared" ref="F84:I84" si="16">SUM(F69:F83)</f>
        <v>545662.36</v>
      </c>
      <c r="G84" s="166">
        <f t="shared" si="16"/>
        <v>0</v>
      </c>
      <c r="H84" s="166">
        <f t="shared" si="16"/>
        <v>20978.47</v>
      </c>
      <c r="I84" s="166">
        <f t="shared" si="16"/>
        <v>566640.82999999996</v>
      </c>
      <c r="J84" s="167">
        <f t="shared" si="11"/>
        <v>9.1066531911196666E-2</v>
      </c>
      <c r="K84" s="458"/>
      <c r="L84" s="187"/>
      <c r="M84" s="163"/>
      <c r="O84" s="324">
        <f t="shared" si="12"/>
        <v>27.69505522971652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'[76]Sch C'!D75</f>
        <v>46042.11</v>
      </c>
      <c r="D87" s="480">
        <f>'[76]Sch C'!F75</f>
        <v>0</v>
      </c>
      <c r="E87" s="480">
        <f>+'[76]Sch C'!H75</f>
        <v>0</v>
      </c>
      <c r="F87" s="166">
        <f t="shared" ref="F87:F97" si="17">C87+D87+E87</f>
        <v>46042.11</v>
      </c>
      <c r="G87" s="626"/>
      <c r="H87" s="166"/>
      <c r="I87" s="166">
        <f t="shared" ref="I87:I97" si="18">F87+G87+H87</f>
        <v>46042.11</v>
      </c>
      <c r="J87" s="167">
        <f t="shared" ref="J87:J98" si="19">IF($I$213=0,0,I87/$I$213)</f>
        <v>7.3995643405608937E-3</v>
      </c>
      <c r="K87" s="458"/>
      <c r="L87" s="176">
        <v>2155.1750000000002</v>
      </c>
      <c r="M87" s="176">
        <v>2187.1750000000002</v>
      </c>
      <c r="O87" s="324">
        <f t="shared" ref="O87:O97" si="20">I87/I$233</f>
        <v>2.2503475073313783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'[76]Sch C'!D76</f>
        <v>9112.5199999999986</v>
      </c>
      <c r="D88" s="480">
        <f>'[76]Sch C'!F76</f>
        <v>0</v>
      </c>
      <c r="E88" s="480">
        <f>+'[76]Sch C'!H76</f>
        <v>0</v>
      </c>
      <c r="F88" s="166">
        <f t="shared" si="17"/>
        <v>9112.5199999999986</v>
      </c>
      <c r="G88" s="626">
        <v>-882</v>
      </c>
      <c r="H88" s="166"/>
      <c r="I88" s="166">
        <f t="shared" si="18"/>
        <v>8230.5199999999986</v>
      </c>
      <c r="J88" s="167">
        <f t="shared" si="19"/>
        <v>1.3227513312546544E-3</v>
      </c>
      <c r="K88" s="458"/>
      <c r="L88" s="163"/>
      <c r="M88" s="163"/>
      <c r="O88" s="324">
        <f t="shared" si="20"/>
        <v>0.40227370478983376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'[76]Sch C'!D77</f>
        <v>21264.100000000002</v>
      </c>
      <c r="D89" s="480">
        <f>'[76]Sch C'!F77</f>
        <v>0</v>
      </c>
      <c r="E89" s="480">
        <f>+'[76]Sch C'!H77</f>
        <v>0</v>
      </c>
      <c r="F89" s="166">
        <f t="shared" si="17"/>
        <v>21264.100000000002</v>
      </c>
      <c r="G89" s="626"/>
      <c r="H89" s="166"/>
      <c r="I89" s="166">
        <f t="shared" si="18"/>
        <v>21264.100000000002</v>
      </c>
      <c r="J89" s="167">
        <f t="shared" si="19"/>
        <v>3.41741671035756E-3</v>
      </c>
      <c r="K89" s="458"/>
      <c r="L89" s="163"/>
      <c r="M89" s="163"/>
      <c r="O89" s="324">
        <f t="shared" si="20"/>
        <v>1.0393010752688172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'[76]Sch C'!D78</f>
        <v>57998.11</v>
      </c>
      <c r="D90" s="480">
        <f>'[76]Sch C'!F78-1462</f>
        <v>0</v>
      </c>
      <c r="E90" s="480">
        <f>+'[76]Sch C'!H78</f>
        <v>0</v>
      </c>
      <c r="F90" s="166">
        <f t="shared" si="17"/>
        <v>57998.11</v>
      </c>
      <c r="G90" s="626"/>
      <c r="H90" s="480">
        <v>1462</v>
      </c>
      <c r="I90" s="166">
        <f t="shared" si="18"/>
        <v>59460.11</v>
      </c>
      <c r="J90" s="167">
        <f t="shared" si="19"/>
        <v>9.5560110004043724E-3</v>
      </c>
      <c r="K90" s="458"/>
      <c r="L90" s="163"/>
      <c r="M90" s="163"/>
      <c r="O90" s="324">
        <f t="shared" si="20"/>
        <v>2.906163734115347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'[76]Sch C'!D79</f>
        <v>15856.2</v>
      </c>
      <c r="D91" s="480">
        <f>'[76]Sch C'!F79</f>
        <v>0</v>
      </c>
      <c r="E91" s="480">
        <f>+'[76]Sch C'!H79</f>
        <v>0</v>
      </c>
      <c r="F91" s="166">
        <f t="shared" si="17"/>
        <v>15856.2</v>
      </c>
      <c r="G91" s="626"/>
      <c r="H91" s="166"/>
      <c r="I91" s="166">
        <f t="shared" si="18"/>
        <v>15856.2</v>
      </c>
      <c r="J91" s="167">
        <f t="shared" si="19"/>
        <v>2.5482970284550739E-3</v>
      </c>
      <c r="K91" s="458"/>
      <c r="L91" s="163"/>
      <c r="M91" s="163"/>
      <c r="O91" s="324">
        <f t="shared" si="20"/>
        <v>0.7749853372434018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'[76]Sch C'!D80</f>
        <v>36982.120000000003</v>
      </c>
      <c r="D92" s="480">
        <f>'[76]Sch C'!F80</f>
        <v>0</v>
      </c>
      <c r="E92" s="480">
        <f>+'[76]Sch C'!H80</f>
        <v>0</v>
      </c>
      <c r="F92" s="166">
        <f t="shared" si="17"/>
        <v>36982.120000000003</v>
      </c>
      <c r="G92" s="626"/>
      <c r="H92" s="166"/>
      <c r="I92" s="166">
        <f t="shared" si="18"/>
        <v>36982.120000000003</v>
      </c>
      <c r="J92" s="167">
        <f t="shared" si="19"/>
        <v>5.9435064203257381E-3</v>
      </c>
      <c r="K92" s="458"/>
      <c r="L92" s="163"/>
      <c r="M92" s="163"/>
      <c r="O92" s="324">
        <f t="shared" si="20"/>
        <v>1.8075327468230695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'[76]Sch C'!D81</f>
        <v>3514.46</v>
      </c>
      <c r="D93" s="480">
        <f>'[76]Sch C'!F81</f>
        <v>0</v>
      </c>
      <c r="E93" s="480">
        <f>+'[76]Sch C'!H81</f>
        <v>0</v>
      </c>
      <c r="F93" s="166">
        <f t="shared" si="17"/>
        <v>3514.46</v>
      </c>
      <c r="G93" s="626"/>
      <c r="H93" s="166"/>
      <c r="I93" s="166">
        <f t="shared" si="18"/>
        <v>3514.46</v>
      </c>
      <c r="J93" s="167">
        <f t="shared" si="19"/>
        <v>5.6481931198043784E-4</v>
      </c>
      <c r="K93" s="458"/>
      <c r="L93" s="163"/>
      <c r="M93" s="163"/>
      <c r="O93" s="324">
        <f t="shared" si="20"/>
        <v>0.171772238514174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'[76]Sch C'!D82</f>
        <v>0</v>
      </c>
      <c r="D94" s="480">
        <f>'[76]Sch C'!F82</f>
        <v>0</v>
      </c>
      <c r="E94" s="480">
        <f>+'[76]Sch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'[76]Sch C'!D83</f>
        <v>0</v>
      </c>
      <c r="D95" s="480">
        <f>'[76]Sch C'!F83</f>
        <v>0</v>
      </c>
      <c r="E95" s="480">
        <f>+'[76]Sch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'[76]Sch C'!D84</f>
        <v>109914.26999999999</v>
      </c>
      <c r="D96" s="480">
        <f>'[76]Sch C'!F84-705</f>
        <v>0</v>
      </c>
      <c r="E96" s="480">
        <f>+'[76]Sch C'!H84</f>
        <v>0</v>
      </c>
      <c r="F96" s="166">
        <f t="shared" si="17"/>
        <v>109914.26999999999</v>
      </c>
      <c r="G96" s="626">
        <v>-831</v>
      </c>
      <c r="H96" s="480">
        <v>705</v>
      </c>
      <c r="I96" s="166">
        <f t="shared" si="18"/>
        <v>109788.26999999999</v>
      </c>
      <c r="J96" s="167">
        <f t="shared" si="19"/>
        <v>1.7644399175100169E-2</v>
      </c>
      <c r="K96" s="458"/>
      <c r="L96" s="163"/>
      <c r="M96" s="163"/>
      <c r="O96" s="324">
        <f t="shared" si="20"/>
        <v>5.3659956011730197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'[76]Sch C'!D85</f>
        <v>60</v>
      </c>
      <c r="D97" s="480">
        <f>'[76]Sch C'!F85</f>
        <v>0</v>
      </c>
      <c r="E97" s="480">
        <f>+'[76]Sch C'!H85</f>
        <v>0</v>
      </c>
      <c r="F97" s="166">
        <f t="shared" si="17"/>
        <v>60</v>
      </c>
      <c r="G97" s="626"/>
      <c r="H97" s="166"/>
      <c r="I97" s="166">
        <f t="shared" si="18"/>
        <v>60</v>
      </c>
      <c r="J97" s="167">
        <f t="shared" si="19"/>
        <v>9.6427783269197183E-6</v>
      </c>
      <c r="K97" s="458"/>
      <c r="L97" s="163"/>
      <c r="M97" s="163"/>
      <c r="O97" s="324">
        <f t="shared" si="20"/>
        <v>2.9325513196480938E-3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300743.89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300743.89</v>
      </c>
      <c r="G98" s="166">
        <f t="shared" si="22"/>
        <v>-1713</v>
      </c>
      <c r="H98" s="166">
        <f t="shared" si="22"/>
        <v>2167</v>
      </c>
      <c r="I98" s="166">
        <f t="shared" si="22"/>
        <v>301197.89</v>
      </c>
      <c r="J98" s="167">
        <f t="shared" si="19"/>
        <v>4.8406408096765823E-2</v>
      </c>
      <c r="K98" s="458"/>
      <c r="L98" s="163"/>
      <c r="M98" s="163"/>
      <c r="O98" s="329">
        <f>I98/I$233</f>
        <v>14.721304496578691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'[76]Sch C'!D89</f>
        <v>257216.03</v>
      </c>
      <c r="D101" s="480">
        <f>'[76]Sch C'!F89</f>
        <v>0</v>
      </c>
      <c r="E101" s="480">
        <f>+'[76]Sch C'!H89</f>
        <v>0</v>
      </c>
      <c r="F101" s="166">
        <f t="shared" ref="F101:F106" si="23">C101+D101+E101</f>
        <v>257216.03</v>
      </c>
      <c r="G101" s="626"/>
      <c r="H101" s="166"/>
      <c r="I101" s="166">
        <f t="shared" ref="I101:I106" si="24">F101+G101+H101</f>
        <v>257216.03</v>
      </c>
      <c r="J101" s="167">
        <f t="shared" ref="J101:J107" si="25">IF($I$213=0,0,I101/$I$213)</f>
        <v>4.1337952657005531E-2</v>
      </c>
      <c r="K101" s="458"/>
      <c r="L101" s="176">
        <v>16143.174285714285</v>
      </c>
      <c r="M101" s="176">
        <v>17210.674285714285</v>
      </c>
      <c r="O101" s="329">
        <f t="shared" ref="O101:O106" si="26">I101/I$233</f>
        <v>12.571653470185728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'[76]Sch C'!D90</f>
        <v>86328.030000000013</v>
      </c>
      <c r="D102" s="480">
        <f>'[76]Sch C'!F90</f>
        <v>0</v>
      </c>
      <c r="E102" s="480">
        <f>+'[76]Sch C'!H90</f>
        <v>0</v>
      </c>
      <c r="F102" s="166">
        <f t="shared" si="23"/>
        <v>86328.030000000013</v>
      </c>
      <c r="G102" s="626">
        <v>-4777</v>
      </c>
      <c r="H102" s="166"/>
      <c r="I102" s="166">
        <f t="shared" si="24"/>
        <v>81551.030000000013</v>
      </c>
      <c r="J102" s="167">
        <f t="shared" si="25"/>
        <v>1.310630841036633E-2</v>
      </c>
      <c r="K102" s="458"/>
      <c r="L102" s="163"/>
      <c r="M102" s="163"/>
      <c r="O102" s="329">
        <f t="shared" si="26"/>
        <v>3.9858763440860221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'[76]Sch C'!D91</f>
        <v>2529.5</v>
      </c>
      <c r="D103" s="480">
        <f>'[76]Sch C'!F91</f>
        <v>0</v>
      </c>
      <c r="E103" s="480">
        <f>+'[76]Sch C'!H91</f>
        <v>0</v>
      </c>
      <c r="F103" s="166">
        <f t="shared" si="23"/>
        <v>2529.5</v>
      </c>
      <c r="G103" s="626"/>
      <c r="H103" s="166"/>
      <c r="I103" s="166">
        <f t="shared" si="24"/>
        <v>2529.5</v>
      </c>
      <c r="J103" s="167">
        <f t="shared" si="25"/>
        <v>4.0652346296572375E-4</v>
      </c>
      <c r="K103" s="458"/>
      <c r="L103" s="163"/>
      <c r="M103" s="163"/>
      <c r="O103" s="329">
        <f t="shared" si="26"/>
        <v>0.12363147605083089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'[76]Sch C'!D92</f>
        <v>147317.16</v>
      </c>
      <c r="D104" s="480">
        <f>'[76]Sch C'!F92</f>
        <v>0</v>
      </c>
      <c r="E104" s="480">
        <f>+'[76]Sch C'!H92</f>
        <v>0</v>
      </c>
      <c r="F104" s="166">
        <f t="shared" si="23"/>
        <v>147317.16</v>
      </c>
      <c r="G104" s="626"/>
      <c r="H104" s="166"/>
      <c r="I104" s="166">
        <f t="shared" si="24"/>
        <v>147317.16</v>
      </c>
      <c r="J104" s="167">
        <f t="shared" si="25"/>
        <v>2.3675778627189406E-2</v>
      </c>
      <c r="K104" s="458"/>
      <c r="L104" s="163"/>
      <c r="M104" s="163"/>
      <c r="O104" s="329">
        <f t="shared" si="26"/>
        <v>7.20025219941349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'[76]Sch C'!D93</f>
        <v>4179.59</v>
      </c>
      <c r="D105" s="480">
        <f>'[76]Sch C'!F93</f>
        <v>0</v>
      </c>
      <c r="E105" s="480">
        <f>+'[76]Sch C'!H93</f>
        <v>0</v>
      </c>
      <c r="F105" s="166">
        <f t="shared" si="23"/>
        <v>4179.59</v>
      </c>
      <c r="G105" s="626"/>
      <c r="H105" s="166"/>
      <c r="I105" s="166">
        <f t="shared" si="24"/>
        <v>4179.59</v>
      </c>
      <c r="J105" s="167">
        <f t="shared" si="25"/>
        <v>6.7171433112350645E-4</v>
      </c>
      <c r="K105" s="458"/>
      <c r="L105" s="163"/>
      <c r="M105" s="163"/>
      <c r="O105" s="329">
        <f t="shared" si="26"/>
        <v>0.20428103616813295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'[76]Sch C'!D94</f>
        <v>8974.67</v>
      </c>
      <c r="D106" s="480">
        <f>'[76]Sch C'!F94</f>
        <v>0</v>
      </c>
      <c r="E106" s="480">
        <f>+'[76]Sch C'!H94</f>
        <v>0</v>
      </c>
      <c r="F106" s="166">
        <f t="shared" si="23"/>
        <v>8974.67</v>
      </c>
      <c r="G106" s="626"/>
      <c r="H106" s="166"/>
      <c r="I106" s="166">
        <f t="shared" si="24"/>
        <v>8974.67</v>
      </c>
      <c r="J106" s="167">
        <f t="shared" si="25"/>
        <v>1.4423458894542763E-3</v>
      </c>
      <c r="K106" s="458"/>
      <c r="L106" s="163"/>
      <c r="M106" s="163"/>
      <c r="O106" s="329">
        <f t="shared" si="26"/>
        <v>0.43864467253176931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506544.98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506544.98</v>
      </c>
      <c r="G107" s="166">
        <f t="shared" si="28"/>
        <v>-4777</v>
      </c>
      <c r="H107" s="166">
        <f t="shared" si="28"/>
        <v>0</v>
      </c>
      <c r="I107" s="166">
        <f t="shared" si="28"/>
        <v>501767.98</v>
      </c>
      <c r="J107" s="167">
        <f t="shared" si="25"/>
        <v>8.0640623378104764E-2</v>
      </c>
      <c r="K107" s="458"/>
      <c r="L107" s="163"/>
      <c r="M107" s="163"/>
      <c r="O107" s="329">
        <f>I107/I$233</f>
        <v>24.524339198435971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'[76]Sch C'!D98</f>
        <v>2292.9499999999989</v>
      </c>
      <c r="D110" s="480">
        <f>'[76]Sch C'!F98</f>
        <v>0</v>
      </c>
      <c r="E110" s="480">
        <f>+'[76]Sch C'!H98</f>
        <v>0</v>
      </c>
      <c r="F110" s="166">
        <f t="shared" ref="F110:F115" si="29">C110+D110+E110</f>
        <v>2292.9499999999989</v>
      </c>
      <c r="G110" s="626"/>
      <c r="H110" s="166"/>
      <c r="I110" s="166">
        <f t="shared" ref="I110:I115" si="30">F110+G110+H110</f>
        <v>2292.9499999999989</v>
      </c>
      <c r="J110" s="167">
        <f t="shared" ref="J110:J116" si="31">IF($I$213=0,0,I110/$I$213)</f>
        <v>3.6850680941184262E-4</v>
      </c>
      <c r="K110" s="458"/>
      <c r="L110" s="176">
        <v>197.22714285714287</v>
      </c>
      <c r="M110" s="176">
        <v>205.22714285714287</v>
      </c>
      <c r="O110" s="329">
        <f t="shared" ref="O110:O115" si="32">I110/I$233</f>
        <v>0.11206989247311823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'[76]Sch C'!D99</f>
        <v>332.02</v>
      </c>
      <c r="D111" s="480">
        <f>'[76]Sch C'!F99</f>
        <v>0</v>
      </c>
      <c r="E111" s="480">
        <f>+'[76]Sch C'!H99</f>
        <v>0</v>
      </c>
      <c r="F111" s="166">
        <f t="shared" si="29"/>
        <v>332.02</v>
      </c>
      <c r="G111" s="626">
        <v>-45</v>
      </c>
      <c r="H111" s="166"/>
      <c r="I111" s="166">
        <f t="shared" si="30"/>
        <v>287.02</v>
      </c>
      <c r="J111" s="167">
        <f t="shared" si="31"/>
        <v>4.6127837256541618E-5</v>
      </c>
      <c r="K111" s="458"/>
      <c r="L111" s="163"/>
      <c r="M111" s="163"/>
      <c r="O111" s="329">
        <f t="shared" si="32"/>
        <v>1.4028347996089931E-2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'[76]Sch C'!D100</f>
        <v>6841.6200000000008</v>
      </c>
      <c r="D112" s="480">
        <f>'[76]Sch C'!F100</f>
        <v>0</v>
      </c>
      <c r="E112" s="480">
        <f>+'[76]Sch C'!H100</f>
        <v>0</v>
      </c>
      <c r="F112" s="166">
        <f t="shared" si="29"/>
        <v>6841.6200000000008</v>
      </c>
      <c r="G112" s="626"/>
      <c r="H112" s="166"/>
      <c r="I112" s="166">
        <f t="shared" si="30"/>
        <v>6841.6200000000008</v>
      </c>
      <c r="J112" s="167">
        <f t="shared" si="31"/>
        <v>1.0995370842836747E-3</v>
      </c>
      <c r="K112" s="458"/>
      <c r="L112" s="163"/>
      <c r="M112" s="163"/>
      <c r="O112" s="329">
        <f t="shared" si="32"/>
        <v>0.33439002932551326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'[76]Sch C'!D101</f>
        <v>51403.75</v>
      </c>
      <c r="D113" s="480">
        <f>'[76]Sch C'!F101</f>
        <v>0</v>
      </c>
      <c r="E113" s="480">
        <f>+'[76]Sch C'!H101</f>
        <v>0</v>
      </c>
      <c r="F113" s="166">
        <f t="shared" si="29"/>
        <v>51403.75</v>
      </c>
      <c r="G113" s="626"/>
      <c r="H113" s="166"/>
      <c r="I113" s="166">
        <f t="shared" si="30"/>
        <v>51403.75</v>
      </c>
      <c r="J113" s="167">
        <f t="shared" si="31"/>
        <v>8.2612494403733246E-3</v>
      </c>
      <c r="K113" s="458"/>
      <c r="L113" s="163"/>
      <c r="M113" s="163"/>
      <c r="O113" s="329">
        <f t="shared" si="32"/>
        <v>2.5124022482893449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'[76]Sch C'!D102</f>
        <v>839.66</v>
      </c>
      <c r="D114" s="480">
        <f>'[76]Sch C'!F102</f>
        <v>0</v>
      </c>
      <c r="E114" s="480">
        <f>+'[76]Sch C'!H102</f>
        <v>0</v>
      </c>
      <c r="F114" s="166">
        <f t="shared" si="29"/>
        <v>839.66</v>
      </c>
      <c r="G114" s="626"/>
      <c r="H114" s="166"/>
      <c r="I114" s="166">
        <f t="shared" si="30"/>
        <v>839.66</v>
      </c>
      <c r="J114" s="167">
        <f t="shared" si="31"/>
        <v>1.3494425416635684E-4</v>
      </c>
      <c r="K114" s="458"/>
      <c r="L114" s="163"/>
      <c r="M114" s="163"/>
      <c r="O114" s="329">
        <f t="shared" si="32"/>
        <v>4.1039100684261975E-2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'[76]Sch C'!D103</f>
        <v>0</v>
      </c>
      <c r="D115" s="480">
        <f>'[76]Sch C'!F103</f>
        <v>0</v>
      </c>
      <c r="E115" s="480">
        <f>+'[76]Sch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61710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61710</v>
      </c>
      <c r="G116" s="166">
        <f t="shared" si="34"/>
        <v>-45</v>
      </c>
      <c r="H116" s="166">
        <f t="shared" si="34"/>
        <v>0</v>
      </c>
      <c r="I116" s="166">
        <f t="shared" si="34"/>
        <v>61665</v>
      </c>
      <c r="J116" s="167">
        <f t="shared" si="31"/>
        <v>9.9103654254917399E-3</v>
      </c>
      <c r="K116" s="458"/>
      <c r="L116" s="163"/>
      <c r="M116" s="163"/>
      <c r="O116" s="329">
        <f>I116/I$233</f>
        <v>3.0139296187683287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'[76]Sch C'!D115</f>
        <v>8420.86</v>
      </c>
      <c r="D119" s="480">
        <f>'[76]Sch C'!F115</f>
        <v>0</v>
      </c>
      <c r="E119" s="480">
        <f>+'[76]Sch C'!H115</f>
        <v>0</v>
      </c>
      <c r="F119" s="166">
        <f t="shared" ref="F119:F123" si="35">C119+D119+E119</f>
        <v>8420.86</v>
      </c>
      <c r="G119" s="626"/>
      <c r="H119" s="166"/>
      <c r="I119" s="166">
        <f t="shared" ref="I119:I123" si="36">F119+G119+H119</f>
        <v>8420.86</v>
      </c>
      <c r="J119" s="167">
        <f t="shared" ref="J119:J124" si="37">IF($I$213=0,0,I119/$I$213)</f>
        <v>1.3533414383670864E-3</v>
      </c>
      <c r="K119" s="458"/>
      <c r="L119" s="176">
        <v>826.70571428571429</v>
      </c>
      <c r="M119" s="176">
        <v>858.70571428571429</v>
      </c>
      <c r="O119" s="329">
        <f t="shared" ref="O119:O124" si="38">I119/I$233</f>
        <v>0.41157673509286413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'[76]Sch C'!D116</f>
        <v>1246.6899999999996</v>
      </c>
      <c r="D120" s="480">
        <f>'[76]Sch C'!F116</f>
        <v>0</v>
      </c>
      <c r="E120" s="480">
        <f>+'[76]Sch C'!H116</f>
        <v>0</v>
      </c>
      <c r="F120" s="166">
        <f t="shared" si="35"/>
        <v>1246.6899999999996</v>
      </c>
      <c r="G120" s="626">
        <v>-168</v>
      </c>
      <c r="H120" s="166"/>
      <c r="I120" s="166">
        <f t="shared" si="36"/>
        <v>1078.6899999999996</v>
      </c>
      <c r="J120" s="167">
        <f t="shared" si="37"/>
        <v>1.7335947589108377E-4</v>
      </c>
      <c r="K120" s="458"/>
      <c r="L120" s="163"/>
      <c r="M120" s="163"/>
      <c r="O120" s="329">
        <f t="shared" si="38"/>
        <v>5.2721896383186688E-2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'[76]Sch C'!D117</f>
        <v>2935.9400000000005</v>
      </c>
      <c r="D121" s="480">
        <f>'[76]Sch C'!F117</f>
        <v>0</v>
      </c>
      <c r="E121" s="480">
        <f>+'[76]Sch C'!H117</f>
        <v>0</v>
      </c>
      <c r="F121" s="166">
        <f t="shared" si="35"/>
        <v>2935.9400000000005</v>
      </c>
      <c r="G121" s="626"/>
      <c r="H121" s="166"/>
      <c r="I121" s="166">
        <f t="shared" si="36"/>
        <v>2935.9400000000005</v>
      </c>
      <c r="J121" s="167">
        <f t="shared" si="37"/>
        <v>4.7184364335227803E-4</v>
      </c>
      <c r="K121" s="458"/>
      <c r="L121" s="163"/>
      <c r="M121" s="163"/>
      <c r="O121" s="329">
        <f t="shared" si="38"/>
        <v>0.14349657869012711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'[76]Sch C'!D118</f>
        <v>109031</v>
      </c>
      <c r="D122" s="480">
        <f>'[76]Sch C'!F118</f>
        <v>0</v>
      </c>
      <c r="E122" s="480">
        <f>+'[76]Sch C'!H118</f>
        <v>0</v>
      </c>
      <c r="F122" s="166">
        <f t="shared" si="35"/>
        <v>109031</v>
      </c>
      <c r="G122" s="626">
        <v>-439</v>
      </c>
      <c r="H122" s="166"/>
      <c r="I122" s="166">
        <f t="shared" si="36"/>
        <v>108592</v>
      </c>
      <c r="J122" s="167">
        <f t="shared" si="37"/>
        <v>1.7452143067947765E-2</v>
      </c>
      <c r="K122" s="458"/>
      <c r="L122" s="163"/>
      <c r="M122" s="163"/>
      <c r="O122" s="329">
        <f t="shared" si="38"/>
        <v>5.3075268817204302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'[76]Sch C'!D119</f>
        <v>0</v>
      </c>
      <c r="D123" s="480">
        <f>'[76]Sch C'!F119</f>
        <v>0</v>
      </c>
      <c r="E123" s="480">
        <f>+'[76]Sch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121634.49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121634.49</v>
      </c>
      <c r="G124" s="166">
        <f t="shared" si="40"/>
        <v>-607</v>
      </c>
      <c r="H124" s="166">
        <f t="shared" si="40"/>
        <v>0</v>
      </c>
      <c r="I124" s="166">
        <f t="shared" si="40"/>
        <v>121027.49</v>
      </c>
      <c r="J124" s="167">
        <f t="shared" si="37"/>
        <v>1.9450687625558214E-2</v>
      </c>
      <c r="K124" s="458"/>
      <c r="L124" s="163"/>
      <c r="M124" s="163"/>
      <c r="O124" s="329">
        <f t="shared" si="38"/>
        <v>5.9153220918866083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'[76]Sch C'!D124</f>
        <v>146029.91</v>
      </c>
      <c r="D128" s="480">
        <f>'[76]Sch C'!F124</f>
        <v>0</v>
      </c>
      <c r="E128" s="480">
        <f>+'[76]Sch C'!H124</f>
        <v>0</v>
      </c>
      <c r="F128" s="166">
        <f t="shared" ref="F128:F132" si="41">C128+D128+E128</f>
        <v>146029.91</v>
      </c>
      <c r="G128" s="626"/>
      <c r="H128" s="166"/>
      <c r="I128" s="166">
        <f t="shared" ref="I128:I132" si="42">F128+G128+H128</f>
        <v>146029.91</v>
      </c>
      <c r="J128" s="167">
        <f>IF($I$213=0,0,I128/$I$213)</f>
        <v>2.3468900853833949E-2</v>
      </c>
      <c r="K128" s="458"/>
      <c r="L128" s="176">
        <v>3529.7142857142858</v>
      </c>
      <c r="M128" s="176">
        <v>3521.2142857142858</v>
      </c>
      <c r="O128" s="329">
        <f t="shared" ref="O128:O165" si="43">I128/I$233</f>
        <v>7.137336754643206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'[76]Sch C'!D125</f>
        <v>77645.16</v>
      </c>
      <c r="D129" s="480">
        <f>'[76]Sch C'!F125</f>
        <v>0</v>
      </c>
      <c r="E129" s="480">
        <f>+'[76]Sch C'!H125</f>
        <v>0</v>
      </c>
      <c r="F129" s="166">
        <f t="shared" si="41"/>
        <v>77645.16</v>
      </c>
      <c r="G129" s="626"/>
      <c r="H129" s="166"/>
      <c r="I129" s="166">
        <f t="shared" si="42"/>
        <v>77645.16</v>
      </c>
      <c r="J129" s="167">
        <f>IF($I$213=0,0,I129/$I$213)</f>
        <v>1.247858443397023E-2</v>
      </c>
      <c r="K129" s="458"/>
      <c r="L129" s="176">
        <v>2077.7142857142858</v>
      </c>
      <c r="M129" s="176">
        <v>2117.7142857142858</v>
      </c>
      <c r="O129" s="329">
        <f t="shared" si="43"/>
        <v>3.7949736070381235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'[76]Sch C'!D126</f>
        <v>0</v>
      </c>
      <c r="D130" s="480">
        <f>'[76]Sch C'!F126</f>
        <v>0</v>
      </c>
      <c r="E130" s="480">
        <f>+'[76]Sch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'[76]Sch C'!D127</f>
        <v>0</v>
      </c>
      <c r="D131" s="480">
        <f>'[76]Sch C'!F127</f>
        <v>0</v>
      </c>
      <c r="E131" s="480">
        <f>+'[76]Sch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'[76]Sch C'!D128</f>
        <v>35098.980000000003</v>
      </c>
      <c r="D132" s="480">
        <f>'[76]Sch C'!F128</f>
        <v>0</v>
      </c>
      <c r="E132" s="480">
        <f>+'[76]Sch C'!H128</f>
        <v>0</v>
      </c>
      <c r="F132" s="166">
        <f t="shared" si="41"/>
        <v>35098.980000000003</v>
      </c>
      <c r="G132" s="626"/>
      <c r="H132" s="166"/>
      <c r="I132" s="166">
        <f t="shared" si="42"/>
        <v>35098.980000000003</v>
      </c>
      <c r="J132" s="167">
        <f>IF($I$213=0,0,I132/$I$213)</f>
        <v>5.6408613940164779E-3</v>
      </c>
      <c r="K132" s="458"/>
      <c r="L132" s="176">
        <v>1799.484285714286</v>
      </c>
      <c r="M132" s="176">
        <v>1967.303987714286</v>
      </c>
      <c r="O132" s="329">
        <f t="shared" si="43"/>
        <v>1.7154926686217011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'[76]Sch C'!D130</f>
        <v>31314.339541767116</v>
      </c>
      <c r="D134" s="480">
        <f>'[76]Sch C'!F130</f>
        <v>0</v>
      </c>
      <c r="E134" s="480">
        <f>+'[76]Sch C'!H130</f>
        <v>0</v>
      </c>
      <c r="F134" s="166">
        <f t="shared" ref="F134:F138" si="44">C134+D134+E134</f>
        <v>31314.339541767116</v>
      </c>
      <c r="G134" s="626">
        <v>-2788</v>
      </c>
      <c r="H134" s="166"/>
      <c r="I134" s="166">
        <f t="shared" ref="I134:I138" si="45">F134+G134+H134</f>
        <v>28526.339541767116</v>
      </c>
      <c r="J134" s="167">
        <f>IF($I$213=0,0,I134/$I$213)</f>
        <v>4.5845528113284155E-3</v>
      </c>
      <c r="K134" s="458"/>
      <c r="L134" s="196"/>
      <c r="M134" s="196"/>
      <c r="O134" s="329">
        <f t="shared" si="43"/>
        <v>1.394249244465646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'[76]Sch C'!D131</f>
        <v>16650.060963639811</v>
      </c>
      <c r="D135" s="480">
        <f>'[76]Sch C'!F131</f>
        <v>0</v>
      </c>
      <c r="E135" s="480">
        <f>+'[76]Sch C'!H131</f>
        <v>0</v>
      </c>
      <c r="F135" s="166">
        <f t="shared" si="44"/>
        <v>16650.060963639811</v>
      </c>
      <c r="G135" s="626">
        <v>-1482</v>
      </c>
      <c r="H135" s="166"/>
      <c r="I135" s="166">
        <f t="shared" si="45"/>
        <v>15168.060963639811</v>
      </c>
      <c r="J135" s="167">
        <f>IF($I$213=0,0,I135/$I$213)</f>
        <v>2.4377041586930498E-3</v>
      </c>
      <c r="K135" s="458"/>
      <c r="L135" s="196"/>
      <c r="M135" s="196"/>
      <c r="O135" s="329">
        <f t="shared" si="43"/>
        <v>0.74135195325707781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'[76]Sch C'!D132</f>
        <v>0</v>
      </c>
      <c r="D136" s="480">
        <f>'[76]Sch C'!F132</f>
        <v>0</v>
      </c>
      <c r="E136" s="480">
        <f>+'[76]Sch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'[76]Sch C'!D133</f>
        <v>0</v>
      </c>
      <c r="D137" s="480">
        <f>'[76]Sch C'!F133</f>
        <v>0</v>
      </c>
      <c r="E137" s="480">
        <f>+'[76]Sch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'[76]Sch C'!D134</f>
        <v>11617.27</v>
      </c>
      <c r="D138" s="480">
        <f>'[76]Sch C'!F134</f>
        <v>0</v>
      </c>
      <c r="E138" s="480">
        <f>+'[76]Sch C'!H134</f>
        <v>0</v>
      </c>
      <c r="F138" s="166">
        <f t="shared" si="44"/>
        <v>11617.27</v>
      </c>
      <c r="G138" s="626">
        <v>-676</v>
      </c>
      <c r="H138" s="166"/>
      <c r="I138" s="166">
        <f t="shared" si="45"/>
        <v>10941.27</v>
      </c>
      <c r="J138" s="167">
        <f>IF($I$213=0,0,I138/$I$213)</f>
        <v>1.7584040204162818E-3</v>
      </c>
      <c r="K138" s="458"/>
      <c r="L138" s="163"/>
      <c r="M138" s="163"/>
      <c r="O138" s="329">
        <f t="shared" si="43"/>
        <v>0.5347639296187684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'[76]Sch C'!D136</f>
        <v>342718.32</v>
      </c>
      <c r="D140" s="480">
        <f>'[76]Sch C'!F136</f>
        <v>0</v>
      </c>
      <c r="E140" s="480">
        <f>+'[76]Sch C'!H136</f>
        <v>0</v>
      </c>
      <c r="F140" s="166">
        <f t="shared" ref="F140:F143" si="46">C140+D140+E140</f>
        <v>342718.32</v>
      </c>
      <c r="G140" s="626"/>
      <c r="H140" s="166"/>
      <c r="I140" s="166">
        <f t="shared" ref="I140:I143" si="47">F140+G140+H140</f>
        <v>342718.32</v>
      </c>
      <c r="J140" s="167">
        <f>IF($I$213=0,0,I140/$I$213)</f>
        <v>5.5079279805572277E-2</v>
      </c>
      <c r="K140" s="458"/>
      <c r="L140" s="176">
        <v>10505.799285714287</v>
      </c>
      <c r="M140" s="176">
        <v>11088.299285714287</v>
      </c>
      <c r="O140" s="329">
        <f t="shared" si="43"/>
        <v>16.750651026392962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'[76]Sch C'!D137</f>
        <v>448165.30000000005</v>
      </c>
      <c r="D141" s="480">
        <f>'[76]Sch C'!F137</f>
        <v>0</v>
      </c>
      <c r="E141" s="480">
        <f>+'[76]Sch C'!H137</f>
        <v>0</v>
      </c>
      <c r="F141" s="166">
        <f t="shared" si="46"/>
        <v>448165.30000000005</v>
      </c>
      <c r="G141" s="626"/>
      <c r="H141" s="166"/>
      <c r="I141" s="166">
        <f t="shared" si="47"/>
        <v>448165.30000000005</v>
      </c>
      <c r="J141" s="167">
        <f>IF($I$213=0,0,I141/$I$213)</f>
        <v>7.2025977361957899E-2</v>
      </c>
      <c r="K141" s="458"/>
      <c r="L141" s="176">
        <v>15731.633571428571</v>
      </c>
      <c r="M141" s="176">
        <v>16599.633571428571</v>
      </c>
      <c r="O141" s="329">
        <f t="shared" si="43"/>
        <v>21.904462365591399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'[76]Sch C'!D138</f>
        <v>519969.76999999996</v>
      </c>
      <c r="D142" s="480">
        <f>'[76]Sch C'!F138</f>
        <v>0</v>
      </c>
      <c r="E142" s="480">
        <f>+'[76]Sch C'!H138</f>
        <v>0</v>
      </c>
      <c r="F142" s="166">
        <f t="shared" si="46"/>
        <v>519969.76999999996</v>
      </c>
      <c r="G142" s="626"/>
      <c r="H142" s="166"/>
      <c r="I142" s="166">
        <f t="shared" si="47"/>
        <v>519969.76999999996</v>
      </c>
      <c r="J142" s="167">
        <f>IF($I$213=0,0,I142/$I$213)</f>
        <v>8.3565887146823836E-2</v>
      </c>
      <c r="K142" s="458"/>
      <c r="L142" s="176">
        <v>33840.619999999995</v>
      </c>
      <c r="M142" s="176">
        <v>35532.619999999995</v>
      </c>
      <c r="O142" s="329">
        <f t="shared" si="43"/>
        <v>25.413967253176928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'[76]Sch C'!D139</f>
        <v>127640.11</v>
      </c>
      <c r="D143" s="480">
        <f>'[76]Sch C'!F139</f>
        <v>0</v>
      </c>
      <c r="E143" s="480">
        <f>+'[76]Sch C'!H139</f>
        <v>0</v>
      </c>
      <c r="F143" s="166">
        <f t="shared" si="46"/>
        <v>127640.11</v>
      </c>
      <c r="G143" s="626"/>
      <c r="H143" s="166"/>
      <c r="I143" s="166">
        <f t="shared" si="47"/>
        <v>127640.11</v>
      </c>
      <c r="J143" s="167">
        <f>IF($I$213=0,0,I143/$I$213)</f>
        <v>2.0513421439227478E-2</v>
      </c>
      <c r="K143" s="458"/>
      <c r="L143" s="176">
        <v>7912.6742857142854</v>
      </c>
      <c r="M143" s="176">
        <v>8208.6742857142854</v>
      </c>
      <c r="O143" s="329">
        <f t="shared" si="43"/>
        <v>6.2385195503421311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'[76]Sch C'!D141</f>
        <v>73491.778770965451</v>
      </c>
      <c r="D145" s="480">
        <f>'[76]Sch C'!F141</f>
        <v>0</v>
      </c>
      <c r="E145" s="480">
        <f>+'[76]Sch C'!H141</f>
        <v>0</v>
      </c>
      <c r="F145" s="166">
        <f t="shared" ref="F145:F148" si="48">C145+D145+E145</f>
        <v>73491.778770965451</v>
      </c>
      <c r="G145" s="626">
        <v>-6543</v>
      </c>
      <c r="H145" s="166"/>
      <c r="I145" s="166">
        <f t="shared" ref="I145:I148" si="49">F145+G145+H145</f>
        <v>66948.778770965451</v>
      </c>
      <c r="J145" s="167">
        <f>IF($I$213=0,0,I145/$I$213)</f>
        <v>1.0759537215773475E-2</v>
      </c>
      <c r="K145" s="458"/>
      <c r="L145" s="163"/>
      <c r="M145" s="163"/>
      <c r="O145" s="329">
        <f t="shared" si="43"/>
        <v>3.2721788255603839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'[76]Sch C'!D142</f>
        <v>96103.602166418685</v>
      </c>
      <c r="D146" s="480">
        <f>'[76]Sch C'!F142</f>
        <v>0</v>
      </c>
      <c r="E146" s="480">
        <f>+'[76]Sch C'!H142</f>
        <v>0</v>
      </c>
      <c r="F146" s="166">
        <f t="shared" si="48"/>
        <v>96103.602166418685</v>
      </c>
      <c r="G146" s="626">
        <v>-8556</v>
      </c>
      <c r="H146" s="166"/>
      <c r="I146" s="166">
        <f t="shared" si="49"/>
        <v>87547.602166418685</v>
      </c>
      <c r="J146" s="167">
        <f>IF($I$213=0,0,I146/$I$213)</f>
        <v>1.407003534573553E-2</v>
      </c>
      <c r="K146" s="458"/>
      <c r="L146" s="163"/>
      <c r="M146" s="163"/>
      <c r="O146" s="329">
        <f t="shared" si="43"/>
        <v>4.2789639377526241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'[76]Sch C'!D143</f>
        <v>111501.19813971366</v>
      </c>
      <c r="D147" s="480">
        <f>'[76]Sch C'!F143</f>
        <v>0</v>
      </c>
      <c r="E147" s="480">
        <f>+'[76]Sch C'!H143</f>
        <v>0</v>
      </c>
      <c r="F147" s="166">
        <f t="shared" si="48"/>
        <v>111501.19813971366</v>
      </c>
      <c r="G147" s="626">
        <v>-9927</v>
      </c>
      <c r="H147" s="166"/>
      <c r="I147" s="166">
        <f t="shared" si="49"/>
        <v>101574.19813971366</v>
      </c>
      <c r="J147" s="167">
        <f>IF($I$213=0,0,I147/$I$213)</f>
        <v>1.6324291273264666E-2</v>
      </c>
      <c r="K147" s="458"/>
      <c r="L147" s="163"/>
      <c r="M147" s="163"/>
      <c r="O147" s="329">
        <f t="shared" si="43"/>
        <v>4.964525813280237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'[76]Sch C'!D144</f>
        <v>27370.87041749532</v>
      </c>
      <c r="D148" s="480">
        <f>'[76]Sch C'!F144</f>
        <v>0</v>
      </c>
      <c r="E148" s="480">
        <f>+'[76]Sch C'!H144</f>
        <v>0</v>
      </c>
      <c r="F148" s="166">
        <f t="shared" si="48"/>
        <v>27370.87041749532</v>
      </c>
      <c r="G148" s="626">
        <v>-2437</v>
      </c>
      <c r="H148" s="166"/>
      <c r="I148" s="166">
        <f t="shared" si="49"/>
        <v>24933.87041749532</v>
      </c>
      <c r="J148" s="167">
        <f>IF($I$213=0,0,I148/$I$213)</f>
        <v>4.0071964211341425E-3</v>
      </c>
      <c r="K148" s="458"/>
      <c r="L148" s="163"/>
      <c r="M148" s="163"/>
      <c r="O148" s="329">
        <f t="shared" si="43"/>
        <v>1.2186642432793411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'[76]Sch C'!D146</f>
        <v>40982.83</v>
      </c>
      <c r="D150" s="480">
        <f>'[76]Sch C'!F146</f>
        <v>0</v>
      </c>
      <c r="E150" s="480">
        <f>+'[76]Sch C'!H146</f>
        <v>0</v>
      </c>
      <c r="F150" s="166">
        <f t="shared" ref="F150:F158" si="50">C150+D150+E150</f>
        <v>40982.83</v>
      </c>
      <c r="G150" s="626"/>
      <c r="H150" s="166"/>
      <c r="I150" s="166">
        <f t="shared" ref="I150:I158" si="51">F150+G150+H150</f>
        <v>40982.83</v>
      </c>
      <c r="J150" s="167">
        <f t="shared" ref="J150:J158" si="52">IF($I$213=0,0,I150/$I$213)</f>
        <v>6.5864724149972539E-3</v>
      </c>
      <c r="K150" s="458"/>
      <c r="L150" s="176">
        <v>0</v>
      </c>
      <c r="M150" s="176" t="s">
        <v>539</v>
      </c>
      <c r="O150" s="329">
        <f t="shared" si="43"/>
        <v>2.0030708699902249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'[76]Sch C'!D147</f>
        <v>39213.469999999972</v>
      </c>
      <c r="D151" s="480">
        <f>'[76]Sch C'!F147</f>
        <v>0</v>
      </c>
      <c r="E151" s="480">
        <f>+'[76]Sch C'!H147</f>
        <v>0</v>
      </c>
      <c r="F151" s="166">
        <f t="shared" si="50"/>
        <v>39213.469999999972</v>
      </c>
      <c r="G151" s="626"/>
      <c r="H151" s="166"/>
      <c r="I151" s="166">
        <f t="shared" si="51"/>
        <v>39213.469999999972</v>
      </c>
      <c r="J151" s="167">
        <f t="shared" si="52"/>
        <v>6.3021133106552713E-3</v>
      </c>
      <c r="K151" s="458"/>
      <c r="L151" s="176">
        <v>647.66999999999996</v>
      </c>
      <c r="M151" s="176">
        <v>647.66999999999996</v>
      </c>
      <c r="O151" s="329">
        <f t="shared" si="43"/>
        <v>1.9165918866080143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'[76]Sch C'!D148</f>
        <v>11285.619999999995</v>
      </c>
      <c r="D152" s="480">
        <f>'[76]Sch C'!F148</f>
        <v>0</v>
      </c>
      <c r="E152" s="480">
        <f>+'[76]Sch C'!H148</f>
        <v>0</v>
      </c>
      <c r="F152" s="166">
        <f t="shared" si="50"/>
        <v>11285.619999999995</v>
      </c>
      <c r="G152" s="626"/>
      <c r="H152" s="166"/>
      <c r="I152" s="166">
        <f t="shared" si="51"/>
        <v>11285.619999999995</v>
      </c>
      <c r="J152" s="167">
        <f t="shared" si="52"/>
        <v>1.8137455323641942E-3</v>
      </c>
      <c r="K152" s="458"/>
      <c r="L152" s="176">
        <v>229.5</v>
      </c>
      <c r="M152" s="176">
        <v>229.5</v>
      </c>
      <c r="O152" s="329">
        <f t="shared" si="43"/>
        <v>0.55159433040078176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'[76]Sch C'!D149</f>
        <v>43162.439999999944</v>
      </c>
      <c r="D153" s="480">
        <f>'[76]Sch C'!F149</f>
        <v>0</v>
      </c>
      <c r="E153" s="480">
        <f>+'[76]Sch C'!H149</f>
        <v>0</v>
      </c>
      <c r="F153" s="166">
        <f t="shared" si="50"/>
        <v>43162.439999999944</v>
      </c>
      <c r="G153" s="626"/>
      <c r="H153" s="166"/>
      <c r="I153" s="166">
        <f t="shared" si="51"/>
        <v>43162.439999999944</v>
      </c>
      <c r="J153" s="167">
        <f t="shared" si="52"/>
        <v>6.9367640161495363E-3</v>
      </c>
      <c r="K153" s="458"/>
      <c r="L153" s="176">
        <v>1707.4</v>
      </c>
      <c r="M153" s="176">
        <v>1707.4</v>
      </c>
      <c r="O153" s="329">
        <f t="shared" si="43"/>
        <v>2.1096011730205251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'[76]Sch C'!D150</f>
        <v>20008.21</v>
      </c>
      <c r="D154" s="480">
        <f>'[76]Sch C'!F150-39202</f>
        <v>0</v>
      </c>
      <c r="E154" s="480">
        <f>+'[76]Sch C'!H150</f>
        <v>0</v>
      </c>
      <c r="F154" s="166">
        <f t="shared" si="50"/>
        <v>20008.21</v>
      </c>
      <c r="G154" s="626"/>
      <c r="H154" s="480">
        <v>39202</v>
      </c>
      <c r="I154" s="166">
        <f t="shared" si="51"/>
        <v>59210.21</v>
      </c>
      <c r="J154" s="167">
        <f t="shared" si="52"/>
        <v>9.5158488286727523E-3</v>
      </c>
      <c r="K154" s="458"/>
      <c r="L154" s="176">
        <v>0</v>
      </c>
      <c r="M154" s="176" t="s">
        <v>397</v>
      </c>
      <c r="O154" s="329">
        <f t="shared" si="43"/>
        <v>2.8939496578690127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'[76]Sch C'!D151</f>
        <v>132831.29</v>
      </c>
      <c r="D155" s="480">
        <f>'[76]Sch C'!F151</f>
        <v>0</v>
      </c>
      <c r="E155" s="480">
        <f>+'[76]Sch C'!H151</f>
        <v>0</v>
      </c>
      <c r="F155" s="166">
        <f t="shared" si="50"/>
        <v>132831.29</v>
      </c>
      <c r="G155" s="626"/>
      <c r="H155" s="166"/>
      <c r="I155" s="166">
        <f t="shared" si="51"/>
        <v>132831.29</v>
      </c>
      <c r="J155" s="167">
        <f t="shared" si="52"/>
        <v>2.1347711405813131E-2</v>
      </c>
      <c r="K155" s="458"/>
      <c r="L155" s="163"/>
      <c r="M155" s="163"/>
      <c r="O155" s="329">
        <f t="shared" si="43"/>
        <v>6.492242913000978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'[76]Sch C'!D152</f>
        <v>82.85</v>
      </c>
      <c r="D156" s="480">
        <f>'[76]Sch C'!F152</f>
        <v>0</v>
      </c>
      <c r="E156" s="480">
        <f>+'[76]Sch C'!H152</f>
        <v>0</v>
      </c>
      <c r="F156" s="166">
        <f t="shared" si="50"/>
        <v>82.85</v>
      </c>
      <c r="G156" s="626"/>
      <c r="H156" s="166"/>
      <c r="I156" s="166">
        <f t="shared" si="51"/>
        <v>82.85</v>
      </c>
      <c r="J156" s="167">
        <f t="shared" si="52"/>
        <v>1.3315069739754977E-5</v>
      </c>
      <c r="K156" s="458"/>
      <c r="L156" s="163"/>
      <c r="M156" s="163"/>
      <c r="O156" s="329">
        <f t="shared" si="43"/>
        <v>4.0493646138807429E-3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'[76]Sch C'!D153</f>
        <v>0</v>
      </c>
      <c r="D157" s="480">
        <f>'[76]Sch C'!F153</f>
        <v>0</v>
      </c>
      <c r="E157" s="480">
        <f>+'[76]Sch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'[76]Sch C'!D154</f>
        <v>0</v>
      </c>
      <c r="D158" s="480">
        <f>'[76]Sch C'!F154</f>
        <v>0</v>
      </c>
      <c r="E158" s="480">
        <f>+'[76]Sch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'[76]Sch C'!D156</f>
        <v>0</v>
      </c>
      <c r="D160" s="480">
        <f>'[76]Sch C'!F156</f>
        <v>0</v>
      </c>
      <c r="E160" s="480">
        <f>+'[76]Sch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6" s="162" customFormat="1">
      <c r="A161" s="164">
        <v>440.2</v>
      </c>
      <c r="B161" s="158" t="s">
        <v>208</v>
      </c>
      <c r="C161" s="480">
        <f>'[76]Sch C'!D157</f>
        <v>0</v>
      </c>
      <c r="D161" s="480">
        <f>'[76]Sch C'!F157</f>
        <v>0</v>
      </c>
      <c r="E161" s="480">
        <f>+'[76]Sch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6" s="162" customFormat="1">
      <c r="A162" s="164">
        <v>440.3</v>
      </c>
      <c r="B162" s="158" t="s">
        <v>209</v>
      </c>
      <c r="C162" s="480">
        <f>'[76]Sch C'!D158</f>
        <v>0</v>
      </c>
      <c r="D162" s="480">
        <f>'[76]Sch C'!F158</f>
        <v>0</v>
      </c>
      <c r="E162" s="480">
        <f>+'[76]Sch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6" s="162" customFormat="1">
      <c r="A163" s="164">
        <v>440.4</v>
      </c>
      <c r="B163" s="158" t="s">
        <v>210</v>
      </c>
      <c r="C163" s="480">
        <f>'[76]Sch C'!D159</f>
        <v>0</v>
      </c>
      <c r="D163" s="480">
        <f>'[76]Sch C'!F159</f>
        <v>0</v>
      </c>
      <c r="E163" s="480">
        <f>+'[76]Sch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6" s="162" customFormat="1">
      <c r="A164" s="164">
        <v>440.5</v>
      </c>
      <c r="B164" s="158" t="s">
        <v>282</v>
      </c>
      <c r="C164" s="480">
        <f>'[76]Sch C'!D160</f>
        <v>2071.36</v>
      </c>
      <c r="D164" s="480">
        <f>'[76]Sch C'!F160</f>
        <v>0</v>
      </c>
      <c r="E164" s="480">
        <f>+'[76]Sch C'!H160</f>
        <v>0</v>
      </c>
      <c r="F164" s="166">
        <f t="shared" si="53"/>
        <v>2071.36</v>
      </c>
      <c r="G164" s="626"/>
      <c r="H164" s="166"/>
      <c r="I164" s="166">
        <f t="shared" si="54"/>
        <v>2071.36</v>
      </c>
      <c r="J164" s="167">
        <f>IF($I$213=0,0,I164/$I$213)</f>
        <v>3.3289442192080713E-4</v>
      </c>
      <c r="K164" s="458"/>
      <c r="L164" s="163"/>
      <c r="M164" s="163"/>
      <c r="O164" s="329">
        <f t="shared" si="43"/>
        <v>0.1012394916911046</v>
      </c>
      <c r="P164" s="324">
        <f>SUMMARY!L166</f>
        <v>9.900111029624771E-3</v>
      </c>
    </row>
    <row r="165" spans="1:16" s="162" customFormat="1">
      <c r="A165" s="164">
        <v>490</v>
      </c>
      <c r="B165" s="194" t="s">
        <v>296</v>
      </c>
      <c r="C165" s="480">
        <f>'[76]Sch C'!D161</f>
        <v>8300.9600000000009</v>
      </c>
      <c r="D165" s="480">
        <f>'[76]Sch C'!F161</f>
        <v>0</v>
      </c>
      <c r="E165" s="480">
        <f>+'[76]Sch C'!H161</f>
        <v>0</v>
      </c>
      <c r="F165" s="166">
        <f t="shared" si="53"/>
        <v>8300.9600000000009</v>
      </c>
      <c r="G165" s="626"/>
      <c r="H165" s="166"/>
      <c r="I165" s="166">
        <f t="shared" si="54"/>
        <v>8300.9600000000009</v>
      </c>
      <c r="J165" s="167">
        <f t="shared" si="55"/>
        <v>1.3340719530104586E-3</v>
      </c>
      <c r="K165" s="458"/>
      <c r="L165" s="163"/>
      <c r="M165" s="163"/>
      <c r="O165" s="329">
        <f t="shared" si="43"/>
        <v>0.40571652003910075</v>
      </c>
      <c r="P165" s="324">
        <f>SUMMARY!L167</f>
        <v>0.46627165535370629</v>
      </c>
    </row>
    <row r="166" spans="1:16" s="162" customFormat="1">
      <c r="A166" s="164"/>
      <c r="B166" s="165" t="s">
        <v>216</v>
      </c>
      <c r="C166" s="480">
        <f t="shared" ref="C166:E166" si="56">SUM(C128:C165)</f>
        <v>2363255.6999999997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2363255.6999999997</v>
      </c>
      <c r="G166" s="166">
        <f t="shared" si="57"/>
        <v>-32409</v>
      </c>
      <c r="H166" s="166">
        <f t="shared" si="57"/>
        <v>39202</v>
      </c>
      <c r="I166" s="166">
        <f t="shared" si="57"/>
        <v>2370048.7000000002</v>
      </c>
      <c r="J166" s="167">
        <f t="shared" si="55"/>
        <v>0.3808975706350709</v>
      </c>
      <c r="K166" s="458"/>
      <c r="L166" s="163"/>
      <c r="M166" s="163"/>
      <c r="O166" s="329">
        <f>I166/I$233</f>
        <v>115.83815738025416</v>
      </c>
      <c r="P166" s="324">
        <f>SUMMARY!L168</f>
        <v>117.25773185217372</v>
      </c>
    </row>
    <row r="167" spans="1:16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6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6" s="211" customFormat="1">
      <c r="A169" s="207" t="s">
        <v>87</v>
      </c>
      <c r="B169" s="145" t="s">
        <v>94</v>
      </c>
      <c r="C169" s="480">
        <f>'[76]Sch C'!D175</f>
        <v>0</v>
      </c>
      <c r="D169" s="480">
        <f>'[76]Sch C'!F175</f>
        <v>0</v>
      </c>
      <c r="E169" s="480">
        <f>+'[76]Sch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10"/>
      <c r="O169" s="329">
        <f>I169/I$233</f>
        <v>0</v>
      </c>
      <c r="P169" s="324">
        <f>SUMMARY!L171</f>
        <v>0</v>
      </c>
    </row>
    <row r="170" spans="1:16" s="211" customFormat="1">
      <c r="A170" s="207" t="s">
        <v>115</v>
      </c>
      <c r="B170" s="145" t="s">
        <v>95</v>
      </c>
      <c r="C170" s="480">
        <f>'[76]Sch C'!D176</f>
        <v>0</v>
      </c>
      <c r="D170" s="480">
        <f>'[76]Sch C'!F176</f>
        <v>0</v>
      </c>
      <c r="E170" s="480">
        <f>+'[76]Sch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10"/>
      <c r="O170" s="329">
        <f t="shared" ref="O170:O201" si="61">I170/I$233</f>
        <v>0</v>
      </c>
      <c r="P170" s="324">
        <f>SUMMARY!L172</f>
        <v>0</v>
      </c>
    </row>
    <row r="171" spans="1:16" s="211" customFormat="1">
      <c r="A171" s="207" t="s">
        <v>116</v>
      </c>
      <c r="B171" s="145" t="s">
        <v>96</v>
      </c>
      <c r="C171" s="480">
        <f>'[76]Sch C'!D177</f>
        <v>224562.68</v>
      </c>
      <c r="D171" s="480">
        <f>'[76]Sch C'!F177</f>
        <v>0</v>
      </c>
      <c r="E171" s="480">
        <f>+'[76]Sch C'!H177</f>
        <v>0</v>
      </c>
      <c r="F171" s="166">
        <f t="shared" si="58"/>
        <v>224562.68</v>
      </c>
      <c r="G171" s="626"/>
      <c r="H171" s="166"/>
      <c r="I171" s="166">
        <f t="shared" si="59"/>
        <v>224562.68</v>
      </c>
      <c r="J171" s="167">
        <f t="shared" si="60"/>
        <v>3.6090135728983466E-2</v>
      </c>
      <c r="K171" s="468"/>
      <c r="L171" s="176">
        <v>5574.7957142857149</v>
      </c>
      <c r="M171" s="176">
        <v>5835.6657142857148</v>
      </c>
      <c r="N171" s="210"/>
      <c r="O171" s="329">
        <f t="shared" si="61"/>
        <v>10.975693059628544</v>
      </c>
      <c r="P171" s="324">
        <f>SUMMARY!L173</f>
        <v>5.1847498620055372</v>
      </c>
    </row>
    <row r="172" spans="1:16" s="211" customFormat="1">
      <c r="A172" s="207" t="s">
        <v>149</v>
      </c>
      <c r="B172" s="145" t="s">
        <v>97</v>
      </c>
      <c r="C172" s="480">
        <f>'[76]Sch C'!D178</f>
        <v>63013.450000000004</v>
      </c>
      <c r="D172" s="480">
        <f>'[76]Sch C'!F178</f>
        <v>0</v>
      </c>
      <c r="E172" s="480">
        <f>+'[76]Sch C'!H178</f>
        <v>0</v>
      </c>
      <c r="F172" s="166">
        <f t="shared" si="58"/>
        <v>63013.450000000004</v>
      </c>
      <c r="G172" s="626">
        <v>-4310</v>
      </c>
      <c r="H172" s="166"/>
      <c r="I172" s="166">
        <f t="shared" si="59"/>
        <v>58703.450000000004</v>
      </c>
      <c r="J172" s="167">
        <f t="shared" si="60"/>
        <v>9.4344059229235899E-3</v>
      </c>
      <c r="K172" s="469"/>
      <c r="L172" s="212"/>
      <c r="M172" s="212"/>
      <c r="N172" s="210"/>
      <c r="O172" s="329">
        <f t="shared" si="61"/>
        <v>2.8691813294232653</v>
      </c>
      <c r="P172" s="324">
        <f>SUMMARY!L174</f>
        <v>0.98583410796026272</v>
      </c>
    </row>
    <row r="173" spans="1:16" s="211" customFormat="1">
      <c r="A173" s="207" t="s">
        <v>150</v>
      </c>
      <c r="B173" s="145" t="s">
        <v>297</v>
      </c>
      <c r="C173" s="480">
        <f>'[76]Sch C'!D179</f>
        <v>61255.37</v>
      </c>
      <c r="D173" s="480">
        <f>'[76]Sch C'!F179</f>
        <v>0</v>
      </c>
      <c r="E173" s="480">
        <f>+'[76]Sch C'!H179</f>
        <v>0</v>
      </c>
      <c r="F173" s="166">
        <f t="shared" si="58"/>
        <v>61255.37</v>
      </c>
      <c r="G173" s="626"/>
      <c r="H173" s="166"/>
      <c r="I173" s="166">
        <f t="shared" si="59"/>
        <v>61255.37</v>
      </c>
      <c r="J173" s="167">
        <f t="shared" si="60"/>
        <v>9.8445325707241377E-3</v>
      </c>
      <c r="K173" s="468"/>
      <c r="L173" s="176">
        <v>1631.7057142857143</v>
      </c>
      <c r="M173" s="176">
        <v>1813.0557142857142</v>
      </c>
      <c r="N173" s="210"/>
      <c r="O173" s="329">
        <f t="shared" si="61"/>
        <v>2.9939086021505377</v>
      </c>
      <c r="P173" s="324">
        <f>SUMMARY!L175</f>
        <v>0.88344885118675753</v>
      </c>
    </row>
    <row r="174" spans="1:16" s="211" customFormat="1">
      <c r="A174" s="207" t="s">
        <v>78</v>
      </c>
      <c r="B174" s="145" t="s">
        <v>298</v>
      </c>
      <c r="C174" s="480">
        <f>'[76]Sch C'!D180</f>
        <v>14169</v>
      </c>
      <c r="D174" s="480">
        <f>'[76]Sch C'!F180</f>
        <v>0</v>
      </c>
      <c r="E174" s="480">
        <f>+'[76]Sch C'!H180</f>
        <v>0</v>
      </c>
      <c r="F174" s="166">
        <f t="shared" si="58"/>
        <v>14169</v>
      </c>
      <c r="G174" s="626">
        <v>-1176</v>
      </c>
      <c r="H174" s="166"/>
      <c r="I174" s="166">
        <f t="shared" si="59"/>
        <v>12993</v>
      </c>
      <c r="J174" s="167">
        <f t="shared" si="60"/>
        <v>2.0881436466944647E-3</v>
      </c>
      <c r="K174" s="469"/>
      <c r="L174" s="212"/>
      <c r="M174" s="212"/>
      <c r="N174" s="210"/>
      <c r="O174" s="329">
        <f t="shared" si="61"/>
        <v>0.63504398826979469</v>
      </c>
      <c r="P174" s="324">
        <f>SUMMARY!L176</f>
        <v>0.17287917374835396</v>
      </c>
    </row>
    <row r="175" spans="1:16" s="211" customFormat="1">
      <c r="A175" s="207" t="s">
        <v>88</v>
      </c>
      <c r="B175" s="145" t="s">
        <v>299</v>
      </c>
      <c r="C175" s="480">
        <f>'[76]Sch C'!D181</f>
        <v>0</v>
      </c>
      <c r="D175" s="480">
        <f>'[76]Sch C'!F181</f>
        <v>0</v>
      </c>
      <c r="E175" s="480">
        <f>+'[76]Sch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10"/>
      <c r="O175" s="329">
        <f t="shared" si="61"/>
        <v>0</v>
      </c>
      <c r="P175" s="324">
        <f>SUMMARY!L177</f>
        <v>0</v>
      </c>
    </row>
    <row r="176" spans="1:16" s="211" customFormat="1">
      <c r="A176" s="207" t="s">
        <v>117</v>
      </c>
      <c r="B176" s="145" t="s">
        <v>101</v>
      </c>
      <c r="C176" s="480">
        <f>'[76]Sch C'!D182</f>
        <v>0</v>
      </c>
      <c r="D176" s="480">
        <f>'[76]Sch C'!F182</f>
        <v>0</v>
      </c>
      <c r="E176" s="480">
        <f>+'[76]Sch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10"/>
      <c r="O176" s="329">
        <f t="shared" si="61"/>
        <v>0</v>
      </c>
      <c r="P176" s="324">
        <f>SUMMARY!L178</f>
        <v>0</v>
      </c>
    </row>
    <row r="177" spans="1:16" s="211" customFormat="1">
      <c r="A177" s="207" t="s">
        <v>118</v>
      </c>
      <c r="B177" s="145" t="s">
        <v>300</v>
      </c>
      <c r="C177" s="480">
        <f>'[76]Sch C'!D183</f>
        <v>138320.57</v>
      </c>
      <c r="D177" s="480">
        <f>'[76]Sch C'!F183</f>
        <v>0</v>
      </c>
      <c r="E177" s="480">
        <f>+'[76]Sch C'!H183</f>
        <v>0</v>
      </c>
      <c r="F177" s="166">
        <f t="shared" si="58"/>
        <v>138320.57</v>
      </c>
      <c r="G177" s="626"/>
      <c r="H177" s="166"/>
      <c r="I177" s="166">
        <f t="shared" si="59"/>
        <v>138320.57</v>
      </c>
      <c r="J177" s="167">
        <f t="shared" si="60"/>
        <v>2.2229909909386364E-2</v>
      </c>
      <c r="K177" s="468"/>
      <c r="L177" s="176">
        <v>3859.8471428571429</v>
      </c>
      <c r="M177" s="176">
        <v>4214.6171428571433</v>
      </c>
      <c r="N177" s="210"/>
      <c r="O177" s="329">
        <f t="shared" si="61"/>
        <v>6.7605361681329423</v>
      </c>
      <c r="P177" s="324">
        <f>SUMMARY!L179</f>
        <v>3.4216730728324949</v>
      </c>
    </row>
    <row r="178" spans="1:16" s="211" customFormat="1">
      <c r="A178" s="207" t="s">
        <v>119</v>
      </c>
      <c r="B178" s="145" t="s">
        <v>103</v>
      </c>
      <c r="C178" s="480">
        <f>'[76]Sch C'!D184</f>
        <v>43204.61</v>
      </c>
      <c r="D178" s="480">
        <f>'[76]Sch C'!F184</f>
        <v>0</v>
      </c>
      <c r="E178" s="480">
        <f>+'[76]Sch C'!H184</f>
        <v>0</v>
      </c>
      <c r="F178" s="166">
        <f t="shared" si="58"/>
        <v>43204.61</v>
      </c>
      <c r="G178" s="626">
        <v>-2663</v>
      </c>
      <c r="H178" s="166"/>
      <c r="I178" s="166">
        <f t="shared" si="59"/>
        <v>40541.61</v>
      </c>
      <c r="J178" s="167">
        <f t="shared" si="60"/>
        <v>6.5155626374405282E-3</v>
      </c>
      <c r="K178" s="469"/>
      <c r="L178" s="212"/>
      <c r="M178" s="212"/>
      <c r="N178" s="210"/>
      <c r="O178" s="329">
        <f t="shared" si="61"/>
        <v>1.9815058651026394</v>
      </c>
      <c r="P178" s="324">
        <f>SUMMARY!L180</f>
        <v>0.66424056228476069</v>
      </c>
    </row>
    <row r="179" spans="1:16" s="211" customFormat="1">
      <c r="A179" s="207" t="s">
        <v>120</v>
      </c>
      <c r="B179" s="145" t="s">
        <v>301</v>
      </c>
      <c r="C179" s="480">
        <f>'[76]Sch C'!D185</f>
        <v>0</v>
      </c>
      <c r="D179" s="480">
        <f>'[76]Sch C'!F185</f>
        <v>0</v>
      </c>
      <c r="E179" s="480">
        <f>+'[76]Sch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10"/>
      <c r="O179" s="329">
        <f t="shared" si="61"/>
        <v>0</v>
      </c>
      <c r="P179" s="324">
        <f>SUMMARY!L181</f>
        <v>0</v>
      </c>
    </row>
    <row r="180" spans="1:16" s="211" customFormat="1">
      <c r="A180" s="207" t="s">
        <v>121</v>
      </c>
      <c r="B180" s="145" t="s">
        <v>302</v>
      </c>
      <c r="C180" s="480">
        <f>'[76]Sch C'!D186</f>
        <v>0</v>
      </c>
      <c r="D180" s="480">
        <f>'[76]Sch C'!F186</f>
        <v>0</v>
      </c>
      <c r="E180" s="480">
        <f>+'[76]Sch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</row>
    <row r="181" spans="1:16" s="211" customFormat="1">
      <c r="A181" s="214" t="s">
        <v>274</v>
      </c>
      <c r="B181" s="145" t="s">
        <v>146</v>
      </c>
      <c r="C181" s="480">
        <f>'[76]Sch C'!D187</f>
        <v>0</v>
      </c>
      <c r="D181" s="480">
        <f>'[76]Sch C'!F187</f>
        <v>0</v>
      </c>
      <c r="E181" s="480">
        <f>+'[76]Sch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</row>
    <row r="182" spans="1:16" s="211" customFormat="1">
      <c r="A182" s="214" t="s">
        <v>275</v>
      </c>
      <c r="B182" s="145" t="s">
        <v>303</v>
      </c>
      <c r="C182" s="480">
        <f>'[76]Sch C'!D188</f>
        <v>2476.29</v>
      </c>
      <c r="D182" s="480">
        <f>'[76]Sch C'!F188</f>
        <v>0</v>
      </c>
      <c r="E182" s="480">
        <f>+'[76]Sch C'!H188</f>
        <v>0</v>
      </c>
      <c r="F182" s="166">
        <f t="shared" si="58"/>
        <v>2476.29</v>
      </c>
      <c r="G182" s="626"/>
      <c r="H182" s="166"/>
      <c r="I182" s="166">
        <f t="shared" si="59"/>
        <v>2476.29</v>
      </c>
      <c r="J182" s="167">
        <f t="shared" si="60"/>
        <v>3.9797192571946712E-4</v>
      </c>
      <c r="K182" s="458"/>
      <c r="L182" s="213"/>
      <c r="M182" s="208"/>
      <c r="N182" s="210"/>
      <c r="O182" s="329">
        <f t="shared" si="61"/>
        <v>0.1210307917888563</v>
      </c>
      <c r="P182" s="324">
        <f>SUMMARY!L184</f>
        <v>0.18052498920395743</v>
      </c>
    </row>
    <row r="183" spans="1:16" s="211" customFormat="1">
      <c r="A183" s="214" t="s">
        <v>276</v>
      </c>
      <c r="B183" s="145" t="s">
        <v>304</v>
      </c>
      <c r="C183" s="480">
        <f>'[76]Sch C'!D189</f>
        <v>3443.42</v>
      </c>
      <c r="D183" s="480">
        <f>'[76]Sch C'!F189</f>
        <v>0</v>
      </c>
      <c r="E183" s="480">
        <f>+'[76]Sch C'!H189</f>
        <v>0</v>
      </c>
      <c r="F183" s="166">
        <f t="shared" si="58"/>
        <v>3443.42</v>
      </c>
      <c r="G183" s="626"/>
      <c r="H183" s="166"/>
      <c r="I183" s="166">
        <f t="shared" si="59"/>
        <v>3443.42</v>
      </c>
      <c r="J183" s="167">
        <f t="shared" si="60"/>
        <v>5.534022624413649E-4</v>
      </c>
      <c r="K183" s="458"/>
      <c r="L183" s="213"/>
      <c r="M183" s="208"/>
      <c r="N183" s="210"/>
      <c r="O183" s="329">
        <f t="shared" si="61"/>
        <v>0.16830009775171065</v>
      </c>
      <c r="P183" s="324">
        <f>SUMMARY!L185</f>
        <v>4.1546736364409788E-2</v>
      </c>
    </row>
    <row r="184" spans="1:16" s="211" customFormat="1">
      <c r="A184" s="214" t="s">
        <v>277</v>
      </c>
      <c r="B184" s="145" t="s">
        <v>305</v>
      </c>
      <c r="C184" s="480">
        <f>'[76]Sch C'!D190</f>
        <v>0</v>
      </c>
      <c r="D184" s="480">
        <f>'[76]Sch C'!F190</f>
        <v>0</v>
      </c>
      <c r="E184" s="480">
        <f>+'[76]Sch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</row>
    <row r="185" spans="1:16" s="211" customFormat="1">
      <c r="A185" s="214" t="s">
        <v>278</v>
      </c>
      <c r="B185" s="145" t="s">
        <v>306</v>
      </c>
      <c r="C185" s="480">
        <f>'[76]Sch C'!D191</f>
        <v>0</v>
      </c>
      <c r="D185" s="480">
        <f>'[76]Sch C'!F191</f>
        <v>0</v>
      </c>
      <c r="E185" s="480">
        <f>+'[76]Sch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</row>
    <row r="186" spans="1:16" s="211" customFormat="1">
      <c r="A186" s="214" t="s">
        <v>279</v>
      </c>
      <c r="B186" s="145" t="s">
        <v>109</v>
      </c>
      <c r="C186" s="480">
        <f>'[76]Sch C'!D192</f>
        <v>39986.959999999999</v>
      </c>
      <c r="D186" s="480">
        <f>'[76]Sch C'!F192</f>
        <v>0</v>
      </c>
      <c r="E186" s="480">
        <f>+'[76]Sch C'!H192</f>
        <v>0</v>
      </c>
      <c r="F186" s="166">
        <f t="shared" si="58"/>
        <v>39986.959999999999</v>
      </c>
      <c r="G186" s="626"/>
      <c r="H186" s="166"/>
      <c r="I186" s="166">
        <f t="shared" si="59"/>
        <v>39986.959999999999</v>
      </c>
      <c r="J186" s="167">
        <f t="shared" si="60"/>
        <v>6.4264231874567607E-3</v>
      </c>
      <c r="K186" s="458"/>
      <c r="L186" s="213"/>
      <c r="M186" s="208"/>
      <c r="N186" s="210"/>
      <c r="O186" s="329">
        <f t="shared" si="61"/>
        <v>1.9543968719452589</v>
      </c>
      <c r="P186" s="324">
        <f>SUMMARY!L188</f>
        <v>0.23792429524187983</v>
      </c>
    </row>
    <row r="187" spans="1:16" s="211" customFormat="1">
      <c r="A187" s="214" t="s">
        <v>124</v>
      </c>
      <c r="B187" s="145" t="s">
        <v>110</v>
      </c>
      <c r="C187" s="480">
        <f>'[76]Sch C'!D193</f>
        <v>0</v>
      </c>
      <c r="D187" s="480">
        <f>'[76]Sch C'!F193</f>
        <v>0</v>
      </c>
      <c r="E187" s="480">
        <f>+'[76]Sch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</row>
    <row r="188" spans="1:16" s="211" customFormat="1">
      <c r="A188" s="214" t="s">
        <v>125</v>
      </c>
      <c r="B188" s="145" t="s">
        <v>111</v>
      </c>
      <c r="C188" s="480">
        <f>'[76]Sch C'!D194</f>
        <v>0</v>
      </c>
      <c r="D188" s="480">
        <f>'[76]Sch C'!F194-12136</f>
        <v>0</v>
      </c>
      <c r="E188" s="480">
        <f>+'[76]Sch C'!H194</f>
        <v>0</v>
      </c>
      <c r="F188" s="166">
        <f t="shared" si="58"/>
        <v>0</v>
      </c>
      <c r="G188" s="626"/>
      <c r="H188" s="480">
        <v>12136</v>
      </c>
      <c r="I188" s="166">
        <f t="shared" si="59"/>
        <v>12136</v>
      </c>
      <c r="J188" s="167">
        <f t="shared" si="60"/>
        <v>1.9504126295916283E-3</v>
      </c>
      <c r="K188" s="458"/>
      <c r="L188" s="213"/>
      <c r="M188" s="208"/>
      <c r="N188" s="210"/>
      <c r="O188" s="329">
        <f t="shared" si="61"/>
        <v>0.59315738025415443</v>
      </c>
      <c r="P188" s="324">
        <f>SUMMARY!L190</f>
        <v>6.5644691954713696</v>
      </c>
    </row>
    <row r="189" spans="1:16" s="211" customFormat="1">
      <c r="A189" s="214" t="s">
        <v>126</v>
      </c>
      <c r="B189" s="145" t="s">
        <v>307</v>
      </c>
      <c r="C189" s="480">
        <f>'[76]Sch C'!D195</f>
        <v>0</v>
      </c>
      <c r="D189" s="480">
        <f>'[76]Sch C'!F195</f>
        <v>0</v>
      </c>
      <c r="E189" s="480">
        <f>+'[76]Sch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N189" s="210"/>
      <c r="O189" s="329">
        <f t="shared" si="61"/>
        <v>0</v>
      </c>
      <c r="P189" s="324">
        <f>SUMMARY!L191</f>
        <v>1.502971695522523</v>
      </c>
    </row>
    <row r="190" spans="1:16" s="211" customFormat="1">
      <c r="A190" s="214" t="s">
        <v>127</v>
      </c>
      <c r="B190" s="145" t="s">
        <v>308</v>
      </c>
      <c r="C190" s="480">
        <f>'[76]Sch C'!D196</f>
        <v>0</v>
      </c>
      <c r="D190" s="480">
        <f>'[76]Sch C'!F196</f>
        <v>0</v>
      </c>
      <c r="E190" s="480">
        <f>+'[76]Sch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N190" s="210"/>
      <c r="O190" s="329">
        <f t="shared" si="61"/>
        <v>0</v>
      </c>
      <c r="P190" s="324">
        <f>SUMMARY!L192</f>
        <v>0</v>
      </c>
    </row>
    <row r="191" spans="1:16" s="211" customFormat="1">
      <c r="A191" s="214" t="s">
        <v>128</v>
      </c>
      <c r="B191" s="145" t="s">
        <v>309</v>
      </c>
      <c r="C191" s="480">
        <f>'[76]Sch C'!D197</f>
        <v>0</v>
      </c>
      <c r="D191" s="480">
        <f>'[76]Sch C'!F197</f>
        <v>0</v>
      </c>
      <c r="E191" s="480">
        <f>+'[76]Sch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N191" s="210"/>
      <c r="O191" s="329">
        <f t="shared" si="61"/>
        <v>0</v>
      </c>
      <c r="P191" s="324">
        <f>SUMMARY!L193</f>
        <v>4.8968748660590737</v>
      </c>
    </row>
    <row r="192" spans="1:16" s="211" customFormat="1">
      <c r="A192" s="214" t="s">
        <v>129</v>
      </c>
      <c r="B192" s="145" t="s">
        <v>114</v>
      </c>
      <c r="C192" s="480">
        <f>'[76]Sch C'!D198</f>
        <v>0</v>
      </c>
      <c r="D192" s="480">
        <f>'[76]Sch C'!F198</f>
        <v>0</v>
      </c>
      <c r="E192" s="480">
        <f>+'[76]Sch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N192" s="210"/>
      <c r="O192" s="329">
        <f t="shared" si="61"/>
        <v>0</v>
      </c>
      <c r="P192" s="324">
        <f>SUMMARY!L194</f>
        <v>1.2996922131725721</v>
      </c>
    </row>
    <row r="193" spans="1:16" s="211" customFormat="1">
      <c r="A193" s="214" t="s">
        <v>256</v>
      </c>
      <c r="B193" s="145" t="s">
        <v>310</v>
      </c>
      <c r="C193" s="480">
        <f>'[76]Sch C'!D199</f>
        <v>0</v>
      </c>
      <c r="D193" s="480">
        <f>'[76]Sch C'!F199</f>
        <v>0</v>
      </c>
      <c r="E193" s="480">
        <f>+'[76]Sch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N193" s="210"/>
      <c r="O193" s="329">
        <f t="shared" si="61"/>
        <v>0</v>
      </c>
      <c r="P193" s="324">
        <f>SUMMARY!L195</f>
        <v>2.1027298641690924E-3</v>
      </c>
    </row>
    <row r="194" spans="1:16" s="211" customFormat="1">
      <c r="A194" s="214" t="s">
        <v>258</v>
      </c>
      <c r="B194" s="145" t="s">
        <v>259</v>
      </c>
      <c r="C194" s="480">
        <f>'[76]Sch C'!D200</f>
        <v>0</v>
      </c>
      <c r="D194" s="480">
        <f>'[76]Sch C'!F200</f>
        <v>0</v>
      </c>
      <c r="E194" s="480">
        <f>+'[76]Sch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N194" s="210"/>
      <c r="O194" s="329">
        <f t="shared" si="61"/>
        <v>0</v>
      </c>
      <c r="P194" s="324">
        <f>SUMMARY!L196</f>
        <v>3.182328735996106E-3</v>
      </c>
    </row>
    <row r="195" spans="1:16" s="211" customFormat="1">
      <c r="A195" s="215" t="s">
        <v>260</v>
      </c>
      <c r="B195" s="216" t="s">
        <v>261</v>
      </c>
      <c r="C195" s="480">
        <f>'[76]Sch C'!D201</f>
        <v>0</v>
      </c>
      <c r="D195" s="480">
        <f>'[76]Sch C'!F201</f>
        <v>0</v>
      </c>
      <c r="E195" s="480">
        <f>+'[76]Sch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N195" s="210"/>
      <c r="O195" s="329">
        <f t="shared" si="61"/>
        <v>0</v>
      </c>
      <c r="P195" s="324">
        <f>SUMMARY!L197</f>
        <v>2.7229719324431581E-3</v>
      </c>
    </row>
    <row r="196" spans="1:16" s="211" customFormat="1">
      <c r="A196" s="215" t="s">
        <v>262</v>
      </c>
      <c r="B196" s="216" t="s">
        <v>263</v>
      </c>
      <c r="C196" s="480">
        <f>'[76]Sch C'!D202</f>
        <v>0</v>
      </c>
      <c r="D196" s="480">
        <f>'[76]Sch C'!F202</f>
        <v>0</v>
      </c>
      <c r="E196" s="480">
        <f>+'[76]Sch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N196" s="210"/>
      <c r="O196" s="329">
        <f t="shared" si="61"/>
        <v>0</v>
      </c>
      <c r="P196" s="324">
        <f>SUMMARY!L198</f>
        <v>1.5622492814304837E-3</v>
      </c>
    </row>
    <row r="197" spans="1:16" s="211" customFormat="1">
      <c r="A197" s="215" t="s">
        <v>264</v>
      </c>
      <c r="B197" s="216" t="s">
        <v>311</v>
      </c>
      <c r="C197" s="480">
        <f>'[76]Sch C'!D203</f>
        <v>26187.1</v>
      </c>
      <c r="D197" s="480">
        <f>'[76]Sch C'!F203</f>
        <v>0</v>
      </c>
      <c r="E197" s="480">
        <f>+'[76]Sch C'!H203</f>
        <v>0</v>
      </c>
      <c r="F197" s="166">
        <f t="shared" si="58"/>
        <v>26187.1</v>
      </c>
      <c r="G197" s="626"/>
      <c r="H197" s="166"/>
      <c r="I197" s="166">
        <f t="shared" si="59"/>
        <v>26187.1</v>
      </c>
      <c r="J197" s="167">
        <f t="shared" si="60"/>
        <v>4.2086066720813222E-3</v>
      </c>
      <c r="K197" s="458"/>
      <c r="L197" s="213"/>
      <c r="M197" s="208"/>
      <c r="N197" s="210"/>
      <c r="O197" s="329">
        <f t="shared" si="61"/>
        <v>1.2799169110459432</v>
      </c>
      <c r="P197" s="324">
        <f>SUMMARY!L199</f>
        <v>8.6370876638656183E-2</v>
      </c>
    </row>
    <row r="198" spans="1:16" s="211" customFormat="1">
      <c r="A198" s="215" t="s">
        <v>266</v>
      </c>
      <c r="B198" s="216" t="s">
        <v>312</v>
      </c>
      <c r="C198" s="480">
        <f>'[76]Sch C'!D204</f>
        <v>0</v>
      </c>
      <c r="D198" s="480">
        <f>'[76]Sch C'!F204</f>
        <v>0</v>
      </c>
      <c r="E198" s="480">
        <f>+'[76]Sch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N198" s="210"/>
      <c r="O198" s="329">
        <f t="shared" si="61"/>
        <v>0</v>
      </c>
      <c r="P198" s="324">
        <f>SUMMARY!L200</f>
        <v>2.6895338155745165E-2</v>
      </c>
    </row>
    <row r="199" spans="1:16" s="211" customFormat="1">
      <c r="A199" s="214" t="s">
        <v>130</v>
      </c>
      <c r="B199" s="145" t="s">
        <v>313</v>
      </c>
      <c r="C199" s="480">
        <f>'[76]Sch C'!D205</f>
        <v>163910.44</v>
      </c>
      <c r="D199" s="480">
        <f>'[76]Sch C'!F205</f>
        <v>0</v>
      </c>
      <c r="E199" s="480">
        <f>+'[76]Sch C'!H205</f>
        <v>0</v>
      </c>
      <c r="F199" s="166">
        <f t="shared" si="58"/>
        <v>163910.44</v>
      </c>
      <c r="G199" s="626"/>
      <c r="H199" s="166"/>
      <c r="I199" s="166">
        <f t="shared" si="59"/>
        <v>163910.44</v>
      </c>
      <c r="J199" s="167">
        <f t="shared" si="60"/>
        <v>2.6342533973131247E-2</v>
      </c>
      <c r="K199" s="458"/>
      <c r="L199" s="213"/>
      <c r="M199" s="208"/>
      <c r="N199" s="210"/>
      <c r="O199" s="329">
        <f t="shared" si="61"/>
        <v>8.0112629521016618</v>
      </c>
      <c r="P199" s="324">
        <f>SUMMARY!L201</f>
        <v>8.282884891032662</v>
      </c>
    </row>
    <row r="200" spans="1:16" s="211" customFormat="1">
      <c r="A200" s="214" t="s">
        <v>131</v>
      </c>
      <c r="B200" s="145" t="s">
        <v>59</v>
      </c>
      <c r="C200" s="480">
        <f>'[76]Sch C'!D206</f>
        <v>0</v>
      </c>
      <c r="D200" s="480">
        <f>'[76]Sch C'!F206</f>
        <v>0</v>
      </c>
      <c r="E200" s="480">
        <f>+'[76]Sch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N200" s="210"/>
      <c r="O200" s="329">
        <f t="shared" si="61"/>
        <v>0</v>
      </c>
      <c r="P200" s="324">
        <f>SUMMARY!L202</f>
        <v>0.50085155199169495</v>
      </c>
    </row>
    <row r="201" spans="1:16" s="211" customFormat="1">
      <c r="A201" s="215" t="s">
        <v>135</v>
      </c>
      <c r="B201" s="186" t="s">
        <v>314</v>
      </c>
      <c r="C201" s="480">
        <f>'[76]Sch C'!D207</f>
        <v>890.55</v>
      </c>
      <c r="D201" s="480">
        <f>'[76]Sch C'!F207</f>
        <v>0</v>
      </c>
      <c r="E201" s="480">
        <f>+'[76]Sch C'!H207</f>
        <v>0</v>
      </c>
      <c r="F201" s="166">
        <f t="shared" si="58"/>
        <v>890.55</v>
      </c>
      <c r="G201" s="626"/>
      <c r="H201" s="166"/>
      <c r="I201" s="166">
        <f t="shared" si="59"/>
        <v>890.55</v>
      </c>
      <c r="J201" s="167">
        <f t="shared" si="60"/>
        <v>1.4312293731730591E-4</v>
      </c>
      <c r="K201" s="458"/>
      <c r="L201" s="213"/>
      <c r="M201" s="208"/>
      <c r="N201" s="210"/>
      <c r="O201" s="329">
        <f t="shared" si="61"/>
        <v>4.3526392961876832E-2</v>
      </c>
      <c r="P201" s="324">
        <f>SUMMARY!L203</f>
        <v>0.38409432252006021</v>
      </c>
    </row>
    <row r="202" spans="1:16" s="162" customFormat="1">
      <c r="A202" s="158"/>
      <c r="B202" s="204" t="s">
        <v>122</v>
      </c>
      <c r="C202" s="480">
        <f t="shared" ref="C202:E202" si="62">SUM(C169:C201)</f>
        <v>781420.44000000018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781420.44000000018</v>
      </c>
      <c r="G202" s="166">
        <f t="shared" si="63"/>
        <v>-8149</v>
      </c>
      <c r="H202" s="166">
        <f t="shared" si="63"/>
        <v>12136</v>
      </c>
      <c r="I202" s="166">
        <f t="shared" si="63"/>
        <v>785407.44000000018</v>
      </c>
      <c r="J202" s="167">
        <f>IF($I$213=0,0,I202/$I$213)</f>
        <v>0.12622516400389167</v>
      </c>
      <c r="K202" s="458"/>
      <c r="L202" s="163"/>
      <c r="M202" s="163"/>
      <c r="O202" s="329">
        <f>I202/I$233</f>
        <v>38.387460410557196</v>
      </c>
      <c r="P202" s="324">
        <f>SUMMARY!L204</f>
        <v>35.511780513975516</v>
      </c>
    </row>
    <row r="203" spans="1:16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6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6" s="162" customFormat="1">
      <c r="A205" s="164" t="s">
        <v>77</v>
      </c>
      <c r="B205" s="165" t="s">
        <v>61</v>
      </c>
      <c r="C205" s="480">
        <f>'[76]Sch C'!D211</f>
        <v>98972.87</v>
      </c>
      <c r="D205" s="480">
        <f>'[76]Sch C'!F211</f>
        <v>0</v>
      </c>
      <c r="E205" s="480">
        <f>+'[76]Sch C'!H211</f>
        <v>0</v>
      </c>
      <c r="F205" s="166">
        <f t="shared" ref="F205:F210" si="64">C205+D205+E205</f>
        <v>98972.87</v>
      </c>
      <c r="G205" s="626">
        <v>-23775</v>
      </c>
      <c r="H205" s="166"/>
      <c r="I205" s="166">
        <f t="shared" ref="I205:I210" si="65">F205+G205+H205</f>
        <v>75197.87</v>
      </c>
      <c r="J205" s="167">
        <f t="shared" ref="J205:J211" si="66">IF($I$213=0,0,I205/$I$213)</f>
        <v>1.2085273184442106E-2</v>
      </c>
      <c r="K205" s="458"/>
      <c r="L205" s="176">
        <v>5860.7564285714298</v>
      </c>
      <c r="M205" s="176">
        <v>6290.6418685714298</v>
      </c>
      <c r="O205" s="329">
        <f t="shared" ref="O205:O210" si="67">I205/I$233</f>
        <v>3.6753602150537632</v>
      </c>
      <c r="P205" s="324">
        <f>SUMMARY!L207</f>
        <v>5.7476972960172068</v>
      </c>
    </row>
    <row r="206" spans="1:16" s="162" customFormat="1">
      <c r="A206" s="164" t="s">
        <v>78</v>
      </c>
      <c r="B206" s="165" t="s">
        <v>37</v>
      </c>
      <c r="C206" s="480">
        <f>'[76]Sch C'!D212</f>
        <v>33624.44</v>
      </c>
      <c r="D206" s="480">
        <f>'[76]Sch C'!F212</f>
        <v>0</v>
      </c>
      <c r="E206" s="480">
        <f>+'[76]Sch C'!H212</f>
        <v>0</v>
      </c>
      <c r="F206" s="166">
        <f t="shared" si="64"/>
        <v>33624.44</v>
      </c>
      <c r="G206" s="626">
        <f>-1915-7617</f>
        <v>-9532</v>
      </c>
      <c r="H206" s="166"/>
      <c r="I206" s="166">
        <f t="shared" si="65"/>
        <v>24092.440000000002</v>
      </c>
      <c r="J206" s="167">
        <f t="shared" si="66"/>
        <v>3.8719676379102286E-3</v>
      </c>
      <c r="K206" s="458"/>
      <c r="L206" s="163"/>
      <c r="M206" s="163"/>
      <c r="O206" s="329">
        <f t="shared" si="67"/>
        <v>1.1775386119257087</v>
      </c>
      <c r="P206" s="324">
        <f>SUMMARY!L208</f>
        <v>1.2734909412462843</v>
      </c>
    </row>
    <row r="207" spans="1:16" s="162" customFormat="1">
      <c r="A207" s="164" t="s">
        <v>132</v>
      </c>
      <c r="B207" s="165" t="s">
        <v>46</v>
      </c>
      <c r="C207" s="480">
        <f>'[76]Sch C'!D213</f>
        <v>14308.18</v>
      </c>
      <c r="D207" s="480">
        <f>'[76]Sch C'!F213</f>
        <v>0</v>
      </c>
      <c r="E207" s="480">
        <f>+'[76]Sch C'!H213</f>
        <v>0</v>
      </c>
      <c r="F207" s="166">
        <f t="shared" si="64"/>
        <v>14308.18</v>
      </c>
      <c r="G207" s="626">
        <v>1050</v>
      </c>
      <c r="H207" s="166"/>
      <c r="I207" s="166">
        <f t="shared" si="65"/>
        <v>15358.18</v>
      </c>
      <c r="J207" s="167">
        <f t="shared" si="66"/>
        <v>2.4682587540821978E-3</v>
      </c>
      <c r="K207" s="458"/>
      <c r="L207" s="163"/>
      <c r="M207" s="163"/>
      <c r="O207" s="329">
        <f t="shared" si="67"/>
        <v>0.75064418377321607</v>
      </c>
      <c r="P207" s="324">
        <f>SUMMARY!L209</f>
        <v>0.51656684080340909</v>
      </c>
    </row>
    <row r="208" spans="1:16" s="162" customFormat="1">
      <c r="A208" s="164" t="s">
        <v>133</v>
      </c>
      <c r="B208" s="165" t="s">
        <v>62</v>
      </c>
      <c r="C208" s="480">
        <f>'[76]Sch C'!D214</f>
        <v>0</v>
      </c>
      <c r="D208" s="480">
        <f>'[76]Sch C'!F214</f>
        <v>0</v>
      </c>
      <c r="E208" s="480">
        <f>+'[76]Sch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'[76]Sch C'!D215</f>
        <v>0</v>
      </c>
      <c r="D209" s="480">
        <f>'[76]Sch C'!F215</f>
        <v>0</v>
      </c>
      <c r="E209" s="480">
        <f>+'[76]Sch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'[76]Sch C'!D216</f>
        <v>43506.14</v>
      </c>
      <c r="D210" s="480">
        <f>'[76]Sch C'!F216</f>
        <v>0</v>
      </c>
      <c r="E210" s="480">
        <f>+'[76]Sch C'!H216</f>
        <v>0</v>
      </c>
      <c r="F210" s="166">
        <f t="shared" si="64"/>
        <v>43506.14</v>
      </c>
      <c r="G210" s="626">
        <f>-1050-560-383-26499</f>
        <v>-28492</v>
      </c>
      <c r="H210" s="166"/>
      <c r="I210" s="166">
        <f t="shared" si="65"/>
        <v>15014.14</v>
      </c>
      <c r="J210" s="167">
        <f t="shared" si="66"/>
        <v>2.4129670631556402E-3</v>
      </c>
      <c r="K210" s="458"/>
      <c r="L210" s="163"/>
      <c r="M210" s="163"/>
      <c r="O210" s="329">
        <f t="shared" si="67"/>
        <v>0.73382893450635378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190411.63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190411.63</v>
      </c>
      <c r="G211" s="166">
        <f t="shared" si="69"/>
        <v>-60749</v>
      </c>
      <c r="H211" s="166">
        <f t="shared" si="69"/>
        <v>0</v>
      </c>
      <c r="I211" s="166">
        <f t="shared" si="69"/>
        <v>129662.62999999999</v>
      </c>
      <c r="J211" s="167">
        <f t="shared" si="66"/>
        <v>2.0838466639590172E-2</v>
      </c>
      <c r="K211" s="458"/>
      <c r="L211" s="163"/>
      <c r="M211" s="163"/>
      <c r="O211" s="329">
        <f>I211/I$233</f>
        <v>6.3373719452590418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6412819.2899999982</v>
      </c>
      <c r="D213" s="480">
        <f t="shared" si="70"/>
        <v>-737361.25</v>
      </c>
      <c r="E213" s="480">
        <f t="shared" si="70"/>
        <v>0</v>
      </c>
      <c r="F213" s="166">
        <f t="shared" ref="F213:I213" si="71">SUM(F30:F211)/2</f>
        <v>5675458.0399999982</v>
      </c>
      <c r="G213" s="166">
        <f t="shared" si="71"/>
        <v>-822</v>
      </c>
      <c r="H213" s="166">
        <f t="shared" si="71"/>
        <v>547637.04</v>
      </c>
      <c r="I213" s="166">
        <f t="shared" si="71"/>
        <v>6222273.0800000001</v>
      </c>
      <c r="J213" s="167">
        <f>IF($I$213=0,0,I213/$I$213)</f>
        <v>1</v>
      </c>
      <c r="K213" s="458"/>
      <c r="L213" s="176">
        <f>SUM(L30:L205)</f>
        <v>124195.83357142856</v>
      </c>
      <c r="M213" s="176">
        <f>SUM(M30:M205)</f>
        <v>130660.99821642856</v>
      </c>
      <c r="O213" s="329">
        <f>I213/I$233</f>
        <v>304.11891886608015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'[76]Sch C'!D221</f>
        <v>6412819.290000001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 ht="15.5">
      <c r="A218" s="158"/>
      <c r="B218" s="220"/>
      <c r="C218" s="548"/>
      <c r="D218" s="221"/>
      <c r="E218" s="221"/>
      <c r="F218" s="221"/>
      <c r="G218" s="221"/>
      <c r="H218"/>
      <c r="I218" s="221"/>
      <c r="J218" s="161"/>
      <c r="K218" s="463"/>
      <c r="L218" s="163"/>
      <c r="M218" s="163"/>
    </row>
    <row r="219" spans="1:16" s="162" customFormat="1" ht="15.5">
      <c r="A219" s="164"/>
      <c r="B219" s="218"/>
      <c r="C219" s="160"/>
      <c r="D219" s="160"/>
      <c r="E219" s="160"/>
      <c r="F219" s="160"/>
      <c r="G219" s="160"/>
      <c r="H219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-596162.79999999888</v>
      </c>
      <c r="D220" s="480">
        <f t="shared" si="72"/>
        <v>1464962.28</v>
      </c>
      <c r="E220" s="480">
        <f t="shared" si="72"/>
        <v>0</v>
      </c>
      <c r="F220" s="166">
        <f t="shared" ref="F220:I220" si="73">F26-F213</f>
        <v>868799.48000000138</v>
      </c>
      <c r="G220" s="166">
        <f t="shared" si="73"/>
        <v>822</v>
      </c>
      <c r="H220" s="166">
        <f t="shared" si="73"/>
        <v>-547637.04</v>
      </c>
      <c r="I220" s="166">
        <f t="shared" si="73"/>
        <v>321984.43999999948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 ht="15.5">
      <c r="A222" s="158"/>
      <c r="B222" s="218"/>
      <c r="C222" s="188"/>
      <c r="D222" s="188"/>
      <c r="E222" s="188"/>
      <c r="F222" s="188"/>
      <c r="G222" s="188"/>
      <c r="H222"/>
      <c r="I222" s="188"/>
      <c r="K222" s="460"/>
      <c r="L222" s="163"/>
      <c r="M222" s="163"/>
    </row>
    <row r="223" spans="1:16" ht="15.5">
      <c r="A223" s="158"/>
      <c r="B223" s="222" t="s">
        <v>151</v>
      </c>
      <c r="C223" s="160"/>
      <c r="D223" s="160"/>
      <c r="E223" s="160"/>
      <c r="F223" s="160"/>
      <c r="G223" s="160"/>
      <c r="H223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'[76]Sch D'!C9</f>
        <v>14361</v>
      </c>
      <c r="D224" s="480"/>
      <c r="E224" s="480"/>
      <c r="F224" s="224">
        <f>C224+D224+E224</f>
        <v>14361</v>
      </c>
      <c r="G224" s="627"/>
      <c r="H224" s="223"/>
      <c r="I224" s="224">
        <f>F224+G224+H224</f>
        <v>14361</v>
      </c>
      <c r="J224" s="167">
        <f t="shared" ref="J224:J233" si="74">IF($I$233=0,0,I224/$I$233)</f>
        <v>0.70190615835777126</v>
      </c>
      <c r="K224" s="458"/>
      <c r="L224" s="163"/>
      <c r="M224" s="163"/>
    </row>
    <row r="225" spans="1:13">
      <c r="A225" s="158"/>
      <c r="B225" s="165" t="s">
        <v>201</v>
      </c>
      <c r="C225" s="504">
        <f>'[76]Sch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'[76]Sch D'!E9</f>
        <v>1045</v>
      </c>
      <c r="D226" s="480"/>
      <c r="E226" s="480"/>
      <c r="F226" s="224">
        <f t="shared" si="75"/>
        <v>1045</v>
      </c>
      <c r="G226" s="627"/>
      <c r="H226" s="223"/>
      <c r="I226" s="224">
        <f t="shared" si="76"/>
        <v>1045</v>
      </c>
      <c r="J226" s="167">
        <f t="shared" si="74"/>
        <v>5.1075268817204304E-2</v>
      </c>
      <c r="K226" s="458"/>
      <c r="L226" s="163"/>
      <c r="M226" s="163"/>
    </row>
    <row r="227" spans="1:13">
      <c r="A227" s="158"/>
      <c r="B227" s="194" t="s">
        <v>315</v>
      </c>
      <c r="C227" s="504">
        <f>'[76]Sch D'!F9</f>
        <v>1934</v>
      </c>
      <c r="D227" s="480"/>
      <c r="E227" s="480"/>
      <c r="F227" s="224">
        <f t="shared" si="75"/>
        <v>1934</v>
      </c>
      <c r="G227" s="627"/>
      <c r="H227" s="223"/>
      <c r="I227" s="224">
        <f t="shared" si="76"/>
        <v>1934</v>
      </c>
      <c r="J227" s="167">
        <f t="shared" si="74"/>
        <v>9.452590420332356E-2</v>
      </c>
      <c r="K227" s="458"/>
      <c r="L227" s="163"/>
      <c r="M227" s="163"/>
    </row>
    <row r="228" spans="1:13">
      <c r="A228" s="158"/>
      <c r="B228" s="165" t="s">
        <v>65</v>
      </c>
      <c r="C228" s="504">
        <f>'[76]Sch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'[76]Sch D'!H9</f>
        <v>919</v>
      </c>
      <c r="D229" s="480"/>
      <c r="E229" s="480"/>
      <c r="F229" s="224">
        <f t="shared" si="75"/>
        <v>919</v>
      </c>
      <c r="G229" s="627"/>
      <c r="H229" s="223"/>
      <c r="I229" s="224">
        <f t="shared" si="76"/>
        <v>919</v>
      </c>
      <c r="J229" s="167">
        <f t="shared" si="74"/>
        <v>4.4916911045943302E-2</v>
      </c>
      <c r="K229" s="458"/>
      <c r="L229" s="163"/>
      <c r="M229" s="163"/>
    </row>
    <row r="230" spans="1:13">
      <c r="A230" s="158"/>
      <c r="B230" s="165" t="s">
        <v>219</v>
      </c>
      <c r="C230" s="504">
        <f>'[76]Sch D'!I9</f>
        <v>2133</v>
      </c>
      <c r="D230" s="480"/>
      <c r="E230" s="480"/>
      <c r="F230" s="224">
        <f t="shared" si="75"/>
        <v>2133</v>
      </c>
      <c r="G230" s="627"/>
      <c r="H230" s="223"/>
      <c r="I230" s="224">
        <f t="shared" si="76"/>
        <v>2133</v>
      </c>
      <c r="J230" s="167">
        <f t="shared" si="74"/>
        <v>0.10425219941348973</v>
      </c>
      <c r="K230" s="458"/>
      <c r="L230" s="163"/>
      <c r="M230" s="163"/>
    </row>
    <row r="231" spans="1:13">
      <c r="A231" s="158"/>
      <c r="B231" s="165" t="s">
        <v>218</v>
      </c>
      <c r="C231" s="504">
        <f>'[76]Sch D'!J9</f>
        <v>68</v>
      </c>
      <c r="D231" s="480"/>
      <c r="E231" s="480"/>
      <c r="F231" s="224">
        <f t="shared" si="75"/>
        <v>68</v>
      </c>
      <c r="G231" s="627"/>
      <c r="H231" s="223"/>
      <c r="I231" s="224">
        <f t="shared" si="76"/>
        <v>68</v>
      </c>
      <c r="J231" s="167">
        <f>IF($I$233=0,0,I231/$I$233)</f>
        <v>3.3235581622678397E-3</v>
      </c>
      <c r="K231" s="458"/>
      <c r="L231" s="163"/>
      <c r="M231" s="163"/>
    </row>
    <row r="232" spans="1:13">
      <c r="A232" s="158"/>
      <c r="B232" s="165" t="s">
        <v>170</v>
      </c>
      <c r="C232" s="504">
        <f>'[76]Sch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20460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20460</v>
      </c>
      <c r="G233" s="226">
        <f t="shared" si="78"/>
        <v>0</v>
      </c>
      <c r="H233" s="226">
        <f t="shared" si="78"/>
        <v>0</v>
      </c>
      <c r="I233" s="226">
        <f t="shared" si="78"/>
        <v>20460</v>
      </c>
      <c r="J233" s="167">
        <f t="shared" si="74"/>
        <v>1</v>
      </c>
      <c r="K233" s="458"/>
      <c r="L233" s="163"/>
      <c r="M233" s="163"/>
    </row>
    <row r="234" spans="1:13" ht="16" thickTop="1">
      <c r="A234" s="158"/>
      <c r="B234" s="162"/>
      <c r="C234" s="549"/>
      <c r="D234" s="227"/>
      <c r="E234" s="227"/>
      <c r="F234" s="221"/>
      <c r="G234" s="221"/>
      <c r="H234"/>
      <c r="I234" s="221"/>
      <c r="J234" s="162"/>
      <c r="K234" s="460"/>
      <c r="L234" s="163"/>
      <c r="M234" s="163"/>
    </row>
    <row r="235" spans="1:13" ht="15.5">
      <c r="A235" s="158"/>
      <c r="B235" s="222" t="s">
        <v>152</v>
      </c>
      <c r="C235" s="548"/>
      <c r="D235" s="221"/>
      <c r="E235" s="221"/>
      <c r="F235" s="221"/>
      <c r="G235" s="221"/>
      <c r="H235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'[76]Sch D'!N22</f>
        <v>100</v>
      </c>
      <c r="D236" s="480"/>
      <c r="E236" s="480"/>
      <c r="F236" s="224">
        <f>C236+E236</f>
        <v>100</v>
      </c>
      <c r="G236" s="627"/>
      <c r="H236" s="224"/>
      <c r="I236" s="224">
        <f>F236+G236+H236</f>
        <v>100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'[76]Sch D'!N24</f>
        <v>100</v>
      </c>
      <c r="D237" s="480"/>
      <c r="E237" s="480"/>
      <c r="F237" s="224">
        <f>C237+E237</f>
        <v>100</v>
      </c>
      <c r="G237" s="627"/>
      <c r="H237" s="224"/>
      <c r="I237" s="224">
        <f>F237+G237+H237</f>
        <v>100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'[76]Sch D'!N28</f>
        <v>36500</v>
      </c>
      <c r="D240" s="427"/>
      <c r="E240" s="427"/>
      <c r="F240" s="223">
        <f>F236*F238</f>
        <v>36500</v>
      </c>
      <c r="G240"/>
      <c r="H240" s="228"/>
      <c r="I240" s="223">
        <f>I236*I238</f>
        <v>36500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'[76]Sch D'!N30</f>
        <v>0.56054794520547946</v>
      </c>
      <c r="D241" s="228"/>
      <c r="E241" s="228"/>
      <c r="F241" s="232">
        <f>F233/F240</f>
        <v>0.56054794520547946</v>
      </c>
      <c r="G241"/>
      <c r="H241" s="233"/>
      <c r="I241" s="232">
        <f>I233/I240</f>
        <v>0.56054794520547946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'[76]Sch D'!N32</f>
        <v>0.39345205479452056</v>
      </c>
      <c r="D242" s="228"/>
      <c r="E242" s="228"/>
      <c r="F242" s="232">
        <f>(F224+F225)/F240</f>
        <v>0.39345205479452056</v>
      </c>
      <c r="G242"/>
      <c r="H242" s="233"/>
      <c r="I242" s="232">
        <f>(I224+I225)/I240</f>
        <v>0.39345205479452056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'[76]Sch D'!N34</f>
        <v>0.70190615835777126</v>
      </c>
      <c r="D243" s="228"/>
      <c r="E243" s="228"/>
      <c r="F243" s="232">
        <f>(F242/F241)</f>
        <v>0.70190615835777126</v>
      </c>
      <c r="G243"/>
      <c r="H243" s="233"/>
      <c r="I243" s="232">
        <f>(I242/I241)</f>
        <v>0.70190615835777126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'[76]Sch B'!C90</f>
        <v>251.98501305483026</v>
      </c>
      <c r="K246" s="460"/>
    </row>
    <row r="247" spans="1:13">
      <c r="H247" s="140" t="s">
        <v>322</v>
      </c>
      <c r="I247" s="480">
        <f>'[76]Sch B'!E90</f>
        <v>248.63857142857142</v>
      </c>
      <c r="K247" s="460"/>
    </row>
    <row r="248" spans="1:13">
      <c r="H248" s="140" t="s">
        <v>323</v>
      </c>
      <c r="I248" s="480">
        <f>'[76]Sch B'!G90</f>
        <v>301.43768518518522</v>
      </c>
      <c r="K248" s="460"/>
    </row>
    <row r="249" spans="1:13">
      <c r="H249" s="140" t="s">
        <v>324</v>
      </c>
      <c r="I249" s="480">
        <f>'[76]Sch B'!I90</f>
        <v>242.84603773584902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44" fitToHeight="4" orientation="landscape" horizontalDpi="300" verticalDpi="300" r:id="rId3"/>
  <headerFooter alignWithMargins="0">
    <oddFooter>&amp;R&amp;D
&amp;T
&amp;F</oddFooter>
  </headerFooter>
  <ignoredErrors>
    <ignoredError sqref="H202" formulaRange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04"/>
      <c r="J1" s="419"/>
      <c r="K1" s="420"/>
    </row>
    <row r="2" spans="1:16" ht="23">
      <c r="B2" s="141" t="s">
        <v>178</v>
      </c>
      <c r="C2" s="137" t="s">
        <v>458</v>
      </c>
      <c r="D2" s="137"/>
      <c r="E2" s="234"/>
      <c r="F2" s="142"/>
      <c r="G2" s="142"/>
      <c r="I2" s="404"/>
    </row>
    <row r="3" spans="1:16" ht="15.5">
      <c r="A3" s="143"/>
      <c r="B3" s="138" t="s">
        <v>71</v>
      </c>
      <c r="C3" s="557">
        <f>'[77]Sch A Pg 1'!B39</f>
        <v>42917</v>
      </c>
      <c r="D3" s="620"/>
      <c r="E3" s="142"/>
      <c r="F3" s="144"/>
      <c r="G3" s="144"/>
      <c r="H3" s="405"/>
    </row>
    <row r="4" spans="1:16" ht="15.5">
      <c r="A4" s="143"/>
      <c r="B4" s="145" t="s">
        <v>72</v>
      </c>
      <c r="C4" s="557">
        <f>'[77]Sch A Pg 1'!G39</f>
        <v>43281</v>
      </c>
      <c r="D4" s="620"/>
      <c r="E4" s="142"/>
      <c r="F4" s="146"/>
      <c r="G4" s="146"/>
      <c r="H4" s="405"/>
      <c r="I4" s="147"/>
    </row>
    <row r="5" spans="1:16" ht="15.5">
      <c r="A5" s="143"/>
      <c r="B5" s="145"/>
      <c r="C5"/>
      <c r="D5"/>
      <c r="E5" s="142"/>
      <c r="H5" s="40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 s="16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 s="160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'[77]Sch B'!E10</f>
        <v>2906473</v>
      </c>
      <c r="D12" s="480">
        <f>'[77]Sch B'!G10</f>
        <v>0</v>
      </c>
      <c r="E12" s="480"/>
      <c r="F12" s="166">
        <f t="shared" ref="F12:F25" si="0">C12+D12+E12</f>
        <v>2906473</v>
      </c>
      <c r="G12" s="626"/>
      <c r="H12" s="626"/>
      <c r="I12" s="166">
        <f>F12+G12+H12</f>
        <v>2906473</v>
      </c>
      <c r="J12" s="167">
        <f>IF($I$26=0,0,I12/$I$26)</f>
        <v>0.33268990024383055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'[77]Sch B'!E12</f>
        <v>737868</v>
      </c>
      <c r="D13" s="480">
        <f>'[77]Sch B'!G12</f>
        <v>1165090.6399894548</v>
      </c>
      <c r="E13" s="480"/>
      <c r="F13" s="166">
        <f t="shared" si="0"/>
        <v>1902958.6399894548</v>
      </c>
      <c r="G13" s="626">
        <v>479231</v>
      </c>
      <c r="H13" s="626"/>
      <c r="I13" s="166">
        <f>F13+G13+H13</f>
        <v>2382189.6399894548</v>
      </c>
      <c r="J13" s="167">
        <f>IF($I$26=0,0,I13/$I$26)</f>
        <v>0.2726777209662633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'[77]Sch B'!E13</f>
        <v>13992</v>
      </c>
      <c r="D14" s="480">
        <f>'[77]Sch B'!G13</f>
        <v>0</v>
      </c>
      <c r="E14" s="480"/>
      <c r="F14" s="166">
        <f t="shared" si="0"/>
        <v>13992</v>
      </c>
      <c r="G14" s="626"/>
      <c r="H14" s="626"/>
      <c r="I14" s="166">
        <f>F14+G14+H14</f>
        <v>13992</v>
      </c>
      <c r="J14" s="167">
        <f>IF($I$26=0,0,I14/$I$26)</f>
        <v>1.601596534429075E-3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'[77]Sch B'!E14</f>
        <v>71775</v>
      </c>
      <c r="D15" s="480">
        <f>'[77]Sch B'!G14</f>
        <v>0</v>
      </c>
      <c r="E15" s="480"/>
      <c r="F15" s="166">
        <f t="shared" si="0"/>
        <v>71775</v>
      </c>
      <c r="G15" s="626"/>
      <c r="H15" s="626"/>
      <c r="I15" s="166">
        <f>F15+G15+H15</f>
        <v>71775</v>
      </c>
      <c r="J15" s="167">
        <f>IF($I$26=0,0,I15/$I$26)</f>
        <v>8.2157369395831088E-3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'[77]Sch B'!E15</f>
        <v>3730108</v>
      </c>
      <c r="D16" s="480">
        <f>'[77]Sch B'!G15</f>
        <v>1165090.6399894548</v>
      </c>
      <c r="E16" s="480"/>
      <c r="F16" s="166">
        <f t="shared" si="0"/>
        <v>4895198.6399894543</v>
      </c>
      <c r="G16" s="626"/>
      <c r="H16" s="626"/>
      <c r="I16" s="166">
        <f>SUM(I12:I15)</f>
        <v>5374429.6399894543</v>
      </c>
      <c r="J16" s="167">
        <f t="shared" ref="J16:J26" si="1">IF($I$26=0,0,I16/$I$26)</f>
        <v>0.61518495468410594</v>
      </c>
      <c r="K16" s="457"/>
      <c r="L16" s="333" t="s">
        <v>325</v>
      </c>
      <c r="M16" s="334">
        <f>I26</f>
        <v>8736282.6399894543</v>
      </c>
      <c r="O16" s="324">
        <f>IFERROR(I16/I224,0)</f>
        <v>340.86570939236725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'[77]Sch B'!E20</f>
        <v>0</v>
      </c>
      <c r="D17" s="480">
        <f>'[77]Sch B'!G20</f>
        <v>0</v>
      </c>
      <c r="E17" s="480"/>
      <c r="F17" s="166">
        <f t="shared" si="0"/>
        <v>0</v>
      </c>
      <c r="G17" s="626"/>
      <c r="H17" s="626"/>
      <c r="I17" s="166">
        <f>F17+G17+H17</f>
        <v>0</v>
      </c>
      <c r="J17" s="167">
        <f t="shared" si="1"/>
        <v>0</v>
      </c>
      <c r="K17" s="458"/>
      <c r="L17" s="335" t="s">
        <v>326</v>
      </c>
      <c r="M17" s="336">
        <f>I213</f>
        <v>5694372</v>
      </c>
      <c r="O17" s="324">
        <f t="shared" ref="O17:O24" si="2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'[77]Sch B'!E26</f>
        <v>1714825</v>
      </c>
      <c r="D18" s="480">
        <f>'[77]Sch B'!G26</f>
        <v>0</v>
      </c>
      <c r="E18" s="480"/>
      <c r="F18" s="166">
        <f t="shared" si="0"/>
        <v>1714825</v>
      </c>
      <c r="G18" s="626"/>
      <c r="H18" s="626"/>
      <c r="I18" s="166">
        <f t="shared" ref="I18:I25" si="3">F18+G18+H18</f>
        <v>1714825</v>
      </c>
      <c r="J18" s="167">
        <f t="shared" si="1"/>
        <v>0.19628771992226549</v>
      </c>
      <c r="K18" s="458"/>
      <c r="L18" s="335" t="s">
        <v>327</v>
      </c>
      <c r="M18" s="336">
        <f>I233</f>
        <v>24944</v>
      </c>
      <c r="O18" s="324">
        <f t="shared" si="2"/>
        <v>591.93130824991374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'[77]Sch B'!E32</f>
        <v>631608.6</v>
      </c>
      <c r="D19" s="480">
        <f>'[77]Sch B'!G32</f>
        <v>0</v>
      </c>
      <c r="E19" s="480"/>
      <c r="F19" s="166">
        <f t="shared" si="0"/>
        <v>631608.6</v>
      </c>
      <c r="G19" s="626"/>
      <c r="H19" s="626"/>
      <c r="I19" s="166">
        <f t="shared" si="3"/>
        <v>631608.6</v>
      </c>
      <c r="J19" s="170">
        <f t="shared" si="1"/>
        <v>7.2297180165494551E-2</v>
      </c>
      <c r="K19" s="464"/>
      <c r="L19" s="335" t="s">
        <v>328</v>
      </c>
      <c r="M19" s="336">
        <f>I236</f>
        <v>99</v>
      </c>
      <c r="O19" s="324">
        <f t="shared" si="2"/>
        <v>441.37568134171909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'[77]Sch B'!E37</f>
        <v>0</v>
      </c>
      <c r="D20" s="480">
        <f>'[77]Sch B'!G37</f>
        <v>0</v>
      </c>
      <c r="E20" s="480"/>
      <c r="F20" s="166">
        <f t="shared" si="0"/>
        <v>0</v>
      </c>
      <c r="G20" s="626"/>
      <c r="H20" s="626"/>
      <c r="I20" s="166">
        <f t="shared" si="3"/>
        <v>0</v>
      </c>
      <c r="J20" s="167">
        <f t="shared" si="1"/>
        <v>0</v>
      </c>
      <c r="K20" s="458"/>
      <c r="L20" s="335" t="s">
        <v>329</v>
      </c>
      <c r="M20" s="336">
        <f>I240</f>
        <v>36135</v>
      </c>
      <c r="O20" s="324">
        <f t="shared" si="2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'[77]Sch B'!E42</f>
        <v>390200</v>
      </c>
      <c r="D21" s="480">
        <f>'[77]Sch B'!G42</f>
        <v>0</v>
      </c>
      <c r="E21" s="480"/>
      <c r="F21" s="166">
        <f t="shared" si="0"/>
        <v>390200</v>
      </c>
      <c r="G21" s="626"/>
      <c r="H21" s="626"/>
      <c r="I21" s="166">
        <f t="shared" si="3"/>
        <v>390200</v>
      </c>
      <c r="J21" s="167">
        <f t="shared" si="1"/>
        <v>4.4664305870084693E-2</v>
      </c>
      <c r="K21" s="458"/>
      <c r="L21" s="337"/>
      <c r="M21" s="336"/>
      <c r="O21" s="324">
        <f t="shared" si="2"/>
        <v>215.22338665195809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'[77]Sch B'!E47</f>
        <v>302311</v>
      </c>
      <c r="D22" s="480">
        <f>'[77]Sch B'!G47</f>
        <v>0</v>
      </c>
      <c r="E22" s="480"/>
      <c r="F22" s="166">
        <f t="shared" si="0"/>
        <v>302311</v>
      </c>
      <c r="G22" s="626"/>
      <c r="H22" s="626"/>
      <c r="I22" s="166">
        <f t="shared" si="3"/>
        <v>302311</v>
      </c>
      <c r="J22" s="167">
        <f t="shared" si="1"/>
        <v>3.4604077324170104E-2</v>
      </c>
      <c r="K22" s="458"/>
      <c r="L22" s="335" t="s">
        <v>148</v>
      </c>
      <c r="M22" s="336">
        <f>L213</f>
        <v>150594</v>
      </c>
      <c r="O22" s="324">
        <f t="shared" si="2"/>
        <v>187.537841191067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'[77]Sch B'!E52</f>
        <v>225983</v>
      </c>
      <c r="D23" s="480">
        <f>'[77]Sch B'!G52</f>
        <v>0</v>
      </c>
      <c r="E23" s="480"/>
      <c r="F23" s="166">
        <f t="shared" si="0"/>
        <v>225983</v>
      </c>
      <c r="G23" s="626"/>
      <c r="H23" s="626"/>
      <c r="I23" s="166">
        <f t="shared" si="3"/>
        <v>225983</v>
      </c>
      <c r="J23" s="167">
        <f t="shared" si="1"/>
        <v>2.586718050599526E-2</v>
      </c>
      <c r="K23" s="458"/>
      <c r="L23" s="338" t="s">
        <v>233</v>
      </c>
      <c r="M23" s="339">
        <f>M213</f>
        <v>158419</v>
      </c>
      <c r="O23" s="324">
        <f t="shared" si="2"/>
        <v>187.53775933609958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'[77]Sch B'!E57</f>
        <v>96272.4</v>
      </c>
      <c r="D24" s="480">
        <f>'[77]Sch B'!G57</f>
        <v>0</v>
      </c>
      <c r="E24" s="480"/>
      <c r="F24" s="166">
        <f t="shared" si="0"/>
        <v>96272.4</v>
      </c>
      <c r="G24" s="626"/>
      <c r="H24" s="626"/>
      <c r="I24" s="166">
        <f t="shared" si="3"/>
        <v>96272.4</v>
      </c>
      <c r="J24" s="167">
        <f t="shared" si="1"/>
        <v>1.1019835777670788E-2</v>
      </c>
      <c r="K24" s="458"/>
      <c r="L24" s="163"/>
      <c r="M24" s="163"/>
      <c r="O24" s="324">
        <f t="shared" si="2"/>
        <v>439.59999999999997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'[77]Sch B'!E72</f>
        <v>653</v>
      </c>
      <c r="D25" s="480">
        <f>'[77]Sch B'!G72</f>
        <v>0</v>
      </c>
      <c r="E25" s="480"/>
      <c r="F25" s="166">
        <f t="shared" si="0"/>
        <v>653</v>
      </c>
      <c r="G25" s="626"/>
      <c r="H25" s="626"/>
      <c r="I25" s="166">
        <f t="shared" si="3"/>
        <v>653</v>
      </c>
      <c r="J25" s="167">
        <f t="shared" si="1"/>
        <v>7.474575021313508E-5</v>
      </c>
      <c r="K25" s="457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7091961</v>
      </c>
      <c r="D26" s="480">
        <f>SUM(D16:D25)</f>
        <v>1165090.6399894548</v>
      </c>
      <c r="E26" s="480">
        <f t="shared" ref="E26" si="4">SUM(E16:E25)</f>
        <v>0</v>
      </c>
      <c r="F26" s="166">
        <f>SUM(F16:F25)</f>
        <v>8257051.6399894543</v>
      </c>
      <c r="G26" s="166">
        <f>SUM(G12:G25)</f>
        <v>479231</v>
      </c>
      <c r="H26" s="166">
        <f>SUM(H12:H25)</f>
        <v>0</v>
      </c>
      <c r="I26" s="166">
        <f>SUM(I16:I25)</f>
        <v>8736282.6399894543</v>
      </c>
      <c r="J26" s="167">
        <f t="shared" si="1"/>
        <v>1</v>
      </c>
      <c r="K26" s="458"/>
      <c r="L26" s="163"/>
      <c r="M26" s="163"/>
      <c r="O26" s="324">
        <f>IFERROR(I26/I233,0)</f>
        <v>350.23583386744122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L28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L2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'[77]Sch C'!D10</f>
        <v>250067</v>
      </c>
      <c r="D30" s="480">
        <f>'[77]Sch C'!F10</f>
        <v>-147527</v>
      </c>
      <c r="E30" s="480">
        <f>+'[77]Sch C'!H10</f>
        <v>0</v>
      </c>
      <c r="F30" s="166">
        <f t="shared" ref="F30:F65" si="5">C30+D30+E30</f>
        <v>102540</v>
      </c>
      <c r="G30" s="626">
        <v>147527</v>
      </c>
      <c r="H30" s="626"/>
      <c r="I30" s="166">
        <f t="shared" ref="I30:I65" si="6">F30+G30+H30</f>
        <v>250067</v>
      </c>
      <c r="J30" s="167">
        <f>IF($I$213=0,0,I30/$I$213)</f>
        <v>4.39147635595286E-2</v>
      </c>
      <c r="K30" s="458"/>
      <c r="L30" s="176">
        <v>2080</v>
      </c>
      <c r="M30" s="176">
        <v>2080</v>
      </c>
      <c r="O30" s="324">
        <f>I30/I$233</f>
        <v>10.025136305323926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'[77]Sch C'!D11</f>
        <v>0</v>
      </c>
      <c r="D31" s="480">
        <f>'[77]Sch C'!F11</f>
        <v>0</v>
      </c>
      <c r="E31" s="480">
        <f>+'[77]Sch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'[77]Sch C'!D12</f>
        <v>107091</v>
      </c>
      <c r="D32" s="480">
        <f>'[77]Sch C'!F12</f>
        <v>0</v>
      </c>
      <c r="E32" s="480">
        <f>+'[77]Sch C'!H12</f>
        <v>0</v>
      </c>
      <c r="F32" s="166">
        <f t="shared" si="5"/>
        <v>107091</v>
      </c>
      <c r="G32" s="626"/>
      <c r="H32" s="626"/>
      <c r="I32" s="166">
        <f t="shared" si="6"/>
        <v>107091</v>
      </c>
      <c r="J32" s="167">
        <f t="shared" si="7"/>
        <v>1.8806463645157007E-2</v>
      </c>
      <c r="K32" s="458"/>
      <c r="L32" s="176">
        <v>6260</v>
      </c>
      <c r="M32" s="176">
        <v>6843</v>
      </c>
      <c r="O32" s="324">
        <f t="shared" si="8"/>
        <v>4.2932568954457988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'[77]Sch C'!D13</f>
        <v>238234</v>
      </c>
      <c r="D33" s="480">
        <f>'[77]Sch C'!F13</f>
        <v>-175797</v>
      </c>
      <c r="E33" s="480">
        <f>+'[77]Sch C'!H13</f>
        <v>0</v>
      </c>
      <c r="F33" s="166">
        <f t="shared" si="5"/>
        <v>62437</v>
      </c>
      <c r="G33" s="626"/>
      <c r="H33" s="626"/>
      <c r="I33" s="166">
        <f t="shared" si="6"/>
        <v>62437</v>
      </c>
      <c r="J33" s="167">
        <f t="shared" si="7"/>
        <v>1.0964685833661728E-2</v>
      </c>
      <c r="K33" s="458"/>
      <c r="L33" s="163"/>
      <c r="M33" s="163"/>
      <c r="O33" s="324">
        <f t="shared" si="8"/>
        <v>2.503086914688903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'[77]Sch C'!D14</f>
        <v>0</v>
      </c>
      <c r="D34" s="480">
        <f>'[77]Sch C'!F14</f>
        <v>0</v>
      </c>
      <c r="E34" s="480">
        <f>+'[77]Sch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'[77]Sch C'!D15</f>
        <v>0</v>
      </c>
      <c r="D35" s="480">
        <f>'[77]Sch C'!F15</f>
        <v>0</v>
      </c>
      <c r="E35" s="480">
        <f>+'[77]Sch C'!H15</f>
        <v>0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'[77]Sch C'!D16</f>
        <v>352889</v>
      </c>
      <c r="D36" s="480">
        <f>'[77]Sch C'!F16</f>
        <v>0</v>
      </c>
      <c r="E36" s="480">
        <f>+'[77]Sch C'!H16</f>
        <v>-56706</v>
      </c>
      <c r="F36" s="166">
        <f t="shared" si="5"/>
        <v>296183</v>
      </c>
      <c r="G36" s="626"/>
      <c r="H36" s="626">
        <v>79561</v>
      </c>
      <c r="I36" s="166">
        <f t="shared" si="6"/>
        <v>375744</v>
      </c>
      <c r="J36" s="167">
        <f t="shared" si="7"/>
        <v>6.5985151655002516E-2</v>
      </c>
      <c r="K36" s="458"/>
      <c r="L36" s="163"/>
      <c r="M36" s="163"/>
      <c r="O36" s="324">
        <f t="shared" si="8"/>
        <v>15.063502245028864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'[77]Sch C'!D17</f>
        <v>0</v>
      </c>
      <c r="D37" s="480">
        <f>'[77]Sch C'!F17</f>
        <v>0</v>
      </c>
      <c r="E37" s="480">
        <f>+'[77]Sch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'[77]Sch C'!D18</f>
        <v>22686</v>
      </c>
      <c r="D38" s="480">
        <f>'[77]Sch C'!F18</f>
        <v>0</v>
      </c>
      <c r="E38" s="480">
        <f>+'[77]Sch C'!H18</f>
        <v>0</v>
      </c>
      <c r="F38" s="166">
        <f t="shared" si="5"/>
        <v>22686</v>
      </c>
      <c r="G38" s="626"/>
      <c r="H38" s="626"/>
      <c r="I38" s="166">
        <f t="shared" si="6"/>
        <v>22686</v>
      </c>
      <c r="J38" s="167">
        <f t="shared" si="7"/>
        <v>3.9839336102383193E-3</v>
      </c>
      <c r="K38" s="458"/>
      <c r="L38" s="163"/>
      <c r="M38" s="163"/>
      <c r="O38" s="324">
        <f t="shared" si="8"/>
        <v>0.90947722899294414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'[77]Sch C'!D19</f>
        <v>18086</v>
      </c>
      <c r="D39" s="480">
        <f>'[77]Sch C'!F19</f>
        <v>-2140</v>
      </c>
      <c r="E39" s="480">
        <f>+'[77]Sch C'!H19</f>
        <v>0</v>
      </c>
      <c r="F39" s="166">
        <f t="shared" si="5"/>
        <v>15946</v>
      </c>
      <c r="G39" s="626"/>
      <c r="H39" s="626"/>
      <c r="I39" s="166">
        <f t="shared" si="6"/>
        <v>15946</v>
      </c>
      <c r="J39" s="167">
        <f t="shared" si="7"/>
        <v>2.8003087961236111E-3</v>
      </c>
      <c r="K39" s="458"/>
      <c r="L39" s="163"/>
      <c r="M39" s="163"/>
      <c r="O39" s="324">
        <f t="shared" si="8"/>
        <v>0.63927196921103269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'[77]Sch C'!D20</f>
        <v>11386</v>
      </c>
      <c r="D40" s="480">
        <f>'[77]Sch C'!F20</f>
        <v>3072</v>
      </c>
      <c r="E40" s="480">
        <f>+'[77]Sch C'!H20</f>
        <v>0</v>
      </c>
      <c r="F40" s="166">
        <f t="shared" si="5"/>
        <v>14458</v>
      </c>
      <c r="G40" s="626"/>
      <c r="H40" s="626"/>
      <c r="I40" s="166">
        <f t="shared" si="6"/>
        <v>14458</v>
      </c>
      <c r="J40" s="167">
        <f t="shared" si="7"/>
        <v>2.5389981546692069E-3</v>
      </c>
      <c r="K40" s="458"/>
      <c r="L40" s="163"/>
      <c r="M40" s="163"/>
      <c r="O40" s="324">
        <f t="shared" si="8"/>
        <v>0.57961834509300836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'[77]Sch C'!D21</f>
        <v>40342</v>
      </c>
      <c r="D41" s="480">
        <f>'[77]Sch C'!F21</f>
        <v>0</v>
      </c>
      <c r="E41" s="480">
        <f>+'[77]Sch C'!H21</f>
        <v>0</v>
      </c>
      <c r="F41" s="166">
        <f t="shared" si="5"/>
        <v>40342</v>
      </c>
      <c r="G41" s="626">
        <v>-38899</v>
      </c>
      <c r="H41" s="626"/>
      <c r="I41" s="166">
        <f t="shared" si="6"/>
        <v>1443</v>
      </c>
      <c r="J41" s="167">
        <f t="shared" si="7"/>
        <v>2.534081018942914E-4</v>
      </c>
      <c r="K41" s="458"/>
      <c r="L41" s="163"/>
      <c r="M41" s="163"/>
      <c r="O41" s="324">
        <f t="shared" si="8"/>
        <v>5.7849583066067994E-2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'[77]Sch C'!D22</f>
        <v>0</v>
      </c>
      <c r="D42" s="480">
        <f>'[77]Sch C'!F22</f>
        <v>0</v>
      </c>
      <c r="E42" s="480">
        <f>+'[77]Sch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'[77]Sch C'!D23</f>
        <v>3707</v>
      </c>
      <c r="D43" s="480">
        <f>'[77]Sch C'!F23</f>
        <v>0</v>
      </c>
      <c r="E43" s="480">
        <f>+'[77]Sch C'!H23</f>
        <v>0</v>
      </c>
      <c r="F43" s="166">
        <f t="shared" si="5"/>
        <v>3707</v>
      </c>
      <c r="G43" s="626"/>
      <c r="H43" s="626"/>
      <c r="I43" s="166">
        <f t="shared" si="6"/>
        <v>3707</v>
      </c>
      <c r="J43" s="167">
        <f t="shared" si="7"/>
        <v>6.5099364776308958E-4</v>
      </c>
      <c r="K43" s="458"/>
      <c r="L43" s="163"/>
      <c r="M43" s="163"/>
      <c r="O43" s="324">
        <f t="shared" si="8"/>
        <v>0.14861289288005131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'[77]Sch C'!D24</f>
        <v>79123</v>
      </c>
      <c r="D44" s="480">
        <f>'[77]Sch C'!F24</f>
        <v>0</v>
      </c>
      <c r="E44" s="480">
        <f>+'[77]Sch C'!H24</f>
        <v>-16652</v>
      </c>
      <c r="F44" s="166">
        <f t="shared" si="5"/>
        <v>62471</v>
      </c>
      <c r="G44" s="626"/>
      <c r="H44" s="626"/>
      <c r="I44" s="166">
        <f t="shared" si="6"/>
        <v>62471</v>
      </c>
      <c r="J44" s="167">
        <f t="shared" si="7"/>
        <v>1.0970656641329369E-2</v>
      </c>
      <c r="K44" s="458"/>
      <c r="L44" s="163"/>
      <c r="M44" s="163"/>
      <c r="O44" s="324">
        <f t="shared" si="8"/>
        <v>2.5044499679281591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'[77]Sch C'!D25</f>
        <v>0</v>
      </c>
      <c r="D45" s="480">
        <f>'[77]Sch C'!F25</f>
        <v>0</v>
      </c>
      <c r="E45" s="480">
        <f>+'[77]Sch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'[77]Sch C'!D26</f>
        <v>428730</v>
      </c>
      <c r="D46" s="480">
        <f>'[77]Sch C'!F26</f>
        <v>0</v>
      </c>
      <c r="E46" s="480">
        <f>+'[77]Sch C'!H26</f>
        <v>0</v>
      </c>
      <c r="F46" s="166">
        <f t="shared" si="5"/>
        <v>428730</v>
      </c>
      <c r="G46" s="626"/>
      <c r="H46" s="626"/>
      <c r="I46" s="166">
        <f t="shared" si="6"/>
        <v>428730</v>
      </c>
      <c r="J46" s="167">
        <f t="shared" si="7"/>
        <v>7.5290128569050277E-2</v>
      </c>
      <c r="K46" s="458"/>
      <c r="L46" s="163"/>
      <c r="M46" s="163"/>
      <c r="O46" s="324">
        <f t="shared" si="8"/>
        <v>17.187700449005774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'[77]Sch C'!D27</f>
        <v>0</v>
      </c>
      <c r="D47" s="480">
        <f>'[77]Sch C'!F27</f>
        <v>0</v>
      </c>
      <c r="E47" s="480">
        <f>+'[77]Sch C'!H27</f>
        <v>0</v>
      </c>
      <c r="F47" s="166">
        <f t="shared" si="5"/>
        <v>0</v>
      </c>
      <c r="G47" s="626"/>
      <c r="H47" s="62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'[77]Sch C'!D28</f>
        <v>0</v>
      </c>
      <c r="D48" s="480">
        <f>'[77]Sch C'!F28</f>
        <v>0</v>
      </c>
      <c r="E48" s="480">
        <f>+'[77]Sch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'[77]Sch C'!D29</f>
        <v>107800</v>
      </c>
      <c r="D49" s="480">
        <f>'[77]Sch C'!F29</f>
        <v>-107800</v>
      </c>
      <c r="E49" s="480">
        <f>+'[77]Sch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'[77]Sch C'!D30</f>
        <v>0</v>
      </c>
      <c r="D50" s="480">
        <f>'[77]Sch C'!F30</f>
        <v>0</v>
      </c>
      <c r="E50" s="480">
        <f>+'[77]Sch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'[77]Sch C'!D31</f>
        <v>80838</v>
      </c>
      <c r="D51" s="480">
        <f>'[77]Sch C'!F31</f>
        <v>0</v>
      </c>
      <c r="E51" s="480">
        <f>+'[77]Sch C'!H31</f>
        <v>-47363</v>
      </c>
      <c r="F51" s="166">
        <f t="shared" si="5"/>
        <v>33475</v>
      </c>
      <c r="G51" s="626"/>
      <c r="H51" s="626"/>
      <c r="I51" s="166">
        <f t="shared" si="6"/>
        <v>33475</v>
      </c>
      <c r="J51" s="167">
        <f t="shared" si="7"/>
        <v>5.8786113727729763E-3</v>
      </c>
      <c r="K51" s="458"/>
      <c r="L51" s="163"/>
      <c r="M51" s="163"/>
      <c r="O51" s="324">
        <f t="shared" si="8"/>
        <v>1.3420060936497755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'[77]Sch C'!D32</f>
        <v>112077</v>
      </c>
      <c r="D52" s="480">
        <f>'[77]Sch C'!F32</f>
        <v>0</v>
      </c>
      <c r="E52" s="480">
        <f>+'[77]Sch C'!H32</f>
        <v>-50435</v>
      </c>
      <c r="F52" s="166">
        <f t="shared" si="5"/>
        <v>61642</v>
      </c>
      <c r="G52" s="626"/>
      <c r="H52" s="626"/>
      <c r="I52" s="166">
        <f t="shared" si="6"/>
        <v>61642</v>
      </c>
      <c r="J52" s="167">
        <f t="shared" si="7"/>
        <v>1.0825074301433065E-2</v>
      </c>
      <c r="K52" s="458"/>
      <c r="L52" s="163"/>
      <c r="M52" s="163"/>
      <c r="O52" s="324">
        <f t="shared" si="8"/>
        <v>2.4712155227710069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'[77]Sch C'!D33</f>
        <v>17037</v>
      </c>
      <c r="D53" s="480">
        <f>'[77]Sch C'!F33</f>
        <v>-17037</v>
      </c>
      <c r="E53" s="480">
        <f>+'[77]Sch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'[77]Sch C'!D34</f>
        <v>0</v>
      </c>
      <c r="D54" s="480">
        <f>'[77]Sch C'!F34</f>
        <v>0</v>
      </c>
      <c r="E54" s="480">
        <f>+'[77]Sch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'[77]Sch C'!D35</f>
        <v>13</v>
      </c>
      <c r="D55" s="480">
        <f>'[77]Sch C'!F35</f>
        <v>-13</v>
      </c>
      <c r="E55" s="480">
        <f>+'[77]Sch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'[77]Sch C'!D36</f>
        <v>0</v>
      </c>
      <c r="D56" s="480">
        <f>'[77]Sch C'!F36</f>
        <v>0</v>
      </c>
      <c r="E56" s="480">
        <f>+'[77]Sch C'!H36</f>
        <v>0</v>
      </c>
      <c r="F56" s="166">
        <f t="shared" si="5"/>
        <v>0</v>
      </c>
      <c r="G56" s="626"/>
      <c r="H56" s="62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'[77]Sch C'!D37</f>
        <v>0</v>
      </c>
      <c r="D57" s="480">
        <f>'[77]Sch C'!F37</f>
        <v>0</v>
      </c>
      <c r="E57" s="480">
        <f>+'[77]Sch C'!H37</f>
        <v>0</v>
      </c>
      <c r="F57" s="166">
        <f t="shared" si="5"/>
        <v>0</v>
      </c>
      <c r="G57" s="626"/>
      <c r="H57" s="62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'[77]Sch C'!D38</f>
        <v>0</v>
      </c>
      <c r="D58" s="480">
        <f>'[77]Sch C'!F38</f>
        <v>0</v>
      </c>
      <c r="E58" s="480">
        <f>+'[77]Sch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'[77]Sch C'!D39</f>
        <v>11845</v>
      </c>
      <c r="D59" s="480">
        <f>'[77]Sch C'!F39</f>
        <v>0</v>
      </c>
      <c r="E59" s="480">
        <f>+'[77]Sch C'!H39</f>
        <v>0</v>
      </c>
      <c r="F59" s="166">
        <f t="shared" si="5"/>
        <v>11845</v>
      </c>
      <c r="G59" s="626"/>
      <c r="H59" s="626"/>
      <c r="I59" s="166">
        <f t="shared" si="6"/>
        <v>11845</v>
      </c>
      <c r="J59" s="167">
        <f t="shared" si="7"/>
        <v>2.0801240242119762E-3</v>
      </c>
      <c r="K59" s="458"/>
      <c r="L59" s="163"/>
      <c r="M59" s="163"/>
      <c r="O59" s="324">
        <f t="shared" si="8"/>
        <v>0.47486369467607442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'[77]Sch C'!D40</f>
        <v>2485</v>
      </c>
      <c r="D60" s="480">
        <f>'[77]Sch C'!F40</f>
        <v>0</v>
      </c>
      <c r="E60" s="480">
        <f>+'[77]Sch C'!H40</f>
        <v>0</v>
      </c>
      <c r="F60" s="166">
        <f t="shared" si="5"/>
        <v>2485</v>
      </c>
      <c r="G60" s="626"/>
      <c r="H60" s="626"/>
      <c r="I60" s="166">
        <f t="shared" si="6"/>
        <v>2485</v>
      </c>
      <c r="J60" s="167">
        <f t="shared" si="7"/>
        <v>4.3639579570846441E-4</v>
      </c>
      <c r="K60" s="458"/>
      <c r="L60" s="163"/>
      <c r="M60" s="163"/>
      <c r="O60" s="324">
        <f t="shared" si="8"/>
        <v>9.9623155869146884E-2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'[77]Sch C'!D41</f>
        <v>5182</v>
      </c>
      <c r="D61" s="480">
        <f>'[77]Sch C'!F41</f>
        <v>0</v>
      </c>
      <c r="E61" s="480">
        <f>+'[77]Sch C'!H41</f>
        <v>0</v>
      </c>
      <c r="F61" s="166">
        <f t="shared" si="5"/>
        <v>5182</v>
      </c>
      <c r="G61" s="626"/>
      <c r="H61" s="626"/>
      <c r="I61" s="166">
        <f t="shared" si="6"/>
        <v>5182</v>
      </c>
      <c r="J61" s="167">
        <f t="shared" si="7"/>
        <v>9.1002133334457255E-4</v>
      </c>
      <c r="K61" s="458"/>
      <c r="L61" s="163"/>
      <c r="M61" s="163"/>
      <c r="O61" s="324">
        <f t="shared" si="8"/>
        <v>0.20774534958306606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'[77]Sch C'!D42</f>
        <v>5909</v>
      </c>
      <c r="D62" s="480">
        <f>'[77]Sch C'!F42</f>
        <v>0</v>
      </c>
      <c r="E62" s="480">
        <f>+'[77]Sch C'!H42</f>
        <v>0</v>
      </c>
      <c r="F62" s="166">
        <f t="shared" si="5"/>
        <v>5909</v>
      </c>
      <c r="G62" s="626"/>
      <c r="H62" s="626"/>
      <c r="I62" s="166">
        <f t="shared" si="6"/>
        <v>5909</v>
      </c>
      <c r="J62" s="167">
        <f t="shared" si="7"/>
        <v>1.0376912502379541E-3</v>
      </c>
      <c r="K62" s="458"/>
      <c r="L62" s="163"/>
      <c r="M62" s="163"/>
      <c r="O62" s="324">
        <f t="shared" si="8"/>
        <v>0.23689063502245028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'[77]Sch C'!D43</f>
        <v>14221</v>
      </c>
      <c r="D63" s="480">
        <f>'[77]Sch C'!F43</f>
        <v>0</v>
      </c>
      <c r="E63" s="480">
        <f>+'[77]Sch C'!H43</f>
        <v>0</v>
      </c>
      <c r="F63" s="166">
        <f t="shared" si="5"/>
        <v>14221</v>
      </c>
      <c r="G63" s="626">
        <v>-14221</v>
      </c>
      <c r="H63" s="626"/>
      <c r="I63" s="166">
        <f t="shared" si="6"/>
        <v>0</v>
      </c>
      <c r="J63" s="167">
        <f t="shared" si="7"/>
        <v>0</v>
      </c>
      <c r="K63" s="162" t="s">
        <v>669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'[77]Sch C'!D44</f>
        <v>0</v>
      </c>
      <c r="D64" s="480">
        <f>'[77]Sch C'!F44</f>
        <v>0</v>
      </c>
      <c r="E64" s="480">
        <f>+'[77]Sch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'[77]Sch C'!D45</f>
        <v>246</v>
      </c>
      <c r="D65" s="480">
        <f>'[77]Sch C'!F45</f>
        <v>-211</v>
      </c>
      <c r="E65" s="480">
        <f>+'[77]Sch C'!H45</f>
        <v>0</v>
      </c>
      <c r="F65" s="166">
        <f t="shared" si="5"/>
        <v>35</v>
      </c>
      <c r="G65" s="626">
        <v>2963</v>
      </c>
      <c r="H65" s="626"/>
      <c r="I65" s="166">
        <f t="shared" si="6"/>
        <v>2998</v>
      </c>
      <c r="J65" s="167">
        <f t="shared" si="7"/>
        <v>5.2648474669375308E-4</v>
      </c>
      <c r="L65" s="163"/>
      <c r="M65" s="163"/>
      <c r="O65" s="324">
        <f t="shared" si="8"/>
        <v>0.12018922386144965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1909994</v>
      </c>
      <c r="D66" s="480">
        <f t="shared" si="9"/>
        <v>-447453</v>
      </c>
      <c r="E66" s="480">
        <f t="shared" si="9"/>
        <v>-171156</v>
      </c>
      <c r="F66" s="166">
        <f t="shared" ref="F66:I66" si="10">SUM(F30:F65)</f>
        <v>1291385</v>
      </c>
      <c r="G66" s="166">
        <f t="shared" si="10"/>
        <v>97370</v>
      </c>
      <c r="H66" s="166">
        <f t="shared" si="10"/>
        <v>79561</v>
      </c>
      <c r="I66" s="166">
        <f t="shared" si="10"/>
        <v>1468316</v>
      </c>
      <c r="J66" s="178">
        <f t="shared" si="7"/>
        <v>0.25785389503882078</v>
      </c>
      <c r="L66" s="163"/>
      <c r="M66" s="163"/>
      <c r="O66" s="329">
        <f>I66/I$233</f>
        <v>58.8644964720975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'[77]Sch C'!D57</f>
        <v>761184</v>
      </c>
      <c r="D69" s="480">
        <f>'[77]Sch C'!F57</f>
        <v>0</v>
      </c>
      <c r="E69" s="480">
        <f>+'[77]Sch C'!H57</f>
        <v>-761184</v>
      </c>
      <c r="F69" s="166">
        <f t="shared" ref="F69:F83" si="11">C69+D69+E69</f>
        <v>0</v>
      </c>
      <c r="G69" s="626"/>
      <c r="H69" s="626"/>
      <c r="I69" s="166">
        <f>F69+G69+H69</f>
        <v>0</v>
      </c>
      <c r="J69" s="167">
        <f t="shared" ref="J69:J84" si="12">IF($I$213=0,0,I69/$I$213)</f>
        <v>0</v>
      </c>
      <c r="L69" s="182"/>
      <c r="M69" s="163"/>
      <c r="O69" s="324">
        <f t="shared" ref="O69:O84" si="13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'[77]Sch C'!D58</f>
        <v>0</v>
      </c>
      <c r="D70" s="480">
        <f>'[77]Sch C'!F58</f>
        <v>0</v>
      </c>
      <c r="E70" s="480">
        <f>+'[77]Sch C'!H58</f>
        <v>195748</v>
      </c>
      <c r="F70" s="166">
        <f t="shared" si="11"/>
        <v>195748</v>
      </c>
      <c r="G70" s="626"/>
      <c r="H70" s="626"/>
      <c r="I70" s="166">
        <f t="shared" ref="I70:I83" si="14">F70+G70+H70</f>
        <v>195748</v>
      </c>
      <c r="J70" s="167">
        <f t="shared" si="12"/>
        <v>3.4375695862511269E-2</v>
      </c>
      <c r="L70" s="182"/>
      <c r="M70" s="163"/>
      <c r="O70" s="324">
        <f t="shared" si="13"/>
        <v>7.8474983964079534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'[77]Sch C'!D59</f>
        <v>0</v>
      </c>
      <c r="D71" s="480">
        <f>'[77]Sch C'!F59</f>
        <v>0</v>
      </c>
      <c r="E71" s="480">
        <f>+'[77]Sch C'!H59</f>
        <v>0</v>
      </c>
      <c r="F71" s="166">
        <f t="shared" si="11"/>
        <v>0</v>
      </c>
      <c r="G71" s="626"/>
      <c r="H71" s="626"/>
      <c r="I71" s="166">
        <f t="shared" si="14"/>
        <v>0</v>
      </c>
      <c r="J71" s="167">
        <f t="shared" si="12"/>
        <v>0</v>
      </c>
      <c r="L71" s="182"/>
      <c r="M71" s="163"/>
      <c r="O71" s="324">
        <f t="shared" si="13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'[77]Sch C'!D60</f>
        <v>19525</v>
      </c>
      <c r="D72" s="480">
        <f>'[77]Sch C'!F60</f>
        <v>0</v>
      </c>
      <c r="E72" s="480">
        <f>+'[77]Sch C'!H60</f>
        <v>0</v>
      </c>
      <c r="F72" s="166">
        <f t="shared" si="11"/>
        <v>19525</v>
      </c>
      <c r="G72" s="626"/>
      <c r="H72" s="626"/>
      <c r="I72" s="166">
        <f t="shared" si="14"/>
        <v>19525</v>
      </c>
      <c r="J72" s="167">
        <f t="shared" si="12"/>
        <v>3.4288241091379348E-3</v>
      </c>
      <c r="L72" s="185"/>
      <c r="M72" s="163"/>
      <c r="O72" s="324">
        <f t="shared" si="13"/>
        <v>0.78275336754329694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'[77]Sch C'!D61</f>
        <v>9824</v>
      </c>
      <c r="D73" s="480">
        <f>'[77]Sch C'!F61</f>
        <v>0</v>
      </c>
      <c r="E73" s="480">
        <f>+'[77]Sch C'!H61</f>
        <v>0</v>
      </c>
      <c r="F73" s="166">
        <f t="shared" si="11"/>
        <v>9824</v>
      </c>
      <c r="G73" s="626"/>
      <c r="H73" s="626"/>
      <c r="I73" s="166">
        <f t="shared" si="14"/>
        <v>9824</v>
      </c>
      <c r="J73" s="167">
        <f t="shared" si="12"/>
        <v>1.7252121919677885E-3</v>
      </c>
      <c r="L73" s="185"/>
      <c r="M73" s="163"/>
      <c r="O73" s="324">
        <f t="shared" si="13"/>
        <v>0.39384220654265556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'[77]Sch C'!D62</f>
        <v>0</v>
      </c>
      <c r="D74" s="480">
        <f>'[77]Sch C'!F62</f>
        <v>0</v>
      </c>
      <c r="E74" s="480">
        <f>+'[77]Sch C'!H62</f>
        <v>8949</v>
      </c>
      <c r="F74" s="166">
        <f t="shared" si="11"/>
        <v>8949</v>
      </c>
      <c r="G74" s="626"/>
      <c r="H74" s="626"/>
      <c r="I74" s="166">
        <f t="shared" si="14"/>
        <v>8949</v>
      </c>
      <c r="J74" s="167">
        <f t="shared" si="12"/>
        <v>1.5715517005211461E-3</v>
      </c>
      <c r="L74" s="187"/>
      <c r="M74" s="163"/>
      <c r="O74" s="324">
        <f t="shared" si="13"/>
        <v>0.35876363053239257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'[77]Sch C'!D63</f>
        <v>0</v>
      </c>
      <c r="D75" s="480">
        <f>'[77]Sch C'!F63</f>
        <v>0</v>
      </c>
      <c r="E75" s="480">
        <f>+'[77]Sch C'!H63</f>
        <v>0</v>
      </c>
      <c r="F75" s="166">
        <f t="shared" si="11"/>
        <v>0</v>
      </c>
      <c r="G75" s="626"/>
      <c r="H75" s="626"/>
      <c r="I75" s="166">
        <f t="shared" si="14"/>
        <v>0</v>
      </c>
      <c r="J75" s="167">
        <f t="shared" si="12"/>
        <v>0</v>
      </c>
      <c r="L75" s="187"/>
      <c r="M75" s="163"/>
      <c r="O75" s="324">
        <f t="shared" si="13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'[77]Sch C'!D64</f>
        <v>0</v>
      </c>
      <c r="D76" s="480">
        <f>'[77]Sch C'!F64</f>
        <v>0</v>
      </c>
      <c r="E76" s="480">
        <f>+'[77]Sch C'!H64</f>
        <v>0</v>
      </c>
      <c r="F76" s="166">
        <f t="shared" si="11"/>
        <v>0</v>
      </c>
      <c r="G76" s="626"/>
      <c r="H76" s="626"/>
      <c r="I76" s="166">
        <f t="shared" si="14"/>
        <v>0</v>
      </c>
      <c r="J76" s="167">
        <f t="shared" si="12"/>
        <v>0</v>
      </c>
      <c r="L76" s="187"/>
      <c r="M76" s="163"/>
      <c r="O76" s="324">
        <f t="shared" si="13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'[77]Sch C'!D65</f>
        <v>4910</v>
      </c>
      <c r="D77" s="480">
        <f>'[77]Sch C'!F65</f>
        <v>0</v>
      </c>
      <c r="E77" s="480">
        <f>+'[77]Sch C'!H65</f>
        <v>0</v>
      </c>
      <c r="F77" s="166">
        <f t="shared" si="11"/>
        <v>4910</v>
      </c>
      <c r="G77" s="626"/>
      <c r="H77" s="626"/>
      <c r="I77" s="166">
        <f t="shared" si="14"/>
        <v>4910</v>
      </c>
      <c r="J77" s="167">
        <f t="shared" si="12"/>
        <v>8.6225487200344484E-4</v>
      </c>
      <c r="L77" s="187"/>
      <c r="M77" s="163"/>
      <c r="O77" s="324">
        <f t="shared" si="13"/>
        <v>0.19684092366901859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'[77]Sch C'!D66</f>
        <v>6927</v>
      </c>
      <c r="D78" s="480">
        <f>'[77]Sch C'!F66</f>
        <v>0</v>
      </c>
      <c r="E78" s="480">
        <f>+'[77]Sch C'!H66</f>
        <v>0</v>
      </c>
      <c r="F78" s="166">
        <f t="shared" si="11"/>
        <v>6927</v>
      </c>
      <c r="G78" s="626">
        <v>2274</v>
      </c>
      <c r="H78" s="626"/>
      <c r="I78" s="166">
        <f t="shared" si="14"/>
        <v>9201</v>
      </c>
      <c r="J78" s="167">
        <f t="shared" si="12"/>
        <v>1.6158059220577792E-3</v>
      </c>
      <c r="L78" s="187"/>
      <c r="M78" s="163"/>
      <c r="O78" s="324">
        <f t="shared" si="13"/>
        <v>0.3688662604233483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'[77]Sch C'!D67</f>
        <v>0</v>
      </c>
      <c r="D79" s="480">
        <f>'[77]Sch C'!F67</f>
        <v>-2056</v>
      </c>
      <c r="E79" s="480">
        <f>+'[77]Sch C'!H67</f>
        <v>153188</v>
      </c>
      <c r="F79" s="166">
        <f t="shared" si="11"/>
        <v>151132</v>
      </c>
      <c r="G79" s="626"/>
      <c r="H79" s="626"/>
      <c r="I79" s="166">
        <f t="shared" si="14"/>
        <v>151132</v>
      </c>
      <c r="J79" s="167">
        <f t="shared" si="12"/>
        <v>2.6540591306644525E-2</v>
      </c>
      <c r="L79" s="187"/>
      <c r="M79" s="163"/>
      <c r="O79" s="324">
        <f t="shared" si="13"/>
        <v>6.0588518280949328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'[77]Sch C'!D68</f>
        <v>0</v>
      </c>
      <c r="D80" s="480">
        <f>'[77]Sch C'!F68</f>
        <v>0</v>
      </c>
      <c r="E80" s="480">
        <f>+'[77]Sch C'!H68</f>
        <v>0</v>
      </c>
      <c r="F80" s="166">
        <f t="shared" si="11"/>
        <v>0</v>
      </c>
      <c r="G80" s="626"/>
      <c r="H80" s="626"/>
      <c r="I80" s="166">
        <f t="shared" si="14"/>
        <v>0</v>
      </c>
      <c r="J80" s="167">
        <f t="shared" si="12"/>
        <v>0</v>
      </c>
      <c r="L80" s="187"/>
      <c r="M80" s="163"/>
      <c r="O80" s="324">
        <f t="shared" si="13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'[77]Sch C'!D69</f>
        <v>6094</v>
      </c>
      <c r="D81" s="480">
        <f>'[77]Sch C'!F69</f>
        <v>0</v>
      </c>
      <c r="E81" s="480">
        <f>+'[77]Sch C'!H69</f>
        <v>0</v>
      </c>
      <c r="F81" s="166">
        <f t="shared" si="11"/>
        <v>6094</v>
      </c>
      <c r="G81" s="626"/>
      <c r="H81" s="626"/>
      <c r="I81" s="166">
        <f t="shared" si="14"/>
        <v>6094</v>
      </c>
      <c r="J81" s="167">
        <f t="shared" si="12"/>
        <v>1.0701794684295301E-3</v>
      </c>
      <c r="L81" s="187"/>
      <c r="M81" s="163"/>
      <c r="O81" s="324">
        <f t="shared" si="13"/>
        <v>0.24430724823604874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'[77]Sch C'!D70</f>
        <v>0</v>
      </c>
      <c r="D82" s="480">
        <f>'[77]Sch C'!F70</f>
        <v>0</v>
      </c>
      <c r="E82" s="480">
        <f>+'[77]Sch C'!H70</f>
        <v>0</v>
      </c>
      <c r="F82" s="166">
        <f t="shared" si="11"/>
        <v>0</v>
      </c>
      <c r="G82" s="626"/>
      <c r="H82" s="626"/>
      <c r="I82" s="166">
        <f t="shared" si="14"/>
        <v>0</v>
      </c>
      <c r="J82" s="167">
        <f t="shared" si="12"/>
        <v>0</v>
      </c>
      <c r="L82" s="187"/>
      <c r="M82" s="163"/>
      <c r="O82" s="324">
        <f t="shared" si="13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'[77]Sch C'!D71</f>
        <v>0</v>
      </c>
      <c r="D83" s="480">
        <f>'[77]Sch C'!F71</f>
        <v>0</v>
      </c>
      <c r="E83" s="480">
        <f>+'[77]Sch C'!H71</f>
        <v>0</v>
      </c>
      <c r="F83" s="166">
        <f t="shared" si="11"/>
        <v>0</v>
      </c>
      <c r="G83" s="626"/>
      <c r="H83" s="626"/>
      <c r="I83" s="166">
        <f t="shared" si="14"/>
        <v>0</v>
      </c>
      <c r="J83" s="167">
        <f t="shared" si="12"/>
        <v>0</v>
      </c>
      <c r="L83" s="187"/>
      <c r="M83" s="163"/>
      <c r="O83" s="324">
        <f t="shared" si="13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808464</v>
      </c>
      <c r="D84" s="480">
        <f t="shared" si="15"/>
        <v>-2056</v>
      </c>
      <c r="E84" s="480">
        <f t="shared" si="15"/>
        <v>-403299</v>
      </c>
      <c r="F84" s="166">
        <f t="shared" ref="F84:I84" si="16">SUM(F69:F83)</f>
        <v>403109</v>
      </c>
      <c r="G84" s="166">
        <f t="shared" si="16"/>
        <v>2274</v>
      </c>
      <c r="H84" s="166">
        <f t="shared" si="16"/>
        <v>0</v>
      </c>
      <c r="I84" s="166">
        <f t="shared" si="16"/>
        <v>405383</v>
      </c>
      <c r="J84" s="167">
        <f t="shared" si="12"/>
        <v>7.1190115433273415E-2</v>
      </c>
      <c r="L84" s="187"/>
      <c r="M84" s="163"/>
      <c r="O84" s="324">
        <f t="shared" si="13"/>
        <v>16.251723861449648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'[77]Sch C'!D75</f>
        <v>66736</v>
      </c>
      <c r="D87" s="480">
        <f>'[77]Sch C'!F75</f>
        <v>0</v>
      </c>
      <c r="E87" s="480">
        <f>+'[77]Sch C'!H75</f>
        <v>0</v>
      </c>
      <c r="F87" s="166">
        <f t="shared" ref="F87:F97" si="17">C87+D87+E87</f>
        <v>66736</v>
      </c>
      <c r="G87" s="626"/>
      <c r="H87" s="626"/>
      <c r="I87" s="166">
        <f t="shared" ref="I87:I97" si="18">F87+G87+H87</f>
        <v>66736</v>
      </c>
      <c r="J87" s="167">
        <f t="shared" ref="J87:J98" si="19">IF($I$213=0,0,I87/$I$213)</f>
        <v>1.1719641779637861E-2</v>
      </c>
      <c r="L87" s="176">
        <v>3735</v>
      </c>
      <c r="M87" s="176">
        <v>3973</v>
      </c>
      <c r="O87" s="324">
        <f t="shared" ref="O87:O97" si="20">I87/I$233</f>
        <v>2.6754329698524697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'[77]Sch C'!D76</f>
        <v>9189</v>
      </c>
      <c r="D88" s="480">
        <f>'[77]Sch C'!F76</f>
        <v>4972</v>
      </c>
      <c r="E88" s="480">
        <f>+'[77]Sch C'!H76</f>
        <v>0</v>
      </c>
      <c r="F88" s="166">
        <f t="shared" si="17"/>
        <v>14161</v>
      </c>
      <c r="G88" s="626"/>
      <c r="H88" s="626"/>
      <c r="I88" s="166">
        <f t="shared" si="18"/>
        <v>14161</v>
      </c>
      <c r="J88" s="167">
        <f t="shared" si="19"/>
        <v>2.4868413935724607E-3</v>
      </c>
      <c r="L88" s="163"/>
      <c r="M88" s="163"/>
      <c r="O88" s="324">
        <f t="shared" si="20"/>
        <v>0.56771167415009627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'[77]Sch C'!D77</f>
        <v>9161</v>
      </c>
      <c r="D89" s="480">
        <f>'[77]Sch C'!F77</f>
        <v>0</v>
      </c>
      <c r="E89" s="480">
        <f>+'[77]Sch C'!H77</f>
        <v>0</v>
      </c>
      <c r="F89" s="166">
        <f t="shared" si="17"/>
        <v>9161</v>
      </c>
      <c r="G89" s="626"/>
      <c r="H89" s="626"/>
      <c r="I89" s="166">
        <f t="shared" si="18"/>
        <v>9161</v>
      </c>
      <c r="J89" s="167">
        <f t="shared" si="19"/>
        <v>1.6087814424487897E-3</v>
      </c>
      <c r="L89" s="163"/>
      <c r="M89" s="163"/>
      <c r="O89" s="324">
        <f t="shared" si="20"/>
        <v>0.36726266837716487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'[77]Sch C'!D78</f>
        <v>0</v>
      </c>
      <c r="D90" s="480">
        <f>'[77]Sch C'!F78</f>
        <v>0</v>
      </c>
      <c r="E90" s="480">
        <f>+'[77]Sch C'!H78</f>
        <v>0</v>
      </c>
      <c r="F90" s="166">
        <f t="shared" si="17"/>
        <v>0</v>
      </c>
      <c r="G90" s="626"/>
      <c r="H90" s="626"/>
      <c r="I90" s="166">
        <f t="shared" si="18"/>
        <v>0</v>
      </c>
      <c r="J90" s="167">
        <f t="shared" si="19"/>
        <v>0</v>
      </c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'[77]Sch C'!D79</f>
        <v>8348</v>
      </c>
      <c r="D91" s="480">
        <f>'[77]Sch C'!F79</f>
        <v>15958</v>
      </c>
      <c r="E91" s="480">
        <f>+'[77]Sch C'!H79</f>
        <v>0</v>
      </c>
      <c r="F91" s="166">
        <f t="shared" si="17"/>
        <v>24306</v>
      </c>
      <c r="G91" s="626"/>
      <c r="H91" s="626"/>
      <c r="I91" s="166">
        <f t="shared" si="18"/>
        <v>24306</v>
      </c>
      <c r="J91" s="167">
        <f t="shared" si="19"/>
        <v>4.2684250344023891E-3</v>
      </c>
      <c r="L91" s="163"/>
      <c r="M91" s="163"/>
      <c r="O91" s="324">
        <f t="shared" si="20"/>
        <v>0.97442270686337396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'[77]Sch C'!D80</f>
        <v>18826</v>
      </c>
      <c r="D92" s="480">
        <f>'[77]Sch C'!F80</f>
        <v>0</v>
      </c>
      <c r="E92" s="480">
        <f>+'[77]Sch C'!H80</f>
        <v>0</v>
      </c>
      <c r="F92" s="166">
        <f t="shared" si="17"/>
        <v>18826</v>
      </c>
      <c r="G92" s="626"/>
      <c r="H92" s="626"/>
      <c r="I92" s="166">
        <f t="shared" si="18"/>
        <v>18826</v>
      </c>
      <c r="J92" s="167">
        <f t="shared" si="19"/>
        <v>3.3060713279708456E-3</v>
      </c>
      <c r="L92" s="163"/>
      <c r="M92" s="163"/>
      <c r="O92" s="324">
        <f t="shared" si="20"/>
        <v>0.75473059653624119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'[77]Sch C'!D81</f>
        <v>6849</v>
      </c>
      <c r="D93" s="480">
        <f>'[77]Sch C'!F81</f>
        <v>0</v>
      </c>
      <c r="E93" s="480">
        <f>+'[77]Sch C'!H81</f>
        <v>0</v>
      </c>
      <c r="F93" s="166">
        <f t="shared" si="17"/>
        <v>6849</v>
      </c>
      <c r="G93" s="626"/>
      <c r="H93" s="626"/>
      <c r="I93" s="166">
        <f t="shared" si="18"/>
        <v>6849</v>
      </c>
      <c r="J93" s="167">
        <f t="shared" si="19"/>
        <v>1.2027665210492043E-3</v>
      </c>
      <c r="L93" s="163"/>
      <c r="M93" s="163"/>
      <c r="O93" s="324">
        <f t="shared" si="20"/>
        <v>0.2745750481077614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'[77]Sch C'!D82</f>
        <v>0</v>
      </c>
      <c r="D94" s="480">
        <f>'[77]Sch C'!F82</f>
        <v>0</v>
      </c>
      <c r="E94" s="480">
        <f>+'[77]Sch C'!H82</f>
        <v>0</v>
      </c>
      <c r="F94" s="166">
        <f t="shared" si="17"/>
        <v>0</v>
      </c>
      <c r="G94" s="626"/>
      <c r="H94" s="626"/>
      <c r="I94" s="166">
        <f t="shared" si="18"/>
        <v>0</v>
      </c>
      <c r="J94" s="167">
        <f t="shared" si="19"/>
        <v>0</v>
      </c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'[77]Sch C'!D83</f>
        <v>368</v>
      </c>
      <c r="D95" s="480">
        <f>'[77]Sch C'!F83</f>
        <v>0</v>
      </c>
      <c r="E95" s="480">
        <f>+'[77]Sch C'!H83</f>
        <v>0</v>
      </c>
      <c r="F95" s="166">
        <f t="shared" si="17"/>
        <v>368</v>
      </c>
      <c r="G95" s="626"/>
      <c r="H95" s="626"/>
      <c r="I95" s="166">
        <f t="shared" si="18"/>
        <v>368</v>
      </c>
      <c r="J95" s="167">
        <f t="shared" si="19"/>
        <v>6.4625212402702183E-5</v>
      </c>
      <c r="L95" s="163"/>
      <c r="M95" s="163"/>
      <c r="O95" s="324">
        <f t="shared" si="20"/>
        <v>1.4753046824887749E-2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'[77]Sch C'!D84</f>
        <v>107326</v>
      </c>
      <c r="D96" s="480">
        <f>'[77]Sch C'!F84</f>
        <v>0</v>
      </c>
      <c r="E96" s="480">
        <f>+'[77]Sch C'!H84</f>
        <v>0</v>
      </c>
      <c r="F96" s="166">
        <f t="shared" si="17"/>
        <v>107326</v>
      </c>
      <c r="G96" s="626"/>
      <c r="H96" s="626"/>
      <c r="I96" s="166">
        <f t="shared" si="18"/>
        <v>107326</v>
      </c>
      <c r="J96" s="167">
        <f t="shared" si="19"/>
        <v>1.8847732462859819E-2</v>
      </c>
      <c r="L96" s="163"/>
      <c r="M96" s="163"/>
      <c r="O96" s="324">
        <f t="shared" si="20"/>
        <v>4.302677998717126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'[77]Sch C'!D85</f>
        <v>0</v>
      </c>
      <c r="D97" s="480">
        <f>'[77]Sch C'!F85</f>
        <v>0</v>
      </c>
      <c r="E97" s="480">
        <f>+'[77]Sch C'!H85</f>
        <v>0</v>
      </c>
      <c r="F97" s="166">
        <f t="shared" si="17"/>
        <v>0</v>
      </c>
      <c r="G97" s="626"/>
      <c r="H97" s="626"/>
      <c r="I97" s="166">
        <f t="shared" si="18"/>
        <v>0</v>
      </c>
      <c r="J97" s="167">
        <f t="shared" si="19"/>
        <v>0</v>
      </c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226803</v>
      </c>
      <c r="D98" s="480">
        <f t="shared" si="21"/>
        <v>20930</v>
      </c>
      <c r="E98" s="480">
        <f t="shared" si="21"/>
        <v>0</v>
      </c>
      <c r="F98" s="166">
        <f t="shared" ref="F98:I98" si="22">SUM(F87:F97)</f>
        <v>247733</v>
      </c>
      <c r="G98" s="166">
        <f t="shared" si="22"/>
        <v>0</v>
      </c>
      <c r="H98" s="166">
        <f t="shared" si="22"/>
        <v>0</v>
      </c>
      <c r="I98" s="166">
        <f t="shared" si="22"/>
        <v>247733</v>
      </c>
      <c r="J98" s="167">
        <f t="shared" si="19"/>
        <v>4.3504885174344074E-2</v>
      </c>
      <c r="L98" s="163"/>
      <c r="M98" s="163"/>
      <c r="O98" s="329">
        <f>I98/I$233</f>
        <v>9.9315667094291218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'[77]Sch C'!D89</f>
        <v>188031</v>
      </c>
      <c r="D101" s="480">
        <f>'[77]Sch C'!F89</f>
        <v>0</v>
      </c>
      <c r="E101" s="480">
        <f>+'[77]Sch C'!H89</f>
        <v>0</v>
      </c>
      <c r="F101" s="166">
        <f t="shared" ref="F101:F106" si="23">C101+D101+E101</f>
        <v>188031</v>
      </c>
      <c r="G101" s="626"/>
      <c r="H101" s="626"/>
      <c r="I101" s="166">
        <f t="shared" ref="I101:I106" si="24">F101+G101+H101</f>
        <v>188031</v>
      </c>
      <c r="J101" s="167">
        <f t="shared" ref="J101:J107" si="25">IF($I$213=0,0,I101/$I$213)</f>
        <v>3.3020498133946995E-2</v>
      </c>
      <c r="L101" s="176">
        <v>14071</v>
      </c>
      <c r="M101" s="176">
        <v>14617</v>
      </c>
      <c r="O101" s="329">
        <f t="shared" ref="O101:O106" si="26">I101/I$233</f>
        <v>7.5381254008980116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'[77]Sch C'!D90</f>
        <v>22958</v>
      </c>
      <c r="D102" s="480">
        <f>'[77]Sch C'!F90</f>
        <v>14009</v>
      </c>
      <c r="E102" s="480">
        <f>+'[77]Sch C'!H90</f>
        <v>0</v>
      </c>
      <c r="F102" s="166">
        <f t="shared" si="23"/>
        <v>36967</v>
      </c>
      <c r="G102" s="626"/>
      <c r="H102" s="626"/>
      <c r="I102" s="166">
        <f t="shared" si="24"/>
        <v>36967</v>
      </c>
      <c r="J102" s="167">
        <f t="shared" si="25"/>
        <v>6.4918484426377482E-3</v>
      </c>
      <c r="L102" s="163"/>
      <c r="M102" s="163"/>
      <c r="O102" s="329">
        <f t="shared" si="26"/>
        <v>1.4819996792815908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'[77]Sch C'!D91</f>
        <v>1851</v>
      </c>
      <c r="D103" s="480">
        <f>'[77]Sch C'!F91</f>
        <v>0</v>
      </c>
      <c r="E103" s="480">
        <f>+'[77]Sch C'!H91</f>
        <v>0</v>
      </c>
      <c r="F103" s="166">
        <f t="shared" si="23"/>
        <v>1851</v>
      </c>
      <c r="G103" s="626"/>
      <c r="H103" s="626"/>
      <c r="I103" s="166">
        <f t="shared" si="24"/>
        <v>1851</v>
      </c>
      <c r="J103" s="167">
        <f t="shared" si="25"/>
        <v>3.2505779390598296E-4</v>
      </c>
      <c r="L103" s="163"/>
      <c r="M103" s="163"/>
      <c r="O103" s="329">
        <f t="shared" si="26"/>
        <v>7.4206221937139188E-2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'[77]Sch C'!D92</f>
        <v>142174</v>
      </c>
      <c r="D104" s="480">
        <f>'[77]Sch C'!F92</f>
        <v>0</v>
      </c>
      <c r="E104" s="480">
        <f>+'[77]Sch C'!H92</f>
        <v>0</v>
      </c>
      <c r="F104" s="166">
        <f t="shared" si="23"/>
        <v>142174</v>
      </c>
      <c r="G104" s="626"/>
      <c r="H104" s="626"/>
      <c r="I104" s="166">
        <f t="shared" si="24"/>
        <v>142174</v>
      </c>
      <c r="J104" s="167">
        <f t="shared" si="25"/>
        <v>2.4967459098211357E-2</v>
      </c>
      <c r="L104" s="163"/>
      <c r="M104" s="163"/>
      <c r="O104" s="329">
        <f t="shared" si="26"/>
        <v>5.699727389352149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'[77]Sch C'!D93</f>
        <v>8593</v>
      </c>
      <c r="D105" s="480">
        <f>'[77]Sch C'!F93</f>
        <v>0</v>
      </c>
      <c r="E105" s="480">
        <f>+'[77]Sch C'!H93</f>
        <v>0</v>
      </c>
      <c r="F105" s="166">
        <f t="shared" si="23"/>
        <v>8593</v>
      </c>
      <c r="G105" s="626"/>
      <c r="H105" s="626"/>
      <c r="I105" s="166">
        <f t="shared" si="24"/>
        <v>8593</v>
      </c>
      <c r="J105" s="167">
        <f t="shared" si="25"/>
        <v>1.5090338320011408E-3</v>
      </c>
      <c r="L105" s="163"/>
      <c r="M105" s="163"/>
      <c r="O105" s="329">
        <f t="shared" si="26"/>
        <v>0.34449166132135983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'[77]Sch C'!D94</f>
        <v>0</v>
      </c>
      <c r="D106" s="480">
        <f>'[77]Sch C'!F94</f>
        <v>0</v>
      </c>
      <c r="E106" s="480">
        <f>+'[77]Sch C'!H94</f>
        <v>0</v>
      </c>
      <c r="F106" s="166">
        <f t="shared" si="23"/>
        <v>0</v>
      </c>
      <c r="G106" s="626"/>
      <c r="H106" s="626"/>
      <c r="I106" s="166">
        <f t="shared" si="24"/>
        <v>0</v>
      </c>
      <c r="J106" s="167">
        <f t="shared" si="25"/>
        <v>0</v>
      </c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363607</v>
      </c>
      <c r="D107" s="480">
        <f t="shared" si="27"/>
        <v>14009</v>
      </c>
      <c r="E107" s="480">
        <f t="shared" si="27"/>
        <v>0</v>
      </c>
      <c r="F107" s="166">
        <f t="shared" ref="F107:I107" si="28">SUM(F101:F106)</f>
        <v>377616</v>
      </c>
      <c r="G107" s="166">
        <f t="shared" si="28"/>
        <v>0</v>
      </c>
      <c r="H107" s="166">
        <f t="shared" si="28"/>
        <v>0</v>
      </c>
      <c r="I107" s="166">
        <f t="shared" si="28"/>
        <v>377616</v>
      </c>
      <c r="J107" s="167">
        <f t="shared" si="25"/>
        <v>6.6313897300703223E-2</v>
      </c>
      <c r="L107" s="163"/>
      <c r="M107" s="163"/>
      <c r="O107" s="329">
        <f>I107/I$233</f>
        <v>15.138550352790251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'[77]Sch C'!D98</f>
        <v>38762</v>
      </c>
      <c r="D110" s="480">
        <f>'[77]Sch C'!F98</f>
        <v>0</v>
      </c>
      <c r="E110" s="480">
        <f>+'[77]Sch C'!H98</f>
        <v>0</v>
      </c>
      <c r="F110" s="166">
        <f t="shared" ref="F110:F115" si="29">C110+D110+E110</f>
        <v>38762</v>
      </c>
      <c r="G110" s="626"/>
      <c r="H110" s="626"/>
      <c r="I110" s="166">
        <f t="shared" ref="I110:I115" si="30">F110+G110+H110</f>
        <v>38762</v>
      </c>
      <c r="J110" s="167">
        <f t="shared" ref="J110:J116" si="31">IF($I$213=0,0,I110/$I$213)</f>
        <v>6.8070719650911464E-3</v>
      </c>
      <c r="L110" s="176">
        <v>4024</v>
      </c>
      <c r="M110" s="176">
        <v>4278</v>
      </c>
      <c r="O110" s="329">
        <f t="shared" ref="O110:O115" si="32">I110/I$233</f>
        <v>1.5539608723540732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'[77]Sch C'!D99</f>
        <v>5888</v>
      </c>
      <c r="D111" s="480">
        <f>'[77]Sch C'!F99</f>
        <v>2888</v>
      </c>
      <c r="E111" s="480">
        <f>+'[77]Sch C'!H99</f>
        <v>0</v>
      </c>
      <c r="F111" s="166">
        <f t="shared" si="29"/>
        <v>8776</v>
      </c>
      <c r="G111" s="626"/>
      <c r="H111" s="626"/>
      <c r="I111" s="166">
        <f t="shared" si="30"/>
        <v>8776</v>
      </c>
      <c r="J111" s="167">
        <f t="shared" si="31"/>
        <v>1.5411708262122671E-3</v>
      </c>
      <c r="L111" s="163"/>
      <c r="M111" s="163"/>
      <c r="O111" s="329">
        <f t="shared" si="32"/>
        <v>0.35182809493264916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'[77]Sch C'!D100</f>
        <v>10619</v>
      </c>
      <c r="D112" s="480">
        <f>'[77]Sch C'!F100</f>
        <v>0</v>
      </c>
      <c r="E112" s="480">
        <f>+'[77]Sch C'!H100</f>
        <v>0</v>
      </c>
      <c r="F112" s="166">
        <f t="shared" si="29"/>
        <v>10619</v>
      </c>
      <c r="G112" s="626"/>
      <c r="H112" s="626"/>
      <c r="I112" s="166">
        <f t="shared" si="30"/>
        <v>10619</v>
      </c>
      <c r="J112" s="167">
        <f t="shared" si="31"/>
        <v>1.8648237241964522E-3</v>
      </c>
      <c r="L112" s="163"/>
      <c r="M112" s="163"/>
      <c r="O112" s="329">
        <f t="shared" si="32"/>
        <v>0.42571359846055162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'[77]Sch C'!D101</f>
        <v>1368</v>
      </c>
      <c r="D113" s="480">
        <f>'[77]Sch C'!F101</f>
        <v>0</v>
      </c>
      <c r="E113" s="480">
        <f>+'[77]Sch C'!H101</f>
        <v>0</v>
      </c>
      <c r="F113" s="166">
        <f t="shared" si="29"/>
        <v>1368</v>
      </c>
      <c r="G113" s="626"/>
      <c r="H113" s="626"/>
      <c r="I113" s="166">
        <f t="shared" si="30"/>
        <v>1368</v>
      </c>
      <c r="J113" s="167">
        <f t="shared" si="31"/>
        <v>2.4023720262743637E-4</v>
      </c>
      <c r="L113" s="163"/>
      <c r="M113" s="163"/>
      <c r="O113" s="329">
        <f t="shared" si="32"/>
        <v>5.4842847979474023E-2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'[77]Sch C'!D102</f>
        <v>4917</v>
      </c>
      <c r="D114" s="480">
        <f>'[77]Sch C'!F102</f>
        <v>0</v>
      </c>
      <c r="E114" s="480">
        <f>+'[77]Sch C'!H102</f>
        <v>0</v>
      </c>
      <c r="F114" s="166">
        <f t="shared" si="29"/>
        <v>4917</v>
      </c>
      <c r="G114" s="626"/>
      <c r="H114" s="626"/>
      <c r="I114" s="166">
        <f t="shared" si="30"/>
        <v>4917</v>
      </c>
      <c r="J114" s="167">
        <f t="shared" si="31"/>
        <v>8.6348415593501791E-4</v>
      </c>
      <c r="L114" s="163"/>
      <c r="M114" s="163"/>
      <c r="O114" s="329">
        <f t="shared" si="32"/>
        <v>0.19712155227710071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'[77]Sch C'!D103</f>
        <v>0</v>
      </c>
      <c r="D115" s="480">
        <f>'[77]Sch C'!F103</f>
        <v>0</v>
      </c>
      <c r="E115" s="480">
        <f>+'[77]Sch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61554</v>
      </c>
      <c r="D116" s="480">
        <f t="shared" si="33"/>
        <v>2888</v>
      </c>
      <c r="E116" s="480">
        <f t="shared" si="33"/>
        <v>0</v>
      </c>
      <c r="F116" s="166">
        <f t="shared" ref="F116:I116" si="34">SUM(F110:F115)</f>
        <v>64442</v>
      </c>
      <c r="G116" s="166">
        <f t="shared" si="34"/>
        <v>0</v>
      </c>
      <c r="H116" s="166">
        <f t="shared" si="34"/>
        <v>0</v>
      </c>
      <c r="I116" s="166">
        <f t="shared" si="34"/>
        <v>64442</v>
      </c>
      <c r="J116" s="167">
        <f t="shared" si="31"/>
        <v>1.1316787874062319E-2</v>
      </c>
      <c r="L116" s="163"/>
      <c r="M116" s="163"/>
      <c r="O116" s="329">
        <f>I116/I$233</f>
        <v>2.5834669660038485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'[77]Sch C'!D115</f>
        <v>91870</v>
      </c>
      <c r="D119" s="480">
        <f>'[77]Sch C'!F115</f>
        <v>0</v>
      </c>
      <c r="E119" s="480">
        <f>+'[77]Sch C'!H115</f>
        <v>0</v>
      </c>
      <c r="F119" s="166">
        <f>C119+D119+E119</f>
        <v>91870</v>
      </c>
      <c r="G119" s="626"/>
      <c r="H119" s="626"/>
      <c r="I119" s="166">
        <f t="shared" ref="I119:I123" si="35">F119+G119+H119</f>
        <v>91870</v>
      </c>
      <c r="J119" s="167">
        <f t="shared" ref="J119:J124" si="36">IF($I$213=0,0,I119/$I$213)</f>
        <v>1.613347354194633E-2</v>
      </c>
      <c r="L119" s="176">
        <v>9031</v>
      </c>
      <c r="M119" s="176">
        <v>9501</v>
      </c>
      <c r="O119" s="329">
        <f t="shared" ref="O119:O124" si="37">I119/I$233</f>
        <v>3.6830500320718409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'[77]Sch C'!D116</f>
        <v>12667</v>
      </c>
      <c r="D120" s="480">
        <f>'[77]Sch C'!F116</f>
        <v>6845</v>
      </c>
      <c r="E120" s="480">
        <f>+'[77]Sch C'!H116</f>
        <v>0</v>
      </c>
      <c r="F120" s="166">
        <f>C120+D120+E120</f>
        <v>19512</v>
      </c>
      <c r="G120" s="626"/>
      <c r="H120" s="626"/>
      <c r="I120" s="166">
        <f t="shared" si="35"/>
        <v>19512</v>
      </c>
      <c r="J120" s="167">
        <f t="shared" si="36"/>
        <v>3.4265411532650131E-3</v>
      </c>
      <c r="L120" s="163"/>
      <c r="M120" s="163"/>
      <c r="O120" s="329">
        <f t="shared" si="37"/>
        <v>0.78223220012828731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'[77]Sch C'!D117</f>
        <v>15635</v>
      </c>
      <c r="D121" s="480">
        <f>'[77]Sch C'!F117</f>
        <v>0</v>
      </c>
      <c r="E121" s="480">
        <f>+'[77]Sch C'!H117</f>
        <v>0</v>
      </c>
      <c r="F121" s="166">
        <f>C121+D121+E121</f>
        <v>15635</v>
      </c>
      <c r="G121" s="626"/>
      <c r="H121" s="626"/>
      <c r="I121" s="166">
        <f t="shared" si="35"/>
        <v>15635</v>
      </c>
      <c r="J121" s="167">
        <f t="shared" si="36"/>
        <v>2.7456934671637187E-3</v>
      </c>
      <c r="L121" s="163"/>
      <c r="M121" s="163"/>
      <c r="O121" s="329">
        <f t="shared" si="37"/>
        <v>0.62680404105195642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'[77]Sch C'!D118</f>
        <v>2173</v>
      </c>
      <c r="D122" s="480">
        <f>'[77]Sch C'!F118</f>
        <v>0</v>
      </c>
      <c r="E122" s="480">
        <f>+'[77]Sch C'!H118</f>
        <v>0</v>
      </c>
      <c r="F122" s="166">
        <f>C122+D122+E122</f>
        <v>2173</v>
      </c>
      <c r="G122" s="626"/>
      <c r="H122" s="626"/>
      <c r="I122" s="166">
        <f t="shared" si="35"/>
        <v>2173</v>
      </c>
      <c r="J122" s="167">
        <f t="shared" si="36"/>
        <v>3.8160485475834734E-4</v>
      </c>
      <c r="L122" s="163"/>
      <c r="M122" s="163"/>
      <c r="O122" s="329">
        <f t="shared" si="37"/>
        <v>8.7115137908915966E-2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'[77]Sch C'!D119</f>
        <v>1312</v>
      </c>
      <c r="D123" s="480">
        <f>'[77]Sch C'!F119</f>
        <v>0</v>
      </c>
      <c r="E123" s="480">
        <f>+'[77]Sch C'!H119</f>
        <v>0</v>
      </c>
      <c r="F123" s="166">
        <f>C123+D123+E123</f>
        <v>1312</v>
      </c>
      <c r="G123" s="626"/>
      <c r="H123" s="626"/>
      <c r="I123" s="166">
        <f t="shared" si="35"/>
        <v>1312</v>
      </c>
      <c r="J123" s="167">
        <f t="shared" si="36"/>
        <v>2.3040293117485125E-4</v>
      </c>
      <c r="L123" s="163"/>
      <c r="M123" s="163"/>
      <c r="O123" s="329">
        <f t="shared" si="37"/>
        <v>5.2597819114817188E-2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8">SUM(C119:C123)</f>
        <v>123657</v>
      </c>
      <c r="D124" s="480">
        <f t="shared" si="38"/>
        <v>6845</v>
      </c>
      <c r="E124" s="480">
        <f t="shared" si="38"/>
        <v>0</v>
      </c>
      <c r="F124" s="166">
        <f t="shared" ref="F124:I124" si="39">SUM(F119:F123)</f>
        <v>130502</v>
      </c>
      <c r="G124" s="166">
        <f t="shared" si="39"/>
        <v>0</v>
      </c>
      <c r="H124" s="166">
        <f t="shared" si="39"/>
        <v>0</v>
      </c>
      <c r="I124" s="166">
        <f t="shared" si="39"/>
        <v>130502</v>
      </c>
      <c r="J124" s="167">
        <f t="shared" si="36"/>
        <v>2.291771594830826E-2</v>
      </c>
      <c r="L124" s="163"/>
      <c r="M124" s="163"/>
      <c r="O124" s="329">
        <f t="shared" si="37"/>
        <v>5.2317992302758176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/>
      <c r="H127" s="160"/>
      <c r="I127" s="160"/>
      <c r="J127" s="19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'[77]Sch C'!D124</f>
        <v>0</v>
      </c>
      <c r="D128" s="480">
        <f>'[77]Sch C'!F124</f>
        <v>0</v>
      </c>
      <c r="E128" s="480">
        <f>+'[77]Sch C'!H124</f>
        <v>0</v>
      </c>
      <c r="F128" s="166">
        <f>C128+D128+E128</f>
        <v>0</v>
      </c>
      <c r="G128" s="626"/>
      <c r="H128" s="626"/>
      <c r="I128" s="166">
        <f t="shared" ref="I128:I132" si="40">F128+G128+H128</f>
        <v>0</v>
      </c>
      <c r="J128" s="167">
        <f>IF($I$213=0,0,I128/$I$213)</f>
        <v>0</v>
      </c>
      <c r="L128" s="176">
        <v>0</v>
      </c>
      <c r="M128" s="176">
        <v>0</v>
      </c>
      <c r="O128" s="329">
        <f t="shared" ref="O128:O165" si="41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'[77]Sch C'!D125</f>
        <v>178555</v>
      </c>
      <c r="D129" s="480">
        <f>'[77]Sch C'!F125</f>
        <v>0</v>
      </c>
      <c r="E129" s="480">
        <f>+'[77]Sch C'!H125</f>
        <v>51401</v>
      </c>
      <c r="F129" s="166">
        <f>C129+D129+E129</f>
        <v>229956</v>
      </c>
      <c r="G129" s="626"/>
      <c r="H129" s="626"/>
      <c r="I129" s="166">
        <f t="shared" si="40"/>
        <v>229956</v>
      </c>
      <c r="J129" s="167">
        <f>IF($I$213=0,0,I129/$I$213)</f>
        <v>4.0383030824118975E-2</v>
      </c>
      <c r="K129" s="442" t="s">
        <v>377</v>
      </c>
      <c r="L129" s="176">
        <v>5299</v>
      </c>
      <c r="M129" s="176">
        <v>5609</v>
      </c>
      <c r="O129" s="329">
        <f t="shared" si="41"/>
        <v>9.2188903143040406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'[77]Sch C'!D126</f>
        <v>65909</v>
      </c>
      <c r="D130" s="480">
        <f>'[77]Sch C'!F126</f>
        <v>0</v>
      </c>
      <c r="E130" s="480">
        <f>+'[77]Sch C'!H126</f>
        <v>0</v>
      </c>
      <c r="F130" s="166">
        <f>C130+D130+E130</f>
        <v>65909</v>
      </c>
      <c r="G130" s="626"/>
      <c r="H130" s="626"/>
      <c r="I130" s="166">
        <f t="shared" si="40"/>
        <v>65909</v>
      </c>
      <c r="J130" s="167">
        <f>IF($I$213=0,0,I130/$I$213)</f>
        <v>1.1574410663722005E-2</v>
      </c>
      <c r="L130" s="176">
        <v>1804</v>
      </c>
      <c r="M130" s="176">
        <v>1985</v>
      </c>
      <c r="O130" s="329">
        <f t="shared" si="41"/>
        <v>2.6422787042976266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'[77]Sch C'!D127</f>
        <v>0</v>
      </c>
      <c r="D131" s="480">
        <f>'[77]Sch C'!F127</f>
        <v>0</v>
      </c>
      <c r="E131" s="480">
        <f>+'[77]Sch C'!H127</f>
        <v>0</v>
      </c>
      <c r="F131" s="166">
        <f>C131+D131+E131</f>
        <v>0</v>
      </c>
      <c r="G131" s="626"/>
      <c r="H131" s="626"/>
      <c r="I131" s="166">
        <f t="shared" si="40"/>
        <v>0</v>
      </c>
      <c r="J131" s="167">
        <f>IF($I$213=0,0,I131/$I$213)</f>
        <v>0</v>
      </c>
      <c r="L131" s="176">
        <v>0</v>
      </c>
      <c r="M131" s="176">
        <v>0</v>
      </c>
      <c r="O131" s="329">
        <f t="shared" si="41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'[77]Sch C'!D128</f>
        <v>30424</v>
      </c>
      <c r="D132" s="480">
        <f>'[77]Sch C'!F128</f>
        <v>0</v>
      </c>
      <c r="E132" s="480">
        <f>+'[77]Sch C'!H128</f>
        <v>0</v>
      </c>
      <c r="F132" s="166">
        <f>C132+D132+E132</f>
        <v>30424</v>
      </c>
      <c r="G132" s="626"/>
      <c r="H132" s="626"/>
      <c r="I132" s="166">
        <f t="shared" si="40"/>
        <v>30424</v>
      </c>
      <c r="J132" s="167">
        <f>IF($I$213=0,0,I132/$I$213)</f>
        <v>5.3428191905973126E-3</v>
      </c>
      <c r="L132" s="176">
        <v>2019</v>
      </c>
      <c r="M132" s="176">
        <v>2180</v>
      </c>
      <c r="O132" s="329">
        <f t="shared" si="41"/>
        <v>1.2196921103271328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686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'[77]Sch C'!D130</f>
        <v>0</v>
      </c>
      <c r="D134" s="480">
        <f>'[77]Sch C'!F130</f>
        <v>0</v>
      </c>
      <c r="E134" s="480">
        <f>+'[77]Sch C'!H130</f>
        <v>0</v>
      </c>
      <c r="F134" s="166">
        <f>C134+D134+E134</f>
        <v>0</v>
      </c>
      <c r="G134" s="626"/>
      <c r="H134" s="626"/>
      <c r="I134" s="166">
        <f t="shared" ref="I134:I138" si="42">F134+G134+H134</f>
        <v>0</v>
      </c>
      <c r="J134" s="167">
        <f>IF($I$213=0,0,I134/$I$213)</f>
        <v>0</v>
      </c>
      <c r="L134" s="196"/>
      <c r="M134" s="196"/>
      <c r="O134" s="329">
        <f t="shared" si="41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'[77]Sch C'!D131</f>
        <v>0</v>
      </c>
      <c r="D135" s="480">
        <f>'[77]Sch C'!F131</f>
        <v>13303</v>
      </c>
      <c r="E135" s="480">
        <f>+'[77]Sch C'!H131</f>
        <v>5304</v>
      </c>
      <c r="F135" s="166">
        <f>C135+D135+E135</f>
        <v>18607</v>
      </c>
      <c r="G135" s="626">
        <f>32591</f>
        <v>32591</v>
      </c>
      <c r="H135" s="626"/>
      <c r="I135" s="166">
        <f t="shared" si="42"/>
        <v>51198</v>
      </c>
      <c r="J135" s="167">
        <f>IF($I$213=0,0,I135/$I$213)</f>
        <v>8.9909826755259405E-3</v>
      </c>
      <c r="K135" s="442" t="s">
        <v>377</v>
      </c>
      <c r="L135" s="196"/>
      <c r="M135" s="196"/>
      <c r="O135" s="329">
        <f t="shared" si="41"/>
        <v>2.0525176395125082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'[77]Sch C'!D132</f>
        <v>0</v>
      </c>
      <c r="D136" s="480">
        <f>'[77]Sch C'!F132</f>
        <v>4910</v>
      </c>
      <c r="E136" s="480">
        <f>+'[77]Sch C'!H132</f>
        <v>0</v>
      </c>
      <c r="F136" s="166">
        <f>C136+D136+E136</f>
        <v>4910</v>
      </c>
      <c r="G136" s="626">
        <v>9341</v>
      </c>
      <c r="H136" s="626"/>
      <c r="I136" s="166">
        <f t="shared" si="42"/>
        <v>14251</v>
      </c>
      <c r="J136" s="167">
        <f>IF($I$213=0,0,I136/$I$213)</f>
        <v>2.5026464726926869E-3</v>
      </c>
      <c r="L136" s="163"/>
      <c r="M136" s="163"/>
      <c r="O136" s="329">
        <f t="shared" si="41"/>
        <v>0.57131975625400899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'[77]Sch C'!D133</f>
        <v>0</v>
      </c>
      <c r="D137" s="480">
        <f>'[77]Sch C'!F133</f>
        <v>0</v>
      </c>
      <c r="E137" s="480">
        <f>+'[77]Sch C'!H133</f>
        <v>0</v>
      </c>
      <c r="F137" s="166">
        <f>C137+D137+E137</f>
        <v>0</v>
      </c>
      <c r="G137" s="626"/>
      <c r="H137" s="626"/>
      <c r="I137" s="166">
        <f t="shared" si="42"/>
        <v>0</v>
      </c>
      <c r="J137" s="167">
        <f>IF($I$213=0,0,I137/$I$213)</f>
        <v>0</v>
      </c>
      <c r="L137" s="163"/>
      <c r="M137" s="163"/>
      <c r="O137" s="329">
        <f t="shared" si="41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'[77]Sch C'!D134</f>
        <v>0</v>
      </c>
      <c r="D138" s="480">
        <f>'[77]Sch C'!F134</f>
        <v>2267</v>
      </c>
      <c r="E138" s="480">
        <f>+'[77]Sch C'!H134</f>
        <v>0</v>
      </c>
      <c r="F138" s="166">
        <f>C138+D138+E138</f>
        <v>2267</v>
      </c>
      <c r="G138" s="626">
        <v>4312</v>
      </c>
      <c r="H138" s="626"/>
      <c r="I138" s="166">
        <f t="shared" si="42"/>
        <v>6579</v>
      </c>
      <c r="J138" s="167">
        <f>IF($I$213=0,0,I138/$I$213)</f>
        <v>1.1553512836885262E-3</v>
      </c>
      <c r="L138" s="163"/>
      <c r="M138" s="163"/>
      <c r="O138" s="329">
        <f t="shared" si="41"/>
        <v>0.26375080179602312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68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'[77]Sch C'!D136</f>
        <v>365044</v>
      </c>
      <c r="D140" s="480">
        <f>'[77]Sch C'!F136</f>
        <v>0</v>
      </c>
      <c r="E140" s="480">
        <f>+'[77]Sch C'!H136</f>
        <v>0</v>
      </c>
      <c r="F140" s="166">
        <f>C140+D140+E140</f>
        <v>365044</v>
      </c>
      <c r="G140" s="626"/>
      <c r="H140" s="626"/>
      <c r="I140" s="166">
        <f t="shared" ref="I140:I143" si="43">F140+G140+H140</f>
        <v>365044</v>
      </c>
      <c r="J140" s="167">
        <f>IF($I$213=0,0,I140/$I$213)</f>
        <v>6.4106103359597863E-2</v>
      </c>
      <c r="L140" s="176">
        <v>13038</v>
      </c>
      <c r="M140" s="176">
        <v>13404</v>
      </c>
      <c r="O140" s="329">
        <f t="shared" si="41"/>
        <v>14.634541372674791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'[77]Sch C'!D137</f>
        <v>267746</v>
      </c>
      <c r="D141" s="480">
        <f>'[77]Sch C'!F137</f>
        <v>0</v>
      </c>
      <c r="E141" s="480">
        <f>+'[77]Sch C'!H137</f>
        <v>0</v>
      </c>
      <c r="F141" s="166">
        <f>C141+D141+E141</f>
        <v>267746</v>
      </c>
      <c r="G141" s="626"/>
      <c r="H141" s="626"/>
      <c r="I141" s="166">
        <f t="shared" si="43"/>
        <v>267746</v>
      </c>
      <c r="J141" s="167">
        <f>IF($I$213=0,0,I141/$I$213)</f>
        <v>4.7019407934711675E-2</v>
      </c>
      <c r="L141" s="176">
        <v>12002</v>
      </c>
      <c r="M141" s="176">
        <v>12745</v>
      </c>
      <c r="O141" s="329">
        <f t="shared" si="41"/>
        <v>10.733883899935856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'[77]Sch C'!D138</f>
        <v>586249</v>
      </c>
      <c r="D142" s="480">
        <f>'[77]Sch C'!F138</f>
        <v>0</v>
      </c>
      <c r="E142" s="480">
        <f>+'[77]Sch C'!H138</f>
        <v>0</v>
      </c>
      <c r="F142" s="166">
        <f>C142+D142+E142</f>
        <v>586249</v>
      </c>
      <c r="G142" s="626"/>
      <c r="H142" s="626"/>
      <c r="I142" s="166">
        <f t="shared" si="43"/>
        <v>586249</v>
      </c>
      <c r="J142" s="167">
        <f>IF($I$213=0,0,I142/$I$213)</f>
        <v>0.10295235365726019</v>
      </c>
      <c r="L142" s="176">
        <v>47398</v>
      </c>
      <c r="M142" s="176">
        <v>50259</v>
      </c>
      <c r="O142" s="329">
        <f t="shared" si="41"/>
        <v>23.502605837075048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'[77]Sch C'!D139</f>
        <v>98924</v>
      </c>
      <c r="D143" s="480">
        <f>'[77]Sch C'!F139</f>
        <v>0</v>
      </c>
      <c r="E143" s="480">
        <f>+'[77]Sch C'!H139</f>
        <v>0</v>
      </c>
      <c r="F143" s="166">
        <f>C143+D143+E143</f>
        <v>98924</v>
      </c>
      <c r="G143" s="626"/>
      <c r="H143" s="626"/>
      <c r="I143" s="166">
        <f t="shared" si="43"/>
        <v>98924</v>
      </c>
      <c r="J143" s="167">
        <f>IF($I$213=0,0,I143/$I$213)</f>
        <v>1.7372240520991605E-2</v>
      </c>
      <c r="L143" s="176">
        <v>8446</v>
      </c>
      <c r="M143" s="176">
        <v>8660</v>
      </c>
      <c r="O143" s="329">
        <f t="shared" si="41"/>
        <v>3.9658434894162924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68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'[77]Sch C'!D141</f>
        <v>0</v>
      </c>
      <c r="D145" s="480">
        <f>'[77]Sch C'!F141</f>
        <v>27197</v>
      </c>
      <c r="E145" s="480">
        <f>+'[77]Sch C'!H141</f>
        <v>0</v>
      </c>
      <c r="F145" s="166">
        <f>C145+D145+E145</f>
        <v>27197</v>
      </c>
      <c r="G145" s="626">
        <v>51737</v>
      </c>
      <c r="H145" s="626"/>
      <c r="I145" s="166">
        <f t="shared" ref="I145:I148" si="44">F145+G145+H145</f>
        <v>78934</v>
      </c>
      <c r="J145" s="167">
        <f>IF($I$213=0,0,I145/$I$213)</f>
        <v>1.3861756836399168E-2</v>
      </c>
      <c r="L145" s="163"/>
      <c r="M145" s="163"/>
      <c r="O145" s="329">
        <f t="shared" si="41"/>
        <v>3.164448364336113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'[77]Sch C'!D142</f>
        <v>0</v>
      </c>
      <c r="D146" s="480">
        <f>'[77]Sch C'!F142</f>
        <v>19948</v>
      </c>
      <c r="E146" s="480">
        <f>+'[77]Sch C'!H142</f>
        <v>0</v>
      </c>
      <c r="F146" s="166">
        <f>C146+D146+E146</f>
        <v>19948</v>
      </c>
      <c r="G146" s="626">
        <v>37947</v>
      </c>
      <c r="H146" s="626"/>
      <c r="I146" s="166">
        <f t="shared" si="44"/>
        <v>57895</v>
      </c>
      <c r="J146" s="167">
        <f>IF($I$213=0,0,I146/$I$213)</f>
        <v>1.0167056174060985E-2</v>
      </c>
      <c r="L146" s="163"/>
      <c r="M146" s="163"/>
      <c r="O146" s="329">
        <f t="shared" si="41"/>
        <v>2.3209990378447722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'[77]Sch C'!D143</f>
        <v>0</v>
      </c>
      <c r="D147" s="480">
        <f>'[77]Sch C'!F143</f>
        <v>43677</v>
      </c>
      <c r="E147" s="480">
        <f>+'[77]Sch C'!H143</f>
        <v>0</v>
      </c>
      <c r="F147" s="166">
        <f>C147+D147+E147</f>
        <v>43677</v>
      </c>
      <c r="G147" s="626">
        <v>83087</v>
      </c>
      <c r="H147" s="626"/>
      <c r="I147" s="166">
        <f t="shared" si="44"/>
        <v>126764</v>
      </c>
      <c r="J147" s="167">
        <f>IF($I$213=0,0,I147/$I$213)</f>
        <v>2.2261278328848205E-2</v>
      </c>
      <c r="L147" s="163"/>
      <c r="M147" s="163"/>
      <c r="O147" s="329">
        <f t="shared" si="41"/>
        <v>5.0819435535599746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'[77]Sch C'!D144</f>
        <v>233035</v>
      </c>
      <c r="D148" s="480">
        <f>'[77]Sch C'!F144</f>
        <v>7370</v>
      </c>
      <c r="E148" s="480">
        <f>+'[77]Sch C'!H144</f>
        <v>0</v>
      </c>
      <c r="F148" s="166">
        <f>C148+D148+E148</f>
        <v>240405</v>
      </c>
      <c r="G148" s="626">
        <v>-219015</v>
      </c>
      <c r="H148" s="626"/>
      <c r="I148" s="166">
        <f t="shared" si="44"/>
        <v>21390</v>
      </c>
      <c r="J148" s="167">
        <f>IF($I$213=0,0,I148/$I$213)</f>
        <v>3.7563404709070642E-3</v>
      </c>
      <c r="L148" s="163"/>
      <c r="M148" s="163"/>
      <c r="O148" s="329">
        <f t="shared" si="41"/>
        <v>0.85752084669660034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68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'[77]Sch C'!D146</f>
        <v>36000</v>
      </c>
      <c r="D150" s="480">
        <f>'[77]Sch C'!F146</f>
        <v>0</v>
      </c>
      <c r="E150" s="480">
        <f>+'[77]Sch C'!H146</f>
        <v>0</v>
      </c>
      <c r="F150" s="166">
        <f t="shared" ref="F150:F158" si="45">C150+D150+E150</f>
        <v>36000</v>
      </c>
      <c r="G150" s="626"/>
      <c r="H150" s="626"/>
      <c r="I150" s="166">
        <f t="shared" ref="I150:I158" si="46">F150+G150+H150</f>
        <v>36000</v>
      </c>
      <c r="J150" s="167">
        <f t="shared" ref="J150:J158" si="47">IF($I$213=0,0,I150/$I$213)</f>
        <v>6.3220316480904299E-3</v>
      </c>
      <c r="L150" s="176">
        <v>252</v>
      </c>
      <c r="M150" s="176">
        <v>252</v>
      </c>
      <c r="O150" s="329">
        <f t="shared" si="41"/>
        <v>1.4432328415651059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'[77]Sch C'!D147</f>
        <v>0</v>
      </c>
      <c r="D151" s="480">
        <f>'[77]Sch C'!F147</f>
        <v>0</v>
      </c>
      <c r="E151" s="480">
        <f>+'[77]Sch C'!H147</f>
        <v>0</v>
      </c>
      <c r="F151" s="166">
        <f t="shared" si="45"/>
        <v>0</v>
      </c>
      <c r="G151" s="626"/>
      <c r="H151" s="626"/>
      <c r="I151" s="166">
        <f t="shared" si="46"/>
        <v>0</v>
      </c>
      <c r="J151" s="167">
        <f t="shared" si="47"/>
        <v>0</v>
      </c>
      <c r="L151" s="176">
        <v>0</v>
      </c>
      <c r="M151" s="176">
        <v>0</v>
      </c>
      <c r="O151" s="329">
        <f t="shared" si="41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'[77]Sch C'!D148</f>
        <v>0</v>
      </c>
      <c r="D152" s="480">
        <f>'[77]Sch C'!F148</f>
        <v>0</v>
      </c>
      <c r="E152" s="480">
        <f>+'[77]Sch C'!H148</f>
        <v>0</v>
      </c>
      <c r="F152" s="166">
        <f t="shared" si="45"/>
        <v>0</v>
      </c>
      <c r="G152" s="626"/>
      <c r="H152" s="626"/>
      <c r="I152" s="166">
        <f t="shared" si="46"/>
        <v>0</v>
      </c>
      <c r="J152" s="167">
        <f t="shared" si="47"/>
        <v>0</v>
      </c>
      <c r="L152" s="176">
        <v>0</v>
      </c>
      <c r="M152" s="176">
        <v>0</v>
      </c>
      <c r="O152" s="329">
        <f t="shared" si="41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'[77]Sch C'!D149</f>
        <v>0</v>
      </c>
      <c r="D153" s="480">
        <f>'[77]Sch C'!F149</f>
        <v>0</v>
      </c>
      <c r="E153" s="480">
        <f>+'[77]Sch C'!H149</f>
        <v>0</v>
      </c>
      <c r="F153" s="166">
        <f t="shared" si="45"/>
        <v>0</v>
      </c>
      <c r="G153" s="626"/>
      <c r="H153" s="626"/>
      <c r="I153" s="166">
        <f t="shared" si="46"/>
        <v>0</v>
      </c>
      <c r="J153" s="167">
        <f t="shared" si="47"/>
        <v>0</v>
      </c>
      <c r="L153" s="176">
        <v>0</v>
      </c>
      <c r="M153" s="176">
        <v>0</v>
      </c>
      <c r="O153" s="329">
        <f t="shared" si="41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'[77]Sch C'!D150</f>
        <v>9233</v>
      </c>
      <c r="D154" s="480">
        <f>'[77]Sch C'!F150</f>
        <v>0</v>
      </c>
      <c r="E154" s="480">
        <f>+'[77]Sch C'!H150</f>
        <v>0</v>
      </c>
      <c r="F154" s="166">
        <f t="shared" si="45"/>
        <v>9233</v>
      </c>
      <c r="G154" s="626"/>
      <c r="H154" s="626"/>
      <c r="I154" s="166">
        <f t="shared" si="46"/>
        <v>9233</v>
      </c>
      <c r="J154" s="167">
        <f t="shared" si="47"/>
        <v>1.6214255057449705E-3</v>
      </c>
      <c r="L154" s="176">
        <v>264</v>
      </c>
      <c r="M154" s="176">
        <v>264</v>
      </c>
      <c r="O154" s="329">
        <f t="shared" si="41"/>
        <v>0.37014913406029504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'[77]Sch C'!D151</f>
        <v>74130</v>
      </c>
      <c r="D155" s="480">
        <f>'[77]Sch C'!F151</f>
        <v>5760</v>
      </c>
      <c r="E155" s="480">
        <f>+'[77]Sch C'!H151</f>
        <v>0</v>
      </c>
      <c r="F155" s="166">
        <f t="shared" si="45"/>
        <v>79890</v>
      </c>
      <c r="G155" s="626"/>
      <c r="H155" s="626"/>
      <c r="I155" s="166">
        <f t="shared" si="46"/>
        <v>79890</v>
      </c>
      <c r="J155" s="167">
        <f t="shared" si="47"/>
        <v>1.4029641899054012E-2</v>
      </c>
      <c r="L155" s="163"/>
      <c r="M155" s="163"/>
      <c r="O155" s="329">
        <f t="shared" si="41"/>
        <v>3.2027742142398972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'[77]Sch C'!D152</f>
        <v>4910</v>
      </c>
      <c r="D156" s="480">
        <f>'[77]Sch C'!F152</f>
        <v>0</v>
      </c>
      <c r="E156" s="480">
        <f>+'[77]Sch C'!H152</f>
        <v>0</v>
      </c>
      <c r="F156" s="166">
        <f t="shared" si="45"/>
        <v>4910</v>
      </c>
      <c r="G156" s="626"/>
      <c r="H156" s="626"/>
      <c r="I156" s="166">
        <f t="shared" si="46"/>
        <v>4910</v>
      </c>
      <c r="J156" s="167">
        <f t="shared" si="47"/>
        <v>8.6225487200344484E-4</v>
      </c>
      <c r="L156" s="163"/>
      <c r="M156" s="163"/>
      <c r="O156" s="329">
        <f t="shared" si="41"/>
        <v>0.19684092366901859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'[77]Sch C'!D153</f>
        <v>231</v>
      </c>
      <c r="D157" s="480">
        <f>'[77]Sch C'!F153</f>
        <v>0</v>
      </c>
      <c r="E157" s="480">
        <f>+'[77]Sch C'!H153</f>
        <v>0</v>
      </c>
      <c r="F157" s="166">
        <f t="shared" si="45"/>
        <v>231</v>
      </c>
      <c r="G157" s="626"/>
      <c r="H157" s="626"/>
      <c r="I157" s="166">
        <f t="shared" si="46"/>
        <v>231</v>
      </c>
      <c r="J157" s="167">
        <f t="shared" si="47"/>
        <v>4.0566369741913597E-5</v>
      </c>
      <c r="L157" s="163"/>
      <c r="M157" s="163"/>
      <c r="O157" s="329">
        <f t="shared" si="41"/>
        <v>9.2607440667094292E-3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'[77]Sch C'!D154</f>
        <v>0</v>
      </c>
      <c r="D158" s="480">
        <f>'[77]Sch C'!F154</f>
        <v>0</v>
      </c>
      <c r="E158" s="480">
        <f>+'[77]Sch C'!H154</f>
        <v>0</v>
      </c>
      <c r="F158" s="166">
        <f t="shared" si="45"/>
        <v>0</v>
      </c>
      <c r="G158" s="626"/>
      <c r="H158" s="626"/>
      <c r="I158" s="166">
        <f t="shared" si="46"/>
        <v>0</v>
      </c>
      <c r="J158" s="167">
        <f t="shared" si="47"/>
        <v>0</v>
      </c>
      <c r="L158" s="163"/>
      <c r="M158" s="163"/>
      <c r="O158" s="329">
        <f t="shared" si="41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'[77]Sch C'!D156</f>
        <v>0</v>
      </c>
      <c r="D160" s="480">
        <f>'[77]Sch C'!F156</f>
        <v>0</v>
      </c>
      <c r="E160" s="480">
        <f>+'[77]Sch C'!H156</f>
        <v>0</v>
      </c>
      <c r="F160" s="166">
        <f t="shared" ref="F160:F165" si="48">C160+D160+E160</f>
        <v>0</v>
      </c>
      <c r="G160" s="626"/>
      <c r="H160" s="626"/>
      <c r="I160" s="166">
        <f t="shared" ref="I160:I165" si="49">F160+G160+H160</f>
        <v>0</v>
      </c>
      <c r="J160" s="167">
        <f t="shared" ref="J160:J166" si="50">IF($I$213=0,0,I160/$I$213)</f>
        <v>0</v>
      </c>
      <c r="L160" s="163"/>
      <c r="M160" s="163"/>
      <c r="O160" s="329">
        <f t="shared" si="41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'[77]Sch C'!D157</f>
        <v>0</v>
      </c>
      <c r="D161" s="480">
        <f>'[77]Sch C'!F157</f>
        <v>0</v>
      </c>
      <c r="E161" s="480">
        <f>+'[77]Sch C'!H157</f>
        <v>0</v>
      </c>
      <c r="F161" s="166">
        <f t="shared" si="48"/>
        <v>0</v>
      </c>
      <c r="G161" s="626"/>
      <c r="H161" s="626"/>
      <c r="I161" s="166">
        <f t="shared" si="49"/>
        <v>0</v>
      </c>
      <c r="J161" s="167">
        <f t="shared" si="50"/>
        <v>0</v>
      </c>
      <c r="L161" s="163"/>
      <c r="M161" s="163"/>
      <c r="O161" s="329">
        <f t="shared" si="41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'[77]Sch C'!D158</f>
        <v>0</v>
      </c>
      <c r="D162" s="480">
        <f>'[77]Sch C'!F158</f>
        <v>0</v>
      </c>
      <c r="E162" s="480">
        <f>+'[77]Sch C'!H158</f>
        <v>0</v>
      </c>
      <c r="F162" s="166">
        <f t="shared" si="48"/>
        <v>0</v>
      </c>
      <c r="G162" s="626"/>
      <c r="H162" s="626"/>
      <c r="I162" s="166">
        <f t="shared" si="49"/>
        <v>0</v>
      </c>
      <c r="J162" s="167">
        <f t="shared" si="50"/>
        <v>0</v>
      </c>
      <c r="L162" s="163"/>
      <c r="M162" s="163"/>
      <c r="O162" s="329">
        <f t="shared" si="41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'[77]Sch C'!D159</f>
        <v>0</v>
      </c>
      <c r="D163" s="480">
        <f>'[77]Sch C'!F159</f>
        <v>0</v>
      </c>
      <c r="E163" s="480">
        <f>+'[77]Sch C'!H159</f>
        <v>0</v>
      </c>
      <c r="F163" s="166">
        <f t="shared" si="48"/>
        <v>0</v>
      </c>
      <c r="G163" s="626"/>
      <c r="H163" s="626"/>
      <c r="I163" s="166">
        <f t="shared" si="49"/>
        <v>0</v>
      </c>
      <c r="J163" s="167">
        <f t="shared" si="50"/>
        <v>0</v>
      </c>
      <c r="L163" s="163"/>
      <c r="M163" s="163"/>
      <c r="O163" s="329">
        <f t="shared" si="41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'[77]Sch C'!D160</f>
        <v>0</v>
      </c>
      <c r="D164" s="480">
        <f>'[77]Sch C'!F160</f>
        <v>0</v>
      </c>
      <c r="E164" s="480">
        <f>+'[77]Sch C'!H160</f>
        <v>0</v>
      </c>
      <c r="F164" s="166">
        <f t="shared" si="48"/>
        <v>0</v>
      </c>
      <c r="G164" s="626"/>
      <c r="H164" s="626"/>
      <c r="I164" s="166">
        <f t="shared" si="49"/>
        <v>0</v>
      </c>
      <c r="J164" s="167">
        <f>IF($I$213=0,0,I164/$I$213)</f>
        <v>0</v>
      </c>
      <c r="L164" s="163"/>
      <c r="M164" s="163"/>
      <c r="O164" s="329">
        <f t="shared" si="41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'[77]Sch C'!D161</f>
        <v>7139</v>
      </c>
      <c r="D165" s="480">
        <f>'[77]Sch C'!F161</f>
        <v>0</v>
      </c>
      <c r="E165" s="480">
        <f>+'[77]Sch C'!H161</f>
        <v>0</v>
      </c>
      <c r="F165" s="166">
        <f t="shared" si="48"/>
        <v>7139</v>
      </c>
      <c r="G165" s="626">
        <v>-2274</v>
      </c>
      <c r="H165" s="626"/>
      <c r="I165" s="166">
        <f t="shared" si="49"/>
        <v>4865</v>
      </c>
      <c r="J165" s="167">
        <f t="shared" si="50"/>
        <v>8.5435233244333171E-4</v>
      </c>
      <c r="L165" s="163"/>
      <c r="M165" s="163"/>
      <c r="O165" s="329">
        <f t="shared" si="41"/>
        <v>0.19503688261706223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1">SUM(C128:C165)</f>
        <v>1957529</v>
      </c>
      <c r="D166" s="480">
        <f t="shared" si="51"/>
        <v>124432</v>
      </c>
      <c r="E166" s="480">
        <f t="shared" si="51"/>
        <v>56705</v>
      </c>
      <c r="F166" s="166">
        <f t="shared" ref="F166:I166" si="52">SUM(F128:F165)</f>
        <v>2138666</v>
      </c>
      <c r="G166" s="166">
        <f t="shared" si="52"/>
        <v>-2274</v>
      </c>
      <c r="H166" s="166">
        <f t="shared" si="52"/>
        <v>0</v>
      </c>
      <c r="I166" s="166">
        <f t="shared" si="52"/>
        <v>2136392</v>
      </c>
      <c r="J166" s="167">
        <f t="shared" si="50"/>
        <v>0.3751760510202003</v>
      </c>
      <c r="L166" s="163"/>
      <c r="M166" s="163"/>
      <c r="O166" s="329">
        <f>I166/I$233</f>
        <v>85.647530468248874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'[77]Sch C'!D175</f>
        <v>0</v>
      </c>
      <c r="D169" s="480">
        <f>'[77]Sch C'!F175</f>
        <v>0</v>
      </c>
      <c r="E169" s="480">
        <f>+'[77]Sch C'!H175</f>
        <v>0</v>
      </c>
      <c r="F169" s="166">
        <f t="shared" ref="F169:F201" si="53">C169+D169+E169</f>
        <v>0</v>
      </c>
      <c r="G169" s="626"/>
      <c r="H169" s="626"/>
      <c r="I169" s="166">
        <f t="shared" ref="I169:I201" si="54">F169+G169+H169</f>
        <v>0</v>
      </c>
      <c r="J169" s="167">
        <f t="shared" ref="J169:J201" si="55">IF($I$213=0,0,I169/$I$213)</f>
        <v>0</v>
      </c>
      <c r="K169" s="689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'[77]Sch C'!D176</f>
        <v>0</v>
      </c>
      <c r="D170" s="480">
        <f>'[77]Sch C'!F176</f>
        <v>0</v>
      </c>
      <c r="E170" s="480">
        <f>+'[77]Sch C'!H176</f>
        <v>0</v>
      </c>
      <c r="F170" s="166">
        <f t="shared" si="53"/>
        <v>0</v>
      </c>
      <c r="G170" s="626"/>
      <c r="H170" s="626"/>
      <c r="I170" s="166">
        <f t="shared" si="54"/>
        <v>0</v>
      </c>
      <c r="J170" s="167">
        <f t="shared" si="55"/>
        <v>0</v>
      </c>
      <c r="K170" s="690"/>
      <c r="L170" s="212"/>
      <c r="M170" s="212"/>
      <c r="N170" s="208"/>
      <c r="O170" s="329">
        <f t="shared" ref="O170:O201" si="56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'[77]Sch C'!D177</f>
        <v>242905</v>
      </c>
      <c r="D171" s="480">
        <f>'[77]Sch C'!F177</f>
        <v>0</v>
      </c>
      <c r="E171" s="480">
        <f>+'[77]Sch C'!H177</f>
        <v>0</v>
      </c>
      <c r="F171" s="166">
        <f t="shared" si="53"/>
        <v>242905</v>
      </c>
      <c r="G171" s="626"/>
      <c r="H171" s="626"/>
      <c r="I171" s="166">
        <f t="shared" si="54"/>
        <v>242905</v>
      </c>
      <c r="J171" s="167">
        <f t="shared" si="55"/>
        <v>4.2657030485539052E-2</v>
      </c>
      <c r="K171" s="689"/>
      <c r="L171" s="176">
        <v>8365</v>
      </c>
      <c r="M171" s="176">
        <v>8708</v>
      </c>
      <c r="N171" s="208"/>
      <c r="O171" s="329">
        <f t="shared" si="56"/>
        <v>9.7380131494547779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'[77]Sch C'!D178</f>
        <v>29332</v>
      </c>
      <c r="D172" s="480">
        <f>'[77]Sch C'!F178</f>
        <v>18097</v>
      </c>
      <c r="E172" s="480">
        <f>+'[77]Sch C'!H178</f>
        <v>0</v>
      </c>
      <c r="F172" s="166">
        <f t="shared" si="53"/>
        <v>47429</v>
      </c>
      <c r="G172" s="626"/>
      <c r="H172" s="626"/>
      <c r="I172" s="166">
        <f t="shared" si="54"/>
        <v>47429</v>
      </c>
      <c r="J172" s="167">
        <f t="shared" si="55"/>
        <v>8.3291010843689166E-3</v>
      </c>
      <c r="K172" s="690"/>
      <c r="L172" s="212"/>
      <c r="M172" s="212"/>
      <c r="N172" s="208"/>
      <c r="O172" s="329">
        <f t="shared" si="56"/>
        <v>1.9014191789608723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'[77]Sch C'!D179</f>
        <v>8866</v>
      </c>
      <c r="D173" s="480">
        <f>'[77]Sch C'!F179</f>
        <v>0</v>
      </c>
      <c r="E173" s="480">
        <f>+'[77]Sch C'!H179</f>
        <v>0</v>
      </c>
      <c r="F173" s="166">
        <f t="shared" si="53"/>
        <v>8866</v>
      </c>
      <c r="G173" s="626"/>
      <c r="H173" s="626"/>
      <c r="I173" s="166">
        <f t="shared" si="54"/>
        <v>8866</v>
      </c>
      <c r="J173" s="167">
        <f t="shared" si="55"/>
        <v>1.5569759053324932E-3</v>
      </c>
      <c r="K173" s="689"/>
      <c r="L173" s="176">
        <v>214</v>
      </c>
      <c r="M173" s="176">
        <v>221</v>
      </c>
      <c r="N173" s="208"/>
      <c r="O173" s="329">
        <f t="shared" si="56"/>
        <v>0.35543617703656188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'[77]Sch C'!D180</f>
        <v>1002</v>
      </c>
      <c r="D174" s="480">
        <f>'[77]Sch C'!F180</f>
        <v>661</v>
      </c>
      <c r="E174" s="480">
        <f>+'[77]Sch C'!H180</f>
        <v>0</v>
      </c>
      <c r="F174" s="166">
        <f t="shared" si="53"/>
        <v>1663</v>
      </c>
      <c r="G174" s="626"/>
      <c r="H174" s="626"/>
      <c r="I174" s="166">
        <f t="shared" si="54"/>
        <v>1663</v>
      </c>
      <c r="J174" s="167">
        <f t="shared" si="55"/>
        <v>2.9204273974373291E-4</v>
      </c>
      <c r="K174" s="690"/>
      <c r="L174" s="212"/>
      <c r="M174" s="212"/>
      <c r="N174" s="208"/>
      <c r="O174" s="329">
        <f t="shared" si="56"/>
        <v>6.6669339320076973E-2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'[77]Sch C'!D181</f>
        <v>0</v>
      </c>
      <c r="D175" s="480">
        <f>'[77]Sch C'!F181</f>
        <v>0</v>
      </c>
      <c r="E175" s="480">
        <f>+'[77]Sch C'!H181</f>
        <v>0</v>
      </c>
      <c r="F175" s="166">
        <f t="shared" si="53"/>
        <v>0</v>
      </c>
      <c r="G175" s="626"/>
      <c r="H175" s="626"/>
      <c r="I175" s="166">
        <f t="shared" si="54"/>
        <v>0</v>
      </c>
      <c r="J175" s="167">
        <f t="shared" si="55"/>
        <v>0</v>
      </c>
      <c r="K175" s="689"/>
      <c r="L175" s="176">
        <v>0</v>
      </c>
      <c r="M175" s="176">
        <v>0</v>
      </c>
      <c r="N175" s="208"/>
      <c r="O175" s="329">
        <f t="shared" si="56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'[77]Sch C'!D182</f>
        <v>0</v>
      </c>
      <c r="D176" s="480">
        <f>'[77]Sch C'!F182</f>
        <v>0</v>
      </c>
      <c r="E176" s="480">
        <f>+'[77]Sch C'!H182</f>
        <v>0</v>
      </c>
      <c r="F176" s="166">
        <f t="shared" si="53"/>
        <v>0</v>
      </c>
      <c r="G176" s="626"/>
      <c r="H176" s="626"/>
      <c r="I176" s="166">
        <f t="shared" si="54"/>
        <v>0</v>
      </c>
      <c r="J176" s="167">
        <f t="shared" si="55"/>
        <v>0</v>
      </c>
      <c r="K176" s="690"/>
      <c r="L176" s="212"/>
      <c r="M176" s="212"/>
      <c r="N176" s="208"/>
      <c r="O176" s="329">
        <f t="shared" si="56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'[77]Sch C'!D183</f>
        <v>176871</v>
      </c>
      <c r="D177" s="480">
        <f>'[77]Sch C'!F183</f>
        <v>0</v>
      </c>
      <c r="E177" s="480">
        <f>+'[77]Sch C'!H183</f>
        <v>0</v>
      </c>
      <c r="F177" s="166">
        <f t="shared" si="53"/>
        <v>176871</v>
      </c>
      <c r="G177" s="626"/>
      <c r="H177" s="626"/>
      <c r="I177" s="166">
        <f t="shared" si="54"/>
        <v>176871</v>
      </c>
      <c r="J177" s="167">
        <f t="shared" si="55"/>
        <v>3.106066832303896E-2</v>
      </c>
      <c r="K177" s="689"/>
      <c r="L177" s="176">
        <v>4961</v>
      </c>
      <c r="M177" s="176">
        <v>5235</v>
      </c>
      <c r="N177" s="208"/>
      <c r="O177" s="329">
        <f t="shared" si="56"/>
        <v>7.090723220012829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'[77]Sch C'!D184</f>
        <v>26316</v>
      </c>
      <c r="D178" s="480">
        <f>'[77]Sch C'!F184</f>
        <v>13177</v>
      </c>
      <c r="E178" s="480">
        <f>+'[77]Sch C'!H184</f>
        <v>0</v>
      </c>
      <c r="F178" s="166">
        <f t="shared" si="53"/>
        <v>39493</v>
      </c>
      <c r="G178" s="626"/>
      <c r="H178" s="626"/>
      <c r="I178" s="166">
        <f t="shared" si="54"/>
        <v>39493</v>
      </c>
      <c r="J178" s="167">
        <f t="shared" si="55"/>
        <v>6.9354443299454267E-3</v>
      </c>
      <c r="K178" s="690"/>
      <c r="L178" s="212"/>
      <c r="M178" s="212"/>
      <c r="N178" s="208"/>
      <c r="O178" s="329">
        <f t="shared" si="56"/>
        <v>1.5832665169980757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'[77]Sch C'!D185</f>
        <v>0</v>
      </c>
      <c r="D179" s="480">
        <f>'[77]Sch C'!F185</f>
        <v>0</v>
      </c>
      <c r="E179" s="480">
        <f>+'[77]Sch C'!H185</f>
        <v>0</v>
      </c>
      <c r="F179" s="166">
        <f t="shared" si="53"/>
        <v>0</v>
      </c>
      <c r="G179" s="626"/>
      <c r="H179" s="626"/>
      <c r="I179" s="166">
        <f t="shared" si="54"/>
        <v>0</v>
      </c>
      <c r="J179" s="167">
        <f t="shared" si="55"/>
        <v>0</v>
      </c>
      <c r="K179" s="689"/>
      <c r="L179" s="176">
        <v>0</v>
      </c>
      <c r="M179" s="176">
        <v>0</v>
      </c>
      <c r="N179" s="208"/>
      <c r="O179" s="329">
        <f t="shared" si="56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'[77]Sch C'!D186</f>
        <v>0</v>
      </c>
      <c r="D180" s="480">
        <f>'[77]Sch C'!F186</f>
        <v>0</v>
      </c>
      <c r="E180" s="480">
        <f>+'[77]Sch C'!H186</f>
        <v>0</v>
      </c>
      <c r="F180" s="166">
        <f t="shared" si="53"/>
        <v>0</v>
      </c>
      <c r="G180" s="626"/>
      <c r="H180" s="626"/>
      <c r="I180" s="166">
        <f t="shared" si="54"/>
        <v>0</v>
      </c>
      <c r="J180" s="167">
        <f t="shared" si="55"/>
        <v>0</v>
      </c>
      <c r="K180" s="213"/>
      <c r="L180" s="213"/>
      <c r="M180" s="208"/>
      <c r="N180" s="210"/>
      <c r="O180" s="329">
        <f t="shared" si="56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'[77]Sch C'!D187</f>
        <v>0</v>
      </c>
      <c r="D181" s="480">
        <f>'[77]Sch C'!F187</f>
        <v>0</v>
      </c>
      <c r="E181" s="480">
        <f>+'[77]Sch C'!H187</f>
        <v>0</v>
      </c>
      <c r="F181" s="166">
        <f t="shared" si="53"/>
        <v>0</v>
      </c>
      <c r="G181" s="626"/>
      <c r="H181" s="626"/>
      <c r="I181" s="166">
        <f t="shared" si="54"/>
        <v>0</v>
      </c>
      <c r="J181" s="167">
        <f t="shared" si="55"/>
        <v>0</v>
      </c>
      <c r="K181" s="213"/>
      <c r="L181" s="213"/>
      <c r="M181" s="208"/>
      <c r="N181" s="210"/>
      <c r="O181" s="329">
        <f t="shared" si="56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'[77]Sch C'!D188</f>
        <v>1302</v>
      </c>
      <c r="D182" s="480">
        <f>'[77]Sch C'!F188</f>
        <v>0</v>
      </c>
      <c r="E182" s="480">
        <f>+'[77]Sch C'!H188</f>
        <v>0</v>
      </c>
      <c r="F182" s="166">
        <f t="shared" si="53"/>
        <v>1302</v>
      </c>
      <c r="G182" s="626"/>
      <c r="H182" s="626"/>
      <c r="I182" s="166">
        <f t="shared" si="54"/>
        <v>1302</v>
      </c>
      <c r="J182" s="167">
        <f t="shared" si="55"/>
        <v>2.2864681127260388E-4</v>
      </c>
      <c r="K182" s="213"/>
      <c r="L182" s="213"/>
      <c r="M182" s="208"/>
      <c r="N182" s="210"/>
      <c r="O182" s="329">
        <f t="shared" si="56"/>
        <v>5.2196921103271329E-2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'[77]Sch C'!D189</f>
        <v>0</v>
      </c>
      <c r="D183" s="480">
        <f>'[77]Sch C'!F189</f>
        <v>0</v>
      </c>
      <c r="E183" s="480">
        <f>+'[77]Sch C'!H189</f>
        <v>0</v>
      </c>
      <c r="F183" s="166">
        <f t="shared" si="53"/>
        <v>0</v>
      </c>
      <c r="G183" s="626"/>
      <c r="H183" s="626"/>
      <c r="I183" s="166">
        <f t="shared" si="54"/>
        <v>0</v>
      </c>
      <c r="J183" s="167">
        <f t="shared" si="55"/>
        <v>0</v>
      </c>
      <c r="K183" s="213"/>
      <c r="L183" s="213"/>
      <c r="M183" s="208"/>
      <c r="N183" s="210"/>
      <c r="O183" s="329">
        <f t="shared" si="56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'[77]Sch C'!D190</f>
        <v>0</v>
      </c>
      <c r="D184" s="480">
        <f>'[77]Sch C'!F190</f>
        <v>0</v>
      </c>
      <c r="E184" s="480">
        <f>+'[77]Sch C'!H190</f>
        <v>0</v>
      </c>
      <c r="F184" s="166">
        <f t="shared" si="53"/>
        <v>0</v>
      </c>
      <c r="G184" s="626"/>
      <c r="H184" s="626"/>
      <c r="I184" s="166">
        <f t="shared" si="54"/>
        <v>0</v>
      </c>
      <c r="J184" s="167">
        <f t="shared" si="55"/>
        <v>0</v>
      </c>
      <c r="K184" s="213"/>
      <c r="L184" s="213"/>
      <c r="M184" s="208"/>
      <c r="N184" s="210"/>
      <c r="O184" s="329">
        <f t="shared" si="56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'[77]Sch C'!D191</f>
        <v>123</v>
      </c>
      <c r="D185" s="480">
        <f>'[77]Sch C'!F191</f>
        <v>0</v>
      </c>
      <c r="E185" s="480">
        <f>+'[77]Sch C'!H191</f>
        <v>0</v>
      </c>
      <c r="F185" s="166">
        <f t="shared" si="53"/>
        <v>123</v>
      </c>
      <c r="G185" s="626"/>
      <c r="H185" s="626"/>
      <c r="I185" s="166">
        <f t="shared" si="54"/>
        <v>123</v>
      </c>
      <c r="J185" s="167">
        <f t="shared" si="55"/>
        <v>2.1600274797642303E-5</v>
      </c>
      <c r="K185" s="213"/>
      <c r="L185" s="213"/>
      <c r="M185" s="208"/>
      <c r="N185" s="210"/>
      <c r="O185" s="329">
        <f t="shared" si="56"/>
        <v>4.9310455420141118E-3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'[77]Sch C'!D192</f>
        <v>0</v>
      </c>
      <c r="D186" s="480">
        <f>'[77]Sch C'!F192</f>
        <v>0</v>
      </c>
      <c r="E186" s="480">
        <f>+'[77]Sch C'!H192</f>
        <v>0</v>
      </c>
      <c r="F186" s="166">
        <f t="shared" si="53"/>
        <v>0</v>
      </c>
      <c r="G186" s="626"/>
      <c r="H186" s="626"/>
      <c r="I186" s="166">
        <f t="shared" si="54"/>
        <v>0</v>
      </c>
      <c r="J186" s="167">
        <f t="shared" si="55"/>
        <v>0</v>
      </c>
      <c r="K186" s="213"/>
      <c r="L186" s="213"/>
      <c r="M186" s="208"/>
      <c r="N186" s="210"/>
      <c r="O186" s="329">
        <f t="shared" si="56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'[77]Sch C'!D193</f>
        <v>0</v>
      </c>
      <c r="D187" s="480">
        <f>'[77]Sch C'!F193</f>
        <v>0</v>
      </c>
      <c r="E187" s="480">
        <f>+'[77]Sch C'!H193</f>
        <v>0</v>
      </c>
      <c r="F187" s="166">
        <f t="shared" si="53"/>
        <v>0</v>
      </c>
      <c r="G187" s="626"/>
      <c r="H187" s="626"/>
      <c r="I187" s="166">
        <f t="shared" si="54"/>
        <v>0</v>
      </c>
      <c r="J187" s="167">
        <f t="shared" si="55"/>
        <v>0</v>
      </c>
      <c r="K187" s="213"/>
      <c r="L187" s="213"/>
      <c r="M187" s="208"/>
      <c r="N187" s="210"/>
      <c r="O187" s="329">
        <f t="shared" si="56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'[77]Sch C'!D194</f>
        <v>0</v>
      </c>
      <c r="D188" s="480">
        <f>'[77]Sch C'!F194</f>
        <v>0</v>
      </c>
      <c r="E188" s="480">
        <f>+'[77]Sch C'!H194</f>
        <v>0</v>
      </c>
      <c r="F188" s="166">
        <f t="shared" si="53"/>
        <v>0</v>
      </c>
      <c r="G188" s="626"/>
      <c r="H188" s="626"/>
      <c r="I188" s="166">
        <f t="shared" si="54"/>
        <v>0</v>
      </c>
      <c r="J188" s="167">
        <f t="shared" si="55"/>
        <v>0</v>
      </c>
      <c r="K188" s="213"/>
      <c r="L188" s="213"/>
      <c r="M188" s="208"/>
      <c r="O188" s="329">
        <f t="shared" si="56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'[77]Sch C'!D195</f>
        <v>11677</v>
      </c>
      <c r="D189" s="480">
        <f>'[77]Sch C'!F195</f>
        <v>0</v>
      </c>
      <c r="E189" s="480">
        <f>+'[77]Sch C'!H195</f>
        <v>0</v>
      </c>
      <c r="F189" s="166">
        <f t="shared" si="53"/>
        <v>11677</v>
      </c>
      <c r="G189" s="626"/>
      <c r="H189" s="626"/>
      <c r="I189" s="166">
        <f t="shared" si="54"/>
        <v>11677</v>
      </c>
      <c r="J189" s="167">
        <f t="shared" si="55"/>
        <v>2.0506212098542211E-3</v>
      </c>
      <c r="K189" s="213"/>
      <c r="L189" s="213"/>
      <c r="M189" s="208"/>
      <c r="O189" s="329">
        <f t="shared" si="56"/>
        <v>0.46812860808210394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'[77]Sch C'!D196</f>
        <v>0</v>
      </c>
      <c r="D190" s="480">
        <f>'[77]Sch C'!F196</f>
        <v>0</v>
      </c>
      <c r="E190" s="480">
        <f>+'[77]Sch C'!H196</f>
        <v>0</v>
      </c>
      <c r="F190" s="166">
        <f t="shared" si="53"/>
        <v>0</v>
      </c>
      <c r="G190" s="626"/>
      <c r="H190" s="626"/>
      <c r="I190" s="166">
        <f t="shared" si="54"/>
        <v>0</v>
      </c>
      <c r="J190" s="167">
        <f t="shared" si="55"/>
        <v>0</v>
      </c>
      <c r="K190" s="213"/>
      <c r="L190" s="213"/>
      <c r="M190" s="208"/>
      <c r="O190" s="329">
        <f t="shared" si="56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'[77]Sch C'!D197</f>
        <v>6985</v>
      </c>
      <c r="D191" s="480">
        <f>'[77]Sch C'!F197</f>
        <v>0</v>
      </c>
      <c r="E191" s="480">
        <f>+'[77]Sch C'!H197</f>
        <v>0</v>
      </c>
      <c r="F191" s="166">
        <f t="shared" si="53"/>
        <v>6985</v>
      </c>
      <c r="G191" s="626"/>
      <c r="H191" s="626"/>
      <c r="I191" s="166">
        <f t="shared" si="54"/>
        <v>6985</v>
      </c>
      <c r="J191" s="167">
        <f t="shared" si="55"/>
        <v>1.2266497517197683E-3</v>
      </c>
      <c r="K191" s="213"/>
      <c r="L191" s="213"/>
      <c r="M191" s="208"/>
      <c r="O191" s="329">
        <f t="shared" si="56"/>
        <v>0.28002726106478509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'[77]Sch C'!D198</f>
        <v>2365</v>
      </c>
      <c r="D192" s="480">
        <f>'[77]Sch C'!F198</f>
        <v>0</v>
      </c>
      <c r="E192" s="480">
        <f>+'[77]Sch C'!H198</f>
        <v>-170</v>
      </c>
      <c r="F192" s="166">
        <f t="shared" si="53"/>
        <v>2195</v>
      </c>
      <c r="G192" s="626"/>
      <c r="H192" s="626"/>
      <c r="I192" s="166">
        <f t="shared" si="54"/>
        <v>2195</v>
      </c>
      <c r="J192" s="167">
        <f t="shared" si="55"/>
        <v>3.8546831854329149E-4</v>
      </c>
      <c r="K192" s="213"/>
      <c r="L192" s="213"/>
      <c r="M192" s="208"/>
      <c r="O192" s="329">
        <f t="shared" si="56"/>
        <v>8.799711353431687E-2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'[77]Sch C'!D199</f>
        <v>0</v>
      </c>
      <c r="D193" s="480">
        <f>'[77]Sch C'!F199</f>
        <v>0</v>
      </c>
      <c r="E193" s="480">
        <f>+'[77]Sch C'!H199</f>
        <v>0</v>
      </c>
      <c r="F193" s="166">
        <f t="shared" si="53"/>
        <v>0</v>
      </c>
      <c r="G193" s="626"/>
      <c r="H193" s="626"/>
      <c r="I193" s="166">
        <f t="shared" si="54"/>
        <v>0</v>
      </c>
      <c r="J193" s="167">
        <f t="shared" si="55"/>
        <v>0</v>
      </c>
      <c r="K193" s="213"/>
      <c r="L193" s="213"/>
      <c r="M193" s="208"/>
      <c r="O193" s="329">
        <f t="shared" si="56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'[77]Sch C'!D200</f>
        <v>0</v>
      </c>
      <c r="D194" s="480">
        <f>'[77]Sch C'!F200</f>
        <v>0</v>
      </c>
      <c r="E194" s="480">
        <f>+'[77]Sch C'!H200</f>
        <v>0</v>
      </c>
      <c r="F194" s="166">
        <f t="shared" si="53"/>
        <v>0</v>
      </c>
      <c r="G194" s="626"/>
      <c r="H194" s="626"/>
      <c r="I194" s="166">
        <f t="shared" si="54"/>
        <v>0</v>
      </c>
      <c r="J194" s="167">
        <f t="shared" si="55"/>
        <v>0</v>
      </c>
      <c r="K194" s="213"/>
      <c r="L194" s="213"/>
      <c r="M194" s="208"/>
      <c r="O194" s="329">
        <f t="shared" si="56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'[77]Sch C'!D201</f>
        <v>0</v>
      </c>
      <c r="D195" s="480">
        <f>'[77]Sch C'!F201</f>
        <v>0</v>
      </c>
      <c r="E195" s="480">
        <f>+'[77]Sch C'!H201</f>
        <v>0</v>
      </c>
      <c r="F195" s="166">
        <f t="shared" si="53"/>
        <v>0</v>
      </c>
      <c r="G195" s="626"/>
      <c r="H195" s="626"/>
      <c r="I195" s="166">
        <f t="shared" si="54"/>
        <v>0</v>
      </c>
      <c r="J195" s="167">
        <f t="shared" si="55"/>
        <v>0</v>
      </c>
      <c r="K195" s="213"/>
      <c r="L195" s="213"/>
      <c r="M195" s="208"/>
      <c r="O195" s="329">
        <f t="shared" si="56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'[77]Sch C'!D202</f>
        <v>0</v>
      </c>
      <c r="D196" s="480">
        <f>'[77]Sch C'!F202</f>
        <v>0</v>
      </c>
      <c r="E196" s="480">
        <f>+'[77]Sch C'!H202</f>
        <v>0</v>
      </c>
      <c r="F196" s="166">
        <f t="shared" si="53"/>
        <v>0</v>
      </c>
      <c r="G196" s="626"/>
      <c r="H196" s="626"/>
      <c r="I196" s="166">
        <f t="shared" si="54"/>
        <v>0</v>
      </c>
      <c r="J196" s="167">
        <f t="shared" si="55"/>
        <v>0</v>
      </c>
      <c r="K196" s="213"/>
      <c r="L196" s="213"/>
      <c r="M196" s="208"/>
      <c r="O196" s="329">
        <f t="shared" si="56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'[77]Sch C'!D203</f>
        <v>0</v>
      </c>
      <c r="D197" s="480">
        <f>'[77]Sch C'!F203</f>
        <v>0</v>
      </c>
      <c r="E197" s="480">
        <f>+'[77]Sch C'!H203</f>
        <v>0</v>
      </c>
      <c r="F197" s="166">
        <f t="shared" si="53"/>
        <v>0</v>
      </c>
      <c r="G197" s="626"/>
      <c r="H197" s="626"/>
      <c r="I197" s="166">
        <f t="shared" si="54"/>
        <v>0</v>
      </c>
      <c r="J197" s="167">
        <f t="shared" si="55"/>
        <v>0</v>
      </c>
      <c r="K197" s="213"/>
      <c r="L197" s="213"/>
      <c r="M197" s="208"/>
      <c r="O197" s="329">
        <f t="shared" si="56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'[77]Sch C'!D204</f>
        <v>0</v>
      </c>
      <c r="D198" s="480">
        <f>'[77]Sch C'!F204</f>
        <v>0</v>
      </c>
      <c r="E198" s="480">
        <f>+'[77]Sch C'!H204</f>
        <v>0</v>
      </c>
      <c r="F198" s="166">
        <f t="shared" si="53"/>
        <v>0</v>
      </c>
      <c r="G198" s="626"/>
      <c r="H198" s="626"/>
      <c r="I198" s="166">
        <f t="shared" si="54"/>
        <v>0</v>
      </c>
      <c r="J198" s="167">
        <f t="shared" si="55"/>
        <v>0</v>
      </c>
      <c r="K198" s="213"/>
      <c r="L198" s="213"/>
      <c r="M198" s="208"/>
      <c r="O198" s="329">
        <f t="shared" si="56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'[77]Sch C'!D205</f>
        <v>160579</v>
      </c>
      <c r="D199" s="480">
        <f>'[77]Sch C'!F205</f>
        <v>0</v>
      </c>
      <c r="E199" s="480">
        <f>+'[77]Sch C'!H205</f>
        <v>0</v>
      </c>
      <c r="F199" s="166">
        <f t="shared" si="53"/>
        <v>160579</v>
      </c>
      <c r="G199" s="626"/>
      <c r="H199" s="626"/>
      <c r="I199" s="166">
        <f t="shared" si="54"/>
        <v>160579</v>
      </c>
      <c r="J199" s="167">
        <f t="shared" si="55"/>
        <v>2.8199597778297589E-2</v>
      </c>
      <c r="K199" s="213"/>
      <c r="L199" s="213"/>
      <c r="M199" s="208"/>
      <c r="O199" s="329">
        <f t="shared" si="56"/>
        <v>6.4375801796023095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'[77]Sch C'!D206</f>
        <v>4305</v>
      </c>
      <c r="D200" s="480">
        <f>'[77]Sch C'!F206</f>
        <v>0</v>
      </c>
      <c r="E200" s="480">
        <f>+'[77]Sch C'!H206</f>
        <v>0</v>
      </c>
      <c r="F200" s="166">
        <f t="shared" si="53"/>
        <v>4305</v>
      </c>
      <c r="G200" s="626"/>
      <c r="H200" s="626"/>
      <c r="I200" s="166">
        <f t="shared" si="54"/>
        <v>4305</v>
      </c>
      <c r="J200" s="167">
        <f t="shared" si="55"/>
        <v>7.5600961791748062E-4</v>
      </c>
      <c r="K200" s="213"/>
      <c r="L200" s="213"/>
      <c r="M200" s="208"/>
      <c r="O200" s="329">
        <f t="shared" si="56"/>
        <v>0.17258659397049392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'[77]Sch C'!D207</f>
        <v>2981</v>
      </c>
      <c r="D201" s="687">
        <f>'[77]Sch C'!F207+824</f>
        <v>0</v>
      </c>
      <c r="E201" s="480">
        <f>+'[77]Sch C'!H207</f>
        <v>0</v>
      </c>
      <c r="F201" s="166">
        <f t="shared" si="53"/>
        <v>2981</v>
      </c>
      <c r="G201" s="626"/>
      <c r="H201" s="626">
        <v>-824</v>
      </c>
      <c r="I201" s="166">
        <f t="shared" si="54"/>
        <v>2157</v>
      </c>
      <c r="J201" s="167">
        <f t="shared" si="55"/>
        <v>3.7879506291475161E-4</v>
      </c>
      <c r="K201" s="681" t="s">
        <v>733</v>
      </c>
      <c r="L201" s="213"/>
      <c r="M201" s="208"/>
      <c r="O201" s="329">
        <f t="shared" si="56"/>
        <v>8.6473701090442598E-2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57">SUM(C169:C201)</f>
        <v>675609</v>
      </c>
      <c r="D202" s="480">
        <f t="shared" si="57"/>
        <v>31935</v>
      </c>
      <c r="E202" s="480">
        <f t="shared" si="57"/>
        <v>-170</v>
      </c>
      <c r="F202" s="166">
        <f t="shared" ref="F202:I202" si="58">SUM(F169:F201)</f>
        <v>707374</v>
      </c>
      <c r="G202" s="166">
        <f t="shared" si="58"/>
        <v>0</v>
      </c>
      <c r="H202" s="166">
        <f t="shared" si="58"/>
        <v>-824</v>
      </c>
      <c r="I202" s="166">
        <f t="shared" si="58"/>
        <v>706550</v>
      </c>
      <c r="J202" s="167">
        <f>IF($I$213=0,0,I202/$I$213)</f>
        <v>0.12407865169328593</v>
      </c>
      <c r="L202" s="163"/>
      <c r="M202" s="163"/>
      <c r="O202" s="329">
        <f>I202/I$233</f>
        <v>28.325449005772931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'[77]Sch C'!D211</f>
        <v>120267</v>
      </c>
      <c r="D205" s="480">
        <f>'[77]Sch C'!F211</f>
        <v>0</v>
      </c>
      <c r="E205" s="480">
        <f>+'[77]Sch C'!H211</f>
        <v>0</v>
      </c>
      <c r="F205" s="166">
        <f t="shared" ref="F205:F210" si="59">C205+D205+E205</f>
        <v>120267</v>
      </c>
      <c r="G205" s="626"/>
      <c r="H205" s="626"/>
      <c r="I205" s="166">
        <f t="shared" ref="I205:I210" si="60">F205+G205+H205</f>
        <v>120267</v>
      </c>
      <c r="J205" s="167">
        <f t="shared" ref="J205:J211" si="61">IF($I$213=0,0,I205/$I$213)</f>
        <v>2.1120327228358104E-2</v>
      </c>
      <c r="L205" s="176">
        <v>7331</v>
      </c>
      <c r="M205" s="176">
        <v>7605</v>
      </c>
      <c r="O205" s="329">
        <f t="shared" ref="O205:O210" si="62">I205/I$233</f>
        <v>4.8214801154586278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'[77]Sch C'!D212</f>
        <v>16471</v>
      </c>
      <c r="D206" s="480">
        <f>'[77]Sch C'!F212</f>
        <v>8960</v>
      </c>
      <c r="E206" s="480">
        <f>+'[77]Sch C'!H212</f>
        <v>0</v>
      </c>
      <c r="F206" s="166">
        <f t="shared" si="59"/>
        <v>25431</v>
      </c>
      <c r="G206" s="626"/>
      <c r="H206" s="626"/>
      <c r="I206" s="166">
        <f t="shared" si="60"/>
        <v>25431</v>
      </c>
      <c r="J206" s="167">
        <f t="shared" si="61"/>
        <v>4.4659885234052147E-3</v>
      </c>
      <c r="L206" s="163"/>
      <c r="M206" s="163"/>
      <c r="O206" s="329">
        <f t="shared" si="62"/>
        <v>1.0195237331622835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'[77]Sch C'!D213</f>
        <v>6395</v>
      </c>
      <c r="D207" s="480">
        <f>'[77]Sch C'!F213</f>
        <v>0</v>
      </c>
      <c r="E207" s="480">
        <f>+'[77]Sch C'!H213</f>
        <v>0</v>
      </c>
      <c r="F207" s="166">
        <f t="shared" si="59"/>
        <v>6395</v>
      </c>
      <c r="G207" s="626"/>
      <c r="H207" s="626"/>
      <c r="I207" s="166">
        <f t="shared" si="60"/>
        <v>6395</v>
      </c>
      <c r="J207" s="167">
        <f t="shared" si="61"/>
        <v>1.1230386774871751E-3</v>
      </c>
      <c r="L207" s="163"/>
      <c r="M207" s="163"/>
      <c r="O207" s="329">
        <f t="shared" si="62"/>
        <v>0.25637427838357923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'[77]Sch C'!D214</f>
        <v>0</v>
      </c>
      <c r="D208" s="480">
        <f>'[77]Sch C'!F214</f>
        <v>0</v>
      </c>
      <c r="E208" s="480">
        <f>+'[77]Sch C'!H214</f>
        <v>0</v>
      </c>
      <c r="F208" s="166">
        <f t="shared" si="59"/>
        <v>0</v>
      </c>
      <c r="G208" s="626"/>
      <c r="H208" s="626"/>
      <c r="I208" s="166">
        <f t="shared" si="60"/>
        <v>0</v>
      </c>
      <c r="J208" s="167">
        <f t="shared" si="61"/>
        <v>0</v>
      </c>
      <c r="L208" s="163"/>
      <c r="M208" s="163"/>
      <c r="O208" s="329">
        <f t="shared" si="62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'[77]Sch C'!D215</f>
        <v>0</v>
      </c>
      <c r="D209" s="480">
        <f>'[77]Sch C'!F215</f>
        <v>0</v>
      </c>
      <c r="E209" s="480">
        <f>+'[77]Sch C'!H215</f>
        <v>0</v>
      </c>
      <c r="F209" s="166">
        <f t="shared" si="59"/>
        <v>0</v>
      </c>
      <c r="G209" s="626"/>
      <c r="H209" s="626"/>
      <c r="I209" s="166">
        <f t="shared" si="60"/>
        <v>0</v>
      </c>
      <c r="J209" s="167">
        <f t="shared" si="61"/>
        <v>0</v>
      </c>
      <c r="L209" s="163"/>
      <c r="M209" s="163"/>
      <c r="O209" s="329">
        <f t="shared" si="62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'[77]Sch C'!D216</f>
        <v>8308</v>
      </c>
      <c r="D210" s="480">
        <f>'[77]Sch C'!F216</f>
        <v>0</v>
      </c>
      <c r="E210" s="480">
        <f>+'[77]Sch C'!H216</f>
        <v>0</v>
      </c>
      <c r="F210" s="166">
        <f t="shared" si="59"/>
        <v>8308</v>
      </c>
      <c r="G210" s="626">
        <v>-2963</v>
      </c>
      <c r="H210" s="626"/>
      <c r="I210" s="166">
        <f t="shared" si="60"/>
        <v>5345</v>
      </c>
      <c r="J210" s="167">
        <f t="shared" si="61"/>
        <v>9.3864608775120421E-4</v>
      </c>
      <c r="L210" s="163"/>
      <c r="M210" s="163"/>
      <c r="O210" s="329">
        <f t="shared" si="62"/>
        <v>0.21427998717126362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3">SUM(C205:C210)</f>
        <v>151441</v>
      </c>
      <c r="D211" s="480">
        <f t="shared" si="63"/>
        <v>8960</v>
      </c>
      <c r="E211" s="480">
        <f t="shared" si="63"/>
        <v>0</v>
      </c>
      <c r="F211" s="166">
        <f t="shared" ref="F211:I211" si="64">SUM(F205:F210)</f>
        <v>160401</v>
      </c>
      <c r="G211" s="166">
        <f t="shared" si="64"/>
        <v>-2963</v>
      </c>
      <c r="H211" s="166">
        <f t="shared" si="64"/>
        <v>0</v>
      </c>
      <c r="I211" s="166">
        <f t="shared" si="64"/>
        <v>157438</v>
      </c>
      <c r="J211" s="167">
        <f t="shared" si="61"/>
        <v>2.7648000517001701E-2</v>
      </c>
      <c r="L211" s="163"/>
      <c r="M211" s="163"/>
      <c r="O211" s="329">
        <f>I211/I$233</f>
        <v>6.3116581141757537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65">SUM(C30:C211)/2</f>
        <v>6278658</v>
      </c>
      <c r="D213" s="480">
        <f t="shared" si="65"/>
        <v>-239510</v>
      </c>
      <c r="E213" s="480">
        <f t="shared" si="65"/>
        <v>-517920</v>
      </c>
      <c r="F213" s="166">
        <f t="shared" ref="F213:I213" si="66">SUM(F30:F211)/2</f>
        <v>5521228</v>
      </c>
      <c r="G213" s="166">
        <f t="shared" si="66"/>
        <v>94407</v>
      </c>
      <c r="H213" s="166">
        <f t="shared" si="66"/>
        <v>78737</v>
      </c>
      <c r="I213" s="166">
        <f t="shared" si="66"/>
        <v>5694372</v>
      </c>
      <c r="J213" s="167">
        <f>IF($I$213=0,0,I213/$I$213)</f>
        <v>1</v>
      </c>
      <c r="K213" s="458"/>
      <c r="L213" s="176">
        <f>SUM(L30:L205)</f>
        <v>150594</v>
      </c>
      <c r="M213" s="176">
        <f>SUM(M30:M205)</f>
        <v>158419</v>
      </c>
      <c r="O213" s="329">
        <f>I213/I$233</f>
        <v>228.28624118024374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J215"/>
      <c r="K215" s="570"/>
      <c r="L215"/>
      <c r="M215"/>
      <c r="N215"/>
    </row>
    <row r="216" spans="1:16" s="162" customFormat="1" ht="15.5">
      <c r="A216" s="158"/>
      <c r="B216" s="218" t="s">
        <v>172</v>
      </c>
      <c r="C216" s="480">
        <f>'[77]Sch C'!D221</f>
        <v>6278658</v>
      </c>
      <c r="D216" s="188"/>
      <c r="E216" s="188"/>
      <c r="F216" s="160"/>
      <c r="G216" s="160"/>
      <c r="H216"/>
      <c r="I216"/>
      <c r="J216"/>
      <c r="K216" s="570"/>
      <c r="L216"/>
      <c r="M216"/>
      <c r="N216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J217"/>
      <c r="K217" s="570"/>
      <c r="L217"/>
      <c r="M217"/>
      <c r="N217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67">C26-C213</f>
        <v>813303</v>
      </c>
      <c r="D220" s="480">
        <f t="shared" si="67"/>
        <v>1404600.6399894548</v>
      </c>
      <c r="E220" s="480">
        <f t="shared" si="67"/>
        <v>517920</v>
      </c>
      <c r="F220" s="166">
        <f t="shared" ref="F220:I220" si="68">F26-F213</f>
        <v>2735823.6399894543</v>
      </c>
      <c r="G220" s="166">
        <f t="shared" si="68"/>
        <v>384824</v>
      </c>
      <c r="H220" s="166">
        <f t="shared" si="68"/>
        <v>-78737</v>
      </c>
      <c r="I220" s="166">
        <f t="shared" si="68"/>
        <v>3041910.6399894543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'[77]Sch D'!C9</f>
        <v>15767</v>
      </c>
      <c r="D224" s="480"/>
      <c r="E224" s="480"/>
      <c r="F224" s="224">
        <f t="shared" ref="F224:F232" si="69">C224+D224+E224</f>
        <v>15767</v>
      </c>
      <c r="G224" s="627"/>
      <c r="H224" s="223"/>
      <c r="I224" s="224">
        <f>F224+G224+H224</f>
        <v>15767</v>
      </c>
      <c r="J224" s="167">
        <f t="shared" ref="J224:J233" si="70">IF($I$233=0,0,I224/$I$233)</f>
        <v>0.63209589480436179</v>
      </c>
      <c r="K224" s="458"/>
      <c r="L224" s="163"/>
      <c r="M224" s="163"/>
    </row>
    <row r="225" spans="1:13">
      <c r="A225" s="158"/>
      <c r="B225" s="165" t="s">
        <v>201</v>
      </c>
      <c r="C225" s="504">
        <f>'[77]Sch D'!D9</f>
        <v>0</v>
      </c>
      <c r="D225" s="480"/>
      <c r="E225" s="480"/>
      <c r="F225" s="224">
        <f t="shared" si="69"/>
        <v>0</v>
      </c>
      <c r="G225" s="627"/>
      <c r="H225" s="223"/>
      <c r="I225" s="224">
        <f t="shared" ref="I225:I232" si="71">F225+G225+H225</f>
        <v>0</v>
      </c>
      <c r="J225" s="167">
        <f t="shared" si="70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'[77]Sch D'!E9</f>
        <v>2897</v>
      </c>
      <c r="D226" s="480"/>
      <c r="E226" s="480"/>
      <c r="F226" s="224">
        <f t="shared" si="69"/>
        <v>2897</v>
      </c>
      <c r="G226" s="627"/>
      <c r="H226" s="223"/>
      <c r="I226" s="224">
        <f t="shared" si="71"/>
        <v>2897</v>
      </c>
      <c r="J226" s="167">
        <f t="shared" si="70"/>
        <v>0.11614015394483643</v>
      </c>
      <c r="K226" s="458"/>
      <c r="L226" s="163"/>
      <c r="M226" s="163"/>
    </row>
    <row r="227" spans="1:13">
      <c r="A227" s="158"/>
      <c r="B227" s="194" t="s">
        <v>315</v>
      </c>
      <c r="C227" s="504">
        <f>'[77]Sch D'!F9</f>
        <v>1431</v>
      </c>
      <c r="D227" s="480"/>
      <c r="E227" s="480"/>
      <c r="F227" s="224">
        <f t="shared" si="69"/>
        <v>1431</v>
      </c>
      <c r="G227" s="627"/>
      <c r="H227" s="223"/>
      <c r="I227" s="224">
        <f t="shared" si="71"/>
        <v>1431</v>
      </c>
      <c r="J227" s="167">
        <f t="shared" si="70"/>
        <v>5.7368505452212955E-2</v>
      </c>
      <c r="K227" s="458"/>
      <c r="L227" s="163"/>
      <c r="M227" s="163"/>
    </row>
    <row r="228" spans="1:13">
      <c r="A228" s="158"/>
      <c r="B228" s="165" t="s">
        <v>65</v>
      </c>
      <c r="C228" s="504">
        <f>'[77]Sch D'!G9</f>
        <v>0</v>
      </c>
      <c r="D228" s="480"/>
      <c r="E228" s="480"/>
      <c r="F228" s="224">
        <f t="shared" si="69"/>
        <v>0</v>
      </c>
      <c r="G228" s="627"/>
      <c r="H228" s="223"/>
      <c r="I228" s="224">
        <f t="shared" si="71"/>
        <v>0</v>
      </c>
      <c r="J228" s="167">
        <f t="shared" si="70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'[77]Sch D'!H9</f>
        <v>1813</v>
      </c>
      <c r="D229" s="480"/>
      <c r="E229" s="480"/>
      <c r="F229" s="224">
        <f t="shared" si="69"/>
        <v>1813</v>
      </c>
      <c r="G229" s="627"/>
      <c r="H229" s="223"/>
      <c r="I229" s="224">
        <f t="shared" si="71"/>
        <v>1813</v>
      </c>
      <c r="J229" s="167">
        <f t="shared" si="70"/>
        <v>7.2682809493264916E-2</v>
      </c>
      <c r="K229" s="458"/>
      <c r="L229" s="163"/>
      <c r="M229" s="163"/>
    </row>
    <row r="230" spans="1:13">
      <c r="A230" s="158"/>
      <c r="B230" s="165" t="s">
        <v>219</v>
      </c>
      <c r="C230" s="504">
        <f>'[77]Sch D'!I9</f>
        <v>1612</v>
      </c>
      <c r="D230" s="480"/>
      <c r="E230" s="480"/>
      <c r="F230" s="224">
        <f t="shared" si="69"/>
        <v>1612</v>
      </c>
      <c r="G230" s="627"/>
      <c r="H230" s="223"/>
      <c r="I230" s="224">
        <f t="shared" si="71"/>
        <v>1612</v>
      </c>
      <c r="J230" s="167">
        <f t="shared" si="70"/>
        <v>6.4624759461193074E-2</v>
      </c>
      <c r="K230" s="458"/>
      <c r="L230" s="163"/>
      <c r="M230" s="163"/>
    </row>
    <row r="231" spans="1:13">
      <c r="A231" s="158"/>
      <c r="B231" s="165" t="s">
        <v>218</v>
      </c>
      <c r="C231" s="504">
        <f>'[77]Sch D'!J9</f>
        <v>1205</v>
      </c>
      <c r="D231" s="480"/>
      <c r="E231" s="480"/>
      <c r="F231" s="224">
        <f t="shared" si="69"/>
        <v>1205</v>
      </c>
      <c r="G231" s="627"/>
      <c r="H231" s="223"/>
      <c r="I231" s="224">
        <f t="shared" si="71"/>
        <v>1205</v>
      </c>
      <c r="J231" s="167">
        <f>IF($I$233=0,0,I231/$I$233)</f>
        <v>4.830821039127646E-2</v>
      </c>
      <c r="K231" s="458"/>
      <c r="L231" s="163"/>
      <c r="M231" s="163"/>
    </row>
    <row r="232" spans="1:13">
      <c r="A232" s="158"/>
      <c r="B232" s="165" t="s">
        <v>170</v>
      </c>
      <c r="C232" s="504">
        <f>'[77]Sch D'!K9</f>
        <v>219</v>
      </c>
      <c r="D232" s="480"/>
      <c r="E232" s="480"/>
      <c r="F232" s="224">
        <f t="shared" si="69"/>
        <v>219</v>
      </c>
      <c r="G232" s="627"/>
      <c r="H232" s="223"/>
      <c r="I232" s="224">
        <f t="shared" si="71"/>
        <v>219</v>
      </c>
      <c r="J232" s="167">
        <f t="shared" si="70"/>
        <v>8.7796664528543931E-3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2">SUM(C224:C232)</f>
        <v>24944</v>
      </c>
      <c r="D233" s="504">
        <f t="shared" si="72"/>
        <v>0</v>
      </c>
      <c r="E233" s="504">
        <f t="shared" si="72"/>
        <v>0</v>
      </c>
      <c r="F233" s="226">
        <f t="shared" ref="F233:I233" si="73">SUM(F224:F232)</f>
        <v>24944</v>
      </c>
      <c r="G233" s="226">
        <f t="shared" si="73"/>
        <v>0</v>
      </c>
      <c r="H233" s="226">
        <f t="shared" si="73"/>
        <v>0</v>
      </c>
      <c r="I233" s="226">
        <f t="shared" si="73"/>
        <v>24944</v>
      </c>
      <c r="J233" s="167">
        <f t="shared" si="70"/>
        <v>1</v>
      </c>
      <c r="K233" s="458"/>
      <c r="L233" s="163"/>
      <c r="M233" s="163"/>
    </row>
    <row r="234" spans="1:13" ht="13.9" customHeight="1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'[77]Sch D'!N22</f>
        <v>99</v>
      </c>
      <c r="D236" s="480"/>
      <c r="E236" s="480"/>
      <c r="F236" s="224">
        <f>C236+E236</f>
        <v>99</v>
      </c>
      <c r="G236" s="627"/>
      <c r="H236" s="540"/>
      <c r="I236" s="224">
        <f>F236+G236+H236</f>
        <v>99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'[77]Sch D'!N24</f>
        <v>99</v>
      </c>
      <c r="D237" s="480"/>
      <c r="E237" s="480"/>
      <c r="F237" s="224">
        <f>C237+E237</f>
        <v>99</v>
      </c>
      <c r="G237" s="627"/>
      <c r="H237" s="540"/>
      <c r="I237" s="224">
        <f>F237+G237+H237</f>
        <v>99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513"/>
      <c r="I238" s="224">
        <f>F238+G238+H238</f>
        <v>365</v>
      </c>
      <c r="J238" s="44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55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'[77]Sch D'!N28</f>
        <v>36135</v>
      </c>
      <c r="D240" s="427"/>
      <c r="E240" s="427"/>
      <c r="F240" s="223">
        <f>F236*F238</f>
        <v>36135</v>
      </c>
      <c r="G240"/>
      <c r="H240" s="559"/>
      <c r="I240" s="223">
        <f>I236*I238</f>
        <v>36135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'[77]Sch D'!N30</f>
        <v>0.69030026290300261</v>
      </c>
      <c r="D241" s="228"/>
      <c r="E241" s="228"/>
      <c r="F241" s="232">
        <f>F233/F240</f>
        <v>0.69030026290300261</v>
      </c>
      <c r="G241"/>
      <c r="H241" s="233"/>
      <c r="I241" s="232">
        <f>I233/I240</f>
        <v>0.69030026290300261</v>
      </c>
      <c r="J241" s="560"/>
      <c r="K241" s="460"/>
      <c r="L241" s="163"/>
      <c r="M241" s="163"/>
    </row>
    <row r="242" spans="1:13" ht="26.5">
      <c r="A242" s="158"/>
      <c r="B242" s="231" t="s">
        <v>318</v>
      </c>
      <c r="C242" s="505">
        <f>'[77]Sch D'!N32</f>
        <v>0.43633596236335964</v>
      </c>
      <c r="D242" s="228"/>
      <c r="E242" s="228"/>
      <c r="F242" s="232">
        <f>(F224+F225)/F240</f>
        <v>0.43633596236335964</v>
      </c>
      <c r="G242"/>
      <c r="H242" s="233"/>
      <c r="I242" s="232">
        <f>(I224+I225)/I240</f>
        <v>0.43633596236335964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'[77]Sch D'!N34</f>
        <v>0.63209589480436179</v>
      </c>
      <c r="D243" s="228"/>
      <c r="E243" s="228"/>
      <c r="F243" s="232">
        <f>(F242/F241)</f>
        <v>0.63209589480436179</v>
      </c>
      <c r="G243"/>
      <c r="H243" s="233"/>
      <c r="I243" s="232">
        <f>(I242/I241)</f>
        <v>0.63209589480436179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'[77]Sch B'!C90</f>
        <v>288.96981891348088</v>
      </c>
      <c r="K246" s="460"/>
    </row>
    <row r="247" spans="1:13">
      <c r="H247" s="140" t="s">
        <v>322</v>
      </c>
      <c r="I247" s="480">
        <f>'[77]Sch B'!E90</f>
        <v>182.61559888579387</v>
      </c>
      <c r="J247" s="561"/>
      <c r="K247" s="460"/>
    </row>
    <row r="248" spans="1:13">
      <c r="H248" s="140" t="s">
        <v>323</v>
      </c>
      <c r="I248" s="480">
        <f>'[77]Sch B'!G90</f>
        <v>185.78181818181818</v>
      </c>
      <c r="K248" s="460"/>
    </row>
    <row r="249" spans="1:13">
      <c r="H249" s="140" t="s">
        <v>324</v>
      </c>
      <c r="I249" s="480">
        <f>'[77]Sch B'!I90</f>
        <v>192.02901353965183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4">
    <tabColor rgb="FFE28CAB"/>
  </sheetPr>
  <dimension ref="A1:Q277"/>
  <sheetViews>
    <sheetView showGridLines="0" topLeftCell="B7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382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52.5" customHeight="1">
      <c r="A1" s="136" t="str">
        <f>'ALPINE MEADOW'!A1</f>
        <v>schedules revised Sept. 2018</v>
      </c>
      <c r="B1" s="137" t="s">
        <v>285</v>
      </c>
      <c r="C1" s="419"/>
      <c r="D1" s="419"/>
      <c r="E1" s="342"/>
      <c r="F1" s="419"/>
      <c r="G1" s="419"/>
      <c r="H1" s="421"/>
      <c r="I1" s="422"/>
      <c r="J1" s="419"/>
      <c r="K1" s="420"/>
    </row>
    <row r="2" spans="1:16" ht="23">
      <c r="B2" s="141" t="s">
        <v>178</v>
      </c>
      <c r="C2" s="341" t="s">
        <v>452</v>
      </c>
      <c r="D2" s="341"/>
      <c r="F2" s="142"/>
      <c r="G2" s="142"/>
      <c r="H2" s="401"/>
      <c r="I2"/>
    </row>
    <row r="3" spans="1:16" ht="15.5">
      <c r="A3" s="143"/>
      <c r="B3" s="138" t="s">
        <v>71</v>
      </c>
      <c r="C3" s="557">
        <f>'[78]Sch A Pg 1'!B39</f>
        <v>42917</v>
      </c>
      <c r="D3" s="620"/>
      <c r="E3" s="342"/>
      <c r="F3" s="144"/>
      <c r="G3" s="144"/>
      <c r="H3" s="499"/>
      <c r="I3"/>
    </row>
    <row r="4" spans="1:16" ht="15.5">
      <c r="A4" s="143"/>
      <c r="B4" s="145" t="s">
        <v>72</v>
      </c>
      <c r="C4" s="557">
        <f>'[78]Sch A Pg 1'!G39</f>
        <v>43281</v>
      </c>
      <c r="D4" s="620"/>
      <c r="E4" s="142"/>
      <c r="F4" s="146"/>
      <c r="G4" s="146"/>
      <c r="H4" s="499"/>
      <c r="I4"/>
    </row>
    <row r="5" spans="1:16" ht="15.5">
      <c r="A5" s="143"/>
      <c r="B5" s="145"/>
      <c r="C5" s="148"/>
      <c r="D5" s="148"/>
      <c r="E5" s="142"/>
      <c r="H5" s="527"/>
      <c r="I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8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373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374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 ht="15.5">
      <c r="A9" s="143"/>
      <c r="C9" s="148"/>
      <c r="D9" s="148"/>
      <c r="E9" s="142"/>
      <c r="H9"/>
      <c r="I9" s="142"/>
      <c r="K9" s="460"/>
    </row>
    <row r="10" spans="1:16" s="162" customFormat="1" ht="15.5">
      <c r="A10" s="158" t="s">
        <v>228</v>
      </c>
      <c r="B10" s="159" t="s">
        <v>229</v>
      </c>
      <c r="C10"/>
      <c r="D10"/>
      <c r="E10"/>
      <c r="F10" s="160"/>
      <c r="G10" s="160"/>
      <c r="H10"/>
      <c r="I10" s="160"/>
      <c r="J10" s="161"/>
      <c r="K10" s="463"/>
      <c r="L10" s="163"/>
      <c r="M10" s="163"/>
    </row>
    <row r="11" spans="1:16" s="162" customFormat="1" ht="15.5">
      <c r="A11" s="158"/>
      <c r="B11" s="615" t="s">
        <v>511</v>
      </c>
      <c r="C11"/>
      <c r="D11"/>
      <c r="E11"/>
      <c r="F11" s="160"/>
      <c r="G11" s="160"/>
      <c r="H11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'[78]Sch B'!E10</f>
        <v>9256818</v>
      </c>
      <c r="D12" s="480">
        <f>'[78]Sch B'!G10</f>
        <v>0</v>
      </c>
      <c r="E12" s="480"/>
      <c r="F12" s="166">
        <f>C12+D12+E12</f>
        <v>9256818</v>
      </c>
      <c r="G12" s="626"/>
      <c r="H12" s="608"/>
      <c r="I12" s="166">
        <f>F12+G12+H12</f>
        <v>9256818</v>
      </c>
      <c r="J12" s="167">
        <f>IF($I$26=0,0,I12/$I$26)</f>
        <v>0.4252389404617703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'[78]Sch B'!E12</f>
        <v>2033860</v>
      </c>
      <c r="D13" s="480">
        <f>'[78]Sch B'!G12</f>
        <v>2340940.6993891243</v>
      </c>
      <c r="E13" s="480"/>
      <c r="F13" s="166">
        <f t="shared" ref="F13:F25" si="0">C13+D13+E13</f>
        <v>4374800.6993891243</v>
      </c>
      <c r="G13" s="626">
        <v>16618</v>
      </c>
      <c r="H13" s="608"/>
      <c r="I13" s="166">
        <f t="shared" ref="I13:I25" si="1">F13+G13+H13</f>
        <v>4391418.6993891243</v>
      </c>
      <c r="J13" s="167">
        <f>IF($I$26=0,0,I13/$I$26)</f>
        <v>0.20173262938217393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'[78]Sch B'!E13</f>
        <v>65906</v>
      </c>
      <c r="D14" s="480">
        <f>'[78]Sch B'!G13</f>
        <v>0</v>
      </c>
      <c r="E14" s="480"/>
      <c r="F14" s="166">
        <f t="shared" si="0"/>
        <v>65906</v>
      </c>
      <c r="G14" s="626"/>
      <c r="H14" s="608"/>
      <c r="I14" s="166">
        <f t="shared" si="1"/>
        <v>65906</v>
      </c>
      <c r="J14" s="167">
        <f>IF($I$26=0,0,I14/$I$26)</f>
        <v>3.0275843826759294E-3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'[78]Sch B'!E14</f>
        <v>167733</v>
      </c>
      <c r="D15" s="480">
        <f>'[78]Sch B'!G14</f>
        <v>0</v>
      </c>
      <c r="E15" s="480"/>
      <c r="F15" s="166">
        <f t="shared" si="0"/>
        <v>167733</v>
      </c>
      <c r="G15" s="626"/>
      <c r="H15" s="608"/>
      <c r="I15" s="166">
        <f t="shared" si="1"/>
        <v>167733</v>
      </c>
      <c r="J15" s="167">
        <f>IF($I$26=0,0,I15/$I$26)</f>
        <v>7.7053046954659926E-3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'[78]Sch B'!E15</f>
        <v>11524317</v>
      </c>
      <c r="D16" s="480">
        <f>'[78]Sch B'!G15</f>
        <v>2340940.6993891243</v>
      </c>
      <c r="E16" s="480"/>
      <c r="F16" s="166">
        <f t="shared" si="0"/>
        <v>13865257.699389124</v>
      </c>
      <c r="G16" s="626"/>
      <c r="H16" s="608"/>
      <c r="I16" s="166">
        <f>SUM(I12:I15)</f>
        <v>13881875.699389124</v>
      </c>
      <c r="J16" s="167">
        <f t="shared" ref="J16:J26" si="2">IF($I$26=0,0,I16/$I$26)</f>
        <v>0.63770445892208616</v>
      </c>
      <c r="K16" s="458"/>
      <c r="L16" s="333" t="s">
        <v>325</v>
      </c>
      <c r="M16" s="334">
        <f>I26</f>
        <v>21768509.699389122</v>
      </c>
      <c r="O16" s="324">
        <f>IFERROR(I16/I224,0)</f>
        <v>374.58851289535943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'[78]Sch B'!E20</f>
        <v>0</v>
      </c>
      <c r="D17" s="480">
        <f>'[78]Sch B'!G20</f>
        <v>0</v>
      </c>
      <c r="E17" s="480"/>
      <c r="F17" s="166">
        <f t="shared" si="0"/>
        <v>0</v>
      </c>
      <c r="G17" s="626"/>
      <c r="H17" s="608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16080082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'[78]Sch B'!E26</f>
        <v>2825463</v>
      </c>
      <c r="D18" s="480">
        <f>'[78]Sch B'!G26</f>
        <v>0</v>
      </c>
      <c r="E18" s="480"/>
      <c r="F18" s="166">
        <f t="shared" si="0"/>
        <v>2825463</v>
      </c>
      <c r="G18" s="626"/>
      <c r="H18" s="608"/>
      <c r="I18" s="166">
        <f t="shared" si="1"/>
        <v>2825463</v>
      </c>
      <c r="J18" s="167">
        <f t="shared" si="2"/>
        <v>0.12979588584694382</v>
      </c>
      <c r="K18" s="458"/>
      <c r="L18" s="335" t="s">
        <v>327</v>
      </c>
      <c r="M18" s="336">
        <f>I233</f>
        <v>58285</v>
      </c>
      <c r="O18" s="324">
        <f t="shared" si="3"/>
        <v>647.00320586214798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'[78]Sch B'!E32</f>
        <v>2098663.5265082265</v>
      </c>
      <c r="D19" s="480">
        <f>'[78]Sch B'!G32</f>
        <v>0</v>
      </c>
      <c r="E19" s="480"/>
      <c r="F19" s="166">
        <f t="shared" si="0"/>
        <v>2098663.5265082265</v>
      </c>
      <c r="G19" s="626"/>
      <c r="H19" s="608"/>
      <c r="I19" s="166">
        <f t="shared" si="1"/>
        <v>2098663.5265082265</v>
      </c>
      <c r="J19" s="170">
        <f t="shared" si="2"/>
        <v>9.6408231683729834E-2</v>
      </c>
      <c r="K19" s="464"/>
      <c r="L19" s="335" t="s">
        <v>328</v>
      </c>
      <c r="M19" s="336">
        <f>I236</f>
        <v>221</v>
      </c>
      <c r="O19" s="324">
        <f t="shared" si="3"/>
        <v>483.563024541066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'[78]Sch B'!E37</f>
        <v>0</v>
      </c>
      <c r="D20" s="480">
        <f>'[78]Sch B'!G37</f>
        <v>0</v>
      </c>
      <c r="E20" s="480"/>
      <c r="F20" s="166">
        <f t="shared" si="0"/>
        <v>0</v>
      </c>
      <c r="G20" s="626"/>
      <c r="H20" s="608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80665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'[78]Sch B'!E42</f>
        <v>1608209</v>
      </c>
      <c r="D21" s="480">
        <f>'[78]Sch B'!G42</f>
        <v>0</v>
      </c>
      <c r="E21" s="480"/>
      <c r="F21" s="166">
        <f t="shared" si="0"/>
        <v>1608209</v>
      </c>
      <c r="G21" s="626"/>
      <c r="H21" s="608"/>
      <c r="I21" s="166">
        <f t="shared" si="1"/>
        <v>1608209</v>
      </c>
      <c r="J21" s="167">
        <f t="shared" si="2"/>
        <v>7.3877772167615596E-2</v>
      </c>
      <c r="K21" s="458"/>
      <c r="L21" s="337"/>
      <c r="M21" s="336"/>
      <c r="O21" s="324">
        <f t="shared" si="3"/>
        <v>215.4332217012726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'[78]Sch B'!E47</f>
        <v>191883.65953109076</v>
      </c>
      <c r="D22" s="480">
        <f>'[78]Sch B'!G47</f>
        <v>0</v>
      </c>
      <c r="E22" s="480"/>
      <c r="F22" s="166">
        <f t="shared" si="0"/>
        <v>191883.65953109076</v>
      </c>
      <c r="G22" s="626"/>
      <c r="H22" s="608"/>
      <c r="I22" s="166">
        <f t="shared" si="1"/>
        <v>191883.65953109076</v>
      </c>
      <c r="J22" s="167">
        <f t="shared" si="2"/>
        <v>8.8147356976153255E-3</v>
      </c>
      <c r="K22" s="458"/>
      <c r="L22" s="335" t="s">
        <v>148</v>
      </c>
      <c r="M22" s="336">
        <f>L213</f>
        <v>362728</v>
      </c>
      <c r="O22" s="324">
        <f t="shared" si="3"/>
        <v>199.04943934760453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'[78]Sch B'!E52</f>
        <v>589186.34046890924</v>
      </c>
      <c r="D23" s="480">
        <f>'[78]Sch B'!G52</f>
        <v>0</v>
      </c>
      <c r="E23" s="480"/>
      <c r="F23" s="166">
        <f t="shared" si="0"/>
        <v>589186.34046890924</v>
      </c>
      <c r="G23" s="626"/>
      <c r="H23" s="608"/>
      <c r="I23" s="166">
        <f t="shared" si="1"/>
        <v>589186.34046890924</v>
      </c>
      <c r="J23" s="167">
        <f t="shared" si="2"/>
        <v>2.7065993428362405E-2</v>
      </c>
      <c r="K23" s="458"/>
      <c r="L23" s="338" t="s">
        <v>233</v>
      </c>
      <c r="M23" s="339">
        <f>M213</f>
        <v>388657.1097384516</v>
      </c>
      <c r="O23" s="324">
        <f t="shared" si="3"/>
        <v>199.04943934760448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'[78]Sch B'!E57</f>
        <v>534699.47349177324</v>
      </c>
      <c r="D24" s="480">
        <f>'[78]Sch B'!G57</f>
        <v>0</v>
      </c>
      <c r="E24" s="480"/>
      <c r="F24" s="166">
        <f t="shared" si="0"/>
        <v>534699.47349177324</v>
      </c>
      <c r="G24" s="626"/>
      <c r="H24" s="608"/>
      <c r="I24" s="166">
        <f t="shared" si="1"/>
        <v>534699.47349177324</v>
      </c>
      <c r="J24" s="167">
        <f t="shared" si="2"/>
        <v>2.4562980235012515E-2</v>
      </c>
      <c r="K24" s="458"/>
      <c r="L24" s="163"/>
      <c r="M24" s="163"/>
      <c r="O24" s="324">
        <f t="shared" si="3"/>
        <v>473.18537477148072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'[78]Sch B'!E72</f>
        <v>49699</v>
      </c>
      <c r="D25" s="480">
        <f>'[78]Sch B'!G72</f>
        <v>0</v>
      </c>
      <c r="E25" s="480"/>
      <c r="F25" s="166">
        <f t="shared" si="0"/>
        <v>49699</v>
      </c>
      <c r="G25" s="626">
        <v>-11170</v>
      </c>
      <c r="H25" s="608"/>
      <c r="I25" s="166">
        <f t="shared" si="1"/>
        <v>38529</v>
      </c>
      <c r="J25" s="167">
        <f t="shared" si="2"/>
        <v>1.7699420186344321E-3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19422121</v>
      </c>
      <c r="D26" s="480">
        <f t="shared" ref="D26:F26" si="4">SUM(D16:D25)</f>
        <v>2340940.6993891243</v>
      </c>
      <c r="E26" s="480">
        <f t="shared" si="4"/>
        <v>0</v>
      </c>
      <c r="F26" s="166">
        <f t="shared" si="4"/>
        <v>21763061.699389122</v>
      </c>
      <c r="G26" s="166">
        <f>SUM(G12:G25)</f>
        <v>5448</v>
      </c>
      <c r="H26" s="166">
        <f>SUM(H12:H25)</f>
        <v>0</v>
      </c>
      <c r="I26" s="166">
        <f>SUM(I16:I25)</f>
        <v>21768509.699389122</v>
      </c>
      <c r="J26" s="167">
        <f t="shared" si="2"/>
        <v>1</v>
      </c>
      <c r="K26" s="458"/>
      <c r="L26" s="163"/>
      <c r="M26" s="163"/>
      <c r="O26" s="324">
        <f>IFERROR(I26/I233,0)</f>
        <v>373.4839100864566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386"/>
      <c r="I27" s="142"/>
      <c r="K27" s="460"/>
      <c r="O27" s="328"/>
      <c r="P27" s="328"/>
    </row>
    <row r="28" spans="1:16" ht="26.5">
      <c r="A28" s="174" t="s">
        <v>215</v>
      </c>
      <c r="B28" s="173" t="s">
        <v>206</v>
      </c>
      <c r="C28" s="148"/>
      <c r="D28" s="142"/>
      <c r="E28" s="142"/>
      <c r="H28"/>
      <c r="I28" s="142"/>
      <c r="K28" s="460"/>
      <c r="O28" s="328"/>
      <c r="P28" s="328"/>
    </row>
    <row r="29" spans="1:16" ht="15.5">
      <c r="A29" s="175" t="s">
        <v>153</v>
      </c>
      <c r="B29" s="145" t="s">
        <v>8</v>
      </c>
      <c r="H29"/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'[78]Sch C'!D10</f>
        <v>534701</v>
      </c>
      <c r="D30" s="480">
        <f>'[78]Sch C'!F10</f>
        <v>-423028</v>
      </c>
      <c r="E30" s="480">
        <f>+'[78]Sch C'!H10</f>
        <v>0</v>
      </c>
      <c r="F30" s="166">
        <f t="shared" ref="F30:F65" si="5">C30+D30+E30</f>
        <v>111673</v>
      </c>
      <c r="G30" s="626">
        <v>423028</v>
      </c>
      <c r="H30" s="608"/>
      <c r="I30" s="166">
        <f t="shared" ref="I30:I65" si="6">F30+G30+H30</f>
        <v>534701</v>
      </c>
      <c r="J30" s="167">
        <f>IF($I$213=0,0,I30/$I$213)</f>
        <v>3.3252380180648335E-2</v>
      </c>
      <c r="K30" s="458"/>
      <c r="L30" s="176">
        <v>2080</v>
      </c>
      <c r="M30" s="176">
        <v>2080</v>
      </c>
      <c r="O30" s="324">
        <f>I30/I$233</f>
        <v>9.1739040919619121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'[78]Sch C'!D11</f>
        <v>0</v>
      </c>
      <c r="D31" s="480">
        <f>'[78]Sch C'!F11</f>
        <v>0</v>
      </c>
      <c r="E31" s="480">
        <f>+'[78]Sch C'!H11</f>
        <v>0</v>
      </c>
      <c r="F31" s="166">
        <f t="shared" si="5"/>
        <v>0</v>
      </c>
      <c r="G31" s="626"/>
      <c r="H31" s="608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'[78]Sch C'!D12</f>
        <v>374772</v>
      </c>
      <c r="D32" s="480">
        <f>'[78]Sch C'!F12</f>
        <v>0</v>
      </c>
      <c r="E32" s="480">
        <f>+'[78]Sch C'!H12</f>
        <v>0</v>
      </c>
      <c r="F32" s="166">
        <f t="shared" si="5"/>
        <v>374772</v>
      </c>
      <c r="G32" s="626"/>
      <c r="H32" s="608"/>
      <c r="I32" s="166">
        <f t="shared" si="6"/>
        <v>374772</v>
      </c>
      <c r="J32" s="167">
        <f t="shared" si="7"/>
        <v>2.3306597565858185E-2</v>
      </c>
      <c r="K32" s="458"/>
      <c r="L32" s="176">
        <v>18693</v>
      </c>
      <c r="M32" s="176">
        <v>20230</v>
      </c>
      <c r="O32" s="324">
        <f t="shared" si="8"/>
        <v>6.4299905636098478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'[78]Sch C'!D13</f>
        <v>654368</v>
      </c>
      <c r="D33" s="480">
        <f>'[78]Sch C'!F13</f>
        <v>-477408</v>
      </c>
      <c r="E33" s="480">
        <f>+'[78]Sch C'!H13</f>
        <v>0</v>
      </c>
      <c r="F33" s="166">
        <f t="shared" si="5"/>
        <v>176960</v>
      </c>
      <c r="G33" s="626"/>
      <c r="H33" s="608"/>
      <c r="I33" s="166">
        <f t="shared" si="6"/>
        <v>176960</v>
      </c>
      <c r="J33" s="167">
        <f t="shared" si="7"/>
        <v>1.1004919004766269E-2</v>
      </c>
      <c r="K33" s="457"/>
      <c r="L33" s="163"/>
      <c r="M33" s="163"/>
      <c r="O33" s="324">
        <f t="shared" si="8"/>
        <v>3.0361156386720425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'[78]Sch C'!D14</f>
        <v>0</v>
      </c>
      <c r="D34" s="480">
        <f>'[78]Sch C'!F14</f>
        <v>0</v>
      </c>
      <c r="E34" s="480">
        <f>+'[78]Sch C'!H14</f>
        <v>0</v>
      </c>
      <c r="F34" s="166">
        <f t="shared" si="5"/>
        <v>0</v>
      </c>
      <c r="G34" s="626"/>
      <c r="H34" s="608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'[78]Sch C'!D15</f>
        <v>0</v>
      </c>
      <c r="D35" s="480">
        <f>'[78]Sch C'!F15</f>
        <v>0</v>
      </c>
      <c r="E35" s="480">
        <f>+'[78]Sch C'!H15</f>
        <v>0</v>
      </c>
      <c r="F35" s="166">
        <f t="shared" si="5"/>
        <v>0</v>
      </c>
      <c r="G35" s="626"/>
      <c r="H35" s="608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'[78]Sch C'!D16</f>
        <v>851008</v>
      </c>
      <c r="D36" s="480">
        <f>'[78]Sch C'!F16</f>
        <v>0</v>
      </c>
      <c r="E36" s="480">
        <f>+'[78]Sch C'!H16</f>
        <v>-113646</v>
      </c>
      <c r="F36" s="166">
        <f t="shared" si="5"/>
        <v>737362</v>
      </c>
      <c r="G36" s="626"/>
      <c r="H36" s="608">
        <v>475149</v>
      </c>
      <c r="I36" s="166">
        <f t="shared" si="6"/>
        <v>1212511</v>
      </c>
      <c r="J36" s="167">
        <f t="shared" si="7"/>
        <v>7.5404528409743182E-2</v>
      </c>
      <c r="K36" s="458"/>
      <c r="L36" s="163"/>
      <c r="M36" s="163"/>
      <c r="O36" s="324">
        <f t="shared" si="8"/>
        <v>20.803139744359612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'[78]Sch C'!D17</f>
        <v>0</v>
      </c>
      <c r="D37" s="480">
        <f>'[78]Sch C'!F17</f>
        <v>0</v>
      </c>
      <c r="E37" s="480">
        <f>+'[78]Sch C'!H17</f>
        <v>0</v>
      </c>
      <c r="F37" s="166">
        <f t="shared" si="5"/>
        <v>0</v>
      </c>
      <c r="G37" s="626"/>
      <c r="H37" s="608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'[78]Sch C'!D18</f>
        <v>23646</v>
      </c>
      <c r="D38" s="480">
        <f>'[78]Sch C'!F18</f>
        <v>0</v>
      </c>
      <c r="E38" s="480">
        <f>+'[78]Sch C'!H18</f>
        <v>0</v>
      </c>
      <c r="F38" s="166">
        <f t="shared" si="5"/>
        <v>23646</v>
      </c>
      <c r="G38" s="626"/>
      <c r="H38" s="608"/>
      <c r="I38" s="166">
        <f t="shared" si="6"/>
        <v>23646</v>
      </c>
      <c r="J38" s="167">
        <f t="shared" si="7"/>
        <v>1.4705148891653661E-3</v>
      </c>
      <c r="K38" s="458"/>
      <c r="L38" s="163"/>
      <c r="M38" s="163"/>
      <c r="O38" s="324">
        <f t="shared" si="8"/>
        <v>0.40569614823711075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'[78]Sch C'!D19</f>
        <v>35168</v>
      </c>
      <c r="D39" s="480">
        <f>'[78]Sch C'!F19</f>
        <v>-450</v>
      </c>
      <c r="E39" s="480">
        <f>+'[78]Sch C'!H19</f>
        <v>0</v>
      </c>
      <c r="F39" s="166">
        <f t="shared" si="5"/>
        <v>34718</v>
      </c>
      <c r="G39" s="626"/>
      <c r="H39" s="608"/>
      <c r="I39" s="166">
        <f t="shared" si="6"/>
        <v>34718</v>
      </c>
      <c r="J39" s="167">
        <f t="shared" si="7"/>
        <v>2.1590685918143949E-3</v>
      </c>
      <c r="K39" s="458"/>
      <c r="L39" s="163"/>
      <c r="M39" s="163"/>
      <c r="O39" s="324">
        <f t="shared" si="8"/>
        <v>0.5956592605301535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'[78]Sch C'!D20</f>
        <v>31577</v>
      </c>
      <c r="D40" s="480">
        <f>'[78]Sch C'!F20</f>
        <v>1105</v>
      </c>
      <c r="E40" s="480">
        <f>+'[78]Sch C'!H20</f>
        <v>0</v>
      </c>
      <c r="F40" s="166">
        <f t="shared" si="5"/>
        <v>32682</v>
      </c>
      <c r="G40" s="626"/>
      <c r="H40" s="608"/>
      <c r="I40" s="166">
        <f t="shared" si="6"/>
        <v>32682</v>
      </c>
      <c r="J40" s="167">
        <f t="shared" si="7"/>
        <v>2.032452322071492E-3</v>
      </c>
      <c r="K40" s="458"/>
      <c r="L40" s="163"/>
      <c r="M40" s="163"/>
      <c r="O40" s="324">
        <f t="shared" si="8"/>
        <v>0.5607274598953419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'[78]Sch C'!D21</f>
        <v>1550</v>
      </c>
      <c r="D41" s="480">
        <f>'[78]Sch C'!F21</f>
        <v>0</v>
      </c>
      <c r="E41" s="480">
        <f>+'[78]Sch C'!H21</f>
        <v>0</v>
      </c>
      <c r="F41" s="166">
        <f t="shared" si="5"/>
        <v>1550</v>
      </c>
      <c r="G41" s="626"/>
      <c r="H41" s="608"/>
      <c r="I41" s="166">
        <f t="shared" si="6"/>
        <v>1550</v>
      </c>
      <c r="J41" s="167">
        <f t="shared" si="7"/>
        <v>9.6392543271856451E-5</v>
      </c>
      <c r="K41" s="458"/>
      <c r="L41" s="163"/>
      <c r="M41" s="163"/>
      <c r="O41" s="324">
        <f t="shared" si="8"/>
        <v>2.6593463155185727E-2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'[78]Sch C'!D22</f>
        <v>0</v>
      </c>
      <c r="D42" s="480">
        <f>'[78]Sch C'!F22</f>
        <v>0</v>
      </c>
      <c r="E42" s="480">
        <f>+'[78]Sch C'!H22</f>
        <v>0</v>
      </c>
      <c r="F42" s="166">
        <f t="shared" si="5"/>
        <v>0</v>
      </c>
      <c r="G42" s="626"/>
      <c r="H42" s="608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'[78]Sch C'!D23</f>
        <v>9527</v>
      </c>
      <c r="D43" s="480">
        <f>'[78]Sch C'!F23</f>
        <v>0</v>
      </c>
      <c r="E43" s="480">
        <f>+'[78]Sch C'!H23</f>
        <v>0</v>
      </c>
      <c r="F43" s="166">
        <f t="shared" si="5"/>
        <v>9527</v>
      </c>
      <c r="G43" s="626"/>
      <c r="H43" s="608"/>
      <c r="I43" s="166">
        <f t="shared" si="6"/>
        <v>9527</v>
      </c>
      <c r="J43" s="167">
        <f t="shared" si="7"/>
        <v>5.9247210306514607E-4</v>
      </c>
      <c r="K43" s="458"/>
      <c r="L43" s="163"/>
      <c r="M43" s="163"/>
      <c r="O43" s="324">
        <f t="shared" si="8"/>
        <v>0.16345543450287381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'[78]Sch C'!D24</f>
        <v>158035</v>
      </c>
      <c r="D44" s="480">
        <f>'[78]Sch C'!F24</f>
        <v>0</v>
      </c>
      <c r="E44" s="480">
        <f>+'[78]Sch C'!H24</f>
        <v>-34334</v>
      </c>
      <c r="F44" s="166">
        <f t="shared" si="5"/>
        <v>123701</v>
      </c>
      <c r="G44" s="626"/>
      <c r="H44" s="608"/>
      <c r="I44" s="166">
        <f t="shared" si="6"/>
        <v>123701</v>
      </c>
      <c r="J44" s="167">
        <f t="shared" si="7"/>
        <v>7.6928090292076867E-3</v>
      </c>
      <c r="K44" s="458"/>
      <c r="L44" s="163"/>
      <c r="M44" s="163"/>
      <c r="O44" s="324">
        <f t="shared" si="8"/>
        <v>2.1223470875868578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'[78]Sch C'!D25</f>
        <v>0</v>
      </c>
      <c r="D45" s="480">
        <f>'[78]Sch C'!F25</f>
        <v>0</v>
      </c>
      <c r="E45" s="480">
        <f>+'[78]Sch C'!H25</f>
        <v>0</v>
      </c>
      <c r="F45" s="166">
        <f t="shared" si="5"/>
        <v>0</v>
      </c>
      <c r="G45" s="626"/>
      <c r="H45" s="608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'[78]Sch C'!D26</f>
        <v>1017561</v>
      </c>
      <c r="D46" s="480">
        <f>'[78]Sch C'!F26</f>
        <v>0</v>
      </c>
      <c r="E46" s="480">
        <f>+'[78]Sch C'!H26</f>
        <v>0</v>
      </c>
      <c r="F46" s="166">
        <f t="shared" si="5"/>
        <v>1017561</v>
      </c>
      <c r="G46" s="626"/>
      <c r="H46" s="608"/>
      <c r="I46" s="166">
        <f t="shared" si="6"/>
        <v>1017561</v>
      </c>
      <c r="J46" s="167">
        <f t="shared" si="7"/>
        <v>6.3280834015647436E-2</v>
      </c>
      <c r="K46" s="458"/>
      <c r="L46" s="163"/>
      <c r="M46" s="163"/>
      <c r="O46" s="324">
        <f t="shared" si="8"/>
        <v>17.458368362357383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'[78]Sch C'!D27</f>
        <v>0</v>
      </c>
      <c r="D47" s="480">
        <f>'[78]Sch C'!F27</f>
        <v>0</v>
      </c>
      <c r="E47" s="480">
        <f>+'[78]Sch C'!H27</f>
        <v>0</v>
      </c>
      <c r="F47" s="166">
        <f t="shared" si="5"/>
        <v>0</v>
      </c>
      <c r="G47" s="626"/>
      <c r="H47" s="608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'[78]Sch C'!D28</f>
        <v>0</v>
      </c>
      <c r="D48" s="480">
        <f>'[78]Sch C'!F28</f>
        <v>0</v>
      </c>
      <c r="E48" s="480">
        <f>+'[78]Sch C'!H28</f>
        <v>0</v>
      </c>
      <c r="F48" s="166">
        <f t="shared" si="5"/>
        <v>0</v>
      </c>
      <c r="G48" s="626"/>
      <c r="H48" s="608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'[78]Sch C'!D29</f>
        <v>123705</v>
      </c>
      <c r="D49" s="480">
        <f>'[78]Sch C'!F29</f>
        <v>-123705</v>
      </c>
      <c r="E49" s="480">
        <f>+'[78]Sch C'!H29</f>
        <v>0</v>
      </c>
      <c r="F49" s="166">
        <f t="shared" si="5"/>
        <v>0</v>
      </c>
      <c r="G49" s="626"/>
      <c r="H49" s="608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'[78]Sch C'!D30</f>
        <v>0</v>
      </c>
      <c r="D50" s="480">
        <f>'[78]Sch C'!F30</f>
        <v>0</v>
      </c>
      <c r="E50" s="480">
        <f>+'[78]Sch C'!H30</f>
        <v>0</v>
      </c>
      <c r="F50" s="166">
        <f t="shared" si="5"/>
        <v>0</v>
      </c>
      <c r="G50" s="626"/>
      <c r="H50" s="608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'[78]Sch C'!D31</f>
        <v>140405</v>
      </c>
      <c r="D51" s="480">
        <f>'[78]Sch C'!F31</f>
        <v>0</v>
      </c>
      <c r="E51" s="480">
        <f>+'[78]Sch C'!H31</f>
        <v>-82263</v>
      </c>
      <c r="F51" s="166">
        <f t="shared" si="5"/>
        <v>58142</v>
      </c>
      <c r="G51" s="626"/>
      <c r="H51" s="608"/>
      <c r="I51" s="166">
        <f t="shared" si="6"/>
        <v>58142</v>
      </c>
      <c r="J51" s="167">
        <f t="shared" si="7"/>
        <v>3.6157775812337275E-3</v>
      </c>
      <c r="K51" s="458"/>
      <c r="L51" s="163"/>
      <c r="M51" s="163"/>
      <c r="O51" s="324">
        <f t="shared" si="8"/>
        <v>0.99754653856052156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'[78]Sch C'!D32</f>
        <v>203025</v>
      </c>
      <c r="D52" s="480">
        <f>'[78]Sch C'!F32</f>
        <v>0</v>
      </c>
      <c r="E52" s="480">
        <f>+'[78]Sch C'!H32</f>
        <v>-91361</v>
      </c>
      <c r="F52" s="166">
        <f t="shared" si="5"/>
        <v>111664</v>
      </c>
      <c r="G52" s="626"/>
      <c r="H52" s="608"/>
      <c r="I52" s="166">
        <f t="shared" si="6"/>
        <v>111664</v>
      </c>
      <c r="J52" s="167">
        <f t="shared" si="7"/>
        <v>6.9442431947797281E-3</v>
      </c>
      <c r="K52" s="458"/>
      <c r="L52" s="163"/>
      <c r="M52" s="163"/>
      <c r="O52" s="324">
        <f t="shared" si="8"/>
        <v>1.9158273998455864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'[78]Sch C'!D33</f>
        <v>0</v>
      </c>
      <c r="D53" s="480">
        <f>'[78]Sch C'!F33</f>
        <v>0</v>
      </c>
      <c r="E53" s="480">
        <f>+'[78]Sch C'!H33</f>
        <v>0</v>
      </c>
      <c r="F53" s="166">
        <f t="shared" si="5"/>
        <v>0</v>
      </c>
      <c r="G53" s="626"/>
      <c r="H53" s="608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'[78]Sch C'!D34</f>
        <v>0</v>
      </c>
      <c r="D54" s="480">
        <f>'[78]Sch C'!F34</f>
        <v>0</v>
      </c>
      <c r="E54" s="480">
        <f>+'[78]Sch C'!H34</f>
        <v>0</v>
      </c>
      <c r="F54" s="166">
        <f t="shared" si="5"/>
        <v>0</v>
      </c>
      <c r="G54" s="626"/>
      <c r="H54" s="608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'[78]Sch C'!D35</f>
        <v>221</v>
      </c>
      <c r="D55" s="480">
        <f>'[78]Sch C'!F35</f>
        <v>-221</v>
      </c>
      <c r="E55" s="480">
        <f>+'[78]Sch C'!H35</f>
        <v>0</v>
      </c>
      <c r="F55" s="166">
        <f t="shared" si="5"/>
        <v>0</v>
      </c>
      <c r="G55" s="626"/>
      <c r="H55" s="608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'[78]Sch C'!D36</f>
        <v>180</v>
      </c>
      <c r="D56" s="480">
        <f>'[78]Sch C'!F36</f>
        <v>13</v>
      </c>
      <c r="E56" s="480">
        <f>+'[78]Sch C'!H36</f>
        <v>0</v>
      </c>
      <c r="F56" s="166">
        <f t="shared" si="5"/>
        <v>193</v>
      </c>
      <c r="G56" s="626">
        <v>19900</v>
      </c>
      <c r="H56" s="608"/>
      <c r="I56" s="166">
        <f t="shared" si="6"/>
        <v>20093</v>
      </c>
      <c r="J56" s="167">
        <f t="shared" si="7"/>
        <v>1.2495583044912332E-3</v>
      </c>
      <c r="K56" s="458"/>
      <c r="L56" s="176">
        <v>10</v>
      </c>
      <c r="M56" s="176">
        <v>10</v>
      </c>
      <c r="O56" s="324">
        <f t="shared" si="8"/>
        <v>0.34473706785622371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'[78]Sch C'!D37</f>
        <v>0</v>
      </c>
      <c r="D57" s="480">
        <f>'[78]Sch C'!F37</f>
        <v>0</v>
      </c>
      <c r="E57" s="480">
        <f>+'[78]Sch C'!H37</f>
        <v>0</v>
      </c>
      <c r="F57" s="166">
        <f t="shared" si="5"/>
        <v>0</v>
      </c>
      <c r="G57" s="626"/>
      <c r="H57" s="608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'[78]Sch C'!D38</f>
        <v>2400</v>
      </c>
      <c r="D58" s="480">
        <f>'[78]Sch C'!F38</f>
        <v>-2400</v>
      </c>
      <c r="E58" s="480">
        <f>+'[78]Sch C'!H38</f>
        <v>0</v>
      </c>
      <c r="F58" s="166">
        <f t="shared" si="5"/>
        <v>0</v>
      </c>
      <c r="G58" s="626"/>
      <c r="H58" s="608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'[78]Sch C'!D39</f>
        <v>18537</v>
      </c>
      <c r="D59" s="480">
        <f>'[78]Sch C'!F39</f>
        <v>0</v>
      </c>
      <c r="E59" s="480">
        <f>+'[78]Sch C'!H39</f>
        <v>0</v>
      </c>
      <c r="F59" s="166">
        <f t="shared" si="5"/>
        <v>18537</v>
      </c>
      <c r="G59" s="626"/>
      <c r="H59" s="608"/>
      <c r="I59" s="166">
        <f t="shared" si="6"/>
        <v>18537</v>
      </c>
      <c r="J59" s="167">
        <f t="shared" si="7"/>
        <v>1.1527926287938084E-3</v>
      </c>
      <c r="K59" s="458"/>
      <c r="L59" s="163"/>
      <c r="M59" s="163"/>
      <c r="O59" s="324">
        <f t="shared" si="8"/>
        <v>0.31804066226301791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'[78]Sch C'!D40</f>
        <v>9783</v>
      </c>
      <c r="D60" s="480">
        <f>'[78]Sch C'!F40</f>
        <v>0</v>
      </c>
      <c r="E60" s="480">
        <f>+'[78]Sch C'!H40</f>
        <v>0</v>
      </c>
      <c r="F60" s="166">
        <f t="shared" si="5"/>
        <v>9783</v>
      </c>
      <c r="G60" s="626"/>
      <c r="H60" s="608"/>
      <c r="I60" s="166">
        <f t="shared" si="6"/>
        <v>9783</v>
      </c>
      <c r="J60" s="167">
        <f t="shared" si="7"/>
        <v>6.0839241988940105E-4</v>
      </c>
      <c r="K60" s="458"/>
      <c r="L60" s="163"/>
      <c r="M60" s="163"/>
      <c r="O60" s="324">
        <f t="shared" si="8"/>
        <v>0.16784764519173029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'[78]Sch C'!D41</f>
        <v>102885</v>
      </c>
      <c r="D61" s="480">
        <f>'[78]Sch C'!F41</f>
        <v>0</v>
      </c>
      <c r="E61" s="480">
        <f>+'[78]Sch C'!H41</f>
        <v>0</v>
      </c>
      <c r="F61" s="166">
        <f t="shared" si="5"/>
        <v>102885</v>
      </c>
      <c r="G61" s="626">
        <v>2250</v>
      </c>
      <c r="H61" s="608"/>
      <c r="I61" s="166">
        <f t="shared" si="6"/>
        <v>105135</v>
      </c>
      <c r="J61" s="167">
        <f t="shared" si="7"/>
        <v>6.5382129270236304E-3</v>
      </c>
      <c r="K61" s="458"/>
      <c r="L61" s="163"/>
      <c r="M61" s="163"/>
      <c r="O61" s="324">
        <f t="shared" si="8"/>
        <v>1.8038088702067427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'[78]Sch C'!D42</f>
        <v>35346</v>
      </c>
      <c r="D62" s="480">
        <f>'[78]Sch C'!F42</f>
        <v>0</v>
      </c>
      <c r="E62" s="480">
        <f>+'[78]Sch C'!H42</f>
        <v>0</v>
      </c>
      <c r="F62" s="166">
        <f t="shared" si="5"/>
        <v>35346</v>
      </c>
      <c r="G62" s="626"/>
      <c r="H62" s="608"/>
      <c r="I62" s="166">
        <f t="shared" si="6"/>
        <v>35346</v>
      </c>
      <c r="J62" s="167">
        <f t="shared" si="7"/>
        <v>2.1981231190238955E-3</v>
      </c>
      <c r="K62" s="458"/>
      <c r="L62" s="163"/>
      <c r="M62" s="163"/>
      <c r="O62" s="324">
        <f t="shared" si="8"/>
        <v>0.60643390237625461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'[78]Sch C'!D43</f>
        <v>16268</v>
      </c>
      <c r="D63" s="480">
        <f>'[78]Sch C'!F43</f>
        <v>0</v>
      </c>
      <c r="E63" s="480">
        <f>+'[78]Sch C'!H43</f>
        <v>0</v>
      </c>
      <c r="F63" s="166">
        <f t="shared" si="5"/>
        <v>16268</v>
      </c>
      <c r="G63" s="608">
        <v>-16268</v>
      </c>
      <c r="H63" s="608"/>
      <c r="I63" s="166">
        <f t="shared" si="6"/>
        <v>0</v>
      </c>
      <c r="J63" s="167">
        <f t="shared" si="7"/>
        <v>0</v>
      </c>
      <c r="K63" s="442" t="s">
        <v>735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'[78]Sch C'!D44</f>
        <v>0</v>
      </c>
      <c r="D64" s="480">
        <f>'[78]Sch C'!F44</f>
        <v>0</v>
      </c>
      <c r="E64" s="480">
        <f>+'[78]Sch C'!H44</f>
        <v>0</v>
      </c>
      <c r="F64" s="166">
        <f t="shared" si="5"/>
        <v>0</v>
      </c>
      <c r="G64" s="626"/>
      <c r="H64" s="608"/>
      <c r="I64" s="166">
        <f t="shared" si="6"/>
        <v>0</v>
      </c>
      <c r="J64" s="167">
        <f t="shared" si="7"/>
        <v>0</v>
      </c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'[78]Sch C'!D45</f>
        <v>13921</v>
      </c>
      <c r="D65" s="480">
        <f>'[78]Sch C'!F45</f>
        <v>-11375</v>
      </c>
      <c r="E65" s="480">
        <f>+'[78]Sch C'!H45</f>
        <v>0</v>
      </c>
      <c r="F65" s="166">
        <f t="shared" si="5"/>
        <v>2546</v>
      </c>
      <c r="G65" s="626">
        <v>63293</v>
      </c>
      <c r="H65" s="608"/>
      <c r="I65" s="166">
        <f t="shared" si="6"/>
        <v>65839</v>
      </c>
      <c r="J65" s="167">
        <f t="shared" si="7"/>
        <v>4.0944442945004883E-3</v>
      </c>
      <c r="L65" s="163"/>
      <c r="M65" s="163"/>
      <c r="O65" s="324">
        <f t="shared" si="8"/>
        <v>1.129604529467273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4358589</v>
      </c>
      <c r="D66" s="480">
        <f t="shared" si="9"/>
        <v>-1037469</v>
      </c>
      <c r="E66" s="480">
        <f t="shared" si="9"/>
        <v>-321604</v>
      </c>
      <c r="F66" s="166">
        <f t="shared" ref="F66:I66" si="10">SUM(F30:F65)</f>
        <v>2999516</v>
      </c>
      <c r="G66" s="166">
        <f t="shared" si="10"/>
        <v>492203</v>
      </c>
      <c r="H66" s="166">
        <f t="shared" si="10"/>
        <v>475149</v>
      </c>
      <c r="I66" s="166">
        <f t="shared" si="10"/>
        <v>3966868</v>
      </c>
      <c r="J66" s="178">
        <f t="shared" si="7"/>
        <v>0.24669451312499527</v>
      </c>
      <c r="L66" s="163"/>
      <c r="M66" s="163"/>
      <c r="O66" s="329">
        <f>I66/I$233</f>
        <v>68.059843870635675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377"/>
      <c r="I67" s="160"/>
      <c r="J67" s="179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H68" s="261" t="s">
        <v>667</v>
      </c>
      <c r="I68" s="160"/>
      <c r="J68" s="179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'[78]Sch C'!D57</f>
        <v>897845</v>
      </c>
      <c r="D69" s="480">
        <f>'[78]Sch C'!F57+897845</f>
        <v>0</v>
      </c>
      <c r="E69" s="480">
        <f>+'[78]Sch C'!H57</f>
        <v>0</v>
      </c>
      <c r="F69" s="166">
        <f>C69+D69+E69</f>
        <v>897845</v>
      </c>
      <c r="G69" s="626"/>
      <c r="H69" s="480">
        <v>-897845</v>
      </c>
      <c r="I69" s="166">
        <f>F69+G69+H69</f>
        <v>0</v>
      </c>
      <c r="J69" s="167">
        <f t="shared" ref="J69:J84" si="11">IF($I$213=0,0,I69/$I$213)</f>
        <v>0</v>
      </c>
      <c r="K69" s="261" t="s">
        <v>668</v>
      </c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'[78]Sch C'!D58</f>
        <v>192490</v>
      </c>
      <c r="D70" s="480">
        <f>'[78]Sch C'!F58-99902</f>
        <v>0</v>
      </c>
      <c r="E70" s="480">
        <f>+'[78]Sch C'!H58</f>
        <v>0</v>
      </c>
      <c r="F70" s="166">
        <f t="shared" ref="F70:F83" si="13">C70+D70+E70</f>
        <v>192490</v>
      </c>
      <c r="G70" s="626"/>
      <c r="H70" s="480">
        <f>175793+99902</f>
        <v>275695</v>
      </c>
      <c r="I70" s="166">
        <f t="shared" ref="I70:I83" si="14">F70+G70+H70</f>
        <v>468185</v>
      </c>
      <c r="J70" s="167">
        <f t="shared" si="11"/>
        <v>2.9115834110796202E-2</v>
      </c>
      <c r="K70" s="442" t="s">
        <v>377</v>
      </c>
      <c r="L70" s="182"/>
      <c r="M70" s="163"/>
      <c r="O70" s="324">
        <f t="shared" si="12"/>
        <v>8.0326842240713727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'[78]Sch C'!D59</f>
        <v>0</v>
      </c>
      <c r="D71" s="480">
        <f>'[78]Sch C'!F59</f>
        <v>0</v>
      </c>
      <c r="E71" s="480">
        <f>+'[78]Sch C'!H59</f>
        <v>0</v>
      </c>
      <c r="F71" s="166">
        <f t="shared" si="13"/>
        <v>0</v>
      </c>
      <c r="G71" s="626"/>
      <c r="H71" s="608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'[78]Sch C'!D60</f>
        <v>129247</v>
      </c>
      <c r="D72" s="480">
        <f>'[78]Sch C'!F60</f>
        <v>0</v>
      </c>
      <c r="E72" s="480">
        <f>+'[78]Sch C'!H60</f>
        <v>0</v>
      </c>
      <c r="F72" s="166">
        <f t="shared" si="13"/>
        <v>129247</v>
      </c>
      <c r="G72" s="626"/>
      <c r="H72" s="608"/>
      <c r="I72" s="166">
        <f t="shared" si="14"/>
        <v>129247</v>
      </c>
      <c r="J72" s="167">
        <f t="shared" si="11"/>
        <v>8.0377077679081484E-3</v>
      </c>
      <c r="K72" s="458"/>
      <c r="L72" s="185"/>
      <c r="M72" s="163"/>
      <c r="O72" s="324">
        <f t="shared" si="12"/>
        <v>2.2175002144634126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'[78]Sch C'!D61</f>
        <v>25756</v>
      </c>
      <c r="D73" s="480">
        <f>'[78]Sch C'!F61</f>
        <v>0</v>
      </c>
      <c r="E73" s="480">
        <f>+'[78]Sch C'!H61</f>
        <v>0</v>
      </c>
      <c r="F73" s="166">
        <f t="shared" si="13"/>
        <v>25756</v>
      </c>
      <c r="G73" s="626"/>
      <c r="H73" s="608"/>
      <c r="I73" s="166">
        <f t="shared" si="14"/>
        <v>25756</v>
      </c>
      <c r="J73" s="167">
        <f t="shared" si="11"/>
        <v>1.6017331254902804E-3</v>
      </c>
      <c r="K73" s="458"/>
      <c r="L73" s="185"/>
      <c r="M73" s="163"/>
      <c r="O73" s="324">
        <f t="shared" si="12"/>
        <v>0.44189757227417004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'[78]Sch C'!D62</f>
        <v>11988</v>
      </c>
      <c r="D74" s="480">
        <f>'[78]Sch C'!F62</f>
        <v>0</v>
      </c>
      <c r="E74" s="480">
        <f>+'[78]Sch C'!H62</f>
        <v>0</v>
      </c>
      <c r="F74" s="166">
        <f t="shared" si="13"/>
        <v>11988</v>
      </c>
      <c r="G74" s="626"/>
      <c r="H74" s="608"/>
      <c r="I74" s="166">
        <f t="shared" si="14"/>
        <v>11988</v>
      </c>
      <c r="J74" s="167">
        <f t="shared" si="11"/>
        <v>7.4551858628581625E-4</v>
      </c>
      <c r="K74" s="458"/>
      <c r="L74" s="187"/>
      <c r="M74" s="163"/>
      <c r="O74" s="324">
        <f t="shared" si="12"/>
        <v>0.2056789911641074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'[78]Sch C'!D63</f>
        <v>0</v>
      </c>
      <c r="D75" s="480">
        <f>'[78]Sch C'!F63</f>
        <v>0</v>
      </c>
      <c r="E75" s="480">
        <f>+'[78]Sch C'!H63</f>
        <v>0</v>
      </c>
      <c r="F75" s="166">
        <f t="shared" si="13"/>
        <v>0</v>
      </c>
      <c r="G75" s="626"/>
      <c r="H75" s="608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'[78]Sch C'!D64</f>
        <v>0</v>
      </c>
      <c r="D76" s="480">
        <f>'[78]Sch C'!F64</f>
        <v>0</v>
      </c>
      <c r="E76" s="480">
        <f>+'[78]Sch C'!H64</f>
        <v>0</v>
      </c>
      <c r="F76" s="166">
        <f t="shared" si="13"/>
        <v>0</v>
      </c>
      <c r="G76" s="626"/>
      <c r="H76" s="608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'[78]Sch C'!D65</f>
        <v>7199</v>
      </c>
      <c r="D77" s="480">
        <f>'[78]Sch C'!F65</f>
        <v>0</v>
      </c>
      <c r="E77" s="480">
        <f>+'[78]Sch C'!H65</f>
        <v>0</v>
      </c>
      <c r="F77" s="166">
        <f t="shared" si="13"/>
        <v>7199</v>
      </c>
      <c r="G77" s="626"/>
      <c r="H77" s="608"/>
      <c r="I77" s="166">
        <f t="shared" si="14"/>
        <v>7199</v>
      </c>
      <c r="J77" s="167">
        <f t="shared" si="11"/>
        <v>4.4769672194457712E-4</v>
      </c>
      <c r="K77" s="458"/>
      <c r="L77" s="187"/>
      <c r="M77" s="163"/>
      <c r="O77" s="324">
        <f t="shared" si="12"/>
        <v>0.12351376855108519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'[78]Sch C'!D66</f>
        <v>3619</v>
      </c>
      <c r="D78" s="480">
        <f>'[78]Sch C'!F66</f>
        <v>0</v>
      </c>
      <c r="E78" s="480">
        <f>+'[78]Sch C'!H66</f>
        <v>0</v>
      </c>
      <c r="F78" s="166">
        <f t="shared" si="13"/>
        <v>3619</v>
      </c>
      <c r="G78" s="626">
        <f>13324+13956</f>
        <v>27280</v>
      </c>
      <c r="H78" s="608"/>
      <c r="I78" s="166">
        <f t="shared" si="14"/>
        <v>30899</v>
      </c>
      <c r="J78" s="167">
        <f t="shared" si="11"/>
        <v>1.9215698029400596E-3</v>
      </c>
      <c r="K78" s="458"/>
      <c r="L78" s="187"/>
      <c r="M78" s="163"/>
      <c r="O78" s="324">
        <f t="shared" si="12"/>
        <v>0.53013639873037655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'[78]Sch C'!D67</f>
        <v>192446</v>
      </c>
      <c r="D79" s="480">
        <f>'[78]Sch C'!F67</f>
        <v>-8523</v>
      </c>
      <c r="E79" s="480">
        <f>+'[78]Sch C'!H67</f>
        <v>0</v>
      </c>
      <c r="F79" s="166">
        <f t="shared" si="13"/>
        <v>183923</v>
      </c>
      <c r="G79" s="626"/>
      <c r="H79" s="608"/>
      <c r="I79" s="166">
        <f t="shared" si="14"/>
        <v>183923</v>
      </c>
      <c r="J79" s="167">
        <f t="shared" si="11"/>
        <v>1.1437939184638486E-2</v>
      </c>
      <c r="K79" s="458"/>
      <c r="L79" s="187"/>
      <c r="M79" s="163"/>
      <c r="O79" s="324">
        <f t="shared" si="12"/>
        <v>3.1555803379943383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'[78]Sch C'!D68</f>
        <v>0</v>
      </c>
      <c r="D80" s="480">
        <f>'[78]Sch C'!F68</f>
        <v>0</v>
      </c>
      <c r="E80" s="480">
        <f>+'[78]Sch C'!H68</f>
        <v>0</v>
      </c>
      <c r="F80" s="166">
        <f t="shared" si="13"/>
        <v>0</v>
      </c>
      <c r="G80" s="626"/>
      <c r="H80" s="608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'[78]Sch C'!D69</f>
        <v>13961</v>
      </c>
      <c r="D81" s="480">
        <f>'[78]Sch C'!F69</f>
        <v>0</v>
      </c>
      <c r="E81" s="480">
        <f>+'[78]Sch C'!H69</f>
        <v>0</v>
      </c>
      <c r="F81" s="166">
        <f t="shared" si="13"/>
        <v>13961</v>
      </c>
      <c r="G81" s="626"/>
      <c r="H81" s="608"/>
      <c r="I81" s="166">
        <f t="shared" si="14"/>
        <v>13961</v>
      </c>
      <c r="J81" s="167">
        <f t="shared" si="11"/>
        <v>8.6821696556025024E-4</v>
      </c>
      <c r="K81" s="458"/>
      <c r="L81" s="187"/>
      <c r="M81" s="163"/>
      <c r="O81" s="324">
        <f t="shared" si="12"/>
        <v>0.23952989619970833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'[78]Sch C'!D70</f>
        <v>0</v>
      </c>
      <c r="D82" s="480">
        <f>'[78]Sch C'!F70</f>
        <v>0</v>
      </c>
      <c r="E82" s="480">
        <f>+'[78]Sch C'!H70</f>
        <v>0</v>
      </c>
      <c r="F82" s="166">
        <f t="shared" si="13"/>
        <v>0</v>
      </c>
      <c r="G82" s="626"/>
      <c r="H82" s="608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'[78]Sch C'!D71</f>
        <v>0</v>
      </c>
      <c r="D83" s="480">
        <f>'[78]Sch C'!F71</f>
        <v>0</v>
      </c>
      <c r="E83" s="480">
        <f>+'[78]Sch C'!H71</f>
        <v>0</v>
      </c>
      <c r="F83" s="166">
        <f t="shared" si="13"/>
        <v>0</v>
      </c>
      <c r="G83" s="626"/>
      <c r="H83" s="608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1474551</v>
      </c>
      <c r="D84" s="480">
        <f t="shared" si="15"/>
        <v>-8523</v>
      </c>
      <c r="E84" s="480">
        <f t="shared" si="15"/>
        <v>0</v>
      </c>
      <c r="F84" s="166">
        <f t="shared" ref="F84:I84" si="16">SUM(F69:F83)</f>
        <v>1466028</v>
      </c>
      <c r="G84" s="166">
        <f t="shared" si="16"/>
        <v>27280</v>
      </c>
      <c r="H84" s="166">
        <f t="shared" si="16"/>
        <v>-622150</v>
      </c>
      <c r="I84" s="166">
        <f t="shared" si="16"/>
        <v>871158</v>
      </c>
      <c r="J84" s="167">
        <f t="shared" si="11"/>
        <v>5.417621626556382E-2</v>
      </c>
      <c r="K84" s="458"/>
      <c r="L84" s="187"/>
      <c r="M84" s="163"/>
      <c r="O84" s="324">
        <f t="shared" si="12"/>
        <v>14.946521403448571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375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377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'[78]Sch C'!D75</f>
        <v>143988</v>
      </c>
      <c r="D87" s="480">
        <f>'[78]Sch C'!F75</f>
        <v>0</v>
      </c>
      <c r="E87" s="480">
        <f>+'[78]Sch C'!H75</f>
        <v>0</v>
      </c>
      <c r="F87" s="166">
        <f t="shared" ref="F87:F97" si="17">C87+D87+E87</f>
        <v>143988</v>
      </c>
      <c r="G87" s="626"/>
      <c r="H87" s="608"/>
      <c r="I87" s="166">
        <f t="shared" ref="I87:I97" si="18">F87+G87+H87</f>
        <v>143988</v>
      </c>
      <c r="J87" s="167">
        <f t="shared" ref="J87:J98" si="19">IF($I$213=0,0,I87/$I$213)</f>
        <v>8.9544319487923005E-3</v>
      </c>
      <c r="K87" s="458"/>
      <c r="L87" s="176">
        <v>6097</v>
      </c>
      <c r="M87" s="176">
        <v>6536</v>
      </c>
      <c r="O87" s="324">
        <f t="shared" ref="O87:O97" si="20">I87/I$233</f>
        <v>2.4704126276057305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'[78]Sch C'!D76</f>
        <v>21814</v>
      </c>
      <c r="D88" s="480">
        <f>'[78]Sch C'!F76</f>
        <v>10587</v>
      </c>
      <c r="E88" s="480">
        <f>+'[78]Sch C'!H76</f>
        <v>0</v>
      </c>
      <c r="F88" s="166">
        <f t="shared" si="17"/>
        <v>32401</v>
      </c>
      <c r="G88" s="626"/>
      <c r="H88" s="608"/>
      <c r="I88" s="166">
        <f t="shared" si="18"/>
        <v>32401</v>
      </c>
      <c r="J88" s="167">
        <f t="shared" si="19"/>
        <v>2.0149772868073685E-3</v>
      </c>
      <c r="K88" s="458"/>
      <c r="L88" s="163"/>
      <c r="M88" s="163"/>
      <c r="O88" s="324">
        <f t="shared" si="20"/>
        <v>0.5559063223814017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'[78]Sch C'!D77</f>
        <v>45089</v>
      </c>
      <c r="D89" s="480">
        <f>'[78]Sch C'!F77</f>
        <v>0</v>
      </c>
      <c r="E89" s="480">
        <f>+'[78]Sch C'!H77</f>
        <v>0</v>
      </c>
      <c r="F89" s="166">
        <f t="shared" si="17"/>
        <v>45089</v>
      </c>
      <c r="G89" s="626"/>
      <c r="H89" s="608"/>
      <c r="I89" s="166">
        <f t="shared" si="18"/>
        <v>45089</v>
      </c>
      <c r="J89" s="167">
        <f t="shared" si="19"/>
        <v>2.8040279894095067E-3</v>
      </c>
      <c r="K89" s="458"/>
      <c r="L89" s="163"/>
      <c r="M89" s="163"/>
      <c r="O89" s="324">
        <f t="shared" si="20"/>
        <v>0.77359526464785111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'[78]Sch C'!D78</f>
        <v>0</v>
      </c>
      <c r="D90" s="480">
        <f>'[78]Sch C'!F78</f>
        <v>0</v>
      </c>
      <c r="E90" s="480">
        <f>+'[78]Sch C'!H78</f>
        <v>0</v>
      </c>
      <c r="F90" s="166">
        <f t="shared" si="17"/>
        <v>0</v>
      </c>
      <c r="G90" s="626"/>
      <c r="H90" s="608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'[78]Sch C'!D79</f>
        <v>28787</v>
      </c>
      <c r="D91" s="480">
        <f>'[78]Sch C'!F79</f>
        <v>12064</v>
      </c>
      <c r="E91" s="480">
        <f>+'[78]Sch C'!H79</f>
        <v>0</v>
      </c>
      <c r="F91" s="166">
        <f t="shared" si="17"/>
        <v>40851</v>
      </c>
      <c r="G91" s="626">
        <v>-1304</v>
      </c>
      <c r="H91" s="608"/>
      <c r="I91" s="166">
        <f t="shared" si="18"/>
        <v>39547</v>
      </c>
      <c r="J91" s="167">
        <f t="shared" si="19"/>
        <v>2.4593780056594238E-3</v>
      </c>
      <c r="K91" s="458"/>
      <c r="L91" s="163"/>
      <c r="M91" s="163"/>
      <c r="O91" s="324">
        <f t="shared" si="20"/>
        <v>0.67851076606330962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'[78]Sch C'!D80</f>
        <v>32376</v>
      </c>
      <c r="D92" s="480">
        <f>'[78]Sch C'!F80</f>
        <v>0</v>
      </c>
      <c r="E92" s="480">
        <f>+'[78]Sch C'!H80</f>
        <v>0</v>
      </c>
      <c r="F92" s="166">
        <f t="shared" si="17"/>
        <v>32376</v>
      </c>
      <c r="G92" s="626"/>
      <c r="H92" s="608"/>
      <c r="I92" s="166">
        <f t="shared" si="18"/>
        <v>32376</v>
      </c>
      <c r="J92" s="167">
        <f t="shared" si="19"/>
        <v>2.0134225683674997E-3</v>
      </c>
      <c r="K92" s="458"/>
      <c r="L92" s="163"/>
      <c r="M92" s="163"/>
      <c r="O92" s="324">
        <f t="shared" si="20"/>
        <v>0.55547739555631814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'[78]Sch C'!D81</f>
        <v>66587</v>
      </c>
      <c r="D93" s="480">
        <f>'[78]Sch C'!F81</f>
        <v>0</v>
      </c>
      <c r="E93" s="480">
        <f>+'[78]Sch C'!H81</f>
        <v>0</v>
      </c>
      <c r="F93" s="166">
        <f t="shared" si="17"/>
        <v>66587</v>
      </c>
      <c r="G93" s="626"/>
      <c r="H93" s="608"/>
      <c r="I93" s="166">
        <f t="shared" si="18"/>
        <v>66587</v>
      </c>
      <c r="J93" s="167">
        <f t="shared" si="19"/>
        <v>4.1409614702213587E-3</v>
      </c>
      <c r="K93" s="458"/>
      <c r="L93" s="163"/>
      <c r="M93" s="163"/>
      <c r="O93" s="324">
        <f t="shared" si="20"/>
        <v>1.1424380200737754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'[78]Sch C'!D82</f>
        <v>3314</v>
      </c>
      <c r="D94" s="480">
        <f>'[78]Sch C'!F82</f>
        <v>0</v>
      </c>
      <c r="E94" s="480">
        <f>+'[78]Sch C'!H82</f>
        <v>0</v>
      </c>
      <c r="F94" s="166">
        <f t="shared" si="17"/>
        <v>3314</v>
      </c>
      <c r="G94" s="626"/>
      <c r="H94" s="608"/>
      <c r="I94" s="166">
        <f t="shared" si="18"/>
        <v>3314</v>
      </c>
      <c r="J94" s="167">
        <f t="shared" si="19"/>
        <v>2.0609347638898855E-4</v>
      </c>
      <c r="K94" s="458"/>
      <c r="L94" s="163"/>
      <c r="M94" s="163"/>
      <c r="O94" s="324">
        <f t="shared" si="20"/>
        <v>5.6858539933087412E-2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'[78]Sch C'!D83</f>
        <v>1723</v>
      </c>
      <c r="D95" s="480">
        <f>'[78]Sch C'!F83</f>
        <v>0</v>
      </c>
      <c r="E95" s="480">
        <f>+'[78]Sch C'!H83</f>
        <v>0</v>
      </c>
      <c r="F95" s="166">
        <f t="shared" si="17"/>
        <v>1723</v>
      </c>
      <c r="G95" s="626"/>
      <c r="H95" s="608"/>
      <c r="I95" s="166">
        <f t="shared" si="18"/>
        <v>1723</v>
      </c>
      <c r="J95" s="167">
        <f t="shared" si="19"/>
        <v>1.0715119487574753E-4</v>
      </c>
      <c r="K95" s="458"/>
      <c r="L95" s="163"/>
      <c r="M95" s="163"/>
      <c r="O95" s="324">
        <f t="shared" si="20"/>
        <v>2.956163678476452E-2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'[78]Sch C'!D84</f>
        <v>294220</v>
      </c>
      <c r="D96" s="480">
        <f>'[78]Sch C'!F84</f>
        <v>0</v>
      </c>
      <c r="E96" s="480">
        <f>+'[78]Sch C'!H84</f>
        <v>0</v>
      </c>
      <c r="F96" s="166">
        <f t="shared" si="17"/>
        <v>294220</v>
      </c>
      <c r="G96" s="626"/>
      <c r="H96" s="608"/>
      <c r="I96" s="166">
        <f t="shared" si="18"/>
        <v>294220</v>
      </c>
      <c r="J96" s="167">
        <f t="shared" si="19"/>
        <v>1.8297170375126195E-2</v>
      </c>
      <c r="K96" s="458"/>
      <c r="L96" s="163"/>
      <c r="M96" s="163"/>
      <c r="O96" s="324">
        <f t="shared" si="20"/>
        <v>5.0479540190443508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'[78]Sch C'!D85</f>
        <v>348</v>
      </c>
      <c r="D97" s="480">
        <f>'[78]Sch C'!F85</f>
        <v>0</v>
      </c>
      <c r="E97" s="480">
        <f>+'[78]Sch C'!H85</f>
        <v>0</v>
      </c>
      <c r="F97" s="166">
        <f t="shared" si="17"/>
        <v>348</v>
      </c>
      <c r="G97" s="626"/>
      <c r="H97" s="608"/>
      <c r="I97" s="166">
        <f t="shared" si="18"/>
        <v>348</v>
      </c>
      <c r="J97" s="167">
        <f t="shared" si="19"/>
        <v>2.1641680682971642E-5</v>
      </c>
      <c r="K97" s="458"/>
      <c r="L97" s="163"/>
      <c r="M97" s="163"/>
      <c r="O97" s="324">
        <f t="shared" si="20"/>
        <v>5.9706614051642792E-3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638246</v>
      </c>
      <c r="D98" s="480">
        <f t="shared" si="21"/>
        <v>22651</v>
      </c>
      <c r="E98" s="480">
        <f t="shared" si="21"/>
        <v>0</v>
      </c>
      <c r="F98" s="166">
        <f t="shared" ref="F98:I98" si="22">SUM(F87:F97)</f>
        <v>660897</v>
      </c>
      <c r="G98" s="166">
        <f t="shared" si="22"/>
        <v>-1304</v>
      </c>
      <c r="H98" s="166">
        <f t="shared" si="22"/>
        <v>0</v>
      </c>
      <c r="I98" s="166">
        <f t="shared" si="22"/>
        <v>659593</v>
      </c>
      <c r="J98" s="167">
        <f t="shared" si="19"/>
        <v>4.1019255996331362E-2</v>
      </c>
      <c r="K98" s="458"/>
      <c r="L98" s="163"/>
      <c r="M98" s="163"/>
      <c r="O98" s="329">
        <f>I98/I$233</f>
        <v>11.316685253495754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377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377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'[78]Sch C'!D89</f>
        <v>468710</v>
      </c>
      <c r="D101" s="480">
        <f>'[78]Sch C'!F89</f>
        <v>0</v>
      </c>
      <c r="E101" s="480">
        <f>+'[78]Sch C'!H89</f>
        <v>0</v>
      </c>
      <c r="F101" s="166">
        <f t="shared" ref="F101:F106" si="23">C101+D101+E101</f>
        <v>468710</v>
      </c>
      <c r="G101" s="626"/>
      <c r="H101" s="608"/>
      <c r="I101" s="166">
        <f t="shared" ref="I101:I106" si="24">F101+G101+H101</f>
        <v>468710</v>
      </c>
      <c r="J101" s="167">
        <f t="shared" ref="J101:J107" si="25">IF($I$213=0,0,I101/$I$213)</f>
        <v>2.9148483198033443E-2</v>
      </c>
      <c r="K101" s="458"/>
      <c r="L101" s="176">
        <v>36600</v>
      </c>
      <c r="M101" s="176">
        <v>39668</v>
      </c>
      <c r="O101" s="329">
        <f t="shared" ref="O101:O106" si="26">I101/I$233</f>
        <v>8.0416916873981297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'[78]Sch C'!D90</f>
        <v>81769</v>
      </c>
      <c r="D102" s="480">
        <f>'[78]Sch C'!F90</f>
        <v>34463</v>
      </c>
      <c r="E102" s="480">
        <f>+'[78]Sch C'!H90</f>
        <v>0</v>
      </c>
      <c r="F102" s="166">
        <f t="shared" si="23"/>
        <v>116232</v>
      </c>
      <c r="G102" s="626"/>
      <c r="H102" s="608"/>
      <c r="I102" s="166">
        <f t="shared" si="24"/>
        <v>116232</v>
      </c>
      <c r="J102" s="167">
        <f t="shared" si="25"/>
        <v>7.2283213481125286E-3</v>
      </c>
      <c r="K102" s="458"/>
      <c r="L102" s="163"/>
      <c r="M102" s="163"/>
      <c r="O102" s="329">
        <f t="shared" si="26"/>
        <v>1.9942009093248692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'[78]Sch C'!D91</f>
        <v>25873</v>
      </c>
      <c r="D103" s="480">
        <f>'[78]Sch C'!F91</f>
        <v>0</v>
      </c>
      <c r="E103" s="480">
        <f>+'[78]Sch C'!H91</f>
        <v>0</v>
      </c>
      <c r="F103" s="166">
        <f t="shared" si="23"/>
        <v>25873</v>
      </c>
      <c r="G103" s="626"/>
      <c r="H103" s="608"/>
      <c r="I103" s="166">
        <f t="shared" si="24"/>
        <v>25873</v>
      </c>
      <c r="J103" s="167">
        <f t="shared" si="25"/>
        <v>1.6090092077888658E-3</v>
      </c>
      <c r="K103" s="458"/>
      <c r="L103" s="163"/>
      <c r="M103" s="163"/>
      <c r="O103" s="329">
        <f t="shared" si="26"/>
        <v>0.44390494981556144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'[78]Sch C'!D92</f>
        <v>345591</v>
      </c>
      <c r="D104" s="480">
        <f>'[78]Sch C'!F92</f>
        <v>0</v>
      </c>
      <c r="E104" s="480">
        <f>+'[78]Sch C'!H92</f>
        <v>0</v>
      </c>
      <c r="F104" s="166">
        <f t="shared" si="23"/>
        <v>345591</v>
      </c>
      <c r="G104" s="626"/>
      <c r="H104" s="608"/>
      <c r="I104" s="166">
        <f t="shared" si="24"/>
        <v>345591</v>
      </c>
      <c r="J104" s="167">
        <f t="shared" si="25"/>
        <v>2.1491868014105898E-2</v>
      </c>
      <c r="K104" s="458"/>
      <c r="L104" s="163"/>
      <c r="M104" s="163"/>
      <c r="O104" s="329">
        <f t="shared" si="26"/>
        <v>5.9293300162992191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'[78]Sch C'!D93</f>
        <v>36144</v>
      </c>
      <c r="D105" s="480">
        <f>'[78]Sch C'!F93</f>
        <v>5003</v>
      </c>
      <c r="E105" s="480">
        <f>+'[78]Sch C'!H93</f>
        <v>0</v>
      </c>
      <c r="F105" s="166">
        <f t="shared" si="23"/>
        <v>41147</v>
      </c>
      <c r="G105" s="626"/>
      <c r="H105" s="608"/>
      <c r="I105" s="166">
        <f t="shared" si="24"/>
        <v>41147</v>
      </c>
      <c r="J105" s="167">
        <f t="shared" si="25"/>
        <v>2.5588799858110175E-3</v>
      </c>
      <c r="K105" s="458"/>
      <c r="L105" s="163"/>
      <c r="M105" s="163"/>
      <c r="O105" s="329">
        <f t="shared" si="26"/>
        <v>0.70596208286866258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'[78]Sch C'!D94</f>
        <v>0</v>
      </c>
      <c r="D106" s="480">
        <f>'[78]Sch C'!F94</f>
        <v>0</v>
      </c>
      <c r="E106" s="480">
        <f>+'[78]Sch C'!H94</f>
        <v>0</v>
      </c>
      <c r="F106" s="166">
        <f t="shared" si="23"/>
        <v>0</v>
      </c>
      <c r="G106" s="626"/>
      <c r="H106" s="608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958087</v>
      </c>
      <c r="D107" s="480">
        <f t="shared" si="27"/>
        <v>39466</v>
      </c>
      <c r="E107" s="480">
        <f t="shared" si="27"/>
        <v>0</v>
      </c>
      <c r="F107" s="166">
        <f t="shared" ref="F107:I107" si="28">SUM(F101:F106)</f>
        <v>997553</v>
      </c>
      <c r="G107" s="166">
        <f t="shared" si="28"/>
        <v>0</v>
      </c>
      <c r="H107" s="166">
        <f t="shared" si="28"/>
        <v>0</v>
      </c>
      <c r="I107" s="166">
        <f t="shared" si="28"/>
        <v>997553</v>
      </c>
      <c r="J107" s="167">
        <f t="shared" si="25"/>
        <v>6.2036561753851756E-2</v>
      </c>
      <c r="K107" s="458"/>
      <c r="L107" s="163"/>
      <c r="M107" s="163"/>
      <c r="O107" s="329">
        <f>I107/I$233</f>
        <v>17.115089645706444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377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377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'[78]Sch C'!D98</f>
        <v>60227</v>
      </c>
      <c r="D110" s="480">
        <f>'[78]Sch C'!F98</f>
        <v>0</v>
      </c>
      <c r="E110" s="480">
        <f>+'[78]Sch C'!H98</f>
        <v>0</v>
      </c>
      <c r="F110" s="166">
        <f t="shared" ref="F110:F115" si="29">C110+D110+E110</f>
        <v>60227</v>
      </c>
      <c r="G110" s="626"/>
      <c r="H110" s="608"/>
      <c r="I110" s="166">
        <f t="shared" ref="I110:I115" si="30">F110+G110+H110</f>
        <v>60227</v>
      </c>
      <c r="J110" s="167">
        <f t="shared" ref="J110:J116" si="31">IF($I$213=0,0,I110/$I$213)</f>
        <v>3.745441099118773E-3</v>
      </c>
      <c r="K110" s="458"/>
      <c r="L110" s="176">
        <v>5562</v>
      </c>
      <c r="M110" s="176">
        <v>5968</v>
      </c>
      <c r="O110" s="329">
        <f t="shared" ref="O110:O115" si="32">I110/I$233</f>
        <v>1.0333190357724973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'[78]Sch C'!D99</f>
        <v>9706</v>
      </c>
      <c r="D111" s="480">
        <f>'[78]Sch C'!F99</f>
        <v>4428</v>
      </c>
      <c r="E111" s="480">
        <f>+'[78]Sch C'!H99</f>
        <v>0</v>
      </c>
      <c r="F111" s="166">
        <f t="shared" si="29"/>
        <v>14134</v>
      </c>
      <c r="G111" s="626"/>
      <c r="H111" s="608"/>
      <c r="I111" s="166">
        <f t="shared" si="30"/>
        <v>14134</v>
      </c>
      <c r="J111" s="167">
        <f t="shared" si="31"/>
        <v>8.7897561716414135E-4</v>
      </c>
      <c r="K111" s="458"/>
      <c r="L111" s="163"/>
      <c r="M111" s="163"/>
      <c r="O111" s="329">
        <f t="shared" si="32"/>
        <v>0.24249806982928712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'[78]Sch C'!D100</f>
        <v>11869</v>
      </c>
      <c r="D112" s="480">
        <f>'[78]Sch C'!F100</f>
        <v>0</v>
      </c>
      <c r="E112" s="480">
        <f>+'[78]Sch C'!H100</f>
        <v>0</v>
      </c>
      <c r="F112" s="166">
        <f t="shared" si="29"/>
        <v>11869</v>
      </c>
      <c r="G112" s="626"/>
      <c r="H112" s="608"/>
      <c r="I112" s="166">
        <f t="shared" si="30"/>
        <v>11869</v>
      </c>
      <c r="J112" s="167">
        <f t="shared" si="31"/>
        <v>7.3811812651204147E-4</v>
      </c>
      <c r="K112" s="458"/>
      <c r="L112" s="163"/>
      <c r="M112" s="163"/>
      <c r="O112" s="329">
        <f t="shared" si="32"/>
        <v>0.20363729947670928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'[78]Sch C'!D101</f>
        <v>0</v>
      </c>
      <c r="D113" s="480">
        <f>'[78]Sch C'!F101</f>
        <v>0</v>
      </c>
      <c r="E113" s="480">
        <f>+'[78]Sch C'!H101</f>
        <v>0</v>
      </c>
      <c r="F113" s="166">
        <f t="shared" si="29"/>
        <v>0</v>
      </c>
      <c r="G113" s="626"/>
      <c r="H113" s="608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'[78]Sch C'!D102</f>
        <v>8444</v>
      </c>
      <c r="D114" s="480">
        <f>'[78]Sch C'!F102</f>
        <v>0</v>
      </c>
      <c r="E114" s="480">
        <f>+'[78]Sch C'!H102</f>
        <v>0</v>
      </c>
      <c r="F114" s="166">
        <f t="shared" si="29"/>
        <v>8444</v>
      </c>
      <c r="G114" s="626"/>
      <c r="H114" s="608"/>
      <c r="I114" s="166">
        <f t="shared" si="30"/>
        <v>8444</v>
      </c>
      <c r="J114" s="167">
        <f t="shared" si="31"/>
        <v>5.2512170025003605E-4</v>
      </c>
      <c r="K114" s="458"/>
      <c r="L114" s="163"/>
      <c r="M114" s="163"/>
      <c r="O114" s="329">
        <f t="shared" si="32"/>
        <v>0.1448743244402505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'[78]Sch C'!D103</f>
        <v>0</v>
      </c>
      <c r="D115" s="480">
        <f>'[78]Sch C'!F103</f>
        <v>0</v>
      </c>
      <c r="E115" s="480">
        <f>+'[78]Sch C'!H103</f>
        <v>0</v>
      </c>
      <c r="F115" s="166">
        <f t="shared" si="29"/>
        <v>0</v>
      </c>
      <c r="G115" s="626"/>
      <c r="H115" s="608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90246</v>
      </c>
      <c r="D116" s="480">
        <f t="shared" si="33"/>
        <v>4428</v>
      </c>
      <c r="E116" s="480">
        <f t="shared" si="33"/>
        <v>0</v>
      </c>
      <c r="F116" s="166">
        <f t="shared" ref="F116:I116" si="34">SUM(F110:F115)</f>
        <v>94674</v>
      </c>
      <c r="G116" s="166">
        <f t="shared" si="34"/>
        <v>0</v>
      </c>
      <c r="H116" s="166">
        <f t="shared" si="34"/>
        <v>0</v>
      </c>
      <c r="I116" s="166">
        <f t="shared" si="34"/>
        <v>94674</v>
      </c>
      <c r="J116" s="167">
        <f t="shared" si="31"/>
        <v>5.8876565430449916E-3</v>
      </c>
      <c r="K116" s="458"/>
      <c r="L116" s="163"/>
      <c r="M116" s="163"/>
      <c r="O116" s="329">
        <f>I116/I$233</f>
        <v>1.6243287295187441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377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377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'[78]Sch C'!D115</f>
        <v>276869</v>
      </c>
      <c r="D119" s="480">
        <f>'[78]Sch C'!F115</f>
        <v>0</v>
      </c>
      <c r="E119" s="480">
        <f>+'[78]Sch C'!H115</f>
        <v>0</v>
      </c>
      <c r="F119" s="166">
        <f t="shared" ref="F119:F123" si="35">C119+D119+E119</f>
        <v>276869</v>
      </c>
      <c r="G119" s="626"/>
      <c r="H119" s="608"/>
      <c r="I119" s="166">
        <f t="shared" ref="I119:I123" si="36">F119+G119+H119</f>
        <v>276869</v>
      </c>
      <c r="J119" s="167">
        <f t="shared" ref="J119:J124" si="37">IF($I$213=0,0,I119/$I$213)</f>
        <v>1.7218133589119756E-2</v>
      </c>
      <c r="K119" s="458"/>
      <c r="L119" s="176">
        <v>24739</v>
      </c>
      <c r="M119" s="176">
        <v>26762</v>
      </c>
      <c r="O119" s="329">
        <f t="shared" ref="O119:O124" si="38">I119/I$233</f>
        <v>4.7502616453633006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'[78]Sch C'!D116</f>
        <v>47347</v>
      </c>
      <c r="D120" s="480">
        <f>'[78]Sch C'!F116</f>
        <v>20357</v>
      </c>
      <c r="E120" s="480">
        <f>+'[78]Sch C'!H116</f>
        <v>0</v>
      </c>
      <c r="F120" s="166">
        <f t="shared" si="35"/>
        <v>67704</v>
      </c>
      <c r="G120" s="626"/>
      <c r="H120" s="608"/>
      <c r="I120" s="166">
        <f t="shared" si="36"/>
        <v>67704</v>
      </c>
      <c r="J120" s="167">
        <f t="shared" si="37"/>
        <v>4.2104262901146898E-3</v>
      </c>
      <c r="K120" s="458"/>
      <c r="L120" s="163"/>
      <c r="M120" s="163"/>
      <c r="O120" s="329">
        <f t="shared" si="38"/>
        <v>1.1616024706185124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'[78]Sch C'!D117</f>
        <v>62420</v>
      </c>
      <c r="D121" s="480">
        <f>'[78]Sch C'!F117</f>
        <v>0</v>
      </c>
      <c r="E121" s="480">
        <f>+'[78]Sch C'!H117</f>
        <v>0</v>
      </c>
      <c r="F121" s="166">
        <f t="shared" si="35"/>
        <v>62420</v>
      </c>
      <c r="G121" s="626"/>
      <c r="H121" s="608"/>
      <c r="I121" s="166">
        <f t="shared" si="36"/>
        <v>62420</v>
      </c>
      <c r="J121" s="167">
        <f t="shared" si="37"/>
        <v>3.8818210006640514E-3</v>
      </c>
      <c r="K121" s="458"/>
      <c r="L121" s="163"/>
      <c r="M121" s="163"/>
      <c r="O121" s="329">
        <f t="shared" si="38"/>
        <v>1.0709444968688342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'[78]Sch C'!D118</f>
        <v>1105</v>
      </c>
      <c r="D122" s="480">
        <f>'[78]Sch C'!F118</f>
        <v>0</v>
      </c>
      <c r="E122" s="480">
        <f>+'[78]Sch C'!H118</f>
        <v>0</v>
      </c>
      <c r="F122" s="166">
        <f t="shared" si="35"/>
        <v>1105</v>
      </c>
      <c r="G122" s="626"/>
      <c r="H122" s="608"/>
      <c r="I122" s="166">
        <f t="shared" si="36"/>
        <v>1105</v>
      </c>
      <c r="J122" s="167">
        <f t="shared" si="37"/>
        <v>6.8718555042194431E-5</v>
      </c>
      <c r="K122" s="458"/>
      <c r="L122" s="163"/>
      <c r="M122" s="163"/>
      <c r="O122" s="329">
        <f t="shared" si="38"/>
        <v>1.8958565668696921E-2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'[78]Sch C'!D119</f>
        <v>0</v>
      </c>
      <c r="D123" s="480">
        <f>'[78]Sch C'!F119</f>
        <v>0</v>
      </c>
      <c r="E123" s="480">
        <f>+'[78]Sch C'!H119</f>
        <v>0</v>
      </c>
      <c r="F123" s="166">
        <f t="shared" si="35"/>
        <v>0</v>
      </c>
      <c r="G123" s="626"/>
      <c r="H123" s="608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387741</v>
      </c>
      <c r="D124" s="480">
        <f t="shared" si="39"/>
        <v>20357</v>
      </c>
      <c r="E124" s="480">
        <f t="shared" si="39"/>
        <v>0</v>
      </c>
      <c r="F124" s="166">
        <f t="shared" ref="F124:I124" si="40">SUM(F119:F123)</f>
        <v>408098</v>
      </c>
      <c r="G124" s="166">
        <f t="shared" si="40"/>
        <v>0</v>
      </c>
      <c r="H124" s="166">
        <f t="shared" si="40"/>
        <v>0</v>
      </c>
      <c r="I124" s="166">
        <f t="shared" si="40"/>
        <v>408098</v>
      </c>
      <c r="J124" s="167">
        <f t="shared" si="37"/>
        <v>2.5379099434940693E-2</v>
      </c>
      <c r="K124" s="458"/>
      <c r="L124" s="163"/>
      <c r="M124" s="163"/>
      <c r="O124" s="329">
        <f t="shared" si="38"/>
        <v>7.0017671785193443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375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377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492"/>
      <c r="H127" s="377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'[78]Sch C'!D124</f>
        <v>0</v>
      </c>
      <c r="D128" s="480">
        <f>'[78]Sch C'!F124</f>
        <v>0</v>
      </c>
      <c r="E128" s="480">
        <f>+'[78]Sch C'!H124</f>
        <v>0</v>
      </c>
      <c r="F128" s="166">
        <f t="shared" ref="F128:F132" si="41">C128+D128+E128</f>
        <v>0</v>
      </c>
      <c r="G128" s="626"/>
      <c r="H128" s="608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'[78]Sch C'!D125</f>
        <v>496181</v>
      </c>
      <c r="D129" s="480">
        <f>'[78]Sch C'!F125</f>
        <v>0</v>
      </c>
      <c r="E129" s="480">
        <f>+'[78]Sch C'!H125</f>
        <v>102427</v>
      </c>
      <c r="F129" s="166">
        <f t="shared" si="41"/>
        <v>598608</v>
      </c>
      <c r="G129" s="626"/>
      <c r="H129" s="608"/>
      <c r="I129" s="166">
        <f t="shared" si="42"/>
        <v>598608</v>
      </c>
      <c r="J129" s="167">
        <f>IF($I$213=0,0,I129/$I$213)</f>
        <v>3.722667583411577E-2</v>
      </c>
      <c r="K129" s="442"/>
      <c r="L129" s="176">
        <v>12221</v>
      </c>
      <c r="M129" s="176">
        <v>12780</v>
      </c>
      <c r="O129" s="329">
        <f t="shared" si="43"/>
        <v>10.27036115638672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'[78]Sch C'!D126</f>
        <v>167808</v>
      </c>
      <c r="D130" s="480">
        <f>'[78]Sch C'!F126</f>
        <v>0</v>
      </c>
      <c r="E130" s="480">
        <f>+'[78]Sch C'!H126</f>
        <v>0</v>
      </c>
      <c r="F130" s="166">
        <f t="shared" si="41"/>
        <v>167808</v>
      </c>
      <c r="G130" s="626"/>
      <c r="H130" s="608"/>
      <c r="I130" s="166">
        <f t="shared" si="42"/>
        <v>167808</v>
      </c>
      <c r="J130" s="167">
        <f>IF($I$213=0,0,I130/$I$213)</f>
        <v>1.0435767678299153E-2</v>
      </c>
      <c r="L130" s="176">
        <v>4374</v>
      </c>
      <c r="M130" s="176">
        <v>4600</v>
      </c>
      <c r="O130" s="329">
        <f t="shared" si="43"/>
        <v>2.8790941065454234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'[78]Sch C'!D127</f>
        <v>0</v>
      </c>
      <c r="D131" s="480">
        <f>'[78]Sch C'!F127</f>
        <v>0</v>
      </c>
      <c r="E131" s="480">
        <f>+'[78]Sch C'!H127</f>
        <v>0</v>
      </c>
      <c r="F131" s="166">
        <f t="shared" si="41"/>
        <v>0</v>
      </c>
      <c r="G131" s="626"/>
      <c r="H131" s="608"/>
      <c r="I131" s="166">
        <f t="shared" si="42"/>
        <v>0</v>
      </c>
      <c r="J131" s="167">
        <f>IF($I$213=0,0,I131/$I$213)</f>
        <v>0</v>
      </c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'[78]Sch C'!D128</f>
        <v>84932</v>
      </c>
      <c r="D132" s="480">
        <f>'[78]Sch C'!F128</f>
        <v>0</v>
      </c>
      <c r="E132" s="480">
        <f>+'[78]Sch C'!H128</f>
        <v>0</v>
      </c>
      <c r="F132" s="166">
        <f t="shared" si="41"/>
        <v>84932</v>
      </c>
      <c r="G132" s="626"/>
      <c r="H132" s="608"/>
      <c r="I132" s="166">
        <f t="shared" si="42"/>
        <v>84932</v>
      </c>
      <c r="J132" s="167">
        <f>IF($I$213=0,0,I132/$I$213)</f>
        <v>5.2818138613969752E-3</v>
      </c>
      <c r="L132" s="176">
        <v>4762</v>
      </c>
      <c r="M132" s="176">
        <v>5004</v>
      </c>
      <c r="O132" s="329">
        <f t="shared" si="43"/>
        <v>1.4571845243201509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375"/>
      <c r="I133" s="197"/>
      <c r="J133" s="198"/>
      <c r="K133" s="686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'[78]Sch C'!D130</f>
        <v>0</v>
      </c>
      <c r="D134" s="480">
        <f>'[78]Sch C'!F130</f>
        <v>0</v>
      </c>
      <c r="E134" s="480">
        <f>+'[78]Sch C'!H130</f>
        <v>0</v>
      </c>
      <c r="F134" s="166">
        <f t="shared" ref="F134:F138" si="44">C134+D134+E134</f>
        <v>0</v>
      </c>
      <c r="G134" s="626"/>
      <c r="H134" s="608"/>
      <c r="I134" s="166">
        <f t="shared" ref="I134:I138" si="45">F134+G134+H134</f>
        <v>0</v>
      </c>
      <c r="J134" s="167">
        <f>IF($I$213=0,0,I134/$I$213)</f>
        <v>0</v>
      </c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'[78]Sch C'!D131</f>
        <v>0</v>
      </c>
      <c r="D135" s="480">
        <f>'[78]Sch C'!F131</f>
        <v>36483</v>
      </c>
      <c r="E135" s="480">
        <f>+'[78]Sch C'!H131</f>
        <v>11218</v>
      </c>
      <c r="F135" s="166">
        <f t="shared" si="44"/>
        <v>47701</v>
      </c>
      <c r="G135" s="626">
        <f>94585</f>
        <v>94585</v>
      </c>
      <c r="H135" s="608"/>
      <c r="I135" s="166">
        <f t="shared" si="45"/>
        <v>142286</v>
      </c>
      <c r="J135" s="167">
        <f>IF($I$213=0,0,I135/$I$213)</f>
        <v>8.8485867174060429E-3</v>
      </c>
      <c r="K135" s="442"/>
      <c r="L135" s="196"/>
      <c r="M135" s="196"/>
      <c r="O135" s="329">
        <f t="shared" si="43"/>
        <v>2.4412112893540363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'[78]Sch C'!D132</f>
        <v>0</v>
      </c>
      <c r="D136" s="480">
        <f>'[78]Sch C'!F132</f>
        <v>12338</v>
      </c>
      <c r="E136" s="480">
        <f>+'[78]Sch C'!H132</f>
        <v>0</v>
      </c>
      <c r="F136" s="166">
        <f t="shared" si="44"/>
        <v>12338</v>
      </c>
      <c r="G136" s="626">
        <v>26515</v>
      </c>
      <c r="H136" s="608"/>
      <c r="I136" s="166">
        <f t="shared" si="45"/>
        <v>38853</v>
      </c>
      <c r="J136" s="167">
        <f>IF($I$213=0,0,I136/$I$213)</f>
        <v>2.41621902176867E-3</v>
      </c>
      <c r="K136" s="458"/>
      <c r="L136" s="163"/>
      <c r="M136" s="163"/>
      <c r="O136" s="329">
        <f t="shared" si="43"/>
        <v>0.6666037573989877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'[78]Sch C'!D133</f>
        <v>0</v>
      </c>
      <c r="D137" s="480">
        <f>'[78]Sch C'!F133</f>
        <v>0</v>
      </c>
      <c r="E137" s="480">
        <f>+'[78]Sch C'!H133</f>
        <v>0</v>
      </c>
      <c r="F137" s="166">
        <f t="shared" si="44"/>
        <v>0</v>
      </c>
      <c r="G137" s="626"/>
      <c r="H137" s="608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'[78]Sch C'!D134</f>
        <v>0</v>
      </c>
      <c r="D138" s="480">
        <f>'[78]Sch C'!F134</f>
        <v>6245</v>
      </c>
      <c r="E138" s="480">
        <f>+'[78]Sch C'!H134</f>
        <v>0</v>
      </c>
      <c r="F138" s="166">
        <f t="shared" si="44"/>
        <v>6245</v>
      </c>
      <c r="G138" s="626">
        <v>13420</v>
      </c>
      <c r="H138" s="608"/>
      <c r="I138" s="166">
        <f t="shared" si="45"/>
        <v>19665</v>
      </c>
      <c r="J138" s="167">
        <f>IF($I$213=0,0,I138/$I$213)</f>
        <v>1.222941524800682E-3</v>
      </c>
      <c r="K138" s="458"/>
      <c r="L138" s="163"/>
      <c r="M138" s="163"/>
      <c r="O138" s="329">
        <f t="shared" si="43"/>
        <v>0.33739384061079181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375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'[78]Sch C'!D136</f>
        <v>1559872</v>
      </c>
      <c r="D140" s="480">
        <f>'[78]Sch C'!F136</f>
        <v>0</v>
      </c>
      <c r="E140" s="480">
        <f>+'[78]Sch C'!H136</f>
        <v>0</v>
      </c>
      <c r="F140" s="166">
        <f t="shared" ref="F140:F143" si="46">C140+D140+E140</f>
        <v>1559872</v>
      </c>
      <c r="G140" s="626"/>
      <c r="H140" s="608"/>
      <c r="I140" s="166">
        <f t="shared" ref="I140:I143" si="47">F140+G140+H140</f>
        <v>1559872</v>
      </c>
      <c r="J140" s="167">
        <f>IF($I$213=0,0,I140/$I$213)</f>
        <v>9.7006470489391788E-2</v>
      </c>
      <c r="K140" s="458"/>
      <c r="L140" s="176">
        <v>50552</v>
      </c>
      <c r="M140" s="176">
        <v>54954.181005783867</v>
      </c>
      <c r="O140" s="329">
        <f t="shared" si="43"/>
        <v>26.762837779874754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'[78]Sch C'!D137</f>
        <v>461758</v>
      </c>
      <c r="D141" s="480">
        <f>'[78]Sch C'!F137</f>
        <v>0</v>
      </c>
      <c r="E141" s="480">
        <f>+'[78]Sch C'!H137</f>
        <v>0</v>
      </c>
      <c r="F141" s="166">
        <f t="shared" si="46"/>
        <v>461758</v>
      </c>
      <c r="G141" s="626"/>
      <c r="H141" s="608"/>
      <c r="I141" s="166">
        <f t="shared" si="47"/>
        <v>461758</v>
      </c>
      <c r="J141" s="167">
        <f>IF($I$213=0,0,I141/$I$213)</f>
        <v>2.8716147094274769E-2</v>
      </c>
      <c r="K141" s="458"/>
      <c r="L141" s="176">
        <v>16536</v>
      </c>
      <c r="M141" s="176">
        <v>17723.21349941042</v>
      </c>
      <c r="O141" s="329">
        <f t="shared" si="43"/>
        <v>7.9224157158788708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'[78]Sch C'!D138</f>
        <v>1862723</v>
      </c>
      <c r="D142" s="480">
        <f>'[78]Sch C'!F138</f>
        <v>0</v>
      </c>
      <c r="E142" s="480">
        <f>+'[78]Sch C'!H138</f>
        <v>0</v>
      </c>
      <c r="F142" s="166">
        <f t="shared" si="46"/>
        <v>1862723</v>
      </c>
      <c r="G142" s="626"/>
      <c r="H142" s="608"/>
      <c r="I142" s="166">
        <f t="shared" si="47"/>
        <v>1862723</v>
      </c>
      <c r="J142" s="167">
        <f>IF($I$213=0,0,I142/$I$213)</f>
        <v>0.11584039185869824</v>
      </c>
      <c r="K142" s="458"/>
      <c r="L142" s="176">
        <v>125072</v>
      </c>
      <c r="M142" s="176">
        <v>133793.71683543775</v>
      </c>
      <c r="O142" s="329">
        <f t="shared" si="43"/>
        <v>31.958874496010981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'[78]Sch C'!D139</f>
        <v>218530</v>
      </c>
      <c r="D143" s="480">
        <f>'[78]Sch C'!F139</f>
        <v>0</v>
      </c>
      <c r="E143" s="480">
        <f>+'[78]Sch C'!H139</f>
        <v>0</v>
      </c>
      <c r="F143" s="166">
        <f t="shared" si="46"/>
        <v>218530</v>
      </c>
      <c r="G143" s="626"/>
      <c r="H143" s="608"/>
      <c r="I143" s="166">
        <f t="shared" si="47"/>
        <v>218530</v>
      </c>
      <c r="J143" s="167">
        <f>IF($I$213=0,0,I143/$I$213)</f>
        <v>1.3590104826579864E-2</v>
      </c>
      <c r="K143" s="458"/>
      <c r="L143" s="176">
        <v>15147</v>
      </c>
      <c r="M143" s="176">
        <v>15512.998397819532</v>
      </c>
      <c r="O143" s="329">
        <f t="shared" si="43"/>
        <v>3.7493351634211205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375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'[78]Sch C'!D141</f>
        <v>0</v>
      </c>
      <c r="D145" s="480">
        <f>'[78]Sch C'!F141</f>
        <v>114693</v>
      </c>
      <c r="E145" s="480">
        <f>+'[78]Sch C'!H141</f>
        <v>0</v>
      </c>
      <c r="F145" s="166">
        <f t="shared" ref="F145:F148" si="48">C145+D145+E145</f>
        <v>114693</v>
      </c>
      <c r="G145" s="626">
        <v>246473</v>
      </c>
      <c r="H145" s="608"/>
      <c r="I145" s="166">
        <f t="shared" ref="I145:I148" si="49">F145+G145+H145</f>
        <v>361166</v>
      </c>
      <c r="J145" s="167">
        <f>IF($I$213=0,0,I145/$I$213)</f>
        <v>2.246045760214407E-2</v>
      </c>
      <c r="K145" s="458"/>
      <c r="L145" s="163"/>
      <c r="M145" s="163"/>
      <c r="O145" s="329">
        <f t="shared" si="43"/>
        <v>6.1965514283263277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'[78]Sch C'!D142</f>
        <v>0</v>
      </c>
      <c r="D146" s="480">
        <f>'[78]Sch C'!F142</f>
        <v>33952</v>
      </c>
      <c r="E146" s="480">
        <f>+'[78]Sch C'!H142</f>
        <v>0</v>
      </c>
      <c r="F146" s="166">
        <f t="shared" si="48"/>
        <v>33952</v>
      </c>
      <c r="G146" s="626">
        <v>72962</v>
      </c>
      <c r="H146" s="608"/>
      <c r="I146" s="166">
        <f t="shared" si="49"/>
        <v>106914</v>
      </c>
      <c r="J146" s="167">
        <f>IF($I$213=0,0,I146/$I$213)</f>
        <v>6.6488466912046846E-3</v>
      </c>
      <c r="K146" s="458"/>
      <c r="L146" s="163"/>
      <c r="M146" s="163"/>
      <c r="O146" s="329">
        <f t="shared" si="43"/>
        <v>1.8343313030796946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'[78]Sch C'!D143</f>
        <v>0</v>
      </c>
      <c r="D147" s="480">
        <f>'[78]Sch C'!F143</f>
        <v>136961</v>
      </c>
      <c r="E147" s="480">
        <f>+'[78]Sch C'!H143</f>
        <v>0</v>
      </c>
      <c r="F147" s="166">
        <f t="shared" si="48"/>
        <v>136961</v>
      </c>
      <c r="G147" s="626">
        <v>294327</v>
      </c>
      <c r="H147" s="608"/>
      <c r="I147" s="166">
        <f t="shared" si="49"/>
        <v>431288</v>
      </c>
      <c r="J147" s="167">
        <f>IF($I$213=0,0,I147/$I$213)</f>
        <v>2.6821256259762855E-2</v>
      </c>
      <c r="K147" s="458"/>
      <c r="L147" s="163"/>
      <c r="M147" s="163"/>
      <c r="O147" s="329">
        <f t="shared" si="43"/>
        <v>7.3996397014669295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'[78]Sch C'!D144</f>
        <v>782812</v>
      </c>
      <c r="D148" s="480">
        <f>'[78]Sch C'!F144</f>
        <v>16068</v>
      </c>
      <c r="E148" s="480">
        <f>+'[78]Sch C'!H144</f>
        <v>0</v>
      </c>
      <c r="F148" s="166">
        <f t="shared" si="48"/>
        <v>798880</v>
      </c>
      <c r="G148" s="626">
        <v>-748282</v>
      </c>
      <c r="H148" s="608"/>
      <c r="I148" s="166">
        <f t="shared" si="49"/>
        <v>50598</v>
      </c>
      <c r="J148" s="167">
        <f>IF($I$213=0,0,I148/$I$213)</f>
        <v>3.1466257448189631E-3</v>
      </c>
      <c r="K148" s="458"/>
      <c r="L148" s="163"/>
      <c r="M148" s="163"/>
      <c r="O148" s="329">
        <f t="shared" si="43"/>
        <v>0.86811357982328219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375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'[78]Sch C'!D146</f>
        <v>105825</v>
      </c>
      <c r="D150" s="480">
        <f>'[78]Sch C'!F146</f>
        <v>0</v>
      </c>
      <c r="E150" s="480">
        <f>+'[78]Sch C'!H146</f>
        <v>0</v>
      </c>
      <c r="F150" s="166">
        <f t="shared" ref="F150:F158" si="50">C150+D150+E150</f>
        <v>105825</v>
      </c>
      <c r="G150" s="626"/>
      <c r="H150" s="608"/>
      <c r="I150" s="166">
        <f t="shared" ref="I150:I158" si="51">F150+G150+H150</f>
        <v>105825</v>
      </c>
      <c r="J150" s="167">
        <f t="shared" ref="J150:J158" si="52">IF($I$213=0,0,I150/$I$213)</f>
        <v>6.581123155964006E-3</v>
      </c>
      <c r="K150" s="458"/>
      <c r="L150" s="176">
        <v>516</v>
      </c>
      <c r="M150" s="176">
        <v>516</v>
      </c>
      <c r="O150" s="329">
        <f t="shared" si="43"/>
        <v>1.8156472505790513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'[78]Sch C'!D147</f>
        <v>0</v>
      </c>
      <c r="D151" s="480">
        <f>'[78]Sch C'!F147</f>
        <v>0</v>
      </c>
      <c r="E151" s="480">
        <f>+'[78]Sch C'!H147</f>
        <v>0</v>
      </c>
      <c r="F151" s="166">
        <f t="shared" si="50"/>
        <v>0</v>
      </c>
      <c r="G151" s="626"/>
      <c r="H151" s="608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'[78]Sch C'!D148</f>
        <v>0</v>
      </c>
      <c r="D152" s="480">
        <f>'[78]Sch C'!F148</f>
        <v>0</v>
      </c>
      <c r="E152" s="480">
        <f>+'[78]Sch C'!H148</f>
        <v>0</v>
      </c>
      <c r="F152" s="166">
        <f t="shared" si="50"/>
        <v>0</v>
      </c>
      <c r="G152" s="626"/>
      <c r="H152" s="608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'[78]Sch C'!D149</f>
        <v>0</v>
      </c>
      <c r="D153" s="480">
        <f>'[78]Sch C'!F149</f>
        <v>0</v>
      </c>
      <c r="E153" s="480">
        <f>+'[78]Sch C'!H149</f>
        <v>0</v>
      </c>
      <c r="F153" s="166">
        <f t="shared" si="50"/>
        <v>0</v>
      </c>
      <c r="G153" s="626"/>
      <c r="H153" s="608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'[78]Sch C'!D150</f>
        <v>75142</v>
      </c>
      <c r="D154" s="480">
        <f>'[78]Sch C'!F150</f>
        <v>0</v>
      </c>
      <c r="E154" s="480">
        <f>+'[78]Sch C'!H150</f>
        <v>0</v>
      </c>
      <c r="F154" s="166">
        <f t="shared" si="50"/>
        <v>75142</v>
      </c>
      <c r="G154" s="626">
        <f>-23953-2250</f>
        <v>-26203</v>
      </c>
      <c r="H154" s="608"/>
      <c r="I154" s="166">
        <f t="shared" si="51"/>
        <v>48939</v>
      </c>
      <c r="J154" s="167">
        <f t="shared" si="52"/>
        <v>3.0434546291492792E-3</v>
      </c>
      <c r="K154" s="458"/>
      <c r="L154" s="176">
        <v>208</v>
      </c>
      <c r="M154" s="176">
        <v>208</v>
      </c>
      <c r="O154" s="329">
        <f t="shared" si="43"/>
        <v>0.83964999571073173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'[78]Sch C'!D151</f>
        <v>404985</v>
      </c>
      <c r="D155" s="480">
        <f>'[78]Sch C'!F151</f>
        <v>2379</v>
      </c>
      <c r="E155" s="480">
        <f>+'[78]Sch C'!H151</f>
        <v>0</v>
      </c>
      <c r="F155" s="166">
        <f t="shared" si="50"/>
        <v>407364</v>
      </c>
      <c r="G155" s="626">
        <v>-9456</v>
      </c>
      <c r="H155" s="608"/>
      <c r="I155" s="166">
        <f t="shared" si="51"/>
        <v>397908</v>
      </c>
      <c r="J155" s="167">
        <f t="shared" si="52"/>
        <v>2.4745396198850231E-2</v>
      </c>
      <c r="K155" s="458"/>
      <c r="L155" s="163"/>
      <c r="M155" s="163"/>
      <c r="O155" s="329">
        <f t="shared" si="43"/>
        <v>6.8269366046152529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'[78]Sch C'!D152</f>
        <v>1004</v>
      </c>
      <c r="D156" s="480">
        <f>'[78]Sch C'!F152</f>
        <v>0</v>
      </c>
      <c r="E156" s="480">
        <f>+'[78]Sch C'!H152</f>
        <v>0</v>
      </c>
      <c r="F156" s="166">
        <f t="shared" si="50"/>
        <v>1004</v>
      </c>
      <c r="G156" s="626"/>
      <c r="H156" s="608"/>
      <c r="I156" s="166">
        <f t="shared" si="51"/>
        <v>1004</v>
      </c>
      <c r="J156" s="167">
        <f t="shared" si="52"/>
        <v>6.2437492545125087E-5</v>
      </c>
      <c r="K156" s="458"/>
      <c r="L156" s="163"/>
      <c r="M156" s="163"/>
      <c r="O156" s="329">
        <f t="shared" si="43"/>
        <v>1.7225701295359011E-2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'[78]Sch C'!D153</f>
        <v>16803</v>
      </c>
      <c r="D157" s="480">
        <f>'[78]Sch C'!F153</f>
        <v>0</v>
      </c>
      <c r="E157" s="480">
        <f>+'[78]Sch C'!H153</f>
        <v>0</v>
      </c>
      <c r="F157" s="166">
        <f t="shared" si="50"/>
        <v>16803</v>
      </c>
      <c r="G157" s="626"/>
      <c r="H157" s="608"/>
      <c r="I157" s="166">
        <f t="shared" si="51"/>
        <v>16803</v>
      </c>
      <c r="J157" s="167">
        <f t="shared" si="52"/>
        <v>1.0449573578045187E-3</v>
      </c>
      <c r="K157" s="458"/>
      <c r="L157" s="163"/>
      <c r="M157" s="163"/>
      <c r="O157" s="329">
        <f t="shared" si="43"/>
        <v>0.28829029767521663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'[78]Sch C'!D154</f>
        <v>60125</v>
      </c>
      <c r="D158" s="480">
        <f>'[78]Sch C'!F154</f>
        <v>4421</v>
      </c>
      <c r="E158" s="480">
        <f>+'[78]Sch C'!H154</f>
        <v>0</v>
      </c>
      <c r="F158" s="166">
        <f t="shared" si="50"/>
        <v>64546</v>
      </c>
      <c r="G158" s="626">
        <v>404969</v>
      </c>
      <c r="H158" s="608"/>
      <c r="I158" s="166">
        <f t="shared" si="51"/>
        <v>469515</v>
      </c>
      <c r="J158" s="167">
        <f t="shared" si="52"/>
        <v>2.9198545131797215E-2</v>
      </c>
      <c r="K158" s="457"/>
      <c r="L158" s="163"/>
      <c r="M158" s="163"/>
      <c r="O158" s="329">
        <f t="shared" si="43"/>
        <v>8.0555031311658229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376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'[78]Sch C'!D156</f>
        <v>0</v>
      </c>
      <c r="D160" s="480">
        <f>'[78]Sch C'!F156</f>
        <v>0</v>
      </c>
      <c r="E160" s="480">
        <f>+'[78]Sch C'!H156</f>
        <v>0</v>
      </c>
      <c r="F160" s="166">
        <f t="shared" ref="F160:F165" si="53">C160+D160+E160</f>
        <v>0</v>
      </c>
      <c r="G160" s="626"/>
      <c r="H160" s="608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'[78]Sch C'!D157</f>
        <v>0</v>
      </c>
      <c r="D161" s="480">
        <f>'[78]Sch C'!F157</f>
        <v>0</v>
      </c>
      <c r="E161" s="480">
        <f>+'[78]Sch C'!H157</f>
        <v>0</v>
      </c>
      <c r="F161" s="166">
        <f t="shared" si="53"/>
        <v>0</v>
      </c>
      <c r="G161" s="626"/>
      <c r="H161" s="608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'[78]Sch C'!D158</f>
        <v>0</v>
      </c>
      <c r="D162" s="480">
        <f>'[78]Sch C'!F158</f>
        <v>0</v>
      </c>
      <c r="E162" s="480">
        <f>+'[78]Sch C'!H158</f>
        <v>0</v>
      </c>
      <c r="F162" s="166">
        <f t="shared" si="53"/>
        <v>0</v>
      </c>
      <c r="G162" s="626"/>
      <c r="H162" s="608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'[78]Sch C'!D159</f>
        <v>0</v>
      </c>
      <c r="D163" s="480">
        <f>'[78]Sch C'!F159</f>
        <v>0</v>
      </c>
      <c r="E163" s="480">
        <f>+'[78]Sch C'!H159</f>
        <v>0</v>
      </c>
      <c r="F163" s="166">
        <f t="shared" si="53"/>
        <v>0</v>
      </c>
      <c r="G163" s="626"/>
      <c r="H163" s="608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'[78]Sch C'!D160</f>
        <v>0</v>
      </c>
      <c r="D164" s="480">
        <f>'[78]Sch C'!F160</f>
        <v>0</v>
      </c>
      <c r="E164" s="480">
        <f>+'[78]Sch C'!H160</f>
        <v>0</v>
      </c>
      <c r="F164" s="166">
        <f t="shared" si="53"/>
        <v>0</v>
      </c>
      <c r="G164" s="626"/>
      <c r="H164" s="608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'[78]Sch C'!D161</f>
        <v>18229</v>
      </c>
      <c r="D165" s="480">
        <f>'[78]Sch C'!F161</f>
        <v>0</v>
      </c>
      <c r="E165" s="480">
        <f>+'[78]Sch C'!H161</f>
        <v>0</v>
      </c>
      <c r="F165" s="166">
        <f t="shared" si="53"/>
        <v>18229</v>
      </c>
      <c r="G165" s="626">
        <f>-13324-4500</f>
        <v>-17824</v>
      </c>
      <c r="H165" s="608"/>
      <c r="I165" s="166">
        <f t="shared" si="54"/>
        <v>405</v>
      </c>
      <c r="J165" s="167">
        <f t="shared" si="55"/>
        <v>2.5186438725872169E-5</v>
      </c>
      <c r="K165" s="458"/>
      <c r="L165" s="163"/>
      <c r="M165" s="163"/>
      <c r="O165" s="329">
        <f t="shared" si="43"/>
        <v>6.9486145663549799E-3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6316729</v>
      </c>
      <c r="D166" s="480">
        <f t="shared" si="56"/>
        <v>363540</v>
      </c>
      <c r="E166" s="480">
        <f t="shared" si="56"/>
        <v>113645</v>
      </c>
      <c r="F166" s="166">
        <f t="shared" ref="F166:I166" si="57">SUM(F128:F165)</f>
        <v>6793914</v>
      </c>
      <c r="G166" s="166">
        <f t="shared" si="57"/>
        <v>351486</v>
      </c>
      <c r="H166" s="166">
        <f t="shared" si="57"/>
        <v>0</v>
      </c>
      <c r="I166" s="166">
        <f t="shared" si="57"/>
        <v>7145400</v>
      </c>
      <c r="J166" s="167">
        <f t="shared" si="55"/>
        <v>0.44436340560949877</v>
      </c>
      <c r="K166" s="458"/>
      <c r="L166" s="163"/>
      <c r="M166" s="163"/>
      <c r="O166" s="329">
        <f>I166/I$233</f>
        <v>122.59414943810586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375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387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'[78]Sch C'!D175</f>
        <v>0</v>
      </c>
      <c r="D169" s="480">
        <f>'[78]Sch C'!F175</f>
        <v>0</v>
      </c>
      <c r="E169" s="480">
        <f>+'[78]Sch C'!H175</f>
        <v>0</v>
      </c>
      <c r="F169" s="166">
        <f t="shared" ref="F169:F201" si="58">C169+D169+E169</f>
        <v>0</v>
      </c>
      <c r="G169" s="626"/>
      <c r="H169" s="608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'[78]Sch C'!D176</f>
        <v>0</v>
      </c>
      <c r="D170" s="480">
        <f>'[78]Sch C'!F176</f>
        <v>0</v>
      </c>
      <c r="E170" s="480">
        <f>+'[78]Sch C'!H176</f>
        <v>0</v>
      </c>
      <c r="F170" s="166">
        <f t="shared" si="58"/>
        <v>0</v>
      </c>
      <c r="G170" s="626"/>
      <c r="H170" s="608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'[78]Sch C'!D177</f>
        <v>432097</v>
      </c>
      <c r="D171" s="480">
        <f>'[78]Sch C'!F177</f>
        <v>0</v>
      </c>
      <c r="E171" s="480">
        <f>+'[78]Sch C'!H177</f>
        <v>0</v>
      </c>
      <c r="F171" s="166">
        <f t="shared" si="58"/>
        <v>432097</v>
      </c>
      <c r="G171" s="626"/>
      <c r="H171" s="608"/>
      <c r="I171" s="166">
        <f t="shared" si="59"/>
        <v>432097</v>
      </c>
      <c r="J171" s="167">
        <f t="shared" si="60"/>
        <v>2.6871566948477005E-2</v>
      </c>
      <c r="K171" s="468"/>
      <c r="L171" s="176">
        <v>12617</v>
      </c>
      <c r="M171" s="176">
        <v>13538</v>
      </c>
      <c r="N171" s="208"/>
      <c r="O171" s="329">
        <f t="shared" si="61"/>
        <v>7.4135197735266365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'[78]Sch C'!D178</f>
        <v>68837</v>
      </c>
      <c r="D172" s="480">
        <f>'[78]Sch C'!F178</f>
        <v>31771</v>
      </c>
      <c r="E172" s="480">
        <f>+'[78]Sch C'!H178</f>
        <v>0</v>
      </c>
      <c r="F172" s="166">
        <f t="shared" si="58"/>
        <v>100608</v>
      </c>
      <c r="G172" s="626"/>
      <c r="H172" s="608"/>
      <c r="I172" s="166">
        <f t="shared" si="59"/>
        <v>100608</v>
      </c>
      <c r="J172" s="167">
        <f t="shared" si="60"/>
        <v>6.2566845119322156E-3</v>
      </c>
      <c r="K172" s="469"/>
      <c r="L172" s="212"/>
      <c r="M172" s="212"/>
      <c r="N172" s="208"/>
      <c r="O172" s="329">
        <f t="shared" si="61"/>
        <v>1.7261388007205971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'[78]Sch C'!D179</f>
        <v>114767</v>
      </c>
      <c r="D173" s="480">
        <f>'[78]Sch C'!F179</f>
        <v>0</v>
      </c>
      <c r="E173" s="480">
        <f>+'[78]Sch C'!H179</f>
        <v>0</v>
      </c>
      <c r="F173" s="166">
        <f t="shared" si="58"/>
        <v>114767</v>
      </c>
      <c r="G173" s="626"/>
      <c r="H173" s="608"/>
      <c r="I173" s="166">
        <f t="shared" si="59"/>
        <v>114767</v>
      </c>
      <c r="J173" s="167">
        <f t="shared" si="60"/>
        <v>7.1372148475362255E-3</v>
      </c>
      <c r="K173" s="468"/>
      <c r="L173" s="176">
        <v>2819</v>
      </c>
      <c r="M173" s="176">
        <v>3073</v>
      </c>
      <c r="N173" s="208"/>
      <c r="O173" s="329">
        <f t="shared" si="61"/>
        <v>1.9690657973749679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'[78]Sch C'!D180</f>
        <v>20204</v>
      </c>
      <c r="D174" s="480">
        <f>'[78]Sch C'!F180</f>
        <v>8439</v>
      </c>
      <c r="E174" s="480">
        <f>+'[78]Sch C'!H180</f>
        <v>0</v>
      </c>
      <c r="F174" s="166">
        <f t="shared" si="58"/>
        <v>28643</v>
      </c>
      <c r="G174" s="626"/>
      <c r="H174" s="608"/>
      <c r="I174" s="166">
        <f t="shared" si="59"/>
        <v>28643</v>
      </c>
      <c r="J174" s="167">
        <f t="shared" si="60"/>
        <v>1.7812720109263123E-3</v>
      </c>
      <c r="K174" s="469"/>
      <c r="L174" s="212"/>
      <c r="M174" s="212"/>
      <c r="N174" s="208"/>
      <c r="O174" s="329">
        <f t="shared" si="61"/>
        <v>0.49143004203482887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'[78]Sch C'!D181</f>
        <v>0</v>
      </c>
      <c r="D175" s="480">
        <f>'[78]Sch C'!F181</f>
        <v>0</v>
      </c>
      <c r="E175" s="480">
        <f>+'[78]Sch C'!H181</f>
        <v>0</v>
      </c>
      <c r="F175" s="166">
        <f t="shared" si="58"/>
        <v>0</v>
      </c>
      <c r="G175" s="626"/>
      <c r="H175" s="608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'[78]Sch C'!D182</f>
        <v>0</v>
      </c>
      <c r="D176" s="480">
        <f>'[78]Sch C'!F182</f>
        <v>0</v>
      </c>
      <c r="E176" s="480">
        <f>+'[78]Sch C'!H182</f>
        <v>0</v>
      </c>
      <c r="F176" s="166">
        <f t="shared" si="58"/>
        <v>0</v>
      </c>
      <c r="G176" s="626"/>
      <c r="H176" s="608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'[78]Sch C'!D183</f>
        <v>288995</v>
      </c>
      <c r="D177" s="480">
        <f>'[78]Sch C'!F183</f>
        <v>0</v>
      </c>
      <c r="E177" s="480">
        <f>+'[78]Sch C'!H183</f>
        <v>0</v>
      </c>
      <c r="F177" s="166">
        <f t="shared" si="58"/>
        <v>288995</v>
      </c>
      <c r="G177" s="626"/>
      <c r="H177" s="608"/>
      <c r="I177" s="166">
        <f t="shared" si="59"/>
        <v>288995</v>
      </c>
      <c r="J177" s="167">
        <f t="shared" si="60"/>
        <v>1.7972234221193647E-2</v>
      </c>
      <c r="K177" s="468"/>
      <c r="L177" s="176">
        <v>9932</v>
      </c>
      <c r="M177" s="176">
        <v>10636</v>
      </c>
      <c r="N177" s="208"/>
      <c r="O177" s="329">
        <f t="shared" si="61"/>
        <v>4.9583083126018703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'[78]Sch C'!D184</f>
        <v>45671</v>
      </c>
      <c r="D178" s="480">
        <f>'[78]Sch C'!F184</f>
        <v>21249</v>
      </c>
      <c r="E178" s="480">
        <f>+'[78]Sch C'!H184</f>
        <v>0</v>
      </c>
      <c r="F178" s="166">
        <f t="shared" si="58"/>
        <v>66920</v>
      </c>
      <c r="G178" s="626"/>
      <c r="H178" s="608"/>
      <c r="I178" s="166">
        <f t="shared" si="59"/>
        <v>66920</v>
      </c>
      <c r="J178" s="167">
        <f t="shared" si="60"/>
        <v>4.1616703198404086E-3</v>
      </c>
      <c r="K178" s="469"/>
      <c r="L178" s="212"/>
      <c r="M178" s="212"/>
      <c r="N178" s="208"/>
      <c r="O178" s="329">
        <f t="shared" si="61"/>
        <v>1.1481513253838895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'[78]Sch C'!D185</f>
        <v>0</v>
      </c>
      <c r="D179" s="480">
        <f>'[78]Sch C'!F185</f>
        <v>0</v>
      </c>
      <c r="E179" s="480">
        <f>+'[78]Sch C'!H185</f>
        <v>0</v>
      </c>
      <c r="F179" s="166">
        <f t="shared" si="58"/>
        <v>0</v>
      </c>
      <c r="G179" s="626"/>
      <c r="H179" s="608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'[78]Sch C'!D186</f>
        <v>0</v>
      </c>
      <c r="D180" s="480">
        <f>'[78]Sch C'!F186</f>
        <v>0</v>
      </c>
      <c r="E180" s="480">
        <f>+'[78]Sch C'!H186</f>
        <v>0</v>
      </c>
      <c r="F180" s="166">
        <f t="shared" si="58"/>
        <v>0</v>
      </c>
      <c r="G180" s="626"/>
      <c r="H180" s="608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'[78]Sch C'!D187</f>
        <v>0</v>
      </c>
      <c r="D181" s="480">
        <f>'[78]Sch C'!F187</f>
        <v>0</v>
      </c>
      <c r="E181" s="480">
        <f>+'[78]Sch C'!H187</f>
        <v>0</v>
      </c>
      <c r="F181" s="166">
        <f t="shared" si="58"/>
        <v>0</v>
      </c>
      <c r="G181" s="626"/>
      <c r="H181" s="608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'[78]Sch C'!D188</f>
        <v>1709</v>
      </c>
      <c r="D182" s="480">
        <f>'[78]Sch C'!F188</f>
        <v>0</v>
      </c>
      <c r="E182" s="480">
        <f>+'[78]Sch C'!H188</f>
        <v>0</v>
      </c>
      <c r="F182" s="166">
        <f t="shared" si="58"/>
        <v>1709</v>
      </c>
      <c r="G182" s="626"/>
      <c r="H182" s="608"/>
      <c r="I182" s="166">
        <f t="shared" si="59"/>
        <v>1709</v>
      </c>
      <c r="J182" s="167">
        <f t="shared" si="60"/>
        <v>1.0628055254942107E-4</v>
      </c>
      <c r="K182" s="458"/>
      <c r="L182" s="213"/>
      <c r="M182" s="208"/>
      <c r="N182" s="210"/>
      <c r="O182" s="329">
        <f t="shared" si="61"/>
        <v>2.9321437762717679E-2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'[78]Sch C'!D189</f>
        <v>0</v>
      </c>
      <c r="D183" s="480">
        <f>'[78]Sch C'!F189</f>
        <v>0</v>
      </c>
      <c r="E183" s="480">
        <f>+'[78]Sch C'!H189</f>
        <v>0</v>
      </c>
      <c r="F183" s="166">
        <f t="shared" si="58"/>
        <v>0</v>
      </c>
      <c r="G183" s="626"/>
      <c r="H183" s="608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'[78]Sch C'!D190</f>
        <v>0</v>
      </c>
      <c r="D184" s="480">
        <f>'[78]Sch C'!F190</f>
        <v>0</v>
      </c>
      <c r="E184" s="480">
        <f>+'[78]Sch C'!H190</f>
        <v>0</v>
      </c>
      <c r="F184" s="166">
        <f t="shared" si="58"/>
        <v>0</v>
      </c>
      <c r="G184" s="626"/>
      <c r="H184" s="608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'[78]Sch C'!D191</f>
        <v>164</v>
      </c>
      <c r="D185" s="480">
        <f>'[78]Sch C'!F191</f>
        <v>0</v>
      </c>
      <c r="E185" s="480">
        <f>+'[78]Sch C'!H191</f>
        <v>0</v>
      </c>
      <c r="F185" s="166">
        <f t="shared" si="58"/>
        <v>164</v>
      </c>
      <c r="G185" s="626"/>
      <c r="H185" s="608"/>
      <c r="I185" s="166">
        <f t="shared" si="59"/>
        <v>164</v>
      </c>
      <c r="J185" s="167">
        <f t="shared" si="60"/>
        <v>1.0198952965538359E-5</v>
      </c>
      <c r="K185" s="458"/>
      <c r="L185" s="213"/>
      <c r="M185" s="208"/>
      <c r="N185" s="210"/>
      <c r="O185" s="329">
        <f t="shared" si="61"/>
        <v>2.8137599725486834E-3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'[78]Sch C'!D192</f>
        <v>0</v>
      </c>
      <c r="D186" s="480">
        <f>'[78]Sch C'!F192</f>
        <v>0</v>
      </c>
      <c r="E186" s="480">
        <f>+'[78]Sch C'!H192</f>
        <v>0</v>
      </c>
      <c r="F186" s="166">
        <f t="shared" si="58"/>
        <v>0</v>
      </c>
      <c r="G186" s="626"/>
      <c r="H186" s="608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'[78]Sch C'!D193</f>
        <v>0</v>
      </c>
      <c r="D187" s="480">
        <f>'[78]Sch C'!F193</f>
        <v>0</v>
      </c>
      <c r="E187" s="480">
        <f>+'[78]Sch C'!H193</f>
        <v>0</v>
      </c>
      <c r="F187" s="166">
        <f t="shared" si="58"/>
        <v>0</v>
      </c>
      <c r="G187" s="626"/>
      <c r="H187" s="608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'[78]Sch C'!D194</f>
        <v>0</v>
      </c>
      <c r="D188" s="480">
        <f>'[78]Sch C'!F194</f>
        <v>0</v>
      </c>
      <c r="E188" s="480">
        <f>+'[78]Sch C'!H194</f>
        <v>0</v>
      </c>
      <c r="F188" s="166">
        <f t="shared" si="58"/>
        <v>0</v>
      </c>
      <c r="G188" s="626"/>
      <c r="H188" s="608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'[78]Sch C'!D195</f>
        <v>13945</v>
      </c>
      <c r="D189" s="480">
        <f>'[78]Sch C'!F195</f>
        <v>0</v>
      </c>
      <c r="E189" s="480">
        <f>+'[78]Sch C'!H195</f>
        <v>0</v>
      </c>
      <c r="F189" s="166">
        <f t="shared" si="58"/>
        <v>13945</v>
      </c>
      <c r="G189" s="626"/>
      <c r="H189" s="608"/>
      <c r="I189" s="166">
        <f t="shared" si="59"/>
        <v>13945</v>
      </c>
      <c r="J189" s="167">
        <f t="shared" si="60"/>
        <v>8.6722194575873429E-4</v>
      </c>
      <c r="K189" s="458"/>
      <c r="L189" s="213"/>
      <c r="M189" s="208"/>
      <c r="O189" s="329">
        <f t="shared" si="61"/>
        <v>0.23925538303165481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'[78]Sch C'!D196</f>
        <v>0</v>
      </c>
      <c r="D190" s="480">
        <f>'[78]Sch C'!F196</f>
        <v>0</v>
      </c>
      <c r="E190" s="480">
        <f>+'[78]Sch C'!H196</f>
        <v>0</v>
      </c>
      <c r="F190" s="166">
        <f t="shared" si="58"/>
        <v>0</v>
      </c>
      <c r="G190" s="626"/>
      <c r="H190" s="608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'[78]Sch C'!D197</f>
        <v>0</v>
      </c>
      <c r="D191" s="480">
        <f>'[78]Sch C'!F197</f>
        <v>0</v>
      </c>
      <c r="E191" s="480">
        <f>+'[78]Sch C'!H197</f>
        <v>0</v>
      </c>
      <c r="F191" s="166">
        <f t="shared" si="58"/>
        <v>0</v>
      </c>
      <c r="G191" s="626"/>
      <c r="H191" s="608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'[78]Sch C'!D198</f>
        <v>84056</v>
      </c>
      <c r="D192" s="480">
        <f>'[78]Sch C'!F198</f>
        <v>0</v>
      </c>
      <c r="E192" s="480">
        <f>+'[78]Sch C'!H198</f>
        <v>-5664</v>
      </c>
      <c r="F192" s="166">
        <f t="shared" si="58"/>
        <v>78392</v>
      </c>
      <c r="G192" s="626"/>
      <c r="H192" s="608"/>
      <c r="I192" s="166">
        <f t="shared" si="59"/>
        <v>78392</v>
      </c>
      <c r="J192" s="167">
        <f t="shared" si="60"/>
        <v>4.875099517527336E-3</v>
      </c>
      <c r="K192" s="458"/>
      <c r="L192" s="213"/>
      <c r="M192" s="208"/>
      <c r="O192" s="329">
        <f t="shared" si="61"/>
        <v>1.3449772668782705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'[78]Sch C'!D199</f>
        <v>404969</v>
      </c>
      <c r="D193" s="480">
        <f>'[78]Sch C'!F199</f>
        <v>0</v>
      </c>
      <c r="E193" s="480">
        <f>+'[78]Sch C'!H199</f>
        <v>0</v>
      </c>
      <c r="F193" s="166">
        <f t="shared" si="58"/>
        <v>404969</v>
      </c>
      <c r="G193" s="626">
        <v>-404969</v>
      </c>
      <c r="H193" s="608"/>
      <c r="I193" s="166">
        <f t="shared" si="59"/>
        <v>0</v>
      </c>
      <c r="J193" s="167">
        <f t="shared" si="60"/>
        <v>0</v>
      </c>
      <c r="K193" s="457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'[78]Sch C'!D200</f>
        <v>0</v>
      </c>
      <c r="D194" s="480">
        <f>'[78]Sch C'!F200</f>
        <v>0</v>
      </c>
      <c r="E194" s="480">
        <f>+'[78]Sch C'!H200</f>
        <v>0</v>
      </c>
      <c r="F194" s="166">
        <f t="shared" si="58"/>
        <v>0</v>
      </c>
      <c r="G194" s="626"/>
      <c r="H194" s="608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'[78]Sch C'!D201</f>
        <v>0</v>
      </c>
      <c r="D195" s="480">
        <f>'[78]Sch C'!F201</f>
        <v>0</v>
      </c>
      <c r="E195" s="480">
        <f>+'[78]Sch C'!H201</f>
        <v>0</v>
      </c>
      <c r="F195" s="166">
        <f t="shared" si="58"/>
        <v>0</v>
      </c>
      <c r="G195" s="626"/>
      <c r="H195" s="608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'[78]Sch C'!D202</f>
        <v>0</v>
      </c>
      <c r="D196" s="480">
        <f>'[78]Sch C'!F202</f>
        <v>0</v>
      </c>
      <c r="E196" s="480">
        <f>+'[78]Sch C'!H202</f>
        <v>0</v>
      </c>
      <c r="F196" s="166">
        <f t="shared" si="58"/>
        <v>0</v>
      </c>
      <c r="G196" s="626"/>
      <c r="H196" s="608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'[78]Sch C'!D203</f>
        <v>0</v>
      </c>
      <c r="D197" s="480">
        <f>'[78]Sch C'!F203</f>
        <v>0</v>
      </c>
      <c r="E197" s="480">
        <f>+'[78]Sch C'!H203</f>
        <v>0</v>
      </c>
      <c r="F197" s="166">
        <f t="shared" si="58"/>
        <v>0</v>
      </c>
      <c r="G197" s="626"/>
      <c r="H197" s="608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'[78]Sch C'!D204</f>
        <v>0</v>
      </c>
      <c r="D198" s="480">
        <f>'[78]Sch C'!F204</f>
        <v>0</v>
      </c>
      <c r="E198" s="480">
        <f>+'[78]Sch C'!H204</f>
        <v>0</v>
      </c>
      <c r="F198" s="166">
        <f t="shared" si="58"/>
        <v>0</v>
      </c>
      <c r="G198" s="626"/>
      <c r="H198" s="608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'[78]Sch C'!D205</f>
        <v>371064</v>
      </c>
      <c r="D199" s="480">
        <f>'[78]Sch C'!F205</f>
        <v>0</v>
      </c>
      <c r="E199" s="480">
        <f>+'[78]Sch C'!H205</f>
        <v>0</v>
      </c>
      <c r="F199" s="166">
        <f t="shared" si="58"/>
        <v>371064</v>
      </c>
      <c r="G199" s="626"/>
      <c r="H199" s="608"/>
      <c r="I199" s="166">
        <f t="shared" si="59"/>
        <v>371064</v>
      </c>
      <c r="J199" s="167">
        <f t="shared" si="60"/>
        <v>2.3076001726856865E-2</v>
      </c>
      <c r="K199" s="458"/>
      <c r="L199" s="213"/>
      <c r="M199" s="208"/>
      <c r="O199" s="329">
        <f t="shared" si="61"/>
        <v>6.3663721369134425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'[78]Sch C'!D206</f>
        <v>61545</v>
      </c>
      <c r="D200" s="480">
        <f>'[78]Sch C'!F206</f>
        <v>0</v>
      </c>
      <c r="E200" s="480">
        <f>+'[78]Sch C'!H206</f>
        <v>0</v>
      </c>
      <c r="F200" s="166">
        <f t="shared" si="58"/>
        <v>61545</v>
      </c>
      <c r="G200" s="626"/>
      <c r="H200" s="608"/>
      <c r="I200" s="166">
        <f t="shared" si="59"/>
        <v>61545</v>
      </c>
      <c r="J200" s="167">
        <f t="shared" si="60"/>
        <v>3.8274058552686483E-3</v>
      </c>
      <c r="K200" s="458"/>
      <c r="L200" s="213"/>
      <c r="M200" s="208"/>
      <c r="O200" s="329">
        <f t="shared" si="61"/>
        <v>1.0559320579909068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'[78]Sch C'!D207</f>
        <v>58149</v>
      </c>
      <c r="D201" s="687">
        <f>'[78]Sch C'!F207+724</f>
        <v>0</v>
      </c>
      <c r="E201" s="480">
        <f>+'[78]Sch C'!H207</f>
        <v>0</v>
      </c>
      <c r="F201" s="166">
        <f t="shared" si="58"/>
        <v>58149</v>
      </c>
      <c r="G201" s="626">
        <v>-11170</v>
      </c>
      <c r="H201" s="608">
        <v>-724</v>
      </c>
      <c r="I201" s="166">
        <f t="shared" si="59"/>
        <v>46255</v>
      </c>
      <c r="J201" s="167">
        <f t="shared" si="60"/>
        <v>2.8765400574449805E-3</v>
      </c>
      <c r="K201" s="684" t="s">
        <v>734</v>
      </c>
      <c r="L201" s="213"/>
      <c r="M201" s="208"/>
      <c r="O201" s="329">
        <f t="shared" si="61"/>
        <v>0.79360041176975205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1966172</v>
      </c>
      <c r="D202" s="480">
        <f t="shared" si="62"/>
        <v>61459</v>
      </c>
      <c r="E202" s="480">
        <f t="shared" si="62"/>
        <v>-5664</v>
      </c>
      <c r="F202" s="166">
        <f t="shared" ref="F202:I202" si="63">SUM(F169:F201)</f>
        <v>2021967</v>
      </c>
      <c r="G202" s="166">
        <f t="shared" si="63"/>
        <v>-416139</v>
      </c>
      <c r="H202" s="166">
        <f t="shared" si="63"/>
        <v>-724</v>
      </c>
      <c r="I202" s="166">
        <f t="shared" si="63"/>
        <v>1605104</v>
      </c>
      <c r="J202" s="167">
        <f>IF($I$213=0,0,I202/$I$213)</f>
        <v>9.9819391468277341E-2</v>
      </c>
      <c r="K202" s="458"/>
      <c r="L202" s="163"/>
      <c r="M202" s="163"/>
      <c r="O202" s="329">
        <f>I202/I$233</f>
        <v>27.538886505962083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377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377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'[78]Sch C'!D211</f>
        <v>251621</v>
      </c>
      <c r="D205" s="480">
        <f>'[78]Sch C'!F211</f>
        <v>0</v>
      </c>
      <c r="E205" s="480">
        <f>+'[78]Sch C'!H211</f>
        <v>0</v>
      </c>
      <c r="F205" s="166">
        <f t="shared" ref="F205:F210" si="64">C205+D205+E205</f>
        <v>251621</v>
      </c>
      <c r="G205" s="626">
        <v>-19900</v>
      </c>
      <c r="H205" s="608"/>
      <c r="I205" s="166">
        <f t="shared" ref="I205:I210" si="65">F205+G205+H205</f>
        <v>231721</v>
      </c>
      <c r="J205" s="167">
        <f t="shared" ref="J205:J211" si="66">IF($I$213=0,0,I205/$I$213)</f>
        <v>1.4410436464192161E-2</v>
      </c>
      <c r="K205" s="458"/>
      <c r="L205" s="176">
        <v>14191</v>
      </c>
      <c r="M205" s="176">
        <v>15064</v>
      </c>
      <c r="O205" s="329">
        <f t="shared" ref="O205:O210" si="67">I205/I$233</f>
        <v>3.9756541134082526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'[78]Sch C'!D212</f>
        <v>49841</v>
      </c>
      <c r="D206" s="480">
        <f>'[78]Sch C'!F212</f>
        <v>18501</v>
      </c>
      <c r="E206" s="480">
        <f>+'[78]Sch C'!H212</f>
        <v>0</v>
      </c>
      <c r="F206" s="166">
        <f t="shared" si="64"/>
        <v>68342</v>
      </c>
      <c r="G206" s="626"/>
      <c r="H206" s="608"/>
      <c r="I206" s="166">
        <f t="shared" si="65"/>
        <v>68342</v>
      </c>
      <c r="J206" s="167">
        <f t="shared" si="66"/>
        <v>4.250102704700138E-3</v>
      </c>
      <c r="K206" s="458"/>
      <c r="L206" s="163"/>
      <c r="M206" s="163"/>
      <c r="O206" s="329">
        <f t="shared" si="67"/>
        <v>1.172548683194647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'[78]Sch C'!D213</f>
        <v>24051</v>
      </c>
      <c r="D207" s="480">
        <f>'[78]Sch C'!F213</f>
        <v>0</v>
      </c>
      <c r="E207" s="480">
        <f>+'[78]Sch C'!H213</f>
        <v>0</v>
      </c>
      <c r="F207" s="166">
        <f t="shared" si="64"/>
        <v>24051</v>
      </c>
      <c r="G207" s="626"/>
      <c r="H207" s="608"/>
      <c r="I207" s="166">
        <f t="shared" si="65"/>
        <v>24051</v>
      </c>
      <c r="J207" s="167">
        <f t="shared" si="66"/>
        <v>1.4957013278912384E-3</v>
      </c>
      <c r="K207" s="458"/>
      <c r="L207" s="163"/>
      <c r="M207" s="163"/>
      <c r="O207" s="329">
        <f t="shared" si="67"/>
        <v>0.41264476280346574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'[78]Sch C'!D214</f>
        <v>0</v>
      </c>
      <c r="D208" s="480">
        <f>'[78]Sch C'!F214</f>
        <v>0</v>
      </c>
      <c r="E208" s="480">
        <f>+'[78]Sch C'!H214</f>
        <v>0</v>
      </c>
      <c r="F208" s="166">
        <f t="shared" si="64"/>
        <v>0</v>
      </c>
      <c r="G208" s="626"/>
      <c r="H208" s="608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'[78]Sch C'!D215</f>
        <v>0</v>
      </c>
      <c r="D209" s="480">
        <f>'[78]Sch C'!F215</f>
        <v>0</v>
      </c>
      <c r="E209" s="480">
        <f>+'[78]Sch C'!H215</f>
        <v>0</v>
      </c>
      <c r="F209" s="166">
        <f t="shared" si="64"/>
        <v>0</v>
      </c>
      <c r="G209" s="626"/>
      <c r="H209" s="608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'[78]Sch C'!D216</f>
        <v>71526</v>
      </c>
      <c r="D210" s="480">
        <f>'[78]Sch C'!F216</f>
        <v>0</v>
      </c>
      <c r="E210" s="480">
        <f>+'[78]Sch C'!H216</f>
        <v>-495</v>
      </c>
      <c r="F210" s="166">
        <f t="shared" si="64"/>
        <v>71031</v>
      </c>
      <c r="G210" s="626">
        <f>-218-63293</f>
        <v>-63511</v>
      </c>
      <c r="H210" s="608"/>
      <c r="I210" s="166">
        <f t="shared" si="65"/>
        <v>7520</v>
      </c>
      <c r="J210" s="167">
        <f t="shared" si="66"/>
        <v>4.6765930671249063E-4</v>
      </c>
      <c r="K210" s="458"/>
      <c r="L210" s="163"/>
      <c r="M210" s="163"/>
      <c r="O210" s="329">
        <f t="shared" si="67"/>
        <v>0.12902118898515913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397039</v>
      </c>
      <c r="D211" s="480">
        <f t="shared" si="68"/>
        <v>18501</v>
      </c>
      <c r="E211" s="480">
        <f t="shared" si="68"/>
        <v>-495</v>
      </c>
      <c r="F211" s="166">
        <f t="shared" ref="F211:I211" si="69">SUM(F205:F210)</f>
        <v>415045</v>
      </c>
      <c r="G211" s="166">
        <f t="shared" si="69"/>
        <v>-83411</v>
      </c>
      <c r="H211" s="166">
        <f t="shared" si="69"/>
        <v>0</v>
      </c>
      <c r="I211" s="166">
        <f t="shared" si="69"/>
        <v>331634</v>
      </c>
      <c r="J211" s="167">
        <f t="shared" si="66"/>
        <v>2.0623899803496028E-2</v>
      </c>
      <c r="K211" s="458"/>
      <c r="L211" s="163"/>
      <c r="M211" s="163"/>
      <c r="O211" s="329">
        <f>I211/I$233</f>
        <v>5.6898687483915245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377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16587400</v>
      </c>
      <c r="D213" s="480">
        <f t="shared" si="70"/>
        <v>-515590</v>
      </c>
      <c r="E213" s="480">
        <f t="shared" si="70"/>
        <v>-214118</v>
      </c>
      <c r="F213" s="166">
        <f t="shared" ref="F213:I213" si="71">SUM(F30:F211)/2</f>
        <v>15857692</v>
      </c>
      <c r="G213" s="166">
        <f>SUM(G30:G211)/2</f>
        <v>370115</v>
      </c>
      <c r="H213" s="166">
        <f t="shared" si="71"/>
        <v>-147725</v>
      </c>
      <c r="I213" s="166">
        <f t="shared" si="71"/>
        <v>16080082</v>
      </c>
      <c r="J213" s="167">
        <f>IF($I$213=0,0,I213/$I$213)</f>
        <v>1</v>
      </c>
      <c r="K213" s="458"/>
      <c r="L213" s="176">
        <f>SUM(L30:L205)</f>
        <v>362728</v>
      </c>
      <c r="M213" s="176">
        <f>SUM(M30:M205)</f>
        <v>388657.1097384516</v>
      </c>
      <c r="O213" s="329">
        <f>I213/I$233</f>
        <v>275.88714077378398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'[78]Sch C'!D221</f>
        <v>16587400</v>
      </c>
      <c r="D216" s="188"/>
      <c r="E216" s="188"/>
      <c r="F216" s="160"/>
      <c r="G216" s="160"/>
      <c r="H216" s="499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 s="499"/>
      <c r="I217"/>
      <c r="K217" s="460"/>
      <c r="L217" s="163"/>
      <c r="M217" s="163"/>
    </row>
    <row r="218" spans="1:16" s="162" customFormat="1" ht="15">
      <c r="A218" s="158"/>
      <c r="B218" s="220"/>
      <c r="C218" s="548"/>
      <c r="D218" s="221"/>
      <c r="E218" s="221"/>
      <c r="F218" s="221"/>
      <c r="G218" s="221"/>
      <c r="H218" s="527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377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2834721</v>
      </c>
      <c r="D220" s="480">
        <f t="shared" si="72"/>
        <v>2856530.6993891243</v>
      </c>
      <c r="E220" s="480">
        <f t="shared" si="72"/>
        <v>214118</v>
      </c>
      <c r="F220" s="166">
        <f t="shared" ref="F220:I220" si="73">F26-F213</f>
        <v>5905369.6993891224</v>
      </c>
      <c r="G220" s="166">
        <f t="shared" si="73"/>
        <v>-364667</v>
      </c>
      <c r="H220" s="166">
        <f t="shared" si="73"/>
        <v>147725</v>
      </c>
      <c r="I220" s="166">
        <f t="shared" si="73"/>
        <v>5688427.6993891224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375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375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377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'[78]Sch D'!C9</f>
        <v>37059</v>
      </c>
      <c r="D224" s="480"/>
      <c r="E224" s="480"/>
      <c r="F224" s="224">
        <f>C224+D224+E224</f>
        <v>37059</v>
      </c>
      <c r="G224" s="627"/>
      <c r="H224" s="379"/>
      <c r="I224" s="224">
        <f>F224+G224+H224</f>
        <v>37059</v>
      </c>
      <c r="J224" s="167">
        <f>IF($I$233=0,0,I224/$I$233)</f>
        <v>0.63582396843098565</v>
      </c>
      <c r="K224" s="458"/>
      <c r="L224" s="163"/>
      <c r="M224" s="163"/>
    </row>
    <row r="225" spans="1:13">
      <c r="A225" s="158"/>
      <c r="B225" s="165" t="s">
        <v>201</v>
      </c>
      <c r="C225" s="504">
        <f>'[78]Sch D'!D9</f>
        <v>0</v>
      </c>
      <c r="D225" s="480"/>
      <c r="E225" s="480"/>
      <c r="F225" s="224">
        <f t="shared" ref="F225:F232" si="74">C225+D225+E225</f>
        <v>0</v>
      </c>
      <c r="G225" s="627"/>
      <c r="H225" s="379"/>
      <c r="I225" s="224">
        <f t="shared" ref="I225:I232" si="75">F225+G225+H225</f>
        <v>0</v>
      </c>
      <c r="J225" s="167">
        <f t="shared" ref="J225:J233" si="76">IF($I$233=0,0,I225/$I$233)</f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'[78]Sch D'!E9</f>
        <v>4367</v>
      </c>
      <c r="D226" s="480"/>
      <c r="E226" s="480"/>
      <c r="F226" s="224">
        <f t="shared" si="74"/>
        <v>4367</v>
      </c>
      <c r="G226" s="627"/>
      <c r="H226" s="379"/>
      <c r="I226" s="224">
        <f t="shared" si="75"/>
        <v>4367</v>
      </c>
      <c r="J226" s="167">
        <f t="shared" si="76"/>
        <v>7.4924937805610367E-2</v>
      </c>
      <c r="K226" s="458"/>
      <c r="L226" s="163"/>
      <c r="M226" s="163"/>
    </row>
    <row r="227" spans="1:13">
      <c r="A227" s="158"/>
      <c r="B227" s="194" t="s">
        <v>315</v>
      </c>
      <c r="C227" s="504">
        <f>'[78]Sch D'!F9</f>
        <v>4340</v>
      </c>
      <c r="D227" s="480"/>
      <c r="E227" s="480"/>
      <c r="F227" s="224">
        <f t="shared" si="74"/>
        <v>4340</v>
      </c>
      <c r="G227" s="627"/>
      <c r="H227" s="379"/>
      <c r="I227" s="224">
        <f t="shared" si="75"/>
        <v>4340</v>
      </c>
      <c r="J227" s="167">
        <f t="shared" si="76"/>
        <v>7.446169683452003E-2</v>
      </c>
      <c r="K227" s="458"/>
      <c r="L227" s="163"/>
      <c r="M227" s="163"/>
    </row>
    <row r="228" spans="1:13">
      <c r="A228" s="158"/>
      <c r="B228" s="165" t="s">
        <v>65</v>
      </c>
      <c r="C228" s="504">
        <f>'[78]Sch D'!G9</f>
        <v>0</v>
      </c>
      <c r="D228" s="480"/>
      <c r="E228" s="480"/>
      <c r="F228" s="224">
        <f t="shared" si="74"/>
        <v>0</v>
      </c>
      <c r="G228" s="627"/>
      <c r="H228" s="379"/>
      <c r="I228" s="224">
        <f t="shared" si="75"/>
        <v>0</v>
      </c>
      <c r="J228" s="167">
        <f t="shared" si="76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'[78]Sch D'!H9</f>
        <v>7465</v>
      </c>
      <c r="D229" s="480"/>
      <c r="E229" s="480"/>
      <c r="F229" s="224">
        <f t="shared" si="74"/>
        <v>7465</v>
      </c>
      <c r="G229" s="627"/>
      <c r="H229" s="379"/>
      <c r="I229" s="224">
        <f t="shared" si="75"/>
        <v>7465</v>
      </c>
      <c r="J229" s="167">
        <f t="shared" si="76"/>
        <v>0.12807754996997511</v>
      </c>
      <c r="K229" s="458"/>
      <c r="L229" s="163"/>
      <c r="M229" s="163"/>
    </row>
    <row r="230" spans="1:13">
      <c r="A230" s="158"/>
      <c r="B230" s="165" t="s">
        <v>219</v>
      </c>
      <c r="C230" s="504">
        <f>'[78]Sch D'!I9</f>
        <v>964</v>
      </c>
      <c r="D230" s="480"/>
      <c r="E230" s="480"/>
      <c r="F230" s="224">
        <f t="shared" si="74"/>
        <v>964</v>
      </c>
      <c r="G230" s="627"/>
      <c r="H230" s="379"/>
      <c r="I230" s="224">
        <f t="shared" si="75"/>
        <v>964</v>
      </c>
      <c r="J230" s="167">
        <f t="shared" si="76"/>
        <v>1.6539418375225188E-2</v>
      </c>
      <c r="K230" s="458"/>
      <c r="L230" s="163"/>
      <c r="M230" s="163"/>
    </row>
    <row r="231" spans="1:13">
      <c r="A231" s="158"/>
      <c r="B231" s="165" t="s">
        <v>218</v>
      </c>
      <c r="C231" s="504">
        <f>'[78]Sch D'!J9</f>
        <v>2960</v>
      </c>
      <c r="D231" s="480"/>
      <c r="E231" s="480"/>
      <c r="F231" s="224">
        <f t="shared" si="74"/>
        <v>2960</v>
      </c>
      <c r="G231" s="627"/>
      <c r="H231" s="379"/>
      <c r="I231" s="224">
        <f t="shared" si="75"/>
        <v>2960</v>
      </c>
      <c r="J231" s="167">
        <f>IF($I$233=0,0,I231/$I$233)</f>
        <v>5.078493608990306E-2</v>
      </c>
      <c r="K231" s="458"/>
      <c r="L231" s="163"/>
      <c r="M231" s="163"/>
    </row>
    <row r="232" spans="1:13">
      <c r="A232" s="158"/>
      <c r="B232" s="165" t="s">
        <v>170</v>
      </c>
      <c r="C232" s="504">
        <f>'[78]Sch D'!K9</f>
        <v>1130</v>
      </c>
      <c r="D232" s="480"/>
      <c r="E232" s="480"/>
      <c r="F232" s="224">
        <f t="shared" si="74"/>
        <v>1130</v>
      </c>
      <c r="G232" s="627"/>
      <c r="H232" s="379"/>
      <c r="I232" s="224">
        <f t="shared" si="75"/>
        <v>1130</v>
      </c>
      <c r="J232" s="167">
        <f t="shared" si="76"/>
        <v>1.9387492493780561E-2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58285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58285</v>
      </c>
      <c r="G233" s="380">
        <f t="shared" si="78"/>
        <v>0</v>
      </c>
      <c r="H233" s="380">
        <f t="shared" si="78"/>
        <v>0</v>
      </c>
      <c r="I233" s="226">
        <f t="shared" si="78"/>
        <v>58285</v>
      </c>
      <c r="J233" s="167">
        <f t="shared" si="76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383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378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'[78]Sch D'!N22</f>
        <v>221</v>
      </c>
      <c r="D236" s="480"/>
      <c r="E236" s="480"/>
      <c r="F236" s="224">
        <f>C236+E236</f>
        <v>221</v>
      </c>
      <c r="G236" s="627"/>
      <c r="H236" s="384"/>
      <c r="I236" s="224">
        <f>F236+G236+H236</f>
        <v>221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'[78]Sch D'!N24</f>
        <v>221</v>
      </c>
      <c r="D237" s="480"/>
      <c r="E237" s="480"/>
      <c r="F237" s="224">
        <f>C237+E237</f>
        <v>221</v>
      </c>
      <c r="G237" s="627"/>
      <c r="H237" s="384"/>
      <c r="I237" s="224">
        <f>F237+G237+H237</f>
        <v>221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381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381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'[78]Sch D'!N28</f>
        <v>80665</v>
      </c>
      <c r="D240" s="427"/>
      <c r="E240" s="427"/>
      <c r="F240" s="223">
        <f>F236*F238</f>
        <v>80665</v>
      </c>
      <c r="G240"/>
      <c r="H240"/>
      <c r="I240" s="223">
        <f>I236*I238</f>
        <v>80665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'[78]Sch D'!N30</f>
        <v>0.72255625116221411</v>
      </c>
      <c r="D241" s="228"/>
      <c r="E241" s="228"/>
      <c r="F241" s="232">
        <f>F233/F240</f>
        <v>0.72255625116221411</v>
      </c>
      <c r="G241"/>
      <c r="H241" s="385"/>
      <c r="I241" s="232">
        <f>I233/I240</f>
        <v>0.72255625116221411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'[78]Sch D'!N32</f>
        <v>0.45941858302857497</v>
      </c>
      <c r="D242" s="228"/>
      <c r="E242" s="228"/>
      <c r="F242" s="232">
        <f>(F224+F225)/F240</f>
        <v>0.45941858302857497</v>
      </c>
      <c r="G242"/>
      <c r="H242" s="385"/>
      <c r="I242" s="232">
        <f>(I224+I225)/I240</f>
        <v>0.45941858302857497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'[78]Sch D'!N34</f>
        <v>0.63582396843098565</v>
      </c>
      <c r="D243" s="228"/>
      <c r="E243" s="228"/>
      <c r="F243" s="232">
        <f>(F242/F241)</f>
        <v>0.63582396843098565</v>
      </c>
      <c r="G243"/>
      <c r="H243" s="385"/>
      <c r="I243" s="232">
        <f>(I242/I241)</f>
        <v>0.63582396843098565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367" t="s">
        <v>321</v>
      </c>
      <c r="I246" s="480">
        <f>'[78]Sch B'!C90</f>
        <v>194.35903919089759</v>
      </c>
      <c r="K246" s="460"/>
    </row>
    <row r="247" spans="1:13">
      <c r="H247" s="367" t="s">
        <v>322</v>
      </c>
      <c r="I247" s="480">
        <f>'[78]Sch B'!E90</f>
        <v>214.43256578947367</v>
      </c>
      <c r="K247" s="460"/>
    </row>
    <row r="248" spans="1:13">
      <c r="H248" s="367" t="s">
        <v>323</v>
      </c>
      <c r="I248" s="480">
        <f>'[78]Sch B'!G90</f>
        <v>223.10326086956522</v>
      </c>
      <c r="K248" s="460"/>
    </row>
    <row r="249" spans="1:13">
      <c r="H249" s="367" t="s">
        <v>324</v>
      </c>
      <c r="I249" s="480">
        <f>'[78]Sch B'!I90</f>
        <v>225.08452088452088</v>
      </c>
      <c r="K249" s="460"/>
    </row>
    <row r="250" spans="1:13">
      <c r="H250" s="367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567</v>
      </c>
      <c r="D2" s="234"/>
      <c r="E2" s="142"/>
      <c r="F2" s="411"/>
      <c r="G2" s="411"/>
    </row>
    <row r="3" spans="1:16" ht="15.5">
      <c r="A3" s="143"/>
      <c r="B3" s="138" t="s">
        <v>71</v>
      </c>
      <c r="C3" s="557">
        <f>'[79]Sch A Pg 1'!B39</f>
        <v>42917</v>
      </c>
      <c r="D3"/>
      <c r="E3" s="142"/>
      <c r="F3" s="144"/>
      <c r="G3" s="144"/>
    </row>
    <row r="4" spans="1:16" ht="15.5">
      <c r="A4" s="143"/>
      <c r="B4" s="145" t="s">
        <v>72</v>
      </c>
      <c r="C4" s="557">
        <f>'[79]Sch A Pg 1'!G39</f>
        <v>43079</v>
      </c>
      <c r="D4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'[79]Sch B'!E10</f>
        <v>680646</v>
      </c>
      <c r="D12" s="480">
        <f>'[79]Sch B'!G10</f>
        <v>0</v>
      </c>
      <c r="E12" s="480"/>
      <c r="F12" s="166">
        <f>C12+D12+E12</f>
        <v>680646</v>
      </c>
      <c r="G12" s="626"/>
      <c r="H12" s="166"/>
      <c r="I12" s="166">
        <f>F12+G12+H12</f>
        <v>680646</v>
      </c>
      <c r="J12" s="167">
        <f>IF($I$26=0,0,I12/$I$26)</f>
        <v>0.14165935454652923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'[79]Sch B'!E12</f>
        <v>30393</v>
      </c>
      <c r="D13" s="480">
        <f>'[79]Sch B'!G12</f>
        <v>0</v>
      </c>
      <c r="E13" s="480"/>
      <c r="F13" s="166">
        <f t="shared" ref="F13:F25" si="0">C13+D13+E13</f>
        <v>30393</v>
      </c>
      <c r="G13" s="626">
        <v>-30393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'[79]Sch B'!E13</f>
        <v>10436</v>
      </c>
      <c r="D14" s="480">
        <f>'[79]Sch B'!G13</f>
        <v>0</v>
      </c>
      <c r="E14" s="480"/>
      <c r="F14" s="166">
        <f t="shared" si="0"/>
        <v>10436</v>
      </c>
      <c r="G14" s="626"/>
      <c r="H14" s="166"/>
      <c r="I14" s="166">
        <f t="shared" si="1"/>
        <v>10436</v>
      </c>
      <c r="J14" s="167">
        <f>IF($I$26=0,0,I14/$I$26)</f>
        <v>2.1719910556259481E-3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'[79]Sch B'!E14</f>
        <v>0</v>
      </c>
      <c r="D15" s="480">
        <f>'[79]Sch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'[79]Sch B'!E15</f>
        <v>721475</v>
      </c>
      <c r="D16" s="480">
        <f>'[79]Sch B'!G15</f>
        <v>0</v>
      </c>
      <c r="E16" s="480"/>
      <c r="F16" s="166">
        <f t="shared" si="0"/>
        <v>721475</v>
      </c>
      <c r="G16" s="626"/>
      <c r="H16" s="166"/>
      <c r="I16" s="166">
        <f>SUM(I12:I15)</f>
        <v>691082</v>
      </c>
      <c r="J16" s="167">
        <f t="shared" ref="J16:J26" si="2">IF($I$26=0,0,I16/$I$26)</f>
        <v>0.14383134560215519</v>
      </c>
      <c r="K16" s="458"/>
      <c r="L16" s="333" t="s">
        <v>325</v>
      </c>
      <c r="M16" s="334">
        <f>I26</f>
        <v>4804808</v>
      </c>
      <c r="O16" s="324">
        <f>IFERROR(I16/I224,0)</f>
        <v>209.73657056145674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'[79]Sch B'!E20</f>
        <v>0</v>
      </c>
      <c r="D17" s="480">
        <f>'[79]Sch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4359115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'[79]Sch B'!E26</f>
        <v>3124988</v>
      </c>
      <c r="D18" s="480">
        <f>'[79]Sch B'!G26</f>
        <v>0</v>
      </c>
      <c r="E18" s="480"/>
      <c r="F18" s="166">
        <f t="shared" si="0"/>
        <v>3124988</v>
      </c>
      <c r="G18" s="626"/>
      <c r="H18" s="166"/>
      <c r="I18" s="166">
        <f t="shared" si="1"/>
        <v>3124988</v>
      </c>
      <c r="J18" s="167">
        <f t="shared" si="2"/>
        <v>0.65038769499218285</v>
      </c>
      <c r="K18" s="458"/>
      <c r="L18" s="335" t="s">
        <v>327</v>
      </c>
      <c r="M18" s="336">
        <f>I233</f>
        <v>10788</v>
      </c>
      <c r="O18" s="324">
        <f t="shared" si="3"/>
        <v>833.77481323372467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'[79]Sch B'!E32</f>
        <v>778385</v>
      </c>
      <c r="D19" s="480">
        <f>'[79]Sch B'!G32</f>
        <v>0</v>
      </c>
      <c r="E19" s="480"/>
      <c r="F19" s="166">
        <f t="shared" si="0"/>
        <v>778385</v>
      </c>
      <c r="G19" s="626"/>
      <c r="H19" s="166"/>
      <c r="I19" s="166">
        <f t="shared" si="1"/>
        <v>778385</v>
      </c>
      <c r="J19" s="170">
        <f t="shared" si="2"/>
        <v>0.16200127039415518</v>
      </c>
      <c r="K19" s="464"/>
      <c r="L19" s="335" t="s">
        <v>328</v>
      </c>
      <c r="M19" s="336">
        <f>I236</f>
        <v>119</v>
      </c>
      <c r="O19" s="324">
        <f t="shared" si="3"/>
        <v>263.41285956006766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'[79]Sch B'!E37</f>
        <v>0</v>
      </c>
      <c r="D20" s="480">
        <f>'[79]Sch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19397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'[79]Sch B'!E42</f>
        <v>168887</v>
      </c>
      <c r="D21" s="480">
        <f>'[79]Sch B'!G42</f>
        <v>0</v>
      </c>
      <c r="E21" s="480"/>
      <c r="F21" s="166">
        <f t="shared" si="0"/>
        <v>168887</v>
      </c>
      <c r="G21" s="626"/>
      <c r="H21" s="166"/>
      <c r="I21" s="166">
        <f t="shared" si="1"/>
        <v>168887</v>
      </c>
      <c r="J21" s="167">
        <f t="shared" si="2"/>
        <v>3.5149583500526972E-2</v>
      </c>
      <c r="K21" s="571"/>
      <c r="L21" s="337"/>
      <c r="M21" s="336"/>
      <c r="O21" s="324">
        <f t="shared" si="3"/>
        <v>279.61423841059604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'[79]Sch B'!E47</f>
        <v>0</v>
      </c>
      <c r="D22" s="480">
        <f>'[79]Sch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520"/>
      <c r="L22" s="335" t="s">
        <v>148</v>
      </c>
      <c r="M22" s="336">
        <f>L213</f>
        <v>99408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'[79]Sch B'!E52</f>
        <v>39720</v>
      </c>
      <c r="D23" s="480">
        <f>'[79]Sch B'!G52</f>
        <v>0</v>
      </c>
      <c r="E23" s="480"/>
      <c r="F23" s="166">
        <f t="shared" si="0"/>
        <v>39720</v>
      </c>
      <c r="G23" s="626"/>
      <c r="H23" s="166"/>
      <c r="I23" s="166">
        <f t="shared" si="1"/>
        <v>39720</v>
      </c>
      <c r="J23" s="167">
        <f t="shared" si="2"/>
        <v>8.2667195026315306E-3</v>
      </c>
      <c r="K23" s="520"/>
      <c r="L23" s="338" t="s">
        <v>233</v>
      </c>
      <c r="M23" s="339">
        <f>M213</f>
        <v>104976</v>
      </c>
      <c r="O23" s="324">
        <f t="shared" si="3"/>
        <v>213.54838709677421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'[79]Sch B'!E57</f>
        <v>0</v>
      </c>
      <c r="D24" s="480">
        <f>'[79]Sch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520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'[79]Sch B'!E72</f>
        <v>1746</v>
      </c>
      <c r="D25" s="480">
        <f>'[79]Sch B'!G72</f>
        <v>0</v>
      </c>
      <c r="E25" s="480"/>
      <c r="F25" s="166">
        <f t="shared" si="0"/>
        <v>1746</v>
      </c>
      <c r="G25" s="626"/>
      <c r="H25" s="166"/>
      <c r="I25" s="166">
        <f t="shared" si="1"/>
        <v>1746</v>
      </c>
      <c r="J25" s="167">
        <f t="shared" si="2"/>
        <v>3.6338600834830446E-4</v>
      </c>
      <c r="K25" s="571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4835201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4835201</v>
      </c>
      <c r="G26" s="166">
        <f>SUM(G12:G25)</f>
        <v>-30393</v>
      </c>
      <c r="H26" s="166">
        <f>SUM(H12:H25)</f>
        <v>0</v>
      </c>
      <c r="I26" s="166">
        <f>SUM(I16:I25)</f>
        <v>4804808</v>
      </c>
      <c r="J26" s="167">
        <f t="shared" si="2"/>
        <v>1</v>
      </c>
      <c r="K26" s="458"/>
      <c r="L26" s="163"/>
      <c r="M26" s="163"/>
      <c r="O26" s="324">
        <f>IFERROR(I26/I233,0)</f>
        <v>445.38450129773821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'[79]Sch C'!D10</f>
        <v>60525</v>
      </c>
      <c r="D30" s="480">
        <f>'[79]Sch C'!F10</f>
        <v>0</v>
      </c>
      <c r="E30" s="480">
        <f>+'[79]Sch C'!H10</f>
        <v>0</v>
      </c>
      <c r="F30" s="166">
        <f t="shared" ref="F30:F65" si="5">C30+D30+E30</f>
        <v>60525</v>
      </c>
      <c r="G30" s="626"/>
      <c r="H30" s="166"/>
      <c r="I30" s="166">
        <f t="shared" ref="I30:I65" si="6">F30+G30+H30</f>
        <v>60525</v>
      </c>
      <c r="J30" s="167">
        <f>IF($I$213=0,0,I30/$I$213)</f>
        <v>1.3884699073091672E-2</v>
      </c>
      <c r="K30" s="458"/>
      <c r="L30" s="176">
        <v>885</v>
      </c>
      <c r="M30" s="176">
        <v>920</v>
      </c>
      <c r="O30" s="324">
        <f>I30/I$233</f>
        <v>5.6104004449388212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'[79]Sch C'!D11</f>
        <v>0</v>
      </c>
      <c r="D31" s="480">
        <f>'[79]Sch C'!F11</f>
        <v>0</v>
      </c>
      <c r="E31" s="480">
        <f>+'[79]Sch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'[79]Sch C'!D12</f>
        <v>108063</v>
      </c>
      <c r="D32" s="480">
        <f>'[79]Sch C'!F12</f>
        <v>0</v>
      </c>
      <c r="E32" s="480">
        <f>+'[79]Sch C'!H12</f>
        <v>0</v>
      </c>
      <c r="F32" s="166">
        <f t="shared" si="5"/>
        <v>108063</v>
      </c>
      <c r="G32" s="626"/>
      <c r="H32" s="166"/>
      <c r="I32" s="166">
        <f t="shared" si="6"/>
        <v>108063</v>
      </c>
      <c r="J32" s="167">
        <f t="shared" si="7"/>
        <v>2.4790123683362333E-2</v>
      </c>
      <c r="K32" s="458"/>
      <c r="L32" s="176">
        <v>3550</v>
      </c>
      <c r="M32" s="176">
        <v>3944</v>
      </c>
      <c r="O32" s="324">
        <f t="shared" si="8"/>
        <v>10.016963292547274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'[79]Sch C'!D13</f>
        <v>350019</v>
      </c>
      <c r="D33" s="480">
        <f>'[79]Sch C'!F13</f>
        <v>-324473</v>
      </c>
      <c r="E33" s="480">
        <f>+'[79]Sch C'!H13</f>
        <v>0</v>
      </c>
      <c r="F33" s="166">
        <f t="shared" si="5"/>
        <v>25546</v>
      </c>
      <c r="G33" s="626"/>
      <c r="H33" s="166"/>
      <c r="I33" s="166">
        <f t="shared" si="6"/>
        <v>25546</v>
      </c>
      <c r="J33" s="167">
        <f t="shared" si="7"/>
        <v>5.8603638582602202E-3</v>
      </c>
      <c r="K33" s="458"/>
      <c r="L33" s="163"/>
      <c r="M33" s="163"/>
      <c r="O33" s="324">
        <f t="shared" si="8"/>
        <v>2.3680014831294032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'[79]Sch C'!D14</f>
        <v>0</v>
      </c>
      <c r="D34" s="480">
        <f>'[79]Sch C'!F14</f>
        <v>0</v>
      </c>
      <c r="E34" s="480">
        <f>+'[79]Sch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'[79]Sch C'!D15</f>
        <v>0</v>
      </c>
      <c r="D35" s="480">
        <f>'[79]Sch C'!F15</f>
        <v>0</v>
      </c>
      <c r="E35" s="480">
        <f>+'[79]Sch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'[79]Sch C'!D16</f>
        <v>244000</v>
      </c>
      <c r="D36" s="480">
        <f>'[79]Sch C'!F16</f>
        <v>0</v>
      </c>
      <c r="E36" s="480">
        <f>+'[79]Sch C'!H16</f>
        <v>-137820</v>
      </c>
      <c r="F36" s="166">
        <f t="shared" si="5"/>
        <v>106180</v>
      </c>
      <c r="G36" s="626"/>
      <c r="H36" s="166"/>
      <c r="I36" s="166">
        <f t="shared" si="6"/>
        <v>106180</v>
      </c>
      <c r="J36" s="167">
        <f t="shared" si="7"/>
        <v>2.4358155267755036E-2</v>
      </c>
      <c r="K36" s="458"/>
      <c r="L36" s="163"/>
      <c r="M36" s="163"/>
      <c r="O36" s="324">
        <f t="shared" si="8"/>
        <v>9.8424175009269561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'[79]Sch C'!D17</f>
        <v>0</v>
      </c>
      <c r="D37" s="480">
        <f>'[79]Sch C'!F17</f>
        <v>0</v>
      </c>
      <c r="E37" s="480">
        <f>+'[79]Sch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'[79]Sch C'!D18</f>
        <v>6021</v>
      </c>
      <c r="D38" s="480">
        <f>'[79]Sch C'!F18</f>
        <v>0</v>
      </c>
      <c r="E38" s="480">
        <f>+'[79]Sch C'!H18</f>
        <v>0</v>
      </c>
      <c r="F38" s="166">
        <f t="shared" si="5"/>
        <v>6021</v>
      </c>
      <c r="G38" s="626"/>
      <c r="H38" s="166"/>
      <c r="I38" s="166">
        <f t="shared" si="6"/>
        <v>6021</v>
      </c>
      <c r="J38" s="167">
        <f t="shared" si="7"/>
        <v>1.3812436698733574E-3</v>
      </c>
      <c r="K38" s="458"/>
      <c r="L38" s="163"/>
      <c r="M38" s="163"/>
      <c r="O38" s="324">
        <f t="shared" si="8"/>
        <v>0.55812013348164624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'[79]Sch C'!D19</f>
        <v>23258</v>
      </c>
      <c r="D39" s="480">
        <f>'[79]Sch C'!F19</f>
        <v>0</v>
      </c>
      <c r="E39" s="480">
        <f>+'[79]Sch C'!H19</f>
        <v>0</v>
      </c>
      <c r="F39" s="166">
        <f t="shared" si="5"/>
        <v>23258</v>
      </c>
      <c r="G39" s="626"/>
      <c r="H39" s="166"/>
      <c r="I39" s="166">
        <f t="shared" si="6"/>
        <v>23258</v>
      </c>
      <c r="J39" s="167">
        <f t="shared" si="7"/>
        <v>5.3354866756210838E-3</v>
      </c>
      <c r="K39" s="458"/>
      <c r="L39" s="163"/>
      <c r="M39" s="163"/>
      <c r="O39" s="324">
        <f t="shared" si="8"/>
        <v>2.1559139784946235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'[79]Sch C'!D20</f>
        <v>19037</v>
      </c>
      <c r="D40" s="480">
        <f>'[79]Sch C'!F20</f>
        <v>0</v>
      </c>
      <c r="E40" s="480">
        <f>+'[79]Sch C'!H20</f>
        <v>0</v>
      </c>
      <c r="F40" s="166">
        <f t="shared" si="5"/>
        <v>19037</v>
      </c>
      <c r="G40" s="626"/>
      <c r="H40" s="166"/>
      <c r="I40" s="166">
        <f t="shared" si="6"/>
        <v>19037</v>
      </c>
      <c r="J40" s="167">
        <f t="shared" si="7"/>
        <v>4.3671708592225716E-3</v>
      </c>
      <c r="K40" s="458"/>
      <c r="L40" s="163"/>
      <c r="M40" s="163"/>
      <c r="O40" s="324">
        <f t="shared" si="8"/>
        <v>1.7646459028550241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'[79]Sch C'!D21</f>
        <v>10527</v>
      </c>
      <c r="D41" s="480">
        <f>'[79]Sch C'!F21</f>
        <v>0</v>
      </c>
      <c r="E41" s="480">
        <f>+'[79]Sch C'!H21</f>
        <v>0</v>
      </c>
      <c r="F41" s="166">
        <f t="shared" si="5"/>
        <v>10527</v>
      </c>
      <c r="G41" s="626"/>
      <c r="H41" s="166"/>
      <c r="I41" s="166">
        <f t="shared" si="6"/>
        <v>10527</v>
      </c>
      <c r="J41" s="167">
        <f t="shared" si="7"/>
        <v>2.41493972973872E-3</v>
      </c>
      <c r="L41" s="163"/>
      <c r="M41" s="163"/>
      <c r="O41" s="324">
        <f t="shared" si="8"/>
        <v>0.97580645161290325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'[79]Sch C'!D22</f>
        <v>0</v>
      </c>
      <c r="D42" s="480">
        <f>'[79]Sch C'!F22</f>
        <v>0</v>
      </c>
      <c r="E42" s="480">
        <f>+'[79]Sch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'[79]Sch C'!D23</f>
        <v>1569</v>
      </c>
      <c r="D43" s="480">
        <f>'[79]Sch C'!F23</f>
        <v>0</v>
      </c>
      <c r="E43" s="480">
        <f>+'[79]Sch C'!H23</f>
        <v>0</v>
      </c>
      <c r="F43" s="166">
        <f t="shared" si="5"/>
        <v>1569</v>
      </c>
      <c r="G43" s="626"/>
      <c r="H43" s="166"/>
      <c r="I43" s="166">
        <f t="shared" si="6"/>
        <v>1569</v>
      </c>
      <c r="J43" s="167">
        <f t="shared" si="7"/>
        <v>3.5993544561224012E-4</v>
      </c>
      <c r="K43" s="458"/>
      <c r="L43" s="163"/>
      <c r="M43" s="163"/>
      <c r="O43" s="324">
        <f t="shared" si="8"/>
        <v>0.14543937708565072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'[79]Sch C'!D24</f>
        <v>30791</v>
      </c>
      <c r="D44" s="480">
        <f>'[79]Sch C'!F24</f>
        <v>0</v>
      </c>
      <c r="E44" s="480">
        <f>+'[79]Sch C'!H24</f>
        <v>0</v>
      </c>
      <c r="F44" s="166">
        <f t="shared" si="5"/>
        <v>30791</v>
      </c>
      <c r="G44" s="626"/>
      <c r="H44" s="166"/>
      <c r="I44" s="166">
        <f t="shared" si="6"/>
        <v>30791</v>
      </c>
      <c r="J44" s="167">
        <f t="shared" si="7"/>
        <v>7.0635897424133108E-3</v>
      </c>
      <c r="K44" s="458"/>
      <c r="L44" s="163"/>
      <c r="M44" s="163"/>
      <c r="O44" s="324">
        <f t="shared" si="8"/>
        <v>2.8541898405635893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'[79]Sch C'!D25</f>
        <v>0</v>
      </c>
      <c r="D45" s="480">
        <f>'[79]Sch C'!F25</f>
        <v>0</v>
      </c>
      <c r="E45" s="480">
        <f>+'[79]Sch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'[79]Sch C'!D26</f>
        <v>88185</v>
      </c>
      <c r="D46" s="480">
        <f>'[79]Sch C'!F26</f>
        <v>0</v>
      </c>
      <c r="E46" s="480">
        <f>+'[79]Sch C'!H26</f>
        <v>0</v>
      </c>
      <c r="F46" s="166">
        <f t="shared" si="5"/>
        <v>88185</v>
      </c>
      <c r="G46" s="626"/>
      <c r="H46" s="166"/>
      <c r="I46" s="166">
        <f t="shared" si="6"/>
        <v>88185</v>
      </c>
      <c r="J46" s="167">
        <f t="shared" si="7"/>
        <v>2.0230023754821792E-2</v>
      </c>
      <c r="K46" s="458"/>
      <c r="L46" s="163"/>
      <c r="M46" s="163"/>
      <c r="O46" s="324">
        <f t="shared" si="8"/>
        <v>8.1743604004449395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'[79]Sch C'!D27</f>
        <v>0</v>
      </c>
      <c r="D47" s="480">
        <f>'[79]Sch C'!F27</f>
        <v>0</v>
      </c>
      <c r="E47" s="480">
        <f>+'[79]Sch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'[79]Sch C'!D28</f>
        <v>0</v>
      </c>
      <c r="D48" s="480">
        <f>'[79]Sch C'!F28</f>
        <v>0</v>
      </c>
      <c r="E48" s="480">
        <f>+'[79]Sch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'[79]Sch C'!D29</f>
        <v>0</v>
      </c>
      <c r="D49" s="480">
        <f>'[79]Sch C'!F29</f>
        <v>0</v>
      </c>
      <c r="E49" s="480">
        <f>+'[79]Sch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'[79]Sch C'!D30</f>
        <v>0</v>
      </c>
      <c r="D50" s="480">
        <f>'[79]Sch C'!F30</f>
        <v>0</v>
      </c>
      <c r="E50" s="480">
        <f>+'[79]Sch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'[79]Sch C'!D31</f>
        <v>15156</v>
      </c>
      <c r="D51" s="480">
        <f>'[79]Sch C'!F31</f>
        <v>0</v>
      </c>
      <c r="E51" s="480">
        <f>+'[79]Sch C'!H31</f>
        <v>0</v>
      </c>
      <c r="F51" s="166">
        <f t="shared" si="5"/>
        <v>15156</v>
      </c>
      <c r="G51" s="626"/>
      <c r="H51" s="166"/>
      <c r="I51" s="166">
        <f t="shared" si="6"/>
        <v>15156</v>
      </c>
      <c r="J51" s="167">
        <f t="shared" si="7"/>
        <v>3.4768525262581971E-3</v>
      </c>
      <c r="K51" s="458"/>
      <c r="L51" s="163"/>
      <c r="M51" s="163"/>
      <c r="O51" s="324">
        <f t="shared" si="8"/>
        <v>1.4048943270300334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'[79]Sch C'!D32</f>
        <v>12132</v>
      </c>
      <c r="D52" s="480">
        <f>'[79]Sch C'!F32</f>
        <v>0</v>
      </c>
      <c r="E52" s="480">
        <f>+'[79]Sch C'!H32</f>
        <v>0</v>
      </c>
      <c r="F52" s="166">
        <f t="shared" si="5"/>
        <v>12132</v>
      </c>
      <c r="G52" s="626"/>
      <c r="H52" s="166"/>
      <c r="I52" s="166">
        <f t="shared" si="6"/>
        <v>12132</v>
      </c>
      <c r="J52" s="167">
        <f t="shared" si="7"/>
        <v>2.7831337324204569E-3</v>
      </c>
      <c r="K52" s="458"/>
      <c r="L52" s="163"/>
      <c r="M52" s="163"/>
      <c r="O52" s="324">
        <f t="shared" si="8"/>
        <v>1.1245828698553948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'[79]Sch C'!D33</f>
        <v>0</v>
      </c>
      <c r="D53" s="480">
        <f>'[79]Sch C'!F33</f>
        <v>0</v>
      </c>
      <c r="E53" s="480">
        <f>+'[79]Sch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'[79]Sch C'!D34</f>
        <v>0</v>
      </c>
      <c r="D54" s="480">
        <f>'[79]Sch C'!F34</f>
        <v>0</v>
      </c>
      <c r="E54" s="480">
        <f>+'[79]Sch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'[79]Sch C'!D35</f>
        <v>0</v>
      </c>
      <c r="D55" s="480">
        <f>'[79]Sch C'!F35</f>
        <v>0</v>
      </c>
      <c r="E55" s="480">
        <f>+'[79]Sch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'[79]Sch C'!D36</f>
        <v>33135</v>
      </c>
      <c r="D56" s="480">
        <f>'[79]Sch C'!F36</f>
        <v>0</v>
      </c>
      <c r="E56" s="480">
        <f>+'[79]Sch C'!H36</f>
        <v>0</v>
      </c>
      <c r="F56" s="166">
        <f t="shared" si="5"/>
        <v>33135</v>
      </c>
      <c r="G56" s="626"/>
      <c r="H56" s="166"/>
      <c r="I56" s="166">
        <f t="shared" si="6"/>
        <v>33135</v>
      </c>
      <c r="J56" s="167">
        <f t="shared" si="7"/>
        <v>7.6013135693827763E-3</v>
      </c>
      <c r="K56" s="458"/>
      <c r="L56" s="176">
        <v>2269</v>
      </c>
      <c r="M56" s="176">
        <v>2374</v>
      </c>
      <c r="O56" s="324">
        <f t="shared" si="8"/>
        <v>3.0714682981090102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'[79]Sch C'!D37</f>
        <v>0</v>
      </c>
      <c r="D57" s="480">
        <f>'[79]Sch C'!F37</f>
        <v>5021</v>
      </c>
      <c r="E57" s="480">
        <f>+'[79]Sch C'!H37</f>
        <v>0</v>
      </c>
      <c r="F57" s="166">
        <f t="shared" si="5"/>
        <v>5021</v>
      </c>
      <c r="G57" s="626"/>
      <c r="H57" s="166"/>
      <c r="I57" s="166">
        <f t="shared" si="6"/>
        <v>5021</v>
      </c>
      <c r="J57" s="167">
        <f t="shared" si="7"/>
        <v>1.1518393068317766E-3</v>
      </c>
      <c r="K57" s="458"/>
      <c r="L57" s="163"/>
      <c r="M57" s="163"/>
      <c r="O57" s="324">
        <f t="shared" si="8"/>
        <v>0.46542454579162029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'[79]Sch C'!D38</f>
        <v>0</v>
      </c>
      <c r="D58" s="480">
        <f>'[79]Sch C'!F38</f>
        <v>0</v>
      </c>
      <c r="E58" s="480">
        <f>+'[79]Sch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'[79]Sch C'!D39</f>
        <v>3617</v>
      </c>
      <c r="D59" s="480">
        <f>'[79]Sch C'!F39</f>
        <v>0</v>
      </c>
      <c r="E59" s="480">
        <f>+'[79]Sch C'!H39</f>
        <v>0</v>
      </c>
      <c r="F59" s="166">
        <f t="shared" si="5"/>
        <v>3617</v>
      </c>
      <c r="G59" s="626"/>
      <c r="H59" s="166"/>
      <c r="I59" s="166">
        <f t="shared" si="6"/>
        <v>3617</v>
      </c>
      <c r="J59" s="167">
        <f t="shared" si="7"/>
        <v>8.2975558112139737E-4</v>
      </c>
      <c r="K59" s="458"/>
      <c r="L59" s="163"/>
      <c r="M59" s="163"/>
      <c r="O59" s="324">
        <f t="shared" si="8"/>
        <v>0.33527994067482386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'[79]Sch C'!D40</f>
        <v>4216</v>
      </c>
      <c r="D60" s="480">
        <f>'[79]Sch C'!F40</f>
        <v>-2813</v>
      </c>
      <c r="E60" s="480">
        <f>+'[79]Sch C'!H40</f>
        <v>0</v>
      </c>
      <c r="F60" s="166">
        <f t="shared" si="5"/>
        <v>1403</v>
      </c>
      <c r="G60" s="626"/>
      <c r="H60" s="166"/>
      <c r="I60" s="166">
        <f t="shared" si="6"/>
        <v>1403</v>
      </c>
      <c r="J60" s="167">
        <f t="shared" si="7"/>
        <v>3.2185432134733768E-4</v>
      </c>
      <c r="K60" s="458"/>
      <c r="L60" s="163"/>
      <c r="M60" s="163"/>
      <c r="O60" s="324">
        <f t="shared" si="8"/>
        <v>0.13005190952910642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'[79]Sch C'!D41</f>
        <v>0</v>
      </c>
      <c r="D61" s="480">
        <f>'[79]Sch C'!F41</f>
        <v>0</v>
      </c>
      <c r="E61" s="480">
        <f>+'[79]Sch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'[79]Sch C'!D42</f>
        <v>5642</v>
      </c>
      <c r="D62" s="480">
        <f>'[79]Sch C'!F42</f>
        <v>0</v>
      </c>
      <c r="E62" s="480">
        <f>+'[79]Sch C'!H42</f>
        <v>0</v>
      </c>
      <c r="F62" s="166">
        <f t="shared" si="5"/>
        <v>5642</v>
      </c>
      <c r="G62" s="626"/>
      <c r="H62" s="166"/>
      <c r="I62" s="166">
        <f t="shared" si="6"/>
        <v>5642</v>
      </c>
      <c r="J62" s="167">
        <f t="shared" si="7"/>
        <v>1.2942994162805982E-3</v>
      </c>
      <c r="K62" s="458"/>
      <c r="L62" s="163"/>
      <c r="M62" s="163"/>
      <c r="O62" s="324">
        <f t="shared" si="8"/>
        <v>0.52298850574712641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'[79]Sch C'!D43</f>
        <v>4837</v>
      </c>
      <c r="D63" s="480">
        <f>'[79]Sch C'!F43</f>
        <v>-4837</v>
      </c>
      <c r="E63" s="480">
        <f>+'[79]Sch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'[79]Sch C'!D44</f>
        <v>0</v>
      </c>
      <c r="D64" s="480">
        <f>'[79]Sch C'!F44</f>
        <v>0</v>
      </c>
      <c r="E64" s="480">
        <f>+'[79]Sch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'[79]Sch C'!D45</f>
        <v>1231</v>
      </c>
      <c r="D65" s="480">
        <f>'[79]Sch C'!F45</f>
        <v>0</v>
      </c>
      <c r="E65" s="480">
        <f>+'[79]Sch C'!H45</f>
        <v>0</v>
      </c>
      <c r="F65" s="166">
        <f t="shared" si="5"/>
        <v>1231</v>
      </c>
      <c r="G65" s="626"/>
      <c r="H65" s="166"/>
      <c r="I65" s="166">
        <f t="shared" si="6"/>
        <v>1231</v>
      </c>
      <c r="J65" s="167">
        <f t="shared" si="7"/>
        <v>2.8239677090418584E-4</v>
      </c>
      <c r="K65" s="458"/>
      <c r="L65" s="163"/>
      <c r="M65" s="163"/>
      <c r="O65" s="324">
        <f t="shared" si="8"/>
        <v>0.11410826844642195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1021961</v>
      </c>
      <c r="D66" s="480">
        <f t="shared" si="9"/>
        <v>-327102</v>
      </c>
      <c r="E66" s="480">
        <f t="shared" si="9"/>
        <v>-137820</v>
      </c>
      <c r="F66" s="166">
        <f t="shared" ref="F66:I66" si="10">SUM(F30:F65)</f>
        <v>557039</v>
      </c>
      <c r="G66" s="166">
        <f t="shared" si="10"/>
        <v>0</v>
      </c>
      <c r="H66" s="166">
        <f t="shared" si="10"/>
        <v>0</v>
      </c>
      <c r="I66" s="166">
        <f t="shared" si="10"/>
        <v>557039</v>
      </c>
      <c r="J66" s="178">
        <f t="shared" si="7"/>
        <v>0.12778717698431907</v>
      </c>
      <c r="K66" s="465"/>
      <c r="L66" s="163"/>
      <c r="M66" s="163"/>
      <c r="O66" s="329">
        <f>I66/I$233</f>
        <v>51.635057471264368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'[79]Sch C'!D57</f>
        <v>0</v>
      </c>
      <c r="D69" s="480">
        <f>'[79]Sch C'!F57</f>
        <v>0</v>
      </c>
      <c r="E69" s="480">
        <f>+'[79]Sch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'[79]Sch C'!D58</f>
        <v>227039</v>
      </c>
      <c r="D70" s="480">
        <f>'[79]Sch C'!F58</f>
        <v>0</v>
      </c>
      <c r="E70" s="480">
        <f>+'[79]Sch C'!H58</f>
        <v>0</v>
      </c>
      <c r="F70" s="166">
        <f t="shared" ref="F70:F83" si="13">C70+D70+E70</f>
        <v>227039</v>
      </c>
      <c r="G70" s="626"/>
      <c r="H70" s="166"/>
      <c r="I70" s="166">
        <f t="shared" ref="I70:I83" si="14">F70+G70+H70</f>
        <v>227039</v>
      </c>
      <c r="J70" s="167">
        <f t="shared" si="11"/>
        <v>5.2083737180597438E-2</v>
      </c>
      <c r="K70" s="458"/>
      <c r="L70" s="182"/>
      <c r="M70" s="163"/>
      <c r="O70" s="324">
        <f t="shared" si="12"/>
        <v>21.045513533555802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'[79]Sch C'!D59</f>
        <v>195945</v>
      </c>
      <c r="D71" s="480">
        <f>'[79]Sch C'!F59</f>
        <v>0</v>
      </c>
      <c r="E71" s="480">
        <f>+'[79]Sch C'!H59</f>
        <v>0</v>
      </c>
      <c r="F71" s="166">
        <f t="shared" si="13"/>
        <v>195945</v>
      </c>
      <c r="G71" s="626"/>
      <c r="H71" s="166"/>
      <c r="I71" s="166">
        <f t="shared" si="14"/>
        <v>195945</v>
      </c>
      <c r="J71" s="167">
        <f t="shared" si="11"/>
        <v>4.4950637916182527E-2</v>
      </c>
      <c r="K71" s="458"/>
      <c r="L71" s="182"/>
      <c r="M71" s="163"/>
      <c r="O71" s="324">
        <f t="shared" si="12"/>
        <v>18.163236929922135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'[79]Sch C'!D60</f>
        <v>32498</v>
      </c>
      <c r="D72" s="480">
        <f>'[79]Sch C'!F60</f>
        <v>0</v>
      </c>
      <c r="E72" s="480">
        <f>+'[79]Sch C'!H60</f>
        <v>0</v>
      </c>
      <c r="F72" s="166">
        <f t="shared" si="13"/>
        <v>32498</v>
      </c>
      <c r="G72" s="626"/>
      <c r="H72" s="166"/>
      <c r="I72" s="166">
        <f t="shared" si="14"/>
        <v>32498</v>
      </c>
      <c r="J72" s="167">
        <f t="shared" si="11"/>
        <v>7.4551829901252894E-3</v>
      </c>
      <c r="K72" s="458"/>
      <c r="L72" s="185"/>
      <c r="M72" s="163"/>
      <c r="O72" s="324">
        <f t="shared" si="12"/>
        <v>3.0124212087504634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'[79]Sch C'!D61</f>
        <v>0</v>
      </c>
      <c r="D73" s="480">
        <f>'[79]Sch C'!F61</f>
        <v>0</v>
      </c>
      <c r="E73" s="480">
        <f>+'[79]Sch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'[79]Sch C'!D62</f>
        <v>0</v>
      </c>
      <c r="D74" s="480">
        <f>'[79]Sch C'!F62</f>
        <v>0</v>
      </c>
      <c r="E74" s="480">
        <f>+'[79]Sch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'[79]Sch C'!D63</f>
        <v>0</v>
      </c>
      <c r="D75" s="480">
        <f>'[79]Sch C'!F63</f>
        <v>0</v>
      </c>
      <c r="E75" s="480">
        <f>+'[79]Sch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'[79]Sch C'!D64</f>
        <v>0</v>
      </c>
      <c r="D76" s="480">
        <f>'[79]Sch C'!F64</f>
        <v>0</v>
      </c>
      <c r="E76" s="480">
        <f>+'[79]Sch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'[79]Sch C'!D65</f>
        <v>1469</v>
      </c>
      <c r="D77" s="480">
        <f>'[79]Sch C'!F65</f>
        <v>0</v>
      </c>
      <c r="E77" s="480">
        <f>+'[79]Sch C'!H65</f>
        <v>0</v>
      </c>
      <c r="F77" s="166">
        <f t="shared" si="13"/>
        <v>1469</v>
      </c>
      <c r="G77" s="626"/>
      <c r="H77" s="166"/>
      <c r="I77" s="166">
        <f t="shared" si="14"/>
        <v>1469</v>
      </c>
      <c r="J77" s="167">
        <f t="shared" si="11"/>
        <v>3.3699500930808201E-4</v>
      </c>
      <c r="K77" s="458"/>
      <c r="L77" s="187"/>
      <c r="M77" s="163"/>
      <c r="O77" s="324">
        <f t="shared" si="12"/>
        <v>0.13616981831664812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'[79]Sch C'!D66</f>
        <v>26650</v>
      </c>
      <c r="D78" s="480">
        <f>'[79]Sch C'!F66</f>
        <v>0</v>
      </c>
      <c r="E78" s="480">
        <f>+'[79]Sch C'!H66</f>
        <v>0</v>
      </c>
      <c r="F78" s="166">
        <f t="shared" si="13"/>
        <v>26650</v>
      </c>
      <c r="G78" s="626">
        <v>5372</v>
      </c>
      <c r="H78" s="166"/>
      <c r="I78" s="166">
        <f t="shared" si="14"/>
        <v>32022</v>
      </c>
      <c r="J78" s="167">
        <f t="shared" si="11"/>
        <v>7.3459865133174967E-3</v>
      </c>
      <c r="K78" s="458"/>
      <c r="L78" s="187"/>
      <c r="M78" s="163"/>
      <c r="O78" s="324">
        <f t="shared" si="12"/>
        <v>2.9682981090100111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'[79]Sch C'!D67</f>
        <v>0</v>
      </c>
      <c r="D79" s="480">
        <f>'[79]Sch C'!F67</f>
        <v>0</v>
      </c>
      <c r="E79" s="480">
        <f>+'[79]Sch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'[79]Sch C'!D68</f>
        <v>0</v>
      </c>
      <c r="D80" s="480">
        <f>'[79]Sch C'!F68</f>
        <v>0</v>
      </c>
      <c r="E80" s="480">
        <f>+'[79]Sch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'[79]Sch C'!D69</f>
        <v>0</v>
      </c>
      <c r="D81" s="480">
        <f>'[79]Sch C'!F69</f>
        <v>0</v>
      </c>
      <c r="E81" s="480">
        <f>+'[79]Sch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'[79]Sch C'!D70</f>
        <v>0</v>
      </c>
      <c r="D82" s="480">
        <f>'[79]Sch C'!F70</f>
        <v>0</v>
      </c>
      <c r="E82" s="480">
        <f>+'[79]Sch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'[79]Sch C'!D71</f>
        <v>0</v>
      </c>
      <c r="D83" s="480">
        <f>'[79]Sch C'!F71</f>
        <v>0</v>
      </c>
      <c r="E83" s="480">
        <f>+'[79]Sch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483601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483601</v>
      </c>
      <c r="G84" s="166">
        <f t="shared" si="16"/>
        <v>5372</v>
      </c>
      <c r="H84" s="166">
        <f t="shared" si="16"/>
        <v>0</v>
      </c>
      <c r="I84" s="166">
        <f t="shared" si="16"/>
        <v>488973</v>
      </c>
      <c r="J84" s="167">
        <f t="shared" si="11"/>
        <v>0.11217253960953083</v>
      </c>
      <c r="K84" s="458"/>
      <c r="L84" s="187"/>
      <c r="M84" s="163"/>
      <c r="O84" s="324">
        <f t="shared" si="12"/>
        <v>45.32563959955506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'[79]Sch C'!D75</f>
        <v>19020</v>
      </c>
      <c r="D87" s="480">
        <f>'[79]Sch C'!F75</f>
        <v>0</v>
      </c>
      <c r="E87" s="480">
        <f>+'[79]Sch C'!H75</f>
        <v>0</v>
      </c>
      <c r="F87" s="166">
        <f t="shared" ref="F87:F97" si="17">C87+D87+E87</f>
        <v>19020</v>
      </c>
      <c r="G87" s="626"/>
      <c r="H87" s="166"/>
      <c r="I87" s="166">
        <f t="shared" ref="I87:I97" si="18">F87+G87+H87</f>
        <v>19020</v>
      </c>
      <c r="J87" s="167">
        <f t="shared" ref="J87:J98" si="19">IF($I$213=0,0,I87/$I$213)</f>
        <v>4.3632709850508645E-3</v>
      </c>
      <c r="K87" s="458"/>
      <c r="L87" s="176">
        <v>614</v>
      </c>
      <c r="M87" s="176">
        <v>680</v>
      </c>
      <c r="O87" s="324">
        <f t="shared" ref="O87:O97" si="20">I87/I$233</f>
        <v>1.7630700778642936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'[79]Sch C'!D76</f>
        <v>0</v>
      </c>
      <c r="D88" s="480">
        <f>'[79]Sch C'!F76</f>
        <v>2882</v>
      </c>
      <c r="E88" s="480">
        <f>+'[79]Sch C'!H76</f>
        <v>0</v>
      </c>
      <c r="F88" s="166">
        <f t="shared" si="17"/>
        <v>2882</v>
      </c>
      <c r="G88" s="626"/>
      <c r="H88" s="166"/>
      <c r="I88" s="166">
        <f t="shared" si="18"/>
        <v>2882</v>
      </c>
      <c r="J88" s="167">
        <f t="shared" si="19"/>
        <v>6.611433742858355E-4</v>
      </c>
      <c r="K88" s="458"/>
      <c r="L88" s="163"/>
      <c r="M88" s="163"/>
      <c r="O88" s="324">
        <f t="shared" si="20"/>
        <v>0.26714868372265482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'[79]Sch C'!D77</f>
        <v>13917</v>
      </c>
      <c r="D89" s="480">
        <f>'[79]Sch C'!F77</f>
        <v>0</v>
      </c>
      <c r="E89" s="480">
        <f>+'[79]Sch C'!H77</f>
        <v>0</v>
      </c>
      <c r="F89" s="166">
        <f t="shared" si="17"/>
        <v>13917</v>
      </c>
      <c r="G89" s="626"/>
      <c r="H89" s="166"/>
      <c r="I89" s="166">
        <f t="shared" si="18"/>
        <v>13917</v>
      </c>
      <c r="J89" s="167">
        <f t="shared" si="19"/>
        <v>3.1926205204496783E-3</v>
      </c>
      <c r="K89" s="458"/>
      <c r="L89" s="163"/>
      <c r="M89" s="163"/>
      <c r="O89" s="324">
        <f t="shared" si="20"/>
        <v>1.2900444938820912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'[79]Sch C'!D78</f>
        <v>0</v>
      </c>
      <c r="D90" s="480">
        <f>'[79]Sch C'!F78</f>
        <v>0</v>
      </c>
      <c r="E90" s="480">
        <f>+'[79]Sch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'[79]Sch C'!D79</f>
        <v>67281</v>
      </c>
      <c r="D91" s="480">
        <f>'[79]Sch C'!F79</f>
        <v>0</v>
      </c>
      <c r="E91" s="480">
        <f>+'[79]Sch C'!H79</f>
        <v>0</v>
      </c>
      <c r="F91" s="166">
        <f t="shared" si="17"/>
        <v>67281</v>
      </c>
      <c r="G91" s="626">
        <v>-5372</v>
      </c>
      <c r="H91" s="166"/>
      <c r="I91" s="166">
        <f t="shared" si="18"/>
        <v>61909</v>
      </c>
      <c r="J91" s="167">
        <f t="shared" si="19"/>
        <v>1.420219471154122E-2</v>
      </c>
      <c r="K91" s="458"/>
      <c r="L91" s="163"/>
      <c r="M91" s="163"/>
      <c r="O91" s="324">
        <f t="shared" si="20"/>
        <v>5.7386911383018164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'[79]Sch C'!D80</f>
        <v>18005</v>
      </c>
      <c r="D92" s="480">
        <f>'[79]Sch C'!F80</f>
        <v>0</v>
      </c>
      <c r="E92" s="480">
        <f>+'[79]Sch C'!H80</f>
        <v>0</v>
      </c>
      <c r="F92" s="166">
        <f t="shared" si="17"/>
        <v>18005</v>
      </c>
      <c r="G92" s="626"/>
      <c r="H92" s="166"/>
      <c r="I92" s="166">
        <f t="shared" si="18"/>
        <v>18005</v>
      </c>
      <c r="J92" s="167">
        <f t="shared" si="19"/>
        <v>4.1304255565636607E-3</v>
      </c>
      <c r="K92" s="458"/>
      <c r="L92" s="163"/>
      <c r="M92" s="163"/>
      <c r="O92" s="324">
        <f t="shared" si="20"/>
        <v>1.6689840563589173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'[79]Sch C'!D81</f>
        <v>0</v>
      </c>
      <c r="D93" s="480">
        <f>'[79]Sch C'!F81</f>
        <v>0</v>
      </c>
      <c r="E93" s="480">
        <f>+'[79]Sch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'[79]Sch C'!D82</f>
        <v>81</v>
      </c>
      <c r="D94" s="480">
        <f>'[79]Sch C'!F82</f>
        <v>0</v>
      </c>
      <c r="E94" s="480">
        <f>+'[79]Sch C'!H82</f>
        <v>0</v>
      </c>
      <c r="F94" s="166">
        <f t="shared" si="17"/>
        <v>81</v>
      </c>
      <c r="G94" s="626"/>
      <c r="H94" s="166"/>
      <c r="I94" s="166">
        <f t="shared" si="18"/>
        <v>81</v>
      </c>
      <c r="J94" s="167">
        <f t="shared" si="19"/>
        <v>1.8581753406368034E-5</v>
      </c>
      <c r="K94" s="458"/>
      <c r="L94" s="163"/>
      <c r="M94" s="163"/>
      <c r="O94" s="324">
        <f t="shared" si="20"/>
        <v>7.508342602892102E-3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'[79]Sch C'!D83</f>
        <v>4046</v>
      </c>
      <c r="D95" s="480">
        <f>'[79]Sch C'!F83</f>
        <v>0</v>
      </c>
      <c r="E95" s="480">
        <f>+'[79]Sch C'!H83</f>
        <v>0</v>
      </c>
      <c r="F95" s="166">
        <f t="shared" si="17"/>
        <v>4046</v>
      </c>
      <c r="G95" s="626"/>
      <c r="H95" s="166"/>
      <c r="I95" s="166">
        <f t="shared" si="18"/>
        <v>4046</v>
      </c>
      <c r="J95" s="167">
        <f t="shared" si="19"/>
        <v>9.2817005286623545E-4</v>
      </c>
      <c r="K95" s="458"/>
      <c r="L95" s="163"/>
      <c r="M95" s="163"/>
      <c r="O95" s="324">
        <f t="shared" si="20"/>
        <v>0.37504634779384499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'[79]Sch C'!D84</f>
        <v>58377</v>
      </c>
      <c r="D96" s="480">
        <f>'[79]Sch C'!F84</f>
        <v>0</v>
      </c>
      <c r="E96" s="480">
        <f>+'[79]Sch C'!H84</f>
        <v>0</v>
      </c>
      <c r="F96" s="166">
        <f t="shared" si="17"/>
        <v>58377</v>
      </c>
      <c r="G96" s="626"/>
      <c r="H96" s="166"/>
      <c r="I96" s="166">
        <f t="shared" si="18"/>
        <v>58377</v>
      </c>
      <c r="J96" s="167">
        <f t="shared" si="19"/>
        <v>1.3391938501278356E-2</v>
      </c>
      <c r="K96" s="458"/>
      <c r="L96" s="163"/>
      <c r="M96" s="163"/>
      <c r="O96" s="324">
        <f t="shared" si="20"/>
        <v>5.411290322580645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'[79]Sch C'!D85</f>
        <v>0</v>
      </c>
      <c r="D97" s="480">
        <f>'[79]Sch C'!F85</f>
        <v>0</v>
      </c>
      <c r="E97" s="480">
        <f>+'[79]Sch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180727</v>
      </c>
      <c r="D98" s="480">
        <f t="shared" si="21"/>
        <v>2882</v>
      </c>
      <c r="E98" s="480">
        <f t="shared" si="21"/>
        <v>0</v>
      </c>
      <c r="F98" s="166">
        <f t="shared" ref="F98:I98" si="22">SUM(F87:F97)</f>
        <v>183609</v>
      </c>
      <c r="G98" s="166">
        <f t="shared" si="22"/>
        <v>-5372</v>
      </c>
      <c r="H98" s="166">
        <f t="shared" si="22"/>
        <v>0</v>
      </c>
      <c r="I98" s="166">
        <f t="shared" si="22"/>
        <v>178237</v>
      </c>
      <c r="J98" s="167">
        <f t="shared" si="19"/>
        <v>4.0888345455442218E-2</v>
      </c>
      <c r="K98" s="458"/>
      <c r="L98" s="163"/>
      <c r="M98" s="163"/>
      <c r="O98" s="329">
        <f>I98/I$233</f>
        <v>16.521783463107155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'[79]Sch C'!D89</f>
        <v>172719</v>
      </c>
      <c r="D101" s="480">
        <f>'[79]Sch C'!F89</f>
        <v>0</v>
      </c>
      <c r="E101" s="480">
        <f>+'[79]Sch C'!H89</f>
        <v>0</v>
      </c>
      <c r="F101" s="166">
        <f t="shared" ref="F101:F106" si="23">C101+D101+E101</f>
        <v>172719</v>
      </c>
      <c r="G101" s="626"/>
      <c r="H101" s="166"/>
      <c r="I101" s="166">
        <f t="shared" ref="I101:I106" si="24">F101+G101+H101</f>
        <v>172719</v>
      </c>
      <c r="J101" s="167">
        <f t="shared" ref="J101:J107" si="25">IF($I$213=0,0,I101/$I$213)</f>
        <v>3.9622492180178777E-2</v>
      </c>
      <c r="K101" s="458"/>
      <c r="L101" s="176">
        <v>11009</v>
      </c>
      <c r="M101" s="176">
        <v>11466</v>
      </c>
      <c r="O101" s="329">
        <f t="shared" ref="O101:O106" si="26">I101/I$233</f>
        <v>16.010289210233594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'[79]Sch C'!D90</f>
        <v>0</v>
      </c>
      <c r="D102" s="480">
        <f>'[79]Sch C'!F90</f>
        <v>26173</v>
      </c>
      <c r="E102" s="480">
        <f>+'[79]Sch C'!H90</f>
        <v>0</v>
      </c>
      <c r="F102" s="166">
        <f t="shared" si="23"/>
        <v>26173</v>
      </c>
      <c r="G102" s="626"/>
      <c r="H102" s="166"/>
      <c r="I102" s="166">
        <f t="shared" si="24"/>
        <v>26173</v>
      </c>
      <c r="J102" s="167">
        <f t="shared" si="25"/>
        <v>6.0042003938872912E-3</v>
      </c>
      <c r="K102" s="458"/>
      <c r="L102" s="163"/>
      <c r="M102" s="163"/>
      <c r="O102" s="329">
        <f t="shared" si="26"/>
        <v>2.4261216166110495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'[79]Sch C'!D91</f>
        <v>4330</v>
      </c>
      <c r="D103" s="480">
        <f>'[79]Sch C'!F91</f>
        <v>0</v>
      </c>
      <c r="E103" s="480">
        <f>+'[79]Sch C'!H91</f>
        <v>0</v>
      </c>
      <c r="F103" s="166">
        <f t="shared" si="23"/>
        <v>4330</v>
      </c>
      <c r="G103" s="626"/>
      <c r="H103" s="166"/>
      <c r="I103" s="166">
        <f t="shared" si="24"/>
        <v>4330</v>
      </c>
      <c r="J103" s="167">
        <f t="shared" si="25"/>
        <v>9.9332089197004428E-4</v>
      </c>
      <c r="K103" s="458"/>
      <c r="L103" s="163"/>
      <c r="M103" s="163"/>
      <c r="O103" s="329">
        <f t="shared" si="26"/>
        <v>0.40137189469781237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'[79]Sch C'!D92</f>
        <v>109388</v>
      </c>
      <c r="D104" s="480">
        <f>'[79]Sch C'!F92</f>
        <v>-1746</v>
      </c>
      <c r="E104" s="480">
        <f>+'[79]Sch C'!H92</f>
        <v>0</v>
      </c>
      <c r="F104" s="166">
        <f t="shared" si="23"/>
        <v>107642</v>
      </c>
      <c r="G104" s="626"/>
      <c r="H104" s="166"/>
      <c r="I104" s="166">
        <f t="shared" si="24"/>
        <v>107642</v>
      </c>
      <c r="J104" s="167">
        <f t="shared" si="25"/>
        <v>2.4693544446521828E-2</v>
      </c>
      <c r="K104" s="458"/>
      <c r="L104" s="163"/>
      <c r="M104" s="163"/>
      <c r="O104" s="329">
        <f t="shared" si="26"/>
        <v>9.9779384501297734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'[79]Sch C'!D93</f>
        <v>14400</v>
      </c>
      <c r="D105" s="480">
        <f>'[79]Sch C'!F93</f>
        <v>0</v>
      </c>
      <c r="E105" s="480">
        <f>+'[79]Sch C'!H93</f>
        <v>0</v>
      </c>
      <c r="F105" s="166">
        <f t="shared" si="23"/>
        <v>14400</v>
      </c>
      <c r="G105" s="626"/>
      <c r="H105" s="166"/>
      <c r="I105" s="166">
        <f t="shared" si="24"/>
        <v>14400</v>
      </c>
      <c r="J105" s="167">
        <f t="shared" si="25"/>
        <v>3.3034228277987617E-3</v>
      </c>
      <c r="K105" s="458"/>
      <c r="L105" s="163"/>
      <c r="M105" s="163"/>
      <c r="O105" s="329">
        <f t="shared" si="26"/>
        <v>1.3348164627363737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'[79]Sch C'!D94</f>
        <v>849</v>
      </c>
      <c r="D106" s="480">
        <f>'[79]Sch C'!F94</f>
        <v>0</v>
      </c>
      <c r="E106" s="480">
        <f>+'[79]Sch C'!H94</f>
        <v>0</v>
      </c>
      <c r="F106" s="166">
        <f t="shared" si="23"/>
        <v>849</v>
      </c>
      <c r="G106" s="626"/>
      <c r="H106" s="166"/>
      <c r="I106" s="166">
        <f t="shared" si="24"/>
        <v>849</v>
      </c>
      <c r="J106" s="167">
        <f t="shared" si="25"/>
        <v>1.9476430422230199E-4</v>
      </c>
      <c r="K106" s="458"/>
      <c r="L106" s="163"/>
      <c r="M106" s="163"/>
      <c r="O106" s="329">
        <f t="shared" si="26"/>
        <v>7.8698553948832031E-2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301686</v>
      </c>
      <c r="D107" s="480">
        <f t="shared" si="27"/>
        <v>24427</v>
      </c>
      <c r="E107" s="480">
        <f t="shared" si="27"/>
        <v>0</v>
      </c>
      <c r="F107" s="166">
        <f t="shared" ref="F107:I107" si="28">SUM(F101:F106)</f>
        <v>326113</v>
      </c>
      <c r="G107" s="166">
        <f t="shared" si="28"/>
        <v>0</v>
      </c>
      <c r="H107" s="166">
        <f t="shared" si="28"/>
        <v>0</v>
      </c>
      <c r="I107" s="166">
        <f t="shared" si="28"/>
        <v>326113</v>
      </c>
      <c r="J107" s="167">
        <f t="shared" si="25"/>
        <v>7.4811745044579006E-2</v>
      </c>
      <c r="K107" s="458"/>
      <c r="L107" s="163"/>
      <c r="M107" s="163"/>
      <c r="O107" s="329">
        <f>I107/I$233</f>
        <v>30.229236188357433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'[79]Sch C'!D98</f>
        <v>0</v>
      </c>
      <c r="D110" s="480">
        <f>'[79]Sch C'!F98</f>
        <v>0</v>
      </c>
      <c r="E110" s="480">
        <f>+'[79]Sch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'[79]Sch C'!D99</f>
        <v>0</v>
      </c>
      <c r="D111" s="480">
        <f>'[79]Sch C'!F99</f>
        <v>0</v>
      </c>
      <c r="E111" s="480">
        <f>+'[79]Sch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'[79]Sch C'!D100</f>
        <v>9220</v>
      </c>
      <c r="D112" s="480">
        <f>'[79]Sch C'!F100</f>
        <v>0</v>
      </c>
      <c r="E112" s="480">
        <f>+'[79]Sch C'!H100</f>
        <v>0</v>
      </c>
      <c r="F112" s="166">
        <f t="shared" si="29"/>
        <v>9220</v>
      </c>
      <c r="G112" s="626"/>
      <c r="H112" s="166"/>
      <c r="I112" s="166">
        <f t="shared" si="30"/>
        <v>9220</v>
      </c>
      <c r="J112" s="167">
        <f t="shared" si="31"/>
        <v>2.1151082272433739E-3</v>
      </c>
      <c r="K112" s="458"/>
      <c r="L112" s="163"/>
      <c r="M112" s="163"/>
      <c r="O112" s="329">
        <f t="shared" si="32"/>
        <v>0.85465331850203929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'[79]Sch C'!D101</f>
        <v>0</v>
      </c>
      <c r="D113" s="480">
        <f>'[79]Sch C'!F101</f>
        <v>0</v>
      </c>
      <c r="E113" s="480">
        <f>+'[79]Sch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'[79]Sch C'!D102</f>
        <v>2626</v>
      </c>
      <c r="D114" s="480">
        <f>'[79]Sch C'!F102</f>
        <v>0</v>
      </c>
      <c r="E114" s="480">
        <f>+'[79]Sch C'!H102</f>
        <v>0</v>
      </c>
      <c r="F114" s="166">
        <f t="shared" si="29"/>
        <v>2626</v>
      </c>
      <c r="G114" s="626"/>
      <c r="H114" s="166"/>
      <c r="I114" s="166">
        <f t="shared" si="30"/>
        <v>2626</v>
      </c>
      <c r="J114" s="167">
        <f t="shared" si="31"/>
        <v>6.0241585734719088E-4</v>
      </c>
      <c r="K114" s="458"/>
      <c r="L114" s="163"/>
      <c r="M114" s="163"/>
      <c r="O114" s="329">
        <f t="shared" si="32"/>
        <v>0.24341861327400816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'[79]Sch C'!D103</f>
        <v>0</v>
      </c>
      <c r="D115" s="480">
        <f>'[79]Sch C'!F103</f>
        <v>0</v>
      </c>
      <c r="E115" s="480">
        <f>+'[79]Sch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11846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11846</v>
      </c>
      <c r="G116" s="166">
        <f t="shared" si="34"/>
        <v>0</v>
      </c>
      <c r="H116" s="166">
        <f t="shared" si="34"/>
        <v>0</v>
      </c>
      <c r="I116" s="166">
        <f t="shared" si="34"/>
        <v>11846</v>
      </c>
      <c r="J116" s="167">
        <f t="shared" si="31"/>
        <v>2.7175240845905648E-3</v>
      </c>
      <c r="K116" s="458"/>
      <c r="L116" s="163"/>
      <c r="M116" s="163"/>
      <c r="O116" s="329">
        <f>I116/I$233</f>
        <v>1.0980719317760474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'[79]Sch C'!D115</f>
        <v>68898</v>
      </c>
      <c r="D119" s="480">
        <f>'[79]Sch C'!F115</f>
        <v>0</v>
      </c>
      <c r="E119" s="480">
        <f>+'[79]Sch C'!H115</f>
        <v>0</v>
      </c>
      <c r="F119" s="166">
        <f t="shared" ref="F119:F123" si="35">C119+D119+E119</f>
        <v>68898</v>
      </c>
      <c r="G119" s="626"/>
      <c r="H119" s="166"/>
      <c r="I119" s="166">
        <f t="shared" ref="I119:I123" si="36">F119+G119+H119</f>
        <v>68898</v>
      </c>
      <c r="J119" s="167">
        <f t="shared" ref="J119:J124" si="37">IF($I$213=0,0,I119/$I$213)</f>
        <v>1.5805501804838827E-2</v>
      </c>
      <c r="K119" s="458"/>
      <c r="L119" s="176">
        <v>5769</v>
      </c>
      <c r="M119" s="176">
        <v>6097</v>
      </c>
      <c r="O119" s="329">
        <f t="shared" ref="O119:O124" si="38">I119/I$233</f>
        <v>6.3865406006674084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'[79]Sch C'!D116</f>
        <v>0</v>
      </c>
      <c r="D120" s="480">
        <f>'[79]Sch C'!F116</f>
        <v>10441</v>
      </c>
      <c r="E120" s="480">
        <f>+'[79]Sch C'!H116</f>
        <v>0</v>
      </c>
      <c r="F120" s="166">
        <f t="shared" si="35"/>
        <v>10441</v>
      </c>
      <c r="G120" s="626"/>
      <c r="H120" s="166"/>
      <c r="I120" s="166">
        <f t="shared" si="36"/>
        <v>10441</v>
      </c>
      <c r="J120" s="167">
        <f t="shared" si="37"/>
        <v>2.3952109545171438E-3</v>
      </c>
      <c r="K120" s="458"/>
      <c r="L120" s="163"/>
      <c r="M120" s="163"/>
      <c r="O120" s="329">
        <f t="shared" si="38"/>
        <v>0.96783463107156098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'[79]Sch C'!D117</f>
        <v>13022</v>
      </c>
      <c r="D121" s="480">
        <f>'[79]Sch C'!F117</f>
        <v>0</v>
      </c>
      <c r="E121" s="480">
        <f>+'[79]Sch C'!H117</f>
        <v>0</v>
      </c>
      <c r="F121" s="166">
        <f t="shared" si="35"/>
        <v>13022</v>
      </c>
      <c r="G121" s="626"/>
      <c r="H121" s="166"/>
      <c r="I121" s="166">
        <f t="shared" si="36"/>
        <v>13022</v>
      </c>
      <c r="J121" s="167">
        <f t="shared" si="37"/>
        <v>2.9873036155274638E-3</v>
      </c>
      <c r="K121" s="458"/>
      <c r="L121" s="163"/>
      <c r="M121" s="163"/>
      <c r="O121" s="329">
        <f t="shared" si="38"/>
        <v>1.2070819428995181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'[79]Sch C'!D118</f>
        <v>0</v>
      </c>
      <c r="D122" s="480">
        <f>'[79]Sch C'!F118</f>
        <v>0</v>
      </c>
      <c r="E122" s="480">
        <f>+'[79]Sch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'[79]Sch C'!D119</f>
        <v>0</v>
      </c>
      <c r="D123" s="480">
        <f>'[79]Sch C'!F119</f>
        <v>0</v>
      </c>
      <c r="E123" s="480">
        <f>+'[79]Sch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81920</v>
      </c>
      <c r="D124" s="480">
        <f t="shared" si="39"/>
        <v>10441</v>
      </c>
      <c r="E124" s="480">
        <f t="shared" si="39"/>
        <v>0</v>
      </c>
      <c r="F124" s="166">
        <f t="shared" ref="F124:I124" si="40">SUM(F119:F123)</f>
        <v>92361</v>
      </c>
      <c r="G124" s="166">
        <f t="shared" si="40"/>
        <v>0</v>
      </c>
      <c r="H124" s="166">
        <f t="shared" si="40"/>
        <v>0</v>
      </c>
      <c r="I124" s="166">
        <f t="shared" si="40"/>
        <v>92361</v>
      </c>
      <c r="J124" s="167">
        <f t="shared" si="37"/>
        <v>2.1188016374883434E-2</v>
      </c>
      <c r="K124" s="458"/>
      <c r="L124" s="163"/>
      <c r="M124" s="163"/>
      <c r="O124" s="329">
        <f t="shared" si="38"/>
        <v>8.5614571746384875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'[79]Sch C'!D124</f>
        <v>0</v>
      </c>
      <c r="D128" s="480">
        <f>'[79]Sch C'!F124</f>
        <v>0</v>
      </c>
      <c r="E128" s="480">
        <f>+'[79]Sch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'[79]Sch C'!D125</f>
        <v>155259</v>
      </c>
      <c r="D129" s="480">
        <f>'[79]Sch C'!F125</f>
        <v>0</v>
      </c>
      <c r="E129" s="480">
        <f>+'[79]Sch C'!H125</f>
        <v>0</v>
      </c>
      <c r="F129" s="166">
        <f t="shared" si="41"/>
        <v>155259</v>
      </c>
      <c r="G129" s="626"/>
      <c r="H129" s="166"/>
      <c r="I129" s="166">
        <f t="shared" si="42"/>
        <v>155259</v>
      </c>
      <c r="J129" s="167">
        <f>IF($I$213=0,0,I129/$I$213)</f>
        <v>3.5617092001472776E-2</v>
      </c>
      <c r="K129" s="458"/>
      <c r="L129" s="176">
        <v>5258</v>
      </c>
      <c r="M129" s="176">
        <v>5718</v>
      </c>
      <c r="O129" s="329">
        <f t="shared" si="43"/>
        <v>14.39182424916574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'[79]Sch C'!D126</f>
        <v>0</v>
      </c>
      <c r="D130" s="480">
        <f>'[79]Sch C'!F126</f>
        <v>0</v>
      </c>
      <c r="E130" s="480">
        <f>+'[79]Sch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'[79]Sch C'!D127</f>
        <v>0</v>
      </c>
      <c r="D131" s="480">
        <f>'[79]Sch C'!F127</f>
        <v>0</v>
      </c>
      <c r="E131" s="480">
        <f>+'[79]Sch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'[79]Sch C'!D128</f>
        <v>87083</v>
      </c>
      <c r="D132" s="480">
        <f>'[79]Sch C'!F128</f>
        <v>0</v>
      </c>
      <c r="E132" s="480">
        <f>+'[79]Sch C'!H128</f>
        <v>0</v>
      </c>
      <c r="F132" s="166">
        <f t="shared" si="41"/>
        <v>87083</v>
      </c>
      <c r="G132" s="626"/>
      <c r="H132" s="166"/>
      <c r="I132" s="166">
        <f t="shared" si="42"/>
        <v>87083</v>
      </c>
      <c r="J132" s="167">
        <f>IF($I$213=0,0,I132/$I$213)</f>
        <v>1.997722014674997E-2</v>
      </c>
      <c r="K132" s="458"/>
      <c r="L132" s="176">
        <v>2396</v>
      </c>
      <c r="M132" s="176">
        <v>2539</v>
      </c>
      <c r="O132" s="329">
        <f t="shared" si="43"/>
        <v>8.0722098628105297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'[79]Sch C'!D130</f>
        <v>0</v>
      </c>
      <c r="D134" s="480">
        <f>'[79]Sch C'!F130</f>
        <v>0</v>
      </c>
      <c r="E134" s="480">
        <f>+'[79]Sch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'[79]Sch C'!D131</f>
        <v>0</v>
      </c>
      <c r="D135" s="480">
        <f>'[79]Sch C'!F131</f>
        <v>23528</v>
      </c>
      <c r="E135" s="480">
        <f>+'[79]Sch C'!H131</f>
        <v>0</v>
      </c>
      <c r="F135" s="166">
        <f t="shared" si="44"/>
        <v>23528</v>
      </c>
      <c r="G135" s="626"/>
      <c r="H135" s="166"/>
      <c r="I135" s="166">
        <f t="shared" si="45"/>
        <v>23528</v>
      </c>
      <c r="J135" s="167">
        <f>IF($I$213=0,0,I135/$I$213)</f>
        <v>5.3974258536423105E-3</v>
      </c>
      <c r="K135" s="458"/>
      <c r="L135" s="196"/>
      <c r="M135" s="196"/>
      <c r="O135" s="329">
        <f t="shared" si="43"/>
        <v>2.1809417871709305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'[79]Sch C'!D132</f>
        <v>0</v>
      </c>
      <c r="D136" s="480">
        <f>'[79]Sch C'!F132</f>
        <v>0</v>
      </c>
      <c r="E136" s="480">
        <f>+'[79]Sch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'[79]Sch C'!D133</f>
        <v>0</v>
      </c>
      <c r="D137" s="480">
        <f>'[79]Sch C'!F133</f>
        <v>0</v>
      </c>
      <c r="E137" s="480">
        <f>+'[79]Sch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'[79]Sch C'!D134</f>
        <v>0</v>
      </c>
      <c r="D138" s="480">
        <f>'[79]Sch C'!F134</f>
        <v>13196</v>
      </c>
      <c r="E138" s="480">
        <f>+'[79]Sch C'!H134</f>
        <v>0</v>
      </c>
      <c r="F138" s="166">
        <f t="shared" si="44"/>
        <v>13196</v>
      </c>
      <c r="G138" s="626"/>
      <c r="H138" s="166"/>
      <c r="I138" s="166">
        <f t="shared" si="45"/>
        <v>13196</v>
      </c>
      <c r="J138" s="167">
        <f>IF($I$213=0,0,I138/$I$213)</f>
        <v>3.0272199746966986E-3</v>
      </c>
      <c r="K138" s="458"/>
      <c r="L138" s="163"/>
      <c r="M138" s="163"/>
      <c r="O138" s="329">
        <f t="shared" si="43"/>
        <v>1.2232109751575826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'[79]Sch C'!D136</f>
        <v>248061</v>
      </c>
      <c r="D140" s="480">
        <f>'[79]Sch C'!F136</f>
        <v>0</v>
      </c>
      <c r="E140" s="480">
        <f>+'[79]Sch C'!H136</f>
        <v>0</v>
      </c>
      <c r="F140" s="166">
        <f t="shared" ref="F140:F143" si="46">C140+D140+E140</f>
        <v>248061</v>
      </c>
      <c r="G140" s="626"/>
      <c r="H140" s="166"/>
      <c r="I140" s="166">
        <f t="shared" ref="I140:I143" si="47">F140+G140+H140</f>
        <v>248061</v>
      </c>
      <c r="J140" s="167">
        <f>IF($I$213=0,0,I140/$I$213)</f>
        <v>5.6906275700457545E-2</v>
      </c>
      <c r="K140" s="458"/>
      <c r="L140" s="176">
        <v>7577</v>
      </c>
      <c r="M140" s="176">
        <v>7790</v>
      </c>
      <c r="O140" s="329">
        <f t="shared" si="43"/>
        <v>22.994160177975527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'[79]Sch C'!D137</f>
        <v>273118</v>
      </c>
      <c r="D141" s="480">
        <f>'[79]Sch C'!F137</f>
        <v>0</v>
      </c>
      <c r="E141" s="480">
        <f>+'[79]Sch C'!H137</f>
        <v>0</v>
      </c>
      <c r="F141" s="166">
        <f t="shared" si="46"/>
        <v>273118</v>
      </c>
      <c r="G141" s="626"/>
      <c r="H141" s="166"/>
      <c r="I141" s="166">
        <f t="shared" si="47"/>
        <v>273118</v>
      </c>
      <c r="J141" s="167">
        <f>IF($I$213=0,0,I141/$I$213)</f>
        <v>6.2654460825190439E-2</v>
      </c>
      <c r="K141" s="458"/>
      <c r="L141" s="176">
        <v>9126</v>
      </c>
      <c r="M141" s="176">
        <v>9468</v>
      </c>
      <c r="O141" s="329">
        <f t="shared" si="43"/>
        <v>25.316833518724508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'[79]Sch C'!D138</f>
        <v>480330</v>
      </c>
      <c r="D142" s="480">
        <f>'[79]Sch C'!F138</f>
        <v>0</v>
      </c>
      <c r="E142" s="480">
        <f>+'[79]Sch C'!H138</f>
        <v>0</v>
      </c>
      <c r="F142" s="166">
        <f t="shared" si="46"/>
        <v>480330</v>
      </c>
      <c r="G142" s="626"/>
      <c r="H142" s="166"/>
      <c r="I142" s="166">
        <f t="shared" si="47"/>
        <v>480330</v>
      </c>
      <c r="J142" s="167">
        <f>IF($I$213=0,0,I142/$I$213)</f>
        <v>0.11018979769976245</v>
      </c>
      <c r="K142" s="458"/>
      <c r="L142" s="176">
        <v>31857</v>
      </c>
      <c r="M142" s="176">
        <v>33358</v>
      </c>
      <c r="O142" s="329">
        <f t="shared" si="43"/>
        <v>44.524471635150164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'[79]Sch C'!D139</f>
        <v>0</v>
      </c>
      <c r="D143" s="480">
        <f>'[79]Sch C'!F139</f>
        <v>0</v>
      </c>
      <c r="E143" s="480">
        <f>+'[79]Sch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'[79]Sch C'!D141</f>
        <v>0</v>
      </c>
      <c r="D145" s="480">
        <f>'[79]Sch C'!F141</f>
        <v>37591</v>
      </c>
      <c r="E145" s="480">
        <f>+'[79]Sch C'!H141</f>
        <v>0</v>
      </c>
      <c r="F145" s="166">
        <f t="shared" ref="F145:F148" si="48">C145+D145+E145</f>
        <v>37591</v>
      </c>
      <c r="G145" s="626"/>
      <c r="H145" s="166"/>
      <c r="I145" s="166">
        <f t="shared" ref="I145:I148" si="49">F145+G145+H145</f>
        <v>37591</v>
      </c>
      <c r="J145" s="167">
        <f>IF($I$213=0,0,I145/$I$213)</f>
        <v>8.6235394110960595E-3</v>
      </c>
      <c r="K145" s="458"/>
      <c r="L145" s="163"/>
      <c r="M145" s="163"/>
      <c r="O145" s="329">
        <f t="shared" si="43"/>
        <v>3.4845198368557657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'[79]Sch C'!D142</f>
        <v>0</v>
      </c>
      <c r="D146" s="480">
        <f>'[79]Sch C'!F142</f>
        <v>41388</v>
      </c>
      <c r="E146" s="480">
        <f>+'[79]Sch C'!H142</f>
        <v>0</v>
      </c>
      <c r="F146" s="166">
        <f t="shared" si="48"/>
        <v>41388</v>
      </c>
      <c r="G146" s="626"/>
      <c r="H146" s="166"/>
      <c r="I146" s="166">
        <f t="shared" si="49"/>
        <v>41388</v>
      </c>
      <c r="J146" s="167">
        <f>IF($I$213=0,0,I146/$I$213)</f>
        <v>9.4945877775649418E-3</v>
      </c>
      <c r="K146" s="458"/>
      <c r="L146" s="163"/>
      <c r="M146" s="163"/>
      <c r="O146" s="329">
        <f t="shared" si="43"/>
        <v>3.836484983314794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'[79]Sch C'!D143</f>
        <v>0</v>
      </c>
      <c r="D147" s="480">
        <f>'[79]Sch C'!F143</f>
        <v>72788</v>
      </c>
      <c r="E147" s="480">
        <f>+'[79]Sch C'!H143</f>
        <v>0</v>
      </c>
      <c r="F147" s="166">
        <f t="shared" si="48"/>
        <v>72788</v>
      </c>
      <c r="G147" s="626"/>
      <c r="H147" s="166"/>
      <c r="I147" s="166">
        <f t="shared" si="49"/>
        <v>72788</v>
      </c>
      <c r="J147" s="167">
        <f>IF($I$213=0,0,I147/$I$213)</f>
        <v>1.6697884777070574E-2</v>
      </c>
      <c r="K147" s="458"/>
      <c r="L147" s="163"/>
      <c r="M147" s="163"/>
      <c r="O147" s="329">
        <f t="shared" si="43"/>
        <v>6.7471264367816088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'[79]Sch C'!D144</f>
        <v>0</v>
      </c>
      <c r="D148" s="480">
        <f>'[79]Sch C'!F144</f>
        <v>0</v>
      </c>
      <c r="E148" s="480">
        <f>+'[79]Sch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'[79]Sch C'!D146</f>
        <v>17500</v>
      </c>
      <c r="D150" s="480">
        <f>'[79]Sch C'!F146</f>
        <v>0</v>
      </c>
      <c r="E150" s="480">
        <f>+'[79]Sch C'!H146</f>
        <v>0</v>
      </c>
      <c r="F150" s="166">
        <f t="shared" ref="F150:F158" si="50">C150+D150+E150</f>
        <v>17500</v>
      </c>
      <c r="G150" s="626"/>
      <c r="H150" s="166"/>
      <c r="I150" s="166">
        <f t="shared" ref="I150:I158" si="51">F150+G150+H150</f>
        <v>17500</v>
      </c>
      <c r="J150" s="167">
        <f t="shared" ref="J150:J158" si="52">IF($I$213=0,0,I150/$I$213)</f>
        <v>4.0145763532276621E-3</v>
      </c>
      <c r="K150" s="458"/>
      <c r="L150" s="176">
        <v>0</v>
      </c>
      <c r="M150" s="176">
        <v>0</v>
      </c>
      <c r="O150" s="329">
        <f t="shared" si="43"/>
        <v>1.6221727845754541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'[79]Sch C'!D147</f>
        <v>0</v>
      </c>
      <c r="D151" s="480">
        <f>'[79]Sch C'!F147</f>
        <v>0</v>
      </c>
      <c r="E151" s="480">
        <f>+'[79]Sch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'[79]Sch C'!D148</f>
        <v>0</v>
      </c>
      <c r="D152" s="480">
        <f>'[79]Sch C'!F148</f>
        <v>0</v>
      </c>
      <c r="E152" s="480">
        <f>+'[79]Sch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'[79]Sch C'!D149</f>
        <v>0</v>
      </c>
      <c r="D153" s="480">
        <f>'[79]Sch C'!F149</f>
        <v>0</v>
      </c>
      <c r="E153" s="480">
        <f>+'[79]Sch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'[79]Sch C'!D150</f>
        <v>21112</v>
      </c>
      <c r="D154" s="480">
        <f>'[79]Sch C'!F150</f>
        <v>0</v>
      </c>
      <c r="E154" s="480">
        <f>+'[79]Sch C'!H150</f>
        <v>0</v>
      </c>
      <c r="F154" s="166">
        <f t="shared" si="50"/>
        <v>21112</v>
      </c>
      <c r="G154" s="626"/>
      <c r="H154" s="166"/>
      <c r="I154" s="166">
        <f t="shared" si="51"/>
        <v>21112</v>
      </c>
      <c r="J154" s="167">
        <f t="shared" si="52"/>
        <v>4.8431849125338518E-3</v>
      </c>
      <c r="K154" s="458"/>
      <c r="L154" s="176">
        <v>0</v>
      </c>
      <c r="M154" s="176">
        <v>0</v>
      </c>
      <c r="O154" s="329">
        <f t="shared" si="43"/>
        <v>1.956989247311828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'[79]Sch C'!D151</f>
        <v>123382</v>
      </c>
      <c r="D155" s="480">
        <f>'[79]Sch C'!F151</f>
        <v>0</v>
      </c>
      <c r="E155" s="480">
        <f>+'[79]Sch C'!H151</f>
        <v>0</v>
      </c>
      <c r="F155" s="166">
        <f t="shared" si="50"/>
        <v>123382</v>
      </c>
      <c r="G155" s="626"/>
      <c r="H155" s="166"/>
      <c r="I155" s="166">
        <f t="shared" si="51"/>
        <v>123382</v>
      </c>
      <c r="J155" s="167">
        <f t="shared" si="52"/>
        <v>2.830436912079631E-2</v>
      </c>
      <c r="K155" s="458"/>
      <c r="L155" s="163"/>
      <c r="M155" s="163"/>
      <c r="O155" s="329">
        <f t="shared" si="43"/>
        <v>11.436967000370782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'[79]Sch C'!D152</f>
        <v>1369</v>
      </c>
      <c r="D156" s="480">
        <f>'[79]Sch C'!F152</f>
        <v>0</v>
      </c>
      <c r="E156" s="480">
        <f>+'[79]Sch C'!H152</f>
        <v>0</v>
      </c>
      <c r="F156" s="166">
        <f t="shared" si="50"/>
        <v>1369</v>
      </c>
      <c r="G156" s="626"/>
      <c r="H156" s="166"/>
      <c r="I156" s="166">
        <f t="shared" si="51"/>
        <v>1369</v>
      </c>
      <c r="J156" s="167">
        <f t="shared" si="52"/>
        <v>3.1405457300392396E-4</v>
      </c>
      <c r="K156" s="458"/>
      <c r="L156" s="163"/>
      <c r="M156" s="163"/>
      <c r="O156" s="329">
        <f t="shared" si="43"/>
        <v>0.12690025954764553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'[79]Sch C'!D153</f>
        <v>0</v>
      </c>
      <c r="D157" s="480">
        <f>'[79]Sch C'!F153</f>
        <v>0</v>
      </c>
      <c r="E157" s="480">
        <f>+'[79]Sch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'[79]Sch C'!D154</f>
        <v>0</v>
      </c>
      <c r="D158" s="480">
        <f>'[79]Sch C'!F154</f>
        <v>0</v>
      </c>
      <c r="E158" s="480">
        <f>+'[79]Sch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'[79]Sch C'!D156</f>
        <v>0</v>
      </c>
      <c r="D160" s="480">
        <f>'[79]Sch C'!F156</f>
        <v>0</v>
      </c>
      <c r="E160" s="480">
        <f>+'[79]Sch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'[79]Sch C'!D157</f>
        <v>0</v>
      </c>
      <c r="D161" s="480">
        <f>'[79]Sch C'!F157</f>
        <v>0</v>
      </c>
      <c r="E161" s="480">
        <f>+'[79]Sch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'[79]Sch C'!D158</f>
        <v>0</v>
      </c>
      <c r="D162" s="480">
        <f>'[79]Sch C'!F158</f>
        <v>0</v>
      </c>
      <c r="E162" s="480">
        <f>+'[79]Sch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'[79]Sch C'!D159</f>
        <v>0</v>
      </c>
      <c r="D163" s="480">
        <f>'[79]Sch C'!F159</f>
        <v>0</v>
      </c>
      <c r="E163" s="480">
        <f>+'[79]Sch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'[79]Sch C'!D160</f>
        <v>0</v>
      </c>
      <c r="D164" s="480">
        <f>'[79]Sch C'!F160</f>
        <v>0</v>
      </c>
      <c r="E164" s="480">
        <f>+'[79]Sch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'[79]Sch C'!D161</f>
        <v>0</v>
      </c>
      <c r="D165" s="480">
        <f>'[79]Sch C'!F161</f>
        <v>0</v>
      </c>
      <c r="E165" s="480">
        <f>+'[79]Sch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571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1407214</v>
      </c>
      <c r="D166" s="480">
        <f t="shared" si="56"/>
        <v>188491</v>
      </c>
      <c r="E166" s="480">
        <f t="shared" si="56"/>
        <v>0</v>
      </c>
      <c r="F166" s="166">
        <f t="shared" ref="F166:I166" si="57">SUM(F128:F165)</f>
        <v>1595705</v>
      </c>
      <c r="G166" s="166">
        <f t="shared" si="57"/>
        <v>0</v>
      </c>
      <c r="H166" s="166">
        <f t="shared" si="57"/>
        <v>0</v>
      </c>
      <c r="I166" s="166">
        <f t="shared" si="57"/>
        <v>1595705</v>
      </c>
      <c r="J166" s="167">
        <f t="shared" si="55"/>
        <v>0.3660616891272655</v>
      </c>
      <c r="K166" s="458"/>
      <c r="L166" s="163"/>
      <c r="M166" s="163"/>
      <c r="O166" s="329">
        <f>I166/I$233</f>
        <v>147.91481275491287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'[79]Sch C'!D175</f>
        <v>0</v>
      </c>
      <c r="D169" s="480">
        <f>'[79]Sch C'!F175</f>
        <v>0</v>
      </c>
      <c r="E169" s="480">
        <f>+'[79]Sch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'[79]Sch C'!D176</f>
        <v>0</v>
      </c>
      <c r="D170" s="480">
        <f>'[79]Sch C'!F176</f>
        <v>0</v>
      </c>
      <c r="E170" s="480">
        <f>+'[79]Sch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'[79]Sch C'!D177</f>
        <v>261823</v>
      </c>
      <c r="D171" s="480">
        <f>'[79]Sch C'!F177</f>
        <v>0</v>
      </c>
      <c r="E171" s="480">
        <f>+'[79]Sch C'!H177</f>
        <v>0</v>
      </c>
      <c r="F171" s="166">
        <f t="shared" si="58"/>
        <v>261823</v>
      </c>
      <c r="G171" s="626"/>
      <c r="H171" s="166"/>
      <c r="I171" s="166">
        <f t="shared" si="59"/>
        <v>261823</v>
      </c>
      <c r="J171" s="167">
        <f t="shared" si="60"/>
        <v>6.0063338544635782E-2</v>
      </c>
      <c r="K171" s="468"/>
      <c r="L171" s="176">
        <v>9002</v>
      </c>
      <c r="M171" s="176">
        <v>9756</v>
      </c>
      <c r="N171" s="208"/>
      <c r="O171" s="329">
        <f t="shared" si="61"/>
        <v>24.269836855765664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'[79]Sch C'!D178</f>
        <v>0</v>
      </c>
      <c r="D172" s="480">
        <f>'[79]Sch C'!F178</f>
        <v>39676</v>
      </c>
      <c r="E172" s="480">
        <f>+'[79]Sch C'!H178</f>
        <v>0</v>
      </c>
      <c r="F172" s="166">
        <f t="shared" si="58"/>
        <v>39676</v>
      </c>
      <c r="G172" s="626"/>
      <c r="H172" s="166"/>
      <c r="I172" s="166">
        <f t="shared" si="59"/>
        <v>39676</v>
      </c>
      <c r="J172" s="167">
        <f t="shared" si="60"/>
        <v>9.1018475080377557E-3</v>
      </c>
      <c r="K172" s="469"/>
      <c r="L172" s="212"/>
      <c r="M172" s="212"/>
      <c r="N172" s="208"/>
      <c r="O172" s="329">
        <f t="shared" si="61"/>
        <v>3.6777901371894699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'[79]Sch C'!D179</f>
        <v>40169</v>
      </c>
      <c r="D173" s="480">
        <f>'[79]Sch C'!F179</f>
        <v>0</v>
      </c>
      <c r="E173" s="480">
        <f>+'[79]Sch C'!H179</f>
        <v>0</v>
      </c>
      <c r="F173" s="166">
        <f t="shared" si="58"/>
        <v>40169</v>
      </c>
      <c r="G173" s="626"/>
      <c r="H173" s="166"/>
      <c r="I173" s="166">
        <f t="shared" si="59"/>
        <v>40169</v>
      </c>
      <c r="J173" s="167">
        <f t="shared" si="60"/>
        <v>9.2149438590172546E-3</v>
      </c>
      <c r="K173" s="468"/>
      <c r="L173" s="176">
        <v>846</v>
      </c>
      <c r="M173" s="176">
        <v>949</v>
      </c>
      <c r="N173" s="208"/>
      <c r="O173" s="329">
        <f t="shared" si="61"/>
        <v>3.7234890619206524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'[79]Sch C'!D180</f>
        <v>0</v>
      </c>
      <c r="D174" s="480">
        <f>'[79]Sch C'!F180</f>
        <v>6087</v>
      </c>
      <c r="E174" s="480">
        <f>+'[79]Sch C'!H180</f>
        <v>0</v>
      </c>
      <c r="F174" s="166">
        <f t="shared" si="58"/>
        <v>6087</v>
      </c>
      <c r="G174" s="626"/>
      <c r="H174" s="166"/>
      <c r="I174" s="166">
        <f t="shared" si="59"/>
        <v>6087</v>
      </c>
      <c r="J174" s="167">
        <f t="shared" si="60"/>
        <v>1.3963843578341016E-3</v>
      </c>
      <c r="K174" s="469"/>
      <c r="L174" s="212"/>
      <c r="M174" s="212"/>
      <c r="N174" s="208"/>
      <c r="O174" s="329">
        <f t="shared" si="61"/>
        <v>0.56423804226918794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'[79]Sch C'!D181</f>
        <v>0</v>
      </c>
      <c r="D175" s="480">
        <f>'[79]Sch C'!F181</f>
        <v>0</v>
      </c>
      <c r="E175" s="480">
        <f>+'[79]Sch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'[79]Sch C'!D182</f>
        <v>0</v>
      </c>
      <c r="D176" s="480">
        <f>'[79]Sch C'!F182</f>
        <v>0</v>
      </c>
      <c r="E176" s="480">
        <f>+'[79]Sch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'[79]Sch C'!D183</f>
        <v>253453</v>
      </c>
      <c r="D177" s="480">
        <f>'[79]Sch C'!F183</f>
        <v>0</v>
      </c>
      <c r="E177" s="480">
        <f>+'[79]Sch C'!H183</f>
        <v>0</v>
      </c>
      <c r="F177" s="166">
        <f t="shared" si="58"/>
        <v>253453</v>
      </c>
      <c r="G177" s="626"/>
      <c r="H177" s="166"/>
      <c r="I177" s="166">
        <f t="shared" si="59"/>
        <v>253453</v>
      </c>
      <c r="J177" s="167">
        <f t="shared" si="60"/>
        <v>5.8143224025977748E-2</v>
      </c>
      <c r="K177" s="468"/>
      <c r="L177" s="176">
        <v>6891</v>
      </c>
      <c r="M177" s="176">
        <v>7416</v>
      </c>
      <c r="N177" s="208"/>
      <c r="O177" s="329">
        <f t="shared" si="61"/>
        <v>23.493974786800148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'[79]Sch C'!D184</f>
        <v>0</v>
      </c>
      <c r="D178" s="480">
        <f>'[79]Sch C'!F184</f>
        <v>38408</v>
      </c>
      <c r="E178" s="480">
        <f>+'[79]Sch C'!H184</f>
        <v>0</v>
      </c>
      <c r="F178" s="166">
        <f t="shared" si="58"/>
        <v>38408</v>
      </c>
      <c r="G178" s="626"/>
      <c r="H178" s="166"/>
      <c r="I178" s="166">
        <f t="shared" si="59"/>
        <v>38408</v>
      </c>
      <c r="J178" s="167">
        <f t="shared" si="60"/>
        <v>8.8109627757010315E-3</v>
      </c>
      <c r="K178" s="469"/>
      <c r="L178" s="212"/>
      <c r="M178" s="212"/>
      <c r="N178" s="208"/>
      <c r="O178" s="329">
        <f t="shared" si="61"/>
        <v>3.5602521319985168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'[79]Sch C'!D185</f>
        <v>0</v>
      </c>
      <c r="D179" s="480">
        <f>'[79]Sch C'!F185</f>
        <v>0</v>
      </c>
      <c r="E179" s="480">
        <f>+'[79]Sch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'[79]Sch C'!D186</f>
        <v>0</v>
      </c>
      <c r="D180" s="480">
        <f>'[79]Sch C'!F186</f>
        <v>0</v>
      </c>
      <c r="E180" s="480">
        <f>+'[79]Sch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'[79]Sch C'!D187</f>
        <v>0</v>
      </c>
      <c r="D181" s="480">
        <f>'[79]Sch C'!F187</f>
        <v>0</v>
      </c>
      <c r="E181" s="480">
        <f>+'[79]Sch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'[79]Sch C'!D188</f>
        <v>17077</v>
      </c>
      <c r="D182" s="480">
        <f>'[79]Sch C'!F188</f>
        <v>0</v>
      </c>
      <c r="E182" s="480">
        <f>+'[79]Sch C'!H188</f>
        <v>0</v>
      </c>
      <c r="F182" s="166">
        <f t="shared" si="58"/>
        <v>17077</v>
      </c>
      <c r="G182" s="626">
        <v>-975</v>
      </c>
      <c r="H182" s="166"/>
      <c r="I182" s="166">
        <f t="shared" si="59"/>
        <v>16102</v>
      </c>
      <c r="J182" s="167">
        <f t="shared" si="60"/>
        <v>3.6938690536955322E-3</v>
      </c>
      <c r="K182" s="458"/>
      <c r="L182" s="213"/>
      <c r="M182" s="208"/>
      <c r="N182" s="210"/>
      <c r="O182" s="329">
        <f t="shared" si="61"/>
        <v>1.492584352984798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'[79]Sch C'!D189</f>
        <v>0</v>
      </c>
      <c r="D183" s="480">
        <f>'[79]Sch C'!F189</f>
        <v>0</v>
      </c>
      <c r="E183" s="480">
        <f>+'[79]Sch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'[79]Sch C'!D190</f>
        <v>0</v>
      </c>
      <c r="D184" s="480">
        <f>'[79]Sch C'!F190</f>
        <v>0</v>
      </c>
      <c r="E184" s="480">
        <f>+'[79]Sch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'[79]Sch C'!D191</f>
        <v>0</v>
      </c>
      <c r="D185" s="480">
        <f>'[79]Sch C'!F191</f>
        <v>0</v>
      </c>
      <c r="E185" s="480">
        <f>+'[79]Sch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'[79]Sch C'!D192</f>
        <v>0</v>
      </c>
      <c r="D186" s="480">
        <f>'[79]Sch C'!F192</f>
        <v>0</v>
      </c>
      <c r="E186" s="480">
        <f>+'[79]Sch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'[79]Sch C'!D193</f>
        <v>0</v>
      </c>
      <c r="D187" s="480">
        <f>'[79]Sch C'!F193</f>
        <v>0</v>
      </c>
      <c r="E187" s="480">
        <f>+'[79]Sch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'[79]Sch C'!D194</f>
        <v>2722</v>
      </c>
      <c r="D188" s="480">
        <f>'[79]Sch C'!F194</f>
        <v>0</v>
      </c>
      <c r="E188" s="480">
        <f>+'[79]Sch C'!H194</f>
        <v>0</v>
      </c>
      <c r="F188" s="166">
        <f t="shared" si="58"/>
        <v>2722</v>
      </c>
      <c r="G188" s="626"/>
      <c r="H188" s="166"/>
      <c r="I188" s="166">
        <f t="shared" si="59"/>
        <v>2722</v>
      </c>
      <c r="J188" s="167">
        <f t="shared" si="60"/>
        <v>6.2443867619918264E-4</v>
      </c>
      <c r="K188" s="458"/>
      <c r="L188" s="213"/>
      <c r="M188" s="208"/>
      <c r="O188" s="329">
        <f t="shared" si="61"/>
        <v>0.25231738969225065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'[79]Sch C'!D195</f>
        <v>0</v>
      </c>
      <c r="D189" s="480">
        <f>'[79]Sch C'!F195</f>
        <v>0</v>
      </c>
      <c r="E189" s="480">
        <f>+'[79]Sch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'[79]Sch C'!D196</f>
        <v>0</v>
      </c>
      <c r="D190" s="480">
        <f>'[79]Sch C'!F196</f>
        <v>0</v>
      </c>
      <c r="E190" s="480">
        <f>+'[79]Sch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'[79]Sch C'!D197</f>
        <v>0</v>
      </c>
      <c r="D191" s="480">
        <f>'[79]Sch C'!F197</f>
        <v>0</v>
      </c>
      <c r="E191" s="480">
        <f>+'[79]Sch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'[79]Sch C'!D198</f>
        <v>94694</v>
      </c>
      <c r="D192" s="480">
        <f>'[79]Sch C'!F198</f>
        <v>0</v>
      </c>
      <c r="E192" s="480">
        <f>+'[79]Sch C'!H198</f>
        <v>0</v>
      </c>
      <c r="F192" s="166">
        <f t="shared" si="58"/>
        <v>94694</v>
      </c>
      <c r="G192" s="626"/>
      <c r="H192" s="166"/>
      <c r="I192" s="166">
        <f t="shared" si="59"/>
        <v>94694</v>
      </c>
      <c r="J192" s="167">
        <f t="shared" si="60"/>
        <v>2.172321675385944E-2</v>
      </c>
      <c r="K192" s="458"/>
      <c r="L192" s="213"/>
      <c r="M192" s="208"/>
      <c r="O192" s="329">
        <f t="shared" si="61"/>
        <v>8.7777159807193179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'[79]Sch C'!D199</f>
        <v>0</v>
      </c>
      <c r="D193" s="480">
        <f>'[79]Sch C'!F199</f>
        <v>0</v>
      </c>
      <c r="E193" s="480">
        <f>+'[79]Sch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'[79]Sch C'!D200</f>
        <v>600</v>
      </c>
      <c r="D194" s="480">
        <f>'[79]Sch C'!F200</f>
        <v>0</v>
      </c>
      <c r="E194" s="480">
        <f>+'[79]Sch C'!H200</f>
        <v>0</v>
      </c>
      <c r="F194" s="166">
        <f t="shared" si="58"/>
        <v>600</v>
      </c>
      <c r="G194" s="626">
        <v>975</v>
      </c>
      <c r="H194" s="166"/>
      <c r="I194" s="166">
        <f t="shared" si="59"/>
        <v>1575</v>
      </c>
      <c r="J194" s="167">
        <f t="shared" si="60"/>
        <v>3.6131187179048958E-4</v>
      </c>
      <c r="K194" s="578"/>
      <c r="L194" s="213"/>
      <c r="M194" s="208"/>
      <c r="O194" s="329">
        <f t="shared" si="61"/>
        <v>0.14599555061179087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'[79]Sch C'!D201</f>
        <v>0</v>
      </c>
      <c r="D195" s="480">
        <f>'[79]Sch C'!F201</f>
        <v>0</v>
      </c>
      <c r="E195" s="480">
        <f>+'[79]Sch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'[79]Sch C'!D202</f>
        <v>0</v>
      </c>
      <c r="D196" s="480">
        <f>'[79]Sch C'!F202</f>
        <v>0</v>
      </c>
      <c r="E196" s="480">
        <f>+'[79]Sch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'[79]Sch C'!D203</f>
        <v>0</v>
      </c>
      <c r="D197" s="480">
        <f>'[79]Sch C'!F203</f>
        <v>0</v>
      </c>
      <c r="E197" s="480">
        <f>+'[79]Sch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'[79]Sch C'!D204</f>
        <v>0</v>
      </c>
      <c r="D198" s="480">
        <f>'[79]Sch C'!F204</f>
        <v>0</v>
      </c>
      <c r="E198" s="480">
        <f>+'[79]Sch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'[79]Sch C'!D205</f>
        <v>283727</v>
      </c>
      <c r="D199" s="480">
        <f>'[79]Sch C'!F205</f>
        <v>0</v>
      </c>
      <c r="E199" s="480">
        <f>+'[79]Sch C'!H205</f>
        <v>0</v>
      </c>
      <c r="F199" s="166">
        <f t="shared" si="58"/>
        <v>283727</v>
      </c>
      <c r="G199" s="626"/>
      <c r="H199" s="166"/>
      <c r="I199" s="166">
        <f t="shared" si="59"/>
        <v>283727</v>
      </c>
      <c r="J199" s="167">
        <f t="shared" si="60"/>
        <v>6.508821171269856E-2</v>
      </c>
      <c r="K199" s="458"/>
      <c r="L199" s="213"/>
      <c r="M199" s="208"/>
      <c r="O199" s="329">
        <f t="shared" si="61"/>
        <v>26.300241008527994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'[79]Sch C'!D206</f>
        <v>5853</v>
      </c>
      <c r="D200" s="480">
        <f>'[79]Sch C'!F206</f>
        <v>0</v>
      </c>
      <c r="E200" s="480">
        <f>+'[79]Sch C'!H206</f>
        <v>0</v>
      </c>
      <c r="F200" s="166">
        <f t="shared" si="58"/>
        <v>5853</v>
      </c>
      <c r="G200" s="626"/>
      <c r="H200" s="166"/>
      <c r="I200" s="166">
        <f t="shared" si="59"/>
        <v>5853</v>
      </c>
      <c r="J200" s="167">
        <f t="shared" si="60"/>
        <v>1.3427037368823717E-3</v>
      </c>
      <c r="K200" s="458"/>
      <c r="L200" s="213"/>
      <c r="M200" s="208"/>
      <c r="O200" s="329">
        <f t="shared" si="61"/>
        <v>0.54254727474972186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'[79]Sch C'!D207</f>
        <v>0</v>
      </c>
      <c r="D201" s="480">
        <f>'[79]Sch C'!F207</f>
        <v>0</v>
      </c>
      <c r="E201" s="480">
        <f>+'[79]Sch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960118</v>
      </c>
      <c r="D202" s="480">
        <f t="shared" si="62"/>
        <v>84171</v>
      </c>
      <c r="E202" s="480">
        <f t="shared" si="62"/>
        <v>0</v>
      </c>
      <c r="F202" s="166">
        <f t="shared" ref="F202:I202" si="63">SUM(F169:F201)</f>
        <v>1044289</v>
      </c>
      <c r="G202" s="166">
        <f t="shared" si="63"/>
        <v>0</v>
      </c>
      <c r="H202" s="166">
        <f t="shared" si="63"/>
        <v>0</v>
      </c>
      <c r="I202" s="166">
        <f t="shared" si="63"/>
        <v>1044289</v>
      </c>
      <c r="J202" s="167">
        <f>IF($I$213=0,0,I202/$I$213)</f>
        <v>0.23956445287632924</v>
      </c>
      <c r="K202" s="458"/>
      <c r="L202" s="163"/>
      <c r="M202" s="163"/>
      <c r="O202" s="329">
        <f>I202/I$233</f>
        <v>96.800982573229518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'[79]Sch C'!D211</f>
        <v>48134</v>
      </c>
      <c r="D205" s="480">
        <f>'[79]Sch C'!F211</f>
        <v>0</v>
      </c>
      <c r="E205" s="480">
        <f>+'[79]Sch C'!H211</f>
        <v>0</v>
      </c>
      <c r="F205" s="166">
        <f t="shared" ref="F205:F210" si="64">C205+D205+E205</f>
        <v>48134</v>
      </c>
      <c r="G205" s="626"/>
      <c r="H205" s="166"/>
      <c r="I205" s="166">
        <f t="shared" ref="I205:I210" si="65">F205+G205+H205</f>
        <v>48134</v>
      </c>
      <c r="J205" s="167">
        <f t="shared" ref="J205:J211" si="66">IF($I$213=0,0,I205/$I$213)</f>
        <v>1.1042149610643445E-2</v>
      </c>
      <c r="K205" s="458"/>
      <c r="L205" s="176">
        <v>2359</v>
      </c>
      <c r="M205" s="176">
        <v>2501</v>
      </c>
      <c r="O205" s="329">
        <f t="shared" ref="O205:O210" si="67">I205/I$233</f>
        <v>4.4618094178717094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'[79]Sch C'!D212</f>
        <v>0</v>
      </c>
      <c r="D206" s="480">
        <f>'[79]Sch C'!F212</f>
        <v>7294</v>
      </c>
      <c r="E206" s="480">
        <f>+'[79]Sch C'!H212</f>
        <v>0</v>
      </c>
      <c r="F206" s="166">
        <f t="shared" si="64"/>
        <v>7294</v>
      </c>
      <c r="G206" s="626"/>
      <c r="H206" s="166"/>
      <c r="I206" s="166">
        <f t="shared" si="65"/>
        <v>7294</v>
      </c>
      <c r="J206" s="167">
        <f t="shared" si="66"/>
        <v>1.6732754240252896E-3</v>
      </c>
      <c r="K206" s="458"/>
      <c r="L206" s="163"/>
      <c r="M206" s="163"/>
      <c r="O206" s="329">
        <f t="shared" si="67"/>
        <v>0.6761216166110493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'[79]Sch C'!D213</f>
        <v>3975</v>
      </c>
      <c r="D207" s="480">
        <f>'[79]Sch C'!F213</f>
        <v>0</v>
      </c>
      <c r="E207" s="480">
        <f>+'[79]Sch C'!H213</f>
        <v>0</v>
      </c>
      <c r="F207" s="166">
        <f t="shared" si="64"/>
        <v>3975</v>
      </c>
      <c r="G207" s="626"/>
      <c r="H207" s="166"/>
      <c r="I207" s="166">
        <f t="shared" si="65"/>
        <v>3975</v>
      </c>
      <c r="J207" s="167">
        <f t="shared" si="66"/>
        <v>9.1188234309028322E-4</v>
      </c>
      <c r="K207" s="458"/>
      <c r="L207" s="163"/>
      <c r="M207" s="163"/>
      <c r="O207" s="329">
        <f t="shared" si="67"/>
        <v>0.36846496106785315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'[79]Sch C'!D214</f>
        <v>0</v>
      </c>
      <c r="D208" s="480">
        <f>'[79]Sch C'!F214</f>
        <v>0</v>
      </c>
      <c r="E208" s="480">
        <f>+'[79]Sch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'[79]Sch C'!D215</f>
        <v>0</v>
      </c>
      <c r="D209" s="480">
        <f>'[79]Sch C'!F215</f>
        <v>0</v>
      </c>
      <c r="E209" s="480">
        <f>+'[79]Sch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'[79]Sch C'!D216</f>
        <v>5149</v>
      </c>
      <c r="D210" s="480">
        <f>'[79]Sch C'!F216</f>
        <v>0</v>
      </c>
      <c r="E210" s="480">
        <f>+'[79]Sch C'!H216</f>
        <v>0</v>
      </c>
      <c r="F210" s="166">
        <f t="shared" si="64"/>
        <v>5149</v>
      </c>
      <c r="G210" s="626"/>
      <c r="H210" s="166"/>
      <c r="I210" s="166">
        <f t="shared" si="65"/>
        <v>5149</v>
      </c>
      <c r="J210" s="167">
        <f t="shared" si="66"/>
        <v>1.181203065301099E-3</v>
      </c>
      <c r="K210" s="458"/>
      <c r="L210" s="163"/>
      <c r="M210" s="163"/>
      <c r="O210" s="329">
        <f t="shared" si="67"/>
        <v>0.47728958101594365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57258</v>
      </c>
      <c r="D211" s="480">
        <f t="shared" si="68"/>
        <v>7294</v>
      </c>
      <c r="E211" s="480">
        <f t="shared" si="68"/>
        <v>0</v>
      </c>
      <c r="F211" s="166">
        <f t="shared" ref="F211:I211" si="69">SUM(F205:F210)</f>
        <v>64552</v>
      </c>
      <c r="G211" s="166">
        <f t="shared" si="69"/>
        <v>0</v>
      </c>
      <c r="H211" s="166">
        <f t="shared" si="69"/>
        <v>0</v>
      </c>
      <c r="I211" s="166">
        <f t="shared" si="69"/>
        <v>64552</v>
      </c>
      <c r="J211" s="167">
        <f t="shared" si="66"/>
        <v>1.4808510443060117E-2</v>
      </c>
      <c r="K211" s="458"/>
      <c r="L211" s="163"/>
      <c r="M211" s="163"/>
      <c r="O211" s="329">
        <f>I211/I$233</f>
        <v>5.9836855765665558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4506331</v>
      </c>
      <c r="D213" s="480">
        <f t="shared" si="70"/>
        <v>-9396</v>
      </c>
      <c r="E213" s="480">
        <f t="shared" si="70"/>
        <v>-137820</v>
      </c>
      <c r="F213" s="166">
        <f t="shared" ref="F213:I213" si="71">SUM(F30:F211)/2</f>
        <v>4359115</v>
      </c>
      <c r="G213" s="166">
        <f t="shared" si="71"/>
        <v>0</v>
      </c>
      <c r="H213" s="166">
        <f t="shared" si="71"/>
        <v>0</v>
      </c>
      <c r="I213" s="166">
        <f t="shared" si="71"/>
        <v>4359115</v>
      </c>
      <c r="J213" s="167">
        <f>IF($I$213=0,0,I213/$I$213)</f>
        <v>1</v>
      </c>
      <c r="K213" s="458"/>
      <c r="L213" s="176">
        <f>SUM(L30:L205)</f>
        <v>99408</v>
      </c>
      <c r="M213" s="176">
        <f>SUM(M30:M205)</f>
        <v>104976</v>
      </c>
      <c r="O213" s="329">
        <f>I213/I$233</f>
        <v>404.07072673340747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'[79]Sch C'!D221</f>
        <v>4506331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328870</v>
      </c>
      <c r="D220" s="480">
        <f t="shared" si="72"/>
        <v>9396</v>
      </c>
      <c r="E220" s="480">
        <f t="shared" si="72"/>
        <v>137820</v>
      </c>
      <c r="F220" s="166">
        <f t="shared" ref="F220:I220" si="73">F26-F213</f>
        <v>476086</v>
      </c>
      <c r="G220" s="166">
        <f t="shared" si="73"/>
        <v>-30393</v>
      </c>
      <c r="H220" s="166">
        <f t="shared" si="73"/>
        <v>0</v>
      </c>
      <c r="I220" s="166">
        <f t="shared" si="73"/>
        <v>445693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'[79]Sch D'!C9</f>
        <v>3295</v>
      </c>
      <c r="D224" s="480"/>
      <c r="E224" s="480"/>
      <c r="F224" s="224">
        <f>C224+D224+E224</f>
        <v>3295</v>
      </c>
      <c r="G224" s="627"/>
      <c r="H224" s="223"/>
      <c r="I224" s="224">
        <f>F224+G224+H224</f>
        <v>3295</v>
      </c>
      <c r="J224" s="167">
        <f t="shared" ref="J224:J233" si="74">IF($I$233=0,0,I224/$I$233)</f>
        <v>0.30543196143863555</v>
      </c>
      <c r="K224" s="458"/>
      <c r="L224" s="163"/>
      <c r="M224" s="163"/>
    </row>
    <row r="225" spans="1:13">
      <c r="A225" s="158"/>
      <c r="B225" s="165" t="s">
        <v>201</v>
      </c>
      <c r="C225" s="504">
        <f>'[79]Sch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'[79]Sch D'!E9</f>
        <v>3748</v>
      </c>
      <c r="D226" s="480"/>
      <c r="E226" s="480"/>
      <c r="F226" s="224">
        <f t="shared" si="75"/>
        <v>3748</v>
      </c>
      <c r="G226" s="627"/>
      <c r="H226" s="223"/>
      <c r="I226" s="224">
        <f t="shared" si="76"/>
        <v>3748</v>
      </c>
      <c r="J226" s="167">
        <f t="shared" si="74"/>
        <v>0.34742306266221729</v>
      </c>
      <c r="K226" s="458"/>
      <c r="L226" s="163"/>
      <c r="M226" s="163"/>
    </row>
    <row r="227" spans="1:13">
      <c r="A227" s="158"/>
      <c r="B227" s="194" t="s">
        <v>315</v>
      </c>
      <c r="C227" s="504">
        <f>'[79]Sch D'!F9</f>
        <v>2955</v>
      </c>
      <c r="D227" s="480"/>
      <c r="E227" s="480"/>
      <c r="F227" s="224">
        <f t="shared" si="75"/>
        <v>2955</v>
      </c>
      <c r="G227" s="627"/>
      <c r="H227" s="223"/>
      <c r="I227" s="224">
        <f t="shared" si="76"/>
        <v>2955</v>
      </c>
      <c r="J227" s="167">
        <f t="shared" si="74"/>
        <v>0.27391546162402669</v>
      </c>
      <c r="K227" s="458"/>
      <c r="L227" s="163"/>
      <c r="M227" s="163"/>
    </row>
    <row r="228" spans="1:13">
      <c r="A228" s="158"/>
      <c r="B228" s="165" t="s">
        <v>65</v>
      </c>
      <c r="C228" s="504">
        <f>'[79]Sch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'[79]Sch D'!H9</f>
        <v>604</v>
      </c>
      <c r="D229" s="480"/>
      <c r="E229" s="480"/>
      <c r="F229" s="224">
        <f t="shared" si="75"/>
        <v>604</v>
      </c>
      <c r="G229" s="627"/>
      <c r="H229" s="223"/>
      <c r="I229" s="224">
        <f t="shared" si="76"/>
        <v>604</v>
      </c>
      <c r="J229" s="167">
        <f t="shared" si="74"/>
        <v>5.5988134964775678E-2</v>
      </c>
      <c r="K229" s="458"/>
      <c r="L229" s="163"/>
      <c r="M229" s="163"/>
    </row>
    <row r="230" spans="1:13">
      <c r="A230" s="158"/>
      <c r="B230" s="165" t="s">
        <v>219</v>
      </c>
      <c r="C230" s="504">
        <f>'[79]Sch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'[79]Sch D'!J9</f>
        <v>186</v>
      </c>
      <c r="D231" s="480"/>
      <c r="E231" s="480"/>
      <c r="F231" s="224">
        <f t="shared" si="75"/>
        <v>186</v>
      </c>
      <c r="G231" s="627"/>
      <c r="H231" s="223"/>
      <c r="I231" s="224">
        <f t="shared" si="76"/>
        <v>186</v>
      </c>
      <c r="J231" s="167">
        <f>IF($I$233=0,0,I231/$I$233)</f>
        <v>1.7241379310344827E-2</v>
      </c>
      <c r="K231" s="458"/>
      <c r="L231" s="163"/>
      <c r="M231" s="163"/>
    </row>
    <row r="232" spans="1:13">
      <c r="A232" s="158"/>
      <c r="B232" s="165" t="s">
        <v>170</v>
      </c>
      <c r="C232" s="504">
        <f>'[79]Sch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10788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10788</v>
      </c>
      <c r="G233" s="226">
        <f t="shared" si="78"/>
        <v>0</v>
      </c>
      <c r="H233" s="226">
        <f t="shared" si="78"/>
        <v>0</v>
      </c>
      <c r="I233" s="226">
        <f t="shared" si="78"/>
        <v>10788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'[79]Sch D'!N22</f>
        <v>119</v>
      </c>
      <c r="D236" s="480"/>
      <c r="E236" s="480"/>
      <c r="F236" s="224">
        <f>C236+E236</f>
        <v>119</v>
      </c>
      <c r="G236" s="627"/>
      <c r="H236" s="224"/>
      <c r="I236" s="224">
        <f>F236+G236+H236</f>
        <v>119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'[79]Sch D'!N24</f>
        <v>81</v>
      </c>
      <c r="D237" s="480"/>
      <c r="E237" s="480"/>
      <c r="F237" s="224">
        <f>C237+E237</f>
        <v>81</v>
      </c>
      <c r="G237" s="627"/>
      <c r="H237" s="441"/>
      <c r="I237" s="224">
        <f>F237+G237+H237</f>
        <v>81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163</v>
      </c>
      <c r="D238" s="427"/>
      <c r="E238" s="427"/>
      <c r="F238" s="224">
        <f>C238+E238</f>
        <v>163</v>
      </c>
      <c r="G238" s="627"/>
      <c r="H238" s="228"/>
      <c r="I238" s="224">
        <f>F238+G238+H238</f>
        <v>163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'[79]Sch D'!N28</f>
        <v>19397</v>
      </c>
      <c r="D240" s="427"/>
      <c r="E240" s="427"/>
      <c r="F240" s="223">
        <f>F236*F238</f>
        <v>19397</v>
      </c>
      <c r="G240"/>
      <c r="H240" s="228"/>
      <c r="I240" s="223">
        <f>I236*I238</f>
        <v>19397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'[79]Sch D'!N30</f>
        <v>0.55616847966180338</v>
      </c>
      <c r="D241" s="228"/>
      <c r="E241" s="228"/>
      <c r="F241" s="232">
        <f>F233/F240</f>
        <v>0.55616847966180338</v>
      </c>
      <c r="G241"/>
      <c r="H241" s="233"/>
      <c r="I241" s="232">
        <f>I233/I240</f>
        <v>0.55616847966180338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'[79]Sch D'!N32</f>
        <v>0.16987162963344848</v>
      </c>
      <c r="D242" s="228"/>
      <c r="E242" s="228"/>
      <c r="F242" s="232">
        <f>(F224+F225)/F240</f>
        <v>0.16987162963344848</v>
      </c>
      <c r="G242"/>
      <c r="H242" s="233"/>
      <c r="I242" s="232">
        <f>(I224+I225)/I240</f>
        <v>0.16987162963344848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'[79]Sch D'!N34</f>
        <v>0.30543196143863555</v>
      </c>
      <c r="D243" s="228"/>
      <c r="E243" s="228"/>
      <c r="F243" s="232">
        <f>(F242/F241)</f>
        <v>0.30543196143863555</v>
      </c>
      <c r="G243"/>
      <c r="H243" s="233"/>
      <c r="I243" s="232">
        <f>(I242/I241)</f>
        <v>0.30543196143863555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'[79]Sch B'!C90</f>
        <v>279.61423841059604</v>
      </c>
      <c r="K246" s="460"/>
    </row>
    <row r="247" spans="1:13">
      <c r="B247" s="528"/>
      <c r="H247" s="140" t="s">
        <v>322</v>
      </c>
      <c r="I247" s="480">
        <f>'[79]Sch B'!E90</f>
        <v>279.61423841059604</v>
      </c>
      <c r="K247" s="460"/>
    </row>
    <row r="248" spans="1:13" ht="14">
      <c r="B248" s="529"/>
      <c r="H248" s="140" t="s">
        <v>323</v>
      </c>
      <c r="I248" s="480"/>
      <c r="K248" s="460"/>
    </row>
    <row r="249" spans="1:13" ht="14">
      <c r="B249" s="529"/>
      <c r="H249" s="140" t="s">
        <v>324</v>
      </c>
      <c r="I249" s="480"/>
      <c r="K249" s="460"/>
    </row>
    <row r="250" spans="1:13" ht="14">
      <c r="B250" s="529"/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568</v>
      </c>
      <c r="D2" s="234"/>
      <c r="E2" s="142"/>
      <c r="F2" s="411"/>
      <c r="G2" s="411"/>
    </row>
    <row r="3" spans="1:16" ht="15.5">
      <c r="A3" s="143"/>
      <c r="B3" s="138" t="s">
        <v>71</v>
      </c>
      <c r="C3" s="557">
        <f>'[80]Sch A Pg 1'!B39</f>
        <v>43080</v>
      </c>
      <c r="D3"/>
      <c r="E3" s="142"/>
      <c r="F3" s="144"/>
      <c r="G3" s="144"/>
    </row>
    <row r="4" spans="1:16" ht="15.5">
      <c r="A4" s="143"/>
      <c r="B4" s="145" t="s">
        <v>72</v>
      </c>
      <c r="C4" s="557">
        <f>'[80]Sch A Pg 1'!G39</f>
        <v>43281</v>
      </c>
      <c r="D4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'[80]Sch B'!E10</f>
        <v>615663</v>
      </c>
      <c r="D12" s="480">
        <f>'[80]Sch B'!G10</f>
        <v>0</v>
      </c>
      <c r="E12" s="480"/>
      <c r="F12" s="166">
        <f>C12+D12+E12</f>
        <v>615663</v>
      </c>
      <c r="G12" s="626"/>
      <c r="H12" s="166"/>
      <c r="I12" s="166">
        <f>F12+G12+H12</f>
        <v>615663</v>
      </c>
      <c r="J12" s="167">
        <f>IF($I$26=0,0,I12/$I$26)</f>
        <v>0.12867770849204782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'[80]Sch B'!E12</f>
        <v>281222</v>
      </c>
      <c r="D13" s="480">
        <f>'[80]Sch B'!G12</f>
        <v>0</v>
      </c>
      <c r="E13" s="480"/>
      <c r="F13" s="166">
        <f t="shared" ref="F13:F25" si="0">C13+D13+E13</f>
        <v>281222</v>
      </c>
      <c r="G13" s="626">
        <v>-281222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'[80]Sch B'!E13</f>
        <v>28880</v>
      </c>
      <c r="D14" s="480">
        <f>'[80]Sch B'!G13</f>
        <v>0</v>
      </c>
      <c r="E14" s="480"/>
      <c r="F14" s="166">
        <f t="shared" si="0"/>
        <v>28880</v>
      </c>
      <c r="G14" s="626"/>
      <c r="H14" s="166"/>
      <c r="I14" s="166">
        <f t="shared" si="1"/>
        <v>28880</v>
      </c>
      <c r="J14" s="167">
        <f>IF($I$26=0,0,I14/$I$26)</f>
        <v>6.0361142723378549E-3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'[80]Sch B'!E14</f>
        <v>57309</v>
      </c>
      <c r="D15" s="480">
        <f>'[80]Sch B'!G14</f>
        <v>0</v>
      </c>
      <c r="E15" s="480"/>
      <c r="F15" s="166">
        <f t="shared" si="0"/>
        <v>57309</v>
      </c>
      <c r="G15" s="626"/>
      <c r="H15" s="166"/>
      <c r="I15" s="166">
        <f t="shared" si="1"/>
        <v>57309</v>
      </c>
      <c r="J15" s="167">
        <f>IF($I$26=0,0,I15/$I$26)</f>
        <v>1.1977966510852152E-2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'[80]Sch B'!E15</f>
        <v>983074</v>
      </c>
      <c r="D16" s="480">
        <f>'[80]Sch B'!G15</f>
        <v>0</v>
      </c>
      <c r="E16" s="480"/>
      <c r="F16" s="166">
        <f t="shared" si="0"/>
        <v>983074</v>
      </c>
      <c r="G16" s="626"/>
      <c r="H16" s="166"/>
      <c r="I16" s="166">
        <f>SUM(I12:I15)</f>
        <v>701852</v>
      </c>
      <c r="J16" s="167">
        <f t="shared" ref="J16:J26" si="2">IF($I$26=0,0,I16/$I$26)</f>
        <v>0.14669178927523782</v>
      </c>
      <c r="K16" s="458"/>
      <c r="L16" s="333" t="s">
        <v>325</v>
      </c>
      <c r="M16" s="334">
        <f>I26</f>
        <v>4784535</v>
      </c>
      <c r="O16" s="324">
        <f>IFERROR(I16/I224,0)</f>
        <v>167.50644391408113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'[80]Sch B'!E20</f>
        <v>0</v>
      </c>
      <c r="D17" s="480">
        <f>'[80]Sch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4417699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'[80]Sch B'!E26</f>
        <v>2535072</v>
      </c>
      <c r="D18" s="480">
        <f>'[80]Sch B'!G26</f>
        <v>0</v>
      </c>
      <c r="E18" s="480"/>
      <c r="F18" s="166">
        <f t="shared" si="0"/>
        <v>2535072</v>
      </c>
      <c r="G18" s="626"/>
      <c r="H18" s="166"/>
      <c r="I18" s="166">
        <f t="shared" si="1"/>
        <v>2535072</v>
      </c>
      <c r="J18" s="167">
        <f t="shared" si="2"/>
        <v>0.52984710112894984</v>
      </c>
      <c r="K18" s="458"/>
      <c r="L18" s="335" t="s">
        <v>327</v>
      </c>
      <c r="M18" s="336">
        <f>I233</f>
        <v>13685</v>
      </c>
      <c r="O18" s="324">
        <f t="shared" si="3"/>
        <v>577.59671907040331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'[80]Sch B'!E32</f>
        <v>1264370</v>
      </c>
      <c r="D19" s="480">
        <f>'[80]Sch B'!G32</f>
        <v>0</v>
      </c>
      <c r="E19" s="480"/>
      <c r="F19" s="166">
        <f t="shared" si="0"/>
        <v>1264370</v>
      </c>
      <c r="G19" s="626"/>
      <c r="H19" s="166"/>
      <c r="I19" s="166">
        <f t="shared" si="1"/>
        <v>1264370</v>
      </c>
      <c r="J19" s="170">
        <f t="shared" si="2"/>
        <v>0.26426183526716807</v>
      </c>
      <c r="K19" s="464"/>
      <c r="L19" s="335" t="s">
        <v>328</v>
      </c>
      <c r="M19" s="336">
        <f>I236</f>
        <v>119</v>
      </c>
      <c r="O19" s="324">
        <f t="shared" si="3"/>
        <v>338.79153269024653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'[80]Sch B'!E37</f>
        <v>0</v>
      </c>
      <c r="D20" s="480">
        <f>'[80]Sch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24038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'[80]Sch B'!E42</f>
        <v>244400</v>
      </c>
      <c r="D21" s="480">
        <f>'[80]Sch B'!G42</f>
        <v>0</v>
      </c>
      <c r="E21" s="480"/>
      <c r="F21" s="166">
        <f t="shared" si="0"/>
        <v>244400</v>
      </c>
      <c r="G21" s="626"/>
      <c r="H21" s="166"/>
      <c r="I21" s="166">
        <f t="shared" si="1"/>
        <v>244400</v>
      </c>
      <c r="J21" s="167">
        <f t="shared" si="2"/>
        <v>5.1081244049839741E-2</v>
      </c>
      <c r="K21" s="571"/>
      <c r="L21" s="337"/>
      <c r="M21" s="336"/>
      <c r="O21" s="324">
        <f t="shared" si="3"/>
        <v>213.63636363636363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'[80]Sch B'!E47</f>
        <v>0</v>
      </c>
      <c r="D22" s="480">
        <f>'[80]Sch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520"/>
      <c r="L22" s="335" t="s">
        <v>148</v>
      </c>
      <c r="M22" s="336">
        <f>L213</f>
        <v>123014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'[80]Sch B'!E52</f>
        <v>36868</v>
      </c>
      <c r="D23" s="480">
        <f>'[80]Sch B'!G52</f>
        <v>0</v>
      </c>
      <c r="E23" s="480"/>
      <c r="F23" s="166">
        <f t="shared" si="0"/>
        <v>36868</v>
      </c>
      <c r="G23" s="626"/>
      <c r="H23" s="166"/>
      <c r="I23" s="166">
        <f t="shared" si="1"/>
        <v>36868</v>
      </c>
      <c r="J23" s="167">
        <f t="shared" si="2"/>
        <v>7.7056600066673147E-3</v>
      </c>
      <c r="K23" s="520"/>
      <c r="L23" s="338" t="s">
        <v>233</v>
      </c>
      <c r="M23" s="339">
        <f>M213</f>
        <v>129732</v>
      </c>
      <c r="O23" s="324">
        <f t="shared" si="3"/>
        <v>160.29565217391306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'[80]Sch B'!E57</f>
        <v>0</v>
      </c>
      <c r="D24" s="480">
        <f>'[80]Sch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520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'[80]Sch B'!E72</f>
        <v>1973</v>
      </c>
      <c r="D25" s="480">
        <f>'[80]Sch B'!G72</f>
        <v>0</v>
      </c>
      <c r="E25" s="480"/>
      <c r="F25" s="166">
        <f t="shared" si="0"/>
        <v>1973</v>
      </c>
      <c r="G25" s="626"/>
      <c r="H25" s="166"/>
      <c r="I25" s="166">
        <f t="shared" si="1"/>
        <v>1973</v>
      </c>
      <c r="J25" s="167">
        <f t="shared" si="2"/>
        <v>4.1237027213720872E-4</v>
      </c>
      <c r="K25" s="571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5065757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5065757</v>
      </c>
      <c r="G26" s="166">
        <f>SUM(G12:G25)</f>
        <v>-281222</v>
      </c>
      <c r="H26" s="166">
        <f>SUM(H12:H25)</f>
        <v>0</v>
      </c>
      <c r="I26" s="166">
        <f>SUM(I16:I25)</f>
        <v>4784535</v>
      </c>
      <c r="J26" s="167">
        <f t="shared" si="2"/>
        <v>1</v>
      </c>
      <c r="K26" s="458"/>
      <c r="L26" s="163"/>
      <c r="M26" s="163"/>
      <c r="O26" s="324">
        <f>IFERROR(I26/I233,0)</f>
        <v>349.61892583120203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'[80]Sch C'!D10</f>
        <v>61113</v>
      </c>
      <c r="D30" s="480">
        <f>'[80]Sch C'!F10</f>
        <v>0</v>
      </c>
      <c r="E30" s="480">
        <f>+'[80]Sch C'!H10</f>
        <v>0</v>
      </c>
      <c r="F30" s="166">
        <f t="shared" ref="F30:F65" si="5">C30+D30+E30</f>
        <v>61113</v>
      </c>
      <c r="G30" s="626"/>
      <c r="H30" s="166"/>
      <c r="I30" s="166">
        <f t="shared" ref="I30:I65" si="6">F30+G30+H30</f>
        <v>61113</v>
      </c>
      <c r="J30" s="167">
        <f>IF($I$213=0,0,I30/$I$213)</f>
        <v>1.383367223525188E-2</v>
      </c>
      <c r="K30" s="458"/>
      <c r="L30" s="176">
        <v>1064</v>
      </c>
      <c r="M30" s="176">
        <v>1160</v>
      </c>
      <c r="O30" s="324">
        <f>I30/I$233</f>
        <v>4.4656923639020825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'[80]Sch C'!D11</f>
        <v>0</v>
      </c>
      <c r="D31" s="480">
        <f>'[80]Sch C'!F11</f>
        <v>0</v>
      </c>
      <c r="E31" s="480">
        <f>+'[80]Sch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'[80]Sch C'!D12</f>
        <v>108254</v>
      </c>
      <c r="D32" s="480">
        <f>'[80]Sch C'!F12</f>
        <v>0</v>
      </c>
      <c r="E32" s="480">
        <f>+'[80]Sch C'!H12</f>
        <v>0</v>
      </c>
      <c r="F32" s="166">
        <f t="shared" si="5"/>
        <v>108254</v>
      </c>
      <c r="G32" s="626"/>
      <c r="H32" s="166"/>
      <c r="I32" s="166">
        <f t="shared" si="6"/>
        <v>108254</v>
      </c>
      <c r="J32" s="167">
        <f t="shared" si="7"/>
        <v>2.4504612016346065E-2</v>
      </c>
      <c r="K32" s="458"/>
      <c r="L32" s="176">
        <v>4654</v>
      </c>
      <c r="M32" s="176">
        <v>5003</v>
      </c>
      <c r="O32" s="324">
        <f t="shared" si="8"/>
        <v>7.9104128607964928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'[80]Sch C'!D13</f>
        <v>351256</v>
      </c>
      <c r="D33" s="480">
        <f>'[80]Sch C'!F13</f>
        <v>-325690</v>
      </c>
      <c r="E33" s="480">
        <f>+'[80]Sch C'!H13</f>
        <v>0</v>
      </c>
      <c r="F33" s="166">
        <f t="shared" si="5"/>
        <v>25566</v>
      </c>
      <c r="G33" s="626"/>
      <c r="H33" s="166"/>
      <c r="I33" s="166">
        <f t="shared" si="6"/>
        <v>25566</v>
      </c>
      <c r="J33" s="167">
        <f t="shared" si="7"/>
        <v>5.7871756314769292E-3</v>
      </c>
      <c r="K33" s="458"/>
      <c r="L33" s="163"/>
      <c r="M33" s="163"/>
      <c r="O33" s="324">
        <f t="shared" si="8"/>
        <v>1.8681768359517721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'[80]Sch C'!D14</f>
        <v>0</v>
      </c>
      <c r="D34" s="480">
        <f>'[80]Sch C'!F14</f>
        <v>0</v>
      </c>
      <c r="E34" s="480">
        <f>+'[80]Sch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'[80]Sch C'!D15</f>
        <v>228000</v>
      </c>
      <c r="D35" s="480">
        <f>'[80]Sch C'!F15</f>
        <v>0</v>
      </c>
      <c r="E35" s="480">
        <f>+'[80]Sch C'!H15</f>
        <v>0</v>
      </c>
      <c r="F35" s="166">
        <f t="shared" si="5"/>
        <v>228000</v>
      </c>
      <c r="G35" s="626">
        <v>-228000</v>
      </c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'[80]Sch C'!D16</f>
        <v>0</v>
      </c>
      <c r="D36" s="480">
        <f>'[80]Sch C'!F16</f>
        <v>0</v>
      </c>
      <c r="E36" s="480">
        <f>+'[80]Sch C'!H16</f>
        <v>-121820</v>
      </c>
      <c r="F36" s="166">
        <f t="shared" si="5"/>
        <v>-121820</v>
      </c>
      <c r="G36" s="626">
        <v>228000</v>
      </c>
      <c r="H36" s="166"/>
      <c r="I36" s="166">
        <f t="shared" si="6"/>
        <v>106180</v>
      </c>
      <c r="J36" s="167">
        <f t="shared" si="7"/>
        <v>2.4035136843863741E-2</v>
      </c>
      <c r="K36" s="458"/>
      <c r="L36" s="163"/>
      <c r="M36" s="163"/>
      <c r="O36" s="324">
        <f t="shared" si="8"/>
        <v>7.758860065765437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'[80]Sch C'!D17</f>
        <v>0</v>
      </c>
      <c r="D37" s="480">
        <f>'[80]Sch C'!F17</f>
        <v>0</v>
      </c>
      <c r="E37" s="480">
        <f>+'[80]Sch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'[80]Sch C'!D18</f>
        <v>16122</v>
      </c>
      <c r="D38" s="480">
        <f>'[80]Sch C'!F18</f>
        <v>0</v>
      </c>
      <c r="E38" s="480">
        <f>+'[80]Sch C'!H18</f>
        <v>0</v>
      </c>
      <c r="F38" s="166">
        <f t="shared" si="5"/>
        <v>16122</v>
      </c>
      <c r="G38" s="626">
        <v>-7000</v>
      </c>
      <c r="H38" s="166"/>
      <c r="I38" s="166">
        <f t="shared" si="6"/>
        <v>9122</v>
      </c>
      <c r="J38" s="167">
        <f t="shared" si="7"/>
        <v>2.0648758550548601E-3</v>
      </c>
      <c r="K38" s="458"/>
      <c r="L38" s="163"/>
      <c r="M38" s="163"/>
      <c r="O38" s="324">
        <f t="shared" si="8"/>
        <v>0.66656923639020826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'[80]Sch C'!D19</f>
        <v>17820</v>
      </c>
      <c r="D39" s="480">
        <f>'[80]Sch C'!F19</f>
        <v>0</v>
      </c>
      <c r="E39" s="480">
        <f>+'[80]Sch C'!H19</f>
        <v>0</v>
      </c>
      <c r="F39" s="166">
        <f t="shared" si="5"/>
        <v>17820</v>
      </c>
      <c r="G39" s="626">
        <v>-967</v>
      </c>
      <c r="H39" s="166"/>
      <c r="I39" s="166">
        <f t="shared" si="6"/>
        <v>16853</v>
      </c>
      <c r="J39" s="167">
        <f t="shared" si="7"/>
        <v>3.8148819102433191E-3</v>
      </c>
      <c r="K39" s="458"/>
      <c r="L39" s="163"/>
      <c r="M39" s="163"/>
      <c r="O39" s="324">
        <f t="shared" si="8"/>
        <v>1.2314943368651809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'[80]Sch C'!D20</f>
        <v>14840</v>
      </c>
      <c r="D40" s="480">
        <f>'[80]Sch C'!F20</f>
        <v>0</v>
      </c>
      <c r="E40" s="480">
        <f>+'[80]Sch C'!H20</f>
        <v>0</v>
      </c>
      <c r="F40" s="166">
        <f t="shared" si="5"/>
        <v>14840</v>
      </c>
      <c r="G40" s="626"/>
      <c r="H40" s="166"/>
      <c r="I40" s="166">
        <f t="shared" si="6"/>
        <v>14840</v>
      </c>
      <c r="J40" s="167">
        <f t="shared" si="7"/>
        <v>3.3592148310692964E-3</v>
      </c>
      <c r="K40" s="458"/>
      <c r="L40" s="163"/>
      <c r="M40" s="163"/>
      <c r="O40" s="324">
        <f t="shared" si="8"/>
        <v>1.0843989769820972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'[80]Sch C'!D21</f>
        <v>14508</v>
      </c>
      <c r="D41" s="480">
        <f>'[80]Sch C'!F21</f>
        <v>0</v>
      </c>
      <c r="E41" s="480">
        <f>+'[80]Sch C'!H21</f>
        <v>0</v>
      </c>
      <c r="F41" s="166">
        <f t="shared" si="5"/>
        <v>14508</v>
      </c>
      <c r="G41" s="626"/>
      <c r="H41" s="166"/>
      <c r="I41" s="166">
        <f t="shared" si="6"/>
        <v>14508</v>
      </c>
      <c r="J41" s="167">
        <f t="shared" si="7"/>
        <v>3.2840625855224633E-3</v>
      </c>
      <c r="L41" s="163"/>
      <c r="M41" s="163"/>
      <c r="O41" s="324">
        <f t="shared" si="8"/>
        <v>1.0601388381439532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'[80]Sch C'!D22</f>
        <v>0</v>
      </c>
      <c r="D42" s="480">
        <f>'[80]Sch C'!F22</f>
        <v>0</v>
      </c>
      <c r="E42" s="480">
        <f>+'[80]Sch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'[80]Sch C'!D23</f>
        <v>1111</v>
      </c>
      <c r="D43" s="480">
        <f>'[80]Sch C'!F23</f>
        <v>0</v>
      </c>
      <c r="E43" s="480">
        <f>+'[80]Sch C'!H23</f>
        <v>0</v>
      </c>
      <c r="F43" s="166">
        <f t="shared" si="5"/>
        <v>1111</v>
      </c>
      <c r="G43" s="626"/>
      <c r="H43" s="166"/>
      <c r="I43" s="166">
        <f t="shared" si="6"/>
        <v>1111</v>
      </c>
      <c r="J43" s="167">
        <f t="shared" si="7"/>
        <v>2.514883879594332E-4</v>
      </c>
      <c r="K43" s="458"/>
      <c r="L43" s="163"/>
      <c r="M43" s="163"/>
      <c r="O43" s="324">
        <f t="shared" si="8"/>
        <v>8.1183777858969672E-2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'[80]Sch C'!D24</f>
        <v>32313</v>
      </c>
      <c r="D44" s="480">
        <f>'[80]Sch C'!F24</f>
        <v>0</v>
      </c>
      <c r="E44" s="480">
        <f>+'[80]Sch C'!H24</f>
        <v>0</v>
      </c>
      <c r="F44" s="166">
        <f t="shared" si="5"/>
        <v>32313</v>
      </c>
      <c r="G44" s="626"/>
      <c r="H44" s="166"/>
      <c r="I44" s="166">
        <f t="shared" si="6"/>
        <v>32313</v>
      </c>
      <c r="J44" s="167">
        <f t="shared" si="7"/>
        <v>7.3144412962494725E-3</v>
      </c>
      <c r="K44" s="458"/>
      <c r="L44" s="163"/>
      <c r="M44" s="163"/>
      <c r="O44" s="324">
        <f t="shared" si="8"/>
        <v>2.3611983924004383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'[80]Sch C'!D25</f>
        <v>0</v>
      </c>
      <c r="D45" s="480">
        <f>'[80]Sch C'!F25</f>
        <v>0</v>
      </c>
      <c r="E45" s="480">
        <f>+'[80]Sch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'[80]Sch C'!D26</f>
        <v>102655</v>
      </c>
      <c r="D46" s="480">
        <f>'[80]Sch C'!F26</f>
        <v>0</v>
      </c>
      <c r="E46" s="480">
        <f>+'[80]Sch C'!H26</f>
        <v>0</v>
      </c>
      <c r="F46" s="166">
        <f t="shared" si="5"/>
        <v>102655</v>
      </c>
      <c r="G46" s="626"/>
      <c r="H46" s="166"/>
      <c r="I46" s="166">
        <f t="shared" si="6"/>
        <v>102655</v>
      </c>
      <c r="J46" s="167">
        <f t="shared" si="7"/>
        <v>2.3237210140392092E-2</v>
      </c>
      <c r="K46" s="458"/>
      <c r="L46" s="163"/>
      <c r="M46" s="163"/>
      <c r="O46" s="324">
        <f t="shared" si="8"/>
        <v>7.5012787723785168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'[80]Sch C'!D27</f>
        <v>0</v>
      </c>
      <c r="D47" s="480">
        <f>'[80]Sch C'!F27</f>
        <v>-5</v>
      </c>
      <c r="E47" s="480">
        <f>+'[80]Sch C'!H27</f>
        <v>0</v>
      </c>
      <c r="F47" s="166">
        <f t="shared" si="5"/>
        <v>-5</v>
      </c>
      <c r="G47" s="626"/>
      <c r="H47" s="166"/>
      <c r="I47" s="166">
        <f t="shared" si="6"/>
        <v>-5</v>
      </c>
      <c r="J47" s="167">
        <f t="shared" si="7"/>
        <v>-1.1318109269101402E-6</v>
      </c>
      <c r="K47" s="458"/>
      <c r="L47" s="163"/>
      <c r="M47" s="163"/>
      <c r="O47" s="324">
        <f t="shared" si="8"/>
        <v>-3.6536353671903543E-4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'[80]Sch C'!D28</f>
        <v>-2</v>
      </c>
      <c r="D48" s="480">
        <f>'[80]Sch C'!F28</f>
        <v>2</v>
      </c>
      <c r="E48" s="480">
        <f>+'[80]Sch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'[80]Sch C'!D29</f>
        <v>0</v>
      </c>
      <c r="D49" s="480">
        <f>'[80]Sch C'!F29</f>
        <v>0</v>
      </c>
      <c r="E49" s="480">
        <f>+'[80]Sch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'[80]Sch C'!D30</f>
        <v>0</v>
      </c>
      <c r="D50" s="480">
        <f>'[80]Sch C'!F30</f>
        <v>0</v>
      </c>
      <c r="E50" s="480">
        <f>+'[80]Sch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'[80]Sch C'!D31</f>
        <v>42305</v>
      </c>
      <c r="D51" s="480">
        <f>'[80]Sch C'!F31</f>
        <v>0</v>
      </c>
      <c r="E51" s="480">
        <f>+'[80]Sch C'!H31</f>
        <v>0</v>
      </c>
      <c r="F51" s="166">
        <f t="shared" si="5"/>
        <v>42305</v>
      </c>
      <c r="G51" s="626"/>
      <c r="H51" s="166"/>
      <c r="I51" s="166">
        <f t="shared" si="6"/>
        <v>42305</v>
      </c>
      <c r="J51" s="167">
        <f t="shared" si="7"/>
        <v>9.5762522525866967E-3</v>
      </c>
      <c r="K51" s="458"/>
      <c r="L51" s="163"/>
      <c r="M51" s="163"/>
      <c r="O51" s="324">
        <f t="shared" si="8"/>
        <v>3.0913408841797589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'[80]Sch C'!D32</f>
        <v>44981</v>
      </c>
      <c r="D52" s="480">
        <f>'[80]Sch C'!F32</f>
        <v>0</v>
      </c>
      <c r="E52" s="480">
        <f>+'[80]Sch C'!H32</f>
        <v>0</v>
      </c>
      <c r="F52" s="166">
        <f t="shared" si="5"/>
        <v>44981</v>
      </c>
      <c r="G52" s="626"/>
      <c r="H52" s="166"/>
      <c r="I52" s="166">
        <f t="shared" si="6"/>
        <v>44981</v>
      </c>
      <c r="J52" s="167">
        <f t="shared" si="7"/>
        <v>1.0181997460669005E-2</v>
      </c>
      <c r="K52" s="458"/>
      <c r="L52" s="163"/>
      <c r="M52" s="163"/>
      <c r="O52" s="324">
        <f t="shared" si="8"/>
        <v>3.2868834490317864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'[80]Sch C'!D33</f>
        <v>0</v>
      </c>
      <c r="D53" s="480">
        <f>'[80]Sch C'!F33</f>
        <v>0</v>
      </c>
      <c r="E53" s="480">
        <f>+'[80]Sch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'[80]Sch C'!D34</f>
        <v>0</v>
      </c>
      <c r="D54" s="480">
        <f>'[80]Sch C'!F34</f>
        <v>0</v>
      </c>
      <c r="E54" s="480">
        <f>+'[80]Sch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'[80]Sch C'!D35</f>
        <v>0</v>
      </c>
      <c r="D55" s="480">
        <f>'[80]Sch C'!F35</f>
        <v>0</v>
      </c>
      <c r="E55" s="480">
        <f>+'[80]Sch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'[80]Sch C'!D36</f>
        <v>37980</v>
      </c>
      <c r="D56" s="480">
        <f>'[80]Sch C'!F36</f>
        <v>0</v>
      </c>
      <c r="E56" s="480">
        <f>+'[80]Sch C'!H36</f>
        <v>0</v>
      </c>
      <c r="F56" s="166">
        <f t="shared" si="5"/>
        <v>37980</v>
      </c>
      <c r="G56" s="626"/>
      <c r="H56" s="166"/>
      <c r="I56" s="166">
        <f t="shared" si="6"/>
        <v>37980</v>
      </c>
      <c r="J56" s="167">
        <f t="shared" si="7"/>
        <v>8.5972358008094257E-3</v>
      </c>
      <c r="K56" s="458"/>
      <c r="L56" s="176">
        <v>2600</v>
      </c>
      <c r="M56" s="176">
        <v>2721</v>
      </c>
      <c r="O56" s="324">
        <f t="shared" si="8"/>
        <v>2.7753014249177932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'[80]Sch C'!D37</f>
        <v>0</v>
      </c>
      <c r="D57" s="480">
        <f>'[80]Sch C'!F37</f>
        <v>5733</v>
      </c>
      <c r="E57" s="480">
        <f>+'[80]Sch C'!H37</f>
        <v>0</v>
      </c>
      <c r="F57" s="166">
        <f t="shared" si="5"/>
        <v>5733</v>
      </c>
      <c r="G57" s="626"/>
      <c r="H57" s="166"/>
      <c r="I57" s="166">
        <f t="shared" si="6"/>
        <v>5733</v>
      </c>
      <c r="J57" s="167">
        <f t="shared" si="7"/>
        <v>1.2977344087951668E-3</v>
      </c>
      <c r="K57" s="458"/>
      <c r="L57" s="163"/>
      <c r="M57" s="163"/>
      <c r="O57" s="324">
        <f t="shared" si="8"/>
        <v>0.41892583120204602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'[80]Sch C'!D38</f>
        <v>0</v>
      </c>
      <c r="D58" s="480">
        <f>'[80]Sch C'!F38</f>
        <v>0</v>
      </c>
      <c r="E58" s="480">
        <f>+'[80]Sch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'[80]Sch C'!D39</f>
        <v>7205</v>
      </c>
      <c r="D59" s="480">
        <f>'[80]Sch C'!F39</f>
        <v>0</v>
      </c>
      <c r="E59" s="480">
        <f>+'[80]Sch C'!H39</f>
        <v>0</v>
      </c>
      <c r="F59" s="166">
        <f t="shared" si="5"/>
        <v>7205</v>
      </c>
      <c r="G59" s="626"/>
      <c r="H59" s="166"/>
      <c r="I59" s="166">
        <f t="shared" si="6"/>
        <v>7205</v>
      </c>
      <c r="J59" s="167">
        <f t="shared" si="7"/>
        <v>1.6309395456775122E-3</v>
      </c>
      <c r="K59" s="458"/>
      <c r="L59" s="163"/>
      <c r="M59" s="163"/>
      <c r="O59" s="324">
        <f t="shared" si="8"/>
        <v>0.52648885641213006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'[80]Sch C'!D40</f>
        <v>1925</v>
      </c>
      <c r="D60" s="480">
        <f>'[80]Sch C'!F40</f>
        <v>-522</v>
      </c>
      <c r="E60" s="480">
        <f>+'[80]Sch C'!H40</f>
        <v>0</v>
      </c>
      <c r="F60" s="166">
        <f t="shared" si="5"/>
        <v>1403</v>
      </c>
      <c r="G60" s="626"/>
      <c r="H60" s="166"/>
      <c r="I60" s="166">
        <f t="shared" si="6"/>
        <v>1403</v>
      </c>
      <c r="J60" s="167">
        <f t="shared" si="7"/>
        <v>3.1758614609098536E-4</v>
      </c>
      <c r="K60" s="458"/>
      <c r="L60" s="163"/>
      <c r="M60" s="163"/>
      <c r="O60" s="324">
        <f t="shared" si="8"/>
        <v>0.10252100840336134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'[80]Sch C'!D41</f>
        <v>0</v>
      </c>
      <c r="D61" s="480">
        <f>'[80]Sch C'!F41</f>
        <v>0</v>
      </c>
      <c r="E61" s="480">
        <f>+'[80]Sch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'[80]Sch C'!D42</f>
        <v>7395</v>
      </c>
      <c r="D62" s="480">
        <f>'[80]Sch C'!F42</f>
        <v>0</v>
      </c>
      <c r="E62" s="480">
        <f>+'[80]Sch C'!H42</f>
        <v>0</v>
      </c>
      <c r="F62" s="166">
        <f t="shared" si="5"/>
        <v>7395</v>
      </c>
      <c r="G62" s="626"/>
      <c r="H62" s="166"/>
      <c r="I62" s="166">
        <f t="shared" si="6"/>
        <v>7395</v>
      </c>
      <c r="J62" s="167">
        <f t="shared" si="7"/>
        <v>1.6739483609000975E-3</v>
      </c>
      <c r="K62" s="458"/>
      <c r="L62" s="163"/>
      <c r="M62" s="163"/>
      <c r="O62" s="324">
        <f t="shared" si="8"/>
        <v>0.54037267080745344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'[80]Sch C'!D43</f>
        <v>8574</v>
      </c>
      <c r="D63" s="480">
        <f>'[80]Sch C'!F43</f>
        <v>-8574</v>
      </c>
      <c r="E63" s="480">
        <f>+'[80]Sch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'[80]Sch C'!D44</f>
        <v>0</v>
      </c>
      <c r="D64" s="480">
        <f>'[80]Sch C'!F44</f>
        <v>0</v>
      </c>
      <c r="E64" s="480">
        <f>+'[80]Sch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'[80]Sch C'!D45</f>
        <v>965</v>
      </c>
      <c r="D65" s="480">
        <f>'[80]Sch C'!F45</f>
        <v>0</v>
      </c>
      <c r="E65" s="480">
        <f>+'[80]Sch C'!H45</f>
        <v>0</v>
      </c>
      <c r="F65" s="166">
        <f t="shared" si="5"/>
        <v>965</v>
      </c>
      <c r="G65" s="626"/>
      <c r="H65" s="166"/>
      <c r="I65" s="166">
        <f t="shared" si="6"/>
        <v>965</v>
      </c>
      <c r="J65" s="167">
        <f t="shared" si="7"/>
        <v>2.1843950889365707E-4</v>
      </c>
      <c r="K65" s="458"/>
      <c r="L65" s="163"/>
      <c r="M65" s="163"/>
      <c r="O65" s="324">
        <f t="shared" si="8"/>
        <v>7.0515162586773844E-2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1099320</v>
      </c>
      <c r="D66" s="480">
        <f t="shared" si="9"/>
        <v>-329056</v>
      </c>
      <c r="E66" s="480">
        <f t="shared" si="9"/>
        <v>-121820</v>
      </c>
      <c r="F66" s="166">
        <f t="shared" ref="F66:I66" si="10">SUM(F30:F65)</f>
        <v>648444</v>
      </c>
      <c r="G66" s="166">
        <f t="shared" si="10"/>
        <v>-7967</v>
      </c>
      <c r="H66" s="166">
        <f t="shared" si="10"/>
        <v>0</v>
      </c>
      <c r="I66" s="166">
        <f t="shared" si="10"/>
        <v>640477</v>
      </c>
      <c r="J66" s="178">
        <f t="shared" si="7"/>
        <v>0.14497977340692519</v>
      </c>
      <c r="K66" s="465"/>
      <c r="L66" s="163"/>
      <c r="M66" s="163"/>
      <c r="O66" s="329">
        <f>I66/I$233</f>
        <v>46.80138838143953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'[80]Sch C'!D57</f>
        <v>0</v>
      </c>
      <c r="D69" s="480">
        <f>'[80]Sch C'!F57</f>
        <v>0</v>
      </c>
      <c r="E69" s="480">
        <f>+'[80]Sch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'[80]Sch C'!D58</f>
        <v>227039</v>
      </c>
      <c r="D70" s="480">
        <f>'[80]Sch C'!F58</f>
        <v>0</v>
      </c>
      <c r="E70" s="480">
        <f>+'[80]Sch C'!H58</f>
        <v>0</v>
      </c>
      <c r="F70" s="166">
        <f t="shared" ref="F70:F83" si="13">C70+D70+E70</f>
        <v>227039</v>
      </c>
      <c r="G70" s="626"/>
      <c r="H70" s="166"/>
      <c r="I70" s="166">
        <f t="shared" ref="I70:I83" si="14">F70+G70+H70</f>
        <v>227039</v>
      </c>
      <c r="J70" s="167">
        <f t="shared" si="11"/>
        <v>5.1393044206950268E-2</v>
      </c>
      <c r="K70" s="458"/>
      <c r="L70" s="182"/>
      <c r="M70" s="163"/>
      <c r="O70" s="324">
        <f t="shared" si="12"/>
        <v>16.590354402630616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'[80]Sch C'!D59</f>
        <v>191871</v>
      </c>
      <c r="D71" s="480">
        <f>'[80]Sch C'!F59</f>
        <v>0</v>
      </c>
      <c r="E71" s="480">
        <f>+'[80]Sch C'!H59</f>
        <v>0</v>
      </c>
      <c r="F71" s="166">
        <f t="shared" si="13"/>
        <v>191871</v>
      </c>
      <c r="G71" s="626"/>
      <c r="H71" s="166"/>
      <c r="I71" s="166">
        <f t="shared" si="14"/>
        <v>191871</v>
      </c>
      <c r="J71" s="167">
        <f t="shared" si="11"/>
        <v>4.3432338871435106E-2</v>
      </c>
      <c r="K71" s="458"/>
      <c r="L71" s="182"/>
      <c r="M71" s="163"/>
      <c r="O71" s="324">
        <f t="shared" si="12"/>
        <v>14.02053343076361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'[80]Sch C'!D60</f>
        <v>36232</v>
      </c>
      <c r="D72" s="480">
        <f>'[80]Sch C'!F60</f>
        <v>0</v>
      </c>
      <c r="E72" s="480">
        <f>+'[80]Sch C'!H60</f>
        <v>0</v>
      </c>
      <c r="F72" s="166">
        <f t="shared" si="13"/>
        <v>36232</v>
      </c>
      <c r="G72" s="626"/>
      <c r="H72" s="166"/>
      <c r="I72" s="166">
        <f t="shared" si="14"/>
        <v>36232</v>
      </c>
      <c r="J72" s="167">
        <f t="shared" si="11"/>
        <v>8.2015547007616412E-3</v>
      </c>
      <c r="K72" s="458"/>
      <c r="L72" s="185"/>
      <c r="M72" s="163"/>
      <c r="O72" s="324">
        <f t="shared" si="12"/>
        <v>2.6475703324808184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'[80]Sch C'!D61</f>
        <v>2111</v>
      </c>
      <c r="D73" s="480">
        <f>'[80]Sch C'!F61</f>
        <v>0</v>
      </c>
      <c r="E73" s="480">
        <f>+'[80]Sch C'!H61</f>
        <v>0</v>
      </c>
      <c r="F73" s="166">
        <f t="shared" si="13"/>
        <v>2111</v>
      </c>
      <c r="G73" s="626"/>
      <c r="H73" s="166"/>
      <c r="I73" s="166">
        <f t="shared" si="14"/>
        <v>2111</v>
      </c>
      <c r="J73" s="167">
        <f t="shared" si="11"/>
        <v>4.7785057334146126E-4</v>
      </c>
      <c r="K73" s="458"/>
      <c r="L73" s="185"/>
      <c r="M73" s="163"/>
      <c r="O73" s="324">
        <f t="shared" si="12"/>
        <v>0.15425648520277677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'[80]Sch C'!D62</f>
        <v>0</v>
      </c>
      <c r="D74" s="480">
        <f>'[80]Sch C'!F62</f>
        <v>0</v>
      </c>
      <c r="E74" s="480">
        <f>+'[80]Sch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'[80]Sch C'!D63</f>
        <v>0</v>
      </c>
      <c r="D75" s="480">
        <f>'[80]Sch C'!F63</f>
        <v>0</v>
      </c>
      <c r="E75" s="480">
        <f>+'[80]Sch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'[80]Sch C'!D64</f>
        <v>0</v>
      </c>
      <c r="D76" s="480">
        <f>'[80]Sch C'!F64</f>
        <v>0</v>
      </c>
      <c r="E76" s="480">
        <f>+'[80]Sch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'[80]Sch C'!D65</f>
        <v>1469</v>
      </c>
      <c r="D77" s="480">
        <f>'[80]Sch C'!F65</f>
        <v>0</v>
      </c>
      <c r="E77" s="480">
        <f>+'[80]Sch C'!H65</f>
        <v>0</v>
      </c>
      <c r="F77" s="166">
        <f t="shared" si="13"/>
        <v>1469</v>
      </c>
      <c r="G77" s="626"/>
      <c r="H77" s="166"/>
      <c r="I77" s="166">
        <f t="shared" si="14"/>
        <v>1469</v>
      </c>
      <c r="J77" s="167">
        <f t="shared" si="11"/>
        <v>3.3252605032619924E-4</v>
      </c>
      <c r="K77" s="458"/>
      <c r="L77" s="187"/>
      <c r="M77" s="163"/>
      <c r="O77" s="324">
        <f t="shared" si="12"/>
        <v>0.10734380708805261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'[80]Sch C'!D66</f>
        <v>26969</v>
      </c>
      <c r="D78" s="480">
        <f>'[80]Sch C'!F66</f>
        <v>0</v>
      </c>
      <c r="E78" s="480">
        <f>+'[80]Sch C'!H66</f>
        <v>0</v>
      </c>
      <c r="F78" s="166">
        <f t="shared" si="13"/>
        <v>26969</v>
      </c>
      <c r="G78" s="626">
        <v>9116</v>
      </c>
      <c r="H78" s="166"/>
      <c r="I78" s="166">
        <f t="shared" si="14"/>
        <v>36085</v>
      </c>
      <c r="J78" s="167">
        <f t="shared" si="11"/>
        <v>8.1682794595104823E-3</v>
      </c>
      <c r="K78" s="458"/>
      <c r="L78" s="187"/>
      <c r="M78" s="163"/>
      <c r="O78" s="324">
        <f t="shared" si="12"/>
        <v>2.636828644501279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'[80]Sch C'!D67</f>
        <v>0</v>
      </c>
      <c r="D79" s="480">
        <f>'[80]Sch C'!F67</f>
        <v>0</v>
      </c>
      <c r="E79" s="480">
        <f>+'[80]Sch C'!H67</f>
        <v>0</v>
      </c>
      <c r="F79" s="166">
        <f t="shared" si="13"/>
        <v>0</v>
      </c>
      <c r="G79" s="626">
        <v>2946</v>
      </c>
      <c r="H79" s="166"/>
      <c r="I79" s="166">
        <f t="shared" si="14"/>
        <v>2946</v>
      </c>
      <c r="J79" s="167">
        <f t="shared" si="11"/>
        <v>6.6686299813545466E-4</v>
      </c>
      <c r="K79" s="458"/>
      <c r="L79" s="187"/>
      <c r="M79" s="163"/>
      <c r="O79" s="324">
        <f t="shared" si="12"/>
        <v>0.21527219583485568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'[80]Sch C'!D68</f>
        <v>0</v>
      </c>
      <c r="D80" s="480">
        <f>'[80]Sch C'!F68</f>
        <v>0</v>
      </c>
      <c r="E80" s="480">
        <f>+'[80]Sch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'[80]Sch C'!D69</f>
        <v>0</v>
      </c>
      <c r="D81" s="480">
        <f>'[80]Sch C'!F69</f>
        <v>0</v>
      </c>
      <c r="E81" s="480">
        <f>+'[80]Sch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'[80]Sch C'!D70</f>
        <v>0</v>
      </c>
      <c r="D82" s="480">
        <f>'[80]Sch C'!F70</f>
        <v>0</v>
      </c>
      <c r="E82" s="480">
        <f>+'[80]Sch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'[80]Sch C'!D71</f>
        <v>0</v>
      </c>
      <c r="D83" s="480">
        <f>'[80]Sch C'!F71</f>
        <v>0</v>
      </c>
      <c r="E83" s="480">
        <f>+'[80]Sch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485691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485691</v>
      </c>
      <c r="G84" s="166">
        <f t="shared" si="16"/>
        <v>12062</v>
      </c>
      <c r="H84" s="166">
        <f t="shared" si="16"/>
        <v>0</v>
      </c>
      <c r="I84" s="166">
        <f t="shared" si="16"/>
        <v>497753</v>
      </c>
      <c r="J84" s="167">
        <f t="shared" si="11"/>
        <v>0.11267245686046061</v>
      </c>
      <c r="K84" s="458"/>
      <c r="L84" s="187"/>
      <c r="M84" s="163"/>
      <c r="O84" s="324">
        <f t="shared" si="12"/>
        <v>36.372159298502012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'[80]Sch C'!D75</f>
        <v>22011</v>
      </c>
      <c r="D87" s="480">
        <f>'[80]Sch C'!F75</f>
        <v>0</v>
      </c>
      <c r="E87" s="480">
        <f>+'[80]Sch C'!H75</f>
        <v>0</v>
      </c>
      <c r="F87" s="166">
        <f t="shared" ref="F87:F97" si="17">C87+D87+E87</f>
        <v>22011</v>
      </c>
      <c r="G87" s="626"/>
      <c r="H87" s="166"/>
      <c r="I87" s="166">
        <f t="shared" ref="I87:I97" si="18">F87+G87+H87</f>
        <v>22011</v>
      </c>
      <c r="J87" s="167">
        <f t="shared" ref="J87:J98" si="19">IF($I$213=0,0,I87/$I$213)</f>
        <v>4.9824580624438196E-3</v>
      </c>
      <c r="K87" s="458"/>
      <c r="L87" s="176">
        <v>1250</v>
      </c>
      <c r="M87" s="176">
        <v>1336</v>
      </c>
      <c r="O87" s="324">
        <f t="shared" ref="O87:O97" si="20">I87/I$233</f>
        <v>1.6084033613445379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'[80]Sch C'!D76</f>
        <v>0</v>
      </c>
      <c r="D88" s="480">
        <f>'[80]Sch C'!F76</f>
        <v>3323</v>
      </c>
      <c r="E88" s="480">
        <f>+'[80]Sch C'!H76</f>
        <v>0</v>
      </c>
      <c r="F88" s="166">
        <f t="shared" si="17"/>
        <v>3323</v>
      </c>
      <c r="G88" s="626"/>
      <c r="H88" s="166"/>
      <c r="I88" s="166">
        <f t="shared" si="18"/>
        <v>3323</v>
      </c>
      <c r="J88" s="167">
        <f t="shared" si="19"/>
        <v>7.5220154202447931E-4</v>
      </c>
      <c r="K88" s="458"/>
      <c r="L88" s="163"/>
      <c r="M88" s="163"/>
      <c r="O88" s="324">
        <f t="shared" si="20"/>
        <v>0.24282060650347095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'[80]Sch C'!D77</f>
        <v>14653</v>
      </c>
      <c r="D89" s="480">
        <f>'[80]Sch C'!F77</f>
        <v>0</v>
      </c>
      <c r="E89" s="480">
        <f>+'[80]Sch C'!H77</f>
        <v>0</v>
      </c>
      <c r="F89" s="166">
        <f t="shared" si="17"/>
        <v>14653</v>
      </c>
      <c r="G89" s="626"/>
      <c r="H89" s="166"/>
      <c r="I89" s="166">
        <f t="shared" si="18"/>
        <v>14653</v>
      </c>
      <c r="J89" s="167">
        <f t="shared" si="19"/>
        <v>3.3168851024028573E-3</v>
      </c>
      <c r="K89" s="458"/>
      <c r="L89" s="163"/>
      <c r="M89" s="163"/>
      <c r="O89" s="324">
        <f t="shared" si="20"/>
        <v>1.0707343807088052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'[80]Sch C'!D78</f>
        <v>0</v>
      </c>
      <c r="D90" s="480">
        <f>'[80]Sch C'!F78</f>
        <v>0</v>
      </c>
      <c r="E90" s="480">
        <f>+'[80]Sch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'[80]Sch C'!D79</f>
        <v>61450</v>
      </c>
      <c r="D91" s="480">
        <f>'[80]Sch C'!F79</f>
        <v>0</v>
      </c>
      <c r="E91" s="480">
        <f>+'[80]Sch C'!H79</f>
        <v>0</v>
      </c>
      <c r="F91" s="166">
        <f t="shared" si="17"/>
        <v>61450</v>
      </c>
      <c r="G91" s="626">
        <f>-25254-9116</f>
        <v>-34370</v>
      </c>
      <c r="H91" s="166"/>
      <c r="I91" s="166">
        <f t="shared" si="18"/>
        <v>27080</v>
      </c>
      <c r="J91" s="167">
        <f t="shared" si="19"/>
        <v>6.1298879801453196E-3</v>
      </c>
      <c r="K91" s="458"/>
      <c r="L91" s="163"/>
      <c r="M91" s="163"/>
      <c r="O91" s="324">
        <f t="shared" si="20"/>
        <v>1.9788089148702959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'[80]Sch C'!D80</f>
        <v>13491</v>
      </c>
      <c r="D92" s="480">
        <f>'[80]Sch C'!F80</f>
        <v>0</v>
      </c>
      <c r="E92" s="480">
        <f>+'[80]Sch C'!H80</f>
        <v>0</v>
      </c>
      <c r="F92" s="166">
        <f t="shared" si="17"/>
        <v>13491</v>
      </c>
      <c r="G92" s="626"/>
      <c r="H92" s="166"/>
      <c r="I92" s="166">
        <f t="shared" si="18"/>
        <v>13491</v>
      </c>
      <c r="J92" s="167">
        <f t="shared" si="19"/>
        <v>3.0538522429889407E-3</v>
      </c>
      <c r="K92" s="458"/>
      <c r="L92" s="163"/>
      <c r="M92" s="163"/>
      <c r="O92" s="324">
        <f t="shared" si="20"/>
        <v>0.98582389477530141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'[80]Sch C'!D81</f>
        <v>7471</v>
      </c>
      <c r="D93" s="480">
        <f>'[80]Sch C'!F81</f>
        <v>0</v>
      </c>
      <c r="E93" s="480">
        <f>+'[80]Sch C'!H81</f>
        <v>0</v>
      </c>
      <c r="F93" s="166">
        <f t="shared" si="17"/>
        <v>7471</v>
      </c>
      <c r="G93" s="626"/>
      <c r="H93" s="166"/>
      <c r="I93" s="166">
        <f t="shared" si="18"/>
        <v>7471</v>
      </c>
      <c r="J93" s="167">
        <f t="shared" si="19"/>
        <v>1.6911518869891318E-3</v>
      </c>
      <c r="K93" s="458"/>
      <c r="L93" s="163"/>
      <c r="M93" s="163"/>
      <c r="O93" s="324">
        <f t="shared" si="20"/>
        <v>0.54592619656558272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'[80]Sch C'!D82</f>
        <v>0</v>
      </c>
      <c r="D94" s="480">
        <f>'[80]Sch C'!F82</f>
        <v>0</v>
      </c>
      <c r="E94" s="480">
        <f>+'[80]Sch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'[80]Sch C'!D83</f>
        <v>4637</v>
      </c>
      <c r="D95" s="480">
        <f>'[80]Sch C'!F83</f>
        <v>0</v>
      </c>
      <c r="E95" s="480">
        <f>+'[80]Sch C'!H83</f>
        <v>0</v>
      </c>
      <c r="F95" s="166">
        <f t="shared" si="17"/>
        <v>4637</v>
      </c>
      <c r="G95" s="626"/>
      <c r="H95" s="166"/>
      <c r="I95" s="166">
        <f t="shared" si="18"/>
        <v>4637</v>
      </c>
      <c r="J95" s="167">
        <f t="shared" si="19"/>
        <v>1.0496414536164641E-3</v>
      </c>
      <c r="K95" s="458"/>
      <c r="L95" s="163"/>
      <c r="M95" s="163"/>
      <c r="O95" s="324">
        <f t="shared" si="20"/>
        <v>0.33883814395323347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'[80]Sch C'!D84</f>
        <v>86064</v>
      </c>
      <c r="D96" s="480">
        <f>'[80]Sch C'!F84</f>
        <v>0</v>
      </c>
      <c r="E96" s="480">
        <f>+'[80]Sch C'!H84</f>
        <v>0</v>
      </c>
      <c r="F96" s="166">
        <f t="shared" si="17"/>
        <v>86064</v>
      </c>
      <c r="G96" s="626"/>
      <c r="H96" s="166"/>
      <c r="I96" s="166">
        <f t="shared" si="18"/>
        <v>86064</v>
      </c>
      <c r="J96" s="167">
        <f t="shared" si="19"/>
        <v>1.9481635122718863E-2</v>
      </c>
      <c r="K96" s="458"/>
      <c r="L96" s="163"/>
      <c r="M96" s="163"/>
      <c r="O96" s="324">
        <f t="shared" si="20"/>
        <v>6.2889294848374133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'[80]Sch C'!D85</f>
        <v>0</v>
      </c>
      <c r="D97" s="480">
        <f>'[80]Sch C'!F85</f>
        <v>0</v>
      </c>
      <c r="E97" s="480">
        <f>+'[80]Sch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209777</v>
      </c>
      <c r="D98" s="480">
        <f t="shared" si="21"/>
        <v>3323</v>
      </c>
      <c r="E98" s="480">
        <f t="shared" si="21"/>
        <v>0</v>
      </c>
      <c r="F98" s="166">
        <f t="shared" ref="F98:I98" si="22">SUM(F87:F97)</f>
        <v>213100</v>
      </c>
      <c r="G98" s="166">
        <f t="shared" si="22"/>
        <v>-34370</v>
      </c>
      <c r="H98" s="166">
        <f t="shared" si="22"/>
        <v>0</v>
      </c>
      <c r="I98" s="166">
        <f t="shared" si="22"/>
        <v>178730</v>
      </c>
      <c r="J98" s="167">
        <f t="shared" si="19"/>
        <v>4.0457713393329875E-2</v>
      </c>
      <c r="K98" s="458"/>
      <c r="L98" s="163"/>
      <c r="M98" s="163"/>
      <c r="O98" s="329">
        <f>I98/I$233</f>
        <v>13.06028498355864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'[80]Sch C'!D89</f>
        <v>157185</v>
      </c>
      <c r="D101" s="480">
        <f>'[80]Sch C'!F89</f>
        <v>0</v>
      </c>
      <c r="E101" s="480">
        <f>+'[80]Sch C'!H89</f>
        <v>0</v>
      </c>
      <c r="F101" s="166">
        <f t="shared" ref="F101:F106" si="23">C101+D101+E101</f>
        <v>157185</v>
      </c>
      <c r="G101" s="626"/>
      <c r="H101" s="166"/>
      <c r="I101" s="166">
        <f t="shared" ref="I101:I106" si="24">F101+G101+H101</f>
        <v>157185</v>
      </c>
      <c r="J101" s="167">
        <f t="shared" ref="J101:J107" si="25">IF($I$213=0,0,I101/$I$213)</f>
        <v>3.5580740109274082E-2</v>
      </c>
      <c r="K101" s="458"/>
      <c r="L101" s="176">
        <v>12249</v>
      </c>
      <c r="M101" s="176">
        <v>13056</v>
      </c>
      <c r="O101" s="329">
        <f t="shared" ref="O101:O106" si="26">I101/I$233</f>
        <v>11.485933503836318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'[80]Sch C'!D90</f>
        <v>0</v>
      </c>
      <c r="D102" s="480">
        <f>'[80]Sch C'!F90</f>
        <v>23728</v>
      </c>
      <c r="E102" s="480">
        <f>+'[80]Sch C'!H90</f>
        <v>0</v>
      </c>
      <c r="F102" s="166">
        <f t="shared" si="23"/>
        <v>23728</v>
      </c>
      <c r="G102" s="626"/>
      <c r="H102" s="166"/>
      <c r="I102" s="166">
        <f t="shared" si="24"/>
        <v>23728</v>
      </c>
      <c r="J102" s="167">
        <f t="shared" si="25"/>
        <v>5.371121934744762E-3</v>
      </c>
      <c r="K102" s="458"/>
      <c r="L102" s="163"/>
      <c r="M102" s="163"/>
      <c r="O102" s="329">
        <f t="shared" si="26"/>
        <v>1.7338691998538547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'[80]Sch C'!D91</f>
        <v>4202</v>
      </c>
      <c r="D103" s="480">
        <f>'[80]Sch C'!F91</f>
        <v>0</v>
      </c>
      <c r="E103" s="480">
        <f>+'[80]Sch C'!H91</f>
        <v>0</v>
      </c>
      <c r="F103" s="166">
        <f t="shared" si="23"/>
        <v>4202</v>
      </c>
      <c r="G103" s="626"/>
      <c r="H103" s="166"/>
      <c r="I103" s="166">
        <f t="shared" si="24"/>
        <v>4202</v>
      </c>
      <c r="J103" s="167">
        <f t="shared" si="25"/>
        <v>9.5117390297528193E-4</v>
      </c>
      <c r="K103" s="458"/>
      <c r="L103" s="163"/>
      <c r="M103" s="163"/>
      <c r="O103" s="329">
        <f t="shared" si="26"/>
        <v>0.30705151625867738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'[80]Sch C'!D92</f>
        <v>109062</v>
      </c>
      <c r="D104" s="480">
        <f>'[80]Sch C'!F92</f>
        <v>-1968</v>
      </c>
      <c r="E104" s="480">
        <f>+'[80]Sch C'!H92</f>
        <v>0</v>
      </c>
      <c r="F104" s="166">
        <f t="shared" si="23"/>
        <v>107094</v>
      </c>
      <c r="G104" s="626"/>
      <c r="H104" s="166"/>
      <c r="I104" s="166">
        <f t="shared" si="24"/>
        <v>107094</v>
      </c>
      <c r="J104" s="167">
        <f t="shared" si="25"/>
        <v>2.4242031881302913E-2</v>
      </c>
      <c r="K104" s="458"/>
      <c r="L104" s="163"/>
      <c r="M104" s="163"/>
      <c r="O104" s="329">
        <f t="shared" si="26"/>
        <v>7.8256485202776762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'[80]Sch C'!D93</f>
        <v>11255</v>
      </c>
      <c r="D105" s="480">
        <f>'[80]Sch C'!F93</f>
        <v>0</v>
      </c>
      <c r="E105" s="480">
        <f>+'[80]Sch C'!H93</f>
        <v>0</v>
      </c>
      <c r="F105" s="166">
        <f t="shared" si="23"/>
        <v>11255</v>
      </c>
      <c r="G105" s="626"/>
      <c r="H105" s="166"/>
      <c r="I105" s="166">
        <f t="shared" si="24"/>
        <v>11255</v>
      </c>
      <c r="J105" s="167">
        <f t="shared" si="25"/>
        <v>2.5477063964747257E-3</v>
      </c>
      <c r="K105" s="458"/>
      <c r="L105" s="163"/>
      <c r="M105" s="163"/>
      <c r="O105" s="329">
        <f t="shared" si="26"/>
        <v>0.82243332115454881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'[80]Sch C'!D94</f>
        <v>0</v>
      </c>
      <c r="D106" s="480">
        <f>'[80]Sch C'!F94</f>
        <v>0</v>
      </c>
      <c r="E106" s="480">
        <f>+'[80]Sch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281704</v>
      </c>
      <c r="D107" s="480">
        <f t="shared" si="27"/>
        <v>21760</v>
      </c>
      <c r="E107" s="480">
        <f t="shared" si="27"/>
        <v>0</v>
      </c>
      <c r="F107" s="166">
        <f t="shared" ref="F107:I107" si="28">SUM(F101:F106)</f>
        <v>303464</v>
      </c>
      <c r="G107" s="166">
        <f t="shared" si="28"/>
        <v>0</v>
      </c>
      <c r="H107" s="166">
        <f t="shared" si="28"/>
        <v>0</v>
      </c>
      <c r="I107" s="166">
        <f t="shared" si="28"/>
        <v>303464</v>
      </c>
      <c r="J107" s="167">
        <f t="shared" si="25"/>
        <v>6.8692774224771769E-2</v>
      </c>
      <c r="K107" s="458"/>
      <c r="L107" s="163"/>
      <c r="M107" s="163"/>
      <c r="O107" s="329">
        <f>I107/I$233</f>
        <v>22.174936061381075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'[80]Sch C'!D98</f>
        <v>0</v>
      </c>
      <c r="D110" s="480">
        <f>'[80]Sch C'!F98</f>
        <v>0</v>
      </c>
      <c r="E110" s="480">
        <f>+'[80]Sch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'[80]Sch C'!D99</f>
        <v>0</v>
      </c>
      <c r="D111" s="480">
        <f>'[80]Sch C'!F99</f>
        <v>0</v>
      </c>
      <c r="E111" s="480">
        <f>+'[80]Sch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'[80]Sch C'!D100</f>
        <v>10306</v>
      </c>
      <c r="D112" s="480">
        <f>'[80]Sch C'!F100</f>
        <v>0</v>
      </c>
      <c r="E112" s="480">
        <f>+'[80]Sch C'!H100</f>
        <v>0</v>
      </c>
      <c r="F112" s="166">
        <f t="shared" si="29"/>
        <v>10306</v>
      </c>
      <c r="G112" s="626"/>
      <c r="H112" s="166"/>
      <c r="I112" s="166">
        <f t="shared" si="30"/>
        <v>10306</v>
      </c>
      <c r="J112" s="167">
        <f t="shared" si="31"/>
        <v>2.3328886825471811E-3</v>
      </c>
      <c r="K112" s="458"/>
      <c r="L112" s="163"/>
      <c r="M112" s="163"/>
      <c r="O112" s="329">
        <f t="shared" si="32"/>
        <v>0.75308732188527583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'[80]Sch C'!D101</f>
        <v>0</v>
      </c>
      <c r="D113" s="480">
        <f>'[80]Sch C'!F101</f>
        <v>0</v>
      </c>
      <c r="E113" s="480">
        <f>+'[80]Sch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'[80]Sch C'!D102</f>
        <v>665</v>
      </c>
      <c r="D114" s="480">
        <f>'[80]Sch C'!F102</f>
        <v>0</v>
      </c>
      <c r="E114" s="480">
        <f>+'[80]Sch C'!H102</f>
        <v>0</v>
      </c>
      <c r="F114" s="166">
        <f t="shared" si="29"/>
        <v>665</v>
      </c>
      <c r="G114" s="626"/>
      <c r="H114" s="166"/>
      <c r="I114" s="166">
        <f t="shared" si="30"/>
        <v>665</v>
      </c>
      <c r="J114" s="167">
        <f t="shared" si="31"/>
        <v>1.5053085327904867E-4</v>
      </c>
      <c r="K114" s="458"/>
      <c r="L114" s="163"/>
      <c r="M114" s="163"/>
      <c r="O114" s="329">
        <f t="shared" si="32"/>
        <v>4.859335038363171E-2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'[80]Sch C'!D103</f>
        <v>0</v>
      </c>
      <c r="D115" s="480">
        <f>'[80]Sch C'!F103</f>
        <v>0</v>
      </c>
      <c r="E115" s="480">
        <f>+'[80]Sch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10971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10971</v>
      </c>
      <c r="G116" s="166">
        <f t="shared" si="34"/>
        <v>0</v>
      </c>
      <c r="H116" s="166">
        <f t="shared" si="34"/>
        <v>0</v>
      </c>
      <c r="I116" s="166">
        <f t="shared" si="34"/>
        <v>10971</v>
      </c>
      <c r="J116" s="167">
        <f t="shared" si="31"/>
        <v>2.4834195358262299E-3</v>
      </c>
      <c r="K116" s="458"/>
      <c r="L116" s="163"/>
      <c r="M116" s="163"/>
      <c r="O116" s="329">
        <f>I116/I$233</f>
        <v>0.8016806722689076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'[80]Sch C'!D115</f>
        <v>62960</v>
      </c>
      <c r="D119" s="480">
        <f>'[80]Sch C'!F115</f>
        <v>0</v>
      </c>
      <c r="E119" s="480">
        <f>+'[80]Sch C'!H115</f>
        <v>0</v>
      </c>
      <c r="F119" s="166">
        <f t="shared" ref="F119:F123" si="35">C119+D119+E119</f>
        <v>62960</v>
      </c>
      <c r="G119" s="626"/>
      <c r="H119" s="166"/>
      <c r="I119" s="166">
        <f t="shared" ref="I119:I123" si="36">F119+G119+H119</f>
        <v>62960</v>
      </c>
      <c r="J119" s="167">
        <f t="shared" ref="J119:J124" si="37">IF($I$213=0,0,I119/$I$213)</f>
        <v>1.4251763191652486E-2</v>
      </c>
      <c r="K119" s="458"/>
      <c r="L119" s="176">
        <v>6343</v>
      </c>
      <c r="M119" s="176">
        <v>6617</v>
      </c>
      <c r="O119" s="329">
        <f t="shared" ref="O119:O124" si="38">I119/I$233</f>
        <v>4.6006576543660946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'[80]Sch C'!D116</f>
        <v>0</v>
      </c>
      <c r="D120" s="480">
        <f>'[80]Sch C'!F116</f>
        <v>9504</v>
      </c>
      <c r="E120" s="480">
        <f>+'[80]Sch C'!H116</f>
        <v>0</v>
      </c>
      <c r="F120" s="166">
        <f t="shared" si="35"/>
        <v>9504</v>
      </c>
      <c r="G120" s="626"/>
      <c r="H120" s="166"/>
      <c r="I120" s="166">
        <f t="shared" si="36"/>
        <v>9504</v>
      </c>
      <c r="J120" s="167">
        <f t="shared" si="37"/>
        <v>2.1513462098707945E-3</v>
      </c>
      <c r="K120" s="458"/>
      <c r="L120" s="163"/>
      <c r="M120" s="163"/>
      <c r="O120" s="329">
        <f t="shared" si="38"/>
        <v>0.69448301059554252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'[80]Sch C'!D117</f>
        <v>9470</v>
      </c>
      <c r="D121" s="480">
        <f>'[80]Sch C'!F117</f>
        <v>0</v>
      </c>
      <c r="E121" s="480">
        <f>+'[80]Sch C'!H117</f>
        <v>0</v>
      </c>
      <c r="F121" s="166">
        <f t="shared" si="35"/>
        <v>9470</v>
      </c>
      <c r="G121" s="626"/>
      <c r="H121" s="166"/>
      <c r="I121" s="166">
        <f t="shared" si="36"/>
        <v>9470</v>
      </c>
      <c r="J121" s="167">
        <f t="shared" si="37"/>
        <v>2.1436498955678058E-3</v>
      </c>
      <c r="K121" s="458"/>
      <c r="L121" s="163"/>
      <c r="M121" s="163"/>
      <c r="O121" s="329">
        <f t="shared" si="38"/>
        <v>0.69199853854585314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'[80]Sch C'!D118</f>
        <v>0</v>
      </c>
      <c r="D122" s="480">
        <f>'[80]Sch C'!F118</f>
        <v>0</v>
      </c>
      <c r="E122" s="480">
        <f>+'[80]Sch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'[80]Sch C'!D119</f>
        <v>62</v>
      </c>
      <c r="D123" s="480">
        <f>'[80]Sch C'!F119</f>
        <v>0</v>
      </c>
      <c r="E123" s="480">
        <f>+'[80]Sch C'!H119</f>
        <v>0</v>
      </c>
      <c r="F123" s="166">
        <f t="shared" si="35"/>
        <v>62</v>
      </c>
      <c r="G123" s="626"/>
      <c r="H123" s="166"/>
      <c r="I123" s="166">
        <f t="shared" si="36"/>
        <v>62</v>
      </c>
      <c r="J123" s="167">
        <f t="shared" si="37"/>
        <v>1.403445549368574E-5</v>
      </c>
      <c r="K123" s="458"/>
      <c r="L123" s="163"/>
      <c r="M123" s="163"/>
      <c r="O123" s="329">
        <f t="shared" si="38"/>
        <v>4.5305078553160398E-3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72492</v>
      </c>
      <c r="D124" s="480">
        <f t="shared" si="39"/>
        <v>9504</v>
      </c>
      <c r="E124" s="480">
        <f t="shared" si="39"/>
        <v>0</v>
      </c>
      <c r="F124" s="166">
        <f t="shared" ref="F124:I124" si="40">SUM(F119:F123)</f>
        <v>81996</v>
      </c>
      <c r="G124" s="166">
        <f t="shared" si="40"/>
        <v>0</v>
      </c>
      <c r="H124" s="166">
        <f t="shared" si="40"/>
        <v>0</v>
      </c>
      <c r="I124" s="166">
        <f t="shared" si="40"/>
        <v>81996</v>
      </c>
      <c r="J124" s="167">
        <f t="shared" si="37"/>
        <v>1.8560793752584775E-2</v>
      </c>
      <c r="K124" s="458"/>
      <c r="L124" s="163"/>
      <c r="M124" s="163"/>
      <c r="O124" s="329">
        <f t="shared" si="38"/>
        <v>5.9916697113628059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'[80]Sch C'!D124</f>
        <v>0</v>
      </c>
      <c r="D128" s="480">
        <f>'[80]Sch C'!F124</f>
        <v>0</v>
      </c>
      <c r="E128" s="480">
        <f>+'[80]Sch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'[80]Sch C'!D125</f>
        <v>171904</v>
      </c>
      <c r="D129" s="480">
        <f>'[80]Sch C'!F125</f>
        <v>0</v>
      </c>
      <c r="E129" s="480">
        <f>+'[80]Sch C'!H125</f>
        <v>0</v>
      </c>
      <c r="F129" s="166">
        <f t="shared" si="41"/>
        <v>171904</v>
      </c>
      <c r="G129" s="626"/>
      <c r="H129" s="166"/>
      <c r="I129" s="166">
        <f t="shared" si="42"/>
        <v>171904</v>
      </c>
      <c r="J129" s="167">
        <f>IF($I$213=0,0,I129/$I$213)</f>
        <v>3.8912565115912151E-2</v>
      </c>
      <c r="K129" s="458"/>
      <c r="L129" s="176">
        <v>7306</v>
      </c>
      <c r="M129" s="176">
        <v>7801</v>
      </c>
      <c r="O129" s="329">
        <f t="shared" si="43"/>
        <v>12.561490683229813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'[80]Sch C'!D126</f>
        <v>0</v>
      </c>
      <c r="D130" s="480">
        <f>'[80]Sch C'!F126</f>
        <v>0</v>
      </c>
      <c r="E130" s="480">
        <f>+'[80]Sch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'[80]Sch C'!D127</f>
        <v>0</v>
      </c>
      <c r="D131" s="480">
        <f>'[80]Sch C'!F127</f>
        <v>0</v>
      </c>
      <c r="E131" s="480">
        <f>+'[80]Sch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'[80]Sch C'!D128</f>
        <v>93949</v>
      </c>
      <c r="D132" s="480">
        <f>'[80]Sch C'!F128</f>
        <v>0</v>
      </c>
      <c r="E132" s="480">
        <f>+'[80]Sch C'!H128</f>
        <v>0</v>
      </c>
      <c r="F132" s="166">
        <f t="shared" si="41"/>
        <v>93949</v>
      </c>
      <c r="G132" s="626"/>
      <c r="H132" s="166"/>
      <c r="I132" s="166">
        <f t="shared" si="42"/>
        <v>93949</v>
      </c>
      <c r="J132" s="167">
        <f>IF($I$213=0,0,I132/$I$213)</f>
        <v>2.1266500954456154E-2</v>
      </c>
      <c r="K132" s="458"/>
      <c r="L132" s="176">
        <v>4715</v>
      </c>
      <c r="M132" s="176">
        <v>4956</v>
      </c>
      <c r="O132" s="329">
        <f t="shared" si="43"/>
        <v>6.8651077822433324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'[80]Sch C'!D130</f>
        <v>0</v>
      </c>
      <c r="D134" s="480">
        <f>'[80]Sch C'!F130</f>
        <v>0</v>
      </c>
      <c r="E134" s="480">
        <f>+'[80]Sch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'[80]Sch C'!D131</f>
        <v>0</v>
      </c>
      <c r="D135" s="480">
        <f>'[80]Sch C'!F131</f>
        <v>25950</v>
      </c>
      <c r="E135" s="480">
        <f>+'[80]Sch C'!H131</f>
        <v>0</v>
      </c>
      <c r="F135" s="166">
        <f t="shared" si="44"/>
        <v>25950</v>
      </c>
      <c r="G135" s="626"/>
      <c r="H135" s="166"/>
      <c r="I135" s="166">
        <f t="shared" si="45"/>
        <v>25950</v>
      </c>
      <c r="J135" s="167">
        <f>IF($I$213=0,0,I135/$I$213)</f>
        <v>5.8740987106636281E-3</v>
      </c>
      <c r="K135" s="458"/>
      <c r="L135" s="196"/>
      <c r="M135" s="196"/>
      <c r="O135" s="329">
        <f t="shared" si="43"/>
        <v>1.8962367555717938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'[80]Sch C'!D132</f>
        <v>0</v>
      </c>
      <c r="D136" s="480">
        <f>'[80]Sch C'!F132</f>
        <v>0</v>
      </c>
      <c r="E136" s="480">
        <f>+'[80]Sch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'[80]Sch C'!D133</f>
        <v>0</v>
      </c>
      <c r="D137" s="480">
        <f>'[80]Sch C'!F133</f>
        <v>0</v>
      </c>
      <c r="E137" s="480">
        <f>+'[80]Sch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'[80]Sch C'!D134</f>
        <v>0</v>
      </c>
      <c r="D138" s="480">
        <f>'[80]Sch C'!F134</f>
        <v>14182</v>
      </c>
      <c r="E138" s="480">
        <f>+'[80]Sch C'!H134</f>
        <v>0</v>
      </c>
      <c r="F138" s="166">
        <f t="shared" si="44"/>
        <v>14182</v>
      </c>
      <c r="G138" s="626"/>
      <c r="H138" s="166"/>
      <c r="I138" s="166">
        <f t="shared" si="45"/>
        <v>14182</v>
      </c>
      <c r="J138" s="167">
        <f>IF($I$213=0,0,I138/$I$213)</f>
        <v>3.210268513087922E-3</v>
      </c>
      <c r="K138" s="458"/>
      <c r="L138" s="163"/>
      <c r="M138" s="163"/>
      <c r="O138" s="329">
        <f t="shared" si="43"/>
        <v>1.0363171355498721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'[80]Sch C'!D136</f>
        <v>296067</v>
      </c>
      <c r="D140" s="480">
        <f>'[80]Sch C'!F136</f>
        <v>0</v>
      </c>
      <c r="E140" s="480">
        <f>+'[80]Sch C'!H136</f>
        <v>0</v>
      </c>
      <c r="F140" s="166">
        <f t="shared" ref="F140:F143" si="46">C140+D140+E140</f>
        <v>296067</v>
      </c>
      <c r="G140" s="626"/>
      <c r="H140" s="166"/>
      <c r="I140" s="166">
        <f t="shared" ref="I140:I143" si="47">F140+G140+H140</f>
        <v>296067</v>
      </c>
      <c r="J140" s="167">
        <f>IF($I$213=0,0,I140/$I$213)</f>
        <v>6.7018373139500903E-2</v>
      </c>
      <c r="K140" s="458"/>
      <c r="L140" s="176">
        <v>10641</v>
      </c>
      <c r="M140" s="176">
        <v>11141</v>
      </c>
      <c r="O140" s="329">
        <f t="shared" si="43"/>
        <v>21.634417245158932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'[80]Sch C'!D137</f>
        <v>250488</v>
      </c>
      <c r="D141" s="480">
        <f>'[80]Sch C'!F137</f>
        <v>0</v>
      </c>
      <c r="E141" s="480">
        <f>+'[80]Sch C'!H137</f>
        <v>0</v>
      </c>
      <c r="F141" s="166">
        <f t="shared" si="46"/>
        <v>250488</v>
      </c>
      <c r="G141" s="626"/>
      <c r="H141" s="166"/>
      <c r="I141" s="166">
        <f t="shared" si="47"/>
        <v>250488</v>
      </c>
      <c r="J141" s="167">
        <f>IF($I$213=0,0,I141/$I$213)</f>
        <v>5.6701011091973445E-2</v>
      </c>
      <c r="K141" s="458"/>
      <c r="L141" s="176">
        <v>10361</v>
      </c>
      <c r="M141" s="176">
        <v>10810</v>
      </c>
      <c r="O141" s="329">
        <f t="shared" si="43"/>
        <v>18.303836317135548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'[80]Sch C'!D138</f>
        <v>466690</v>
      </c>
      <c r="D142" s="480">
        <f>'[80]Sch C'!F138</f>
        <v>0</v>
      </c>
      <c r="E142" s="480">
        <f>+'[80]Sch C'!H138</f>
        <v>0</v>
      </c>
      <c r="F142" s="166">
        <f t="shared" si="46"/>
        <v>466690</v>
      </c>
      <c r="G142" s="626"/>
      <c r="H142" s="166"/>
      <c r="I142" s="166">
        <f t="shared" si="47"/>
        <v>466690</v>
      </c>
      <c r="J142" s="167">
        <f>IF($I$213=0,0,I142/$I$213)</f>
        <v>0.10564096829593868</v>
      </c>
      <c r="K142" s="458"/>
      <c r="L142" s="176">
        <v>38606</v>
      </c>
      <c r="M142" s="176">
        <v>40070</v>
      </c>
      <c r="O142" s="329">
        <f t="shared" si="43"/>
        <v>34.102301790281331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'[80]Sch C'!D139</f>
        <v>0</v>
      </c>
      <c r="D143" s="480">
        <f>'[80]Sch C'!F139</f>
        <v>0</v>
      </c>
      <c r="E143" s="480">
        <f>+'[80]Sch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'[80]Sch C'!D141</f>
        <v>0</v>
      </c>
      <c r="D145" s="480">
        <f>'[80]Sch C'!F141</f>
        <v>44693</v>
      </c>
      <c r="E145" s="480">
        <f>+'[80]Sch C'!H141</f>
        <v>0</v>
      </c>
      <c r="F145" s="166">
        <f t="shared" ref="F145:F148" si="48">C145+D145+E145</f>
        <v>44693</v>
      </c>
      <c r="G145" s="626"/>
      <c r="H145" s="166"/>
      <c r="I145" s="166">
        <f t="shared" ref="I145:I148" si="49">F145+G145+H145</f>
        <v>44693</v>
      </c>
      <c r="J145" s="167">
        <f>IF($I$213=0,0,I145/$I$213)</f>
        <v>1.011680515127898E-2</v>
      </c>
      <c r="K145" s="458"/>
      <c r="L145" s="163"/>
      <c r="M145" s="163"/>
      <c r="O145" s="329">
        <f t="shared" si="43"/>
        <v>3.2658385093167701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'[80]Sch C'!D142</f>
        <v>0</v>
      </c>
      <c r="D146" s="480">
        <f>'[80]Sch C'!F142</f>
        <v>37812</v>
      </c>
      <c r="E146" s="480">
        <f>+'[80]Sch C'!H142</f>
        <v>0</v>
      </c>
      <c r="F146" s="166">
        <f t="shared" si="48"/>
        <v>37812</v>
      </c>
      <c r="G146" s="626"/>
      <c r="H146" s="166"/>
      <c r="I146" s="166">
        <f t="shared" si="49"/>
        <v>37812</v>
      </c>
      <c r="J146" s="167">
        <f>IF($I$213=0,0,I146/$I$213)</f>
        <v>8.5592069536652455E-3</v>
      </c>
      <c r="K146" s="458"/>
      <c r="L146" s="163"/>
      <c r="M146" s="163"/>
      <c r="O146" s="329">
        <f t="shared" si="43"/>
        <v>2.7630252100840336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'[80]Sch C'!D143</f>
        <v>0</v>
      </c>
      <c r="D147" s="480">
        <f>'[80]Sch C'!F143</f>
        <v>70449</v>
      </c>
      <c r="E147" s="480">
        <f>+'[80]Sch C'!H143</f>
        <v>0</v>
      </c>
      <c r="F147" s="166">
        <f t="shared" si="48"/>
        <v>70449</v>
      </c>
      <c r="G147" s="626"/>
      <c r="H147" s="166"/>
      <c r="I147" s="166">
        <f t="shared" si="49"/>
        <v>70449</v>
      </c>
      <c r="J147" s="167">
        <f>IF($I$213=0,0,I147/$I$213)</f>
        <v>1.5946989597978495E-2</v>
      </c>
      <c r="K147" s="458"/>
      <c r="L147" s="163"/>
      <c r="M147" s="163"/>
      <c r="O147" s="329">
        <f t="shared" si="43"/>
        <v>5.1478991596638659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'[80]Sch C'!D144</f>
        <v>0</v>
      </c>
      <c r="D148" s="480">
        <f>'[80]Sch C'!F144</f>
        <v>0</v>
      </c>
      <c r="E148" s="480">
        <f>+'[80]Sch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'[80]Sch C'!D146</f>
        <v>18000</v>
      </c>
      <c r="D150" s="480">
        <f>'[80]Sch C'!F146</f>
        <v>0</v>
      </c>
      <c r="E150" s="480">
        <f>+'[80]Sch C'!H146</f>
        <v>0</v>
      </c>
      <c r="F150" s="166">
        <f t="shared" ref="F150:F158" si="50">C150+D150+E150</f>
        <v>18000</v>
      </c>
      <c r="G150" s="626"/>
      <c r="H150" s="166"/>
      <c r="I150" s="166">
        <f t="shared" ref="I150:I158" si="51">F150+G150+H150</f>
        <v>18000</v>
      </c>
      <c r="J150" s="167">
        <f t="shared" ref="J150:J158" si="52">IF($I$213=0,0,I150/$I$213)</f>
        <v>4.0745193368765054E-3</v>
      </c>
      <c r="K150" s="458"/>
      <c r="L150" s="176">
        <v>0</v>
      </c>
      <c r="M150" s="176">
        <v>0</v>
      </c>
      <c r="O150" s="329">
        <f t="shared" si="43"/>
        <v>1.3153087321885275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'[80]Sch C'!D147</f>
        <v>0</v>
      </c>
      <c r="D151" s="480">
        <f>'[80]Sch C'!F147</f>
        <v>0</v>
      </c>
      <c r="E151" s="480">
        <f>+'[80]Sch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'[80]Sch C'!D148</f>
        <v>0</v>
      </c>
      <c r="D152" s="480">
        <f>'[80]Sch C'!F148</f>
        <v>0</v>
      </c>
      <c r="E152" s="480">
        <f>+'[80]Sch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'[80]Sch C'!D149</f>
        <v>0</v>
      </c>
      <c r="D153" s="480">
        <f>'[80]Sch C'!F149</f>
        <v>0</v>
      </c>
      <c r="E153" s="480">
        <f>+'[80]Sch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'[80]Sch C'!D150</f>
        <v>22413</v>
      </c>
      <c r="D154" s="480">
        <f>'[80]Sch C'!F150</f>
        <v>0</v>
      </c>
      <c r="E154" s="480">
        <f>+'[80]Sch C'!H150</f>
        <v>0</v>
      </c>
      <c r="F154" s="166">
        <f t="shared" si="50"/>
        <v>22413</v>
      </c>
      <c r="G154" s="626"/>
      <c r="H154" s="166"/>
      <c r="I154" s="166">
        <f t="shared" si="51"/>
        <v>22413</v>
      </c>
      <c r="J154" s="167">
        <f t="shared" si="52"/>
        <v>5.0734556609673947E-3</v>
      </c>
      <c r="K154" s="458"/>
      <c r="L154" s="176">
        <v>0</v>
      </c>
      <c r="M154" s="176">
        <v>0</v>
      </c>
      <c r="O154" s="329">
        <f t="shared" si="43"/>
        <v>1.6377785896967483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'[80]Sch C'!D151</f>
        <v>106565</v>
      </c>
      <c r="D155" s="480">
        <f>'[80]Sch C'!F151</f>
        <v>0</v>
      </c>
      <c r="E155" s="480">
        <f>+'[80]Sch C'!H151</f>
        <v>0</v>
      </c>
      <c r="F155" s="166">
        <f t="shared" si="50"/>
        <v>106565</v>
      </c>
      <c r="G155" s="626"/>
      <c r="H155" s="166"/>
      <c r="I155" s="166">
        <f t="shared" si="51"/>
        <v>106565</v>
      </c>
      <c r="J155" s="167">
        <f t="shared" si="52"/>
        <v>2.4122286285235821E-2</v>
      </c>
      <c r="K155" s="458"/>
      <c r="L155" s="163"/>
      <c r="M155" s="163"/>
      <c r="O155" s="329">
        <f t="shared" si="43"/>
        <v>7.7869930580928024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'[80]Sch C'!D152</f>
        <v>535</v>
      </c>
      <c r="D156" s="480">
        <f>'[80]Sch C'!F152</f>
        <v>0</v>
      </c>
      <c r="E156" s="480">
        <f>+'[80]Sch C'!H152</f>
        <v>0</v>
      </c>
      <c r="F156" s="166">
        <f t="shared" si="50"/>
        <v>535</v>
      </c>
      <c r="G156" s="626"/>
      <c r="H156" s="166"/>
      <c r="I156" s="166">
        <f t="shared" si="51"/>
        <v>535</v>
      </c>
      <c r="J156" s="167">
        <f t="shared" si="52"/>
        <v>1.2110376917938502E-4</v>
      </c>
      <c r="K156" s="458"/>
      <c r="L156" s="163"/>
      <c r="M156" s="163"/>
      <c r="O156" s="329">
        <f t="shared" si="43"/>
        <v>3.9093898428936791E-2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'[80]Sch C'!D153</f>
        <v>0</v>
      </c>
      <c r="D157" s="480">
        <f>'[80]Sch C'!F153</f>
        <v>0</v>
      </c>
      <c r="E157" s="480">
        <f>+'[80]Sch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'[80]Sch C'!D154</f>
        <v>0</v>
      </c>
      <c r="D158" s="480">
        <f>'[80]Sch C'!F154</f>
        <v>0</v>
      </c>
      <c r="E158" s="480">
        <f>+'[80]Sch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'[80]Sch C'!D156</f>
        <v>0</v>
      </c>
      <c r="D160" s="480">
        <f>'[80]Sch C'!F156</f>
        <v>0</v>
      </c>
      <c r="E160" s="480">
        <f>+'[80]Sch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'[80]Sch C'!D157</f>
        <v>0</v>
      </c>
      <c r="D161" s="480">
        <f>'[80]Sch C'!F157</f>
        <v>0</v>
      </c>
      <c r="E161" s="480">
        <f>+'[80]Sch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'[80]Sch C'!D158</f>
        <v>0</v>
      </c>
      <c r="D162" s="480">
        <f>'[80]Sch C'!F158</f>
        <v>0</v>
      </c>
      <c r="E162" s="480">
        <f>+'[80]Sch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'[80]Sch C'!D159</f>
        <v>0</v>
      </c>
      <c r="D163" s="480">
        <f>'[80]Sch C'!F159</f>
        <v>0</v>
      </c>
      <c r="E163" s="480">
        <f>+'[80]Sch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'[80]Sch C'!D160</f>
        <v>0</v>
      </c>
      <c r="D164" s="480">
        <f>'[80]Sch C'!F160</f>
        <v>0</v>
      </c>
      <c r="E164" s="480">
        <f>+'[80]Sch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'[80]Sch C'!D161</f>
        <v>246</v>
      </c>
      <c r="D165" s="480">
        <f>'[80]Sch C'!F161</f>
        <v>0</v>
      </c>
      <c r="E165" s="480">
        <f>+'[80]Sch C'!H161</f>
        <v>0</v>
      </c>
      <c r="F165" s="166">
        <f t="shared" si="53"/>
        <v>246</v>
      </c>
      <c r="G165" s="626"/>
      <c r="H165" s="166"/>
      <c r="I165" s="166">
        <f t="shared" si="54"/>
        <v>246</v>
      </c>
      <c r="J165" s="167">
        <f t="shared" si="55"/>
        <v>5.5685097603978901E-5</v>
      </c>
      <c r="K165" s="571"/>
      <c r="L165" s="163"/>
      <c r="M165" s="163"/>
      <c r="O165" s="329">
        <f t="shared" si="43"/>
        <v>1.7975886006576545E-2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1426857</v>
      </c>
      <c r="D166" s="480">
        <f t="shared" si="56"/>
        <v>193086</v>
      </c>
      <c r="E166" s="480">
        <f t="shared" si="56"/>
        <v>0</v>
      </c>
      <c r="F166" s="166">
        <f t="shared" ref="F166:I166" si="57">SUM(F128:F165)</f>
        <v>1619943</v>
      </c>
      <c r="G166" s="166">
        <f t="shared" si="57"/>
        <v>0</v>
      </c>
      <c r="H166" s="166">
        <f t="shared" si="57"/>
        <v>0</v>
      </c>
      <c r="I166" s="166">
        <f t="shared" si="57"/>
        <v>1619943</v>
      </c>
      <c r="J166" s="167">
        <f t="shared" si="55"/>
        <v>0.36669383767431868</v>
      </c>
      <c r="K166" s="458"/>
      <c r="L166" s="163"/>
      <c r="M166" s="163"/>
      <c r="O166" s="329">
        <f>I166/I$233</f>
        <v>118.37362075264889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'[80]Sch C'!D175</f>
        <v>0</v>
      </c>
      <c r="D169" s="480">
        <f>'[80]Sch C'!F175</f>
        <v>0</v>
      </c>
      <c r="E169" s="480">
        <f>+'[80]Sch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'[80]Sch C'!D176</f>
        <v>0</v>
      </c>
      <c r="D170" s="480">
        <f>'[80]Sch C'!F176</f>
        <v>0</v>
      </c>
      <c r="E170" s="480">
        <f>+'[80]Sch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'[80]Sch C'!D177</f>
        <v>259350</v>
      </c>
      <c r="D171" s="480">
        <f>'[80]Sch C'!F177</f>
        <v>0</v>
      </c>
      <c r="E171" s="480">
        <f>+'[80]Sch C'!H177</f>
        <v>0</v>
      </c>
      <c r="F171" s="166">
        <f t="shared" si="58"/>
        <v>259350</v>
      </c>
      <c r="G171" s="626"/>
      <c r="H171" s="166"/>
      <c r="I171" s="166">
        <f t="shared" si="59"/>
        <v>259350</v>
      </c>
      <c r="J171" s="167">
        <f t="shared" si="60"/>
        <v>5.870703277882898E-2</v>
      </c>
      <c r="K171" s="468"/>
      <c r="L171" s="176">
        <v>10645</v>
      </c>
      <c r="M171" s="176">
        <v>11426</v>
      </c>
      <c r="N171" s="208"/>
      <c r="O171" s="329">
        <f t="shared" si="61"/>
        <v>18.95140664961637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'[80]Sch C'!D178</f>
        <v>0</v>
      </c>
      <c r="D172" s="480">
        <f>'[80]Sch C'!F178</f>
        <v>39150</v>
      </c>
      <c r="E172" s="480">
        <f>+'[80]Sch C'!H178</f>
        <v>0</v>
      </c>
      <c r="F172" s="166">
        <f t="shared" si="58"/>
        <v>39150</v>
      </c>
      <c r="G172" s="626"/>
      <c r="H172" s="166"/>
      <c r="I172" s="166">
        <f t="shared" si="59"/>
        <v>39150</v>
      </c>
      <c r="J172" s="167">
        <f t="shared" si="60"/>
        <v>8.8620795577063986E-3</v>
      </c>
      <c r="K172" s="469"/>
      <c r="L172" s="212"/>
      <c r="M172" s="212"/>
      <c r="N172" s="208"/>
      <c r="O172" s="329">
        <f t="shared" si="61"/>
        <v>2.8607964925100475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'[80]Sch C'!D179</f>
        <v>37227</v>
      </c>
      <c r="D173" s="480">
        <f>'[80]Sch C'!F179</f>
        <v>0</v>
      </c>
      <c r="E173" s="480">
        <f>+'[80]Sch C'!H179</f>
        <v>0</v>
      </c>
      <c r="F173" s="166">
        <f t="shared" si="58"/>
        <v>37227</v>
      </c>
      <c r="G173" s="626"/>
      <c r="H173" s="166"/>
      <c r="I173" s="166">
        <f t="shared" si="59"/>
        <v>37227</v>
      </c>
      <c r="J173" s="167">
        <f t="shared" si="60"/>
        <v>8.426785075216759E-3</v>
      </c>
      <c r="K173" s="468"/>
      <c r="L173" s="176">
        <v>930</v>
      </c>
      <c r="M173" s="176">
        <v>1062</v>
      </c>
      <c r="N173" s="208"/>
      <c r="O173" s="329">
        <f t="shared" si="61"/>
        <v>2.7202776762879064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'[80]Sch C'!D180</f>
        <v>0</v>
      </c>
      <c r="D174" s="480">
        <f>'[80]Sch C'!F180</f>
        <v>5620</v>
      </c>
      <c r="E174" s="480">
        <f>+'[80]Sch C'!H180</f>
        <v>0</v>
      </c>
      <c r="F174" s="166">
        <f t="shared" si="58"/>
        <v>5620</v>
      </c>
      <c r="G174" s="626"/>
      <c r="H174" s="166"/>
      <c r="I174" s="166">
        <f t="shared" si="59"/>
        <v>5620</v>
      </c>
      <c r="J174" s="167">
        <f t="shared" si="60"/>
        <v>1.2721554818469977E-3</v>
      </c>
      <c r="K174" s="469"/>
      <c r="L174" s="212"/>
      <c r="M174" s="212"/>
      <c r="N174" s="208"/>
      <c r="O174" s="329">
        <f t="shared" si="61"/>
        <v>0.41066861527219584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'[80]Sch C'!D181</f>
        <v>0</v>
      </c>
      <c r="D175" s="480">
        <f>'[80]Sch C'!F181</f>
        <v>0</v>
      </c>
      <c r="E175" s="480">
        <f>+'[80]Sch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'[80]Sch C'!D182</f>
        <v>0</v>
      </c>
      <c r="D176" s="480">
        <f>'[80]Sch C'!F182</f>
        <v>0</v>
      </c>
      <c r="E176" s="480">
        <f>+'[80]Sch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'[80]Sch C'!D183</f>
        <v>251323</v>
      </c>
      <c r="D177" s="480">
        <f>'[80]Sch C'!F183</f>
        <v>0</v>
      </c>
      <c r="E177" s="480">
        <f>+'[80]Sch C'!H183</f>
        <v>0</v>
      </c>
      <c r="F177" s="166">
        <f t="shared" si="58"/>
        <v>251323</v>
      </c>
      <c r="G177" s="626"/>
      <c r="H177" s="166"/>
      <c r="I177" s="166">
        <f t="shared" si="59"/>
        <v>251323</v>
      </c>
      <c r="J177" s="167">
        <f t="shared" si="60"/>
        <v>5.6890023516767439E-2</v>
      </c>
      <c r="K177" s="468"/>
      <c r="L177" s="176">
        <v>8546</v>
      </c>
      <c r="M177" s="176">
        <v>9295</v>
      </c>
      <c r="N177" s="208"/>
      <c r="O177" s="329">
        <f t="shared" si="61"/>
        <v>18.364852027767629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'[80]Sch C'!D184</f>
        <v>0</v>
      </c>
      <c r="D178" s="480">
        <f>'[80]Sch C'!F184</f>
        <v>37938</v>
      </c>
      <c r="E178" s="480">
        <f>+'[80]Sch C'!H184</f>
        <v>0</v>
      </c>
      <c r="F178" s="166">
        <f t="shared" si="58"/>
        <v>37938</v>
      </c>
      <c r="G178" s="626"/>
      <c r="H178" s="166"/>
      <c r="I178" s="166">
        <f t="shared" si="59"/>
        <v>37938</v>
      </c>
      <c r="J178" s="167">
        <f t="shared" si="60"/>
        <v>8.5877285890233815E-3</v>
      </c>
      <c r="K178" s="469"/>
      <c r="L178" s="212"/>
      <c r="M178" s="212"/>
      <c r="N178" s="208"/>
      <c r="O178" s="329">
        <f t="shared" si="61"/>
        <v>2.7722323712093533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'[80]Sch C'!D185</f>
        <v>0</v>
      </c>
      <c r="D179" s="480">
        <f>'[80]Sch C'!F185</f>
        <v>0</v>
      </c>
      <c r="E179" s="480">
        <f>+'[80]Sch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'[80]Sch C'!D186</f>
        <v>0</v>
      </c>
      <c r="D180" s="480">
        <f>'[80]Sch C'!F186</f>
        <v>0</v>
      </c>
      <c r="E180" s="480">
        <f>+'[80]Sch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'[80]Sch C'!D187</f>
        <v>0</v>
      </c>
      <c r="D181" s="480">
        <f>'[80]Sch C'!F187</f>
        <v>0</v>
      </c>
      <c r="E181" s="480">
        <f>+'[80]Sch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'[80]Sch C'!D188</f>
        <v>8543</v>
      </c>
      <c r="D182" s="480">
        <f>'[80]Sch C'!F188</f>
        <v>0</v>
      </c>
      <c r="E182" s="480">
        <f>+'[80]Sch C'!H188</f>
        <v>0</v>
      </c>
      <c r="F182" s="166">
        <f t="shared" si="58"/>
        <v>8543</v>
      </c>
      <c r="G182" s="626">
        <v>-124</v>
      </c>
      <c r="H182" s="166"/>
      <c r="I182" s="166">
        <f t="shared" si="59"/>
        <v>8419</v>
      </c>
      <c r="J182" s="167">
        <f t="shared" si="60"/>
        <v>1.9057432387312942E-3</v>
      </c>
      <c r="K182" s="458"/>
      <c r="L182" s="213"/>
      <c r="M182" s="208"/>
      <c r="N182" s="210"/>
      <c r="O182" s="329">
        <f t="shared" si="61"/>
        <v>0.6151991231275119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'[80]Sch C'!D189</f>
        <v>0</v>
      </c>
      <c r="D183" s="480">
        <f>'[80]Sch C'!F189</f>
        <v>0</v>
      </c>
      <c r="E183" s="480">
        <f>+'[80]Sch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'[80]Sch C'!D190</f>
        <v>0</v>
      </c>
      <c r="D184" s="480">
        <f>'[80]Sch C'!F190</f>
        <v>0</v>
      </c>
      <c r="E184" s="480">
        <f>+'[80]Sch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'[80]Sch C'!D191</f>
        <v>360</v>
      </c>
      <c r="D185" s="480">
        <f>'[80]Sch C'!F191</f>
        <v>0</v>
      </c>
      <c r="E185" s="480">
        <f>+'[80]Sch C'!H191</f>
        <v>0</v>
      </c>
      <c r="F185" s="166">
        <f t="shared" si="58"/>
        <v>360</v>
      </c>
      <c r="G185" s="626"/>
      <c r="H185" s="166"/>
      <c r="I185" s="166">
        <f t="shared" si="59"/>
        <v>360</v>
      </c>
      <c r="J185" s="167">
        <f t="shared" si="60"/>
        <v>8.149038673753011E-5</v>
      </c>
      <c r="K185" s="458"/>
      <c r="L185" s="213"/>
      <c r="M185" s="208"/>
      <c r="N185" s="210"/>
      <c r="O185" s="329">
        <f t="shared" si="61"/>
        <v>2.6306174643770552E-2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'[80]Sch C'!D192</f>
        <v>0</v>
      </c>
      <c r="D186" s="480">
        <f>'[80]Sch C'!F192</f>
        <v>0</v>
      </c>
      <c r="E186" s="480">
        <f>+'[80]Sch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'[80]Sch C'!D193</f>
        <v>0</v>
      </c>
      <c r="D187" s="480">
        <f>'[80]Sch C'!F193</f>
        <v>0</v>
      </c>
      <c r="E187" s="480">
        <f>+'[80]Sch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'[80]Sch C'!D194</f>
        <v>1813</v>
      </c>
      <c r="D188" s="480">
        <f>'[80]Sch C'!F194</f>
        <v>0</v>
      </c>
      <c r="E188" s="480">
        <f>+'[80]Sch C'!H194</f>
        <v>0</v>
      </c>
      <c r="F188" s="166">
        <f t="shared" si="58"/>
        <v>1813</v>
      </c>
      <c r="G188" s="626"/>
      <c r="H188" s="166"/>
      <c r="I188" s="166">
        <f t="shared" si="59"/>
        <v>1813</v>
      </c>
      <c r="J188" s="167">
        <f t="shared" si="60"/>
        <v>4.103946420976169E-4</v>
      </c>
      <c r="K188" s="458"/>
      <c r="L188" s="213"/>
      <c r="M188" s="208"/>
      <c r="O188" s="329">
        <f t="shared" si="61"/>
        <v>0.13248081841432224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'[80]Sch C'!D195</f>
        <v>0</v>
      </c>
      <c r="D189" s="480">
        <f>'[80]Sch C'!F195</f>
        <v>0</v>
      </c>
      <c r="E189" s="480">
        <f>+'[80]Sch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'[80]Sch C'!D196</f>
        <v>0</v>
      </c>
      <c r="D190" s="480">
        <f>'[80]Sch C'!F196</f>
        <v>0</v>
      </c>
      <c r="E190" s="480">
        <f>+'[80]Sch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'[80]Sch C'!D197</f>
        <v>0</v>
      </c>
      <c r="D191" s="480">
        <f>'[80]Sch C'!F197</f>
        <v>0</v>
      </c>
      <c r="E191" s="480">
        <f>+'[80]Sch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'[80]Sch C'!D198</f>
        <v>59881</v>
      </c>
      <c r="D192" s="480">
        <f>'[80]Sch C'!F198</f>
        <v>0</v>
      </c>
      <c r="E192" s="480">
        <f>+'[80]Sch C'!H198</f>
        <v>0</v>
      </c>
      <c r="F192" s="166">
        <f t="shared" si="58"/>
        <v>59881</v>
      </c>
      <c r="G192" s="626"/>
      <c r="H192" s="166"/>
      <c r="I192" s="166">
        <f t="shared" si="59"/>
        <v>59881</v>
      </c>
      <c r="J192" s="167">
        <f t="shared" si="60"/>
        <v>1.3554794022861222E-2</v>
      </c>
      <c r="K192" s="458"/>
      <c r="L192" s="213"/>
      <c r="M192" s="208"/>
      <c r="O192" s="329">
        <f t="shared" si="61"/>
        <v>4.3756667884545122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'[80]Sch C'!D199</f>
        <v>0</v>
      </c>
      <c r="D193" s="480">
        <f>'[80]Sch C'!F199</f>
        <v>0</v>
      </c>
      <c r="E193" s="480">
        <f>+'[80]Sch C'!H199</f>
        <v>0</v>
      </c>
      <c r="F193" s="166">
        <f t="shared" si="58"/>
        <v>0</v>
      </c>
      <c r="G193" s="626">
        <v>124</v>
      </c>
      <c r="H193" s="166"/>
      <c r="I193" s="166">
        <f t="shared" si="59"/>
        <v>124</v>
      </c>
      <c r="J193" s="167">
        <f t="shared" si="60"/>
        <v>2.8068910987371479E-5</v>
      </c>
      <c r="K193" s="458"/>
      <c r="L193" s="213"/>
      <c r="M193" s="208"/>
      <c r="O193" s="329">
        <f t="shared" si="61"/>
        <v>9.0610157106320796E-3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'[80]Sch C'!D200</f>
        <v>0</v>
      </c>
      <c r="D194" s="480">
        <f>'[80]Sch C'!F200</f>
        <v>0</v>
      </c>
      <c r="E194" s="480">
        <f>+'[80]Sch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57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'[80]Sch C'!D201</f>
        <v>0</v>
      </c>
      <c r="D195" s="480">
        <f>'[80]Sch C'!F201</f>
        <v>0</v>
      </c>
      <c r="E195" s="480">
        <f>+'[80]Sch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'[80]Sch C'!D202</f>
        <v>0</v>
      </c>
      <c r="D196" s="480">
        <f>'[80]Sch C'!F202</f>
        <v>0</v>
      </c>
      <c r="E196" s="480">
        <f>+'[80]Sch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'[80]Sch C'!D203</f>
        <v>0</v>
      </c>
      <c r="D197" s="480">
        <f>'[80]Sch C'!F203</f>
        <v>0</v>
      </c>
      <c r="E197" s="480">
        <f>+'[80]Sch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'[80]Sch C'!D204</f>
        <v>0</v>
      </c>
      <c r="D198" s="480">
        <f>'[80]Sch C'!F204</f>
        <v>0</v>
      </c>
      <c r="E198" s="480">
        <f>+'[80]Sch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'[80]Sch C'!D205</f>
        <v>292937</v>
      </c>
      <c r="D199" s="480">
        <f>'[80]Sch C'!F205</f>
        <v>0</v>
      </c>
      <c r="E199" s="480">
        <f>+'[80]Sch C'!H205</f>
        <v>0</v>
      </c>
      <c r="F199" s="166">
        <f t="shared" si="58"/>
        <v>292937</v>
      </c>
      <c r="G199" s="626"/>
      <c r="H199" s="166"/>
      <c r="I199" s="166">
        <f t="shared" si="59"/>
        <v>292937</v>
      </c>
      <c r="J199" s="167">
        <f t="shared" si="60"/>
        <v>6.630985949925515E-2</v>
      </c>
      <c r="K199" s="458"/>
      <c r="L199" s="213"/>
      <c r="M199" s="208"/>
      <c r="O199" s="329">
        <f t="shared" si="61"/>
        <v>21.405699671172815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'[80]Sch C'!D206</f>
        <v>23281</v>
      </c>
      <c r="D200" s="480">
        <f>'[80]Sch C'!F206</f>
        <v>0</v>
      </c>
      <c r="E200" s="480">
        <f>+'[80]Sch C'!H206</f>
        <v>0</v>
      </c>
      <c r="F200" s="166">
        <f t="shared" si="58"/>
        <v>23281</v>
      </c>
      <c r="G200" s="626"/>
      <c r="H200" s="166"/>
      <c r="I200" s="166">
        <f t="shared" si="59"/>
        <v>23281</v>
      </c>
      <c r="J200" s="167">
        <f t="shared" si="60"/>
        <v>5.2699380378789951E-3</v>
      </c>
      <c r="K200" s="458"/>
      <c r="L200" s="213"/>
      <c r="M200" s="208"/>
      <c r="O200" s="329">
        <f t="shared" si="61"/>
        <v>1.7012056996711729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'[80]Sch C'!D207</f>
        <v>0</v>
      </c>
      <c r="D201" s="480">
        <f>'[80]Sch C'!F207</f>
        <v>0</v>
      </c>
      <c r="E201" s="480">
        <f>+'[80]Sch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934715</v>
      </c>
      <c r="D202" s="480">
        <f t="shared" si="62"/>
        <v>82708</v>
      </c>
      <c r="E202" s="480">
        <f t="shared" si="62"/>
        <v>0</v>
      </c>
      <c r="F202" s="166">
        <f t="shared" ref="F202:I202" si="63">SUM(F169:F201)</f>
        <v>1017423</v>
      </c>
      <c r="G202" s="166">
        <f t="shared" si="63"/>
        <v>0</v>
      </c>
      <c r="H202" s="166">
        <f t="shared" si="63"/>
        <v>0</v>
      </c>
      <c r="I202" s="166">
        <f t="shared" si="63"/>
        <v>1017423</v>
      </c>
      <c r="J202" s="167">
        <f>IF($I$213=0,0,I202/$I$213)</f>
        <v>0.23030609373793914</v>
      </c>
      <c r="K202" s="458"/>
      <c r="L202" s="163"/>
      <c r="M202" s="163"/>
      <c r="O202" s="329">
        <f>I202/I$233</f>
        <v>74.345853123858234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'[80]Sch C'!D211</f>
        <v>50401</v>
      </c>
      <c r="D205" s="480">
        <f>'[80]Sch C'!F211</f>
        <v>0</v>
      </c>
      <c r="E205" s="480">
        <f>+'[80]Sch C'!H211</f>
        <v>0</v>
      </c>
      <c r="F205" s="166">
        <f t="shared" ref="F205:F210" si="64">C205+D205+E205</f>
        <v>50401</v>
      </c>
      <c r="G205" s="626"/>
      <c r="H205" s="166"/>
      <c r="I205" s="166">
        <f t="shared" ref="I205:I210" si="65">F205+G205+H205</f>
        <v>50401</v>
      </c>
      <c r="J205" s="167">
        <f t="shared" ref="J205:J211" si="66">IF($I$213=0,0,I205/$I$213)</f>
        <v>1.1408880505439596E-2</v>
      </c>
      <c r="K205" s="458"/>
      <c r="L205" s="176">
        <v>3104</v>
      </c>
      <c r="M205" s="176">
        <v>3278</v>
      </c>
      <c r="O205" s="329">
        <f t="shared" ref="O205:O210" si="67">I205/I$233</f>
        <v>3.6829375228352212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'[80]Sch C'!D212</f>
        <v>0</v>
      </c>
      <c r="D206" s="480">
        <f>'[80]Sch C'!F212</f>
        <v>7608</v>
      </c>
      <c r="E206" s="480">
        <f>+'[80]Sch C'!H212</f>
        <v>0</v>
      </c>
      <c r="F206" s="166">
        <f t="shared" si="64"/>
        <v>7608</v>
      </c>
      <c r="G206" s="626"/>
      <c r="H206" s="166"/>
      <c r="I206" s="166">
        <f t="shared" si="65"/>
        <v>7608</v>
      </c>
      <c r="J206" s="167">
        <f t="shared" si="66"/>
        <v>1.7221635063864695E-3</v>
      </c>
      <c r="K206" s="458"/>
      <c r="L206" s="163"/>
      <c r="M206" s="163"/>
      <c r="O206" s="329">
        <f t="shared" si="67"/>
        <v>0.55593715747168437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'[80]Sch C'!D213</f>
        <v>5920</v>
      </c>
      <c r="D207" s="480">
        <f>'[80]Sch C'!F213</f>
        <v>0</v>
      </c>
      <c r="E207" s="480">
        <f>+'[80]Sch C'!H213</f>
        <v>0</v>
      </c>
      <c r="F207" s="166">
        <f t="shared" si="64"/>
        <v>5920</v>
      </c>
      <c r="G207" s="626"/>
      <c r="H207" s="166"/>
      <c r="I207" s="166">
        <f t="shared" si="65"/>
        <v>5920</v>
      </c>
      <c r="J207" s="167">
        <f t="shared" si="66"/>
        <v>1.3400641374616061E-3</v>
      </c>
      <c r="K207" s="458"/>
      <c r="L207" s="163"/>
      <c r="M207" s="163"/>
      <c r="O207" s="329">
        <f t="shared" si="67"/>
        <v>0.43259042747533794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'[80]Sch C'!D214</f>
        <v>0</v>
      </c>
      <c r="D208" s="480">
        <f>'[80]Sch C'!F214</f>
        <v>0</v>
      </c>
      <c r="E208" s="480">
        <f>+'[80]Sch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'[80]Sch C'!D215</f>
        <v>0</v>
      </c>
      <c r="D209" s="480">
        <f>'[80]Sch C'!F215</f>
        <v>0</v>
      </c>
      <c r="E209" s="480">
        <f>+'[80]Sch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'[80]Sch C'!D216</f>
        <v>3013</v>
      </c>
      <c r="D210" s="480">
        <f>'[80]Sch C'!F216</f>
        <v>0</v>
      </c>
      <c r="E210" s="480">
        <f>+'[80]Sch C'!H216</f>
        <v>0</v>
      </c>
      <c r="F210" s="166">
        <f t="shared" si="64"/>
        <v>3013</v>
      </c>
      <c r="G210" s="626"/>
      <c r="H210" s="166"/>
      <c r="I210" s="166">
        <f t="shared" si="65"/>
        <v>3013</v>
      </c>
      <c r="J210" s="167">
        <f t="shared" si="66"/>
        <v>6.8202926455605058E-4</v>
      </c>
      <c r="K210" s="458"/>
      <c r="L210" s="163"/>
      <c r="M210" s="163"/>
      <c r="O210" s="329">
        <f t="shared" si="67"/>
        <v>0.22016806722689075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59334</v>
      </c>
      <c r="D211" s="480">
        <f t="shared" si="68"/>
        <v>7608</v>
      </c>
      <c r="E211" s="480">
        <f t="shared" si="68"/>
        <v>0</v>
      </c>
      <c r="F211" s="166">
        <f t="shared" ref="F211:I211" si="69">SUM(F205:F210)</f>
        <v>66942</v>
      </c>
      <c r="G211" s="166">
        <f t="shared" si="69"/>
        <v>0</v>
      </c>
      <c r="H211" s="166">
        <f t="shared" si="69"/>
        <v>0</v>
      </c>
      <c r="I211" s="166">
        <f t="shared" si="69"/>
        <v>66942</v>
      </c>
      <c r="J211" s="167">
        <f t="shared" si="66"/>
        <v>1.5153137413843722E-2</v>
      </c>
      <c r="K211" s="458"/>
      <c r="L211" s="163"/>
      <c r="M211" s="163"/>
      <c r="O211" s="329">
        <f>I211/I$233</f>
        <v>4.891633175009134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4580861</v>
      </c>
      <c r="D213" s="480">
        <f t="shared" si="70"/>
        <v>-11067</v>
      </c>
      <c r="E213" s="480">
        <f t="shared" si="70"/>
        <v>-121820</v>
      </c>
      <c r="F213" s="166">
        <f t="shared" ref="F213:I213" si="71">SUM(F30:F211)/2</f>
        <v>4447974</v>
      </c>
      <c r="G213" s="166">
        <f t="shared" si="71"/>
        <v>-30275</v>
      </c>
      <c r="H213" s="166">
        <f t="shared" si="71"/>
        <v>0</v>
      </c>
      <c r="I213" s="166">
        <f t="shared" si="71"/>
        <v>4417699</v>
      </c>
      <c r="J213" s="167">
        <f>IF($I$213=0,0,I213/$I$213)</f>
        <v>1</v>
      </c>
      <c r="K213" s="458"/>
      <c r="L213" s="176">
        <f>SUM(L30:L205)</f>
        <v>123014</v>
      </c>
      <c r="M213" s="176">
        <f>SUM(M30:M205)</f>
        <v>129732</v>
      </c>
      <c r="O213" s="329">
        <f>I213/I$233</f>
        <v>322.81322616002922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'[80]Sch C'!D221</f>
        <v>4580861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484896</v>
      </c>
      <c r="D220" s="480">
        <f t="shared" si="72"/>
        <v>11067</v>
      </c>
      <c r="E220" s="480">
        <f t="shared" si="72"/>
        <v>121820</v>
      </c>
      <c r="F220" s="166">
        <f t="shared" ref="F220:I220" si="73">F26-F213</f>
        <v>617783</v>
      </c>
      <c r="G220" s="166">
        <f t="shared" si="73"/>
        <v>-250947</v>
      </c>
      <c r="H220" s="166">
        <f t="shared" si="73"/>
        <v>0</v>
      </c>
      <c r="I220" s="166">
        <f t="shared" si="73"/>
        <v>366836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'[80]Sch D'!C9</f>
        <v>4190</v>
      </c>
      <c r="D224" s="480"/>
      <c r="E224" s="480"/>
      <c r="F224" s="224">
        <f>C224+D224+E224</f>
        <v>4190</v>
      </c>
      <c r="G224" s="627"/>
      <c r="H224" s="223"/>
      <c r="I224" s="224">
        <f>F224+G224+H224</f>
        <v>4190</v>
      </c>
      <c r="J224" s="167">
        <f t="shared" ref="J224:J233" si="74">IF($I$233=0,0,I224/$I$233)</f>
        <v>0.3061746437705517</v>
      </c>
      <c r="K224" s="458"/>
      <c r="L224" s="163"/>
      <c r="M224" s="163"/>
    </row>
    <row r="225" spans="1:13">
      <c r="A225" s="158"/>
      <c r="B225" s="165" t="s">
        <v>201</v>
      </c>
      <c r="C225" s="504">
        <f>'[80]Sch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'[80]Sch D'!E9</f>
        <v>4389</v>
      </c>
      <c r="D226" s="480"/>
      <c r="E226" s="480"/>
      <c r="F226" s="224">
        <f t="shared" si="75"/>
        <v>4389</v>
      </c>
      <c r="G226" s="627"/>
      <c r="H226" s="223"/>
      <c r="I226" s="224">
        <f t="shared" si="76"/>
        <v>4389</v>
      </c>
      <c r="J226" s="167">
        <f t="shared" si="74"/>
        <v>0.3207161125319693</v>
      </c>
      <c r="K226" s="458"/>
      <c r="L226" s="163"/>
      <c r="M226" s="163"/>
    </row>
    <row r="227" spans="1:13">
      <c r="A227" s="158"/>
      <c r="B227" s="194" t="s">
        <v>315</v>
      </c>
      <c r="C227" s="504">
        <f>'[80]Sch D'!F9</f>
        <v>3732</v>
      </c>
      <c r="D227" s="480"/>
      <c r="E227" s="480"/>
      <c r="F227" s="224">
        <f t="shared" si="75"/>
        <v>3732</v>
      </c>
      <c r="G227" s="627"/>
      <c r="H227" s="223"/>
      <c r="I227" s="224">
        <f t="shared" si="76"/>
        <v>3732</v>
      </c>
      <c r="J227" s="167">
        <f t="shared" si="74"/>
        <v>0.27270734380708805</v>
      </c>
      <c r="K227" s="458"/>
      <c r="L227" s="163"/>
      <c r="M227" s="163"/>
    </row>
    <row r="228" spans="1:13">
      <c r="A228" s="158"/>
      <c r="B228" s="165" t="s">
        <v>65</v>
      </c>
      <c r="C228" s="504">
        <f>'[80]Sch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'[80]Sch D'!H9</f>
        <v>1144</v>
      </c>
      <c r="D229" s="480"/>
      <c r="E229" s="480"/>
      <c r="F229" s="224">
        <f t="shared" si="75"/>
        <v>1144</v>
      </c>
      <c r="G229" s="627"/>
      <c r="H229" s="223"/>
      <c r="I229" s="224">
        <f t="shared" si="76"/>
        <v>1144</v>
      </c>
      <c r="J229" s="167">
        <f t="shared" si="74"/>
        <v>8.3595177201315304E-2</v>
      </c>
      <c r="K229" s="458"/>
      <c r="L229" s="163"/>
      <c r="M229" s="163"/>
    </row>
    <row r="230" spans="1:13">
      <c r="A230" s="158"/>
      <c r="B230" s="165" t="s">
        <v>219</v>
      </c>
      <c r="C230" s="504">
        <f>'[80]Sch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'[80]Sch D'!J9</f>
        <v>230</v>
      </c>
      <c r="D231" s="480"/>
      <c r="E231" s="480"/>
      <c r="F231" s="224">
        <f t="shared" si="75"/>
        <v>230</v>
      </c>
      <c r="G231" s="627"/>
      <c r="H231" s="223"/>
      <c r="I231" s="224">
        <f t="shared" si="76"/>
        <v>230</v>
      </c>
      <c r="J231" s="167">
        <f>IF($I$233=0,0,I231/$I$233)</f>
        <v>1.680672268907563E-2</v>
      </c>
      <c r="K231" s="458"/>
      <c r="L231" s="163"/>
      <c r="M231" s="163"/>
    </row>
    <row r="232" spans="1:13">
      <c r="A232" s="158"/>
      <c r="B232" s="165" t="s">
        <v>170</v>
      </c>
      <c r="C232" s="504">
        <f>'[80]Sch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13685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13685</v>
      </c>
      <c r="G233" s="226">
        <f t="shared" si="78"/>
        <v>0</v>
      </c>
      <c r="H233" s="226">
        <f t="shared" si="78"/>
        <v>0</v>
      </c>
      <c r="I233" s="226">
        <f t="shared" si="78"/>
        <v>13685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440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'[80]Sch D'!N22</f>
        <v>119</v>
      </c>
      <c r="D236" s="480"/>
      <c r="E236" s="480"/>
      <c r="F236" s="224">
        <f>C236+E236</f>
        <v>119</v>
      </c>
      <c r="G236" s="627"/>
      <c r="H236" s="224"/>
      <c r="I236" s="224">
        <f>F236+G236+H236</f>
        <v>119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'[80]Sch D'!N24</f>
        <v>81</v>
      </c>
      <c r="D237" s="480"/>
      <c r="E237" s="480"/>
      <c r="F237" s="224">
        <f>C237+E237</f>
        <v>81</v>
      </c>
      <c r="G237" s="627"/>
      <c r="H237" s="441"/>
      <c r="I237" s="224">
        <f>F237+G237+H237</f>
        <v>81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202</v>
      </c>
      <c r="D238" s="427"/>
      <c r="E238" s="427"/>
      <c r="F238" s="224">
        <f>C238+E238</f>
        <v>202</v>
      </c>
      <c r="G238" s="627"/>
      <c r="H238" s="228"/>
      <c r="I238" s="224">
        <f>F238+G238+H238</f>
        <v>202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'[80]Sch D'!N28</f>
        <v>24038</v>
      </c>
      <c r="D240" s="427"/>
      <c r="E240" s="427"/>
      <c r="F240" s="223">
        <f>F236*F238</f>
        <v>24038</v>
      </c>
      <c r="G240"/>
      <c r="H240" s="228"/>
      <c r="I240" s="223">
        <f>I236*I238</f>
        <v>24038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'[80]Sch D'!N30</f>
        <v>0.56930693069306926</v>
      </c>
      <c r="D241" s="228"/>
      <c r="E241" s="228"/>
      <c r="F241" s="232">
        <f>F233/F240</f>
        <v>0.56930693069306926</v>
      </c>
      <c r="G241"/>
      <c r="H241" s="233"/>
      <c r="I241" s="232">
        <f>I233/I240</f>
        <v>0.56930693069306926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'[80]Sch D'!N32</f>
        <v>0.17430734670105666</v>
      </c>
      <c r="D242" s="228"/>
      <c r="E242" s="228"/>
      <c r="F242" s="232">
        <f>(F224+F225)/F240</f>
        <v>0.17430734670105666</v>
      </c>
      <c r="G242"/>
      <c r="H242" s="233"/>
      <c r="I242" s="232">
        <f>(I224+I225)/I240</f>
        <v>0.17430734670105666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'[80]Sch D'!N34</f>
        <v>0.3061746437705517</v>
      </c>
      <c r="D243" s="228"/>
      <c r="E243" s="228"/>
      <c r="F243" s="232">
        <f>(F242/F241)</f>
        <v>0.3061746437705517</v>
      </c>
      <c r="G243"/>
      <c r="H243" s="233"/>
      <c r="I243" s="232">
        <f>(I242/I241)</f>
        <v>0.3061746437705517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B247" s="528"/>
      <c r="H247" s="140" t="s">
        <v>322</v>
      </c>
      <c r="I247" s="480">
        <f>'[80]Sch B'!E90</f>
        <v>213.63636363636363</v>
      </c>
      <c r="K247" s="460"/>
    </row>
    <row r="248" spans="1:13" ht="14">
      <c r="B248" s="529"/>
      <c r="H248" s="140" t="s">
        <v>323</v>
      </c>
      <c r="I248" s="480">
        <f>'[80]Sch B'!G90</f>
        <v>213.63636363636363</v>
      </c>
      <c r="K248" s="460"/>
    </row>
    <row r="249" spans="1:13" ht="14">
      <c r="B249" s="529"/>
      <c r="H249" s="140" t="s">
        <v>324</v>
      </c>
      <c r="I249" s="480">
        <f>'[80]Sch B'!I90</f>
        <v>213.63636363636365</v>
      </c>
      <c r="K249" s="460"/>
    </row>
    <row r="250" spans="1:13" ht="14">
      <c r="B250" s="529"/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234" t="s">
        <v>565</v>
      </c>
      <c r="F1" s="419"/>
      <c r="G1" s="419"/>
      <c r="I1" s="419"/>
      <c r="J1" s="419"/>
      <c r="K1" s="459"/>
    </row>
    <row r="2" spans="1:16" ht="23">
      <c r="B2" s="141" t="s">
        <v>178</v>
      </c>
      <c r="C2" s="234" t="s">
        <v>575</v>
      </c>
      <c r="D2" s="234"/>
      <c r="F2" s="142"/>
      <c r="G2" s="142"/>
      <c r="H2" s="485"/>
    </row>
    <row r="3" spans="1:16" ht="15.5">
      <c r="A3" s="143"/>
      <c r="B3" s="138" t="s">
        <v>71</v>
      </c>
      <c r="C3" s="557">
        <f>'[81]Sch A Pg 1'!B39</f>
        <v>42917</v>
      </c>
      <c r="D3"/>
      <c r="E3" s="360"/>
      <c r="F3" s="144"/>
      <c r="G3" s="144"/>
      <c r="H3"/>
    </row>
    <row r="4" spans="1:16" ht="15.5">
      <c r="A4" s="143"/>
      <c r="B4" s="145" t="s">
        <v>72</v>
      </c>
      <c r="C4" s="557">
        <f>'[81]Sch A Pg 1'!G39</f>
        <v>43079</v>
      </c>
      <c r="D4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'[81]Sch B'!E10</f>
        <v>375491</v>
      </c>
      <c r="D12" s="480">
        <f>'[81]Sch B'!G10</f>
        <v>0</v>
      </c>
      <c r="E12" s="480"/>
      <c r="F12" s="166">
        <f>C12+D12+E12</f>
        <v>375491</v>
      </c>
      <c r="G12" s="626"/>
      <c r="H12" s="166"/>
      <c r="I12" s="166">
        <f>F12+G12+H12</f>
        <v>375491</v>
      </c>
      <c r="J12" s="167">
        <f>IF($I$26=0,0,I12/$I$26)</f>
        <v>0.33293994346535388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'[81]Sch B'!E12</f>
        <v>17694</v>
      </c>
      <c r="D13" s="480">
        <f>'[81]Sch B'!G12</f>
        <v>0</v>
      </c>
      <c r="E13" s="480"/>
      <c r="F13" s="166">
        <f t="shared" ref="F13:F25" si="0">C13+D13+E13</f>
        <v>17694</v>
      </c>
      <c r="G13" s="626">
        <v>-17694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'[81]Sch B'!E13</f>
        <v>930</v>
      </c>
      <c r="D14" s="480">
        <f>'[81]Sch B'!G13</f>
        <v>0</v>
      </c>
      <c r="E14" s="480"/>
      <c r="F14" s="166">
        <f t="shared" si="0"/>
        <v>930</v>
      </c>
      <c r="G14" s="626"/>
      <c r="H14" s="166"/>
      <c r="I14" s="166">
        <f t="shared" si="1"/>
        <v>930</v>
      </c>
      <c r="J14" s="167">
        <f>IF($I$26=0,0,I14/$I$26)</f>
        <v>8.2461136864206896E-4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'[81]Sch B'!E14</f>
        <v>0</v>
      </c>
      <c r="D15" s="480">
        <f>'[81]Sch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'[81]Sch B'!E15</f>
        <v>394115</v>
      </c>
      <c r="D16" s="480">
        <f>'[81]Sch B'!G15</f>
        <v>0</v>
      </c>
      <c r="E16" s="480"/>
      <c r="F16" s="166">
        <f t="shared" si="0"/>
        <v>394115</v>
      </c>
      <c r="G16" s="626"/>
      <c r="H16" s="166"/>
      <c r="I16" s="166">
        <f>SUM(I12:I15)</f>
        <v>376421</v>
      </c>
      <c r="J16" s="167">
        <f t="shared" ref="J16:J26" si="2">IF($I$26=0,0,I16/$I$26)</f>
        <v>0.33376455483399597</v>
      </c>
      <c r="K16" s="458"/>
      <c r="L16" s="333" t="s">
        <v>325</v>
      </c>
      <c r="M16" s="334">
        <f>I26</f>
        <v>1127804</v>
      </c>
      <c r="O16" s="324">
        <f>IFERROR(I16/I224,0)</f>
        <v>192.34593765968319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'[81]Sch B'!E20</f>
        <v>0</v>
      </c>
      <c r="D17" s="480">
        <f>'[81]Sch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1262987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'[81]Sch B'!E26</f>
        <v>669124</v>
      </c>
      <c r="D18" s="480">
        <f>'[81]Sch B'!G26</f>
        <v>0</v>
      </c>
      <c r="E18" s="480"/>
      <c r="F18" s="166">
        <f t="shared" si="0"/>
        <v>669124</v>
      </c>
      <c r="G18" s="626"/>
      <c r="H18" s="166"/>
      <c r="I18" s="166">
        <f t="shared" si="1"/>
        <v>669124</v>
      </c>
      <c r="J18" s="167">
        <f t="shared" si="2"/>
        <v>0.59329812627016754</v>
      </c>
      <c r="K18" s="458"/>
      <c r="L18" s="335" t="s">
        <v>327</v>
      </c>
      <c r="M18" s="336">
        <f>I233</f>
        <v>3345</v>
      </c>
      <c r="O18" s="324">
        <f t="shared" si="3"/>
        <v>615.00367647058829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'[81]Sch B'!E32</f>
        <v>0</v>
      </c>
      <c r="D19" s="480">
        <f>'[81]Sch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50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'[81]Sch B'!E37</f>
        <v>0</v>
      </c>
      <c r="D20" s="480">
        <f>'[81]Sch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8150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'[81]Sch B'!E42</f>
        <v>76925</v>
      </c>
      <c r="D21" s="480">
        <f>'[81]Sch B'!G42</f>
        <v>-18600</v>
      </c>
      <c r="E21" s="480"/>
      <c r="F21" s="166">
        <f t="shared" si="0"/>
        <v>58325</v>
      </c>
      <c r="G21" s="626"/>
      <c r="H21" s="166"/>
      <c r="I21" s="166">
        <f t="shared" si="1"/>
        <v>58325</v>
      </c>
      <c r="J21" s="167">
        <f t="shared" si="2"/>
        <v>5.1715546318331911E-2</v>
      </c>
      <c r="K21" s="458"/>
      <c r="L21" s="337"/>
      <c r="M21" s="336"/>
      <c r="O21" s="324">
        <f t="shared" si="3"/>
        <v>281.76328502415458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'[81]Sch B'!E47</f>
        <v>0</v>
      </c>
      <c r="D22" s="480">
        <f>'[81]Sch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29855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'[81]Sch B'!E52</f>
        <v>0</v>
      </c>
      <c r="D23" s="480">
        <f>'[81]Sch B'!G52</f>
        <v>18600</v>
      </c>
      <c r="E23" s="480"/>
      <c r="F23" s="166">
        <f t="shared" si="0"/>
        <v>18600</v>
      </c>
      <c r="G23" s="626"/>
      <c r="H23" s="166"/>
      <c r="I23" s="166">
        <f t="shared" si="1"/>
        <v>18600</v>
      </c>
      <c r="J23" s="167">
        <f t="shared" si="2"/>
        <v>1.6492227372841381E-2</v>
      </c>
      <c r="K23" s="458"/>
      <c r="L23" s="338" t="s">
        <v>233</v>
      </c>
      <c r="M23" s="339">
        <f>M213</f>
        <v>30423</v>
      </c>
      <c r="O23" s="324">
        <f t="shared" si="3"/>
        <v>200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'[81]Sch B'!E57</f>
        <v>0</v>
      </c>
      <c r="D24" s="480">
        <f>'[81]Sch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'[81]Sch B'!E72</f>
        <v>-3166</v>
      </c>
      <c r="D25" s="480">
        <f>'[81]Sch B'!G72</f>
        <v>0</v>
      </c>
      <c r="E25" s="480"/>
      <c r="F25" s="166">
        <f t="shared" si="0"/>
        <v>-3166</v>
      </c>
      <c r="G25" s="626">
        <v>8500</v>
      </c>
      <c r="H25" s="166"/>
      <c r="I25" s="166">
        <f t="shared" si="1"/>
        <v>5334</v>
      </c>
      <c r="J25" s="167">
        <f t="shared" si="2"/>
        <v>4.7295452046632212E-3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1136998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1136998</v>
      </c>
      <c r="G26" s="166">
        <f>SUM(G12:G25)</f>
        <v>-9194</v>
      </c>
      <c r="H26" s="166">
        <f>SUM(H12:H25)</f>
        <v>0</v>
      </c>
      <c r="I26" s="166">
        <f>SUM(I16:I25)</f>
        <v>1127804</v>
      </c>
      <c r="J26" s="167">
        <f t="shared" si="2"/>
        <v>1</v>
      </c>
      <c r="K26" s="458"/>
      <c r="L26" s="163"/>
      <c r="M26" s="163"/>
      <c r="O26" s="324">
        <f>IFERROR(I26/I233,0)</f>
        <v>337.1611360239163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'[81]Sch C'!D10</f>
        <v>39381</v>
      </c>
      <c r="D30" s="480">
        <f>'[81]Sch C'!F10</f>
        <v>0</v>
      </c>
      <c r="E30" s="480">
        <f>+'[81]Sch C'!H10</f>
        <v>0</v>
      </c>
      <c r="F30" s="166">
        <f t="shared" ref="F30:F65" si="5">C30+D30+E30</f>
        <v>39381</v>
      </c>
      <c r="G30" s="626"/>
      <c r="H30" s="166"/>
      <c r="I30" s="166">
        <f t="shared" ref="I30:I65" si="6">F30+G30+H30</f>
        <v>39381</v>
      </c>
      <c r="J30" s="167">
        <f>IF($I$213=0,0,I30/$I$213)</f>
        <v>3.1180843508286309E-2</v>
      </c>
      <c r="K30" s="458"/>
      <c r="L30" s="176">
        <v>795</v>
      </c>
      <c r="M30" s="176">
        <v>867</v>
      </c>
      <c r="O30" s="324">
        <f>I30/I$233</f>
        <v>11.773094170403587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'[81]Sch C'!D11</f>
        <v>0</v>
      </c>
      <c r="D31" s="480">
        <f>'[81]Sch C'!F11</f>
        <v>0</v>
      </c>
      <c r="E31" s="480">
        <f>+'[81]Sch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'[81]Sch C'!D12</f>
        <v>34075</v>
      </c>
      <c r="D32" s="480">
        <f>'[81]Sch C'!F12</f>
        <v>0</v>
      </c>
      <c r="E32" s="480">
        <f>+'[81]Sch C'!H12</f>
        <v>0</v>
      </c>
      <c r="F32" s="166">
        <f t="shared" si="5"/>
        <v>34075</v>
      </c>
      <c r="G32" s="626"/>
      <c r="H32" s="166"/>
      <c r="I32" s="166">
        <f t="shared" si="6"/>
        <v>34075</v>
      </c>
      <c r="J32" s="167">
        <f t="shared" si="7"/>
        <v>2.697969179413565E-2</v>
      </c>
      <c r="K32" s="458"/>
      <c r="L32" s="176">
        <v>1709</v>
      </c>
      <c r="M32" s="176">
        <v>1749</v>
      </c>
      <c r="O32" s="324">
        <f t="shared" si="8"/>
        <v>10.186846038863976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'[81]Sch C'!D13</f>
        <v>81643</v>
      </c>
      <c r="D33" s="480">
        <f>'[81]Sch C'!F13</f>
        <v>-73483</v>
      </c>
      <c r="E33" s="480">
        <f>+'[81]Sch C'!H13</f>
        <v>0</v>
      </c>
      <c r="F33" s="166">
        <f t="shared" si="5"/>
        <v>8160</v>
      </c>
      <c r="G33" s="626">
        <v>-348</v>
      </c>
      <c r="H33" s="166"/>
      <c r="I33" s="166">
        <f t="shared" si="6"/>
        <v>7812</v>
      </c>
      <c r="J33" s="167">
        <f t="shared" si="7"/>
        <v>6.1853368245278848E-3</v>
      </c>
      <c r="K33" s="458"/>
      <c r="L33" s="163"/>
      <c r="M33" s="163"/>
      <c r="O33" s="324">
        <f t="shared" si="8"/>
        <v>2.3354260089686099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'[81]Sch C'!D14</f>
        <v>0</v>
      </c>
      <c r="D34" s="480">
        <f>'[81]Sch C'!F14</f>
        <v>0</v>
      </c>
      <c r="E34" s="480">
        <f>+'[81]Sch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'[81]Sch C'!D15</f>
        <v>0</v>
      </c>
      <c r="D35" s="480">
        <f>'[81]Sch C'!F15</f>
        <v>0</v>
      </c>
      <c r="E35" s="480">
        <f>+'[81]Sch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'[81]Sch C'!D16</f>
        <v>0</v>
      </c>
      <c r="D36" s="480">
        <f>'[81]Sch C'!F16</f>
        <v>0</v>
      </c>
      <c r="E36" s="480">
        <f>+'[81]Sch C'!H16</f>
        <v>26982</v>
      </c>
      <c r="F36" s="166">
        <f t="shared" si="5"/>
        <v>26982</v>
      </c>
      <c r="G36" s="626"/>
      <c r="H36" s="166"/>
      <c r="I36" s="166">
        <f t="shared" si="6"/>
        <v>26982</v>
      </c>
      <c r="J36" s="167">
        <f t="shared" si="7"/>
        <v>2.13636403225053E-2</v>
      </c>
      <c r="K36" s="458"/>
      <c r="L36" s="163"/>
      <c r="M36" s="163"/>
      <c r="O36" s="324">
        <f t="shared" si="8"/>
        <v>8.0663677130044835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'[81]Sch C'!D17</f>
        <v>0</v>
      </c>
      <c r="D37" s="480">
        <f>'[81]Sch C'!F17</f>
        <v>0</v>
      </c>
      <c r="E37" s="480">
        <f>+'[81]Sch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'[81]Sch C'!D18</f>
        <v>2371</v>
      </c>
      <c r="D38" s="480">
        <f>'[81]Sch C'!F18</f>
        <v>0</v>
      </c>
      <c r="E38" s="480">
        <f>+'[81]Sch C'!H18</f>
        <v>0</v>
      </c>
      <c r="F38" s="166">
        <f t="shared" si="5"/>
        <v>2371</v>
      </c>
      <c r="G38" s="626"/>
      <c r="H38" s="166"/>
      <c r="I38" s="166">
        <f t="shared" si="6"/>
        <v>2371</v>
      </c>
      <c r="J38" s="167">
        <f t="shared" si="7"/>
        <v>1.8772956491238627E-3</v>
      </c>
      <c r="K38" s="458"/>
      <c r="L38" s="163"/>
      <c r="M38" s="163"/>
      <c r="O38" s="324">
        <f t="shared" si="8"/>
        <v>0.70881913303437971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'[81]Sch C'!D19</f>
        <v>12920</v>
      </c>
      <c r="D39" s="480">
        <f>'[81]Sch C'!F19</f>
        <v>0</v>
      </c>
      <c r="E39" s="480">
        <f>+'[81]Sch C'!H19</f>
        <v>0</v>
      </c>
      <c r="F39" s="166">
        <f t="shared" si="5"/>
        <v>12920</v>
      </c>
      <c r="G39" s="626"/>
      <c r="H39" s="166"/>
      <c r="I39" s="166">
        <f t="shared" si="6"/>
        <v>12920</v>
      </c>
      <c r="J39" s="167">
        <f t="shared" si="7"/>
        <v>1.0229717328840281E-2</v>
      </c>
      <c r="K39" s="458"/>
      <c r="L39" s="163"/>
      <c r="M39" s="163"/>
      <c r="O39" s="324">
        <f t="shared" si="8"/>
        <v>3.8624813153961135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'[81]Sch C'!D20</f>
        <v>4736</v>
      </c>
      <c r="D40" s="480">
        <f>'[81]Sch C'!F20</f>
        <v>0</v>
      </c>
      <c r="E40" s="480">
        <f>+'[81]Sch C'!H20</f>
        <v>0</v>
      </c>
      <c r="F40" s="166">
        <f t="shared" si="5"/>
        <v>4736</v>
      </c>
      <c r="G40" s="626"/>
      <c r="H40" s="166"/>
      <c r="I40" s="166">
        <f t="shared" si="6"/>
        <v>4736</v>
      </c>
      <c r="J40" s="167">
        <f t="shared" si="7"/>
        <v>3.749840655525354E-3</v>
      </c>
      <c r="K40" s="458"/>
      <c r="L40" s="163"/>
      <c r="M40" s="163"/>
      <c r="O40" s="324">
        <f t="shared" si="8"/>
        <v>1.4158445440956651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'[81]Sch C'!D21</f>
        <v>3652</v>
      </c>
      <c r="D41" s="480">
        <f>'[81]Sch C'!F21</f>
        <v>0</v>
      </c>
      <c r="E41" s="480">
        <f>+'[81]Sch C'!H21</f>
        <v>0</v>
      </c>
      <c r="F41" s="166">
        <f t="shared" si="5"/>
        <v>3652</v>
      </c>
      <c r="G41" s="626"/>
      <c r="H41" s="166"/>
      <c r="I41" s="166">
        <f t="shared" si="6"/>
        <v>3652</v>
      </c>
      <c r="J41" s="167">
        <f t="shared" si="7"/>
        <v>2.8915578703502093E-3</v>
      </c>
      <c r="K41" s="458"/>
      <c r="L41" s="163"/>
      <c r="M41" s="163"/>
      <c r="O41" s="324">
        <f t="shared" si="8"/>
        <v>1.0917787742899852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'[81]Sch C'!D22</f>
        <v>0</v>
      </c>
      <c r="D42" s="480">
        <f>'[81]Sch C'!F22</f>
        <v>0</v>
      </c>
      <c r="E42" s="480">
        <f>+'[81]Sch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'[81]Sch C'!D23</f>
        <v>1284</v>
      </c>
      <c r="D43" s="480">
        <f>'[81]Sch C'!F23</f>
        <v>0</v>
      </c>
      <c r="E43" s="480">
        <f>+'[81]Sch C'!H23</f>
        <v>0</v>
      </c>
      <c r="F43" s="166">
        <f t="shared" si="5"/>
        <v>1284</v>
      </c>
      <c r="G43" s="626"/>
      <c r="H43" s="166"/>
      <c r="I43" s="166">
        <f t="shared" si="6"/>
        <v>1284</v>
      </c>
      <c r="J43" s="167">
        <f t="shared" si="7"/>
        <v>1.0166375425875326E-3</v>
      </c>
      <c r="K43" s="458"/>
      <c r="L43" s="163"/>
      <c r="M43" s="163"/>
      <c r="O43" s="324">
        <f t="shared" si="8"/>
        <v>0.38385650224215245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'[81]Sch C'!D24</f>
        <v>20063</v>
      </c>
      <c r="D44" s="480">
        <f>'[81]Sch C'!F24</f>
        <v>0</v>
      </c>
      <c r="E44" s="480">
        <f>+'[81]Sch C'!H24</f>
        <v>0</v>
      </c>
      <c r="F44" s="166">
        <f t="shared" si="5"/>
        <v>20063</v>
      </c>
      <c r="G44" s="626"/>
      <c r="H44" s="166"/>
      <c r="I44" s="166">
        <f t="shared" si="6"/>
        <v>20063</v>
      </c>
      <c r="J44" s="167">
        <f t="shared" si="7"/>
        <v>1.5885357489823726E-2</v>
      </c>
      <c r="K44" s="458"/>
      <c r="L44" s="163"/>
      <c r="M44" s="163"/>
      <c r="O44" s="324">
        <f t="shared" si="8"/>
        <v>5.9979073243647232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'[81]Sch C'!D25</f>
        <v>0</v>
      </c>
      <c r="D45" s="480">
        <f>'[81]Sch C'!F25</f>
        <v>0</v>
      </c>
      <c r="E45" s="480">
        <f>+'[81]Sch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'[81]Sch C'!D26</f>
        <v>43918</v>
      </c>
      <c r="D46" s="480">
        <f>'[81]Sch C'!F26</f>
        <v>0</v>
      </c>
      <c r="E46" s="480">
        <f>+'[81]Sch C'!H26</f>
        <v>0</v>
      </c>
      <c r="F46" s="166">
        <f t="shared" si="5"/>
        <v>43918</v>
      </c>
      <c r="G46" s="626"/>
      <c r="H46" s="166"/>
      <c r="I46" s="166">
        <f t="shared" si="6"/>
        <v>43918</v>
      </c>
      <c r="J46" s="167">
        <f t="shared" si="7"/>
        <v>3.4773121180186335E-2</v>
      </c>
      <c r="K46" s="458"/>
      <c r="L46" s="163"/>
      <c r="M46" s="163"/>
      <c r="O46" s="324">
        <f t="shared" si="8"/>
        <v>13.129446935724962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'[81]Sch C'!D27</f>
        <v>0</v>
      </c>
      <c r="D47" s="480">
        <f>'[81]Sch C'!F27</f>
        <v>0</v>
      </c>
      <c r="E47" s="480">
        <f>+'[81]Sch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'[81]Sch C'!D28</f>
        <v>0</v>
      </c>
      <c r="D48" s="480">
        <f>'[81]Sch C'!F28</f>
        <v>0</v>
      </c>
      <c r="E48" s="480">
        <f>+'[81]Sch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'[81]Sch C'!D29</f>
        <v>0</v>
      </c>
      <c r="D49" s="480">
        <f>'[81]Sch C'!F29</f>
        <v>0</v>
      </c>
      <c r="E49" s="480">
        <f>+'[81]Sch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'[81]Sch C'!D30</f>
        <v>0</v>
      </c>
      <c r="D50" s="480">
        <f>'[81]Sch C'!F30</f>
        <v>0</v>
      </c>
      <c r="E50" s="480">
        <f>+'[81]Sch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'[81]Sch C'!D31</f>
        <v>25101</v>
      </c>
      <c r="D51" s="480">
        <f>'[81]Sch C'!F31</f>
        <v>0</v>
      </c>
      <c r="E51" s="480">
        <f>+'[81]Sch C'!H31</f>
        <v>0</v>
      </c>
      <c r="F51" s="166">
        <f t="shared" si="5"/>
        <v>25101</v>
      </c>
      <c r="G51" s="626"/>
      <c r="H51" s="166"/>
      <c r="I51" s="166">
        <f t="shared" si="6"/>
        <v>25101</v>
      </c>
      <c r="J51" s="167">
        <f t="shared" si="7"/>
        <v>1.9874313829041788E-2</v>
      </c>
      <c r="K51" s="458"/>
      <c r="L51" s="163"/>
      <c r="M51" s="163"/>
      <c r="O51" s="324">
        <f t="shared" si="8"/>
        <v>7.5040358744394622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'[81]Sch C'!D32</f>
        <v>16244</v>
      </c>
      <c r="D52" s="480">
        <f>'[81]Sch C'!F32</f>
        <v>0</v>
      </c>
      <c r="E52" s="480">
        <f>+'[81]Sch C'!H32</f>
        <v>0</v>
      </c>
      <c r="F52" s="166">
        <f t="shared" si="5"/>
        <v>16244</v>
      </c>
      <c r="G52" s="626"/>
      <c r="H52" s="166"/>
      <c r="I52" s="166">
        <f t="shared" si="6"/>
        <v>16244</v>
      </c>
      <c r="J52" s="167">
        <f t="shared" si="7"/>
        <v>1.2861573397034174E-2</v>
      </c>
      <c r="K52" s="458"/>
      <c r="L52" s="163"/>
      <c r="M52" s="163"/>
      <c r="O52" s="324">
        <f t="shared" si="8"/>
        <v>4.8562032884902839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'[81]Sch C'!D33</f>
        <v>0</v>
      </c>
      <c r="D53" s="480">
        <f>'[81]Sch C'!F33</f>
        <v>0</v>
      </c>
      <c r="E53" s="480">
        <f>+'[81]Sch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'[81]Sch C'!D34</f>
        <v>0</v>
      </c>
      <c r="D54" s="480">
        <f>'[81]Sch C'!F34</f>
        <v>0</v>
      </c>
      <c r="E54" s="480">
        <f>+'[81]Sch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'[81]Sch C'!D35</f>
        <v>0</v>
      </c>
      <c r="D55" s="480">
        <f>'[81]Sch C'!F35</f>
        <v>0</v>
      </c>
      <c r="E55" s="480">
        <f>+'[81]Sch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'[81]Sch C'!D36</f>
        <v>0</v>
      </c>
      <c r="D56" s="480">
        <f>'[81]Sch C'!F36</f>
        <v>0</v>
      </c>
      <c r="E56" s="480">
        <f>+'[81]Sch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'[81]Sch C'!D37</f>
        <v>0</v>
      </c>
      <c r="D57" s="480">
        <f>'[81]Sch C'!F37</f>
        <v>0</v>
      </c>
      <c r="E57" s="480">
        <f>+'[81]Sch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'[81]Sch C'!D38</f>
        <v>0</v>
      </c>
      <c r="D58" s="480">
        <f>'[81]Sch C'!F38</f>
        <v>0</v>
      </c>
      <c r="E58" s="480">
        <f>+'[81]Sch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'[81]Sch C'!D39</f>
        <v>90</v>
      </c>
      <c r="D59" s="480">
        <f>'[81]Sch C'!F39</f>
        <v>0</v>
      </c>
      <c r="E59" s="480">
        <f>+'[81]Sch C'!H39</f>
        <v>0</v>
      </c>
      <c r="F59" s="166">
        <f t="shared" si="5"/>
        <v>90</v>
      </c>
      <c r="G59" s="626"/>
      <c r="H59" s="166"/>
      <c r="I59" s="166">
        <f t="shared" si="6"/>
        <v>90</v>
      </c>
      <c r="J59" s="167">
        <f t="shared" si="7"/>
        <v>7.1259640835574713E-5</v>
      </c>
      <c r="K59" s="458"/>
      <c r="L59" s="163"/>
      <c r="M59" s="163"/>
      <c r="O59" s="324">
        <f t="shared" si="8"/>
        <v>2.6905829596412557E-2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'[81]Sch C'!D40</f>
        <v>2027</v>
      </c>
      <c r="D60" s="480">
        <f>'[81]Sch C'!F40</f>
        <v>-1398</v>
      </c>
      <c r="E60" s="480">
        <f>+'[81]Sch C'!H40</f>
        <v>0</v>
      </c>
      <c r="F60" s="166">
        <f t="shared" si="5"/>
        <v>629</v>
      </c>
      <c r="G60" s="626"/>
      <c r="H60" s="166"/>
      <c r="I60" s="166">
        <f t="shared" si="6"/>
        <v>629</v>
      </c>
      <c r="J60" s="167">
        <f t="shared" si="7"/>
        <v>4.9802571206196107E-4</v>
      </c>
      <c r="K60" s="458"/>
      <c r="L60" s="163"/>
      <c r="M60" s="163"/>
      <c r="O60" s="324">
        <f t="shared" si="8"/>
        <v>0.18804185351270553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'[81]Sch C'!D41</f>
        <v>0</v>
      </c>
      <c r="D61" s="480">
        <f>'[81]Sch C'!F41</f>
        <v>0</v>
      </c>
      <c r="E61" s="480">
        <f>+'[81]Sch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'[81]Sch C'!D42</f>
        <v>938</v>
      </c>
      <c r="D62" s="480">
        <f>'[81]Sch C'!F42</f>
        <v>0</v>
      </c>
      <c r="E62" s="480">
        <f>+'[81]Sch C'!H42</f>
        <v>0</v>
      </c>
      <c r="F62" s="166">
        <f t="shared" si="5"/>
        <v>938</v>
      </c>
      <c r="G62" s="626"/>
      <c r="H62" s="166"/>
      <c r="I62" s="166">
        <f t="shared" si="6"/>
        <v>938</v>
      </c>
      <c r="J62" s="167">
        <f t="shared" si="7"/>
        <v>7.4268381226410087E-4</v>
      </c>
      <c r="K62" s="458"/>
      <c r="L62" s="163"/>
      <c r="M62" s="163"/>
      <c r="O62" s="324">
        <f t="shared" si="8"/>
        <v>0.28041853512705528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'[81]Sch C'!D43</f>
        <v>2956</v>
      </c>
      <c r="D63" s="480">
        <f>'[81]Sch C'!F43</f>
        <v>0</v>
      </c>
      <c r="E63" s="480">
        <f>+'[81]Sch C'!H43</f>
        <v>0</v>
      </c>
      <c r="F63" s="166">
        <f t="shared" si="5"/>
        <v>2956</v>
      </c>
      <c r="G63" s="626">
        <v>-2956</v>
      </c>
      <c r="H63" s="166"/>
      <c r="I63" s="166">
        <f t="shared" si="6"/>
        <v>0</v>
      </c>
      <c r="J63" s="167">
        <f t="shared" si="7"/>
        <v>0</v>
      </c>
      <c r="K63" s="458" t="s">
        <v>742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'[81]Sch C'!D44</f>
        <v>212</v>
      </c>
      <c r="D64" s="480">
        <f>'[81]Sch C'!F44</f>
        <v>0</v>
      </c>
      <c r="E64" s="480">
        <f>+'[81]Sch C'!H44</f>
        <v>0</v>
      </c>
      <c r="F64" s="166">
        <f t="shared" si="5"/>
        <v>212</v>
      </c>
      <c r="G64" s="626"/>
      <c r="H64" s="166"/>
      <c r="I64" s="166">
        <f t="shared" si="6"/>
        <v>212</v>
      </c>
      <c r="J64" s="167">
        <f t="shared" si="7"/>
        <v>1.6785604285713155E-4</v>
      </c>
      <c r="K64" s="458"/>
      <c r="L64" s="163"/>
      <c r="M64" s="163"/>
      <c r="O64" s="324">
        <f t="shared" si="8"/>
        <v>6.3378176382660689E-2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'[81]Sch C'!D45</f>
        <v>1408</v>
      </c>
      <c r="D65" s="480">
        <f>'[81]Sch C'!F45</f>
        <v>-4460</v>
      </c>
      <c r="E65" s="480">
        <f>+'[81]Sch C'!H45</f>
        <v>0</v>
      </c>
      <c r="F65" s="166">
        <f t="shared" si="5"/>
        <v>-3052</v>
      </c>
      <c r="G65" s="626"/>
      <c r="H65" s="166"/>
      <c r="I65" s="166">
        <f t="shared" si="6"/>
        <v>-3052</v>
      </c>
      <c r="J65" s="167">
        <f t="shared" si="7"/>
        <v>-2.4164935981130448E-3</v>
      </c>
      <c r="K65" s="458"/>
      <c r="L65" s="163"/>
      <c r="M65" s="163"/>
      <c r="O65" s="324">
        <f t="shared" si="8"/>
        <v>-0.91240657698056804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293019</v>
      </c>
      <c r="D66" s="480">
        <f t="shared" si="9"/>
        <v>-79341</v>
      </c>
      <c r="E66" s="480">
        <f t="shared" si="9"/>
        <v>26982</v>
      </c>
      <c r="F66" s="166">
        <f t="shared" ref="F66:I66" si="10">SUM(F30:F65)</f>
        <v>240660</v>
      </c>
      <c r="G66" s="166">
        <f t="shared" si="10"/>
        <v>-3304</v>
      </c>
      <c r="H66" s="166">
        <f t="shared" si="10"/>
        <v>0</v>
      </c>
      <c r="I66" s="166">
        <f t="shared" si="10"/>
        <v>237356</v>
      </c>
      <c r="J66" s="178">
        <f t="shared" si="7"/>
        <v>0.18793225900187413</v>
      </c>
      <c r="K66" s="465"/>
      <c r="L66" s="163"/>
      <c r="M66" s="163"/>
      <c r="O66" s="329">
        <f>I66/I$233</f>
        <v>70.958445440956652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'[81]Sch C'!D57</f>
        <v>0</v>
      </c>
      <c r="D69" s="480">
        <f>'[81]Sch C'!F57</f>
        <v>0</v>
      </c>
      <c r="E69" s="480">
        <f>+'[81]Sch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'[81]Sch C'!D58</f>
        <v>0</v>
      </c>
      <c r="D70" s="480">
        <f>'[81]Sch C'!F58</f>
        <v>0</v>
      </c>
      <c r="E70" s="480">
        <f>+'[81]Sch C'!H58</f>
        <v>0</v>
      </c>
      <c r="F70" s="166">
        <f t="shared" ref="F70:F83" si="13">C70+D70+E70</f>
        <v>0</v>
      </c>
      <c r="G70" s="626"/>
      <c r="H70" s="166"/>
      <c r="I70" s="166">
        <f t="shared" ref="I70:I83" si="14">F70+G70+H70</f>
        <v>0</v>
      </c>
      <c r="J70" s="167">
        <f t="shared" si="11"/>
        <v>0</v>
      </c>
      <c r="K70" s="458"/>
      <c r="L70" s="182"/>
      <c r="M70" s="163"/>
      <c r="O70" s="324">
        <f t="shared" si="12"/>
        <v>0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'[81]Sch C'!D59</f>
        <v>0</v>
      </c>
      <c r="D71" s="480">
        <f>'[81]Sch C'!F59</f>
        <v>0</v>
      </c>
      <c r="E71" s="480">
        <f>+'[81]Sch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'[81]Sch C'!D60</f>
        <v>23013</v>
      </c>
      <c r="D72" s="480">
        <f>'[81]Sch C'!F60</f>
        <v>0</v>
      </c>
      <c r="E72" s="480">
        <f>+'[81]Sch C'!H60</f>
        <v>0</v>
      </c>
      <c r="F72" s="166">
        <f t="shared" si="13"/>
        <v>23013</v>
      </c>
      <c r="G72" s="626"/>
      <c r="H72" s="166"/>
      <c r="I72" s="166">
        <f t="shared" si="14"/>
        <v>23013</v>
      </c>
      <c r="J72" s="167">
        <f t="shared" si="11"/>
        <v>1.8221090161656454E-2</v>
      </c>
      <c r="K72" s="458"/>
      <c r="L72" s="185"/>
      <c r="M72" s="163"/>
      <c r="O72" s="324">
        <f t="shared" si="12"/>
        <v>6.8798206278026903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'[81]Sch C'!D61</f>
        <v>0</v>
      </c>
      <c r="D73" s="480">
        <f>'[81]Sch C'!F61</f>
        <v>0</v>
      </c>
      <c r="E73" s="480">
        <f>+'[81]Sch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'[81]Sch C'!D62</f>
        <v>0</v>
      </c>
      <c r="D74" s="480">
        <f>'[81]Sch C'!F62</f>
        <v>0</v>
      </c>
      <c r="E74" s="480">
        <f>+'[81]Sch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'[81]Sch C'!D63</f>
        <v>0</v>
      </c>
      <c r="D75" s="480">
        <f>'[81]Sch C'!F63</f>
        <v>0</v>
      </c>
      <c r="E75" s="480">
        <f>+'[81]Sch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'[81]Sch C'!D64</f>
        <v>0</v>
      </c>
      <c r="D76" s="480">
        <f>'[81]Sch C'!F64</f>
        <v>0</v>
      </c>
      <c r="E76" s="480">
        <f>+'[81]Sch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'[81]Sch C'!D65</f>
        <v>612</v>
      </c>
      <c r="D77" s="480">
        <f>'[81]Sch C'!F65</f>
        <v>0</v>
      </c>
      <c r="E77" s="480">
        <f>+'[81]Sch C'!H65</f>
        <v>0</v>
      </c>
      <c r="F77" s="166">
        <f t="shared" si="13"/>
        <v>612</v>
      </c>
      <c r="G77" s="626"/>
      <c r="H77" s="166"/>
      <c r="I77" s="166">
        <f t="shared" si="14"/>
        <v>612</v>
      </c>
      <c r="J77" s="167">
        <f t="shared" si="11"/>
        <v>4.8456555768190804E-4</v>
      </c>
      <c r="K77" s="458"/>
      <c r="L77" s="187"/>
      <c r="M77" s="163"/>
      <c r="O77" s="324">
        <f t="shared" si="12"/>
        <v>0.18295964125560538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'[81]Sch C'!D66</f>
        <v>11825</v>
      </c>
      <c r="D78" s="480">
        <f>'[81]Sch C'!F66</f>
        <v>0</v>
      </c>
      <c r="E78" s="480">
        <f>+'[81]Sch C'!H66</f>
        <v>0</v>
      </c>
      <c r="F78" s="166">
        <f t="shared" si="13"/>
        <v>11825</v>
      </c>
      <c r="G78" s="626"/>
      <c r="H78" s="166"/>
      <c r="I78" s="166">
        <f t="shared" si="14"/>
        <v>11825</v>
      </c>
      <c r="J78" s="167">
        <f t="shared" si="11"/>
        <v>9.3627250320074545E-3</v>
      </c>
      <c r="K78" s="458"/>
      <c r="L78" s="187"/>
      <c r="M78" s="163"/>
      <c r="O78" s="324">
        <f t="shared" si="12"/>
        <v>3.5351270553064276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'[81]Sch C'!D67</f>
        <v>0</v>
      </c>
      <c r="D79" s="480">
        <f>'[81]Sch C'!F67</f>
        <v>0</v>
      </c>
      <c r="E79" s="480">
        <f>+'[81]Sch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'[81]Sch C'!D68</f>
        <v>0</v>
      </c>
      <c r="D80" s="480">
        <f>'[81]Sch C'!F68</f>
        <v>0</v>
      </c>
      <c r="E80" s="480">
        <f>+'[81]Sch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'[81]Sch C'!D69</f>
        <v>0</v>
      </c>
      <c r="D81" s="480">
        <f>'[81]Sch C'!F69</f>
        <v>0</v>
      </c>
      <c r="E81" s="480">
        <f>+'[81]Sch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'[81]Sch C'!D70</f>
        <v>0</v>
      </c>
      <c r="D82" s="480">
        <f>'[81]Sch C'!F70</f>
        <v>0</v>
      </c>
      <c r="E82" s="480">
        <f>+'[81]Sch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'[81]Sch C'!D71</f>
        <v>0</v>
      </c>
      <c r="D83" s="480">
        <f>'[81]Sch C'!F71</f>
        <v>0</v>
      </c>
      <c r="E83" s="480">
        <f>+'[81]Sch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35450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35450</v>
      </c>
      <c r="G84" s="166">
        <f t="shared" si="16"/>
        <v>0</v>
      </c>
      <c r="H84" s="166">
        <f t="shared" si="16"/>
        <v>0</v>
      </c>
      <c r="I84" s="166">
        <f t="shared" si="16"/>
        <v>35450</v>
      </c>
      <c r="J84" s="167">
        <f t="shared" si="11"/>
        <v>2.8068380751345816E-2</v>
      </c>
      <c r="K84" s="458"/>
      <c r="L84" s="187"/>
      <c r="M84" s="163"/>
      <c r="O84" s="324">
        <f t="shared" si="12"/>
        <v>10.597907324364723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'[81]Sch C'!D75</f>
        <v>19936</v>
      </c>
      <c r="D87" s="480">
        <f>'[81]Sch C'!F75</f>
        <v>0</v>
      </c>
      <c r="E87" s="480">
        <f>+'[81]Sch C'!H75</f>
        <v>0</v>
      </c>
      <c r="F87" s="166">
        <f t="shared" ref="F87:F97" si="17">C87+D87+E87</f>
        <v>19936</v>
      </c>
      <c r="G87" s="626"/>
      <c r="H87" s="166"/>
      <c r="I87" s="166">
        <f t="shared" ref="I87:I97" si="18">F87+G87+H87</f>
        <v>19936</v>
      </c>
      <c r="J87" s="167">
        <f t="shared" ref="J87:J98" si="19">IF($I$213=0,0,I87/$I$213)</f>
        <v>1.5784802218866859E-2</v>
      </c>
      <c r="K87" s="458"/>
      <c r="L87" s="176">
        <v>827</v>
      </c>
      <c r="M87" s="176">
        <v>835</v>
      </c>
      <c r="O87" s="324">
        <f t="shared" ref="O87:O97" si="20">I87/I$233</f>
        <v>5.9599402092675637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'[81]Sch C'!D76</f>
        <v>0</v>
      </c>
      <c r="D88" s="480">
        <f>'[81]Sch C'!F76</f>
        <v>2215</v>
      </c>
      <c r="E88" s="480">
        <f>+'[81]Sch C'!H76</f>
        <v>0</v>
      </c>
      <c r="F88" s="166">
        <f t="shared" si="17"/>
        <v>2215</v>
      </c>
      <c r="G88" s="626">
        <v>-95</v>
      </c>
      <c r="H88" s="166"/>
      <c r="I88" s="166">
        <f t="shared" si="18"/>
        <v>2120</v>
      </c>
      <c r="J88" s="167">
        <f t="shared" si="19"/>
        <v>1.6785604285713155E-3</v>
      </c>
      <c r="K88" s="458"/>
      <c r="L88" s="163"/>
      <c r="M88" s="163"/>
      <c r="O88" s="324">
        <f t="shared" si="20"/>
        <v>0.63378176382660689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'[81]Sch C'!D77</f>
        <v>1285</v>
      </c>
      <c r="D89" s="480">
        <f>'[81]Sch C'!F77</f>
        <v>0</v>
      </c>
      <c r="E89" s="480">
        <f>+'[81]Sch C'!H77</f>
        <v>0</v>
      </c>
      <c r="F89" s="166">
        <f t="shared" si="17"/>
        <v>1285</v>
      </c>
      <c r="G89" s="626"/>
      <c r="H89" s="166"/>
      <c r="I89" s="166">
        <f t="shared" si="18"/>
        <v>1285</v>
      </c>
      <c r="J89" s="167">
        <f t="shared" si="19"/>
        <v>1.0174293163745945E-3</v>
      </c>
      <c r="K89" s="458"/>
      <c r="L89" s="163"/>
      <c r="M89" s="163"/>
      <c r="O89" s="324">
        <f t="shared" si="20"/>
        <v>0.38415545590433481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'[81]Sch C'!D78</f>
        <v>0</v>
      </c>
      <c r="D90" s="480">
        <f>'[81]Sch C'!F78</f>
        <v>0</v>
      </c>
      <c r="E90" s="480">
        <f>+'[81]Sch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'[81]Sch C'!D79</f>
        <v>6793</v>
      </c>
      <c r="D91" s="480">
        <f>'[81]Sch C'!F79</f>
        <v>0</v>
      </c>
      <c r="E91" s="480">
        <f>+'[81]Sch C'!H79</f>
        <v>0</v>
      </c>
      <c r="F91" s="166">
        <f t="shared" si="17"/>
        <v>6793</v>
      </c>
      <c r="G91" s="626"/>
      <c r="H91" s="166"/>
      <c r="I91" s="166">
        <f t="shared" si="18"/>
        <v>6793</v>
      </c>
      <c r="J91" s="167">
        <f t="shared" si="19"/>
        <v>5.3785193355117668E-3</v>
      </c>
      <c r="K91" s="458"/>
      <c r="L91" s="163"/>
      <c r="M91" s="163"/>
      <c r="O91" s="324">
        <f t="shared" si="20"/>
        <v>2.0307922272047834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'[81]Sch C'!D80</f>
        <v>6220</v>
      </c>
      <c r="D92" s="480">
        <f>'[81]Sch C'!F80</f>
        <v>0</v>
      </c>
      <c r="E92" s="480">
        <f>+'[81]Sch C'!H80</f>
        <v>0</v>
      </c>
      <c r="F92" s="166">
        <f t="shared" si="17"/>
        <v>6220</v>
      </c>
      <c r="G92" s="626"/>
      <c r="H92" s="166"/>
      <c r="I92" s="166">
        <f t="shared" si="18"/>
        <v>6220</v>
      </c>
      <c r="J92" s="167">
        <f t="shared" si="19"/>
        <v>4.9248329555252749E-3</v>
      </c>
      <c r="K92" s="458"/>
      <c r="L92" s="163"/>
      <c r="M92" s="163"/>
      <c r="O92" s="324">
        <f t="shared" si="20"/>
        <v>1.8594917787742899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'[81]Sch C'!D81</f>
        <v>3870</v>
      </c>
      <c r="D93" s="480">
        <f>'[81]Sch C'!F81</f>
        <v>0</v>
      </c>
      <c r="E93" s="480">
        <f>+'[81]Sch C'!H81</f>
        <v>0</v>
      </c>
      <c r="F93" s="166">
        <f t="shared" si="17"/>
        <v>3870</v>
      </c>
      <c r="G93" s="626"/>
      <c r="H93" s="166"/>
      <c r="I93" s="166">
        <f t="shared" si="18"/>
        <v>3870</v>
      </c>
      <c r="J93" s="167">
        <f t="shared" si="19"/>
        <v>3.0641645559297127E-3</v>
      </c>
      <c r="K93" s="458"/>
      <c r="L93" s="163"/>
      <c r="M93" s="163"/>
      <c r="O93" s="324">
        <f t="shared" si="20"/>
        <v>1.1569506726457399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'[81]Sch C'!D82</f>
        <v>-308</v>
      </c>
      <c r="D94" s="480">
        <f>'[81]Sch C'!F82</f>
        <v>0</v>
      </c>
      <c r="E94" s="480">
        <f>+'[81]Sch C'!H82</f>
        <v>0</v>
      </c>
      <c r="F94" s="166">
        <f t="shared" si="17"/>
        <v>-308</v>
      </c>
      <c r="G94" s="626"/>
      <c r="H94" s="166"/>
      <c r="I94" s="166">
        <f t="shared" si="18"/>
        <v>-308</v>
      </c>
      <c r="J94" s="167">
        <f t="shared" si="19"/>
        <v>-2.4386632641507791E-4</v>
      </c>
      <c r="K94" s="458"/>
      <c r="L94" s="163"/>
      <c r="M94" s="163"/>
      <c r="O94" s="324">
        <f t="shared" si="20"/>
        <v>-9.2077727952167412E-2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'[81]Sch C'!D83</f>
        <v>2903</v>
      </c>
      <c r="D95" s="480">
        <f>'[81]Sch C'!F83</f>
        <v>0</v>
      </c>
      <c r="E95" s="480">
        <f>+'[81]Sch C'!H83</f>
        <v>0</v>
      </c>
      <c r="F95" s="166">
        <f t="shared" si="17"/>
        <v>2903</v>
      </c>
      <c r="G95" s="626"/>
      <c r="H95" s="166"/>
      <c r="I95" s="166">
        <f t="shared" si="18"/>
        <v>2903</v>
      </c>
      <c r="J95" s="167">
        <f t="shared" si="19"/>
        <v>2.2985193038408155E-3</v>
      </c>
      <c r="K95" s="458"/>
      <c r="L95" s="163"/>
      <c r="M95" s="163"/>
      <c r="O95" s="324">
        <f t="shared" si="20"/>
        <v>0.86786248131539612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'[81]Sch C'!D84</f>
        <v>21822</v>
      </c>
      <c r="D96" s="480">
        <f>'[81]Sch C'!F84</f>
        <v>0</v>
      </c>
      <c r="E96" s="480">
        <f>+'[81]Sch C'!H84</f>
        <v>0</v>
      </c>
      <c r="F96" s="166">
        <f t="shared" si="17"/>
        <v>21822</v>
      </c>
      <c r="G96" s="626"/>
      <c r="H96" s="166"/>
      <c r="I96" s="166">
        <f t="shared" si="18"/>
        <v>21822</v>
      </c>
      <c r="J96" s="167">
        <f t="shared" si="19"/>
        <v>1.7278087581265682E-2</v>
      </c>
      <c r="K96" s="458"/>
      <c r="L96" s="163"/>
      <c r="M96" s="163"/>
      <c r="O96" s="324">
        <f t="shared" si="20"/>
        <v>6.5237668161434978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'[81]Sch C'!D85</f>
        <v>0</v>
      </c>
      <c r="D97" s="480">
        <f>'[81]Sch C'!F85</f>
        <v>0</v>
      </c>
      <c r="E97" s="480">
        <f>+'[81]Sch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62521</v>
      </c>
      <c r="D98" s="480">
        <f t="shared" si="21"/>
        <v>2215</v>
      </c>
      <c r="E98" s="480">
        <f t="shared" si="21"/>
        <v>0</v>
      </c>
      <c r="F98" s="166">
        <f t="shared" ref="F98:I98" si="22">SUM(F87:F97)</f>
        <v>64736</v>
      </c>
      <c r="G98" s="166">
        <f t="shared" si="22"/>
        <v>-95</v>
      </c>
      <c r="H98" s="166">
        <f t="shared" si="22"/>
        <v>0</v>
      </c>
      <c r="I98" s="166">
        <f t="shared" si="22"/>
        <v>64641</v>
      </c>
      <c r="J98" s="167">
        <f t="shared" si="19"/>
        <v>5.1181049369470946E-2</v>
      </c>
      <c r="K98" s="458"/>
      <c r="L98" s="163"/>
      <c r="M98" s="163"/>
      <c r="O98" s="329">
        <f>I98/I$233</f>
        <v>19.324663677130044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'[81]Sch C'!D89</f>
        <v>82125</v>
      </c>
      <c r="D101" s="480">
        <f>'[81]Sch C'!F89</f>
        <v>0</v>
      </c>
      <c r="E101" s="480">
        <f>+'[81]Sch C'!H89</f>
        <v>0</v>
      </c>
      <c r="F101" s="166">
        <f t="shared" ref="F101:F106" si="23">C101+D101+E101</f>
        <v>82125</v>
      </c>
      <c r="G101" s="626"/>
      <c r="H101" s="166"/>
      <c r="I101" s="166">
        <f t="shared" ref="I101:I106" si="24">F101+G101+H101</f>
        <v>82125</v>
      </c>
      <c r="J101" s="167">
        <f t="shared" ref="J101:J107" si="25">IF($I$213=0,0,I101/$I$213)</f>
        <v>6.5024422262461926E-2</v>
      </c>
      <c r="K101" s="458"/>
      <c r="L101" s="176">
        <v>4932</v>
      </c>
      <c r="M101" s="176">
        <v>4991</v>
      </c>
      <c r="O101" s="329">
        <f t="shared" ref="O101:O106" si="26">I101/I$233</f>
        <v>24.551569506726459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'[81]Sch C'!D90</f>
        <v>0</v>
      </c>
      <c r="D102" s="480">
        <f>'[81]Sch C'!F90</f>
        <v>8997</v>
      </c>
      <c r="E102" s="480">
        <f>+'[81]Sch C'!H90</f>
        <v>0</v>
      </c>
      <c r="F102" s="166">
        <f t="shared" si="23"/>
        <v>8997</v>
      </c>
      <c r="G102" s="626">
        <v>-254</v>
      </c>
      <c r="H102" s="166"/>
      <c r="I102" s="166">
        <f t="shared" si="24"/>
        <v>8743</v>
      </c>
      <c r="J102" s="167">
        <f t="shared" si="25"/>
        <v>6.9224782202825528E-3</v>
      </c>
      <c r="K102" s="458"/>
      <c r="L102" s="163"/>
      <c r="M102" s="163"/>
      <c r="O102" s="329">
        <f t="shared" si="26"/>
        <v>2.6137518684603886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'[81]Sch C'!D91</f>
        <v>4880</v>
      </c>
      <c r="D103" s="480">
        <f>'[81]Sch C'!F91</f>
        <v>0</v>
      </c>
      <c r="E103" s="480">
        <f>+'[81]Sch C'!H91</f>
        <v>0</v>
      </c>
      <c r="F103" s="166">
        <f t="shared" si="23"/>
        <v>4880</v>
      </c>
      <c r="G103" s="626"/>
      <c r="H103" s="166"/>
      <c r="I103" s="166">
        <f t="shared" si="24"/>
        <v>4880</v>
      </c>
      <c r="J103" s="167">
        <f t="shared" si="25"/>
        <v>3.8638560808622732E-3</v>
      </c>
      <c r="K103" s="458"/>
      <c r="L103" s="163"/>
      <c r="M103" s="163"/>
      <c r="O103" s="329">
        <f t="shared" si="26"/>
        <v>1.4588938714499253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'[81]Sch C'!D92</f>
        <v>30687</v>
      </c>
      <c r="D104" s="480">
        <f>'[81]Sch C'!F92</f>
        <v>-874</v>
      </c>
      <c r="E104" s="480">
        <f>+'[81]Sch C'!H92</f>
        <v>0</v>
      </c>
      <c r="F104" s="166">
        <f t="shared" si="23"/>
        <v>29813</v>
      </c>
      <c r="G104" s="626"/>
      <c r="H104" s="166"/>
      <c r="I104" s="166">
        <f t="shared" si="24"/>
        <v>29813</v>
      </c>
      <c r="J104" s="167">
        <f t="shared" si="25"/>
        <v>2.3605151913677656E-2</v>
      </c>
      <c r="K104" s="458"/>
      <c r="L104" s="163"/>
      <c r="M104" s="163"/>
      <c r="O104" s="329">
        <f t="shared" si="26"/>
        <v>8.9127055306427501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'[81]Sch C'!D93</f>
        <v>9640</v>
      </c>
      <c r="D105" s="480">
        <f>'[81]Sch C'!F93</f>
        <v>0</v>
      </c>
      <c r="E105" s="480">
        <f>+'[81]Sch C'!H93</f>
        <v>0</v>
      </c>
      <c r="F105" s="166">
        <f t="shared" si="23"/>
        <v>9640</v>
      </c>
      <c r="G105" s="626"/>
      <c r="H105" s="166"/>
      <c r="I105" s="166">
        <f t="shared" si="24"/>
        <v>9640</v>
      </c>
      <c r="J105" s="167">
        <f t="shared" si="25"/>
        <v>7.6326993072771141E-3</v>
      </c>
      <c r="K105" s="458"/>
      <c r="L105" s="163"/>
      <c r="M105" s="163"/>
      <c r="O105" s="329">
        <f t="shared" si="26"/>
        <v>2.8819133034379671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'[81]Sch C'!D94</f>
        <v>840</v>
      </c>
      <c r="D106" s="480">
        <f>'[81]Sch C'!F94</f>
        <v>0</v>
      </c>
      <c r="E106" s="480">
        <f>+'[81]Sch C'!H94</f>
        <v>0</v>
      </c>
      <c r="F106" s="166">
        <f t="shared" si="23"/>
        <v>840</v>
      </c>
      <c r="G106" s="626"/>
      <c r="H106" s="166"/>
      <c r="I106" s="166">
        <f t="shared" si="24"/>
        <v>840</v>
      </c>
      <c r="J106" s="167">
        <f t="shared" si="25"/>
        <v>6.6508998113203066E-4</v>
      </c>
      <c r="K106" s="458"/>
      <c r="L106" s="163"/>
      <c r="M106" s="163"/>
      <c r="O106" s="329">
        <f t="shared" si="26"/>
        <v>0.25112107623318386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128172</v>
      </c>
      <c r="D107" s="480">
        <f t="shared" si="27"/>
        <v>8123</v>
      </c>
      <c r="E107" s="480">
        <f t="shared" si="27"/>
        <v>0</v>
      </c>
      <c r="F107" s="166">
        <f t="shared" ref="F107:I107" si="28">SUM(F101:F106)</f>
        <v>136295</v>
      </c>
      <c r="G107" s="166">
        <f t="shared" si="28"/>
        <v>-254</v>
      </c>
      <c r="H107" s="166">
        <f t="shared" si="28"/>
        <v>0</v>
      </c>
      <c r="I107" s="166">
        <f t="shared" si="28"/>
        <v>136041</v>
      </c>
      <c r="J107" s="167">
        <f t="shared" si="25"/>
        <v>0.10771369776569355</v>
      </c>
      <c r="K107" s="458"/>
      <c r="L107" s="163"/>
      <c r="M107" s="163"/>
      <c r="O107" s="329">
        <f>I107/I$233</f>
        <v>40.669955156950671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'[81]Sch C'!D98</f>
        <v>0</v>
      </c>
      <c r="D110" s="480">
        <f>'[81]Sch C'!F98</f>
        <v>0</v>
      </c>
      <c r="E110" s="480">
        <f>+'[81]Sch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'[81]Sch C'!D99</f>
        <v>0</v>
      </c>
      <c r="D111" s="480">
        <f>'[81]Sch C'!F99</f>
        <v>0</v>
      </c>
      <c r="E111" s="480">
        <f>+'[81]Sch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'[81]Sch C'!D100</f>
        <v>1951</v>
      </c>
      <c r="D112" s="480">
        <f>'[81]Sch C'!F100</f>
        <v>0</v>
      </c>
      <c r="E112" s="480">
        <f>+'[81]Sch C'!H100</f>
        <v>0</v>
      </c>
      <c r="F112" s="166">
        <f t="shared" si="29"/>
        <v>1951</v>
      </c>
      <c r="G112" s="626"/>
      <c r="H112" s="166"/>
      <c r="I112" s="166">
        <f t="shared" si="30"/>
        <v>1951</v>
      </c>
      <c r="J112" s="167">
        <f t="shared" si="31"/>
        <v>1.5447506585578475E-3</v>
      </c>
      <c r="K112" s="458"/>
      <c r="L112" s="163"/>
      <c r="M112" s="163"/>
      <c r="O112" s="329">
        <f t="shared" si="32"/>
        <v>0.58325859491778775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'[81]Sch C'!D101</f>
        <v>0</v>
      </c>
      <c r="D113" s="480">
        <f>'[81]Sch C'!F101</f>
        <v>0</v>
      </c>
      <c r="E113" s="480">
        <f>+'[81]Sch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'[81]Sch C'!D102</f>
        <v>0</v>
      </c>
      <c r="D114" s="480">
        <f>'[81]Sch C'!F102</f>
        <v>0</v>
      </c>
      <c r="E114" s="480">
        <f>+'[81]Sch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'[81]Sch C'!D103</f>
        <v>0</v>
      </c>
      <c r="D115" s="480">
        <f>'[81]Sch C'!F103</f>
        <v>0</v>
      </c>
      <c r="E115" s="480">
        <f>+'[81]Sch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1951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1951</v>
      </c>
      <c r="G116" s="166">
        <f t="shared" si="34"/>
        <v>0</v>
      </c>
      <c r="H116" s="166">
        <f t="shared" si="34"/>
        <v>0</v>
      </c>
      <c r="I116" s="166">
        <f t="shared" si="34"/>
        <v>1951</v>
      </c>
      <c r="J116" s="167">
        <f t="shared" si="31"/>
        <v>1.5447506585578475E-3</v>
      </c>
      <c r="K116" s="458"/>
      <c r="L116" s="163"/>
      <c r="M116" s="163"/>
      <c r="O116" s="329">
        <f>I116/I$233</f>
        <v>0.58325859491778775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'[81]Sch C'!D115</f>
        <v>17057</v>
      </c>
      <c r="D119" s="480">
        <f>'[81]Sch C'!F115</f>
        <v>0</v>
      </c>
      <c r="E119" s="480">
        <f>+'[81]Sch C'!H115</f>
        <v>0</v>
      </c>
      <c r="F119" s="166">
        <f t="shared" ref="F119:F123" si="35">C119+D119+E119</f>
        <v>17057</v>
      </c>
      <c r="G119" s="626"/>
      <c r="H119" s="166"/>
      <c r="I119" s="166">
        <f t="shared" ref="I119:I123" si="36">F119+G119+H119</f>
        <v>17057</v>
      </c>
      <c r="J119" s="167">
        <f t="shared" ref="J119:J124" si="37">IF($I$213=0,0,I119/$I$213)</f>
        <v>1.3505285485915532E-2</v>
      </c>
      <c r="K119" s="458"/>
      <c r="L119" s="176">
        <v>1350</v>
      </c>
      <c r="M119" s="176">
        <v>1350</v>
      </c>
      <c r="O119" s="329">
        <f t="shared" ref="O119:O124" si="38">I119/I$233</f>
        <v>5.0992526158445441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'[81]Sch C'!D116</f>
        <v>0</v>
      </c>
      <c r="D120" s="480">
        <f>'[81]Sch C'!F116</f>
        <v>1895</v>
      </c>
      <c r="E120" s="480">
        <f>+'[81]Sch C'!H116</f>
        <v>0</v>
      </c>
      <c r="F120" s="166">
        <f t="shared" si="35"/>
        <v>1895</v>
      </c>
      <c r="G120" s="626">
        <v>-81</v>
      </c>
      <c r="H120" s="166"/>
      <c r="I120" s="166">
        <f t="shared" si="36"/>
        <v>1814</v>
      </c>
      <c r="J120" s="167">
        <f t="shared" si="37"/>
        <v>1.4362776497303614E-3</v>
      </c>
      <c r="K120" s="458"/>
      <c r="L120" s="163"/>
      <c r="M120" s="163"/>
      <c r="O120" s="329">
        <f t="shared" si="38"/>
        <v>0.5423019431988042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'[81]Sch C'!D117</f>
        <v>4538</v>
      </c>
      <c r="D121" s="480">
        <f>'[81]Sch C'!F117</f>
        <v>0</v>
      </c>
      <c r="E121" s="480">
        <f>+'[81]Sch C'!H117</f>
        <v>0</v>
      </c>
      <c r="F121" s="166">
        <f t="shared" si="35"/>
        <v>4538</v>
      </c>
      <c r="G121" s="626"/>
      <c r="H121" s="166"/>
      <c r="I121" s="166">
        <f t="shared" si="36"/>
        <v>4538</v>
      </c>
      <c r="J121" s="167">
        <f t="shared" si="37"/>
        <v>3.5930694456870896E-3</v>
      </c>
      <c r="K121" s="458"/>
      <c r="L121" s="163"/>
      <c r="M121" s="163"/>
      <c r="O121" s="329">
        <f t="shared" si="38"/>
        <v>1.3566517189835576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'[81]Sch C'!D118</f>
        <v>0</v>
      </c>
      <c r="D122" s="480">
        <f>'[81]Sch C'!F118</f>
        <v>0</v>
      </c>
      <c r="E122" s="480">
        <f>+'[81]Sch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'[81]Sch C'!D119</f>
        <v>532</v>
      </c>
      <c r="D123" s="480">
        <f>'[81]Sch C'!F119</f>
        <v>0</v>
      </c>
      <c r="E123" s="480">
        <f>+'[81]Sch C'!H119</f>
        <v>0</v>
      </c>
      <c r="F123" s="166">
        <f t="shared" si="35"/>
        <v>532</v>
      </c>
      <c r="G123" s="626"/>
      <c r="H123" s="166"/>
      <c r="I123" s="166">
        <f t="shared" si="36"/>
        <v>532</v>
      </c>
      <c r="J123" s="167">
        <f t="shared" si="37"/>
        <v>4.2122365471695277E-4</v>
      </c>
      <c r="K123" s="458"/>
      <c r="L123" s="163"/>
      <c r="M123" s="163"/>
      <c r="O123" s="329">
        <f t="shared" si="38"/>
        <v>0.15904334828101643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22127</v>
      </c>
      <c r="D124" s="480">
        <f t="shared" si="39"/>
        <v>1895</v>
      </c>
      <c r="E124" s="480">
        <f t="shared" si="39"/>
        <v>0</v>
      </c>
      <c r="F124" s="166">
        <f t="shared" ref="F124:I124" si="40">SUM(F119:F123)</f>
        <v>24022</v>
      </c>
      <c r="G124" s="166">
        <f t="shared" si="40"/>
        <v>-81</v>
      </c>
      <c r="H124" s="166">
        <f t="shared" si="40"/>
        <v>0</v>
      </c>
      <c r="I124" s="166">
        <f t="shared" si="40"/>
        <v>23941</v>
      </c>
      <c r="J124" s="167">
        <f t="shared" si="37"/>
        <v>1.8955856236049937E-2</v>
      </c>
      <c r="K124" s="458"/>
      <c r="L124" s="163"/>
      <c r="M124" s="163"/>
      <c r="O124" s="329">
        <f t="shared" si="38"/>
        <v>7.1572496263079222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'[81]Sch C'!D124</f>
        <v>0</v>
      </c>
      <c r="D128" s="480">
        <f>'[81]Sch C'!F124</f>
        <v>0</v>
      </c>
      <c r="E128" s="480">
        <f>+'[81]Sch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'[81]Sch C'!D125</f>
        <v>45500</v>
      </c>
      <c r="D129" s="480">
        <f>'[81]Sch C'!F125</f>
        <v>0</v>
      </c>
      <c r="E129" s="480">
        <f>+'[81]Sch C'!H125</f>
        <v>0</v>
      </c>
      <c r="F129" s="166">
        <f t="shared" si="41"/>
        <v>45500</v>
      </c>
      <c r="G129" s="626"/>
      <c r="H129" s="166"/>
      <c r="I129" s="166">
        <f t="shared" si="42"/>
        <v>45500</v>
      </c>
      <c r="J129" s="167">
        <f>IF($I$213=0,0,I129/$I$213)</f>
        <v>3.6025707311318329E-2</v>
      </c>
      <c r="K129" s="458"/>
      <c r="L129" s="176">
        <v>1040</v>
      </c>
      <c r="M129" s="176">
        <v>1040</v>
      </c>
      <c r="O129" s="329">
        <f t="shared" si="43"/>
        <v>13.602391629297459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'[81]Sch C'!D126</f>
        <v>0</v>
      </c>
      <c r="D130" s="480">
        <f>'[81]Sch C'!F126</f>
        <v>0</v>
      </c>
      <c r="E130" s="480">
        <f>+'[81]Sch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'[81]Sch C'!D127</f>
        <v>0</v>
      </c>
      <c r="D131" s="480">
        <f>'[81]Sch C'!F127</f>
        <v>0</v>
      </c>
      <c r="E131" s="480">
        <f>+'[81]Sch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'[81]Sch C'!D128</f>
        <v>75604</v>
      </c>
      <c r="D132" s="480">
        <f>'[81]Sch C'!F128</f>
        <v>0</v>
      </c>
      <c r="E132" s="480">
        <f>+'[81]Sch C'!H128</f>
        <v>0</v>
      </c>
      <c r="F132" s="166">
        <f t="shared" si="41"/>
        <v>75604</v>
      </c>
      <c r="G132" s="626"/>
      <c r="H132" s="166"/>
      <c r="I132" s="166">
        <f t="shared" si="42"/>
        <v>75604</v>
      </c>
      <c r="J132" s="167">
        <f>IF($I$213=0,0,I132/$I$213)</f>
        <v>5.9861265397031009E-2</v>
      </c>
      <c r="K132" s="458"/>
      <c r="L132" s="176">
        <v>1421</v>
      </c>
      <c r="M132" s="176">
        <v>1553</v>
      </c>
      <c r="O132" s="329">
        <f t="shared" si="43"/>
        <v>22.602092675635276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'[81]Sch C'!D130</f>
        <v>0</v>
      </c>
      <c r="D134" s="480">
        <f>'[81]Sch C'!F130</f>
        <v>0</v>
      </c>
      <c r="E134" s="480">
        <f>+'[81]Sch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'[81]Sch C'!D131</f>
        <v>0</v>
      </c>
      <c r="D135" s="480">
        <f>'[81]Sch C'!F131</f>
        <v>5055</v>
      </c>
      <c r="E135" s="480">
        <f>+'[81]Sch C'!H131</f>
        <v>0</v>
      </c>
      <c r="F135" s="166">
        <f t="shared" si="44"/>
        <v>5055</v>
      </c>
      <c r="G135" s="626">
        <v>-216</v>
      </c>
      <c r="H135" s="166"/>
      <c r="I135" s="166">
        <f t="shared" si="45"/>
        <v>4839</v>
      </c>
      <c r="J135" s="167">
        <f>IF($I$213=0,0,I135/$I$213)</f>
        <v>3.8313933555927339E-3</v>
      </c>
      <c r="K135" s="458"/>
      <c r="L135" s="196"/>
      <c r="M135" s="196"/>
      <c r="O135" s="329">
        <f t="shared" si="43"/>
        <v>1.4466367713004484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'[81]Sch C'!D132</f>
        <v>0</v>
      </c>
      <c r="D136" s="480">
        <f>'[81]Sch C'!F132</f>
        <v>0</v>
      </c>
      <c r="E136" s="480">
        <f>+'[81]Sch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'[81]Sch C'!D133</f>
        <v>0</v>
      </c>
      <c r="D137" s="480">
        <f>'[81]Sch C'!F133</f>
        <v>0</v>
      </c>
      <c r="E137" s="480">
        <f>+'[81]Sch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'[81]Sch C'!D134</f>
        <v>0</v>
      </c>
      <c r="D138" s="480">
        <f>'[81]Sch C'!F134</f>
        <v>8399</v>
      </c>
      <c r="E138" s="480">
        <f>+'[81]Sch C'!H134</f>
        <v>0</v>
      </c>
      <c r="F138" s="166">
        <f t="shared" si="44"/>
        <v>8399</v>
      </c>
      <c r="G138" s="626">
        <v>-359</v>
      </c>
      <c r="H138" s="166"/>
      <c r="I138" s="166">
        <f t="shared" si="45"/>
        <v>8040</v>
      </c>
      <c r="J138" s="167">
        <f>IF($I$213=0,0,I138/$I$213)</f>
        <v>6.3658612479780075E-3</v>
      </c>
      <c r="K138" s="458"/>
      <c r="L138" s="163"/>
      <c r="M138" s="163"/>
      <c r="O138" s="329">
        <f t="shared" si="43"/>
        <v>2.4035874439461882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'[81]Sch C'!D136</f>
        <v>57114</v>
      </c>
      <c r="D140" s="480">
        <f>'[81]Sch C'!F136</f>
        <v>0</v>
      </c>
      <c r="E140" s="480">
        <f>+'[81]Sch C'!H136</f>
        <v>0</v>
      </c>
      <c r="F140" s="166">
        <f t="shared" ref="F140:F143" si="46">C140+D140+E140</f>
        <v>57114</v>
      </c>
      <c r="G140" s="626"/>
      <c r="H140" s="166"/>
      <c r="I140" s="166">
        <f t="shared" ref="I140:I143" si="47">F140+G140+H140</f>
        <v>57114</v>
      </c>
      <c r="J140" s="167">
        <f>IF($I$213=0,0,I140/$I$213)</f>
        <v>4.5221368074255711E-2</v>
      </c>
      <c r="K140" s="458"/>
      <c r="L140" s="176">
        <v>1644</v>
      </c>
      <c r="M140" s="176">
        <v>1713</v>
      </c>
      <c r="O140" s="329">
        <f t="shared" si="43"/>
        <v>17.074439461883408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'[81]Sch C'!D137</f>
        <v>88015</v>
      </c>
      <c r="D141" s="480">
        <f>'[81]Sch C'!F137</f>
        <v>0</v>
      </c>
      <c r="E141" s="480">
        <f>+'[81]Sch C'!H137</f>
        <v>0</v>
      </c>
      <c r="F141" s="166">
        <f t="shared" si="46"/>
        <v>88015</v>
      </c>
      <c r="G141" s="626"/>
      <c r="H141" s="166"/>
      <c r="I141" s="166">
        <f t="shared" si="47"/>
        <v>88015</v>
      </c>
      <c r="J141" s="167">
        <f>IF($I$213=0,0,I141/$I$213)</f>
        <v>6.9687969868256761E-2</v>
      </c>
      <c r="K141" s="458"/>
      <c r="L141" s="176">
        <v>3190</v>
      </c>
      <c r="M141" s="176">
        <v>3208</v>
      </c>
      <c r="O141" s="329">
        <f t="shared" si="43"/>
        <v>26.312406576980568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'[81]Sch C'!D138</f>
        <v>146270</v>
      </c>
      <c r="D142" s="480">
        <f>'[81]Sch C'!F138</f>
        <v>0</v>
      </c>
      <c r="E142" s="480">
        <f>+'[81]Sch C'!H138</f>
        <v>0</v>
      </c>
      <c r="F142" s="166">
        <f t="shared" si="46"/>
        <v>146270</v>
      </c>
      <c r="G142" s="626"/>
      <c r="H142" s="166"/>
      <c r="I142" s="166">
        <f t="shared" si="47"/>
        <v>146270</v>
      </c>
      <c r="J142" s="167">
        <f>IF($I$213=0,0,I142/$I$213)</f>
        <v>0.11581275183355015</v>
      </c>
      <c r="K142" s="458"/>
      <c r="L142" s="176">
        <v>8928</v>
      </c>
      <c r="M142" s="176">
        <v>9003</v>
      </c>
      <c r="O142" s="329">
        <f t="shared" si="43"/>
        <v>43.727952167414053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'[81]Sch C'!D139</f>
        <v>0</v>
      </c>
      <c r="D143" s="480">
        <f>'[81]Sch C'!F139</f>
        <v>0</v>
      </c>
      <c r="E143" s="480">
        <f>+'[81]Sch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'[81]Sch C'!D141</f>
        <v>0</v>
      </c>
      <c r="D145" s="480">
        <f>'[81]Sch C'!F141</f>
        <v>6345</v>
      </c>
      <c r="E145" s="480">
        <f>+'[81]Sch C'!H141</f>
        <v>0</v>
      </c>
      <c r="F145" s="166">
        <f t="shared" ref="F145:F148" si="48">C145+D145+E145</f>
        <v>6345</v>
      </c>
      <c r="G145" s="626">
        <v>-271</v>
      </c>
      <c r="H145" s="166"/>
      <c r="I145" s="166">
        <f t="shared" ref="I145:I148" si="49">F145+G145+H145</f>
        <v>6074</v>
      </c>
      <c r="J145" s="167">
        <f>IF($I$213=0,0,I145/$I$213)</f>
        <v>4.8092339826142309E-3</v>
      </c>
      <c r="K145" s="458"/>
      <c r="L145" s="163"/>
      <c r="M145" s="163"/>
      <c r="O145" s="329">
        <f t="shared" si="43"/>
        <v>1.8158445440956652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'[81]Sch C'!D142</f>
        <v>0</v>
      </c>
      <c r="D146" s="480">
        <f>'[81]Sch C'!F142</f>
        <v>9778</v>
      </c>
      <c r="E146" s="480">
        <f>+'[81]Sch C'!H142</f>
        <v>0</v>
      </c>
      <c r="F146" s="166">
        <f t="shared" si="48"/>
        <v>9778</v>
      </c>
      <c r="G146" s="626">
        <v>-418</v>
      </c>
      <c r="H146" s="166"/>
      <c r="I146" s="166">
        <f t="shared" si="49"/>
        <v>9360</v>
      </c>
      <c r="J146" s="167">
        <f>IF($I$213=0,0,I146/$I$213)</f>
        <v>7.4110026468997697E-3</v>
      </c>
      <c r="K146" s="458"/>
      <c r="L146" s="163"/>
      <c r="M146" s="163"/>
      <c r="O146" s="329">
        <f t="shared" si="43"/>
        <v>2.7982062780269059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'[81]Sch C'!D143</f>
        <v>0</v>
      </c>
      <c r="D147" s="480">
        <f>'[81]Sch C'!F143</f>
        <v>16250</v>
      </c>
      <c r="E147" s="480">
        <f>+'[81]Sch C'!H143</f>
        <v>0</v>
      </c>
      <c r="F147" s="166">
        <f t="shared" si="48"/>
        <v>16250</v>
      </c>
      <c r="G147" s="626">
        <v>-694</v>
      </c>
      <c r="H147" s="166"/>
      <c r="I147" s="166">
        <f t="shared" si="49"/>
        <v>15556</v>
      </c>
      <c r="J147" s="167">
        <f>IF($I$213=0,0,I147/$I$213)</f>
        <v>1.2316833031535558E-2</v>
      </c>
      <c r="K147" s="458"/>
      <c r="L147" s="163"/>
      <c r="M147" s="163"/>
      <c r="O147" s="329">
        <f t="shared" si="43"/>
        <v>4.6505231689088191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'[81]Sch C'!D144</f>
        <v>0</v>
      </c>
      <c r="D148" s="480">
        <f>'[81]Sch C'!F144</f>
        <v>0</v>
      </c>
      <c r="E148" s="480">
        <f>+'[81]Sch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'[81]Sch C'!D146</f>
        <v>14000</v>
      </c>
      <c r="D150" s="480">
        <f>'[81]Sch C'!F146</f>
        <v>0</v>
      </c>
      <c r="E150" s="480">
        <f>+'[81]Sch C'!H146</f>
        <v>0</v>
      </c>
      <c r="F150" s="166">
        <f t="shared" ref="F150:F158" si="50">C150+D150+E150</f>
        <v>14000</v>
      </c>
      <c r="G150" s="626"/>
      <c r="H150" s="166"/>
      <c r="I150" s="166">
        <f t="shared" ref="I150:I158" si="51">F150+G150+H150</f>
        <v>14000</v>
      </c>
      <c r="J150" s="167">
        <f t="shared" ref="J150:J158" si="52">IF($I$213=0,0,I150/$I$213)</f>
        <v>1.1084833018867177E-2</v>
      </c>
      <c r="K150" s="458"/>
      <c r="L150" s="176">
        <v>0</v>
      </c>
      <c r="M150" s="176">
        <v>0</v>
      </c>
      <c r="O150" s="329">
        <f t="shared" si="43"/>
        <v>4.1853512705530642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'[81]Sch C'!D147</f>
        <v>0</v>
      </c>
      <c r="D151" s="480">
        <f>'[81]Sch C'!F147</f>
        <v>0</v>
      </c>
      <c r="E151" s="480">
        <f>+'[81]Sch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'[81]Sch C'!D148</f>
        <v>0</v>
      </c>
      <c r="D152" s="480">
        <f>'[81]Sch C'!F148</f>
        <v>0</v>
      </c>
      <c r="E152" s="480">
        <f>+'[81]Sch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'[81]Sch C'!D149</f>
        <v>0</v>
      </c>
      <c r="D153" s="480">
        <f>'[81]Sch C'!F149</f>
        <v>0</v>
      </c>
      <c r="E153" s="480">
        <f>+'[81]Sch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'[81]Sch C'!D150</f>
        <v>2500</v>
      </c>
      <c r="D154" s="480">
        <f>'[81]Sch C'!F150</f>
        <v>0</v>
      </c>
      <c r="E154" s="480">
        <f>+'[81]Sch C'!H150</f>
        <v>0</v>
      </c>
      <c r="F154" s="166">
        <f t="shared" si="50"/>
        <v>2500</v>
      </c>
      <c r="G154" s="626"/>
      <c r="H154" s="166"/>
      <c r="I154" s="166">
        <f t="shared" si="51"/>
        <v>2500</v>
      </c>
      <c r="J154" s="167">
        <f t="shared" si="52"/>
        <v>1.9794344676548532E-3</v>
      </c>
      <c r="K154" s="458"/>
      <c r="L154" s="176">
        <v>0</v>
      </c>
      <c r="M154" s="176">
        <v>0</v>
      </c>
      <c r="O154" s="329">
        <f t="shared" si="43"/>
        <v>0.74738415545590431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'[81]Sch C'!D151</f>
        <v>29639</v>
      </c>
      <c r="D155" s="480">
        <f>'[81]Sch C'!F151</f>
        <v>0</v>
      </c>
      <c r="E155" s="480">
        <f>+'[81]Sch C'!H151</f>
        <v>0</v>
      </c>
      <c r="F155" s="166">
        <f t="shared" si="50"/>
        <v>29639</v>
      </c>
      <c r="G155" s="626"/>
      <c r="H155" s="166"/>
      <c r="I155" s="166">
        <f t="shared" si="51"/>
        <v>29639</v>
      </c>
      <c r="J155" s="167">
        <f t="shared" si="52"/>
        <v>2.3467383274728876E-2</v>
      </c>
      <c r="K155" s="457"/>
      <c r="L155" s="163"/>
      <c r="M155" s="163"/>
      <c r="O155" s="329">
        <f t="shared" si="43"/>
        <v>8.8606875934230196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'[81]Sch C'!D152</f>
        <v>577</v>
      </c>
      <c r="D156" s="480">
        <f>'[81]Sch C'!F152</f>
        <v>0</v>
      </c>
      <c r="E156" s="480">
        <f>+'[81]Sch C'!H152</f>
        <v>0</v>
      </c>
      <c r="F156" s="166">
        <f t="shared" si="50"/>
        <v>577</v>
      </c>
      <c r="G156" s="626"/>
      <c r="H156" s="166"/>
      <c r="I156" s="166">
        <f t="shared" si="51"/>
        <v>577</v>
      </c>
      <c r="J156" s="167">
        <f t="shared" si="52"/>
        <v>4.568534751347401E-4</v>
      </c>
      <c r="K156" s="458"/>
      <c r="L156" s="163"/>
      <c r="M156" s="163"/>
      <c r="O156" s="329">
        <f t="shared" si="43"/>
        <v>0.17249626307922272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'[81]Sch C'!D153</f>
        <v>0</v>
      </c>
      <c r="D157" s="480">
        <f>'[81]Sch C'!F153</f>
        <v>0</v>
      </c>
      <c r="E157" s="480">
        <f>+'[81]Sch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'[81]Sch C'!D154</f>
        <v>0</v>
      </c>
      <c r="D158" s="480">
        <f>'[81]Sch C'!F154</f>
        <v>0</v>
      </c>
      <c r="E158" s="480">
        <f>+'[81]Sch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'[81]Sch C'!D156</f>
        <v>0</v>
      </c>
      <c r="D160" s="480">
        <f>'[81]Sch C'!F156</f>
        <v>0</v>
      </c>
      <c r="E160" s="480">
        <f>+'[81]Sch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'[81]Sch C'!D157</f>
        <v>0</v>
      </c>
      <c r="D161" s="480">
        <f>'[81]Sch C'!F157</f>
        <v>0</v>
      </c>
      <c r="E161" s="480">
        <f>+'[81]Sch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'[81]Sch C'!D158</f>
        <v>0</v>
      </c>
      <c r="D162" s="480">
        <f>'[81]Sch C'!F158</f>
        <v>0</v>
      </c>
      <c r="E162" s="480">
        <f>+'[81]Sch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'[81]Sch C'!D159</f>
        <v>0</v>
      </c>
      <c r="D163" s="480">
        <f>'[81]Sch C'!F159</f>
        <v>0</v>
      </c>
      <c r="E163" s="480">
        <f>+'[81]Sch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'[81]Sch C'!D160</f>
        <v>0</v>
      </c>
      <c r="D164" s="480">
        <f>'[81]Sch C'!F160</f>
        <v>0</v>
      </c>
      <c r="E164" s="480">
        <f>+'[81]Sch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'[81]Sch C'!D161</f>
        <v>0</v>
      </c>
      <c r="D165" s="480">
        <f>'[81]Sch C'!F161</f>
        <v>0</v>
      </c>
      <c r="E165" s="480">
        <f>+'[81]Sch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459219</v>
      </c>
      <c r="D166" s="480">
        <f t="shared" si="56"/>
        <v>45827</v>
      </c>
      <c r="E166" s="480">
        <f t="shared" si="56"/>
        <v>0</v>
      </c>
      <c r="F166" s="166">
        <f t="shared" ref="F166:I166" si="57">SUM(F128:F165)</f>
        <v>505046</v>
      </c>
      <c r="G166" s="166">
        <f t="shared" si="57"/>
        <v>-1958</v>
      </c>
      <c r="H166" s="166">
        <f t="shared" si="57"/>
        <v>0</v>
      </c>
      <c r="I166" s="166">
        <f t="shared" si="57"/>
        <v>503088</v>
      </c>
      <c r="J166" s="167">
        <f t="shared" si="55"/>
        <v>0.39833189098541788</v>
      </c>
      <c r="K166" s="458"/>
      <c r="L166" s="163"/>
      <c r="M166" s="163"/>
      <c r="O166" s="329">
        <f>I166/I$233</f>
        <v>150.4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'[81]Sch C'!D175</f>
        <v>0</v>
      </c>
      <c r="D169" s="480">
        <f>'[81]Sch C'!F175</f>
        <v>0</v>
      </c>
      <c r="E169" s="480">
        <f>+'[81]Sch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'[81]Sch C'!D176</f>
        <v>0</v>
      </c>
      <c r="D170" s="480">
        <f>'[81]Sch C'!F176</f>
        <v>0</v>
      </c>
      <c r="E170" s="480">
        <f>+'[81]Sch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'[81]Sch C'!D177</f>
        <v>80444</v>
      </c>
      <c r="D171" s="480">
        <f>'[81]Sch C'!F177</f>
        <v>0</v>
      </c>
      <c r="E171" s="480">
        <f>+'[81]Sch C'!H177</f>
        <v>0</v>
      </c>
      <c r="F171" s="166">
        <f t="shared" si="58"/>
        <v>80444</v>
      </c>
      <c r="G171" s="626"/>
      <c r="H171" s="166"/>
      <c r="I171" s="166">
        <f t="shared" si="59"/>
        <v>80444</v>
      </c>
      <c r="J171" s="167">
        <f t="shared" si="60"/>
        <v>6.3693450526410803E-2</v>
      </c>
      <c r="K171" s="468"/>
      <c r="L171" s="176">
        <v>1332</v>
      </c>
      <c r="M171" s="176">
        <v>1388</v>
      </c>
      <c r="N171" s="208"/>
      <c r="O171" s="329">
        <f t="shared" si="61"/>
        <v>24.049028400597908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'[81]Sch C'!D178</f>
        <v>0</v>
      </c>
      <c r="D172" s="480">
        <f>'[81]Sch C'!F178</f>
        <v>8937</v>
      </c>
      <c r="E172" s="480">
        <f>+'[81]Sch C'!H178</f>
        <v>0</v>
      </c>
      <c r="F172" s="166">
        <f t="shared" si="58"/>
        <v>8937</v>
      </c>
      <c r="G172" s="626">
        <v>-382</v>
      </c>
      <c r="H172" s="166"/>
      <c r="I172" s="166">
        <f t="shared" si="59"/>
        <v>8555</v>
      </c>
      <c r="J172" s="167">
        <f t="shared" si="60"/>
        <v>6.7736247483149072E-3</v>
      </c>
      <c r="K172" s="469"/>
      <c r="L172" s="212"/>
      <c r="M172" s="212"/>
      <c r="N172" s="208"/>
      <c r="O172" s="329">
        <f t="shared" si="61"/>
        <v>2.5575485799701045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'[81]Sch C'!D179</f>
        <v>7867</v>
      </c>
      <c r="D173" s="480">
        <f>'[81]Sch C'!F179</f>
        <v>0</v>
      </c>
      <c r="E173" s="480">
        <f>+'[81]Sch C'!H179</f>
        <v>0</v>
      </c>
      <c r="F173" s="166">
        <f t="shared" si="58"/>
        <v>7867</v>
      </c>
      <c r="G173" s="626"/>
      <c r="H173" s="166"/>
      <c r="I173" s="166">
        <f t="shared" si="59"/>
        <v>7867</v>
      </c>
      <c r="J173" s="167">
        <f t="shared" si="60"/>
        <v>6.2288843828162922E-3</v>
      </c>
      <c r="K173" s="468"/>
      <c r="L173" s="176">
        <v>155</v>
      </c>
      <c r="M173" s="176">
        <v>155</v>
      </c>
      <c r="N173" s="208"/>
      <c r="O173" s="329">
        <f t="shared" si="61"/>
        <v>2.3518684603886397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'[81]Sch C'!D180</f>
        <v>0</v>
      </c>
      <c r="D174" s="480">
        <f>'[81]Sch C'!F180</f>
        <v>874</v>
      </c>
      <c r="E174" s="480">
        <f>+'[81]Sch C'!H180</f>
        <v>0</v>
      </c>
      <c r="F174" s="166">
        <f t="shared" si="58"/>
        <v>874</v>
      </c>
      <c r="G174" s="626">
        <v>-37</v>
      </c>
      <c r="H174" s="166"/>
      <c r="I174" s="166">
        <f t="shared" si="59"/>
        <v>837</v>
      </c>
      <c r="J174" s="167">
        <f t="shared" si="60"/>
        <v>6.6271465977084485E-4</v>
      </c>
      <c r="K174" s="469"/>
      <c r="L174" s="212"/>
      <c r="M174" s="212"/>
      <c r="N174" s="208"/>
      <c r="O174" s="329">
        <f t="shared" si="61"/>
        <v>0.25022421524663679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'[81]Sch C'!D181</f>
        <v>0</v>
      </c>
      <c r="D175" s="480">
        <f>'[81]Sch C'!F181</f>
        <v>0</v>
      </c>
      <c r="E175" s="480">
        <f>+'[81]Sch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'[81]Sch C'!D182</f>
        <v>0</v>
      </c>
      <c r="D176" s="480">
        <f>'[81]Sch C'!F182</f>
        <v>0</v>
      </c>
      <c r="E176" s="480">
        <f>+'[81]Sch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'[81]Sch C'!D183</f>
        <v>4051</v>
      </c>
      <c r="D177" s="480">
        <f>'[81]Sch C'!F183</f>
        <v>0</v>
      </c>
      <c r="E177" s="480">
        <f>+'[81]Sch C'!H183</f>
        <v>0</v>
      </c>
      <c r="F177" s="166">
        <f t="shared" si="58"/>
        <v>4051</v>
      </c>
      <c r="G177" s="626">
        <v>31558</v>
      </c>
      <c r="H177" s="166"/>
      <c r="I177" s="166">
        <f t="shared" si="59"/>
        <v>35609</v>
      </c>
      <c r="J177" s="167">
        <f t="shared" si="60"/>
        <v>2.8194272783488666E-2</v>
      </c>
      <c r="K177" s="468"/>
      <c r="L177" s="176">
        <v>788</v>
      </c>
      <c r="M177" s="176">
        <v>800</v>
      </c>
      <c r="N177" s="208"/>
      <c r="O177" s="329">
        <f t="shared" si="61"/>
        <v>10.645440956651719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'[81]Sch C'!D184</f>
        <v>0</v>
      </c>
      <c r="D178" s="480">
        <f>'[81]Sch C'!F184</f>
        <v>450</v>
      </c>
      <c r="E178" s="480">
        <f>+'[81]Sch C'!H184</f>
        <v>0</v>
      </c>
      <c r="F178" s="166">
        <f t="shared" si="58"/>
        <v>450</v>
      </c>
      <c r="G178" s="626">
        <v>3338</v>
      </c>
      <c r="H178" s="166"/>
      <c r="I178" s="166">
        <f t="shared" si="59"/>
        <v>3788</v>
      </c>
      <c r="J178" s="167">
        <f t="shared" si="60"/>
        <v>2.9992391053906336E-3</v>
      </c>
      <c r="K178" s="469"/>
      <c r="L178" s="212"/>
      <c r="M178" s="212"/>
      <c r="N178" s="208"/>
      <c r="O178" s="329">
        <f t="shared" si="61"/>
        <v>1.1324364723467863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'[81]Sch C'!D185</f>
        <v>0</v>
      </c>
      <c r="D179" s="480">
        <f>'[81]Sch C'!F185</f>
        <v>0</v>
      </c>
      <c r="E179" s="480">
        <f>+'[81]Sch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'[81]Sch C'!D186</f>
        <v>0</v>
      </c>
      <c r="D180" s="480">
        <f>'[81]Sch C'!F186</f>
        <v>0</v>
      </c>
      <c r="E180" s="480">
        <f>+'[81]Sch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'[81]Sch C'!D187</f>
        <v>0</v>
      </c>
      <c r="D181" s="480">
        <f>'[81]Sch C'!F187</f>
        <v>0</v>
      </c>
      <c r="E181" s="480">
        <f>+'[81]Sch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'[81]Sch C'!D188</f>
        <v>1067</v>
      </c>
      <c r="D182" s="480">
        <f>'[81]Sch C'!F188</f>
        <v>0</v>
      </c>
      <c r="E182" s="480">
        <f>+'[81]Sch C'!H188</f>
        <v>0</v>
      </c>
      <c r="F182" s="166">
        <f t="shared" si="58"/>
        <v>1067</v>
      </c>
      <c r="G182" s="626"/>
      <c r="H182" s="166"/>
      <c r="I182" s="166">
        <f t="shared" si="59"/>
        <v>1067</v>
      </c>
      <c r="J182" s="167">
        <f t="shared" si="60"/>
        <v>8.4482263079509136E-4</v>
      </c>
      <c r="K182" s="458"/>
      <c r="L182" s="213"/>
      <c r="M182" s="208"/>
      <c r="N182" s="210"/>
      <c r="O182" s="329">
        <f t="shared" si="61"/>
        <v>0.31898355754857999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'[81]Sch C'!D189</f>
        <v>102</v>
      </c>
      <c r="D183" s="480">
        <f>'[81]Sch C'!F189</f>
        <v>0</v>
      </c>
      <c r="E183" s="480">
        <f>+'[81]Sch C'!H189</f>
        <v>0</v>
      </c>
      <c r="F183" s="166">
        <f t="shared" si="58"/>
        <v>102</v>
      </c>
      <c r="G183" s="626"/>
      <c r="H183" s="166"/>
      <c r="I183" s="166">
        <f t="shared" si="59"/>
        <v>102</v>
      </c>
      <c r="J183" s="167">
        <f t="shared" si="60"/>
        <v>8.0760926280318011E-5</v>
      </c>
      <c r="K183" s="458"/>
      <c r="L183" s="213"/>
      <c r="M183" s="208"/>
      <c r="N183" s="210"/>
      <c r="O183" s="329">
        <f t="shared" si="61"/>
        <v>3.0493273542600896E-2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'[81]Sch C'!D190</f>
        <v>0</v>
      </c>
      <c r="D184" s="480">
        <f>'[81]Sch C'!F190</f>
        <v>0</v>
      </c>
      <c r="E184" s="480">
        <f>+'[81]Sch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'[81]Sch C'!D191</f>
        <v>758</v>
      </c>
      <c r="D185" s="480">
        <f>'[81]Sch C'!F191</f>
        <v>0</v>
      </c>
      <c r="E185" s="480">
        <f>+'[81]Sch C'!H191</f>
        <v>0</v>
      </c>
      <c r="F185" s="166">
        <f t="shared" si="58"/>
        <v>758</v>
      </c>
      <c r="G185" s="626"/>
      <c r="H185" s="166"/>
      <c r="I185" s="166">
        <f t="shared" si="59"/>
        <v>758</v>
      </c>
      <c r="J185" s="167">
        <f t="shared" si="60"/>
        <v>6.0016453059295145E-4</v>
      </c>
      <c r="K185" s="458"/>
      <c r="L185" s="213"/>
      <c r="M185" s="208"/>
      <c r="N185" s="210"/>
      <c r="O185" s="329">
        <f t="shared" si="61"/>
        <v>0.22660687593423021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'[81]Sch C'!D192</f>
        <v>0</v>
      </c>
      <c r="D186" s="480">
        <f>'[81]Sch C'!F192</f>
        <v>0</v>
      </c>
      <c r="E186" s="480">
        <f>+'[81]Sch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'[81]Sch C'!D193</f>
        <v>0</v>
      </c>
      <c r="D187" s="480">
        <f>'[81]Sch C'!F193</f>
        <v>0</v>
      </c>
      <c r="E187" s="480">
        <f>+'[81]Sch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'[81]Sch C'!D194</f>
        <v>133</v>
      </c>
      <c r="D188" s="480">
        <f>'[81]Sch C'!F194</f>
        <v>0</v>
      </c>
      <c r="E188" s="480">
        <f>+'[81]Sch C'!H194</f>
        <v>0</v>
      </c>
      <c r="F188" s="166">
        <f t="shared" si="58"/>
        <v>133</v>
      </c>
      <c r="G188" s="626"/>
      <c r="H188" s="166"/>
      <c r="I188" s="166">
        <f t="shared" si="59"/>
        <v>133</v>
      </c>
      <c r="J188" s="167">
        <f t="shared" si="60"/>
        <v>1.0530591367923819E-4</v>
      </c>
      <c r="K188" s="458"/>
      <c r="L188" s="213"/>
      <c r="M188" s="208"/>
      <c r="O188" s="329">
        <f t="shared" si="61"/>
        <v>3.9760837070254108E-2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'[81]Sch C'!D195</f>
        <v>0</v>
      </c>
      <c r="D189" s="480">
        <f>'[81]Sch C'!F195</f>
        <v>0</v>
      </c>
      <c r="E189" s="480">
        <f>+'[81]Sch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'[81]Sch C'!D196</f>
        <v>0</v>
      </c>
      <c r="D190" s="480">
        <f>'[81]Sch C'!F196</f>
        <v>0</v>
      </c>
      <c r="E190" s="480">
        <f>+'[81]Sch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'[81]Sch C'!D197</f>
        <v>31558</v>
      </c>
      <c r="D191" s="480">
        <f>'[81]Sch C'!F197</f>
        <v>0</v>
      </c>
      <c r="E191" s="480">
        <f>+'[81]Sch C'!H197</f>
        <v>0</v>
      </c>
      <c r="F191" s="166">
        <f t="shared" si="58"/>
        <v>31558</v>
      </c>
      <c r="G191" s="626">
        <v>-31558</v>
      </c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'[81]Sch C'!D198</f>
        <v>8107</v>
      </c>
      <c r="D192" s="480">
        <f>'[81]Sch C'!F198</f>
        <v>0</v>
      </c>
      <c r="E192" s="480">
        <f>+'[81]Sch C'!H198</f>
        <v>0</v>
      </c>
      <c r="F192" s="166">
        <f t="shared" si="58"/>
        <v>8107</v>
      </c>
      <c r="G192" s="626"/>
      <c r="H192" s="166"/>
      <c r="I192" s="166">
        <f t="shared" si="59"/>
        <v>8107</v>
      </c>
      <c r="J192" s="167">
        <f t="shared" si="60"/>
        <v>6.4189100917111577E-3</v>
      </c>
      <c r="K192" s="458"/>
      <c r="L192" s="213"/>
      <c r="M192" s="208"/>
      <c r="O192" s="329">
        <f t="shared" si="61"/>
        <v>2.4236173393124067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'[81]Sch C'!D199</f>
        <v>0</v>
      </c>
      <c r="D193" s="480">
        <f>'[81]Sch C'!F199</f>
        <v>0</v>
      </c>
      <c r="E193" s="480">
        <f>+'[81]Sch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'[81]Sch C'!D200</f>
        <v>0</v>
      </c>
      <c r="D194" s="480">
        <f>'[81]Sch C'!F200</f>
        <v>0</v>
      </c>
      <c r="E194" s="480">
        <f>+'[81]Sch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'[81]Sch C'!D201</f>
        <v>0</v>
      </c>
      <c r="D195" s="480">
        <f>'[81]Sch C'!F201</f>
        <v>0</v>
      </c>
      <c r="E195" s="480">
        <f>+'[81]Sch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'[81]Sch C'!D202</f>
        <v>0</v>
      </c>
      <c r="D196" s="480">
        <f>'[81]Sch C'!F202</f>
        <v>0</v>
      </c>
      <c r="E196" s="480">
        <f>+'[81]Sch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'[81]Sch C'!D203</f>
        <v>0</v>
      </c>
      <c r="D197" s="480">
        <f>'[81]Sch C'!F203</f>
        <v>0</v>
      </c>
      <c r="E197" s="480">
        <f>+'[81]Sch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'[81]Sch C'!D204</f>
        <v>0</v>
      </c>
      <c r="D198" s="480">
        <f>'[81]Sch C'!F204</f>
        <v>0</v>
      </c>
      <c r="E198" s="480">
        <f>+'[81]Sch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'[81]Sch C'!D205</f>
        <v>62072</v>
      </c>
      <c r="D199" s="480">
        <f>'[81]Sch C'!F205</f>
        <v>0</v>
      </c>
      <c r="E199" s="480">
        <f>+'[81]Sch C'!H205</f>
        <v>0</v>
      </c>
      <c r="F199" s="166">
        <f t="shared" si="58"/>
        <v>62072</v>
      </c>
      <c r="G199" s="626"/>
      <c r="H199" s="166"/>
      <c r="I199" s="166">
        <f t="shared" si="59"/>
        <v>62072</v>
      </c>
      <c r="J199" s="167">
        <f t="shared" si="60"/>
        <v>4.9146982510508815E-2</v>
      </c>
      <c r="K199" s="458"/>
      <c r="L199" s="213"/>
      <c r="M199" s="208"/>
      <c r="O199" s="329">
        <f t="shared" si="61"/>
        <v>18.556651718983556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'[81]Sch C'!D206</f>
        <v>2812</v>
      </c>
      <c r="D200" s="480">
        <f>'[81]Sch C'!F206</f>
        <v>0</v>
      </c>
      <c r="E200" s="480">
        <f>+'[81]Sch C'!H206</f>
        <v>0</v>
      </c>
      <c r="F200" s="166">
        <f t="shared" si="58"/>
        <v>2812</v>
      </c>
      <c r="G200" s="626"/>
      <c r="H200" s="166"/>
      <c r="I200" s="166">
        <f t="shared" si="59"/>
        <v>2812</v>
      </c>
      <c r="J200" s="167">
        <f t="shared" si="60"/>
        <v>2.2264678892181789E-3</v>
      </c>
      <c r="K200" s="458"/>
      <c r="L200" s="213"/>
      <c r="M200" s="208"/>
      <c r="O200" s="329">
        <f t="shared" si="61"/>
        <v>0.84065769805680124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'[81]Sch C'!D207</f>
        <v>1100</v>
      </c>
      <c r="D201" s="480">
        <f>'[81]Sch C'!F207</f>
        <v>0</v>
      </c>
      <c r="E201" s="480">
        <f>+'[81]Sch C'!H207</f>
        <v>0</v>
      </c>
      <c r="F201" s="166">
        <f t="shared" si="58"/>
        <v>1100</v>
      </c>
      <c r="G201" s="626"/>
      <c r="H201" s="166"/>
      <c r="I201" s="166">
        <f t="shared" si="59"/>
        <v>1100</v>
      </c>
      <c r="J201" s="167">
        <f t="shared" si="60"/>
        <v>8.7095116576813535E-4</v>
      </c>
      <c r="K201" s="458"/>
      <c r="L201" s="213"/>
      <c r="M201" s="208"/>
      <c r="O201" s="329">
        <f t="shared" si="61"/>
        <v>0.32884902840059793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200071</v>
      </c>
      <c r="D202" s="480">
        <f t="shared" si="62"/>
        <v>10261</v>
      </c>
      <c r="E202" s="480">
        <f t="shared" si="62"/>
        <v>0</v>
      </c>
      <c r="F202" s="166">
        <f t="shared" ref="F202:I202" si="63">SUM(F169:F201)</f>
        <v>210332</v>
      </c>
      <c r="G202" s="166">
        <f t="shared" si="63"/>
        <v>2919</v>
      </c>
      <c r="H202" s="166">
        <f t="shared" si="63"/>
        <v>0</v>
      </c>
      <c r="I202" s="166">
        <f t="shared" si="63"/>
        <v>213251</v>
      </c>
      <c r="J202" s="167">
        <f>IF($I$213=0,0,I202/$I$213)</f>
        <v>0.16884655186474604</v>
      </c>
      <c r="K202" s="458"/>
      <c r="L202" s="163"/>
      <c r="M202" s="163"/>
      <c r="O202" s="329">
        <f>I202/I$233</f>
        <v>63.752167414050824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'[81]Sch C'!D211</f>
        <v>38602</v>
      </c>
      <c r="D205" s="480">
        <f>'[81]Sch C'!F211</f>
        <v>0</v>
      </c>
      <c r="E205" s="480">
        <f>+'[81]Sch C'!H211</f>
        <v>0</v>
      </c>
      <c r="F205" s="166">
        <f t="shared" ref="F205:F210" si="64">C205+D205+E205</f>
        <v>38602</v>
      </c>
      <c r="G205" s="626"/>
      <c r="H205" s="166"/>
      <c r="I205" s="166">
        <f t="shared" ref="I205:I210" si="65">F205+G205+H205</f>
        <v>38602</v>
      </c>
      <c r="J205" s="167">
        <f t="shared" ref="J205:J211" si="66">IF($I$213=0,0,I205/$I$213)</f>
        <v>3.0564051728165058E-2</v>
      </c>
      <c r="K205" s="458"/>
      <c r="L205" s="176">
        <v>1744</v>
      </c>
      <c r="M205" s="176">
        <v>1771</v>
      </c>
      <c r="O205" s="329">
        <f t="shared" ref="O205:O210" si="67">I205/I$233</f>
        <v>11.540209267563528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'[81]Sch C'!D212</f>
        <v>0</v>
      </c>
      <c r="D206" s="480">
        <f>'[81]Sch C'!F212</f>
        <v>4288</v>
      </c>
      <c r="E206" s="480">
        <f>+'[81]Sch C'!H212</f>
        <v>0</v>
      </c>
      <c r="F206" s="166">
        <f t="shared" si="64"/>
        <v>4288</v>
      </c>
      <c r="G206" s="626">
        <v>-183</v>
      </c>
      <c r="H206" s="166"/>
      <c r="I206" s="166">
        <f t="shared" si="65"/>
        <v>4105</v>
      </c>
      <c r="J206" s="167">
        <f t="shared" si="66"/>
        <v>3.250231395889269E-3</v>
      </c>
      <c r="K206" s="458"/>
      <c r="L206" s="163"/>
      <c r="M206" s="163"/>
      <c r="O206" s="329">
        <f t="shared" si="67"/>
        <v>1.2272047832585948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'[81]Sch C'!D213</f>
        <v>4226</v>
      </c>
      <c r="D207" s="480">
        <f>'[81]Sch C'!F213</f>
        <v>0</v>
      </c>
      <c r="E207" s="480">
        <f>+'[81]Sch C'!H213</f>
        <v>0</v>
      </c>
      <c r="F207" s="166">
        <f t="shared" si="64"/>
        <v>4226</v>
      </c>
      <c r="G207" s="626"/>
      <c r="H207" s="166"/>
      <c r="I207" s="166">
        <f t="shared" si="65"/>
        <v>4226</v>
      </c>
      <c r="J207" s="167">
        <f t="shared" si="66"/>
        <v>3.3460360241237639E-3</v>
      </c>
      <c r="K207" s="458"/>
      <c r="L207" s="163"/>
      <c r="M207" s="163"/>
      <c r="O207" s="329">
        <f t="shared" si="67"/>
        <v>1.2633781763826606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'[81]Sch C'!D214</f>
        <v>0</v>
      </c>
      <c r="D208" s="480">
        <f>'[81]Sch C'!F214</f>
        <v>0</v>
      </c>
      <c r="E208" s="480">
        <f>+'[81]Sch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'[81]Sch C'!D215</f>
        <v>0</v>
      </c>
      <c r="D209" s="480">
        <f>'[81]Sch C'!F215</f>
        <v>0</v>
      </c>
      <c r="E209" s="480">
        <f>+'[81]Sch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'[81]Sch C'!D216</f>
        <v>335</v>
      </c>
      <c r="D210" s="480">
        <f>'[81]Sch C'!F216</f>
        <v>0</v>
      </c>
      <c r="E210" s="480">
        <f>+'[81]Sch C'!H216</f>
        <v>0</v>
      </c>
      <c r="F210" s="166">
        <f t="shared" si="64"/>
        <v>335</v>
      </c>
      <c r="G210" s="626"/>
      <c r="H210" s="166"/>
      <c r="I210" s="166">
        <f t="shared" si="65"/>
        <v>335</v>
      </c>
      <c r="J210" s="167">
        <f t="shared" si="66"/>
        <v>2.6524421866575031E-4</v>
      </c>
      <c r="K210" s="457"/>
      <c r="L210" s="163"/>
      <c r="M210" s="163"/>
      <c r="O210" s="329">
        <f t="shared" si="67"/>
        <v>0.10014947683109118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43163</v>
      </c>
      <c r="D211" s="480">
        <f t="shared" si="68"/>
        <v>4288</v>
      </c>
      <c r="E211" s="480">
        <f t="shared" si="68"/>
        <v>0</v>
      </c>
      <c r="F211" s="166">
        <f t="shared" ref="F211:I211" si="69">SUM(F205:F210)</f>
        <v>47451</v>
      </c>
      <c r="G211" s="166">
        <f t="shared" si="69"/>
        <v>-183</v>
      </c>
      <c r="H211" s="166">
        <f t="shared" si="69"/>
        <v>0</v>
      </c>
      <c r="I211" s="166">
        <f t="shared" si="69"/>
        <v>47268</v>
      </c>
      <c r="J211" s="167">
        <f t="shared" si="66"/>
        <v>3.7425563366843842E-2</v>
      </c>
      <c r="K211" s="458"/>
      <c r="L211" s="163"/>
      <c r="M211" s="163"/>
      <c r="O211" s="329">
        <f>I211/I$233</f>
        <v>14.130941704035875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1245693</v>
      </c>
      <c r="D213" s="480">
        <f t="shared" si="70"/>
        <v>-6732</v>
      </c>
      <c r="E213" s="480">
        <f t="shared" si="70"/>
        <v>26982</v>
      </c>
      <c r="F213" s="166">
        <f t="shared" ref="F213:I213" si="71">SUM(F30:F211)/2</f>
        <v>1265943</v>
      </c>
      <c r="G213" s="166">
        <f t="shared" si="71"/>
        <v>-2956</v>
      </c>
      <c r="H213" s="166">
        <f t="shared" si="71"/>
        <v>0</v>
      </c>
      <c r="I213" s="166">
        <f t="shared" si="71"/>
        <v>1262987</v>
      </c>
      <c r="J213" s="167">
        <f>IF($I$213=0,0,I213/$I$213)</f>
        <v>1</v>
      </c>
      <c r="K213" s="458"/>
      <c r="L213" s="176">
        <f>SUM(L30:L205)</f>
        <v>29855</v>
      </c>
      <c r="M213" s="176">
        <f>SUM(M30:M205)</f>
        <v>30423</v>
      </c>
      <c r="O213" s="329">
        <f>I213/I$233</f>
        <v>377.5745889387145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'[81]Sch C'!D221</f>
        <v>1245693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-108695</v>
      </c>
      <c r="D220" s="480">
        <f t="shared" si="72"/>
        <v>6732</v>
      </c>
      <c r="E220" s="480">
        <f t="shared" si="72"/>
        <v>-26982</v>
      </c>
      <c r="F220" s="166">
        <f t="shared" ref="F220:I220" si="73">F26-F213</f>
        <v>-128945</v>
      </c>
      <c r="G220" s="166">
        <f t="shared" si="73"/>
        <v>-6238</v>
      </c>
      <c r="H220" s="166">
        <f t="shared" si="73"/>
        <v>0</v>
      </c>
      <c r="I220" s="166">
        <f t="shared" si="73"/>
        <v>-135183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'[81]Sch D'!C9</f>
        <v>1957</v>
      </c>
      <c r="D224" s="480"/>
      <c r="E224" s="480"/>
      <c r="F224" s="224">
        <f>C224+D224+E224</f>
        <v>1957</v>
      </c>
      <c r="G224" s="627"/>
      <c r="H224" s="223"/>
      <c r="I224" s="224">
        <f>F224+G224+H224</f>
        <v>1957</v>
      </c>
      <c r="J224" s="167">
        <f t="shared" ref="J224:J233" si="74">IF($I$233=0,0,I224/$I$233)</f>
        <v>0.58505231689088188</v>
      </c>
      <c r="K224" s="458"/>
      <c r="L224" s="163"/>
      <c r="M224" s="163"/>
    </row>
    <row r="225" spans="1:13">
      <c r="A225" s="158"/>
      <c r="B225" s="165" t="s">
        <v>201</v>
      </c>
      <c r="C225" s="504">
        <f>'[81]Sch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'[81]Sch D'!E9</f>
        <v>1088</v>
      </c>
      <c r="D226" s="480"/>
      <c r="E226" s="480"/>
      <c r="F226" s="224">
        <f t="shared" si="75"/>
        <v>1088</v>
      </c>
      <c r="G226" s="627"/>
      <c r="H226" s="223"/>
      <c r="I226" s="224">
        <f t="shared" si="76"/>
        <v>1088</v>
      </c>
      <c r="J226" s="167">
        <f t="shared" si="74"/>
        <v>0.32526158445440956</v>
      </c>
      <c r="K226" s="458"/>
      <c r="L226" s="163"/>
      <c r="M226" s="163"/>
    </row>
    <row r="227" spans="1:13">
      <c r="A227" s="158"/>
      <c r="B227" s="194" t="s">
        <v>315</v>
      </c>
      <c r="C227" s="504">
        <f>'[81]Sch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'[81]Sch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'[81]Sch D'!H9</f>
        <v>207</v>
      </c>
      <c r="D229" s="480"/>
      <c r="E229" s="480"/>
      <c r="F229" s="224">
        <f t="shared" si="75"/>
        <v>207</v>
      </c>
      <c r="G229" s="627"/>
      <c r="H229" s="223"/>
      <c r="I229" s="224">
        <f t="shared" si="76"/>
        <v>207</v>
      </c>
      <c r="J229" s="167">
        <f t="shared" si="74"/>
        <v>6.1883408071748879E-2</v>
      </c>
      <c r="K229" s="458"/>
      <c r="L229" s="163"/>
      <c r="M229" s="163"/>
    </row>
    <row r="230" spans="1:13">
      <c r="A230" s="158"/>
      <c r="B230" s="165" t="s">
        <v>219</v>
      </c>
      <c r="C230" s="504">
        <f>'[81]Sch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7"/>
      <c r="L230" s="163"/>
      <c r="M230" s="163"/>
    </row>
    <row r="231" spans="1:13">
      <c r="A231" s="158"/>
      <c r="B231" s="165" t="s">
        <v>218</v>
      </c>
      <c r="C231" s="504">
        <f>'[81]Sch D'!J9</f>
        <v>93</v>
      </c>
      <c r="D231" s="480"/>
      <c r="E231" s="480"/>
      <c r="F231" s="224">
        <f t="shared" si="75"/>
        <v>93</v>
      </c>
      <c r="G231" s="627"/>
      <c r="H231" s="223"/>
      <c r="I231" s="224">
        <f t="shared" si="76"/>
        <v>93</v>
      </c>
      <c r="J231" s="167">
        <f>IF($I$233=0,0,I231/$I$233)</f>
        <v>2.780269058295964E-2</v>
      </c>
      <c r="K231" s="457"/>
      <c r="L231" s="163"/>
      <c r="M231" s="163"/>
    </row>
    <row r="232" spans="1:13">
      <c r="A232" s="158"/>
      <c r="B232" s="165" t="s">
        <v>170</v>
      </c>
      <c r="C232" s="504">
        <f>'[81]Sch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3345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3345</v>
      </c>
      <c r="G233" s="226">
        <f t="shared" si="78"/>
        <v>0</v>
      </c>
      <c r="H233" s="226">
        <f t="shared" si="78"/>
        <v>0</v>
      </c>
      <c r="I233" s="226">
        <f t="shared" si="78"/>
        <v>3345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442"/>
      <c r="L235" s="163"/>
      <c r="M235" s="163"/>
    </row>
    <row r="236" spans="1:13">
      <c r="A236" s="158"/>
      <c r="B236" s="194" t="s">
        <v>203</v>
      </c>
      <c r="C236" s="504">
        <f>'[81]Sch D'!N22</f>
        <v>50</v>
      </c>
      <c r="D236" s="480"/>
      <c r="E236" s="480"/>
      <c r="F236" s="224">
        <f>C236+E236</f>
        <v>50</v>
      </c>
      <c r="G236" s="627"/>
      <c r="H236" s="224"/>
      <c r="I236" s="224">
        <f>F236+G236+H236</f>
        <v>50</v>
      </c>
      <c r="J236" s="411"/>
      <c r="L236" s="163"/>
      <c r="M236" s="163"/>
    </row>
    <row r="237" spans="1:13">
      <c r="A237" s="158"/>
      <c r="B237" s="194" t="s">
        <v>271</v>
      </c>
      <c r="C237" s="504">
        <f>'[81]Sch D'!N24</f>
        <v>44</v>
      </c>
      <c r="D237" s="480"/>
      <c r="E237" s="480"/>
      <c r="F237" s="224">
        <f>C237+E237</f>
        <v>44</v>
      </c>
      <c r="G237" s="627"/>
      <c r="H237" s="224"/>
      <c r="I237" s="224">
        <f>F237+G237+H237</f>
        <v>44</v>
      </c>
      <c r="J237" s="442"/>
      <c r="L237" s="163"/>
      <c r="M237" s="163"/>
    </row>
    <row r="238" spans="1:13">
      <c r="A238" s="158"/>
      <c r="B238" s="194" t="s">
        <v>68</v>
      </c>
      <c r="C238" s="504">
        <f>$C$4-$C$3+1</f>
        <v>163</v>
      </c>
      <c r="D238" s="427"/>
      <c r="E238" s="427"/>
      <c r="F238" s="224">
        <f>C238+E238</f>
        <v>163</v>
      </c>
      <c r="G238" s="627"/>
      <c r="H238" s="228"/>
      <c r="I238" s="224">
        <f>F238+G238+H238</f>
        <v>163</v>
      </c>
      <c r="J238" s="162" t="s">
        <v>564</v>
      </c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'[81]Sch D'!N28</f>
        <v>8150</v>
      </c>
      <c r="D240" s="427"/>
      <c r="E240" s="427"/>
      <c r="F240" s="223">
        <f>F236*F238</f>
        <v>8150</v>
      </c>
      <c r="G240"/>
      <c r="H240" s="228"/>
      <c r="I240" s="223">
        <f>I236*I238</f>
        <v>8150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'[81]Sch D'!N30</f>
        <v>0.41042944785276075</v>
      </c>
      <c r="D241" s="228"/>
      <c r="E241" s="228"/>
      <c r="F241" s="232">
        <f>F233/F240</f>
        <v>0.41042944785276075</v>
      </c>
      <c r="G241"/>
      <c r="H241" s="233"/>
      <c r="I241" s="232">
        <f>I233/I240</f>
        <v>0.41042944785276075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'[81]Sch D'!N32</f>
        <v>0.24012269938650307</v>
      </c>
      <c r="D242" s="228"/>
      <c r="E242" s="228"/>
      <c r="F242" s="232">
        <f>(F224+F225)/F240</f>
        <v>0.24012269938650307</v>
      </c>
      <c r="G242"/>
      <c r="H242" s="233"/>
      <c r="I242" s="232">
        <f>(I224+I225)/I240</f>
        <v>0.24012269938650307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'[81]Sch D'!N34</f>
        <v>0.58505231689088188</v>
      </c>
      <c r="D243" s="228"/>
      <c r="E243" s="228"/>
      <c r="F243" s="232">
        <f>(F242/F241)</f>
        <v>0.58505231689088188</v>
      </c>
      <c r="G243"/>
      <c r="H243" s="233"/>
      <c r="I243" s="232">
        <f>(I242/I241)</f>
        <v>0.58505231689088188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>
        <f>'[81]Sch B'!C90</f>
        <v>281.76328502415458</v>
      </c>
    </row>
    <row r="247" spans="1:13">
      <c r="H247" s="140" t="s">
        <v>322</v>
      </c>
      <c r="I247" s="480">
        <f>'[81]Sch B'!E90</f>
        <v>281.76328502415458</v>
      </c>
    </row>
    <row r="248" spans="1:13" ht="16.5">
      <c r="B248" s="470"/>
      <c r="H248" s="140" t="s">
        <v>323</v>
      </c>
      <c r="I248" s="480"/>
    </row>
    <row r="249" spans="1:13" ht="16.5">
      <c r="B249" s="470"/>
      <c r="H249" s="140" t="s">
        <v>324</v>
      </c>
      <c r="I249" s="480"/>
    </row>
    <row r="250" spans="1:13" ht="16.5">
      <c r="B250" s="470"/>
      <c r="H250" s="14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E28CAB"/>
  </sheetPr>
  <dimension ref="A1:Q277"/>
  <sheetViews>
    <sheetView showGridLines="0" topLeftCell="A11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234" t="s">
        <v>565</v>
      </c>
      <c r="F1" s="419"/>
      <c r="G1" s="419"/>
      <c r="I1" s="419"/>
      <c r="J1" s="419"/>
      <c r="K1" s="459"/>
    </row>
    <row r="2" spans="1:16" ht="23">
      <c r="B2" s="141" t="s">
        <v>178</v>
      </c>
      <c r="C2" s="234" t="s">
        <v>569</v>
      </c>
      <c r="D2" s="234"/>
      <c r="F2" s="142"/>
      <c r="G2" s="142"/>
      <c r="H2" s="485"/>
    </row>
    <row r="3" spans="1:16" ht="15.5">
      <c r="A3" s="143"/>
      <c r="B3" s="138" t="s">
        <v>71</v>
      </c>
      <c r="C3" s="557">
        <f>'[82]Sch A Pg 1'!B39</f>
        <v>43080</v>
      </c>
      <c r="D3"/>
      <c r="E3" s="360"/>
      <c r="F3" s="144"/>
      <c r="G3" s="144"/>
      <c r="H3"/>
    </row>
    <row r="4" spans="1:16" ht="15.5">
      <c r="A4" s="143"/>
      <c r="B4" s="145" t="s">
        <v>72</v>
      </c>
      <c r="C4" s="557">
        <f>'[82]Sch A Pg 1'!G39</f>
        <v>43281</v>
      </c>
      <c r="D4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'[82]Sch B'!E10</f>
        <v>506405</v>
      </c>
      <c r="D12" s="480">
        <f>'[82]Sch B'!G10</f>
        <v>0</v>
      </c>
      <c r="E12" s="480"/>
      <c r="F12" s="166">
        <f>C12+D12+E12</f>
        <v>506405</v>
      </c>
      <c r="G12" s="626"/>
      <c r="H12" s="166"/>
      <c r="I12" s="166">
        <f>F12+G12+H12</f>
        <v>506405</v>
      </c>
      <c r="J12" s="167">
        <f>IF($I$26=0,0,I12/$I$26)</f>
        <v>0.31781470656716437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'[82]Sch B'!E12</f>
        <v>159477</v>
      </c>
      <c r="D13" s="480">
        <f>'[82]Sch B'!G12</f>
        <v>0</v>
      </c>
      <c r="E13" s="480"/>
      <c r="F13" s="166">
        <f t="shared" ref="F13:F25" si="0">C13+D13+E13</f>
        <v>159477</v>
      </c>
      <c r="G13" s="626">
        <v>-159477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'[82]Sch B'!E13</f>
        <v>-890</v>
      </c>
      <c r="D14" s="480">
        <f>'[82]Sch B'!G13</f>
        <v>0</v>
      </c>
      <c r="E14" s="480"/>
      <c r="F14" s="166">
        <f t="shared" si="0"/>
        <v>-890</v>
      </c>
      <c r="G14" s="626"/>
      <c r="H14" s="166"/>
      <c r="I14" s="166">
        <f t="shared" si="1"/>
        <v>-890</v>
      </c>
      <c r="J14" s="167">
        <f>IF($I$26=0,0,I14/$I$26)</f>
        <v>-5.5855508702476529E-4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'[82]Sch B'!E14</f>
        <v>30106</v>
      </c>
      <c r="D15" s="480">
        <f>'[82]Sch B'!G14</f>
        <v>0</v>
      </c>
      <c r="E15" s="480"/>
      <c r="F15" s="166">
        <f t="shared" si="0"/>
        <v>30106</v>
      </c>
      <c r="G15" s="626"/>
      <c r="H15" s="166"/>
      <c r="I15" s="166">
        <f t="shared" si="1"/>
        <v>30106</v>
      </c>
      <c r="J15" s="167">
        <f>IF($I$26=0,0,I15/$I$26)</f>
        <v>1.8894224101087174E-2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'[82]Sch B'!E15</f>
        <v>695098</v>
      </c>
      <c r="D16" s="480">
        <f>'[82]Sch B'!G15</f>
        <v>0</v>
      </c>
      <c r="E16" s="480"/>
      <c r="F16" s="166">
        <f t="shared" si="0"/>
        <v>695098</v>
      </c>
      <c r="G16" s="626"/>
      <c r="H16" s="166"/>
      <c r="I16" s="166">
        <f>SUM(I12:I15)</f>
        <v>535621</v>
      </c>
      <c r="J16" s="167">
        <f t="shared" ref="J16:J26" si="2">IF($I$26=0,0,I16/$I$26)</f>
        <v>0.33615037558122679</v>
      </c>
      <c r="K16" s="458"/>
      <c r="L16" s="333" t="s">
        <v>325</v>
      </c>
      <c r="M16" s="334">
        <f>I26</f>
        <v>1593397</v>
      </c>
      <c r="O16" s="324">
        <f>IFERROR(I16/I224,0)</f>
        <v>158.93798219584571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'[82]Sch B'!E20</f>
        <v>0</v>
      </c>
      <c r="D17" s="480">
        <f>'[82]Sch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1696130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'[82]Sch B'!E26</f>
        <v>969233</v>
      </c>
      <c r="D18" s="480">
        <f>'[82]Sch B'!G26</f>
        <v>0</v>
      </c>
      <c r="E18" s="480"/>
      <c r="F18" s="166">
        <f t="shared" si="0"/>
        <v>969233</v>
      </c>
      <c r="G18" s="626"/>
      <c r="H18" s="166"/>
      <c r="I18" s="166">
        <f t="shared" si="1"/>
        <v>969233</v>
      </c>
      <c r="J18" s="167">
        <f t="shared" si="2"/>
        <v>0.6082809243396341</v>
      </c>
      <c r="K18" s="458"/>
      <c r="L18" s="335" t="s">
        <v>327</v>
      </c>
      <c r="M18" s="336">
        <f>I233</f>
        <v>5992</v>
      </c>
      <c r="O18" s="324">
        <f t="shared" si="3"/>
        <v>458.91714015151513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'[82]Sch B'!E32</f>
        <v>0</v>
      </c>
      <c r="D19" s="480">
        <f>'[82]Sch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464"/>
      <c r="L19" s="335" t="s">
        <v>328</v>
      </c>
      <c r="M19" s="336">
        <f>I236</f>
        <v>50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'[82]Sch B'!E37</f>
        <v>0</v>
      </c>
      <c r="D20" s="480">
        <f>'[82]Sch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10100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'[82]Sch B'!E42</f>
        <v>83363</v>
      </c>
      <c r="D21" s="480">
        <f>'[82]Sch B'!G42</f>
        <v>-22200</v>
      </c>
      <c r="E21" s="480"/>
      <c r="F21" s="166">
        <f t="shared" si="0"/>
        <v>61163</v>
      </c>
      <c r="G21" s="626"/>
      <c r="H21" s="166"/>
      <c r="I21" s="166">
        <f t="shared" si="1"/>
        <v>61163</v>
      </c>
      <c r="J21" s="167">
        <f t="shared" si="2"/>
        <v>3.8385286278309796E-2</v>
      </c>
      <c r="K21" s="458"/>
      <c r="L21" s="337"/>
      <c r="M21" s="336"/>
      <c r="O21" s="324">
        <f t="shared" si="3"/>
        <v>153.29072681704261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'[82]Sch B'!E47</f>
        <v>0</v>
      </c>
      <c r="D22" s="480">
        <f>'[82]Sch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45864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'[82]Sch B'!E52</f>
        <v>0</v>
      </c>
      <c r="D23" s="480">
        <f>'[82]Sch B'!G52</f>
        <v>22200</v>
      </c>
      <c r="E23" s="480"/>
      <c r="F23" s="166">
        <f t="shared" si="0"/>
        <v>22200</v>
      </c>
      <c r="G23" s="626"/>
      <c r="H23" s="166"/>
      <c r="I23" s="166">
        <f t="shared" si="1"/>
        <v>22200</v>
      </c>
      <c r="J23" s="167">
        <f t="shared" si="2"/>
        <v>1.3932497676348079E-2</v>
      </c>
      <c r="K23" s="458"/>
      <c r="L23" s="338" t="s">
        <v>233</v>
      </c>
      <c r="M23" s="339">
        <f>M213</f>
        <v>47710</v>
      </c>
      <c r="O23" s="324">
        <f t="shared" si="3"/>
        <v>200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'[82]Sch B'!E57</f>
        <v>0</v>
      </c>
      <c r="D24" s="480">
        <f>'[82]Sch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'[82]Sch B'!E72</f>
        <v>-6503</v>
      </c>
      <c r="D25" s="480">
        <f>'[82]Sch B'!G72</f>
        <v>0</v>
      </c>
      <c r="E25" s="480"/>
      <c r="F25" s="166">
        <f t="shared" si="0"/>
        <v>-6503</v>
      </c>
      <c r="G25" s="626">
        <v>11683</v>
      </c>
      <c r="H25" s="166"/>
      <c r="I25" s="166">
        <f t="shared" si="1"/>
        <v>5180</v>
      </c>
      <c r="J25" s="167">
        <f t="shared" si="2"/>
        <v>3.2509161244812183E-3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1741191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1741191</v>
      </c>
      <c r="G26" s="166">
        <f>SUM(G12:G25)</f>
        <v>-147794</v>
      </c>
      <c r="H26" s="166">
        <f>SUM(H12:H25)</f>
        <v>0</v>
      </c>
      <c r="I26" s="166">
        <f>SUM(I16:I25)</f>
        <v>1593397</v>
      </c>
      <c r="J26" s="167">
        <f t="shared" si="2"/>
        <v>1</v>
      </c>
      <c r="K26" s="458"/>
      <c r="L26" s="163"/>
      <c r="M26" s="163"/>
      <c r="O26" s="324">
        <f>IFERROR(I26/I233,0)</f>
        <v>265.92072763684911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'[82]Sch C'!D10</f>
        <v>35827</v>
      </c>
      <c r="D30" s="480">
        <f>'[82]Sch C'!F10</f>
        <v>0</v>
      </c>
      <c r="E30" s="480">
        <f>+'[82]Sch C'!H10</f>
        <v>0</v>
      </c>
      <c r="F30" s="166">
        <f t="shared" ref="F30:F65" si="5">C30+D30+E30</f>
        <v>35827</v>
      </c>
      <c r="G30" s="626"/>
      <c r="H30" s="166"/>
      <c r="I30" s="166">
        <f t="shared" ref="I30:I65" si="6">F30+G30+H30</f>
        <v>35827</v>
      </c>
      <c r="J30" s="167">
        <f>IF($I$213=0,0,I30/$I$213)</f>
        <v>2.1122791295478529E-2</v>
      </c>
      <c r="K30" s="458"/>
      <c r="L30" s="176">
        <v>1124</v>
      </c>
      <c r="M30" s="176">
        <v>1213</v>
      </c>
      <c r="O30" s="324">
        <f>I30/I$233</f>
        <v>5.9791388518024036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'[82]Sch C'!D11</f>
        <v>0</v>
      </c>
      <c r="D31" s="480">
        <f>'[82]Sch C'!F11</f>
        <v>0</v>
      </c>
      <c r="E31" s="480">
        <f>+'[82]Sch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'[82]Sch C'!D12</f>
        <v>44033</v>
      </c>
      <c r="D32" s="480">
        <f>'[82]Sch C'!F12</f>
        <v>0</v>
      </c>
      <c r="E32" s="480">
        <f>+'[82]Sch C'!H12</f>
        <v>0</v>
      </c>
      <c r="F32" s="166">
        <f t="shared" si="5"/>
        <v>44033</v>
      </c>
      <c r="G32" s="626"/>
      <c r="H32" s="166"/>
      <c r="I32" s="166">
        <f t="shared" si="6"/>
        <v>44033</v>
      </c>
      <c r="J32" s="167">
        <f t="shared" si="7"/>
        <v>2.5960863848879509E-2</v>
      </c>
      <c r="K32" s="458"/>
      <c r="L32" s="176">
        <v>3100</v>
      </c>
      <c r="M32" s="176">
        <v>3361</v>
      </c>
      <c r="O32" s="324">
        <f t="shared" si="8"/>
        <v>7.3486315086782374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'[82]Sch C'!D13</f>
        <v>123000</v>
      </c>
      <c r="D33" s="480">
        <f>'[82]Sch C'!F13</f>
        <v>-111073</v>
      </c>
      <c r="E33" s="480">
        <f>+'[82]Sch C'!H13</f>
        <v>0</v>
      </c>
      <c r="F33" s="166">
        <f t="shared" si="5"/>
        <v>11927</v>
      </c>
      <c r="G33" s="626">
        <v>-436</v>
      </c>
      <c r="H33" s="166"/>
      <c r="I33" s="166">
        <f t="shared" si="6"/>
        <v>11491</v>
      </c>
      <c r="J33" s="167">
        <f t="shared" si="7"/>
        <v>6.7748344761309571E-3</v>
      </c>
      <c r="K33" s="458"/>
      <c r="L33" s="163"/>
      <c r="M33" s="163"/>
      <c r="O33" s="324">
        <f t="shared" si="8"/>
        <v>1.9177236315086783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'[82]Sch C'!D14</f>
        <v>0</v>
      </c>
      <c r="D34" s="480">
        <f>'[82]Sch C'!F14</f>
        <v>0</v>
      </c>
      <c r="E34" s="480">
        <f>+'[82]Sch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'[82]Sch C'!D15</f>
        <v>27308</v>
      </c>
      <c r="D35" s="480">
        <f>'[82]Sch C'!F15</f>
        <v>0</v>
      </c>
      <c r="E35" s="480">
        <f>+'[82]Sch C'!H15</f>
        <v>-326</v>
      </c>
      <c r="F35" s="166">
        <f t="shared" si="5"/>
        <v>26982</v>
      </c>
      <c r="G35" s="626"/>
      <c r="H35" s="166">
        <f>-27308+326</f>
        <v>-26982</v>
      </c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'[82]Sch C'!D16</f>
        <v>0</v>
      </c>
      <c r="D36" s="480">
        <f>'[82]Sch C'!F16</f>
        <v>0</v>
      </c>
      <c r="E36" s="480">
        <f>+'[82]Sch C'!H16</f>
        <v>0</v>
      </c>
      <c r="F36" s="166">
        <f t="shared" si="5"/>
        <v>0</v>
      </c>
      <c r="G36" s="626"/>
      <c r="H36" s="626">
        <f>26982-326</f>
        <v>26656</v>
      </c>
      <c r="I36" s="166">
        <f t="shared" si="6"/>
        <v>26656</v>
      </c>
      <c r="J36" s="167">
        <f t="shared" si="7"/>
        <v>1.5715776502980314E-2</v>
      </c>
      <c r="K36" s="458"/>
      <c r="L36" s="163"/>
      <c r="M36" s="163"/>
      <c r="O36" s="324">
        <f t="shared" si="8"/>
        <v>4.4485981308411215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'[82]Sch C'!D17</f>
        <v>0</v>
      </c>
      <c r="D37" s="480">
        <f>'[82]Sch C'!F17</f>
        <v>0</v>
      </c>
      <c r="E37" s="480">
        <f>+'[82]Sch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'[82]Sch C'!D18</f>
        <v>3157</v>
      </c>
      <c r="D38" s="480">
        <f>'[82]Sch C'!F18</f>
        <v>0</v>
      </c>
      <c r="E38" s="480">
        <f>+'[82]Sch C'!H18</f>
        <v>0</v>
      </c>
      <c r="F38" s="166">
        <f t="shared" si="5"/>
        <v>3157</v>
      </c>
      <c r="G38" s="626"/>
      <c r="H38" s="166"/>
      <c r="I38" s="166">
        <f t="shared" si="6"/>
        <v>3157</v>
      </c>
      <c r="J38" s="167">
        <f t="shared" si="7"/>
        <v>1.8612960091502421E-3</v>
      </c>
      <c r="K38" s="458"/>
      <c r="L38" s="163"/>
      <c r="M38" s="163"/>
      <c r="O38" s="324">
        <f t="shared" si="8"/>
        <v>0.52686915887850472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'[82]Sch C'!D19</f>
        <v>10207</v>
      </c>
      <c r="D39" s="480">
        <f>'[82]Sch C'!F19</f>
        <v>0</v>
      </c>
      <c r="E39" s="480">
        <f>+'[82]Sch C'!H19</f>
        <v>0</v>
      </c>
      <c r="F39" s="166">
        <f t="shared" si="5"/>
        <v>10207</v>
      </c>
      <c r="G39" s="626"/>
      <c r="H39" s="166"/>
      <c r="I39" s="166">
        <f t="shared" si="6"/>
        <v>10207</v>
      </c>
      <c r="J39" s="167">
        <f t="shared" si="7"/>
        <v>6.0178170305342157E-3</v>
      </c>
      <c r="K39" s="458"/>
      <c r="L39" s="163"/>
      <c r="M39" s="163"/>
      <c r="O39" s="324">
        <f t="shared" si="8"/>
        <v>1.7034379172229639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'[82]Sch C'!D20</f>
        <v>3639</v>
      </c>
      <c r="D40" s="480">
        <f>'[82]Sch C'!F20</f>
        <v>0</v>
      </c>
      <c r="E40" s="480">
        <f>+'[82]Sch C'!H20</f>
        <v>0</v>
      </c>
      <c r="F40" s="166">
        <f t="shared" si="5"/>
        <v>3639</v>
      </c>
      <c r="G40" s="626"/>
      <c r="H40" s="166"/>
      <c r="I40" s="166">
        <f t="shared" si="6"/>
        <v>3639</v>
      </c>
      <c r="J40" s="167">
        <f t="shared" si="7"/>
        <v>2.1454723399739408E-3</v>
      </c>
      <c r="K40" s="458"/>
      <c r="L40" s="163"/>
      <c r="M40" s="163"/>
      <c r="O40" s="324">
        <f t="shared" si="8"/>
        <v>0.60730974632843793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'[82]Sch C'!D21</f>
        <v>5454</v>
      </c>
      <c r="D41" s="480">
        <f>'[82]Sch C'!F21</f>
        <v>0</v>
      </c>
      <c r="E41" s="480">
        <f>+'[82]Sch C'!H21</f>
        <v>0</v>
      </c>
      <c r="F41" s="166">
        <f t="shared" si="5"/>
        <v>5454</v>
      </c>
      <c r="G41" s="626"/>
      <c r="H41" s="166"/>
      <c r="I41" s="166">
        <f t="shared" si="6"/>
        <v>5454</v>
      </c>
      <c r="J41" s="167">
        <f t="shared" si="7"/>
        <v>3.2155554114366232E-3</v>
      </c>
      <c r="K41" s="458"/>
      <c r="L41" s="163"/>
      <c r="M41" s="163"/>
      <c r="O41" s="324">
        <f t="shared" si="8"/>
        <v>0.91021361815754342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'[82]Sch C'!D22</f>
        <v>0</v>
      </c>
      <c r="D42" s="480">
        <f>'[82]Sch C'!F22</f>
        <v>0</v>
      </c>
      <c r="E42" s="480">
        <f>+'[82]Sch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'[82]Sch C'!D23</f>
        <v>2554</v>
      </c>
      <c r="D43" s="480">
        <f>'[82]Sch C'!F23</f>
        <v>0</v>
      </c>
      <c r="E43" s="480">
        <f>+'[82]Sch C'!H23</f>
        <v>0</v>
      </c>
      <c r="F43" s="166">
        <f t="shared" si="5"/>
        <v>2554</v>
      </c>
      <c r="G43" s="626"/>
      <c r="H43" s="166"/>
      <c r="I43" s="166">
        <f t="shared" si="6"/>
        <v>2554</v>
      </c>
      <c r="J43" s="167">
        <f t="shared" si="7"/>
        <v>1.5057808068956978E-3</v>
      </c>
      <c r="K43" s="458"/>
      <c r="L43" s="163"/>
      <c r="M43" s="163"/>
      <c r="O43" s="324">
        <f t="shared" si="8"/>
        <v>0.42623497997329773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'[82]Sch C'!D24</f>
        <v>23744</v>
      </c>
      <c r="D44" s="480">
        <f>'[82]Sch C'!F24</f>
        <v>0</v>
      </c>
      <c r="E44" s="480">
        <f>+'[82]Sch C'!H24</f>
        <v>0</v>
      </c>
      <c r="F44" s="166">
        <f t="shared" si="5"/>
        <v>23744</v>
      </c>
      <c r="G44" s="626"/>
      <c r="H44" s="166"/>
      <c r="I44" s="166">
        <f t="shared" si="6"/>
        <v>23744</v>
      </c>
      <c r="J44" s="167">
        <f t="shared" si="7"/>
        <v>1.3998926969041288E-2</v>
      </c>
      <c r="K44" s="458"/>
      <c r="L44" s="163"/>
      <c r="M44" s="163"/>
      <c r="O44" s="324">
        <f t="shared" si="8"/>
        <v>3.9626168224299065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'[82]Sch C'!D25</f>
        <v>0</v>
      </c>
      <c r="D45" s="480">
        <f>'[82]Sch C'!F25</f>
        <v>0</v>
      </c>
      <c r="E45" s="480">
        <f>+'[82]Sch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'[82]Sch C'!D26</f>
        <v>84654</v>
      </c>
      <c r="D46" s="480">
        <f>'[82]Sch C'!F26</f>
        <v>0</v>
      </c>
      <c r="E46" s="480">
        <f>+'[82]Sch C'!H26</f>
        <v>0</v>
      </c>
      <c r="F46" s="166">
        <f t="shared" si="5"/>
        <v>84654</v>
      </c>
      <c r="G46" s="626"/>
      <c r="H46" s="166"/>
      <c r="I46" s="166">
        <f t="shared" si="6"/>
        <v>84654</v>
      </c>
      <c r="J46" s="167">
        <f t="shared" si="7"/>
        <v>4.9910089438899144E-2</v>
      </c>
      <c r="K46" s="458"/>
      <c r="L46" s="163"/>
      <c r="M46" s="163"/>
      <c r="O46" s="324">
        <f t="shared" si="8"/>
        <v>14.127837116154874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'[82]Sch C'!D27</f>
        <v>42</v>
      </c>
      <c r="D47" s="480">
        <f>'[82]Sch C'!F27</f>
        <v>0</v>
      </c>
      <c r="E47" s="480">
        <f>+'[82]Sch C'!H27</f>
        <v>0</v>
      </c>
      <c r="F47" s="166">
        <f t="shared" si="5"/>
        <v>42</v>
      </c>
      <c r="G47" s="626"/>
      <c r="H47" s="166"/>
      <c r="I47" s="166">
        <f t="shared" si="6"/>
        <v>42</v>
      </c>
      <c r="J47" s="167">
        <f t="shared" si="7"/>
        <v>2.4762252893351335E-5</v>
      </c>
      <c r="K47" s="458"/>
      <c r="L47" s="163"/>
      <c r="M47" s="163"/>
      <c r="O47" s="324">
        <f t="shared" si="8"/>
        <v>7.0093457943925233E-3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'[82]Sch C'!D28</f>
        <v>0</v>
      </c>
      <c r="D48" s="480">
        <f>'[82]Sch C'!F28</f>
        <v>0</v>
      </c>
      <c r="E48" s="480">
        <f>+'[82]Sch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'[82]Sch C'!D29</f>
        <v>-5152</v>
      </c>
      <c r="D49" s="480">
        <f>'[82]Sch C'!F29</f>
        <v>5152</v>
      </c>
      <c r="E49" s="480">
        <f>+'[82]Sch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'[82]Sch C'!D30</f>
        <v>0</v>
      </c>
      <c r="D50" s="480">
        <f>'[82]Sch C'!F30</f>
        <v>0</v>
      </c>
      <c r="E50" s="480">
        <f>+'[82]Sch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'[82]Sch C'!D31</f>
        <v>9104</v>
      </c>
      <c r="D51" s="480">
        <f>'[82]Sch C'!F31</f>
        <v>0</v>
      </c>
      <c r="E51" s="480">
        <f>+'[82]Sch C'!H31</f>
        <v>0</v>
      </c>
      <c r="F51" s="166">
        <f t="shared" si="5"/>
        <v>9104</v>
      </c>
      <c r="G51" s="626"/>
      <c r="H51" s="166"/>
      <c r="I51" s="166">
        <f t="shared" si="6"/>
        <v>9104</v>
      </c>
      <c r="J51" s="167">
        <f t="shared" si="7"/>
        <v>5.3675131033588223E-3</v>
      </c>
      <c r="K51" s="458"/>
      <c r="L51" s="163"/>
      <c r="M51" s="163"/>
      <c r="O51" s="324">
        <f t="shared" si="8"/>
        <v>1.5193591455273698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'[82]Sch C'!D32</f>
        <v>17194</v>
      </c>
      <c r="D52" s="480">
        <f>'[82]Sch C'!F32</f>
        <v>0</v>
      </c>
      <c r="E52" s="480">
        <f>+'[82]Sch C'!H32</f>
        <v>0</v>
      </c>
      <c r="F52" s="166">
        <f t="shared" si="5"/>
        <v>17194</v>
      </c>
      <c r="G52" s="626"/>
      <c r="H52" s="166"/>
      <c r="I52" s="166">
        <f t="shared" si="6"/>
        <v>17194</v>
      </c>
      <c r="J52" s="167">
        <f t="shared" si="7"/>
        <v>1.0137194672578164E-2</v>
      </c>
      <c r="K52" s="458"/>
      <c r="L52" s="163"/>
      <c r="M52" s="163"/>
      <c r="O52" s="324">
        <f t="shared" si="8"/>
        <v>2.8694926568758343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'[82]Sch C'!D33</f>
        <v>0</v>
      </c>
      <c r="D53" s="480">
        <f>'[82]Sch C'!F33</f>
        <v>0</v>
      </c>
      <c r="E53" s="480">
        <f>+'[82]Sch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'[82]Sch C'!D34</f>
        <v>0</v>
      </c>
      <c r="D54" s="480">
        <f>'[82]Sch C'!F34</f>
        <v>0</v>
      </c>
      <c r="E54" s="480">
        <f>+'[82]Sch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'[82]Sch C'!D35</f>
        <v>0</v>
      </c>
      <c r="D55" s="480">
        <f>'[82]Sch C'!F35</f>
        <v>0</v>
      </c>
      <c r="E55" s="480">
        <f>+'[82]Sch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'[82]Sch C'!D36</f>
        <v>0</v>
      </c>
      <c r="D56" s="480">
        <f>'[82]Sch C'!F36</f>
        <v>0</v>
      </c>
      <c r="E56" s="480">
        <f>+'[82]Sch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'[82]Sch C'!D37</f>
        <v>0</v>
      </c>
      <c r="D57" s="480">
        <f>'[82]Sch C'!F37</f>
        <v>0</v>
      </c>
      <c r="E57" s="480">
        <f>+'[82]Sch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'[82]Sch C'!D38</f>
        <v>0</v>
      </c>
      <c r="D58" s="480">
        <f>'[82]Sch C'!F38</f>
        <v>0</v>
      </c>
      <c r="E58" s="480">
        <f>+'[82]Sch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'[82]Sch C'!D39</f>
        <v>295</v>
      </c>
      <c r="D59" s="480">
        <f>'[82]Sch C'!F39</f>
        <v>0</v>
      </c>
      <c r="E59" s="480">
        <f>+'[82]Sch C'!H39</f>
        <v>0</v>
      </c>
      <c r="F59" s="166">
        <f t="shared" si="5"/>
        <v>295</v>
      </c>
      <c r="G59" s="626"/>
      <c r="H59" s="166"/>
      <c r="I59" s="166">
        <f t="shared" si="6"/>
        <v>295</v>
      </c>
      <c r="J59" s="167">
        <f t="shared" si="7"/>
        <v>1.7392534770330103E-4</v>
      </c>
      <c r="K59" s="458"/>
      <c r="L59" s="163"/>
      <c r="M59" s="163"/>
      <c r="O59" s="324">
        <f t="shared" si="8"/>
        <v>4.9232309746328438E-2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'[82]Sch C'!D40</f>
        <v>4182</v>
      </c>
      <c r="D60" s="480">
        <f>'[82]Sch C'!F40</f>
        <v>-2875</v>
      </c>
      <c r="E60" s="480">
        <f>+'[82]Sch C'!H40</f>
        <v>0</v>
      </c>
      <c r="F60" s="166">
        <f t="shared" si="5"/>
        <v>1307</v>
      </c>
      <c r="G60" s="626"/>
      <c r="H60" s="166"/>
      <c r="I60" s="166">
        <f t="shared" si="6"/>
        <v>1307</v>
      </c>
      <c r="J60" s="167">
        <f t="shared" si="7"/>
        <v>7.7057772694309984E-4</v>
      </c>
      <c r="K60" s="458"/>
      <c r="L60" s="163"/>
      <c r="M60" s="163"/>
      <c r="O60" s="324">
        <f t="shared" si="8"/>
        <v>0.2181241655540721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'[82]Sch C'!D41</f>
        <v>0</v>
      </c>
      <c r="D61" s="480">
        <f>'[82]Sch C'!F41</f>
        <v>0</v>
      </c>
      <c r="E61" s="480">
        <f>+'[82]Sch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'[82]Sch C'!D42</f>
        <v>1265</v>
      </c>
      <c r="D62" s="480">
        <f>'[82]Sch C'!F42</f>
        <v>0</v>
      </c>
      <c r="E62" s="480">
        <f>+'[82]Sch C'!H42</f>
        <v>0</v>
      </c>
      <c r="F62" s="166">
        <f t="shared" si="5"/>
        <v>1265</v>
      </c>
      <c r="G62" s="626"/>
      <c r="H62" s="166"/>
      <c r="I62" s="166">
        <f t="shared" si="6"/>
        <v>1265</v>
      </c>
      <c r="J62" s="167">
        <f t="shared" si="7"/>
        <v>7.458154740497485E-4</v>
      </c>
      <c r="K62" s="458"/>
      <c r="L62" s="163"/>
      <c r="M62" s="163"/>
      <c r="O62" s="324">
        <f t="shared" si="8"/>
        <v>0.21111481975967958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'[82]Sch C'!D43</f>
        <v>3338</v>
      </c>
      <c r="D63" s="480">
        <f>'[82]Sch C'!F43</f>
        <v>0</v>
      </c>
      <c r="E63" s="480">
        <f>+'[82]Sch C'!H43</f>
        <v>0</v>
      </c>
      <c r="F63" s="166">
        <f t="shared" si="5"/>
        <v>3338</v>
      </c>
      <c r="G63" s="626">
        <v>-3338</v>
      </c>
      <c r="H63" s="166"/>
      <c r="I63" s="166">
        <f t="shared" si="6"/>
        <v>0</v>
      </c>
      <c r="J63" s="167">
        <f t="shared" si="7"/>
        <v>0</v>
      </c>
      <c r="K63" s="458" t="s">
        <v>664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'[82]Sch C'!D44</f>
        <v>271</v>
      </c>
      <c r="D64" s="480">
        <f>'[82]Sch C'!F44</f>
        <v>0</v>
      </c>
      <c r="E64" s="480">
        <f>+'[82]Sch C'!H44</f>
        <v>0</v>
      </c>
      <c r="F64" s="166">
        <f t="shared" si="5"/>
        <v>271</v>
      </c>
      <c r="G64" s="626"/>
      <c r="H64" s="166"/>
      <c r="I64" s="166">
        <f t="shared" si="6"/>
        <v>271</v>
      </c>
      <c r="J64" s="167">
        <f t="shared" si="7"/>
        <v>1.5977548890710029E-4</v>
      </c>
      <c r="K64" s="458"/>
      <c r="L64" s="163"/>
      <c r="M64" s="163"/>
      <c r="O64" s="324">
        <f t="shared" si="8"/>
        <v>4.5226969292389854E-2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'[82]Sch C'!D45</f>
        <v>5867</v>
      </c>
      <c r="D65" s="480">
        <f>'[82]Sch C'!F45</f>
        <v>-2973</v>
      </c>
      <c r="E65" s="480">
        <f>+'[82]Sch C'!H45</f>
        <v>0</v>
      </c>
      <c r="F65" s="166">
        <f t="shared" si="5"/>
        <v>2894</v>
      </c>
      <c r="G65" s="626"/>
      <c r="H65" s="166"/>
      <c r="I65" s="166">
        <f t="shared" si="6"/>
        <v>2894</v>
      </c>
      <c r="J65" s="167">
        <f t="shared" si="7"/>
        <v>1.7062371398418753E-3</v>
      </c>
      <c r="K65" s="458"/>
      <c r="L65" s="163"/>
      <c r="M65" s="163"/>
      <c r="O65" s="324">
        <f t="shared" si="8"/>
        <v>0.48297730307076103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399983</v>
      </c>
      <c r="D66" s="480">
        <f t="shared" si="9"/>
        <v>-111769</v>
      </c>
      <c r="E66" s="480">
        <f t="shared" si="9"/>
        <v>-326</v>
      </c>
      <c r="F66" s="166">
        <f t="shared" ref="F66:I66" si="10">SUM(F30:F65)</f>
        <v>287888</v>
      </c>
      <c r="G66" s="166">
        <f t="shared" si="10"/>
        <v>-3774</v>
      </c>
      <c r="H66" s="166">
        <f t="shared" si="10"/>
        <v>-326</v>
      </c>
      <c r="I66" s="166">
        <f t="shared" si="10"/>
        <v>283788</v>
      </c>
      <c r="J66" s="178">
        <f t="shared" si="7"/>
        <v>0.16731500533567592</v>
      </c>
      <c r="K66" s="465"/>
      <c r="L66" s="163"/>
      <c r="M66" s="163"/>
      <c r="O66" s="329">
        <f>I66/I$233</f>
        <v>47.361148197596798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'[82]Sch C'!D57</f>
        <v>0</v>
      </c>
      <c r="D69" s="480">
        <f>'[82]Sch C'!F57</f>
        <v>0</v>
      </c>
      <c r="E69" s="480">
        <f>+'[82]Sch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'[82]Sch C'!D58</f>
        <v>125678</v>
      </c>
      <c r="D70" s="480">
        <f>'[82]Sch C'!F58</f>
        <v>0</v>
      </c>
      <c r="E70" s="480">
        <f>+'[82]Sch C'!H58</f>
        <v>0</v>
      </c>
      <c r="F70" s="166">
        <f t="shared" ref="F70:F83" si="13">C70+D70+E70</f>
        <v>125678</v>
      </c>
      <c r="G70" s="626"/>
      <c r="H70" s="166"/>
      <c r="I70" s="166">
        <f t="shared" ref="I70:I83" si="14">F70+G70+H70</f>
        <v>125678</v>
      </c>
      <c r="J70" s="167">
        <f t="shared" si="11"/>
        <v>7.4096914741204972E-2</v>
      </c>
      <c r="K70" s="458"/>
      <c r="L70" s="182"/>
      <c r="M70" s="163"/>
      <c r="O70" s="324">
        <f t="shared" si="12"/>
        <v>20.97429906542056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'[82]Sch C'!D59</f>
        <v>29852</v>
      </c>
      <c r="D71" s="480">
        <f>'[82]Sch C'!F59</f>
        <v>0</v>
      </c>
      <c r="E71" s="480">
        <f>+'[82]Sch C'!H59</f>
        <v>0</v>
      </c>
      <c r="F71" s="166">
        <f t="shared" si="13"/>
        <v>29852</v>
      </c>
      <c r="G71" s="626"/>
      <c r="H71" s="166"/>
      <c r="I71" s="166">
        <f t="shared" si="14"/>
        <v>29852</v>
      </c>
      <c r="J71" s="167">
        <f t="shared" si="11"/>
        <v>1.7600066032674382E-2</v>
      </c>
      <c r="K71" s="458"/>
      <c r="L71" s="182"/>
      <c r="M71" s="163"/>
      <c r="O71" s="324">
        <f t="shared" si="12"/>
        <v>4.9819759679572764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'[82]Sch C'!D60</f>
        <v>12553</v>
      </c>
      <c r="D72" s="480">
        <f>'[82]Sch C'!F60</f>
        <v>0</v>
      </c>
      <c r="E72" s="480">
        <f>+'[82]Sch C'!H60</f>
        <v>0</v>
      </c>
      <c r="F72" s="166">
        <f t="shared" si="13"/>
        <v>12553</v>
      </c>
      <c r="G72" s="626"/>
      <c r="H72" s="166"/>
      <c r="I72" s="166">
        <f t="shared" si="14"/>
        <v>12553</v>
      </c>
      <c r="J72" s="167">
        <f t="shared" si="11"/>
        <v>7.400965727862841E-3</v>
      </c>
      <c r="K72" s="458"/>
      <c r="L72" s="185"/>
      <c r="M72" s="163"/>
      <c r="O72" s="324">
        <f t="shared" si="12"/>
        <v>2.0949599465954605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'[82]Sch C'!D61</f>
        <v>1262</v>
      </c>
      <c r="D73" s="480">
        <f>'[82]Sch C'!F61</f>
        <v>0</v>
      </c>
      <c r="E73" s="480">
        <f>+'[82]Sch C'!H61</f>
        <v>0</v>
      </c>
      <c r="F73" s="166">
        <f t="shared" si="13"/>
        <v>1262</v>
      </c>
      <c r="G73" s="626"/>
      <c r="H73" s="166"/>
      <c r="I73" s="166">
        <f t="shared" si="14"/>
        <v>1262</v>
      </c>
      <c r="J73" s="167">
        <f t="shared" si="11"/>
        <v>7.4404674170022343E-4</v>
      </c>
      <c r="K73" s="458"/>
      <c r="L73" s="185"/>
      <c r="M73" s="163"/>
      <c r="O73" s="324">
        <f t="shared" si="12"/>
        <v>0.21061415220293725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'[82]Sch C'!D62</f>
        <v>0</v>
      </c>
      <c r="D74" s="480">
        <f>'[82]Sch C'!F62</f>
        <v>0</v>
      </c>
      <c r="E74" s="480">
        <f>+'[82]Sch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'[82]Sch C'!D63</f>
        <v>0</v>
      </c>
      <c r="D75" s="480">
        <f>'[82]Sch C'!F63</f>
        <v>0</v>
      </c>
      <c r="E75" s="480">
        <f>+'[82]Sch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'[82]Sch C'!D64</f>
        <v>0</v>
      </c>
      <c r="D76" s="480">
        <f>'[82]Sch C'!F64</f>
        <v>0</v>
      </c>
      <c r="E76" s="480">
        <f>+'[82]Sch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'[82]Sch C'!D65</f>
        <v>2024</v>
      </c>
      <c r="D77" s="480">
        <f>'[82]Sch C'!F65</f>
        <v>0</v>
      </c>
      <c r="E77" s="480">
        <f>+'[82]Sch C'!H65</f>
        <v>0</v>
      </c>
      <c r="F77" s="166">
        <f t="shared" si="13"/>
        <v>2024</v>
      </c>
      <c r="G77" s="626"/>
      <c r="H77" s="166"/>
      <c r="I77" s="166">
        <f t="shared" si="14"/>
        <v>2024</v>
      </c>
      <c r="J77" s="167">
        <f t="shared" si="11"/>
        <v>1.1933047584795978E-3</v>
      </c>
      <c r="K77" s="458"/>
      <c r="L77" s="187"/>
      <c r="M77" s="163"/>
      <c r="O77" s="324">
        <f t="shared" si="12"/>
        <v>0.33778371161548731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'[82]Sch C'!D66</f>
        <v>15892</v>
      </c>
      <c r="D78" s="480">
        <f>'[82]Sch C'!F66</f>
        <v>0</v>
      </c>
      <c r="E78" s="480">
        <f>+'[82]Sch C'!H66</f>
        <v>0</v>
      </c>
      <c r="F78" s="166">
        <f t="shared" si="13"/>
        <v>15892</v>
      </c>
      <c r="G78" s="626"/>
      <c r="H78" s="166"/>
      <c r="I78" s="166">
        <f t="shared" si="14"/>
        <v>15892</v>
      </c>
      <c r="J78" s="167">
        <f t="shared" si="11"/>
        <v>9.3695648328842723E-3</v>
      </c>
      <c r="K78" s="458"/>
      <c r="L78" s="187"/>
      <c r="M78" s="163"/>
      <c r="O78" s="324">
        <f t="shared" si="12"/>
        <v>2.6522029372496663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'[82]Sch C'!D67</f>
        <v>0</v>
      </c>
      <c r="D79" s="480">
        <f>'[82]Sch C'!F67</f>
        <v>0</v>
      </c>
      <c r="E79" s="480">
        <f>+'[82]Sch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'[82]Sch C'!D68</f>
        <v>0</v>
      </c>
      <c r="D80" s="480">
        <f>'[82]Sch C'!F68</f>
        <v>0</v>
      </c>
      <c r="E80" s="480">
        <f>+'[82]Sch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'[82]Sch C'!D69</f>
        <v>2890</v>
      </c>
      <c r="D81" s="480">
        <f>'[82]Sch C'!F69</f>
        <v>0</v>
      </c>
      <c r="E81" s="480">
        <f>+'[82]Sch C'!H69</f>
        <v>0</v>
      </c>
      <c r="F81" s="166">
        <f t="shared" si="13"/>
        <v>2890</v>
      </c>
      <c r="G81" s="626"/>
      <c r="H81" s="166"/>
      <c r="I81" s="166">
        <f t="shared" si="14"/>
        <v>2890</v>
      </c>
      <c r="J81" s="167">
        <f t="shared" si="11"/>
        <v>1.7038788300425085E-3</v>
      </c>
      <c r="K81" s="458"/>
      <c r="L81" s="187"/>
      <c r="M81" s="163"/>
      <c r="O81" s="324">
        <f t="shared" si="12"/>
        <v>0.48230974632843793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'[82]Sch C'!D70</f>
        <v>0</v>
      </c>
      <c r="D82" s="480">
        <f>'[82]Sch C'!F70</f>
        <v>0</v>
      </c>
      <c r="E82" s="480">
        <f>+'[82]Sch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'[82]Sch C'!D71</f>
        <v>0</v>
      </c>
      <c r="D83" s="480">
        <f>'[82]Sch C'!F71</f>
        <v>0</v>
      </c>
      <c r="E83" s="480">
        <f>+'[82]Sch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190151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190151</v>
      </c>
      <c r="G84" s="166">
        <f t="shared" si="16"/>
        <v>0</v>
      </c>
      <c r="H84" s="166">
        <f t="shared" si="16"/>
        <v>0</v>
      </c>
      <c r="I84" s="166">
        <f t="shared" si="16"/>
        <v>190151</v>
      </c>
      <c r="J84" s="167">
        <f t="shared" si="11"/>
        <v>0.1121087416648488</v>
      </c>
      <c r="K84" s="458"/>
      <c r="L84" s="187"/>
      <c r="M84" s="163"/>
      <c r="O84" s="324">
        <f t="shared" si="12"/>
        <v>31.734145527369826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'[82]Sch C'!D75</f>
        <v>19005</v>
      </c>
      <c r="D87" s="480">
        <f>'[82]Sch C'!F75</f>
        <v>0</v>
      </c>
      <c r="E87" s="480">
        <f>+'[82]Sch C'!H75</f>
        <v>0</v>
      </c>
      <c r="F87" s="166">
        <f t="shared" ref="F87:F97" si="17">C87+D87+E87</f>
        <v>19005</v>
      </c>
      <c r="G87" s="626"/>
      <c r="H87" s="166"/>
      <c r="I87" s="166">
        <f t="shared" ref="I87:I97" si="18">F87+G87+H87</f>
        <v>19005</v>
      </c>
      <c r="J87" s="167">
        <f t="shared" ref="J87:J98" si="19">IF($I$213=0,0,I87/$I$213)</f>
        <v>1.1204919434241479E-2</v>
      </c>
      <c r="K87" s="458"/>
      <c r="L87" s="176">
        <v>1070</v>
      </c>
      <c r="M87" s="176">
        <v>1199</v>
      </c>
      <c r="O87" s="324">
        <f t="shared" ref="O87:O97" si="20">I87/I$233</f>
        <v>3.1717289719626169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'[82]Sch C'!D76</f>
        <v>0</v>
      </c>
      <c r="D88" s="480">
        <f>'[82]Sch C'!F76</f>
        <v>2838</v>
      </c>
      <c r="E88" s="480">
        <f>+'[82]Sch C'!H76</f>
        <v>0</v>
      </c>
      <c r="F88" s="166">
        <f t="shared" si="17"/>
        <v>2838</v>
      </c>
      <c r="G88" s="626">
        <v>-103</v>
      </c>
      <c r="H88" s="166"/>
      <c r="I88" s="166">
        <f t="shared" si="18"/>
        <v>2735</v>
      </c>
      <c r="J88" s="167">
        <f t="shared" si="19"/>
        <v>1.6124943253170453E-3</v>
      </c>
      <c r="K88" s="458"/>
      <c r="L88" s="163"/>
      <c r="M88" s="163"/>
      <c r="O88" s="324">
        <f t="shared" si="20"/>
        <v>0.45644192256341787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'[82]Sch C'!D77</f>
        <v>3061</v>
      </c>
      <c r="D89" s="480">
        <f>'[82]Sch C'!F77</f>
        <v>0</v>
      </c>
      <c r="E89" s="480">
        <f>+'[82]Sch C'!H77</f>
        <v>0</v>
      </c>
      <c r="F89" s="166">
        <f t="shared" si="17"/>
        <v>3061</v>
      </c>
      <c r="G89" s="626"/>
      <c r="H89" s="166"/>
      <c r="I89" s="166">
        <f t="shared" si="18"/>
        <v>3061</v>
      </c>
      <c r="J89" s="167">
        <f t="shared" si="19"/>
        <v>1.8046965739654389E-3</v>
      </c>
      <c r="K89" s="458"/>
      <c r="L89" s="163"/>
      <c r="M89" s="163"/>
      <c r="O89" s="324">
        <f t="shared" si="20"/>
        <v>0.5108477970627503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'[82]Sch C'!D78</f>
        <v>80</v>
      </c>
      <c r="D90" s="480">
        <f>'[82]Sch C'!F78</f>
        <v>0</v>
      </c>
      <c r="E90" s="480">
        <f>+'[82]Sch C'!H78</f>
        <v>0</v>
      </c>
      <c r="F90" s="166">
        <f t="shared" si="17"/>
        <v>80</v>
      </c>
      <c r="G90" s="626"/>
      <c r="H90" s="166"/>
      <c r="I90" s="166">
        <f t="shared" si="18"/>
        <v>80</v>
      </c>
      <c r="J90" s="167">
        <f t="shared" si="19"/>
        <v>4.7166195987335873E-5</v>
      </c>
      <c r="K90" s="458"/>
      <c r="L90" s="163"/>
      <c r="M90" s="163"/>
      <c r="O90" s="324">
        <f t="shared" si="20"/>
        <v>1.335113484646195E-2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'[82]Sch C'!D79</f>
        <v>32809</v>
      </c>
      <c r="D91" s="480">
        <f>'[82]Sch C'!F79</f>
        <v>0</v>
      </c>
      <c r="E91" s="480">
        <f>+'[82]Sch C'!H79</f>
        <v>0</v>
      </c>
      <c r="F91" s="166">
        <f t="shared" si="17"/>
        <v>32809</v>
      </c>
      <c r="G91" s="626">
        <f>-13178+1237+2138</f>
        <v>-9803</v>
      </c>
      <c r="H91" s="166"/>
      <c r="I91" s="166">
        <f t="shared" si="18"/>
        <v>23006</v>
      </c>
      <c r="J91" s="167">
        <f t="shared" si="19"/>
        <v>1.3563818811058115E-2</v>
      </c>
      <c r="K91" s="458"/>
      <c r="L91" s="163"/>
      <c r="M91" s="163"/>
      <c r="O91" s="324">
        <f t="shared" si="20"/>
        <v>3.8394526034712952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'[82]Sch C'!D80</f>
        <v>8950</v>
      </c>
      <c r="D92" s="480">
        <f>'[82]Sch C'!F80</f>
        <v>0</v>
      </c>
      <c r="E92" s="480">
        <f>+'[82]Sch C'!H80</f>
        <v>0</v>
      </c>
      <c r="F92" s="166">
        <f t="shared" si="17"/>
        <v>8950</v>
      </c>
      <c r="G92" s="626">
        <v>1505</v>
      </c>
      <c r="H92" s="166"/>
      <c r="I92" s="166">
        <f t="shared" si="18"/>
        <v>10455</v>
      </c>
      <c r="J92" s="167">
        <f t="shared" si="19"/>
        <v>6.1640322380949577E-3</v>
      </c>
      <c r="K92" s="458"/>
      <c r="L92" s="163"/>
      <c r="M92" s="163"/>
      <c r="O92" s="324">
        <f t="shared" si="20"/>
        <v>1.744826435246996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'[82]Sch C'!D81</f>
        <v>3540</v>
      </c>
      <c r="D93" s="480">
        <f>'[82]Sch C'!F81</f>
        <v>0</v>
      </c>
      <c r="E93" s="480">
        <f>+'[82]Sch C'!H81</f>
        <v>0</v>
      </c>
      <c r="F93" s="166">
        <f t="shared" si="17"/>
        <v>3540</v>
      </c>
      <c r="G93" s="626"/>
      <c r="H93" s="166"/>
      <c r="I93" s="166">
        <f t="shared" si="18"/>
        <v>3540</v>
      </c>
      <c r="J93" s="167">
        <f t="shared" si="19"/>
        <v>2.0871041724396127E-3</v>
      </c>
      <c r="K93" s="458"/>
      <c r="L93" s="163"/>
      <c r="M93" s="163"/>
      <c r="O93" s="324">
        <f t="shared" si="20"/>
        <v>0.59078771695594123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'[82]Sch C'!D82</f>
        <v>90</v>
      </c>
      <c r="D94" s="480">
        <f>'[82]Sch C'!F82</f>
        <v>0</v>
      </c>
      <c r="E94" s="480">
        <f>+'[82]Sch C'!H82</f>
        <v>0</v>
      </c>
      <c r="F94" s="166">
        <f t="shared" si="17"/>
        <v>90</v>
      </c>
      <c r="G94" s="626"/>
      <c r="H94" s="166"/>
      <c r="I94" s="166">
        <f t="shared" si="18"/>
        <v>90</v>
      </c>
      <c r="J94" s="167">
        <f t="shared" si="19"/>
        <v>5.3061970485752862E-5</v>
      </c>
      <c r="K94" s="458"/>
      <c r="L94" s="163"/>
      <c r="M94" s="163"/>
      <c r="O94" s="324">
        <f t="shared" si="20"/>
        <v>1.5020026702269693E-2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'[82]Sch C'!D83</f>
        <v>3437</v>
      </c>
      <c r="D95" s="480">
        <f>'[82]Sch C'!F83</f>
        <v>0</v>
      </c>
      <c r="E95" s="480">
        <f>+'[82]Sch C'!H83</f>
        <v>0</v>
      </c>
      <c r="F95" s="166">
        <f t="shared" si="17"/>
        <v>3437</v>
      </c>
      <c r="G95" s="626"/>
      <c r="H95" s="166"/>
      <c r="I95" s="166">
        <f t="shared" si="18"/>
        <v>3437</v>
      </c>
      <c r="J95" s="167">
        <f t="shared" si="19"/>
        <v>2.0263776951059175E-3</v>
      </c>
      <c r="K95" s="458"/>
      <c r="L95" s="163"/>
      <c r="M95" s="163"/>
      <c r="O95" s="324">
        <f t="shared" si="20"/>
        <v>0.57359813084112155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'[82]Sch C'!D84</f>
        <v>28773</v>
      </c>
      <c r="D96" s="480">
        <f>'[82]Sch C'!F84</f>
        <v>0</v>
      </c>
      <c r="E96" s="480">
        <f>+'[82]Sch C'!H84</f>
        <v>0</v>
      </c>
      <c r="F96" s="166">
        <f t="shared" si="17"/>
        <v>28773</v>
      </c>
      <c r="G96" s="626">
        <v>-1505</v>
      </c>
      <c r="H96" s="166"/>
      <c r="I96" s="166">
        <f t="shared" si="18"/>
        <v>27268</v>
      </c>
      <c r="J96" s="167">
        <f t="shared" si="19"/>
        <v>1.6076597902283433E-2</v>
      </c>
      <c r="K96" s="458"/>
      <c r="L96" s="163"/>
      <c r="M96" s="163"/>
      <c r="O96" s="324">
        <f t="shared" si="20"/>
        <v>4.5507343124165551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'[82]Sch C'!D85</f>
        <v>0</v>
      </c>
      <c r="D97" s="480">
        <f>'[82]Sch C'!F85</f>
        <v>0</v>
      </c>
      <c r="E97" s="480">
        <f>+'[82]Sch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99745</v>
      </c>
      <c r="D98" s="480">
        <f t="shared" si="21"/>
        <v>2838</v>
      </c>
      <c r="E98" s="480">
        <f t="shared" si="21"/>
        <v>0</v>
      </c>
      <c r="F98" s="166">
        <f t="shared" ref="F98:I98" si="22">SUM(F87:F97)</f>
        <v>102583</v>
      </c>
      <c r="G98" s="166">
        <f t="shared" si="22"/>
        <v>-9906</v>
      </c>
      <c r="H98" s="166">
        <f t="shared" si="22"/>
        <v>0</v>
      </c>
      <c r="I98" s="166">
        <f t="shared" si="22"/>
        <v>92677</v>
      </c>
      <c r="J98" s="167">
        <f t="shared" si="19"/>
        <v>5.4640269318979084E-2</v>
      </c>
      <c r="K98" s="458"/>
      <c r="L98" s="163"/>
      <c r="M98" s="163"/>
      <c r="O98" s="329">
        <f>I98/I$233</f>
        <v>15.466789052069426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'[82]Sch C'!D89</f>
        <v>80986</v>
      </c>
      <c r="D101" s="480">
        <f>'[82]Sch C'!F89</f>
        <v>0</v>
      </c>
      <c r="E101" s="480">
        <f>+'[82]Sch C'!H89</f>
        <v>0</v>
      </c>
      <c r="F101" s="166">
        <f t="shared" ref="F101:F106" si="23">C101+D101+E101</f>
        <v>80986</v>
      </c>
      <c r="G101" s="626"/>
      <c r="H101" s="166"/>
      <c r="I101" s="166">
        <f t="shared" ref="I101:I106" si="24">F101+G101+H101</f>
        <v>80986</v>
      </c>
      <c r="J101" s="167">
        <f t="shared" ref="J101:J107" si="25">IF($I$213=0,0,I101/$I$213)</f>
        <v>4.774751935287979E-2</v>
      </c>
      <c r="K101" s="458"/>
      <c r="L101" s="176">
        <v>7629</v>
      </c>
      <c r="M101" s="176">
        <v>7895</v>
      </c>
      <c r="O101" s="329">
        <f t="shared" ref="O101:O106" si="26">I101/I$233</f>
        <v>13.515687583444592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'[82]Sch C'!D90</f>
        <v>0</v>
      </c>
      <c r="D102" s="480">
        <f>'[82]Sch C'!F90</f>
        <v>12095</v>
      </c>
      <c r="E102" s="480">
        <f>+'[82]Sch C'!H90</f>
        <v>0</v>
      </c>
      <c r="F102" s="166">
        <f t="shared" si="23"/>
        <v>12095</v>
      </c>
      <c r="G102" s="626">
        <v>-442</v>
      </c>
      <c r="H102" s="166"/>
      <c r="I102" s="166">
        <f t="shared" si="24"/>
        <v>11653</v>
      </c>
      <c r="J102" s="167">
        <f t="shared" si="25"/>
        <v>6.8703460230053123E-3</v>
      </c>
      <c r="K102" s="458"/>
      <c r="L102" s="163"/>
      <c r="M102" s="163"/>
      <c r="O102" s="329">
        <f t="shared" si="26"/>
        <v>1.9447596795727637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'[82]Sch C'!D91</f>
        <v>2938</v>
      </c>
      <c r="D103" s="480">
        <f>'[82]Sch C'!F91</f>
        <v>0</v>
      </c>
      <c r="E103" s="480">
        <f>+'[82]Sch C'!H91</f>
        <v>0</v>
      </c>
      <c r="F103" s="166">
        <f t="shared" si="23"/>
        <v>2938</v>
      </c>
      <c r="G103" s="626"/>
      <c r="H103" s="166"/>
      <c r="I103" s="166">
        <f t="shared" si="24"/>
        <v>2938</v>
      </c>
      <c r="J103" s="167">
        <f t="shared" si="25"/>
        <v>1.7321785476349101E-3</v>
      </c>
      <c r="K103" s="458"/>
      <c r="L103" s="163"/>
      <c r="M103" s="163"/>
      <c r="O103" s="329">
        <f t="shared" si="26"/>
        <v>0.49032042723631508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'[82]Sch C'!D92</f>
        <v>43589</v>
      </c>
      <c r="D104" s="480">
        <f>'[82]Sch C'!F92</f>
        <v>-2207</v>
      </c>
      <c r="E104" s="480">
        <f>+'[82]Sch C'!H92</f>
        <v>0</v>
      </c>
      <c r="F104" s="166">
        <f t="shared" si="23"/>
        <v>41382</v>
      </c>
      <c r="G104" s="626"/>
      <c r="H104" s="166"/>
      <c r="I104" s="166">
        <f t="shared" si="24"/>
        <v>41382</v>
      </c>
      <c r="J104" s="167">
        <f t="shared" si="25"/>
        <v>2.4397894029349165E-2</v>
      </c>
      <c r="K104" s="458"/>
      <c r="L104" s="163"/>
      <c r="M104" s="163"/>
      <c r="O104" s="329">
        <f t="shared" si="26"/>
        <v>6.9062082777036045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'[82]Sch C'!D93</f>
        <v>9714</v>
      </c>
      <c r="D105" s="480">
        <f>'[82]Sch C'!F93</f>
        <v>0</v>
      </c>
      <c r="E105" s="480">
        <f>+'[82]Sch C'!H93</f>
        <v>0</v>
      </c>
      <c r="F105" s="166">
        <f t="shared" si="23"/>
        <v>9714</v>
      </c>
      <c r="G105" s="626"/>
      <c r="H105" s="166"/>
      <c r="I105" s="166">
        <f t="shared" si="24"/>
        <v>9714</v>
      </c>
      <c r="J105" s="167">
        <f t="shared" si="25"/>
        <v>5.7271553477622585E-3</v>
      </c>
      <c r="K105" s="458"/>
      <c r="L105" s="163"/>
      <c r="M105" s="163"/>
      <c r="O105" s="329">
        <f t="shared" si="26"/>
        <v>1.6211615487316422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'[82]Sch C'!D94</f>
        <v>1020</v>
      </c>
      <c r="D106" s="480">
        <f>'[82]Sch C'!F94</f>
        <v>0</v>
      </c>
      <c r="E106" s="480">
        <f>+'[82]Sch C'!H94</f>
        <v>0</v>
      </c>
      <c r="F106" s="166">
        <f t="shared" si="23"/>
        <v>1020</v>
      </c>
      <c r="G106" s="626"/>
      <c r="H106" s="166"/>
      <c r="I106" s="166">
        <f t="shared" si="24"/>
        <v>1020</v>
      </c>
      <c r="J106" s="167">
        <f t="shared" si="25"/>
        <v>6.0136899883853241E-4</v>
      </c>
      <c r="K106" s="458"/>
      <c r="L106" s="163"/>
      <c r="M106" s="163"/>
      <c r="O106" s="329">
        <f t="shared" si="26"/>
        <v>0.17022696929238984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138247</v>
      </c>
      <c r="D107" s="480">
        <f t="shared" si="27"/>
        <v>9888</v>
      </c>
      <c r="E107" s="480">
        <f t="shared" si="27"/>
        <v>0</v>
      </c>
      <c r="F107" s="166">
        <f t="shared" ref="F107:I107" si="28">SUM(F101:F106)</f>
        <v>148135</v>
      </c>
      <c r="G107" s="166">
        <f t="shared" si="28"/>
        <v>-442</v>
      </c>
      <c r="H107" s="166">
        <f t="shared" si="28"/>
        <v>0</v>
      </c>
      <c r="I107" s="166">
        <f t="shared" si="28"/>
        <v>147693</v>
      </c>
      <c r="J107" s="167">
        <f t="shared" si="25"/>
        <v>8.707646229946997E-2</v>
      </c>
      <c r="K107" s="458"/>
      <c r="L107" s="163"/>
      <c r="M107" s="163"/>
      <c r="O107" s="329">
        <f>I107/I$233</f>
        <v>24.648364485981308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'[82]Sch C'!D98</f>
        <v>0</v>
      </c>
      <c r="D110" s="480">
        <f>'[82]Sch C'!F98</f>
        <v>0</v>
      </c>
      <c r="E110" s="480">
        <f>+'[82]Sch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'[82]Sch C'!D99</f>
        <v>0</v>
      </c>
      <c r="D111" s="480">
        <f>'[82]Sch C'!F99</f>
        <v>0</v>
      </c>
      <c r="E111" s="480">
        <f>+'[82]Sch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'[82]Sch C'!D100</f>
        <v>12983</v>
      </c>
      <c r="D112" s="480">
        <f>'[82]Sch C'!F100</f>
        <v>0</v>
      </c>
      <c r="E112" s="480">
        <f>+'[82]Sch C'!H100</f>
        <v>0</v>
      </c>
      <c r="F112" s="166">
        <f t="shared" si="29"/>
        <v>12983</v>
      </c>
      <c r="G112" s="626">
        <v>-4220</v>
      </c>
      <c r="H112" s="166"/>
      <c r="I112" s="166">
        <f t="shared" si="30"/>
        <v>8763</v>
      </c>
      <c r="J112" s="167">
        <f t="shared" si="31"/>
        <v>5.1664671929628038E-3</v>
      </c>
      <c r="K112" s="458"/>
      <c r="L112" s="163"/>
      <c r="M112" s="163"/>
      <c r="O112" s="329">
        <f t="shared" si="32"/>
        <v>1.4624499332443257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'[82]Sch C'!D101</f>
        <v>0</v>
      </c>
      <c r="D113" s="480">
        <f>'[82]Sch C'!F101</f>
        <v>0</v>
      </c>
      <c r="E113" s="480">
        <f>+'[82]Sch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'[82]Sch C'!D102</f>
        <v>1733</v>
      </c>
      <c r="D114" s="480">
        <f>'[82]Sch C'!F102</f>
        <v>0</v>
      </c>
      <c r="E114" s="480">
        <f>+'[82]Sch C'!H102</f>
        <v>0</v>
      </c>
      <c r="F114" s="166">
        <f t="shared" si="29"/>
        <v>1733</v>
      </c>
      <c r="G114" s="626"/>
      <c r="H114" s="166"/>
      <c r="I114" s="166">
        <f t="shared" si="30"/>
        <v>1733</v>
      </c>
      <c r="J114" s="167">
        <f t="shared" si="31"/>
        <v>1.0217377205756634E-3</v>
      </c>
      <c r="K114" s="458"/>
      <c r="L114" s="163"/>
      <c r="M114" s="163"/>
      <c r="O114" s="329">
        <f t="shared" si="32"/>
        <v>0.289218958611482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'[82]Sch C'!D103</f>
        <v>0</v>
      </c>
      <c r="D115" s="480">
        <f>'[82]Sch C'!F103</f>
        <v>0</v>
      </c>
      <c r="E115" s="480">
        <f>+'[82]Sch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14716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14716</v>
      </c>
      <c r="G116" s="166">
        <f t="shared" si="34"/>
        <v>-4220</v>
      </c>
      <c r="H116" s="166">
        <f t="shared" si="34"/>
        <v>0</v>
      </c>
      <c r="I116" s="166">
        <f t="shared" si="34"/>
        <v>10496</v>
      </c>
      <c r="J116" s="167">
        <f t="shared" si="31"/>
        <v>6.1882049135384672E-3</v>
      </c>
      <c r="K116" s="458"/>
      <c r="L116" s="163"/>
      <c r="M116" s="163"/>
      <c r="O116" s="329">
        <f>I116/I$233</f>
        <v>1.7516688918558077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'[82]Sch C'!D115</f>
        <v>22515</v>
      </c>
      <c r="D119" s="480">
        <f>'[82]Sch C'!F115</f>
        <v>0</v>
      </c>
      <c r="E119" s="480">
        <f>+'[82]Sch C'!H115</f>
        <v>0</v>
      </c>
      <c r="F119" s="166">
        <f t="shared" ref="F119:F123" si="35">C119+D119+E119</f>
        <v>22515</v>
      </c>
      <c r="G119" s="626"/>
      <c r="H119" s="166"/>
      <c r="I119" s="166">
        <f t="shared" ref="I119:I123" si="36">F119+G119+H119</f>
        <v>22515</v>
      </c>
      <c r="J119" s="167">
        <f t="shared" ref="J119:J124" si="37">IF($I$213=0,0,I119/$I$213)</f>
        <v>1.3274336283185841E-2</v>
      </c>
      <c r="K119" s="458"/>
      <c r="L119" s="176">
        <v>2701</v>
      </c>
      <c r="M119" s="176">
        <v>2751</v>
      </c>
      <c r="O119" s="329">
        <f t="shared" ref="O119:O124" si="38">I119/I$233</f>
        <v>3.7575100133511348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'[82]Sch C'!D116</f>
        <v>0</v>
      </c>
      <c r="D120" s="480">
        <f>'[82]Sch C'!F116</f>
        <v>3362</v>
      </c>
      <c r="E120" s="480">
        <f>+'[82]Sch C'!H116</f>
        <v>0</v>
      </c>
      <c r="F120" s="166">
        <f t="shared" si="35"/>
        <v>3362</v>
      </c>
      <c r="G120" s="626">
        <v>-122</v>
      </c>
      <c r="H120" s="166"/>
      <c r="I120" s="166">
        <f t="shared" si="36"/>
        <v>3240</v>
      </c>
      <c r="J120" s="167">
        <f t="shared" si="37"/>
        <v>1.9102309374871031E-3</v>
      </c>
      <c r="K120" s="458"/>
      <c r="L120" s="163"/>
      <c r="M120" s="163"/>
      <c r="O120" s="329">
        <f t="shared" si="38"/>
        <v>0.54072096128170899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'[82]Sch C'!D117</f>
        <v>5328</v>
      </c>
      <c r="D121" s="480">
        <f>'[82]Sch C'!F117</f>
        <v>0</v>
      </c>
      <c r="E121" s="480">
        <f>+'[82]Sch C'!H117</f>
        <v>0</v>
      </c>
      <c r="F121" s="166">
        <f t="shared" si="35"/>
        <v>5328</v>
      </c>
      <c r="G121" s="626"/>
      <c r="H121" s="166"/>
      <c r="I121" s="166">
        <f t="shared" si="36"/>
        <v>5328</v>
      </c>
      <c r="J121" s="167">
        <f t="shared" si="37"/>
        <v>3.1412686527565693E-3</v>
      </c>
      <c r="K121" s="458"/>
      <c r="L121" s="163"/>
      <c r="M121" s="163"/>
      <c r="O121" s="329">
        <f t="shared" si="38"/>
        <v>0.88918558077436582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'[82]Sch C'!D118</f>
        <v>0</v>
      </c>
      <c r="D122" s="480">
        <f>'[82]Sch C'!F118</f>
        <v>0</v>
      </c>
      <c r="E122" s="480">
        <f>+'[82]Sch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'[82]Sch C'!D119</f>
        <v>7227</v>
      </c>
      <c r="D123" s="480">
        <f>'[82]Sch C'!F119</f>
        <v>0</v>
      </c>
      <c r="E123" s="480">
        <f>+'[82]Sch C'!H119</f>
        <v>0</v>
      </c>
      <c r="F123" s="166">
        <f t="shared" si="35"/>
        <v>7227</v>
      </c>
      <c r="G123" s="626">
        <f>-2138-3792</f>
        <v>-5930</v>
      </c>
      <c r="H123" s="166"/>
      <c r="I123" s="166">
        <f t="shared" si="36"/>
        <v>1297</v>
      </c>
      <c r="J123" s="167">
        <f t="shared" si="37"/>
        <v>7.6468195244468293E-4</v>
      </c>
      <c r="K123" s="458"/>
      <c r="L123" s="163"/>
      <c r="M123" s="163"/>
      <c r="O123" s="329">
        <f t="shared" si="38"/>
        <v>0.21645527369826434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35070</v>
      </c>
      <c r="D124" s="480">
        <f t="shared" si="39"/>
        <v>3362</v>
      </c>
      <c r="E124" s="480">
        <f t="shared" si="39"/>
        <v>0</v>
      </c>
      <c r="F124" s="166">
        <f t="shared" ref="F124:I124" si="40">SUM(F119:F123)</f>
        <v>38432</v>
      </c>
      <c r="G124" s="166">
        <f t="shared" si="40"/>
        <v>-6052</v>
      </c>
      <c r="H124" s="166">
        <f t="shared" si="40"/>
        <v>0</v>
      </c>
      <c r="I124" s="166">
        <f t="shared" si="40"/>
        <v>32380</v>
      </c>
      <c r="J124" s="167">
        <f t="shared" si="37"/>
        <v>1.9090517825874197E-2</v>
      </c>
      <c r="K124" s="458"/>
      <c r="L124" s="163"/>
      <c r="M124" s="163"/>
      <c r="O124" s="329">
        <f t="shared" si="38"/>
        <v>5.4038718291054737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'[82]Sch C'!D124</f>
        <v>0</v>
      </c>
      <c r="D128" s="480">
        <f>'[82]Sch C'!F124</f>
        <v>0</v>
      </c>
      <c r="E128" s="480">
        <f>+'[82]Sch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'[82]Sch C'!D125</f>
        <v>41962</v>
      </c>
      <c r="D129" s="480">
        <f>'[82]Sch C'!F125</f>
        <v>0</v>
      </c>
      <c r="E129" s="480">
        <f>+'[82]Sch C'!H125</f>
        <v>0</v>
      </c>
      <c r="F129" s="166">
        <f t="shared" si="41"/>
        <v>41962</v>
      </c>
      <c r="G129" s="626"/>
      <c r="H129" s="166"/>
      <c r="I129" s="166">
        <f t="shared" si="42"/>
        <v>41962</v>
      </c>
      <c r="J129" s="167">
        <f>IF($I$213=0,0,I129/$I$213)</f>
        <v>2.473984895025735E-2</v>
      </c>
      <c r="K129" s="458"/>
      <c r="L129" s="176">
        <v>1040</v>
      </c>
      <c r="M129" s="176">
        <v>1040</v>
      </c>
      <c r="O129" s="329">
        <f t="shared" si="43"/>
        <v>7.0030040053404541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'[82]Sch C'!D126</f>
        <v>0</v>
      </c>
      <c r="D130" s="480">
        <f>'[82]Sch C'!F126</f>
        <v>0</v>
      </c>
      <c r="E130" s="480">
        <f>+'[82]Sch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'[82]Sch C'!D127</f>
        <v>0</v>
      </c>
      <c r="D131" s="480">
        <f>'[82]Sch C'!F127</f>
        <v>0</v>
      </c>
      <c r="E131" s="480">
        <f>+'[82]Sch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'[82]Sch C'!D128</f>
        <v>68732</v>
      </c>
      <c r="D132" s="480">
        <f>'[82]Sch C'!F128</f>
        <v>0</v>
      </c>
      <c r="E132" s="480">
        <f>+'[82]Sch C'!H128</f>
        <v>0</v>
      </c>
      <c r="F132" s="166">
        <f t="shared" si="41"/>
        <v>68732</v>
      </c>
      <c r="G132" s="626"/>
      <c r="H132" s="166"/>
      <c r="I132" s="166">
        <f t="shared" si="42"/>
        <v>68732</v>
      </c>
      <c r="J132" s="167">
        <f>IF($I$213=0,0,I132/$I$213)</f>
        <v>4.0522837282519618E-2</v>
      </c>
      <c r="K132" s="458"/>
      <c r="L132" s="176">
        <v>2359</v>
      </c>
      <c r="M132" s="176">
        <v>2592</v>
      </c>
      <c r="O132" s="329">
        <f t="shared" si="43"/>
        <v>11.470627503337784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'[82]Sch C'!D130</f>
        <v>0</v>
      </c>
      <c r="D134" s="480">
        <f>'[82]Sch C'!F130</f>
        <v>0</v>
      </c>
      <c r="E134" s="480">
        <f>+'[82]Sch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'[82]Sch C'!D131</f>
        <v>0</v>
      </c>
      <c r="D135" s="480">
        <f>'[82]Sch C'!F131</f>
        <v>6267</v>
      </c>
      <c r="E135" s="480">
        <f>+'[82]Sch C'!H131</f>
        <v>0</v>
      </c>
      <c r="F135" s="166">
        <f t="shared" si="44"/>
        <v>6267</v>
      </c>
      <c r="G135" s="626">
        <v>-268</v>
      </c>
      <c r="H135" s="166"/>
      <c r="I135" s="166">
        <f t="shared" si="45"/>
        <v>5999</v>
      </c>
      <c r="J135" s="167">
        <f>IF($I$213=0,0,I135/$I$213)</f>
        <v>3.5368751216003492E-3</v>
      </c>
      <c r="K135" s="458"/>
      <c r="L135" s="196"/>
      <c r="M135" s="196"/>
      <c r="O135" s="329">
        <f t="shared" si="43"/>
        <v>1.0011682242990654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'[82]Sch C'!D132</f>
        <v>0</v>
      </c>
      <c r="D136" s="480">
        <f>'[82]Sch C'!F132</f>
        <v>0</v>
      </c>
      <c r="E136" s="480">
        <f>+'[82]Sch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'[82]Sch C'!D133</f>
        <v>0</v>
      </c>
      <c r="D137" s="480">
        <f>'[82]Sch C'!F133</f>
        <v>0</v>
      </c>
      <c r="E137" s="480">
        <f>+'[82]Sch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'[82]Sch C'!D134</f>
        <v>0</v>
      </c>
      <c r="D138" s="480">
        <f>'[82]Sch C'!F134</f>
        <v>10265</v>
      </c>
      <c r="E138" s="480">
        <f>+'[82]Sch C'!H134</f>
        <v>0</v>
      </c>
      <c r="F138" s="166">
        <f t="shared" si="44"/>
        <v>10265</v>
      </c>
      <c r="G138" s="626">
        <v>-375</v>
      </c>
      <c r="H138" s="166"/>
      <c r="I138" s="166">
        <f t="shared" si="45"/>
        <v>9890</v>
      </c>
      <c r="J138" s="167">
        <f>IF($I$213=0,0,I138/$I$213)</f>
        <v>5.8309209789343978E-3</v>
      </c>
      <c r="K138" s="458"/>
      <c r="L138" s="163"/>
      <c r="M138" s="163"/>
      <c r="O138" s="329">
        <f t="shared" si="43"/>
        <v>1.6505340453938584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'[82]Sch C'!D136</f>
        <v>73831</v>
      </c>
      <c r="D140" s="480">
        <f>'[82]Sch C'!F136</f>
        <v>0</v>
      </c>
      <c r="E140" s="480">
        <f>+'[82]Sch C'!H136</f>
        <v>0</v>
      </c>
      <c r="F140" s="166">
        <f t="shared" ref="F140:F143" si="46">C140+D140+E140</f>
        <v>73831</v>
      </c>
      <c r="G140" s="626"/>
      <c r="H140" s="166"/>
      <c r="I140" s="166">
        <f t="shared" ref="I140:I143" si="47">F140+G140+H140</f>
        <v>73831</v>
      </c>
      <c r="J140" s="167">
        <f>IF($I$213=0,0,I140/$I$213)</f>
        <v>4.3529092699262438E-2</v>
      </c>
      <c r="K140" s="458"/>
      <c r="L140" s="176">
        <v>3165</v>
      </c>
      <c r="M140" s="176">
        <v>3222</v>
      </c>
      <c r="O140" s="329">
        <f t="shared" si="43"/>
        <v>12.321595460614152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'[82]Sch C'!D137</f>
        <v>112903</v>
      </c>
      <c r="D141" s="480">
        <f>'[82]Sch C'!F137</f>
        <v>0</v>
      </c>
      <c r="E141" s="480">
        <f>+'[82]Sch C'!H137</f>
        <v>0</v>
      </c>
      <c r="F141" s="166">
        <f t="shared" si="46"/>
        <v>112903</v>
      </c>
      <c r="G141" s="626"/>
      <c r="H141" s="166"/>
      <c r="I141" s="166">
        <f t="shared" si="47"/>
        <v>112903</v>
      </c>
      <c r="J141" s="167">
        <f>IF($I$213=0,0,I141/$I$213)</f>
        <v>6.6565062819477286E-2</v>
      </c>
      <c r="K141" s="458"/>
      <c r="L141" s="176">
        <v>801</v>
      </c>
      <c r="M141" s="176">
        <v>801</v>
      </c>
      <c r="O141" s="329">
        <f t="shared" si="43"/>
        <v>18.842289719626169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'[82]Sch C'!D138</f>
        <v>167603</v>
      </c>
      <c r="D142" s="480">
        <f>'[82]Sch C'!F138</f>
        <v>0</v>
      </c>
      <c r="E142" s="480">
        <f>+'[82]Sch C'!H138</f>
        <v>0</v>
      </c>
      <c r="F142" s="166">
        <f t="shared" si="46"/>
        <v>167603</v>
      </c>
      <c r="G142" s="626"/>
      <c r="H142" s="166"/>
      <c r="I142" s="166">
        <f t="shared" si="47"/>
        <v>167603</v>
      </c>
      <c r="J142" s="167">
        <f>IF($I$213=0,0,I142/$I$213)</f>
        <v>9.8814949325818191E-2</v>
      </c>
      <c r="K142" s="458"/>
      <c r="L142" s="176">
        <v>15683</v>
      </c>
      <c r="M142" s="176">
        <v>16178</v>
      </c>
      <c r="O142" s="329">
        <f t="shared" si="43"/>
        <v>27.971128170894527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'[82]Sch C'!D139</f>
        <v>0</v>
      </c>
      <c r="D143" s="480">
        <f>'[82]Sch C'!F139</f>
        <v>0</v>
      </c>
      <c r="E143" s="480">
        <f>+'[82]Sch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'[82]Sch C'!D141</f>
        <v>0</v>
      </c>
      <c r="D145" s="480">
        <f>'[82]Sch C'!F141</f>
        <v>11026</v>
      </c>
      <c r="E145" s="480">
        <f>+'[82]Sch C'!H141</f>
        <v>0</v>
      </c>
      <c r="F145" s="166">
        <f t="shared" ref="F145:F148" si="48">C145+D145+E145</f>
        <v>11026</v>
      </c>
      <c r="G145" s="626">
        <v>-402</v>
      </c>
      <c r="H145" s="166"/>
      <c r="I145" s="166">
        <f t="shared" ref="I145:I148" si="49">F145+G145+H145</f>
        <v>10624</v>
      </c>
      <c r="J145" s="167">
        <f>IF($I$213=0,0,I145/$I$213)</f>
        <v>6.2636708271182045E-3</v>
      </c>
      <c r="K145" s="458"/>
      <c r="L145" s="163"/>
      <c r="M145" s="163"/>
      <c r="O145" s="329">
        <f t="shared" si="43"/>
        <v>1.7730307076101468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'[82]Sch C'!D142</f>
        <v>0</v>
      </c>
      <c r="D146" s="480">
        <f>'[82]Sch C'!F142</f>
        <v>16862</v>
      </c>
      <c r="E146" s="480">
        <f>+'[82]Sch C'!H142</f>
        <v>0</v>
      </c>
      <c r="F146" s="166">
        <f t="shared" si="48"/>
        <v>16862</v>
      </c>
      <c r="G146" s="626">
        <v>-616</v>
      </c>
      <c r="H146" s="166"/>
      <c r="I146" s="166">
        <f t="shared" si="49"/>
        <v>16246</v>
      </c>
      <c r="J146" s="167">
        <f>IF($I$213=0,0,I146/$I$213)</f>
        <v>9.578275250128233E-3</v>
      </c>
      <c r="K146" s="458"/>
      <c r="L146" s="163"/>
      <c r="M146" s="163"/>
      <c r="O146" s="329">
        <f t="shared" si="43"/>
        <v>2.7112817089452603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'[82]Sch C'!D143</f>
        <v>0</v>
      </c>
      <c r="D147" s="480">
        <f>'[82]Sch C'!F143</f>
        <v>25031</v>
      </c>
      <c r="E147" s="480">
        <f>+'[82]Sch C'!H143</f>
        <v>0</v>
      </c>
      <c r="F147" s="166">
        <f t="shared" si="48"/>
        <v>25031</v>
      </c>
      <c r="G147" s="626">
        <v>-914</v>
      </c>
      <c r="H147" s="166"/>
      <c r="I147" s="166">
        <f t="shared" si="49"/>
        <v>24117</v>
      </c>
      <c r="J147" s="167">
        <f>IF($I$213=0,0,I147/$I$213)</f>
        <v>1.4218839357832242E-2</v>
      </c>
      <c r="K147" s="458"/>
      <c r="L147" s="163"/>
      <c r="M147" s="163"/>
      <c r="O147" s="329">
        <f t="shared" si="43"/>
        <v>4.0248664886515355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'[82]Sch C'!D144</f>
        <v>0</v>
      </c>
      <c r="D148" s="480">
        <f>'[82]Sch C'!F144</f>
        <v>0</v>
      </c>
      <c r="E148" s="480">
        <f>+'[82]Sch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'[82]Sch C'!D146</f>
        <v>10000</v>
      </c>
      <c r="D150" s="480">
        <f>'[82]Sch C'!F146</f>
        <v>0</v>
      </c>
      <c r="E150" s="480">
        <f>+'[82]Sch C'!H146</f>
        <v>0</v>
      </c>
      <c r="F150" s="166">
        <f t="shared" ref="F150:F158" si="50">C150+D150+E150</f>
        <v>10000</v>
      </c>
      <c r="G150" s="626"/>
      <c r="H150" s="166"/>
      <c r="I150" s="166">
        <f t="shared" ref="I150:I158" si="51">F150+G150+H150</f>
        <v>10000</v>
      </c>
      <c r="J150" s="167">
        <f t="shared" ref="J150:J158" si="52">IF($I$213=0,0,I150/$I$213)</f>
        <v>5.8957744984169842E-3</v>
      </c>
      <c r="K150" s="458"/>
      <c r="L150" s="176">
        <v>0</v>
      </c>
      <c r="M150" s="176">
        <v>0</v>
      </c>
      <c r="O150" s="329">
        <f t="shared" si="43"/>
        <v>1.6688918558077437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'[82]Sch C'!D147</f>
        <v>0</v>
      </c>
      <c r="D151" s="480">
        <f>'[82]Sch C'!F147</f>
        <v>0</v>
      </c>
      <c r="E151" s="480">
        <f>+'[82]Sch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'[82]Sch C'!D148</f>
        <v>0</v>
      </c>
      <c r="D152" s="480">
        <f>'[82]Sch C'!F148</f>
        <v>0</v>
      </c>
      <c r="E152" s="480">
        <f>+'[82]Sch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'[82]Sch C'!D149</f>
        <v>0</v>
      </c>
      <c r="D153" s="480">
        <f>'[82]Sch C'!F149</f>
        <v>0</v>
      </c>
      <c r="E153" s="480">
        <f>+'[82]Sch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'[82]Sch C'!D150</f>
        <v>2500</v>
      </c>
      <c r="D154" s="480">
        <f>'[82]Sch C'!F150</f>
        <v>0</v>
      </c>
      <c r="E154" s="480">
        <f>+'[82]Sch C'!H150</f>
        <v>0</v>
      </c>
      <c r="F154" s="166">
        <f t="shared" si="50"/>
        <v>2500</v>
      </c>
      <c r="G154" s="626"/>
      <c r="H154" s="166"/>
      <c r="I154" s="166">
        <f t="shared" si="51"/>
        <v>2500</v>
      </c>
      <c r="J154" s="167">
        <f t="shared" si="52"/>
        <v>1.4739436246042461E-3</v>
      </c>
      <c r="K154" s="458"/>
      <c r="L154" s="176">
        <v>0</v>
      </c>
      <c r="M154" s="176">
        <v>0</v>
      </c>
      <c r="O154" s="329">
        <f t="shared" si="43"/>
        <v>0.41722296395193592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'[82]Sch C'!D151</f>
        <v>40686</v>
      </c>
      <c r="D155" s="480">
        <f>'[82]Sch C'!F151</f>
        <v>0</v>
      </c>
      <c r="E155" s="480">
        <f>+'[82]Sch C'!H151</f>
        <v>0</v>
      </c>
      <c r="F155" s="166">
        <f t="shared" si="50"/>
        <v>40686</v>
      </c>
      <c r="G155" s="626">
        <v>-1237</v>
      </c>
      <c r="H155" s="166"/>
      <c r="I155" s="166">
        <f t="shared" si="51"/>
        <v>39449</v>
      </c>
      <c r="J155" s="167">
        <f t="shared" si="52"/>
        <v>2.3258240818805162E-2</v>
      </c>
      <c r="K155" s="457"/>
      <c r="L155" s="163"/>
      <c r="M155" s="163"/>
      <c r="O155" s="329">
        <f t="shared" si="43"/>
        <v>6.5836114819759679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'[82]Sch C'!D152</f>
        <v>327</v>
      </c>
      <c r="D156" s="480">
        <f>'[82]Sch C'!F152</f>
        <v>0</v>
      </c>
      <c r="E156" s="480">
        <f>+'[82]Sch C'!H152</f>
        <v>0</v>
      </c>
      <c r="F156" s="166">
        <f t="shared" si="50"/>
        <v>327</v>
      </c>
      <c r="G156" s="626"/>
      <c r="H156" s="166"/>
      <c r="I156" s="166">
        <f t="shared" si="51"/>
        <v>327</v>
      </c>
      <c r="J156" s="167">
        <f t="shared" si="52"/>
        <v>1.9279182609823538E-4</v>
      </c>
      <c r="K156" s="458"/>
      <c r="L156" s="163"/>
      <c r="M156" s="163"/>
      <c r="O156" s="329">
        <f t="shared" si="43"/>
        <v>5.457276368491322E-2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'[82]Sch C'!D153</f>
        <v>0</v>
      </c>
      <c r="D157" s="480">
        <f>'[82]Sch C'!F153</f>
        <v>0</v>
      </c>
      <c r="E157" s="480">
        <f>+'[82]Sch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'[82]Sch C'!D154</f>
        <v>0</v>
      </c>
      <c r="D158" s="480">
        <f>'[82]Sch C'!F154</f>
        <v>0</v>
      </c>
      <c r="E158" s="480">
        <f>+'[82]Sch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'[82]Sch C'!D156</f>
        <v>0</v>
      </c>
      <c r="D160" s="480">
        <f>'[82]Sch C'!F156</f>
        <v>0</v>
      </c>
      <c r="E160" s="480">
        <f>+'[82]Sch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'[82]Sch C'!D157</f>
        <v>0</v>
      </c>
      <c r="D161" s="480">
        <f>'[82]Sch C'!F157</f>
        <v>0</v>
      </c>
      <c r="E161" s="480">
        <f>+'[82]Sch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'[82]Sch C'!D158</f>
        <v>0</v>
      </c>
      <c r="D162" s="480">
        <f>'[82]Sch C'!F158</f>
        <v>0</v>
      </c>
      <c r="E162" s="480">
        <f>+'[82]Sch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'[82]Sch C'!D159</f>
        <v>0</v>
      </c>
      <c r="D163" s="480">
        <f>'[82]Sch C'!F159</f>
        <v>0</v>
      </c>
      <c r="E163" s="480">
        <f>+'[82]Sch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'[82]Sch C'!D160</f>
        <v>0</v>
      </c>
      <c r="D164" s="480">
        <f>'[82]Sch C'!F160</f>
        <v>0</v>
      </c>
      <c r="E164" s="480">
        <f>+'[82]Sch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'[82]Sch C'!D161</f>
        <v>0</v>
      </c>
      <c r="D165" s="480">
        <f>'[82]Sch C'!F161</f>
        <v>0</v>
      </c>
      <c r="E165" s="480">
        <f>+'[82]Sch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518544</v>
      </c>
      <c r="D166" s="480">
        <f t="shared" si="56"/>
        <v>69451</v>
      </c>
      <c r="E166" s="480">
        <f t="shared" si="56"/>
        <v>0</v>
      </c>
      <c r="F166" s="166">
        <f t="shared" ref="F166:I166" si="57">SUM(F128:F165)</f>
        <v>587995</v>
      </c>
      <c r="G166" s="166">
        <f t="shared" si="57"/>
        <v>-3812</v>
      </c>
      <c r="H166" s="166">
        <f t="shared" si="57"/>
        <v>0</v>
      </c>
      <c r="I166" s="166">
        <f t="shared" si="57"/>
        <v>584183</v>
      </c>
      <c r="J166" s="167">
        <f t="shared" si="55"/>
        <v>0.34442112338087294</v>
      </c>
      <c r="K166" s="458"/>
      <c r="L166" s="163"/>
      <c r="M166" s="163"/>
      <c r="O166" s="329">
        <f>I166/I$233</f>
        <v>97.493825100133506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'[82]Sch C'!D175</f>
        <v>0</v>
      </c>
      <c r="D169" s="480">
        <f>'[82]Sch C'!F175</f>
        <v>0</v>
      </c>
      <c r="E169" s="480">
        <f>+'[82]Sch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'[82]Sch C'!D176</f>
        <v>0</v>
      </c>
      <c r="D170" s="480">
        <f>'[82]Sch C'!F176</f>
        <v>0</v>
      </c>
      <c r="E170" s="480">
        <f>+'[82]Sch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'[82]Sch C'!D177</f>
        <v>107087</v>
      </c>
      <c r="D171" s="480">
        <f>'[82]Sch C'!F177</f>
        <v>0</v>
      </c>
      <c r="E171" s="480">
        <f>+'[82]Sch C'!H177</f>
        <v>0</v>
      </c>
      <c r="F171" s="166">
        <f t="shared" si="58"/>
        <v>107087</v>
      </c>
      <c r="G171" s="626"/>
      <c r="H171" s="166"/>
      <c r="I171" s="166">
        <f t="shared" si="59"/>
        <v>107087</v>
      </c>
      <c r="J171" s="167">
        <f t="shared" si="60"/>
        <v>6.3136080371197958E-2</v>
      </c>
      <c r="K171" s="468"/>
      <c r="L171" s="176">
        <v>3194</v>
      </c>
      <c r="M171" s="176">
        <v>3250</v>
      </c>
      <c r="N171" s="208"/>
      <c r="O171" s="329">
        <f t="shared" si="61"/>
        <v>17.871662216288385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'[82]Sch C'!D178</f>
        <v>0</v>
      </c>
      <c r="D172" s="480">
        <f>'[82]Sch C'!F178</f>
        <v>15993</v>
      </c>
      <c r="E172" s="480">
        <f>+'[82]Sch C'!H178</f>
        <v>0</v>
      </c>
      <c r="F172" s="166">
        <f t="shared" si="58"/>
        <v>15993</v>
      </c>
      <c r="G172" s="626">
        <v>-584</v>
      </c>
      <c r="H172" s="166"/>
      <c r="I172" s="166">
        <f t="shared" si="59"/>
        <v>15409</v>
      </c>
      <c r="J172" s="167">
        <f t="shared" si="60"/>
        <v>9.0847989246107316E-3</v>
      </c>
      <c r="K172" s="469"/>
      <c r="L172" s="212"/>
      <c r="M172" s="212"/>
      <c r="N172" s="208"/>
      <c r="O172" s="329">
        <f t="shared" si="61"/>
        <v>2.571595460614152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'[82]Sch C'!D179</f>
        <v>4868</v>
      </c>
      <c r="D173" s="480">
        <f>'[82]Sch C'!F179</f>
        <v>0</v>
      </c>
      <c r="E173" s="480">
        <f>+'[82]Sch C'!H179</f>
        <v>0</v>
      </c>
      <c r="F173" s="166">
        <f t="shared" si="58"/>
        <v>4868</v>
      </c>
      <c r="G173" s="626"/>
      <c r="H173" s="166"/>
      <c r="I173" s="166">
        <f t="shared" si="59"/>
        <v>4868</v>
      </c>
      <c r="J173" s="167">
        <f t="shared" si="60"/>
        <v>2.8700630258293881E-3</v>
      </c>
      <c r="K173" s="468"/>
      <c r="L173" s="176">
        <v>137</v>
      </c>
      <c r="M173" s="176">
        <v>137</v>
      </c>
      <c r="N173" s="208"/>
      <c r="O173" s="329">
        <f t="shared" si="61"/>
        <v>0.81241655540720958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'[82]Sch C'!D180</f>
        <v>0</v>
      </c>
      <c r="D174" s="480">
        <f>'[82]Sch C'!F180</f>
        <v>727</v>
      </c>
      <c r="E174" s="480">
        <f>+'[82]Sch C'!H180</f>
        <v>0</v>
      </c>
      <c r="F174" s="166">
        <f t="shared" si="58"/>
        <v>727</v>
      </c>
      <c r="G174" s="626">
        <v>-27</v>
      </c>
      <c r="H174" s="166"/>
      <c r="I174" s="166">
        <f t="shared" si="59"/>
        <v>700</v>
      </c>
      <c r="J174" s="167">
        <f t="shared" si="60"/>
        <v>4.1270421488918892E-4</v>
      </c>
      <c r="K174" s="469"/>
      <c r="L174" s="212"/>
      <c r="M174" s="212"/>
      <c r="N174" s="208"/>
      <c r="O174" s="329">
        <f t="shared" si="61"/>
        <v>0.11682242990654206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'[82]Sch C'!D181</f>
        <v>0</v>
      </c>
      <c r="D175" s="480">
        <f>'[82]Sch C'!F181</f>
        <v>0</v>
      </c>
      <c r="E175" s="480">
        <f>+'[82]Sch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'[82]Sch C'!D182</f>
        <v>0</v>
      </c>
      <c r="D176" s="480">
        <f>'[82]Sch C'!F182</f>
        <v>0</v>
      </c>
      <c r="E176" s="480">
        <f>+'[82]Sch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'[82]Sch C'!D183</f>
        <v>9355</v>
      </c>
      <c r="D177" s="480">
        <f>'[82]Sch C'!F183</f>
        <v>0</v>
      </c>
      <c r="E177" s="480">
        <f>+'[82]Sch C'!H183</f>
        <v>0</v>
      </c>
      <c r="F177" s="166">
        <f t="shared" si="58"/>
        <v>9355</v>
      </c>
      <c r="G177" s="626">
        <v>31489</v>
      </c>
      <c r="H177" s="166"/>
      <c r="I177" s="166">
        <f t="shared" si="59"/>
        <v>40844</v>
      </c>
      <c r="J177" s="167">
        <f t="shared" si="60"/>
        <v>2.408070136133433E-2</v>
      </c>
      <c r="K177" s="468"/>
      <c r="L177" s="176">
        <v>1508</v>
      </c>
      <c r="M177" s="176">
        <v>1556</v>
      </c>
      <c r="N177" s="208"/>
      <c r="O177" s="329">
        <f t="shared" si="61"/>
        <v>6.816421895861148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'[82]Sch C'!D184</f>
        <v>0</v>
      </c>
      <c r="D178" s="480">
        <f>'[82]Sch C'!F184</f>
        <v>1397</v>
      </c>
      <c r="E178" s="480">
        <f>+'[82]Sch C'!H184</f>
        <v>0</v>
      </c>
      <c r="F178" s="166">
        <f t="shared" si="58"/>
        <v>1397</v>
      </c>
      <c r="G178" s="626">
        <v>4479</v>
      </c>
      <c r="H178" s="166"/>
      <c r="I178" s="166">
        <f t="shared" si="59"/>
        <v>5876</v>
      </c>
      <c r="J178" s="167">
        <f t="shared" si="60"/>
        <v>3.4643570952698202E-3</v>
      </c>
      <c r="K178" s="469"/>
      <c r="L178" s="212"/>
      <c r="M178" s="212"/>
      <c r="N178" s="208"/>
      <c r="O178" s="329">
        <f t="shared" si="61"/>
        <v>0.98064085447263016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'[82]Sch C'!D185</f>
        <v>0</v>
      </c>
      <c r="D179" s="480">
        <f>'[82]Sch C'!F185</f>
        <v>0</v>
      </c>
      <c r="E179" s="480">
        <f>+'[82]Sch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'[82]Sch C'!D186</f>
        <v>0</v>
      </c>
      <c r="D180" s="480">
        <f>'[82]Sch C'!F186</f>
        <v>0</v>
      </c>
      <c r="E180" s="480">
        <f>+'[82]Sch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'[82]Sch C'!D187</f>
        <v>0</v>
      </c>
      <c r="D181" s="480">
        <f>'[82]Sch C'!F187</f>
        <v>0</v>
      </c>
      <c r="E181" s="480">
        <f>+'[82]Sch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'[82]Sch C'!D188</f>
        <v>3424</v>
      </c>
      <c r="D182" s="480">
        <f>'[82]Sch C'!F188</f>
        <v>0</v>
      </c>
      <c r="E182" s="480">
        <f>+'[82]Sch C'!H188</f>
        <v>0</v>
      </c>
      <c r="F182" s="166">
        <f t="shared" si="58"/>
        <v>3424</v>
      </c>
      <c r="G182" s="626"/>
      <c r="H182" s="166"/>
      <c r="I182" s="166">
        <f t="shared" si="59"/>
        <v>3424</v>
      </c>
      <c r="J182" s="167">
        <f t="shared" si="60"/>
        <v>2.0187131882579757E-3</v>
      </c>
      <c r="K182" s="458"/>
      <c r="L182" s="213"/>
      <c r="M182" s="208"/>
      <c r="N182" s="210"/>
      <c r="O182" s="329">
        <f t="shared" si="61"/>
        <v>0.5714285714285714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'[82]Sch C'!D189</f>
        <v>102</v>
      </c>
      <c r="D183" s="480">
        <f>'[82]Sch C'!F189</f>
        <v>0</v>
      </c>
      <c r="E183" s="480">
        <f>+'[82]Sch C'!H189</f>
        <v>0</v>
      </c>
      <c r="F183" s="166">
        <f t="shared" si="58"/>
        <v>102</v>
      </c>
      <c r="G183" s="626"/>
      <c r="H183" s="166"/>
      <c r="I183" s="166">
        <f t="shared" si="59"/>
        <v>102</v>
      </c>
      <c r="J183" s="167">
        <f t="shared" si="60"/>
        <v>6.013689988385324E-5</v>
      </c>
      <c r="K183" s="458"/>
      <c r="L183" s="213"/>
      <c r="M183" s="208"/>
      <c r="N183" s="210"/>
      <c r="O183" s="329">
        <f t="shared" si="61"/>
        <v>1.7022696929238985E-2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'[82]Sch C'!D190</f>
        <v>0</v>
      </c>
      <c r="D184" s="480">
        <f>'[82]Sch C'!F190</f>
        <v>0</v>
      </c>
      <c r="E184" s="480">
        <f>+'[82]Sch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'[82]Sch C'!D191</f>
        <v>155</v>
      </c>
      <c r="D185" s="480">
        <f>'[82]Sch C'!F191</f>
        <v>0</v>
      </c>
      <c r="E185" s="480">
        <f>+'[82]Sch C'!H191</f>
        <v>0</v>
      </c>
      <c r="F185" s="166">
        <f t="shared" si="58"/>
        <v>155</v>
      </c>
      <c r="G185" s="626"/>
      <c r="H185" s="166"/>
      <c r="I185" s="166">
        <f t="shared" si="59"/>
        <v>155</v>
      </c>
      <c r="J185" s="167">
        <f t="shared" si="60"/>
        <v>9.1384504725463265E-5</v>
      </c>
      <c r="K185" s="458"/>
      <c r="L185" s="213"/>
      <c r="M185" s="208"/>
      <c r="N185" s="210"/>
      <c r="O185" s="329">
        <f t="shared" si="61"/>
        <v>2.5867823765020028E-2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'[82]Sch C'!D192</f>
        <v>0</v>
      </c>
      <c r="D186" s="480">
        <f>'[82]Sch C'!F192</f>
        <v>0</v>
      </c>
      <c r="E186" s="480">
        <f>+'[82]Sch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'[82]Sch C'!D193</f>
        <v>0</v>
      </c>
      <c r="D187" s="480">
        <f>'[82]Sch C'!F193</f>
        <v>0</v>
      </c>
      <c r="E187" s="480">
        <f>+'[82]Sch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'[82]Sch C'!D194</f>
        <v>0</v>
      </c>
      <c r="D188" s="480">
        <f>'[82]Sch C'!F194</f>
        <v>0</v>
      </c>
      <c r="E188" s="480">
        <f>+'[82]Sch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'[82]Sch C'!D195</f>
        <v>0</v>
      </c>
      <c r="D189" s="480">
        <f>'[82]Sch C'!F195</f>
        <v>0</v>
      </c>
      <c r="E189" s="480">
        <f>+'[82]Sch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'[82]Sch C'!D196</f>
        <v>0</v>
      </c>
      <c r="D190" s="480">
        <f>'[82]Sch C'!F196</f>
        <v>0</v>
      </c>
      <c r="E190" s="480">
        <f>+'[82]Sch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'[82]Sch C'!D197</f>
        <v>31489</v>
      </c>
      <c r="D191" s="480">
        <f>'[82]Sch C'!F197</f>
        <v>0</v>
      </c>
      <c r="E191" s="480">
        <f>+'[82]Sch C'!H197</f>
        <v>0</v>
      </c>
      <c r="F191" s="166">
        <f t="shared" si="58"/>
        <v>31489</v>
      </c>
      <c r="G191" s="626">
        <v>-31489</v>
      </c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'[82]Sch C'!D198</f>
        <v>24975</v>
      </c>
      <c r="D192" s="480">
        <f>'[82]Sch C'!F198</f>
        <v>0</v>
      </c>
      <c r="E192" s="480">
        <f>+'[82]Sch C'!H198</f>
        <v>0</v>
      </c>
      <c r="F192" s="166">
        <f t="shared" si="58"/>
        <v>24975</v>
      </c>
      <c r="G192" s="626"/>
      <c r="H192" s="166"/>
      <c r="I192" s="166">
        <f t="shared" si="59"/>
        <v>24975</v>
      </c>
      <c r="J192" s="167">
        <f t="shared" si="60"/>
        <v>1.4724696809796418E-2</v>
      </c>
      <c r="K192" s="458"/>
      <c r="L192" s="213"/>
      <c r="M192" s="208"/>
      <c r="O192" s="329">
        <f t="shared" si="61"/>
        <v>4.1680574098798395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'[82]Sch C'!D199</f>
        <v>0</v>
      </c>
      <c r="D193" s="480">
        <f>'[82]Sch C'!F199</f>
        <v>0</v>
      </c>
      <c r="E193" s="480">
        <f>+'[82]Sch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'[82]Sch C'!D200</f>
        <v>0</v>
      </c>
      <c r="D194" s="480">
        <f>'[82]Sch C'!F200</f>
        <v>0</v>
      </c>
      <c r="E194" s="480">
        <f>+'[82]Sch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'[82]Sch C'!D201</f>
        <v>0</v>
      </c>
      <c r="D195" s="480">
        <f>'[82]Sch C'!F201</f>
        <v>0</v>
      </c>
      <c r="E195" s="480">
        <f>+'[82]Sch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'[82]Sch C'!D202</f>
        <v>0</v>
      </c>
      <c r="D196" s="480">
        <f>'[82]Sch C'!F202</f>
        <v>0</v>
      </c>
      <c r="E196" s="480">
        <f>+'[82]Sch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'[82]Sch C'!D203</f>
        <v>0</v>
      </c>
      <c r="D197" s="480">
        <f>'[82]Sch C'!F203</f>
        <v>0</v>
      </c>
      <c r="E197" s="480">
        <f>+'[82]Sch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'[82]Sch C'!D204</f>
        <v>0</v>
      </c>
      <c r="D198" s="480">
        <f>'[82]Sch C'!F204</f>
        <v>0</v>
      </c>
      <c r="E198" s="480">
        <f>+'[82]Sch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'[82]Sch C'!D205</f>
        <v>92911</v>
      </c>
      <c r="D199" s="480">
        <f>'[82]Sch C'!F205</f>
        <v>0</v>
      </c>
      <c r="E199" s="480">
        <f>+'[82]Sch C'!H205</f>
        <v>0</v>
      </c>
      <c r="F199" s="166">
        <f t="shared" si="58"/>
        <v>92911</v>
      </c>
      <c r="G199" s="626"/>
      <c r="H199" s="166"/>
      <c r="I199" s="166">
        <f t="shared" si="59"/>
        <v>92911</v>
      </c>
      <c r="J199" s="167">
        <f t="shared" si="60"/>
        <v>5.4778230442242046E-2</v>
      </c>
      <c r="K199" s="458"/>
      <c r="L199" s="213"/>
      <c r="M199" s="208"/>
      <c r="O199" s="329">
        <f t="shared" si="61"/>
        <v>15.505841121495328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'[82]Sch C'!D206</f>
        <v>9407</v>
      </c>
      <c r="D200" s="480">
        <f>'[82]Sch C'!F206</f>
        <v>0</v>
      </c>
      <c r="E200" s="480">
        <f>+'[82]Sch C'!H206</f>
        <v>0</v>
      </c>
      <c r="F200" s="166">
        <f t="shared" si="58"/>
        <v>9407</v>
      </c>
      <c r="G200" s="626"/>
      <c r="H200" s="166"/>
      <c r="I200" s="166">
        <f t="shared" si="59"/>
        <v>9407</v>
      </c>
      <c r="J200" s="167">
        <f t="shared" si="60"/>
        <v>5.546155070660857E-3</v>
      </c>
      <c r="K200" s="458"/>
      <c r="L200" s="213"/>
      <c r="M200" s="208"/>
      <c r="O200" s="329">
        <f t="shared" si="61"/>
        <v>1.5699265687583444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'[82]Sch C'!D207</f>
        <v>0</v>
      </c>
      <c r="D201" s="480">
        <f>'[82]Sch C'!F207</f>
        <v>0</v>
      </c>
      <c r="E201" s="480">
        <f>+'[82]Sch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283773</v>
      </c>
      <c r="D202" s="480">
        <f t="shared" si="62"/>
        <v>18117</v>
      </c>
      <c r="E202" s="480">
        <f t="shared" si="62"/>
        <v>0</v>
      </c>
      <c r="F202" s="166">
        <f t="shared" ref="F202:I202" si="63">SUM(F169:F201)</f>
        <v>301890</v>
      </c>
      <c r="G202" s="166">
        <f t="shared" si="63"/>
        <v>3868</v>
      </c>
      <c r="H202" s="166">
        <f t="shared" si="63"/>
        <v>0</v>
      </c>
      <c r="I202" s="166">
        <f t="shared" si="63"/>
        <v>305758</v>
      </c>
      <c r="J202" s="167">
        <f>IF($I$213=0,0,I202/$I$213)</f>
        <v>0.18026802190869803</v>
      </c>
      <c r="K202" s="458"/>
      <c r="L202" s="163"/>
      <c r="M202" s="163"/>
      <c r="O202" s="329">
        <f>I202/I$233</f>
        <v>51.027703604806412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'[82]Sch C'!D211</f>
        <v>34889</v>
      </c>
      <c r="D205" s="480">
        <f>'[82]Sch C'!F211</f>
        <v>0</v>
      </c>
      <c r="E205" s="480">
        <f>+'[82]Sch C'!H211</f>
        <v>0</v>
      </c>
      <c r="F205" s="166">
        <f t="shared" ref="F205:F210" si="64">C205+D205+E205</f>
        <v>34889</v>
      </c>
      <c r="G205" s="626"/>
      <c r="H205" s="166"/>
      <c r="I205" s="166">
        <f t="shared" ref="I205:I210" si="65">F205+G205+H205</f>
        <v>34889</v>
      </c>
      <c r="J205" s="167">
        <f t="shared" ref="J205:J211" si="66">IF($I$213=0,0,I205/$I$213)</f>
        <v>2.0569767647527017E-2</v>
      </c>
      <c r="K205" s="458"/>
      <c r="L205" s="176">
        <v>2353</v>
      </c>
      <c r="M205" s="176">
        <v>2515</v>
      </c>
      <c r="O205" s="329">
        <f t="shared" ref="O205:O210" si="67">I205/I$233</f>
        <v>5.8225967957276366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'[82]Sch C'!D212</f>
        <v>0</v>
      </c>
      <c r="D206" s="480">
        <f>'[82]Sch C'!F212</f>
        <v>5210</v>
      </c>
      <c r="E206" s="480">
        <f>+'[82]Sch C'!H212</f>
        <v>0</v>
      </c>
      <c r="F206" s="166">
        <f t="shared" si="64"/>
        <v>5210</v>
      </c>
      <c r="G206" s="626">
        <v>-190</v>
      </c>
      <c r="H206" s="166"/>
      <c r="I206" s="166">
        <f t="shared" si="65"/>
        <v>5020</v>
      </c>
      <c r="J206" s="167">
        <f t="shared" si="66"/>
        <v>2.9596787982053264E-3</v>
      </c>
      <c r="K206" s="458"/>
      <c r="L206" s="163"/>
      <c r="M206" s="163"/>
      <c r="O206" s="329">
        <f t="shared" si="67"/>
        <v>0.83778371161548737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'[82]Sch C'!D213</f>
        <v>8177</v>
      </c>
      <c r="D207" s="480">
        <f>'[82]Sch C'!F213</f>
        <v>0</v>
      </c>
      <c r="E207" s="480">
        <f>+'[82]Sch C'!H213</f>
        <v>0</v>
      </c>
      <c r="F207" s="166">
        <f t="shared" si="64"/>
        <v>8177</v>
      </c>
      <c r="G207" s="626"/>
      <c r="H207" s="166"/>
      <c r="I207" s="166">
        <f t="shared" si="65"/>
        <v>8177</v>
      </c>
      <c r="J207" s="167">
        <f t="shared" si="66"/>
        <v>4.8209748073555683E-3</v>
      </c>
      <c r="K207" s="458"/>
      <c r="L207" s="163"/>
      <c r="M207" s="163"/>
      <c r="O207" s="329">
        <f t="shared" si="67"/>
        <v>1.364652870493992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'[82]Sch C'!D214</f>
        <v>0</v>
      </c>
      <c r="D208" s="480">
        <f>'[82]Sch C'!F214</f>
        <v>0</v>
      </c>
      <c r="E208" s="480">
        <f>+'[82]Sch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'[82]Sch C'!D215</f>
        <v>0</v>
      </c>
      <c r="D209" s="480">
        <f>'[82]Sch C'!F215</f>
        <v>0</v>
      </c>
      <c r="E209" s="480">
        <f>+'[82]Sch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'[82]Sch C'!D216</f>
        <v>918</v>
      </c>
      <c r="D210" s="480">
        <f>'[82]Sch C'!F216</f>
        <v>0</v>
      </c>
      <c r="E210" s="480">
        <f>+'[82]Sch C'!H216</f>
        <v>0</v>
      </c>
      <c r="F210" s="166">
        <f t="shared" si="64"/>
        <v>918</v>
      </c>
      <c r="G210" s="626"/>
      <c r="H210" s="166"/>
      <c r="I210" s="166">
        <f t="shared" si="65"/>
        <v>918</v>
      </c>
      <c r="J210" s="167">
        <f t="shared" si="66"/>
        <v>5.4123209895467919E-4</v>
      </c>
      <c r="K210" s="457"/>
      <c r="L210" s="163"/>
      <c r="M210" s="163"/>
      <c r="O210" s="329">
        <f t="shared" si="67"/>
        <v>0.15320427236315087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43984</v>
      </c>
      <c r="D211" s="480">
        <f t="shared" si="68"/>
        <v>5210</v>
      </c>
      <c r="E211" s="480">
        <f t="shared" si="68"/>
        <v>0</v>
      </c>
      <c r="F211" s="166">
        <f t="shared" ref="F211:I211" si="69">SUM(F205:F210)</f>
        <v>49194</v>
      </c>
      <c r="G211" s="166">
        <f t="shared" si="69"/>
        <v>-190</v>
      </c>
      <c r="H211" s="166">
        <f t="shared" si="69"/>
        <v>0</v>
      </c>
      <c r="I211" s="166">
        <f t="shared" si="69"/>
        <v>49004</v>
      </c>
      <c r="J211" s="167">
        <f t="shared" si="66"/>
        <v>2.8891653352042593E-2</v>
      </c>
      <c r="K211" s="458"/>
      <c r="L211" s="163"/>
      <c r="M211" s="163"/>
      <c r="O211" s="329">
        <f>I211/I$233</f>
        <v>8.1782376502002663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1724213</v>
      </c>
      <c r="D213" s="480">
        <f t="shared" si="70"/>
        <v>-2903</v>
      </c>
      <c r="E213" s="480">
        <f t="shared" si="70"/>
        <v>-326</v>
      </c>
      <c r="F213" s="166">
        <f t="shared" ref="F213:I213" si="71">SUM(F30:F211)/2</f>
        <v>1720984</v>
      </c>
      <c r="G213" s="166">
        <f t="shared" si="71"/>
        <v>-24528</v>
      </c>
      <c r="H213" s="166">
        <f t="shared" si="71"/>
        <v>-326</v>
      </c>
      <c r="I213" s="166">
        <f t="shared" si="71"/>
        <v>1696130</v>
      </c>
      <c r="J213" s="167">
        <f>IF($I$213=0,0,I213/$I$213)</f>
        <v>1</v>
      </c>
      <c r="K213" s="458"/>
      <c r="L213" s="176">
        <f>SUM(L30:L205)</f>
        <v>45864</v>
      </c>
      <c r="M213" s="176">
        <f>SUM(M30:M205)</f>
        <v>47710</v>
      </c>
      <c r="O213" s="329">
        <f>I213/I$233</f>
        <v>283.06575433911883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'[82]Sch C'!D221</f>
        <v>1724213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16978</v>
      </c>
      <c r="D220" s="480">
        <f t="shared" si="72"/>
        <v>2903</v>
      </c>
      <c r="E220" s="480">
        <f t="shared" si="72"/>
        <v>326</v>
      </c>
      <c r="F220" s="166">
        <f t="shared" ref="F220:I220" si="73">F26-F213</f>
        <v>20207</v>
      </c>
      <c r="G220" s="166">
        <f t="shared" si="73"/>
        <v>-123266</v>
      </c>
      <c r="H220" s="166">
        <f t="shared" si="73"/>
        <v>326</v>
      </c>
      <c r="I220" s="166">
        <f t="shared" si="73"/>
        <v>-102733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'[82]Sch D'!C9</f>
        <v>3370</v>
      </c>
      <c r="D224" s="480"/>
      <c r="E224" s="480"/>
      <c r="F224" s="224">
        <f>C224+D224+E224</f>
        <v>3370</v>
      </c>
      <c r="G224" s="627"/>
      <c r="H224" s="223"/>
      <c r="I224" s="224">
        <f>F224+G224+H224</f>
        <v>3370</v>
      </c>
      <c r="J224" s="167">
        <f t="shared" ref="J224:J233" si="74">IF($I$233=0,0,I224/$I$233)</f>
        <v>0.56241655540720958</v>
      </c>
      <c r="K224" s="458"/>
      <c r="L224" s="163"/>
      <c r="M224" s="163"/>
    </row>
    <row r="225" spans="1:13">
      <c r="A225" s="158"/>
      <c r="B225" s="165" t="s">
        <v>201</v>
      </c>
      <c r="C225" s="504">
        <f>'[82]Sch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'[82]Sch D'!E9</f>
        <v>2112</v>
      </c>
      <c r="D226" s="480"/>
      <c r="E226" s="480"/>
      <c r="F226" s="224">
        <f t="shared" si="75"/>
        <v>2112</v>
      </c>
      <c r="G226" s="627"/>
      <c r="H226" s="223"/>
      <c r="I226" s="224">
        <f t="shared" si="76"/>
        <v>2112</v>
      </c>
      <c r="J226" s="167">
        <f t="shared" si="74"/>
        <v>0.35246995994659547</v>
      </c>
      <c r="K226" s="458"/>
      <c r="L226" s="163"/>
      <c r="M226" s="163"/>
    </row>
    <row r="227" spans="1:13">
      <c r="A227" s="158"/>
      <c r="B227" s="194" t="s">
        <v>315</v>
      </c>
      <c r="C227" s="504">
        <f>'[82]Sch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'[82]Sch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'[82]Sch D'!H9</f>
        <v>399</v>
      </c>
      <c r="D229" s="480"/>
      <c r="E229" s="480"/>
      <c r="F229" s="224">
        <f t="shared" si="75"/>
        <v>399</v>
      </c>
      <c r="G229" s="627"/>
      <c r="H229" s="223"/>
      <c r="I229" s="224">
        <f t="shared" si="76"/>
        <v>399</v>
      </c>
      <c r="J229" s="167">
        <f t="shared" si="74"/>
        <v>6.6588785046728965E-2</v>
      </c>
      <c r="K229" s="458"/>
      <c r="L229" s="163"/>
      <c r="M229" s="163"/>
    </row>
    <row r="230" spans="1:13">
      <c r="A230" s="158"/>
      <c r="B230" s="165" t="s">
        <v>219</v>
      </c>
      <c r="C230" s="504">
        <f>'[82]Sch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7"/>
      <c r="L230" s="163"/>
      <c r="M230" s="163"/>
    </row>
    <row r="231" spans="1:13">
      <c r="A231" s="158"/>
      <c r="B231" s="165" t="s">
        <v>218</v>
      </c>
      <c r="C231" s="504">
        <f>'[82]Sch D'!J9</f>
        <v>111</v>
      </c>
      <c r="D231" s="480"/>
      <c r="E231" s="480"/>
      <c r="F231" s="224">
        <f t="shared" si="75"/>
        <v>111</v>
      </c>
      <c r="G231" s="627"/>
      <c r="H231" s="223"/>
      <c r="I231" s="224">
        <f t="shared" si="76"/>
        <v>111</v>
      </c>
      <c r="J231" s="167">
        <f>IF($I$233=0,0,I231/$I$233)</f>
        <v>1.8524699599465955E-2</v>
      </c>
      <c r="K231" s="457"/>
      <c r="L231" s="163"/>
      <c r="M231" s="163"/>
    </row>
    <row r="232" spans="1:13">
      <c r="A232" s="158"/>
      <c r="B232" s="165" t="s">
        <v>170</v>
      </c>
      <c r="C232" s="504">
        <f>'[82]Sch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5992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5992</v>
      </c>
      <c r="G233" s="226">
        <f t="shared" si="78"/>
        <v>0</v>
      </c>
      <c r="H233" s="226">
        <f t="shared" si="78"/>
        <v>0</v>
      </c>
      <c r="I233" s="226">
        <f t="shared" si="78"/>
        <v>5992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442"/>
      <c r="L235" s="163"/>
      <c r="M235" s="163"/>
    </row>
    <row r="236" spans="1:13">
      <c r="A236" s="158"/>
      <c r="B236" s="194" t="s">
        <v>203</v>
      </c>
      <c r="C236" s="504">
        <f>'[82]Sch D'!N22</f>
        <v>50</v>
      </c>
      <c r="D236" s="480"/>
      <c r="E236" s="480"/>
      <c r="F236" s="224">
        <f>C236+E236</f>
        <v>50</v>
      </c>
      <c r="G236" s="627"/>
      <c r="H236" s="224"/>
      <c r="I236" s="224">
        <f>F236+G236+H236</f>
        <v>50</v>
      </c>
      <c r="J236" s="411"/>
      <c r="L236" s="163"/>
      <c r="M236" s="163"/>
    </row>
    <row r="237" spans="1:13">
      <c r="A237" s="158"/>
      <c r="B237" s="194" t="s">
        <v>271</v>
      </c>
      <c r="C237" s="504">
        <f>'[82]Sch D'!N24</f>
        <v>44</v>
      </c>
      <c r="D237" s="480"/>
      <c r="E237" s="480"/>
      <c r="F237" s="224">
        <f>C237+E237</f>
        <v>44</v>
      </c>
      <c r="G237" s="627"/>
      <c r="H237" s="224"/>
      <c r="I237" s="224">
        <f>F237+G237+H237</f>
        <v>44</v>
      </c>
      <c r="J237" s="442"/>
      <c r="L237" s="163"/>
      <c r="M237" s="163"/>
    </row>
    <row r="238" spans="1:13">
      <c r="A238" s="158"/>
      <c r="B238" s="194" t="s">
        <v>68</v>
      </c>
      <c r="C238" s="504">
        <f>$C$4-$C$3+1</f>
        <v>202</v>
      </c>
      <c r="D238" s="427"/>
      <c r="E238" s="427"/>
      <c r="F238" s="224">
        <f>C238+E238</f>
        <v>202</v>
      </c>
      <c r="G238" s="627"/>
      <c r="H238" s="228"/>
      <c r="I238" s="224">
        <f>F238+G238+H238</f>
        <v>202</v>
      </c>
      <c r="J238" s="162" t="s">
        <v>564</v>
      </c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'[82]Sch D'!N28</f>
        <v>10100</v>
      </c>
      <c r="D240" s="427"/>
      <c r="E240" s="427"/>
      <c r="F240" s="223">
        <f>F236*F238</f>
        <v>10100</v>
      </c>
      <c r="G240"/>
      <c r="H240" s="228"/>
      <c r="I240" s="223">
        <f>I236*I238</f>
        <v>10100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'[82]Sch D'!N30</f>
        <v>0.59326732673267324</v>
      </c>
      <c r="D241" s="228"/>
      <c r="E241" s="228"/>
      <c r="F241" s="232">
        <f>F233/F240</f>
        <v>0.59326732673267324</v>
      </c>
      <c r="G241"/>
      <c r="H241" s="233"/>
      <c r="I241" s="232">
        <f>I233/I240</f>
        <v>0.59326732673267324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'[82]Sch D'!N32</f>
        <v>0.33366336633663368</v>
      </c>
      <c r="D242" s="228"/>
      <c r="E242" s="228"/>
      <c r="F242" s="232">
        <f>(F224+F225)/F240</f>
        <v>0.33366336633663368</v>
      </c>
      <c r="G242"/>
      <c r="H242" s="233"/>
      <c r="I242" s="232">
        <f>(I224+I225)/I240</f>
        <v>0.33366336633663368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'[82]Sch D'!N34</f>
        <v>0.5624165554072097</v>
      </c>
      <c r="D243" s="228"/>
      <c r="E243" s="228"/>
      <c r="F243" s="232">
        <f>(F242/F241)</f>
        <v>0.5624165554072097</v>
      </c>
      <c r="G243"/>
      <c r="H243" s="233"/>
      <c r="I243" s="232">
        <f>(I242/I241)</f>
        <v>0.5624165554072097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/>
    </row>
    <row r="247" spans="1:13">
      <c r="H247" s="140" t="s">
        <v>322</v>
      </c>
      <c r="I247" s="480">
        <f>'[82]Sch B'!E90</f>
        <v>153.29072681704261</v>
      </c>
    </row>
    <row r="248" spans="1:13" ht="16.5">
      <c r="B248" s="470"/>
      <c r="H248" s="140" t="s">
        <v>323</v>
      </c>
      <c r="I248" s="480">
        <f>'[82]Sch B'!G90</f>
        <v>153.29072681704261</v>
      </c>
    </row>
    <row r="249" spans="1:13" ht="16.5">
      <c r="B249" s="470"/>
      <c r="H249" s="140" t="s">
        <v>324</v>
      </c>
      <c r="I249" s="480">
        <f>'[82]Sch B'!I90</f>
        <v>153.29072681704261</v>
      </c>
    </row>
    <row r="250" spans="1:13" ht="16.5">
      <c r="B250" s="470"/>
      <c r="H250" s="14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574</v>
      </c>
      <c r="D2" s="234"/>
      <c r="E2" s="142"/>
      <c r="F2" s="411"/>
      <c r="G2" s="411"/>
    </row>
    <row r="3" spans="1:16">
      <c r="A3" s="143"/>
      <c r="B3" s="138" t="s">
        <v>71</v>
      </c>
      <c r="C3" s="557">
        <f>'[83]Sch A Pg 1'!B39</f>
        <v>42917</v>
      </c>
      <c r="D3" s="620"/>
      <c r="E3" s="393"/>
      <c r="F3" s="144"/>
      <c r="G3" s="144"/>
    </row>
    <row r="4" spans="1:16">
      <c r="A4" s="143"/>
      <c r="B4" s="145" t="s">
        <v>72</v>
      </c>
      <c r="C4" s="557">
        <f>'[83]Sch A Pg 1'!G39</f>
        <v>43079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259" t="s">
        <v>724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'[83]Sch B'!E10</f>
        <v>94094</v>
      </c>
      <c r="D12" s="480">
        <f>'[83]Sch B'!G10</f>
        <v>0</v>
      </c>
      <c r="E12" s="480"/>
      <c r="F12" s="166">
        <f>C12+D12+E12</f>
        <v>94094</v>
      </c>
      <c r="G12" s="626"/>
      <c r="H12" s="166"/>
      <c r="I12" s="166">
        <f>F12+G12+H12</f>
        <v>94094</v>
      </c>
      <c r="J12" s="167">
        <f>IF($I$26=0,0,I12/$I$26)</f>
        <v>2.9993188147695748E-2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'[83]Sch B'!E12</f>
        <v>3840</v>
      </c>
      <c r="D13" s="480">
        <f>'[83]Sch B'!G12</f>
        <v>0</v>
      </c>
      <c r="E13" s="480"/>
      <c r="F13" s="166">
        <f t="shared" ref="F13:F25" si="0">C13+D13+E13</f>
        <v>3840</v>
      </c>
      <c r="G13" s="626">
        <v>-3840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'[83]Sch B'!E13</f>
        <v>12688</v>
      </c>
      <c r="D14" s="480">
        <f>'[83]Sch B'!G13</f>
        <v>0</v>
      </c>
      <c r="E14" s="480"/>
      <c r="F14" s="166">
        <f t="shared" si="0"/>
        <v>12688</v>
      </c>
      <c r="G14" s="626"/>
      <c r="H14" s="166"/>
      <c r="I14" s="166">
        <f t="shared" si="1"/>
        <v>12688</v>
      </c>
      <c r="J14" s="167">
        <f>IF($I$26=0,0,I14/$I$26)</f>
        <v>4.0443978491504625E-3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'[83]Sch B'!E14</f>
        <v>0</v>
      </c>
      <c r="D15" s="480">
        <f>'[83]Sch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'[83]Sch B'!E15</f>
        <v>110622</v>
      </c>
      <c r="D16" s="480">
        <f>'[83]Sch B'!G15</f>
        <v>0</v>
      </c>
      <c r="E16" s="480"/>
      <c r="F16" s="166">
        <f t="shared" si="0"/>
        <v>110622</v>
      </c>
      <c r="G16" s="626"/>
      <c r="H16" s="166"/>
      <c r="I16" s="166">
        <f>SUM(I12:I15)</f>
        <v>106782</v>
      </c>
      <c r="J16" s="167">
        <f t="shared" ref="J16:J26" si="2">IF($I$26=0,0,I16/$I$26)</f>
        <v>3.4037585996846212E-2</v>
      </c>
      <c r="K16" s="458"/>
      <c r="L16" s="333" t="s">
        <v>325</v>
      </c>
      <c r="M16" s="334">
        <f>I26</f>
        <v>3137179</v>
      </c>
      <c r="O16" s="324">
        <f>IFERROR(I16/I224,0)</f>
        <v>236.76718403547673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'[83]Sch B'!E20</f>
        <v>0</v>
      </c>
      <c r="D17" s="480">
        <f>'[83]Sch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3174765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'[83]Sch B'!E26</f>
        <v>2113400</v>
      </c>
      <c r="D18" s="480">
        <f>'[83]Sch B'!G26</f>
        <v>0</v>
      </c>
      <c r="E18" s="480"/>
      <c r="F18" s="166">
        <f t="shared" si="0"/>
        <v>2113400</v>
      </c>
      <c r="G18" s="626"/>
      <c r="H18" s="166"/>
      <c r="I18" s="166">
        <f t="shared" si="1"/>
        <v>2113400</v>
      </c>
      <c r="J18" s="167">
        <f t="shared" si="2"/>
        <v>0.67366254842328088</v>
      </c>
      <c r="K18" s="458"/>
      <c r="L18" s="335" t="s">
        <v>327</v>
      </c>
      <c r="M18" s="336">
        <f>I233</f>
        <v>6661</v>
      </c>
      <c r="O18" s="324">
        <f t="shared" si="3"/>
        <v>562.67305644302451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'[83]Sch B'!E32</f>
        <v>649080</v>
      </c>
      <c r="D19" s="480">
        <f>'[83]Sch B'!G32</f>
        <v>0</v>
      </c>
      <c r="E19" s="480"/>
      <c r="F19" s="166">
        <f t="shared" si="0"/>
        <v>649080</v>
      </c>
      <c r="G19" s="626"/>
      <c r="H19" s="166"/>
      <c r="I19" s="166">
        <f t="shared" si="1"/>
        <v>649080</v>
      </c>
      <c r="J19" s="170">
        <f t="shared" si="2"/>
        <v>0.20689925566886683</v>
      </c>
      <c r="K19" s="464"/>
      <c r="L19" s="335" t="s">
        <v>328</v>
      </c>
      <c r="M19" s="336">
        <f>I236</f>
        <v>52</v>
      </c>
      <c r="O19" s="324">
        <f t="shared" si="3"/>
        <v>395.53930530164536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'[83]Sch B'!E37</f>
        <v>0</v>
      </c>
      <c r="D20" s="480">
        <f>'[83]Sch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8476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'[83]Sch B'!E42</f>
        <v>224561</v>
      </c>
      <c r="D21" s="480">
        <f>'[83]Sch B'!G42</f>
        <v>0</v>
      </c>
      <c r="E21" s="480"/>
      <c r="F21" s="166">
        <f t="shared" si="0"/>
        <v>224561</v>
      </c>
      <c r="G21" s="626">
        <v>-65561</v>
      </c>
      <c r="H21" s="166"/>
      <c r="I21" s="166">
        <f t="shared" si="1"/>
        <v>159000</v>
      </c>
      <c r="J21" s="167">
        <f t="shared" si="2"/>
        <v>5.0682476199158541E-2</v>
      </c>
      <c r="K21" s="457" t="s">
        <v>374</v>
      </c>
      <c r="L21" s="337"/>
      <c r="M21" s="336"/>
      <c r="O21" s="324">
        <f t="shared" si="3"/>
        <v>251.18483412322274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'[83]Sch B'!E47</f>
        <v>0</v>
      </c>
      <c r="D22" s="480">
        <f>'[83]Sch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76539.27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'[83]Sch B'!E52</f>
        <v>42002</v>
      </c>
      <c r="D23" s="480">
        <f>'[83]Sch B'!G52</f>
        <v>0</v>
      </c>
      <c r="E23" s="480"/>
      <c r="F23" s="166">
        <f t="shared" si="0"/>
        <v>42002</v>
      </c>
      <c r="G23" s="626">
        <v>65561</v>
      </c>
      <c r="H23" s="166"/>
      <c r="I23" s="166">
        <f t="shared" si="1"/>
        <v>107563</v>
      </c>
      <c r="J23" s="167">
        <f t="shared" si="2"/>
        <v>3.4286535769874782E-2</v>
      </c>
      <c r="K23" s="457" t="s">
        <v>374</v>
      </c>
      <c r="L23" s="338" t="s">
        <v>233</v>
      </c>
      <c r="M23" s="339">
        <f>M213</f>
        <v>81560.98</v>
      </c>
      <c r="O23" s="324">
        <f t="shared" si="3"/>
        <v>597.57222222222219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'[83]Sch B'!E57</f>
        <v>0</v>
      </c>
      <c r="D24" s="480">
        <f>'[83]Sch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'[83]Sch B'!E72</f>
        <v>1354</v>
      </c>
      <c r="D25" s="480">
        <f>'[83]Sch B'!G72</f>
        <v>0</v>
      </c>
      <c r="E25" s="480"/>
      <c r="F25" s="166">
        <f t="shared" si="0"/>
        <v>1354</v>
      </c>
      <c r="G25" s="626"/>
      <c r="H25" s="166"/>
      <c r="I25" s="166">
        <f t="shared" si="1"/>
        <v>1354</v>
      </c>
      <c r="J25" s="167">
        <f t="shared" si="2"/>
        <v>4.3159794197270858E-4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3141019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3141019</v>
      </c>
      <c r="G26" s="166">
        <f>SUM(G12:G25)</f>
        <v>-3840</v>
      </c>
      <c r="H26" s="166">
        <f>SUM(H12:H25)</f>
        <v>0</v>
      </c>
      <c r="I26" s="166">
        <f>SUM(I16:I25)</f>
        <v>3137179</v>
      </c>
      <c r="J26" s="167">
        <f t="shared" si="2"/>
        <v>1</v>
      </c>
      <c r="K26" s="458"/>
      <c r="L26" s="163"/>
      <c r="M26" s="163"/>
      <c r="O26" s="324">
        <f>IFERROR(I26/I233,0)</f>
        <v>470.97718060351298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'[83]Sch C'!D10</f>
        <v>38906</v>
      </c>
      <c r="D30" s="480">
        <f>'[83]Sch C'!F10</f>
        <v>0</v>
      </c>
      <c r="E30" s="480">
        <f>+'[83]Sch C'!H10</f>
        <v>0</v>
      </c>
      <c r="F30" s="166">
        <f t="shared" ref="F30:F65" si="5">C30+D30+E30</f>
        <v>38906</v>
      </c>
      <c r="G30" s="626"/>
      <c r="H30" s="166"/>
      <c r="I30" s="166">
        <f t="shared" ref="I30:I65" si="6">F30+G30+H30</f>
        <v>38906</v>
      </c>
      <c r="J30" s="167">
        <f>IF($I$213=0,0,I30/$I$213)</f>
        <v>1.2254765313338153E-2</v>
      </c>
      <c r="K30" s="458"/>
      <c r="L30" s="176">
        <v>649</v>
      </c>
      <c r="M30" s="176">
        <v>688</v>
      </c>
      <c r="O30" s="324">
        <f>I30/I$233</f>
        <v>5.8408647350247707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'[83]Sch C'!D11</f>
        <v>0</v>
      </c>
      <c r="D31" s="480">
        <f>'[83]Sch C'!F11</f>
        <v>0</v>
      </c>
      <c r="E31" s="480">
        <f>+'[83]Sch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'[83]Sch C'!D12</f>
        <v>102791</v>
      </c>
      <c r="D32" s="480">
        <f>'[83]Sch C'!F12</f>
        <v>0</v>
      </c>
      <c r="E32" s="480">
        <f>+'[83]Sch C'!H12</f>
        <v>0</v>
      </c>
      <c r="F32" s="166">
        <f t="shared" si="5"/>
        <v>102791</v>
      </c>
      <c r="G32" s="626"/>
      <c r="H32" s="166"/>
      <c r="I32" s="166">
        <f t="shared" si="6"/>
        <v>102791</v>
      </c>
      <c r="J32" s="167">
        <f t="shared" si="7"/>
        <v>3.2377514556195496E-2</v>
      </c>
      <c r="K32" s="458"/>
      <c r="L32" s="176">
        <v>3897.0099999999998</v>
      </c>
      <c r="M32" s="176">
        <v>4253</v>
      </c>
      <c r="O32" s="324">
        <f t="shared" si="8"/>
        <v>15.431767001951659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'[83]Sch C'!D13</f>
        <v>239426</v>
      </c>
      <c r="D33" s="480">
        <f>'[83]Sch C'!F13</f>
        <v>-219705</v>
      </c>
      <c r="E33" s="480">
        <f>+'[83]Sch C'!H13</f>
        <v>0</v>
      </c>
      <c r="F33" s="166">
        <f t="shared" si="5"/>
        <v>19721</v>
      </c>
      <c r="G33" s="626"/>
      <c r="H33" s="166"/>
      <c r="I33" s="166">
        <f t="shared" si="6"/>
        <v>19721</v>
      </c>
      <c r="J33" s="167">
        <f t="shared" si="7"/>
        <v>6.2117983535789267E-3</v>
      </c>
      <c r="K33" s="458"/>
      <c r="L33" s="163"/>
      <c r="M33" s="163"/>
      <c r="O33" s="324">
        <f t="shared" si="8"/>
        <v>2.9606665665815943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'[83]Sch C'!D14</f>
        <v>0</v>
      </c>
      <c r="D34" s="480">
        <f>'[83]Sch C'!F14</f>
        <v>0</v>
      </c>
      <c r="E34" s="480">
        <f>+'[83]Sch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'[83]Sch C'!D15</f>
        <v>0</v>
      </c>
      <c r="D35" s="480">
        <f>'[83]Sch C'!F15</f>
        <v>0</v>
      </c>
      <c r="E35" s="480">
        <f>+'[83]Sch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'[83]Sch C'!D16</f>
        <v>112005</v>
      </c>
      <c r="D36" s="480">
        <f>'[83]Sch C'!F16</f>
        <v>0</v>
      </c>
      <c r="E36" s="480">
        <f>+'[83]Sch C'!H16</f>
        <v>-36728</v>
      </c>
      <c r="F36" s="166">
        <f t="shared" si="5"/>
        <v>75277</v>
      </c>
      <c r="G36" s="626"/>
      <c r="H36" s="166"/>
      <c r="I36" s="166">
        <f t="shared" si="6"/>
        <v>75277</v>
      </c>
      <c r="J36" s="167">
        <f t="shared" si="7"/>
        <v>2.3711046329413357E-2</v>
      </c>
      <c r="K36" s="458"/>
      <c r="L36" s="163"/>
      <c r="M36" s="163"/>
      <c r="O36" s="324">
        <f t="shared" si="8"/>
        <v>11.301155982585197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'[83]Sch C'!D17</f>
        <v>0</v>
      </c>
      <c r="D37" s="480">
        <f>'[83]Sch C'!F17</f>
        <v>0</v>
      </c>
      <c r="E37" s="480">
        <f>+'[83]Sch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'[83]Sch C'!D18</f>
        <v>5899</v>
      </c>
      <c r="D38" s="480">
        <f>'[83]Sch C'!F18</f>
        <v>0</v>
      </c>
      <c r="E38" s="480">
        <f>+'[83]Sch C'!H18</f>
        <v>0</v>
      </c>
      <c r="F38" s="166">
        <f t="shared" si="5"/>
        <v>5899</v>
      </c>
      <c r="G38" s="626"/>
      <c r="H38" s="166"/>
      <c r="I38" s="166">
        <f t="shared" si="6"/>
        <v>5899</v>
      </c>
      <c r="J38" s="167">
        <f t="shared" si="7"/>
        <v>1.858090283847781E-3</v>
      </c>
      <c r="K38" s="458"/>
      <c r="L38" s="163"/>
      <c r="M38" s="163"/>
      <c r="O38" s="324">
        <f t="shared" si="8"/>
        <v>0.88560276234799584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'[83]Sch C'!D19</f>
        <v>23319</v>
      </c>
      <c r="D39" s="480">
        <f>'[83]Sch C'!F19</f>
        <v>0</v>
      </c>
      <c r="E39" s="480">
        <f>+'[83]Sch C'!H19</f>
        <v>0</v>
      </c>
      <c r="F39" s="166">
        <f t="shared" si="5"/>
        <v>23319</v>
      </c>
      <c r="G39" s="626">
        <v>-3316</v>
      </c>
      <c r="H39" s="166"/>
      <c r="I39" s="166">
        <f t="shared" si="6"/>
        <v>20003</v>
      </c>
      <c r="J39" s="167">
        <f t="shared" si="7"/>
        <v>6.3006238257004845E-3</v>
      </c>
      <c r="K39" s="458"/>
      <c r="L39" s="163"/>
      <c r="M39" s="163"/>
      <c r="O39" s="324">
        <f t="shared" si="8"/>
        <v>3.003002552169344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'[83]Sch C'!D20</f>
        <v>7613</v>
      </c>
      <c r="D40" s="480">
        <f>'[83]Sch C'!F20</f>
        <v>0</v>
      </c>
      <c r="E40" s="480">
        <f>+'[83]Sch C'!H20</f>
        <v>0</v>
      </c>
      <c r="F40" s="166">
        <f t="shared" si="5"/>
        <v>7613</v>
      </c>
      <c r="G40" s="626"/>
      <c r="H40" s="166"/>
      <c r="I40" s="166">
        <f t="shared" si="6"/>
        <v>7613</v>
      </c>
      <c r="J40" s="167">
        <f t="shared" si="7"/>
        <v>2.397972763338389E-3</v>
      </c>
      <c r="K40" s="458"/>
      <c r="L40" s="163"/>
      <c r="M40" s="163"/>
      <c r="O40" s="324">
        <f t="shared" si="8"/>
        <v>1.1429214832607717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'[83]Sch C'!D21</f>
        <v>6192</v>
      </c>
      <c r="D41" s="480">
        <f>'[83]Sch C'!F21</f>
        <v>0</v>
      </c>
      <c r="E41" s="480">
        <f>+'[83]Sch C'!H21</f>
        <v>0</v>
      </c>
      <c r="F41" s="166">
        <f t="shared" si="5"/>
        <v>6192</v>
      </c>
      <c r="G41" s="626"/>
      <c r="H41" s="166"/>
      <c r="I41" s="166">
        <f t="shared" si="6"/>
        <v>6192</v>
      </c>
      <c r="J41" s="167">
        <f t="shared" si="7"/>
        <v>1.9503805793499676E-3</v>
      </c>
      <c r="K41" s="458"/>
      <c r="L41" s="163"/>
      <c r="M41" s="163"/>
      <c r="O41" s="324">
        <f t="shared" si="8"/>
        <v>0.92959015162888459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'[83]Sch C'!D22</f>
        <v>0</v>
      </c>
      <c r="D42" s="480">
        <f>'[83]Sch C'!F22</f>
        <v>0</v>
      </c>
      <c r="E42" s="480">
        <f>+'[83]Sch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'[83]Sch C'!D23</f>
        <v>674</v>
      </c>
      <c r="D43" s="480">
        <f>'[83]Sch C'!F23</f>
        <v>0</v>
      </c>
      <c r="E43" s="480">
        <f>+'[83]Sch C'!H23</f>
        <v>0</v>
      </c>
      <c r="F43" s="166">
        <f t="shared" si="5"/>
        <v>674</v>
      </c>
      <c r="G43" s="626"/>
      <c r="H43" s="166"/>
      <c r="I43" s="166">
        <f t="shared" si="6"/>
        <v>674</v>
      </c>
      <c r="J43" s="167">
        <f t="shared" si="7"/>
        <v>2.1229917804939892E-4</v>
      </c>
      <c r="K43" s="458" t="s">
        <v>491</v>
      </c>
      <c r="L43" s="163"/>
      <c r="M43" s="163"/>
      <c r="O43" s="324">
        <f t="shared" si="8"/>
        <v>0.10118600810689085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'[83]Sch C'!D24</f>
        <v>19052</v>
      </c>
      <c r="D44" s="480">
        <f>'[83]Sch C'!F24</f>
        <v>0</v>
      </c>
      <c r="E44" s="480">
        <f>+'[83]Sch C'!H24</f>
        <v>0</v>
      </c>
      <c r="F44" s="166">
        <f t="shared" si="5"/>
        <v>19052</v>
      </c>
      <c r="G44" s="626"/>
      <c r="H44" s="166"/>
      <c r="I44" s="166">
        <f t="shared" si="6"/>
        <v>19052</v>
      </c>
      <c r="J44" s="167">
        <f t="shared" si="7"/>
        <v>6.0010740952479947E-3</v>
      </c>
      <c r="K44" s="458" t="s">
        <v>492</v>
      </c>
      <c r="L44" s="163"/>
      <c r="M44" s="163"/>
      <c r="O44" s="324">
        <f t="shared" si="8"/>
        <v>2.8602311965170393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'[83]Sch C'!D25</f>
        <v>0</v>
      </c>
      <c r="D45" s="480">
        <f>'[83]Sch C'!F25</f>
        <v>0</v>
      </c>
      <c r="E45" s="480">
        <f>+'[83]Sch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'[83]Sch C'!D26</f>
        <v>32204</v>
      </c>
      <c r="D46" s="480">
        <f>'[83]Sch C'!F26</f>
        <v>0</v>
      </c>
      <c r="E46" s="480">
        <f>+'[83]Sch C'!H26</f>
        <v>0</v>
      </c>
      <c r="F46" s="166">
        <f t="shared" si="5"/>
        <v>32204</v>
      </c>
      <c r="G46" s="626"/>
      <c r="H46" s="166"/>
      <c r="I46" s="166">
        <f t="shared" si="6"/>
        <v>32204</v>
      </c>
      <c r="J46" s="167">
        <f t="shared" si="7"/>
        <v>1.0143742922704516E-2</v>
      </c>
      <c r="K46" s="458"/>
      <c r="L46" s="163"/>
      <c r="M46" s="163"/>
      <c r="O46" s="324">
        <f t="shared" si="8"/>
        <v>4.8347095030776162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'[83]Sch C'!D27</f>
        <v>104</v>
      </c>
      <c r="D47" s="480">
        <f>'[83]Sch C'!F27</f>
        <v>-18</v>
      </c>
      <c r="E47" s="480">
        <f>+'[83]Sch C'!H27</f>
        <v>0</v>
      </c>
      <c r="F47" s="166">
        <f t="shared" si="5"/>
        <v>86</v>
      </c>
      <c r="G47" s="626"/>
      <c r="H47" s="166"/>
      <c r="I47" s="166">
        <f t="shared" si="6"/>
        <v>86</v>
      </c>
      <c r="J47" s="167">
        <f t="shared" si="7"/>
        <v>2.7088619157638441E-5</v>
      </c>
      <c r="K47" s="458"/>
      <c r="L47" s="163"/>
      <c r="M47" s="163"/>
      <c r="O47" s="324">
        <f t="shared" si="8"/>
        <v>1.2910974328178951E-2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'[83]Sch C'!D28</f>
        <v>0</v>
      </c>
      <c r="D48" s="480">
        <f>'[83]Sch C'!F28</f>
        <v>0</v>
      </c>
      <c r="E48" s="480">
        <f>+'[83]Sch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'[83]Sch C'!D29</f>
        <v>-34694</v>
      </c>
      <c r="D49" s="480">
        <f>'[83]Sch C'!F29</f>
        <v>34694</v>
      </c>
      <c r="E49" s="480">
        <f>+'[83]Sch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'[83]Sch C'!D30</f>
        <v>0</v>
      </c>
      <c r="D50" s="480">
        <f>'[83]Sch C'!F30</f>
        <v>0</v>
      </c>
      <c r="E50" s="480">
        <f>+'[83]Sch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'[83]Sch C'!D31</f>
        <v>21828</v>
      </c>
      <c r="D51" s="480">
        <f>'[83]Sch C'!F31</f>
        <v>0</v>
      </c>
      <c r="E51" s="480">
        <f>+'[83]Sch C'!H31</f>
        <v>0</v>
      </c>
      <c r="F51" s="166">
        <f t="shared" si="5"/>
        <v>21828</v>
      </c>
      <c r="G51" s="626"/>
      <c r="H51" s="166"/>
      <c r="I51" s="166">
        <f t="shared" si="6"/>
        <v>21828</v>
      </c>
      <c r="J51" s="167">
        <f t="shared" si="7"/>
        <v>6.8754695229410684E-3</v>
      </c>
      <c r="K51" s="458"/>
      <c r="L51" s="163"/>
      <c r="M51" s="163"/>
      <c r="O51" s="324">
        <f t="shared" si="8"/>
        <v>3.2769854376219785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'[83]Sch C'!D32</f>
        <v>0</v>
      </c>
      <c r="D52" s="480">
        <f>'[83]Sch C'!F32</f>
        <v>0</v>
      </c>
      <c r="E52" s="480">
        <f>+'[83]Sch C'!H32</f>
        <v>0</v>
      </c>
      <c r="F52" s="166">
        <f t="shared" si="5"/>
        <v>0</v>
      </c>
      <c r="G52" s="626"/>
      <c r="H52" s="166"/>
      <c r="I52" s="166">
        <f t="shared" si="6"/>
        <v>0</v>
      </c>
      <c r="J52" s="167">
        <f t="shared" si="7"/>
        <v>0</v>
      </c>
      <c r="K52" s="458"/>
      <c r="L52" s="163"/>
      <c r="M52" s="163"/>
      <c r="O52" s="324">
        <f t="shared" si="8"/>
        <v>0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'[83]Sch C'!D33</f>
        <v>0</v>
      </c>
      <c r="D53" s="480">
        <f>'[83]Sch C'!F33</f>
        <v>0</v>
      </c>
      <c r="E53" s="480">
        <f>+'[83]Sch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'[83]Sch C'!D34</f>
        <v>0</v>
      </c>
      <c r="D54" s="480">
        <f>'[83]Sch C'!F34</f>
        <v>0</v>
      </c>
      <c r="E54" s="480">
        <f>+'[83]Sch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'[83]Sch C'!D35</f>
        <v>0</v>
      </c>
      <c r="D55" s="480">
        <f>'[83]Sch C'!F35</f>
        <v>0</v>
      </c>
      <c r="E55" s="480">
        <f>+'[83]Sch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'[83]Sch C'!D36</f>
        <v>32056</v>
      </c>
      <c r="D56" s="480">
        <f>'[83]Sch C'!F36</f>
        <v>0</v>
      </c>
      <c r="E56" s="480">
        <f>+'[83]Sch C'!H36</f>
        <v>0</v>
      </c>
      <c r="F56" s="166">
        <f t="shared" si="5"/>
        <v>32056</v>
      </c>
      <c r="G56" s="626"/>
      <c r="H56" s="166"/>
      <c r="I56" s="166">
        <f t="shared" si="6"/>
        <v>32056</v>
      </c>
      <c r="J56" s="167">
        <f t="shared" si="7"/>
        <v>1.0097125299037881E-2</v>
      </c>
      <c r="K56" s="458"/>
      <c r="L56" s="176">
        <v>1869.3700000000001</v>
      </c>
      <c r="M56" s="176">
        <v>1967</v>
      </c>
      <c r="O56" s="324">
        <f t="shared" si="8"/>
        <v>4.812490617024471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'[83]Sch C'!D37</f>
        <v>0</v>
      </c>
      <c r="D57" s="480">
        <f>'[83]Sch C'!F37</f>
        <v>4461</v>
      </c>
      <c r="E57" s="480">
        <f>+'[83]Sch C'!H37</f>
        <v>0</v>
      </c>
      <c r="F57" s="166">
        <f t="shared" si="5"/>
        <v>4461</v>
      </c>
      <c r="G57" s="626"/>
      <c r="H57" s="166"/>
      <c r="I57" s="166">
        <f t="shared" si="6"/>
        <v>4461</v>
      </c>
      <c r="J57" s="167">
        <f t="shared" si="7"/>
        <v>1.4051433728165708E-3</v>
      </c>
      <c r="K57" s="458"/>
      <c r="L57" s="163"/>
      <c r="M57" s="163"/>
      <c r="O57" s="324">
        <f t="shared" si="8"/>
        <v>0.66971926137216631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'[83]Sch C'!D38</f>
        <v>0</v>
      </c>
      <c r="D58" s="480">
        <f>'[83]Sch C'!F38</f>
        <v>0</v>
      </c>
      <c r="E58" s="480">
        <f>+'[83]Sch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'[83]Sch C'!D39</f>
        <v>3495</v>
      </c>
      <c r="D59" s="480">
        <f>'[83]Sch C'!F39</f>
        <v>0</v>
      </c>
      <c r="E59" s="480">
        <f>+'[83]Sch C'!H39</f>
        <v>0</v>
      </c>
      <c r="F59" s="166">
        <f t="shared" si="5"/>
        <v>3495</v>
      </c>
      <c r="G59" s="626"/>
      <c r="H59" s="166"/>
      <c r="I59" s="166">
        <f t="shared" si="6"/>
        <v>3495</v>
      </c>
      <c r="J59" s="167">
        <f t="shared" si="7"/>
        <v>1.1008688832086784E-3</v>
      </c>
      <c r="K59" s="458"/>
      <c r="L59" s="163"/>
      <c r="M59" s="163"/>
      <c r="O59" s="324">
        <f t="shared" si="8"/>
        <v>0.52469599159285396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'[83]Sch C'!D40</f>
        <v>5554</v>
      </c>
      <c r="D60" s="480">
        <f>'[83]Sch C'!F40</f>
        <v>-4537</v>
      </c>
      <c r="E60" s="480">
        <f>+'[83]Sch C'!H40</f>
        <v>0</v>
      </c>
      <c r="F60" s="166">
        <f t="shared" si="5"/>
        <v>1017</v>
      </c>
      <c r="G60" s="626"/>
      <c r="H60" s="166"/>
      <c r="I60" s="166">
        <f t="shared" si="6"/>
        <v>1017</v>
      </c>
      <c r="J60" s="167">
        <f t="shared" si="7"/>
        <v>3.2033867073625921E-4</v>
      </c>
      <c r="K60" s="458"/>
      <c r="L60" s="163"/>
      <c r="M60" s="163"/>
      <c r="O60" s="324">
        <f t="shared" si="8"/>
        <v>0.15267977781113948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'[83]Sch C'!D41</f>
        <v>0</v>
      </c>
      <c r="D61" s="480">
        <f>'[83]Sch C'!F41</f>
        <v>0</v>
      </c>
      <c r="E61" s="480">
        <f>+'[83]Sch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'[83]Sch C'!D42</f>
        <v>1094</v>
      </c>
      <c r="D62" s="480">
        <f>'[83]Sch C'!F42</f>
        <v>0</v>
      </c>
      <c r="E62" s="480">
        <f>+'[83]Sch C'!H42</f>
        <v>0</v>
      </c>
      <c r="F62" s="166">
        <f t="shared" si="5"/>
        <v>1094</v>
      </c>
      <c r="G62" s="626"/>
      <c r="H62" s="166"/>
      <c r="I62" s="166">
        <f t="shared" si="6"/>
        <v>1094</v>
      </c>
      <c r="J62" s="167">
        <f t="shared" si="7"/>
        <v>3.4459243440065641E-4</v>
      </c>
      <c r="K62" s="458"/>
      <c r="L62" s="163"/>
      <c r="M62" s="163"/>
      <c r="O62" s="324">
        <f t="shared" si="8"/>
        <v>0.16423960366311366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'[83]Sch C'!D43</f>
        <v>5656</v>
      </c>
      <c r="D63" s="480">
        <f>'[83]Sch C'!F43</f>
        <v>-5656</v>
      </c>
      <c r="E63" s="480">
        <f>+'[83]Sch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'[83]Sch C'!D44</f>
        <v>0</v>
      </c>
      <c r="D64" s="480">
        <f>'[83]Sch C'!F44</f>
        <v>0</v>
      </c>
      <c r="E64" s="480">
        <f>+'[83]Sch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'[83]Sch C'!D45</f>
        <v>11040</v>
      </c>
      <c r="D65" s="480">
        <f>'[83]Sch C'!F45</f>
        <v>0</v>
      </c>
      <c r="E65" s="480">
        <f>+'[83]Sch C'!H45</f>
        <v>0</v>
      </c>
      <c r="F65" s="166">
        <f t="shared" si="5"/>
        <v>11040</v>
      </c>
      <c r="G65" s="626"/>
      <c r="H65" s="166"/>
      <c r="I65" s="166">
        <f t="shared" si="6"/>
        <v>11040</v>
      </c>
      <c r="J65" s="167">
        <f t="shared" si="7"/>
        <v>3.4774227383759112E-3</v>
      </c>
      <c r="K65" s="458"/>
      <c r="L65" s="163"/>
      <c r="M65" s="163"/>
      <c r="O65" s="324">
        <f t="shared" si="8"/>
        <v>1.6574087974778562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634214</v>
      </c>
      <c r="D66" s="480">
        <f t="shared" si="9"/>
        <v>-190761</v>
      </c>
      <c r="E66" s="480">
        <f t="shared" si="9"/>
        <v>-36728</v>
      </c>
      <c r="F66" s="166">
        <f t="shared" ref="F66:I66" si="10">SUM(F30:F65)</f>
        <v>406725</v>
      </c>
      <c r="G66" s="166">
        <f t="shared" si="10"/>
        <v>-3316</v>
      </c>
      <c r="H66" s="166">
        <f t="shared" si="10"/>
        <v>0</v>
      </c>
      <c r="I66" s="166">
        <f t="shared" si="10"/>
        <v>403409</v>
      </c>
      <c r="J66" s="178">
        <f t="shared" si="7"/>
        <v>0.12706735774143912</v>
      </c>
      <c r="K66" s="465"/>
      <c r="L66" s="163"/>
      <c r="M66" s="163"/>
      <c r="O66" s="329">
        <f>I66/I$233</f>
        <v>60.562828404143524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'[83]Sch C'!D57</f>
        <v>0</v>
      </c>
      <c r="D69" s="480">
        <f>'[83]Sch C'!F57</f>
        <v>0</v>
      </c>
      <c r="E69" s="480">
        <f>+'[83]Sch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'[83]Sch C'!D58</f>
        <v>186322</v>
      </c>
      <c r="D70" s="480">
        <f>'[83]Sch C'!F58</f>
        <v>0</v>
      </c>
      <c r="E70" s="480">
        <f>+'[83]Sch C'!H58</f>
        <v>0</v>
      </c>
      <c r="F70" s="166">
        <f t="shared" ref="F70:F83" si="13">C70+D70+E70</f>
        <v>186322</v>
      </c>
      <c r="G70" s="626"/>
      <c r="H70" s="166"/>
      <c r="I70" s="166">
        <f t="shared" ref="I70:I83" si="14">F70+G70+H70</f>
        <v>186322</v>
      </c>
      <c r="J70" s="167">
        <f t="shared" si="11"/>
        <v>5.8688438356854757E-2</v>
      </c>
      <c r="K70" s="458"/>
      <c r="L70" s="182"/>
      <c r="M70" s="163"/>
      <c r="O70" s="324">
        <f t="shared" si="12"/>
        <v>27.972076264825102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'[83]Sch C'!D59</f>
        <v>166721</v>
      </c>
      <c r="D71" s="480">
        <f>'[83]Sch C'!F59</f>
        <v>0</v>
      </c>
      <c r="E71" s="480">
        <f>+'[83]Sch C'!H59</f>
        <v>0</v>
      </c>
      <c r="F71" s="166">
        <f t="shared" si="13"/>
        <v>166721</v>
      </c>
      <c r="G71" s="626"/>
      <c r="H71" s="166"/>
      <c r="I71" s="166">
        <f t="shared" si="14"/>
        <v>166721</v>
      </c>
      <c r="J71" s="167">
        <f t="shared" si="11"/>
        <v>5.2514438076519052E-2</v>
      </c>
      <c r="K71" s="458"/>
      <c r="L71" s="182"/>
      <c r="M71" s="163"/>
      <c r="O71" s="324">
        <f t="shared" si="12"/>
        <v>25.029425011259569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'[83]Sch C'!D60</f>
        <v>33954</v>
      </c>
      <c r="D72" s="480">
        <f>'[83]Sch C'!F60</f>
        <v>0</v>
      </c>
      <c r="E72" s="480">
        <f>+'[83]Sch C'!H60</f>
        <v>0</v>
      </c>
      <c r="F72" s="166">
        <f t="shared" si="13"/>
        <v>33954</v>
      </c>
      <c r="G72" s="626"/>
      <c r="H72" s="166"/>
      <c r="I72" s="166">
        <f t="shared" si="14"/>
        <v>33954</v>
      </c>
      <c r="J72" s="167">
        <f t="shared" si="11"/>
        <v>1.0694964824168087E-2</v>
      </c>
      <c r="K72" s="458"/>
      <c r="L72" s="185"/>
      <c r="M72" s="163"/>
      <c r="O72" s="324">
        <f t="shared" si="12"/>
        <v>5.0974328178952106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'[83]Sch C'!D61</f>
        <v>7759</v>
      </c>
      <c r="D73" s="480">
        <f>'[83]Sch C'!F61</f>
        <v>0</v>
      </c>
      <c r="E73" s="480">
        <f>+'[83]Sch C'!H61</f>
        <v>0</v>
      </c>
      <c r="F73" s="166">
        <f t="shared" si="13"/>
        <v>7759</v>
      </c>
      <c r="G73" s="626"/>
      <c r="H73" s="166"/>
      <c r="I73" s="166">
        <f t="shared" si="14"/>
        <v>7759</v>
      </c>
      <c r="J73" s="167">
        <f t="shared" si="11"/>
        <v>2.4439604191176354E-3</v>
      </c>
      <c r="K73" s="458"/>
      <c r="L73" s="185"/>
      <c r="M73" s="163"/>
      <c r="O73" s="324">
        <f t="shared" si="12"/>
        <v>1.1648401140969824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'[83]Sch C'!D62</f>
        <v>0</v>
      </c>
      <c r="D74" s="480">
        <f>'[83]Sch C'!F62</f>
        <v>0</v>
      </c>
      <c r="E74" s="480">
        <f>+'[83]Sch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'[83]Sch C'!D63</f>
        <v>0</v>
      </c>
      <c r="D75" s="480">
        <f>'[83]Sch C'!F63</f>
        <v>0</v>
      </c>
      <c r="E75" s="480">
        <f>+'[83]Sch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'[83]Sch C'!D64</f>
        <v>0</v>
      </c>
      <c r="D76" s="480">
        <f>'[83]Sch C'!F64</f>
        <v>0</v>
      </c>
      <c r="E76" s="480">
        <f>+'[83]Sch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'[83]Sch C'!D65</f>
        <v>734</v>
      </c>
      <c r="D77" s="480">
        <f>'[83]Sch C'!F65</f>
        <v>0</v>
      </c>
      <c r="E77" s="480">
        <f>+'[83]Sch C'!H65</f>
        <v>0</v>
      </c>
      <c r="F77" s="166">
        <f t="shared" si="13"/>
        <v>734</v>
      </c>
      <c r="G77" s="626"/>
      <c r="H77" s="166"/>
      <c r="I77" s="166">
        <f t="shared" si="14"/>
        <v>734</v>
      </c>
      <c r="J77" s="167">
        <f t="shared" si="11"/>
        <v>2.3119821467100716E-4</v>
      </c>
      <c r="K77" s="458"/>
      <c r="L77" s="187"/>
      <c r="M77" s="163"/>
      <c r="O77" s="324">
        <f t="shared" si="12"/>
        <v>0.11019366461492268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'[83]Sch C'!D66</f>
        <v>17819</v>
      </c>
      <c r="D78" s="480">
        <f>'[83]Sch C'!F66</f>
        <v>0</v>
      </c>
      <c r="E78" s="480">
        <f>+'[83]Sch C'!H66</f>
        <v>0</v>
      </c>
      <c r="F78" s="166">
        <f t="shared" si="13"/>
        <v>17819</v>
      </c>
      <c r="G78" s="626">
        <v>3855</v>
      </c>
      <c r="H78" s="166"/>
      <c r="I78" s="166">
        <f t="shared" si="14"/>
        <v>21674</v>
      </c>
      <c r="J78" s="167">
        <f t="shared" si="11"/>
        <v>6.8269619956122735E-3</v>
      </c>
      <c r="K78" s="458"/>
      <c r="L78" s="187"/>
      <c r="M78" s="163"/>
      <c r="O78" s="324">
        <f t="shared" si="12"/>
        <v>3.2538657859180304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'[83]Sch C'!D67</f>
        <v>0</v>
      </c>
      <c r="D79" s="480">
        <f>'[83]Sch C'!F67</f>
        <v>0</v>
      </c>
      <c r="E79" s="480">
        <f>+'[83]Sch C'!H67</f>
        <v>0</v>
      </c>
      <c r="F79" s="166">
        <f t="shared" si="13"/>
        <v>0</v>
      </c>
      <c r="G79" s="626">
        <f>898+2711</f>
        <v>3609</v>
      </c>
      <c r="H79" s="166"/>
      <c r="I79" s="166">
        <f t="shared" si="14"/>
        <v>3609</v>
      </c>
      <c r="J79" s="167">
        <f t="shared" si="11"/>
        <v>1.136777052789734E-3</v>
      </c>
      <c r="K79" s="458"/>
      <c r="L79" s="187"/>
      <c r="M79" s="163"/>
      <c r="O79" s="324">
        <f t="shared" si="12"/>
        <v>0.54181053895811437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'[83]Sch C'!D68</f>
        <v>0</v>
      </c>
      <c r="D80" s="480">
        <f>'[83]Sch C'!F68</f>
        <v>0</v>
      </c>
      <c r="E80" s="480">
        <f>+'[83]Sch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'[83]Sch C'!D69</f>
        <v>0</v>
      </c>
      <c r="D81" s="480">
        <f>'[83]Sch C'!F69</f>
        <v>0</v>
      </c>
      <c r="E81" s="480">
        <f>+'[83]Sch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'[83]Sch C'!D70</f>
        <v>0</v>
      </c>
      <c r="D82" s="480">
        <f>'[83]Sch C'!F70</f>
        <v>0</v>
      </c>
      <c r="E82" s="480">
        <f>+'[83]Sch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'[83]Sch C'!D71</f>
        <v>0</v>
      </c>
      <c r="D83" s="480">
        <f>'[83]Sch C'!F71</f>
        <v>0</v>
      </c>
      <c r="E83" s="480">
        <f>+'[83]Sch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413309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413309</v>
      </c>
      <c r="G84" s="166">
        <f t="shared" si="16"/>
        <v>7464</v>
      </c>
      <c r="H84" s="166">
        <f t="shared" si="16"/>
        <v>0</v>
      </c>
      <c r="I84" s="166">
        <f t="shared" si="16"/>
        <v>420773</v>
      </c>
      <c r="J84" s="167">
        <f t="shared" si="11"/>
        <v>0.13253673893973256</v>
      </c>
      <c r="K84" s="458"/>
      <c r="L84" s="187"/>
      <c r="M84" s="163"/>
      <c r="O84" s="324">
        <f t="shared" si="12"/>
        <v>63.169644197567933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'[83]Sch C'!D75</f>
        <v>18787</v>
      </c>
      <c r="D87" s="480">
        <f>'[83]Sch C'!F75</f>
        <v>0</v>
      </c>
      <c r="E87" s="480">
        <f>+'[83]Sch C'!H75</f>
        <v>0</v>
      </c>
      <c r="F87" s="166">
        <f t="shared" ref="F87:F97" si="17">C87+D87+E87</f>
        <v>18787</v>
      </c>
      <c r="G87" s="626"/>
      <c r="H87" s="166"/>
      <c r="I87" s="166">
        <f t="shared" ref="I87:I97" si="18">F87+G87+H87</f>
        <v>18787</v>
      </c>
      <c r="J87" s="167">
        <f t="shared" ref="J87:J98" si="19">IF($I$213=0,0,I87/$I$213)</f>
        <v>5.9176033501692248E-3</v>
      </c>
      <c r="K87" s="458"/>
      <c r="L87" s="176">
        <v>1020.38</v>
      </c>
      <c r="M87" s="176">
        <v>1088</v>
      </c>
      <c r="O87" s="324">
        <f t="shared" ref="O87:O97" si="20">I87/I$233</f>
        <v>2.8204473802732322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'[83]Sch C'!D76</f>
        <v>0</v>
      </c>
      <c r="D88" s="480">
        <f>'[83]Sch C'!F76</f>
        <v>2615</v>
      </c>
      <c r="E88" s="480">
        <f>+'[83]Sch C'!H76</f>
        <v>0</v>
      </c>
      <c r="F88" s="166">
        <f t="shared" si="17"/>
        <v>2615</v>
      </c>
      <c r="G88" s="626"/>
      <c r="H88" s="166"/>
      <c r="I88" s="166">
        <f t="shared" si="18"/>
        <v>2615</v>
      </c>
      <c r="J88" s="167">
        <f t="shared" si="19"/>
        <v>8.236830127584246E-4</v>
      </c>
      <c r="K88" s="458"/>
      <c r="L88" s="163"/>
      <c r="M88" s="163"/>
      <c r="O88" s="324">
        <f t="shared" si="20"/>
        <v>0.39258369614172045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'[83]Sch C'!D77</f>
        <v>3109</v>
      </c>
      <c r="D89" s="480">
        <f>'[83]Sch C'!F77</f>
        <v>0</v>
      </c>
      <c r="E89" s="480">
        <f>+'[83]Sch C'!H77</f>
        <v>0</v>
      </c>
      <c r="F89" s="166">
        <f t="shared" si="17"/>
        <v>3109</v>
      </c>
      <c r="G89" s="626"/>
      <c r="H89" s="166"/>
      <c r="I89" s="166">
        <f t="shared" si="18"/>
        <v>3109</v>
      </c>
      <c r="J89" s="167">
        <f t="shared" si="19"/>
        <v>9.7928508094299893E-4</v>
      </c>
      <c r="K89" s="458"/>
      <c r="L89" s="163"/>
      <c r="M89" s="163"/>
      <c r="O89" s="324">
        <f t="shared" si="20"/>
        <v>0.46674673472451583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'[83]Sch C'!D78</f>
        <v>0</v>
      </c>
      <c r="D90" s="480">
        <f>'[83]Sch C'!F78</f>
        <v>0</v>
      </c>
      <c r="E90" s="480">
        <f>+'[83]Sch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'[83]Sch C'!D79</f>
        <v>40544</v>
      </c>
      <c r="D91" s="480">
        <f>'[83]Sch C'!F79</f>
        <v>0</v>
      </c>
      <c r="E91" s="480">
        <f>+'[83]Sch C'!H79</f>
        <v>0</v>
      </c>
      <c r="F91" s="166">
        <f t="shared" si="17"/>
        <v>40544</v>
      </c>
      <c r="G91" s="626">
        <f>-10781-20332-3855</f>
        <v>-34968</v>
      </c>
      <c r="H91" s="166"/>
      <c r="I91" s="166">
        <f t="shared" si="18"/>
        <v>5576</v>
      </c>
      <c r="J91" s="167">
        <f t="shared" si="19"/>
        <v>1.75635047003479E-3</v>
      </c>
      <c r="K91" s="458"/>
      <c r="L91" s="163"/>
      <c r="M91" s="163"/>
      <c r="O91" s="324">
        <f t="shared" si="20"/>
        <v>0.83711154481309114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'[83]Sch C'!D80</f>
        <v>12510</v>
      </c>
      <c r="D92" s="480">
        <f>'[83]Sch C'!F80</f>
        <v>0</v>
      </c>
      <c r="E92" s="480">
        <f>+'[83]Sch C'!H80</f>
        <v>0</v>
      </c>
      <c r="F92" s="166">
        <f t="shared" si="17"/>
        <v>12510</v>
      </c>
      <c r="G92" s="626"/>
      <c r="H92" s="166"/>
      <c r="I92" s="166">
        <f t="shared" si="18"/>
        <v>12510</v>
      </c>
      <c r="J92" s="167">
        <f t="shared" si="19"/>
        <v>3.940449135605313E-3</v>
      </c>
      <c r="K92" s="458"/>
      <c r="L92" s="163"/>
      <c r="M92" s="163"/>
      <c r="O92" s="324">
        <f t="shared" si="20"/>
        <v>1.8780963819246359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'[83]Sch C'!D81</f>
        <v>3985</v>
      </c>
      <c r="D93" s="480">
        <f>'[83]Sch C'!F81</f>
        <v>0</v>
      </c>
      <c r="E93" s="480">
        <f>+'[83]Sch C'!H81</f>
        <v>0</v>
      </c>
      <c r="F93" s="166">
        <f t="shared" si="17"/>
        <v>3985</v>
      </c>
      <c r="G93" s="626"/>
      <c r="H93" s="166"/>
      <c r="I93" s="166">
        <f t="shared" si="18"/>
        <v>3985</v>
      </c>
      <c r="J93" s="167">
        <f t="shared" si="19"/>
        <v>1.2552110156184789E-3</v>
      </c>
      <c r="K93" s="458"/>
      <c r="L93" s="163"/>
      <c r="M93" s="163"/>
      <c r="O93" s="324">
        <f t="shared" si="20"/>
        <v>0.59825851974178046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'[83]Sch C'!D82</f>
        <v>621</v>
      </c>
      <c r="D94" s="480">
        <f>'[83]Sch C'!F82</f>
        <v>0</v>
      </c>
      <c r="E94" s="480">
        <f>+'[83]Sch C'!H82</f>
        <v>0</v>
      </c>
      <c r="F94" s="166">
        <f t="shared" si="17"/>
        <v>621</v>
      </c>
      <c r="G94" s="626"/>
      <c r="H94" s="166"/>
      <c r="I94" s="166">
        <f t="shared" si="18"/>
        <v>621</v>
      </c>
      <c r="J94" s="167">
        <f t="shared" si="19"/>
        <v>1.9560502903364502E-4</v>
      </c>
      <c r="K94" s="458"/>
      <c r="L94" s="163"/>
      <c r="M94" s="163"/>
      <c r="O94" s="324">
        <f t="shared" si="20"/>
        <v>9.3229244858129404E-2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'[83]Sch C'!D83</f>
        <v>3421</v>
      </c>
      <c r="D95" s="480">
        <f>'[83]Sch C'!F83</f>
        <v>0</v>
      </c>
      <c r="E95" s="480">
        <f>+'[83]Sch C'!H83</f>
        <v>0</v>
      </c>
      <c r="F95" s="166">
        <f t="shared" si="17"/>
        <v>3421</v>
      </c>
      <c r="G95" s="626"/>
      <c r="H95" s="166"/>
      <c r="I95" s="166">
        <f t="shared" si="18"/>
        <v>3421</v>
      </c>
      <c r="J95" s="167">
        <f t="shared" si="19"/>
        <v>1.0775600713753615E-3</v>
      </c>
      <c r="K95" s="458"/>
      <c r="L95" s="163"/>
      <c r="M95" s="163"/>
      <c r="O95" s="324">
        <f t="shared" si="20"/>
        <v>0.51358654856628139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'[83]Sch C'!D84</f>
        <v>42029</v>
      </c>
      <c r="D96" s="480">
        <f>'[83]Sch C'!F84</f>
        <v>0</v>
      </c>
      <c r="E96" s="480">
        <f>+'[83]Sch C'!H84</f>
        <v>0</v>
      </c>
      <c r="F96" s="166">
        <f t="shared" si="17"/>
        <v>42029</v>
      </c>
      <c r="G96" s="626"/>
      <c r="H96" s="166"/>
      <c r="I96" s="166">
        <f t="shared" si="18"/>
        <v>42029</v>
      </c>
      <c r="J96" s="167">
        <f t="shared" si="19"/>
        <v>1.3238460169492859E-2</v>
      </c>
      <c r="K96" s="458"/>
      <c r="L96" s="163"/>
      <c r="M96" s="163"/>
      <c r="O96" s="324">
        <f t="shared" si="20"/>
        <v>6.3097132562678278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'[83]Sch C'!D85</f>
        <v>0</v>
      </c>
      <c r="D97" s="480">
        <f>'[83]Sch C'!F85</f>
        <v>0</v>
      </c>
      <c r="E97" s="480">
        <f>+'[83]Sch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125006</v>
      </c>
      <c r="D98" s="480">
        <f t="shared" si="21"/>
        <v>2615</v>
      </c>
      <c r="E98" s="480">
        <f t="shared" si="21"/>
        <v>0</v>
      </c>
      <c r="F98" s="166">
        <f t="shared" ref="F98:I98" si="22">SUM(F87:F97)</f>
        <v>127621</v>
      </c>
      <c r="G98" s="166">
        <f t="shared" si="22"/>
        <v>-34968</v>
      </c>
      <c r="H98" s="166">
        <f t="shared" si="22"/>
        <v>0</v>
      </c>
      <c r="I98" s="166">
        <f t="shared" si="22"/>
        <v>92653</v>
      </c>
      <c r="J98" s="167">
        <f t="shared" si="19"/>
        <v>2.9184207335031097E-2</v>
      </c>
      <c r="K98" s="458"/>
      <c r="L98" s="163"/>
      <c r="M98" s="163"/>
      <c r="O98" s="329">
        <f>I98/I$233</f>
        <v>13.909773307311214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'[83]Sch C'!D89</f>
        <v>127503</v>
      </c>
      <c r="D101" s="480">
        <f>'[83]Sch C'!F89</f>
        <v>0</v>
      </c>
      <c r="E101" s="480">
        <f>+'[83]Sch C'!H89</f>
        <v>0</v>
      </c>
      <c r="F101" s="166">
        <f t="shared" ref="F101:F106" si="23">C101+D101+E101</f>
        <v>127503</v>
      </c>
      <c r="G101" s="626"/>
      <c r="H101" s="166"/>
      <c r="I101" s="166">
        <f t="shared" ref="I101:I106" si="24">F101+G101+H101</f>
        <v>127503</v>
      </c>
      <c r="J101" s="167">
        <f t="shared" ref="J101:J107" si="25">IF($I$213=0,0,I101/$I$213)</f>
        <v>4.0161397772748533E-2</v>
      </c>
      <c r="K101" s="458"/>
      <c r="L101" s="176">
        <v>8619</v>
      </c>
      <c r="M101" s="176">
        <v>9298</v>
      </c>
      <c r="O101" s="329">
        <f t="shared" ref="O101:O106" si="26">I101/I$233</f>
        <v>19.141720462393035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'[83]Sch C'!D90</f>
        <v>0</v>
      </c>
      <c r="D102" s="480">
        <f>'[83]Sch C'!F90</f>
        <v>17745</v>
      </c>
      <c r="E102" s="480">
        <f>+'[83]Sch C'!H90</f>
        <v>0</v>
      </c>
      <c r="F102" s="166">
        <f t="shared" si="23"/>
        <v>17745</v>
      </c>
      <c r="G102" s="626"/>
      <c r="H102" s="166"/>
      <c r="I102" s="166">
        <f t="shared" si="24"/>
        <v>17745</v>
      </c>
      <c r="J102" s="167">
        <f t="shared" si="25"/>
        <v>5.589390080840629E-3</v>
      </c>
      <c r="K102" s="458"/>
      <c r="L102" s="163"/>
      <c r="M102" s="163"/>
      <c r="O102" s="329">
        <f t="shared" si="26"/>
        <v>2.6640144122504128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'[83]Sch C'!D91</f>
        <v>11449</v>
      </c>
      <c r="D103" s="480">
        <f>'[83]Sch C'!F91</f>
        <v>0</v>
      </c>
      <c r="E103" s="480">
        <f>+'[83]Sch C'!H91</f>
        <v>0</v>
      </c>
      <c r="F103" s="166">
        <f t="shared" si="23"/>
        <v>11449</v>
      </c>
      <c r="G103" s="626"/>
      <c r="H103" s="166"/>
      <c r="I103" s="166">
        <f t="shared" si="24"/>
        <v>11449</v>
      </c>
      <c r="J103" s="167">
        <f t="shared" si="25"/>
        <v>3.6062511713465407E-3</v>
      </c>
      <c r="K103" s="458"/>
      <c r="L103" s="163"/>
      <c r="M103" s="163"/>
      <c r="O103" s="329">
        <f t="shared" si="26"/>
        <v>1.7188109893409398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'[83]Sch C'!D92</f>
        <v>57684</v>
      </c>
      <c r="D104" s="480">
        <f>'[83]Sch C'!F92</f>
        <v>-1336</v>
      </c>
      <c r="E104" s="480">
        <f>+'[83]Sch C'!H92</f>
        <v>0</v>
      </c>
      <c r="F104" s="166">
        <f t="shared" si="23"/>
        <v>56348</v>
      </c>
      <c r="G104" s="626"/>
      <c r="H104" s="166"/>
      <c r="I104" s="166">
        <f t="shared" si="24"/>
        <v>56348</v>
      </c>
      <c r="J104" s="167">
        <f t="shared" si="25"/>
        <v>1.7748715259239659E-2</v>
      </c>
      <c r="K104" s="458"/>
      <c r="L104" s="163"/>
      <c r="M104" s="163"/>
      <c r="O104" s="329">
        <f t="shared" si="26"/>
        <v>8.4593904819096224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'[83]Sch C'!D93</f>
        <v>5693</v>
      </c>
      <c r="D105" s="480">
        <f>'[83]Sch C'!F93</f>
        <v>0</v>
      </c>
      <c r="E105" s="480">
        <f>+'[83]Sch C'!H93</f>
        <v>0</v>
      </c>
      <c r="F105" s="166">
        <f t="shared" si="23"/>
        <v>5693</v>
      </c>
      <c r="G105" s="626"/>
      <c r="H105" s="166"/>
      <c r="I105" s="166">
        <f t="shared" si="24"/>
        <v>5693</v>
      </c>
      <c r="J105" s="167">
        <f t="shared" si="25"/>
        <v>1.7932035914469261E-3</v>
      </c>
      <c r="K105" s="458"/>
      <c r="L105" s="163"/>
      <c r="M105" s="163"/>
      <c r="O105" s="329">
        <f t="shared" si="26"/>
        <v>0.85467647500375321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'[83]Sch C'!D94</f>
        <v>962</v>
      </c>
      <c r="D106" s="480">
        <f>'[83]Sch C'!F94</f>
        <v>0</v>
      </c>
      <c r="E106" s="480">
        <f>+'[83]Sch C'!H94</f>
        <v>0</v>
      </c>
      <c r="F106" s="166">
        <f t="shared" si="23"/>
        <v>962</v>
      </c>
      <c r="G106" s="626"/>
      <c r="H106" s="166"/>
      <c r="I106" s="166">
        <f t="shared" si="24"/>
        <v>962</v>
      </c>
      <c r="J106" s="167">
        <f t="shared" si="25"/>
        <v>3.0301455383311836E-4</v>
      </c>
      <c r="K106" s="458"/>
      <c r="L106" s="163"/>
      <c r="M106" s="163"/>
      <c r="O106" s="329">
        <f t="shared" si="26"/>
        <v>0.14442275934544363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203291</v>
      </c>
      <c r="D107" s="480">
        <f t="shared" si="27"/>
        <v>16409</v>
      </c>
      <c r="E107" s="480">
        <f t="shared" si="27"/>
        <v>0</v>
      </c>
      <c r="F107" s="166">
        <f t="shared" ref="F107:I107" si="28">SUM(F101:F106)</f>
        <v>219700</v>
      </c>
      <c r="G107" s="166">
        <f t="shared" si="28"/>
        <v>0</v>
      </c>
      <c r="H107" s="166">
        <f t="shared" si="28"/>
        <v>0</v>
      </c>
      <c r="I107" s="166">
        <f t="shared" si="28"/>
        <v>219700</v>
      </c>
      <c r="J107" s="167">
        <f t="shared" si="25"/>
        <v>6.9201972429455402E-2</v>
      </c>
      <c r="K107" s="458"/>
      <c r="L107" s="163"/>
      <c r="M107" s="163"/>
      <c r="O107" s="329">
        <f>I107/I$233</f>
        <v>32.983035580243204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'[83]Sch C'!D98</f>
        <v>0</v>
      </c>
      <c r="D110" s="480">
        <f>'[83]Sch C'!F98</f>
        <v>0</v>
      </c>
      <c r="E110" s="480">
        <f>+'[83]Sch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'[83]Sch C'!D99</f>
        <v>0</v>
      </c>
      <c r="D111" s="480">
        <f>'[83]Sch C'!F99</f>
        <v>0</v>
      </c>
      <c r="E111" s="480">
        <f>+'[83]Sch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'[83]Sch C'!D100</f>
        <v>2085</v>
      </c>
      <c r="D112" s="480">
        <f>'[83]Sch C'!F100</f>
        <v>0</v>
      </c>
      <c r="E112" s="480">
        <f>+'[83]Sch C'!H100</f>
        <v>0</v>
      </c>
      <c r="F112" s="166">
        <f t="shared" si="29"/>
        <v>2085</v>
      </c>
      <c r="G112" s="626"/>
      <c r="H112" s="166"/>
      <c r="I112" s="166">
        <f t="shared" si="30"/>
        <v>2085</v>
      </c>
      <c r="J112" s="167">
        <f t="shared" si="31"/>
        <v>6.5674152260088538E-4</v>
      </c>
      <c r="K112" s="458"/>
      <c r="L112" s="163"/>
      <c r="M112" s="163"/>
      <c r="O112" s="329">
        <f t="shared" si="32"/>
        <v>0.313016063654106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'[83]Sch C'!D101</f>
        <v>0</v>
      </c>
      <c r="D113" s="480">
        <f>'[83]Sch C'!F101</f>
        <v>0</v>
      </c>
      <c r="E113" s="480">
        <f>+'[83]Sch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'[83]Sch C'!D102</f>
        <v>1413</v>
      </c>
      <c r="D114" s="480">
        <f>'[83]Sch C'!F102</f>
        <v>0</v>
      </c>
      <c r="E114" s="480">
        <f>+'[83]Sch C'!H102</f>
        <v>0</v>
      </c>
      <c r="F114" s="166">
        <f t="shared" si="29"/>
        <v>1413</v>
      </c>
      <c r="G114" s="626"/>
      <c r="H114" s="166"/>
      <c r="I114" s="166">
        <f t="shared" si="30"/>
        <v>1413</v>
      </c>
      <c r="J114" s="167">
        <f t="shared" si="31"/>
        <v>4.4507231243887341E-4</v>
      </c>
      <c r="K114" s="458"/>
      <c r="L114" s="163"/>
      <c r="M114" s="163"/>
      <c r="O114" s="329">
        <f t="shared" si="32"/>
        <v>0.21213031076414954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'[83]Sch C'!D103</f>
        <v>0</v>
      </c>
      <c r="D115" s="480">
        <f>'[83]Sch C'!F103</f>
        <v>0</v>
      </c>
      <c r="E115" s="480">
        <f>+'[83]Sch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3498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3498</v>
      </c>
      <c r="G116" s="166">
        <f t="shared" si="34"/>
        <v>0</v>
      </c>
      <c r="H116" s="166">
        <f t="shared" si="34"/>
        <v>0</v>
      </c>
      <c r="I116" s="166">
        <f t="shared" si="34"/>
        <v>3498</v>
      </c>
      <c r="J116" s="167">
        <f t="shared" si="31"/>
        <v>1.1018138350397588E-3</v>
      </c>
      <c r="K116" s="458"/>
      <c r="L116" s="163"/>
      <c r="M116" s="163"/>
      <c r="O116" s="329">
        <f>I116/I$233</f>
        <v>0.52514637441825551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'[83]Sch C'!D115</f>
        <v>57044</v>
      </c>
      <c r="D119" s="480">
        <f>'[83]Sch C'!F115</f>
        <v>0</v>
      </c>
      <c r="E119" s="480">
        <f>+'[83]Sch C'!H115</f>
        <v>0</v>
      </c>
      <c r="F119" s="166">
        <f t="shared" ref="F119:F123" si="35">C119+D119+E119</f>
        <v>57044</v>
      </c>
      <c r="G119" s="626"/>
      <c r="H119" s="166"/>
      <c r="I119" s="166">
        <f t="shared" ref="I119:I123" si="36">F119+G119+H119</f>
        <v>57044</v>
      </c>
      <c r="J119" s="167">
        <f t="shared" ref="J119:J124" si="37">IF($I$213=0,0,I119/$I$213)</f>
        <v>1.7967944084050315E-2</v>
      </c>
      <c r="K119" s="458"/>
      <c r="L119" s="176">
        <v>4866.9799999999996</v>
      </c>
      <c r="M119" s="176">
        <v>5225</v>
      </c>
      <c r="O119" s="329">
        <f t="shared" ref="O119:O124" si="38">I119/I$233</f>
        <v>8.5638792974027922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'[83]Sch C'!D116</f>
        <v>0</v>
      </c>
      <c r="D120" s="480">
        <f>'[83]Sch C'!F116</f>
        <v>7939</v>
      </c>
      <c r="E120" s="480">
        <f>+'[83]Sch C'!H116</f>
        <v>0</v>
      </c>
      <c r="F120" s="166">
        <f t="shared" si="35"/>
        <v>7939</v>
      </c>
      <c r="G120" s="626"/>
      <c r="H120" s="166"/>
      <c r="I120" s="166">
        <f t="shared" si="36"/>
        <v>7939</v>
      </c>
      <c r="J120" s="167">
        <f t="shared" si="37"/>
        <v>2.5006575289824601E-3</v>
      </c>
      <c r="K120" s="458"/>
      <c r="L120" s="163"/>
      <c r="M120" s="163"/>
      <c r="O120" s="329">
        <f t="shared" si="38"/>
        <v>1.191863083621078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'[83]Sch C'!D117</f>
        <v>10724</v>
      </c>
      <c r="D121" s="480">
        <f>'[83]Sch C'!F117</f>
        <v>0</v>
      </c>
      <c r="E121" s="480">
        <f>+'[83]Sch C'!H117</f>
        <v>0</v>
      </c>
      <c r="F121" s="166">
        <f t="shared" si="35"/>
        <v>10724</v>
      </c>
      <c r="G121" s="626"/>
      <c r="H121" s="166"/>
      <c r="I121" s="166">
        <f t="shared" si="36"/>
        <v>10724</v>
      </c>
      <c r="J121" s="167">
        <f t="shared" si="37"/>
        <v>3.3778878121687745E-3</v>
      </c>
      <c r="K121" s="458"/>
      <c r="L121" s="163"/>
      <c r="M121" s="163"/>
      <c r="O121" s="329">
        <f t="shared" si="38"/>
        <v>1.6099684732022219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'[83]Sch C'!D118</f>
        <v>0</v>
      </c>
      <c r="D122" s="480">
        <f>'[83]Sch C'!F118</f>
        <v>0</v>
      </c>
      <c r="E122" s="480">
        <f>+'[83]Sch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'[83]Sch C'!D119</f>
        <v>0</v>
      </c>
      <c r="D123" s="480">
        <f>'[83]Sch C'!F119</f>
        <v>0</v>
      </c>
      <c r="E123" s="480">
        <f>+'[83]Sch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67768</v>
      </c>
      <c r="D124" s="480">
        <f t="shared" si="39"/>
        <v>7939</v>
      </c>
      <c r="E124" s="480">
        <f t="shared" si="39"/>
        <v>0</v>
      </c>
      <c r="F124" s="166">
        <f t="shared" ref="F124:I124" si="40">SUM(F119:F123)</f>
        <v>75707</v>
      </c>
      <c r="G124" s="166">
        <f t="shared" si="40"/>
        <v>0</v>
      </c>
      <c r="H124" s="166">
        <f t="shared" si="40"/>
        <v>0</v>
      </c>
      <c r="I124" s="166">
        <f t="shared" si="40"/>
        <v>75707</v>
      </c>
      <c r="J124" s="167">
        <f t="shared" si="37"/>
        <v>2.384648942520155E-2</v>
      </c>
      <c r="K124" s="458"/>
      <c r="L124" s="163"/>
      <c r="M124" s="163"/>
      <c r="O124" s="329">
        <f t="shared" si="38"/>
        <v>11.365710854226093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'[83]Sch C'!D124</f>
        <v>0</v>
      </c>
      <c r="D128" s="480">
        <f>'[83]Sch C'!F124</f>
        <v>0</v>
      </c>
      <c r="E128" s="480">
        <f>+'[83]Sch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'[83]Sch C'!D125</f>
        <v>54275</v>
      </c>
      <c r="D129" s="480">
        <f>'[83]Sch C'!F125</f>
        <v>0</v>
      </c>
      <c r="E129" s="480">
        <f>+'[83]Sch C'!H125</f>
        <v>0</v>
      </c>
      <c r="F129" s="166">
        <f t="shared" si="41"/>
        <v>54275</v>
      </c>
      <c r="G129" s="626"/>
      <c r="H129" s="166"/>
      <c r="I129" s="166">
        <f t="shared" si="42"/>
        <v>54275</v>
      </c>
      <c r="J129" s="167">
        <f>IF($I$213=0,0,I129/$I$213)</f>
        <v>1.7095753543963095E-2</v>
      </c>
      <c r="K129" s="458"/>
      <c r="L129" s="176">
        <v>1182</v>
      </c>
      <c r="M129" s="176">
        <v>1262</v>
      </c>
      <c r="O129" s="329">
        <f t="shared" si="43"/>
        <v>8.1481759495571229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'[83]Sch C'!D126</f>
        <v>0</v>
      </c>
      <c r="D130" s="480">
        <f>'[83]Sch C'!F126</f>
        <v>0</v>
      </c>
      <c r="E130" s="480">
        <f>+'[83]Sch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'[83]Sch C'!D127</f>
        <v>0</v>
      </c>
      <c r="D131" s="480">
        <f>'[83]Sch C'!F127</f>
        <v>0</v>
      </c>
      <c r="E131" s="480">
        <f>+'[83]Sch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'[83]Sch C'!D128</f>
        <v>144590</v>
      </c>
      <c r="D132" s="480">
        <f>'[83]Sch C'!F128</f>
        <v>0</v>
      </c>
      <c r="E132" s="480">
        <f>+'[83]Sch C'!H128</f>
        <v>0</v>
      </c>
      <c r="F132" s="166">
        <f t="shared" si="41"/>
        <v>144590</v>
      </c>
      <c r="G132" s="626"/>
      <c r="H132" s="166"/>
      <c r="I132" s="166">
        <f t="shared" si="42"/>
        <v>144590</v>
      </c>
      <c r="J132" s="167">
        <f>IF($I$213=0,0,I132/$I$213)</f>
        <v>4.5543528418638859E-2</v>
      </c>
      <c r="K132" s="458"/>
      <c r="L132" s="176">
        <v>4589.95</v>
      </c>
      <c r="M132" s="176">
        <v>4787</v>
      </c>
      <c r="O132" s="329">
        <f t="shared" si="43"/>
        <v>21.706950908272031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'[83]Sch C'!D130</f>
        <v>0</v>
      </c>
      <c r="D134" s="480">
        <f>'[83]Sch C'!F130</f>
        <v>0</v>
      </c>
      <c r="E134" s="480">
        <f>+'[83]Sch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'[83]Sch C'!D131</f>
        <v>0</v>
      </c>
      <c r="D135" s="480">
        <f>'[83]Sch C'!F131</f>
        <v>7554</v>
      </c>
      <c r="E135" s="480">
        <f>+'[83]Sch C'!H131</f>
        <v>0</v>
      </c>
      <c r="F135" s="166">
        <f t="shared" si="44"/>
        <v>7554</v>
      </c>
      <c r="G135" s="626"/>
      <c r="H135" s="166"/>
      <c r="I135" s="166">
        <f t="shared" si="45"/>
        <v>7554</v>
      </c>
      <c r="J135" s="167">
        <f>IF($I$213=0,0,I135/$I$213)</f>
        <v>2.3793887106604741E-3</v>
      </c>
      <c r="K135" s="458"/>
      <c r="L135" s="196"/>
      <c r="M135" s="196"/>
      <c r="O135" s="329">
        <f t="shared" si="43"/>
        <v>1.134063954361207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'[83]Sch C'!D132</f>
        <v>0</v>
      </c>
      <c r="D136" s="480">
        <f>'[83]Sch C'!F132</f>
        <v>0</v>
      </c>
      <c r="E136" s="480">
        <f>+'[83]Sch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'[83]Sch C'!D133</f>
        <v>0</v>
      </c>
      <c r="D137" s="480">
        <f>'[83]Sch C'!F133</f>
        <v>0</v>
      </c>
      <c r="E137" s="480">
        <f>+'[83]Sch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'[83]Sch C'!D134</f>
        <v>0</v>
      </c>
      <c r="D138" s="480">
        <f>'[83]Sch C'!F134</f>
        <v>20123</v>
      </c>
      <c r="E138" s="480">
        <f>+'[83]Sch C'!H134</f>
        <v>0</v>
      </c>
      <c r="F138" s="166">
        <f t="shared" si="44"/>
        <v>20123</v>
      </c>
      <c r="G138" s="626"/>
      <c r="H138" s="166"/>
      <c r="I138" s="166">
        <f t="shared" si="45"/>
        <v>20123</v>
      </c>
      <c r="J138" s="167">
        <f>IF($I$213=0,0,I138/$I$213)</f>
        <v>6.3384218989437011E-3</v>
      </c>
      <c r="K138" s="458"/>
      <c r="L138" s="163"/>
      <c r="M138" s="163"/>
      <c r="O138" s="329">
        <f t="shared" si="43"/>
        <v>3.0210178651854074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'[83]Sch C'!D136</f>
        <v>162097</v>
      </c>
      <c r="D140" s="480">
        <f>'[83]Sch C'!F136</f>
        <v>0</v>
      </c>
      <c r="E140" s="480">
        <f>+'[83]Sch C'!H136</f>
        <v>0</v>
      </c>
      <c r="F140" s="166">
        <f t="shared" ref="F140:F143" si="46">C140+D140+E140</f>
        <v>162097</v>
      </c>
      <c r="G140" s="626"/>
      <c r="H140" s="166"/>
      <c r="I140" s="166">
        <f t="shared" ref="I140:I143" si="47">F140+G140+H140</f>
        <v>162097</v>
      </c>
      <c r="J140" s="167">
        <f>IF($I$213=0,0,I140/$I$213)</f>
        <v>5.1057952320880444E-2</v>
      </c>
      <c r="K140" s="458"/>
      <c r="L140" s="176">
        <v>5341.28</v>
      </c>
      <c r="M140" s="176">
        <v>5649</v>
      </c>
      <c r="O140" s="329">
        <f t="shared" si="43"/>
        <v>24.33523494970725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'[83]Sch C'!D137</f>
        <v>173449</v>
      </c>
      <c r="D141" s="480">
        <f>'[83]Sch C'!F137</f>
        <v>0</v>
      </c>
      <c r="E141" s="480">
        <f>+'[83]Sch C'!H137</f>
        <v>0</v>
      </c>
      <c r="F141" s="166">
        <f t="shared" si="46"/>
        <v>173449</v>
      </c>
      <c r="G141" s="626"/>
      <c r="H141" s="166"/>
      <c r="I141" s="166">
        <f t="shared" si="47"/>
        <v>173449</v>
      </c>
      <c r="J141" s="167">
        <f>IF($I$213=0,0,I141/$I$213)</f>
        <v>5.4633650049688717E-2</v>
      </c>
      <c r="K141" s="458"/>
      <c r="L141" s="176">
        <v>6737.94</v>
      </c>
      <c r="M141" s="176">
        <v>7105.98</v>
      </c>
      <c r="O141" s="329">
        <f t="shared" si="43"/>
        <v>26.039483561026874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'[83]Sch C'!D138</f>
        <v>286568</v>
      </c>
      <c r="D142" s="480">
        <f>'[83]Sch C'!F138</f>
        <v>0</v>
      </c>
      <c r="E142" s="480">
        <f>+'[83]Sch C'!H138</f>
        <v>0</v>
      </c>
      <c r="F142" s="166">
        <f t="shared" si="46"/>
        <v>286568</v>
      </c>
      <c r="G142" s="626"/>
      <c r="H142" s="166"/>
      <c r="I142" s="166">
        <f t="shared" si="47"/>
        <v>286568</v>
      </c>
      <c r="J142" s="167">
        <f>IF($I$213=0,0,I142/$I$213)</f>
        <v>9.0264318776350369E-2</v>
      </c>
      <c r="K142" s="458"/>
      <c r="L142" s="176">
        <v>22015.759999999998</v>
      </c>
      <c r="M142" s="176">
        <v>23217</v>
      </c>
      <c r="O142" s="329">
        <f t="shared" si="43"/>
        <v>43.02176850322774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'[83]Sch C'!D139</f>
        <v>0</v>
      </c>
      <c r="D143" s="480">
        <f>'[83]Sch C'!F139</f>
        <v>0</v>
      </c>
      <c r="E143" s="480">
        <f>+'[83]Sch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'[83]Sch C'!D141</f>
        <v>0</v>
      </c>
      <c r="D145" s="480">
        <f>'[83]Sch C'!F141</f>
        <v>22559</v>
      </c>
      <c r="E145" s="480">
        <f>+'[83]Sch C'!H141</f>
        <v>0</v>
      </c>
      <c r="F145" s="166">
        <f t="shared" ref="F145:F148" si="48">C145+D145+E145</f>
        <v>22559</v>
      </c>
      <c r="G145" s="626"/>
      <c r="H145" s="166"/>
      <c r="I145" s="166">
        <f t="shared" ref="I145:I148" si="49">F145+G145+H145</f>
        <v>22559</v>
      </c>
      <c r="J145" s="167">
        <f>IF($I$213=0,0,I145/$I$213)</f>
        <v>7.105722785780995E-3</v>
      </c>
      <c r="K145" s="458"/>
      <c r="L145" s="163"/>
      <c r="M145" s="163"/>
      <c r="O145" s="329">
        <f t="shared" si="43"/>
        <v>3.3867287194114999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'[83]Sch C'!D142</f>
        <v>0</v>
      </c>
      <c r="D146" s="480">
        <f>'[83]Sch C'!F142</f>
        <v>24139</v>
      </c>
      <c r="E146" s="480">
        <f>+'[83]Sch C'!H142</f>
        <v>0</v>
      </c>
      <c r="F146" s="166">
        <f t="shared" si="48"/>
        <v>24139</v>
      </c>
      <c r="G146" s="626"/>
      <c r="H146" s="166"/>
      <c r="I146" s="166">
        <f t="shared" si="49"/>
        <v>24139</v>
      </c>
      <c r="J146" s="167">
        <f>IF($I$213=0,0,I146/$I$213)</f>
        <v>7.603397416816678E-3</v>
      </c>
      <c r="K146" s="458"/>
      <c r="L146" s="163"/>
      <c r="M146" s="163"/>
      <c r="O146" s="329">
        <f t="shared" si="43"/>
        <v>3.6239303407896712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'[83]Sch C'!D143</f>
        <v>0</v>
      </c>
      <c r="D147" s="480">
        <f>'[83]Sch C'!F143</f>
        <v>39883</v>
      </c>
      <c r="E147" s="480">
        <f>+'[83]Sch C'!H143</f>
        <v>0</v>
      </c>
      <c r="F147" s="166">
        <f t="shared" si="48"/>
        <v>39883</v>
      </c>
      <c r="G147" s="626"/>
      <c r="H147" s="166"/>
      <c r="I147" s="166">
        <f t="shared" si="49"/>
        <v>39883</v>
      </c>
      <c r="J147" s="167">
        <f>IF($I$213=0,0,I147/$I$213)</f>
        <v>1.2562504626326673E-2</v>
      </c>
      <c r="K147" s="458"/>
      <c r="L147" s="163"/>
      <c r="M147" s="163"/>
      <c r="O147" s="329">
        <f t="shared" si="43"/>
        <v>5.9875394084972227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'[83]Sch C'!D144</f>
        <v>0</v>
      </c>
      <c r="D148" s="480">
        <f>'[83]Sch C'!F144</f>
        <v>0</v>
      </c>
      <c r="E148" s="480">
        <f>+'[83]Sch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'[83]Sch C'!D146</f>
        <v>18000</v>
      </c>
      <c r="D150" s="480">
        <f>'[83]Sch C'!F146</f>
        <v>0</v>
      </c>
      <c r="E150" s="480">
        <f>+'[83]Sch C'!H146</f>
        <v>0</v>
      </c>
      <c r="F150" s="166">
        <f t="shared" ref="F150:F158" si="50">C150+D150+E150</f>
        <v>18000</v>
      </c>
      <c r="G150" s="626"/>
      <c r="H150" s="166"/>
      <c r="I150" s="166">
        <f t="shared" ref="I150:I158" si="51">F150+G150+H150</f>
        <v>18000</v>
      </c>
      <c r="J150" s="167">
        <f t="shared" ref="J150:J158" si="52">IF($I$213=0,0,I150/$I$213)</f>
        <v>5.669710986482464E-3</v>
      </c>
      <c r="K150" s="458"/>
      <c r="L150" s="176">
        <v>0</v>
      </c>
      <c r="M150" s="176">
        <v>0</v>
      </c>
      <c r="O150" s="329">
        <f t="shared" si="43"/>
        <v>2.7022969524095481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'[83]Sch C'!D147</f>
        <v>0</v>
      </c>
      <c r="D151" s="480">
        <f>'[83]Sch C'!F147</f>
        <v>0</v>
      </c>
      <c r="E151" s="480">
        <f>+'[83]Sch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'[83]Sch C'!D148</f>
        <v>0</v>
      </c>
      <c r="D152" s="480">
        <f>'[83]Sch C'!F148</f>
        <v>0</v>
      </c>
      <c r="E152" s="480">
        <f>+'[83]Sch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'[83]Sch C'!D149</f>
        <v>0</v>
      </c>
      <c r="D153" s="480">
        <f>'[83]Sch C'!F149</f>
        <v>0</v>
      </c>
      <c r="E153" s="480">
        <f>+'[83]Sch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'[83]Sch C'!D150</f>
        <v>4857</v>
      </c>
      <c r="D154" s="480">
        <f>'[83]Sch C'!F150</f>
        <v>0</v>
      </c>
      <c r="E154" s="480">
        <f>+'[83]Sch C'!H150</f>
        <v>0</v>
      </c>
      <c r="F154" s="166">
        <f t="shared" si="50"/>
        <v>4857</v>
      </c>
      <c r="G154" s="626"/>
      <c r="H154" s="166"/>
      <c r="I154" s="166">
        <f t="shared" si="51"/>
        <v>4857</v>
      </c>
      <c r="J154" s="167">
        <f t="shared" si="52"/>
        <v>1.5298770145191849E-3</v>
      </c>
      <c r="K154" s="458"/>
      <c r="L154" s="176">
        <v>0</v>
      </c>
      <c r="M154" s="176">
        <v>0</v>
      </c>
      <c r="O154" s="329">
        <f t="shared" si="43"/>
        <v>0.72916979432517637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'[83]Sch C'!D151</f>
        <v>82247</v>
      </c>
      <c r="D155" s="480">
        <f>'[83]Sch C'!F151</f>
        <v>0</v>
      </c>
      <c r="E155" s="480">
        <f>+'[83]Sch C'!H151</f>
        <v>0</v>
      </c>
      <c r="F155" s="166">
        <f t="shared" si="50"/>
        <v>82247</v>
      </c>
      <c r="G155" s="626"/>
      <c r="H155" s="166"/>
      <c r="I155" s="166">
        <f t="shared" si="51"/>
        <v>82247</v>
      </c>
      <c r="J155" s="167">
        <f t="shared" si="52"/>
        <v>2.5906484416956845E-2</v>
      </c>
      <c r="K155" s="458"/>
      <c r="L155" s="163"/>
      <c r="M155" s="163"/>
      <c r="O155" s="329">
        <f t="shared" si="43"/>
        <v>12.347545413601562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'[83]Sch C'!D152</f>
        <v>1023</v>
      </c>
      <c r="D156" s="480">
        <f>'[83]Sch C'!F152</f>
        <v>0</v>
      </c>
      <c r="E156" s="480">
        <f>+'[83]Sch C'!H152</f>
        <v>0</v>
      </c>
      <c r="F156" s="166">
        <f t="shared" si="50"/>
        <v>1023</v>
      </c>
      <c r="G156" s="626"/>
      <c r="H156" s="166"/>
      <c r="I156" s="166">
        <f t="shared" si="51"/>
        <v>1023</v>
      </c>
      <c r="J156" s="167">
        <f t="shared" si="52"/>
        <v>3.2222857439842003E-4</v>
      </c>
      <c r="K156" s="458"/>
      <c r="L156" s="163"/>
      <c r="M156" s="163"/>
      <c r="O156" s="329">
        <f t="shared" si="43"/>
        <v>0.15358054346194266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'[83]Sch C'!D153</f>
        <v>0</v>
      </c>
      <c r="D157" s="480">
        <f>'[83]Sch C'!F153</f>
        <v>0</v>
      </c>
      <c r="E157" s="480">
        <f>+'[83]Sch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'[83]Sch C'!D154</f>
        <v>0</v>
      </c>
      <c r="D158" s="480">
        <f>'[83]Sch C'!F154</f>
        <v>0</v>
      </c>
      <c r="E158" s="480">
        <f>+'[83]Sch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'[83]Sch C'!D156</f>
        <v>0</v>
      </c>
      <c r="D160" s="480">
        <f>'[83]Sch C'!F156</f>
        <v>0</v>
      </c>
      <c r="E160" s="480">
        <f>+'[83]Sch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'[83]Sch C'!D157</f>
        <v>0</v>
      </c>
      <c r="D161" s="480">
        <f>'[83]Sch C'!F157</f>
        <v>0</v>
      </c>
      <c r="E161" s="480">
        <f>+'[83]Sch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'[83]Sch C'!D158</f>
        <v>0</v>
      </c>
      <c r="D162" s="480">
        <f>'[83]Sch C'!F158</f>
        <v>0</v>
      </c>
      <c r="E162" s="480">
        <f>+'[83]Sch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'[83]Sch C'!D159</f>
        <v>0</v>
      </c>
      <c r="D163" s="480">
        <f>'[83]Sch C'!F159</f>
        <v>0</v>
      </c>
      <c r="E163" s="480">
        <f>+'[83]Sch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'[83]Sch C'!D160</f>
        <v>0</v>
      </c>
      <c r="D164" s="480">
        <f>'[83]Sch C'!F160</f>
        <v>0</v>
      </c>
      <c r="E164" s="480">
        <f>+'[83]Sch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'[83]Sch C'!D161</f>
        <v>208</v>
      </c>
      <c r="D165" s="480">
        <f>'[83]Sch C'!F161</f>
        <v>0</v>
      </c>
      <c r="E165" s="480">
        <f>+'[83]Sch C'!H161</f>
        <v>0</v>
      </c>
      <c r="F165" s="166">
        <f t="shared" si="53"/>
        <v>208</v>
      </c>
      <c r="G165" s="626"/>
      <c r="H165" s="166"/>
      <c r="I165" s="166">
        <f t="shared" si="54"/>
        <v>208</v>
      </c>
      <c r="J165" s="167">
        <f t="shared" si="55"/>
        <v>6.5516660288241808E-5</v>
      </c>
      <c r="K165" s="458"/>
      <c r="L165" s="163"/>
      <c r="M165" s="163"/>
      <c r="O165" s="329">
        <f t="shared" si="43"/>
        <v>3.1226542561177E-2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927314</v>
      </c>
      <c r="D166" s="480">
        <f t="shared" si="56"/>
        <v>114258</v>
      </c>
      <c r="E166" s="480">
        <f t="shared" si="56"/>
        <v>0</v>
      </c>
      <c r="F166" s="166">
        <f t="shared" ref="F166:I166" si="57">SUM(F128:F165)</f>
        <v>1041572</v>
      </c>
      <c r="G166" s="166">
        <f t="shared" si="57"/>
        <v>0</v>
      </c>
      <c r="H166" s="166">
        <f t="shared" si="57"/>
        <v>0</v>
      </c>
      <c r="I166" s="166">
        <f t="shared" si="57"/>
        <v>1041572</v>
      </c>
      <c r="J166" s="167">
        <f t="shared" si="55"/>
        <v>0.32807845620069515</v>
      </c>
      <c r="K166" s="458"/>
      <c r="L166" s="163"/>
      <c r="M166" s="163"/>
      <c r="O166" s="329">
        <f>I166/I$233</f>
        <v>156.36871340639544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'[83]Sch C'!D175</f>
        <v>0</v>
      </c>
      <c r="D169" s="480">
        <f>'[83]Sch C'!F175</f>
        <v>0</v>
      </c>
      <c r="E169" s="480">
        <f>+'[83]Sch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'[83]Sch C'!D176</f>
        <v>0</v>
      </c>
      <c r="D170" s="480">
        <f>'[83]Sch C'!F176</f>
        <v>0</v>
      </c>
      <c r="E170" s="480">
        <f>+'[83]Sch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'[83]Sch C'!D177</f>
        <v>226528</v>
      </c>
      <c r="D171" s="480">
        <f>'[83]Sch C'!F177</f>
        <v>0</v>
      </c>
      <c r="E171" s="480">
        <f>+'[83]Sch C'!H177</f>
        <v>0</v>
      </c>
      <c r="F171" s="166">
        <f t="shared" si="58"/>
        <v>226528</v>
      </c>
      <c r="G171" s="626"/>
      <c r="H171" s="166"/>
      <c r="I171" s="166">
        <f t="shared" si="59"/>
        <v>226528</v>
      </c>
      <c r="J171" s="167">
        <f t="shared" si="60"/>
        <v>7.1352682796994429E-2</v>
      </c>
      <c r="K171" s="468"/>
      <c r="L171" s="176">
        <v>8993.4600000000009</v>
      </c>
      <c r="M171" s="176">
        <v>9747</v>
      </c>
      <c r="N171" s="208"/>
      <c r="O171" s="329">
        <f t="shared" si="61"/>
        <v>34.008106890857228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'[83]Sch C'!D178</f>
        <v>0</v>
      </c>
      <c r="D172" s="480">
        <f>'[83]Sch C'!F178</f>
        <v>31527</v>
      </c>
      <c r="E172" s="480">
        <f>+'[83]Sch C'!H178</f>
        <v>0</v>
      </c>
      <c r="F172" s="166">
        <f t="shared" si="58"/>
        <v>31527</v>
      </c>
      <c r="G172" s="626"/>
      <c r="H172" s="166"/>
      <c r="I172" s="166">
        <f t="shared" si="59"/>
        <v>31527</v>
      </c>
      <c r="J172" s="167">
        <f t="shared" si="60"/>
        <v>9.930498792824035E-3</v>
      </c>
      <c r="K172" s="469"/>
      <c r="L172" s="212"/>
      <c r="M172" s="212"/>
      <c r="N172" s="208"/>
      <c r="O172" s="329">
        <f t="shared" si="61"/>
        <v>4.7330731121453233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'[83]Sch C'!D179</f>
        <v>47388</v>
      </c>
      <c r="D173" s="480">
        <f>'[83]Sch C'!F179</f>
        <v>0</v>
      </c>
      <c r="E173" s="480">
        <f>+'[83]Sch C'!H179</f>
        <v>0</v>
      </c>
      <c r="F173" s="166">
        <f t="shared" si="58"/>
        <v>47388</v>
      </c>
      <c r="G173" s="626"/>
      <c r="H173" s="166"/>
      <c r="I173" s="166">
        <f t="shared" si="59"/>
        <v>47388</v>
      </c>
      <c r="J173" s="167">
        <f t="shared" si="60"/>
        <v>1.4926459123746167E-2</v>
      </c>
      <c r="K173" s="468"/>
      <c r="L173" s="176">
        <v>916</v>
      </c>
      <c r="M173" s="176">
        <v>1031</v>
      </c>
      <c r="N173" s="208"/>
      <c r="O173" s="329">
        <f t="shared" si="61"/>
        <v>7.1142471100435367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'[83]Sch C'!D180</f>
        <v>0</v>
      </c>
      <c r="D174" s="480">
        <f>'[83]Sch C'!F180</f>
        <v>6595</v>
      </c>
      <c r="E174" s="480">
        <f>+'[83]Sch C'!H180</f>
        <v>0</v>
      </c>
      <c r="F174" s="166">
        <f t="shared" si="58"/>
        <v>6595</v>
      </c>
      <c r="G174" s="626"/>
      <c r="H174" s="166"/>
      <c r="I174" s="166">
        <f t="shared" si="59"/>
        <v>6595</v>
      </c>
      <c r="J174" s="167">
        <f t="shared" si="60"/>
        <v>2.0773191086584362E-3</v>
      </c>
      <c r="K174" s="469"/>
      <c r="L174" s="212"/>
      <c r="M174" s="212"/>
      <c r="N174" s="208"/>
      <c r="O174" s="329">
        <f t="shared" si="61"/>
        <v>0.99009157784116497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'[83]Sch C'!D181</f>
        <v>0</v>
      </c>
      <c r="D175" s="480">
        <f>'[83]Sch C'!F181</f>
        <v>0</v>
      </c>
      <c r="E175" s="480">
        <f>+'[83]Sch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'[83]Sch C'!D182</f>
        <v>0</v>
      </c>
      <c r="D176" s="480">
        <f>'[83]Sch C'!F182</f>
        <v>0</v>
      </c>
      <c r="E176" s="480">
        <f>+'[83]Sch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'[83]Sch C'!D183</f>
        <v>202015</v>
      </c>
      <c r="D177" s="480">
        <f>'[83]Sch C'!F183</f>
        <v>0</v>
      </c>
      <c r="E177" s="480">
        <f>+'[83]Sch C'!H183</f>
        <v>0</v>
      </c>
      <c r="F177" s="166">
        <f t="shared" si="58"/>
        <v>202015</v>
      </c>
      <c r="G177" s="626"/>
      <c r="H177" s="166"/>
      <c r="I177" s="166">
        <f t="shared" si="59"/>
        <v>202015</v>
      </c>
      <c r="J177" s="167">
        <f t="shared" si="60"/>
        <v>6.3631481385236388E-2</v>
      </c>
      <c r="K177" s="468"/>
      <c r="L177" s="176">
        <v>3451.81</v>
      </c>
      <c r="M177" s="176">
        <v>3726</v>
      </c>
      <c r="N177" s="208"/>
      <c r="O177" s="329">
        <f t="shared" si="61"/>
        <v>30.328028824500826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'[83]Sch C'!D184</f>
        <v>0</v>
      </c>
      <c r="D178" s="480">
        <f>'[83]Sch C'!F184</f>
        <v>28115</v>
      </c>
      <c r="E178" s="480">
        <f>+'[83]Sch C'!H184</f>
        <v>0</v>
      </c>
      <c r="F178" s="166">
        <f t="shared" si="58"/>
        <v>28115</v>
      </c>
      <c r="G178" s="626"/>
      <c r="H178" s="166"/>
      <c r="I178" s="166">
        <f t="shared" si="59"/>
        <v>28115</v>
      </c>
      <c r="J178" s="167">
        <f t="shared" si="60"/>
        <v>8.8557735769419152E-3</v>
      </c>
      <c r="K178" s="469"/>
      <c r="L178" s="212"/>
      <c r="M178" s="212"/>
      <c r="N178" s="208"/>
      <c r="O178" s="329">
        <f t="shared" si="61"/>
        <v>4.2208377120552472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'[83]Sch C'!D185</f>
        <v>0</v>
      </c>
      <c r="D179" s="480">
        <f>'[83]Sch C'!F185</f>
        <v>0</v>
      </c>
      <c r="E179" s="480">
        <f>+'[83]Sch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'[83]Sch C'!D186</f>
        <v>0</v>
      </c>
      <c r="D180" s="480">
        <f>'[83]Sch C'!F186</f>
        <v>0</v>
      </c>
      <c r="E180" s="480">
        <f>+'[83]Sch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'[83]Sch C'!D187</f>
        <v>0</v>
      </c>
      <c r="D181" s="480">
        <f>'[83]Sch C'!F187</f>
        <v>0</v>
      </c>
      <c r="E181" s="480">
        <f>+'[83]Sch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'[83]Sch C'!D188</f>
        <v>12596</v>
      </c>
      <c r="D182" s="480">
        <f>'[83]Sch C'!F188</f>
        <v>0</v>
      </c>
      <c r="E182" s="480">
        <f>+'[83]Sch C'!H188</f>
        <v>0</v>
      </c>
      <c r="F182" s="166">
        <f t="shared" si="58"/>
        <v>12596</v>
      </c>
      <c r="G182" s="626"/>
      <c r="H182" s="166"/>
      <c r="I182" s="166">
        <f t="shared" si="59"/>
        <v>12596</v>
      </c>
      <c r="J182" s="167">
        <f t="shared" si="60"/>
        <v>3.9675377547629511E-3</v>
      </c>
      <c r="K182" s="458"/>
      <c r="L182" s="213"/>
      <c r="M182" s="208"/>
      <c r="N182" s="210"/>
      <c r="O182" s="329">
        <f t="shared" si="61"/>
        <v>1.8910073562528149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'[83]Sch C'!D189</f>
        <v>0</v>
      </c>
      <c r="D183" s="480">
        <f>'[83]Sch C'!F189</f>
        <v>0</v>
      </c>
      <c r="E183" s="480">
        <f>+'[83]Sch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'[83]Sch C'!D190</f>
        <v>0</v>
      </c>
      <c r="D184" s="480">
        <f>'[83]Sch C'!F190</f>
        <v>0</v>
      </c>
      <c r="E184" s="480">
        <f>+'[83]Sch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'[83]Sch C'!D191</f>
        <v>0</v>
      </c>
      <c r="D185" s="480">
        <f>'[83]Sch C'!F191</f>
        <v>0</v>
      </c>
      <c r="E185" s="480">
        <f>+'[83]Sch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'[83]Sch C'!D192</f>
        <v>0</v>
      </c>
      <c r="D186" s="480">
        <f>'[83]Sch C'!F192</f>
        <v>0</v>
      </c>
      <c r="E186" s="480">
        <f>+'[83]Sch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'[83]Sch C'!D193</f>
        <v>0</v>
      </c>
      <c r="D187" s="480">
        <f>'[83]Sch C'!F193</f>
        <v>0</v>
      </c>
      <c r="E187" s="480">
        <f>+'[83]Sch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'[83]Sch C'!D194</f>
        <v>0</v>
      </c>
      <c r="D188" s="480">
        <f>'[83]Sch C'!F194</f>
        <v>0</v>
      </c>
      <c r="E188" s="480">
        <f>+'[83]Sch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'[83]Sch C'!D195</f>
        <v>0</v>
      </c>
      <c r="D189" s="480">
        <f>'[83]Sch C'!F195</f>
        <v>0</v>
      </c>
      <c r="E189" s="480">
        <f>+'[83]Sch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'[83]Sch C'!D196</f>
        <v>0</v>
      </c>
      <c r="D190" s="480">
        <f>'[83]Sch C'!F196</f>
        <v>0</v>
      </c>
      <c r="E190" s="480">
        <f>+'[83]Sch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'[83]Sch C'!D197</f>
        <v>0</v>
      </c>
      <c r="D191" s="480">
        <f>'[83]Sch C'!F197</f>
        <v>0</v>
      </c>
      <c r="E191" s="480">
        <f>+'[83]Sch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'[83]Sch C'!D198</f>
        <v>102496</v>
      </c>
      <c r="D192" s="480">
        <f>'[83]Sch C'!F198</f>
        <v>0</v>
      </c>
      <c r="E192" s="480">
        <f>+'[83]Sch C'!H198</f>
        <v>0</v>
      </c>
      <c r="F192" s="166">
        <f t="shared" si="58"/>
        <v>102496</v>
      </c>
      <c r="G192" s="626"/>
      <c r="H192" s="166"/>
      <c r="I192" s="166">
        <f t="shared" si="59"/>
        <v>102496</v>
      </c>
      <c r="J192" s="167">
        <f t="shared" si="60"/>
        <v>3.2284594292805925E-2</v>
      </c>
      <c r="K192" s="458"/>
      <c r="L192" s="213"/>
      <c r="M192" s="208"/>
      <c r="O192" s="329">
        <f t="shared" si="61"/>
        <v>15.387479357453836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'[83]Sch C'!D199</f>
        <v>0</v>
      </c>
      <c r="D193" s="480">
        <f>'[83]Sch C'!F199</f>
        <v>0</v>
      </c>
      <c r="E193" s="480">
        <f>+'[83]Sch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'[83]Sch C'!D200</f>
        <v>0</v>
      </c>
      <c r="D194" s="480">
        <f>'[83]Sch C'!F200</f>
        <v>0</v>
      </c>
      <c r="E194" s="480">
        <f>+'[83]Sch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'[83]Sch C'!D201</f>
        <v>0</v>
      </c>
      <c r="D195" s="480">
        <f>'[83]Sch C'!F201</f>
        <v>0</v>
      </c>
      <c r="E195" s="480">
        <f>+'[83]Sch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'[83]Sch C'!D202</f>
        <v>0</v>
      </c>
      <c r="D196" s="480">
        <f>'[83]Sch C'!F202</f>
        <v>0</v>
      </c>
      <c r="E196" s="480">
        <f>+'[83]Sch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'[83]Sch C'!D203</f>
        <v>0</v>
      </c>
      <c r="D197" s="480">
        <f>'[83]Sch C'!F203</f>
        <v>0</v>
      </c>
      <c r="E197" s="480">
        <f>+'[83]Sch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'[83]Sch C'!D204</f>
        <v>0</v>
      </c>
      <c r="D198" s="480">
        <f>'[83]Sch C'!F204</f>
        <v>0</v>
      </c>
      <c r="E198" s="480">
        <f>+'[83]Sch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'[83]Sch C'!D205</f>
        <v>191010</v>
      </c>
      <c r="D199" s="480">
        <f>'[83]Sch C'!F205</f>
        <v>0</v>
      </c>
      <c r="E199" s="480">
        <f>+'[83]Sch C'!H205</f>
        <v>0</v>
      </c>
      <c r="F199" s="166">
        <f t="shared" si="58"/>
        <v>191010</v>
      </c>
      <c r="G199" s="626"/>
      <c r="H199" s="166"/>
      <c r="I199" s="166">
        <f t="shared" si="59"/>
        <v>191010</v>
      </c>
      <c r="J199" s="167">
        <f t="shared" si="60"/>
        <v>6.0165083084889749E-2</v>
      </c>
      <c r="K199" s="458"/>
      <c r="L199" s="213"/>
      <c r="M199" s="208"/>
      <c r="O199" s="329">
        <f t="shared" si="61"/>
        <v>28.67587449331932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'[83]Sch C'!D206</f>
        <v>10108</v>
      </c>
      <c r="D200" s="480">
        <f>'[83]Sch C'!F206</f>
        <v>0</v>
      </c>
      <c r="E200" s="480">
        <f>+'[83]Sch C'!H206</f>
        <v>0</v>
      </c>
      <c r="F200" s="166">
        <f t="shared" si="58"/>
        <v>10108</v>
      </c>
      <c r="G200" s="626"/>
      <c r="H200" s="166"/>
      <c r="I200" s="166">
        <f t="shared" si="59"/>
        <v>10108</v>
      </c>
      <c r="J200" s="167">
        <f t="shared" si="60"/>
        <v>3.1838577028535969E-3</v>
      </c>
      <c r="K200" s="458"/>
      <c r="L200" s="213"/>
      <c r="M200" s="208"/>
      <c r="O200" s="329">
        <f t="shared" si="61"/>
        <v>1.5174898663864285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'[83]Sch C'!D207</f>
        <v>0</v>
      </c>
      <c r="D201" s="480">
        <f>'[83]Sch C'!F207</f>
        <v>0</v>
      </c>
      <c r="E201" s="480">
        <f>+'[83]Sch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792141</v>
      </c>
      <c r="D202" s="480">
        <f t="shared" si="62"/>
        <v>66237</v>
      </c>
      <c r="E202" s="480">
        <f t="shared" si="62"/>
        <v>0</v>
      </c>
      <c r="F202" s="166">
        <f t="shared" ref="F202:I202" si="63">SUM(F169:F201)</f>
        <v>858378</v>
      </c>
      <c r="G202" s="166">
        <f t="shared" si="63"/>
        <v>0</v>
      </c>
      <c r="H202" s="166">
        <f t="shared" si="63"/>
        <v>0</v>
      </c>
      <c r="I202" s="166">
        <f t="shared" si="63"/>
        <v>858378</v>
      </c>
      <c r="J202" s="167">
        <f>IF($I$213=0,0,I202/$I$213)</f>
        <v>0.27037528761971358</v>
      </c>
      <c r="K202" s="458"/>
      <c r="L202" s="163"/>
      <c r="M202" s="163"/>
      <c r="O202" s="329">
        <f>I202/I$233</f>
        <v>128.86623630085572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'[83]Sch C'!D211</f>
        <v>46347</v>
      </c>
      <c r="D205" s="480">
        <f>'[83]Sch C'!F211</f>
        <v>0</v>
      </c>
      <c r="E205" s="480">
        <f>+'[83]Sch C'!H211</f>
        <v>0</v>
      </c>
      <c r="F205" s="166">
        <f t="shared" ref="F205:F210" si="64">C205+D205+E205</f>
        <v>46347</v>
      </c>
      <c r="G205" s="626"/>
      <c r="H205" s="166"/>
      <c r="I205" s="166">
        <f t="shared" ref="I205:I210" si="65">F205+G205+H205</f>
        <v>46347</v>
      </c>
      <c r="J205" s="167">
        <f t="shared" ref="J205:J211" si="66">IF($I$213=0,0,I205/$I$213)</f>
        <v>1.4598560838361264E-2</v>
      </c>
      <c r="K205" s="458"/>
      <c r="L205" s="176">
        <v>2389.33</v>
      </c>
      <c r="M205" s="176">
        <v>2517</v>
      </c>
      <c r="O205" s="329">
        <f t="shared" ref="O205:O210" si="67">I205/I$233</f>
        <v>6.9579642696291852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'[83]Sch C'!D212</f>
        <v>0</v>
      </c>
      <c r="D206" s="480">
        <f>'[83]Sch C'!F212</f>
        <v>6450</v>
      </c>
      <c r="E206" s="480">
        <f>+'[83]Sch C'!H212</f>
        <v>0</v>
      </c>
      <c r="F206" s="166">
        <f t="shared" si="64"/>
        <v>6450</v>
      </c>
      <c r="G206" s="626"/>
      <c r="H206" s="166"/>
      <c r="I206" s="166">
        <f t="shared" si="65"/>
        <v>6450</v>
      </c>
      <c r="J206" s="167">
        <f t="shared" si="66"/>
        <v>2.0316464368228828E-3</v>
      </c>
      <c r="K206" s="458"/>
      <c r="L206" s="163"/>
      <c r="M206" s="163"/>
      <c r="O206" s="329">
        <f t="shared" si="67"/>
        <v>0.96832307461342138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'[83]Sch C'!D213</f>
        <v>4813</v>
      </c>
      <c r="D207" s="480">
        <f>'[83]Sch C'!F213</f>
        <v>0</v>
      </c>
      <c r="E207" s="480">
        <f>+'[83]Sch C'!H213</f>
        <v>0</v>
      </c>
      <c r="F207" s="166">
        <f t="shared" si="64"/>
        <v>4813</v>
      </c>
      <c r="G207" s="626"/>
      <c r="H207" s="166"/>
      <c r="I207" s="166">
        <f t="shared" si="65"/>
        <v>4813</v>
      </c>
      <c r="J207" s="167">
        <f t="shared" si="66"/>
        <v>1.5160177209966722E-3</v>
      </c>
      <c r="K207" s="458"/>
      <c r="L207" s="163"/>
      <c r="M207" s="163"/>
      <c r="O207" s="329">
        <f t="shared" si="67"/>
        <v>0.72256417955261976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'[83]Sch C'!D214</f>
        <v>0</v>
      </c>
      <c r="D208" s="480">
        <f>'[83]Sch C'!F214</f>
        <v>0</v>
      </c>
      <c r="E208" s="480">
        <f>+'[83]Sch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'[83]Sch C'!D215</f>
        <v>0</v>
      </c>
      <c r="D209" s="480">
        <f>'[83]Sch C'!F215</f>
        <v>0</v>
      </c>
      <c r="E209" s="480">
        <f>+'[83]Sch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'[83]Sch C'!D216</f>
        <v>1465</v>
      </c>
      <c r="D210" s="480">
        <f>'[83]Sch C'!F216</f>
        <v>0</v>
      </c>
      <c r="E210" s="480">
        <f>+'[83]Sch C'!H216</f>
        <v>0</v>
      </c>
      <c r="F210" s="166">
        <f t="shared" si="64"/>
        <v>1465</v>
      </c>
      <c r="G210" s="626"/>
      <c r="H210" s="166"/>
      <c r="I210" s="166">
        <f t="shared" si="65"/>
        <v>1465</v>
      </c>
      <c r="J210" s="167">
        <f t="shared" si="66"/>
        <v>4.6145147751093388E-4</v>
      </c>
      <c r="K210" s="458"/>
      <c r="L210" s="163"/>
      <c r="M210" s="163"/>
      <c r="O210" s="329">
        <f t="shared" si="67"/>
        <v>0.21993694640444378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52625</v>
      </c>
      <c r="D211" s="480">
        <f t="shared" si="68"/>
        <v>6450</v>
      </c>
      <c r="E211" s="480">
        <f t="shared" si="68"/>
        <v>0</v>
      </c>
      <c r="F211" s="166">
        <f t="shared" ref="F211:I211" si="69">SUM(F205:F210)</f>
        <v>59075</v>
      </c>
      <c r="G211" s="166">
        <f t="shared" si="69"/>
        <v>0</v>
      </c>
      <c r="H211" s="166">
        <f t="shared" si="69"/>
        <v>0</v>
      </c>
      <c r="I211" s="166">
        <f t="shared" si="69"/>
        <v>59075</v>
      </c>
      <c r="J211" s="167">
        <f t="shared" si="66"/>
        <v>1.8607676473691753E-2</v>
      </c>
      <c r="K211" s="458"/>
      <c r="L211" s="163"/>
      <c r="M211" s="163"/>
      <c r="O211" s="329">
        <f>I211/I$233</f>
        <v>8.8687884701996698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3219166</v>
      </c>
      <c r="D213" s="480">
        <f t="shared" si="70"/>
        <v>23147</v>
      </c>
      <c r="E213" s="480">
        <f t="shared" si="70"/>
        <v>-36728</v>
      </c>
      <c r="F213" s="166">
        <f t="shared" ref="F213:I213" si="71">SUM(F30:F211)/2</f>
        <v>3205585</v>
      </c>
      <c r="G213" s="166">
        <f t="shared" si="71"/>
        <v>-30820</v>
      </c>
      <c r="H213" s="166">
        <f t="shared" si="71"/>
        <v>0</v>
      </c>
      <c r="I213" s="166">
        <f t="shared" si="71"/>
        <v>3174765</v>
      </c>
      <c r="J213" s="167">
        <f>IF($I$213=0,0,I213/$I$213)</f>
        <v>1</v>
      </c>
      <c r="K213" s="458"/>
      <c r="L213" s="176">
        <f>SUM(L30:L205)</f>
        <v>76539.27</v>
      </c>
      <c r="M213" s="176">
        <f>SUM(M30:M205)</f>
        <v>81560.98</v>
      </c>
      <c r="O213" s="329">
        <f>I213/I$233</f>
        <v>476.61987689536107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'[83]Sch C'!D221</f>
        <v>3219166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-78147</v>
      </c>
      <c r="D220" s="480">
        <f t="shared" si="72"/>
        <v>-23147</v>
      </c>
      <c r="E220" s="480">
        <f t="shared" si="72"/>
        <v>36728</v>
      </c>
      <c r="F220" s="166">
        <f t="shared" ref="F220:I220" si="73">F26-F213</f>
        <v>-64566</v>
      </c>
      <c r="G220" s="166">
        <f t="shared" si="73"/>
        <v>26980</v>
      </c>
      <c r="H220" s="166">
        <f t="shared" si="73"/>
        <v>0</v>
      </c>
      <c r="I220" s="166">
        <f t="shared" si="73"/>
        <v>-37586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'[83]Sch D'!C9</f>
        <v>451</v>
      </c>
      <c r="D224" s="480"/>
      <c r="E224" s="480"/>
      <c r="F224" s="224">
        <f>C224+D224+E224</f>
        <v>451</v>
      </c>
      <c r="G224" s="627"/>
      <c r="H224" s="223"/>
      <c r="I224" s="224">
        <f>F224+G224+H224</f>
        <v>451</v>
      </c>
      <c r="J224" s="167">
        <f t="shared" ref="J224:J233" si="74">IF($I$233=0,0,I224/$I$233)</f>
        <v>6.7707551418705894E-2</v>
      </c>
      <c r="K224" s="458"/>
      <c r="L224" s="163"/>
      <c r="M224" s="163"/>
    </row>
    <row r="225" spans="1:13">
      <c r="A225" s="158"/>
      <c r="B225" s="165" t="s">
        <v>201</v>
      </c>
      <c r="C225" s="504">
        <f>'[83]Sch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'[83]Sch D'!E9</f>
        <v>3756</v>
      </c>
      <c r="D226" s="480"/>
      <c r="E226" s="480"/>
      <c r="F226" s="224">
        <f t="shared" si="75"/>
        <v>3756</v>
      </c>
      <c r="G226" s="627"/>
      <c r="H226" s="223"/>
      <c r="I226" s="224">
        <f t="shared" si="76"/>
        <v>3756</v>
      </c>
      <c r="J226" s="167">
        <f t="shared" si="74"/>
        <v>0.56387929740279241</v>
      </c>
      <c r="K226" s="458"/>
      <c r="L226" s="163"/>
      <c r="M226" s="163"/>
    </row>
    <row r="227" spans="1:13">
      <c r="A227" s="158"/>
      <c r="B227" s="194" t="s">
        <v>315</v>
      </c>
      <c r="C227" s="504">
        <f>'[83]Sch D'!F9</f>
        <v>1641</v>
      </c>
      <c r="D227" s="480"/>
      <c r="E227" s="480"/>
      <c r="F227" s="224">
        <f t="shared" si="75"/>
        <v>1641</v>
      </c>
      <c r="G227" s="627"/>
      <c r="H227" s="223"/>
      <c r="I227" s="224">
        <f t="shared" si="76"/>
        <v>1641</v>
      </c>
      <c r="J227" s="167">
        <f t="shared" si="74"/>
        <v>0.24635940549467047</v>
      </c>
      <c r="K227" s="458"/>
      <c r="L227" s="163"/>
      <c r="M227" s="163"/>
    </row>
    <row r="228" spans="1:13">
      <c r="A228" s="158"/>
      <c r="B228" s="165" t="s">
        <v>65</v>
      </c>
      <c r="C228" s="504">
        <f>'[83]Sch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'[83]Sch D'!H9</f>
        <v>633</v>
      </c>
      <c r="D229" s="480"/>
      <c r="E229" s="480"/>
      <c r="F229" s="224">
        <f t="shared" si="75"/>
        <v>633</v>
      </c>
      <c r="G229" s="627"/>
      <c r="H229" s="223"/>
      <c r="I229" s="224">
        <f t="shared" si="76"/>
        <v>633</v>
      </c>
      <c r="J229" s="167">
        <f t="shared" si="74"/>
        <v>9.5030776159735778E-2</v>
      </c>
      <c r="K229" s="458"/>
      <c r="L229" s="163"/>
      <c r="M229" s="163"/>
    </row>
    <row r="230" spans="1:13">
      <c r="A230" s="158"/>
      <c r="B230" s="165" t="s">
        <v>219</v>
      </c>
      <c r="C230" s="504">
        <f>'[83]Sch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'[83]Sch D'!J9</f>
        <v>180</v>
      </c>
      <c r="D231" s="480"/>
      <c r="E231" s="480"/>
      <c r="F231" s="224">
        <f t="shared" si="75"/>
        <v>180</v>
      </c>
      <c r="G231" s="627"/>
      <c r="H231" s="223"/>
      <c r="I231" s="224">
        <f t="shared" si="76"/>
        <v>180</v>
      </c>
      <c r="J231" s="167">
        <f>IF($I$233=0,0,I231/$I$233)</f>
        <v>2.702296952409548E-2</v>
      </c>
      <c r="K231" s="458"/>
      <c r="L231" s="163"/>
      <c r="M231" s="163"/>
    </row>
    <row r="232" spans="1:13">
      <c r="A232" s="158"/>
      <c r="B232" s="165" t="s">
        <v>170</v>
      </c>
      <c r="C232" s="504">
        <f>'[83]Sch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6661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6661</v>
      </c>
      <c r="G233" s="226">
        <f t="shared" si="78"/>
        <v>0</v>
      </c>
      <c r="H233" s="226">
        <f t="shared" si="78"/>
        <v>0</v>
      </c>
      <c r="I233" s="226">
        <f t="shared" si="78"/>
        <v>6661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'[83]Sch D'!N22</f>
        <v>52</v>
      </c>
      <c r="D236" s="480"/>
      <c r="E236" s="480"/>
      <c r="F236" s="224">
        <f>C236+E236</f>
        <v>52</v>
      </c>
      <c r="G236" s="627"/>
      <c r="H236" s="224"/>
      <c r="I236" s="224">
        <f>F236+G236+H236</f>
        <v>52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'[83]Sch D'!N24</f>
        <v>52</v>
      </c>
      <c r="D237" s="480"/>
      <c r="E237" s="480"/>
      <c r="F237" s="224">
        <f>C237+E237</f>
        <v>52</v>
      </c>
      <c r="G237" s="627"/>
      <c r="H237" s="224"/>
      <c r="I237" s="224">
        <f>F237+G237+H237</f>
        <v>52</v>
      </c>
      <c r="J237" s="455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163</v>
      </c>
      <c r="D238" s="427"/>
      <c r="E238" s="427"/>
      <c r="F238" s="224">
        <f>C238+E238</f>
        <v>163</v>
      </c>
      <c r="G238" s="627"/>
      <c r="H238" s="228"/>
      <c r="I238" s="224">
        <f>F238+G238+H238</f>
        <v>163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'[83]Sch D'!N28</f>
        <v>8476</v>
      </c>
      <c r="D240" s="427"/>
      <c r="E240" s="427"/>
      <c r="F240" s="223">
        <f>F236*F238</f>
        <v>8476</v>
      </c>
      <c r="G240"/>
      <c r="H240" s="228"/>
      <c r="I240" s="223">
        <f>I236*I238</f>
        <v>8476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'[83]Sch D'!N30</f>
        <v>0.78586597451628126</v>
      </c>
      <c r="D241" s="228"/>
      <c r="E241" s="228"/>
      <c r="F241" s="232">
        <f>F233/F240</f>
        <v>0.78586597451628126</v>
      </c>
      <c r="G241"/>
      <c r="H241" s="233"/>
      <c r="I241" s="232">
        <f>I233/I240</f>
        <v>0.78586597451628126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'[83]Sch D'!N32</f>
        <v>5.3209060877772538E-2</v>
      </c>
      <c r="D242" s="228"/>
      <c r="E242" s="228"/>
      <c r="F242" s="232">
        <f>(F224+F225)/F240</f>
        <v>5.3209060877772538E-2</v>
      </c>
      <c r="G242"/>
      <c r="H242" s="233"/>
      <c r="I242" s="232">
        <f>(I224+I225)/I240</f>
        <v>5.3209060877772538E-2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'[83]Sch D'!N34</f>
        <v>6.7707551418705908E-2</v>
      </c>
      <c r="D243" s="228"/>
      <c r="E243" s="228"/>
      <c r="F243" s="232">
        <f>(F242/F241)</f>
        <v>6.7707551418705908E-2</v>
      </c>
      <c r="G243"/>
      <c r="H243" s="233"/>
      <c r="I243" s="232">
        <f>(I242/I241)</f>
        <v>6.7707551418705908E-2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'[83]Sch B'!C90</f>
        <v>354.75671406003158</v>
      </c>
      <c r="K246" s="460"/>
    </row>
    <row r="247" spans="1:13">
      <c r="B247" s="456"/>
      <c r="H247" s="140" t="s">
        <v>322</v>
      </c>
      <c r="I247" s="480">
        <f>'[83]Sch B'!E90</f>
        <v>354.75671406003158</v>
      </c>
      <c r="K247" s="460"/>
    </row>
    <row r="248" spans="1:13">
      <c r="B248" s="411"/>
      <c r="H248" s="140" t="s">
        <v>323</v>
      </c>
      <c r="I248" s="480"/>
      <c r="K248" s="460"/>
    </row>
    <row r="249" spans="1:13">
      <c r="H249" s="140" t="s">
        <v>324</v>
      </c>
      <c r="I249" s="480"/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E28CAB"/>
  </sheetPr>
  <dimension ref="A1:Q277"/>
  <sheetViews>
    <sheetView showGridLines="0" topLeftCell="B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335</v>
      </c>
      <c r="D2" s="234"/>
      <c r="E2" s="545" t="s">
        <v>644</v>
      </c>
      <c r="F2" s="142"/>
      <c r="G2" s="142"/>
    </row>
    <row r="3" spans="1:16">
      <c r="A3" s="143"/>
      <c r="B3" s="138" t="s">
        <v>71</v>
      </c>
      <c r="C3" s="557">
        <f>'[9]Sch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'[9]Sch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'[9]Sch B'!E10</f>
        <v>2725175</v>
      </c>
      <c r="D12" s="480">
        <f>'[9]Sch B'!G10</f>
        <v>-37990</v>
      </c>
      <c r="E12" s="480"/>
      <c r="F12" s="166">
        <f>C12+D12+E12</f>
        <v>2687185</v>
      </c>
      <c r="G12" s="626"/>
      <c r="H12" s="166"/>
      <c r="I12" s="166">
        <f>F12+G12+H12</f>
        <v>2687185</v>
      </c>
      <c r="J12" s="167">
        <f>IF($I$26=0,0,I12/$I$26)</f>
        <v>0.6035438860968515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'[9]Sch B'!E12</f>
        <v>0</v>
      </c>
      <c r="D13" s="480">
        <f>'[9]Sch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'[9]Sch B'!E13</f>
        <v>288755</v>
      </c>
      <c r="D14" s="480">
        <f>'[9]Sch B'!G13</f>
        <v>0</v>
      </c>
      <c r="E14" s="480"/>
      <c r="F14" s="166">
        <f t="shared" si="0"/>
        <v>288755</v>
      </c>
      <c r="G14" s="626"/>
      <c r="H14" s="166"/>
      <c r="I14" s="166">
        <f t="shared" si="1"/>
        <v>288755</v>
      </c>
      <c r="J14" s="167">
        <f>IF($I$26=0,0,I14/$I$26)</f>
        <v>6.4854602429641556E-2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'[9]Sch B'!E14</f>
        <v>0</v>
      </c>
      <c r="D15" s="480">
        <f>'[9]Sch B'!G14</f>
        <v>0</v>
      </c>
      <c r="E15" s="480"/>
      <c r="F15" s="166">
        <f t="shared" si="0"/>
        <v>0</v>
      </c>
      <c r="G15" s="626">
        <v>52948.800000000003</v>
      </c>
      <c r="H15" s="166"/>
      <c r="I15" s="166">
        <f t="shared" si="1"/>
        <v>52948.800000000003</v>
      </c>
      <c r="J15" s="167">
        <f>IF($I$26=0,0,I15/$I$26)</f>
        <v>1.1892342550351006E-2</v>
      </c>
      <c r="K15" s="458" t="s">
        <v>647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'[9]Sch B'!E15</f>
        <v>3013930</v>
      </c>
      <c r="D16" s="480">
        <f>'[9]Sch B'!G15</f>
        <v>-37990</v>
      </c>
      <c r="E16" s="480"/>
      <c r="F16" s="166">
        <f t="shared" si="0"/>
        <v>2975940</v>
      </c>
      <c r="G16" s="626"/>
      <c r="H16" s="166"/>
      <c r="I16" s="166">
        <f>SUM(I12:I15)</f>
        <v>3028888.8</v>
      </c>
      <c r="J16" s="167">
        <f t="shared" ref="J16:J26" si="2">IF($I$26=0,0,I16/$I$26)</f>
        <v>0.68029083107684396</v>
      </c>
      <c r="K16" s="458"/>
      <c r="L16" s="333" t="s">
        <v>325</v>
      </c>
      <c r="M16" s="334">
        <f>I26</f>
        <v>4452344</v>
      </c>
      <c r="O16" s="324">
        <f>IFERROR(I16/I224,0)</f>
        <v>175.72018332656495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'[9]Sch B'!E20</f>
        <v>0</v>
      </c>
      <c r="D17" s="480">
        <f>'[9]Sch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6191308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'[9]Sch B'!E26</f>
        <v>893565</v>
      </c>
      <c r="D18" s="480">
        <f>'[9]Sch B'!G26</f>
        <v>0</v>
      </c>
      <c r="E18" s="480"/>
      <c r="F18" s="166">
        <f t="shared" si="0"/>
        <v>893565</v>
      </c>
      <c r="G18" s="626"/>
      <c r="H18" s="166"/>
      <c r="I18" s="166">
        <f t="shared" si="1"/>
        <v>893565</v>
      </c>
      <c r="J18" s="167">
        <f t="shared" si="2"/>
        <v>0.20069540898007882</v>
      </c>
      <c r="K18" s="458"/>
      <c r="L18" s="335" t="s">
        <v>327</v>
      </c>
      <c r="M18" s="336">
        <f>I233</f>
        <v>21713</v>
      </c>
      <c r="O18" s="324">
        <f t="shared" si="3"/>
        <v>547.19228413962037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'[9]Sch B'!E32</f>
        <v>83369</v>
      </c>
      <c r="D19" s="480">
        <f>'[9]Sch B'!G32</f>
        <v>0</v>
      </c>
      <c r="E19" s="480"/>
      <c r="F19" s="166">
        <f t="shared" si="0"/>
        <v>83369</v>
      </c>
      <c r="G19" s="626"/>
      <c r="H19" s="166"/>
      <c r="I19" s="166">
        <f t="shared" si="1"/>
        <v>83369</v>
      </c>
      <c r="J19" s="170">
        <f t="shared" si="2"/>
        <v>1.8724743640653102E-2</v>
      </c>
      <c r="K19" s="464"/>
      <c r="L19" s="335" t="s">
        <v>328</v>
      </c>
      <c r="M19" s="336">
        <f>I236</f>
        <v>90</v>
      </c>
      <c r="O19" s="324">
        <f t="shared" si="3"/>
        <v>868.42708333333337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'[9]Sch B'!E37</f>
        <v>0</v>
      </c>
      <c r="D20" s="480">
        <f>'[9]Sch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32850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'[9]Sch B'!E42</f>
        <v>8178</v>
      </c>
      <c r="D21" s="480">
        <f>'[9]Sch B'!G42</f>
        <v>37990</v>
      </c>
      <c r="E21" s="480"/>
      <c r="F21" s="166">
        <f t="shared" si="0"/>
        <v>46168</v>
      </c>
      <c r="G21" s="626"/>
      <c r="H21" s="166"/>
      <c r="I21" s="166">
        <f t="shared" si="1"/>
        <v>46168</v>
      </c>
      <c r="J21" s="167">
        <f t="shared" si="2"/>
        <v>1.0369369482681481E-2</v>
      </c>
      <c r="K21" s="458"/>
      <c r="L21" s="337"/>
      <c r="M21" s="336"/>
      <c r="O21" s="324">
        <f t="shared" si="3"/>
        <v>161.42657342657341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'[9]Sch B'!E47</f>
        <v>296837</v>
      </c>
      <c r="D22" s="480">
        <f>'[9]Sch B'!G47</f>
        <v>0</v>
      </c>
      <c r="E22" s="480"/>
      <c r="F22" s="166">
        <f t="shared" si="0"/>
        <v>296837</v>
      </c>
      <c r="G22" s="626"/>
      <c r="H22" s="166"/>
      <c r="I22" s="166">
        <f t="shared" si="1"/>
        <v>296837</v>
      </c>
      <c r="J22" s="167">
        <f t="shared" si="2"/>
        <v>6.6669826051176634E-2</v>
      </c>
      <c r="K22" s="458"/>
      <c r="L22" s="335" t="s">
        <v>148</v>
      </c>
      <c r="M22" s="336">
        <f>L213</f>
        <v>146477</v>
      </c>
      <c r="O22" s="324">
        <f t="shared" si="3"/>
        <v>176.37373737373738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'[9]Sch B'!E52</f>
        <v>0</v>
      </c>
      <c r="D23" s="480">
        <f>'[9]Sch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151234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'[9]Sch B'!E57</f>
        <v>99126</v>
      </c>
      <c r="D24" s="480">
        <f>'[9]Sch B'!G57</f>
        <v>0</v>
      </c>
      <c r="E24" s="480"/>
      <c r="F24" s="166">
        <f t="shared" si="0"/>
        <v>99126</v>
      </c>
      <c r="G24" s="626"/>
      <c r="H24" s="166"/>
      <c r="I24" s="166">
        <f t="shared" si="1"/>
        <v>99126</v>
      </c>
      <c r="J24" s="167">
        <f t="shared" si="2"/>
        <v>2.2263778360342327E-2</v>
      </c>
      <c r="K24" s="458"/>
      <c r="L24" s="163"/>
      <c r="M24" s="163"/>
      <c r="O24" s="324">
        <f t="shared" si="3"/>
        <v>127.41131105398458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'[9]Sch B'!E72</f>
        <v>68226</v>
      </c>
      <c r="D25" s="480">
        <f>'[9]Sch B'!G72</f>
        <v>-10887</v>
      </c>
      <c r="E25" s="480"/>
      <c r="F25" s="166">
        <f t="shared" si="0"/>
        <v>57339</v>
      </c>
      <c r="G25" s="626">
        <v>-52948.800000000003</v>
      </c>
      <c r="H25" s="166"/>
      <c r="I25" s="166">
        <f t="shared" si="1"/>
        <v>4390.1999999999971</v>
      </c>
      <c r="J25" s="167">
        <f t="shared" si="2"/>
        <v>9.8604240822362278E-4</v>
      </c>
      <c r="K25" s="458" t="s">
        <v>647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4463231</v>
      </c>
      <c r="D26" s="480">
        <f t="shared" ref="D26:F26" si="4">SUM(D16:D25)</f>
        <v>-10887</v>
      </c>
      <c r="E26" s="480">
        <f t="shared" si="4"/>
        <v>0</v>
      </c>
      <c r="F26" s="166">
        <f t="shared" si="4"/>
        <v>4452344</v>
      </c>
      <c r="G26" s="166">
        <f>SUM(G12:G25)</f>
        <v>0</v>
      </c>
      <c r="H26" s="166">
        <f>SUM(H12:H25)</f>
        <v>0</v>
      </c>
      <c r="I26" s="166">
        <f>SUM(I16:I25)</f>
        <v>4452344</v>
      </c>
      <c r="J26" s="167">
        <f t="shared" si="2"/>
        <v>1</v>
      </c>
      <c r="K26" s="458"/>
      <c r="L26" s="163"/>
      <c r="M26" s="163"/>
      <c r="O26" s="324">
        <f>IFERROR(I26/I233,0)</f>
        <v>205.05429926771981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'[9]Sch C'!D10</f>
        <v>0</v>
      </c>
      <c r="D30" s="480">
        <f>'[9]Sch C'!F10</f>
        <v>82367</v>
      </c>
      <c r="E30" s="480">
        <f>+'[9]Sch C'!H10</f>
        <v>0</v>
      </c>
      <c r="F30" s="166">
        <f t="shared" ref="F30:F65" si="5">C30+D30+E30</f>
        <v>82367</v>
      </c>
      <c r="G30" s="626"/>
      <c r="H30" s="166"/>
      <c r="I30" s="166">
        <f t="shared" ref="I30:I65" si="6">F30+G30+H30</f>
        <v>82367</v>
      </c>
      <c r="J30" s="167">
        <f>IF($I$213=0,0,I30/$I$213)</f>
        <v>1.3303650860205954E-2</v>
      </c>
      <c r="K30" s="458"/>
      <c r="L30" s="176">
        <v>1399</v>
      </c>
      <c r="M30" s="176">
        <v>1583</v>
      </c>
      <c r="O30" s="324">
        <f>I30/I$233</f>
        <v>3.7934417169437662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'[9]Sch C'!D11</f>
        <v>0</v>
      </c>
      <c r="D31" s="480">
        <f>'[9]Sch C'!F11</f>
        <v>0</v>
      </c>
      <c r="E31" s="480">
        <f>+'[9]Sch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'[9]Sch C'!D12</f>
        <v>209404</v>
      </c>
      <c r="D32" s="480">
        <f>'[9]Sch C'!F12</f>
        <v>-82367</v>
      </c>
      <c r="E32" s="480">
        <f>+'[9]Sch C'!H12</f>
        <v>0</v>
      </c>
      <c r="F32" s="166">
        <f t="shared" si="5"/>
        <v>127037</v>
      </c>
      <c r="G32" s="626"/>
      <c r="H32" s="166"/>
      <c r="I32" s="166">
        <f t="shared" si="6"/>
        <v>127037</v>
      </c>
      <c r="J32" s="167">
        <f t="shared" si="7"/>
        <v>2.0518604469362531E-2</v>
      </c>
      <c r="K32" s="458"/>
      <c r="L32" s="176">
        <v>6684</v>
      </c>
      <c r="M32" s="176">
        <v>6998</v>
      </c>
      <c r="O32" s="324">
        <f t="shared" si="8"/>
        <v>5.8507345829687285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'[9]Sch C'!D13</f>
        <v>38370</v>
      </c>
      <c r="D33" s="480">
        <f>'[9]Sch C'!F13</f>
        <v>0</v>
      </c>
      <c r="E33" s="480">
        <f>+'[9]Sch C'!H13</f>
        <v>0</v>
      </c>
      <c r="F33" s="166">
        <f t="shared" si="5"/>
        <v>38370</v>
      </c>
      <c r="G33" s="626"/>
      <c r="H33" s="166"/>
      <c r="I33" s="166">
        <f t="shared" si="6"/>
        <v>38370</v>
      </c>
      <c r="J33" s="167">
        <f t="shared" si="7"/>
        <v>6.1973980296247582E-3</v>
      </c>
      <c r="K33" s="458"/>
      <c r="L33" s="163"/>
      <c r="M33" s="163"/>
      <c r="O33" s="324">
        <f t="shared" si="8"/>
        <v>1.7671441072168748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'[9]Sch C'!D14</f>
        <v>0</v>
      </c>
      <c r="D34" s="480">
        <f>'[9]Sch C'!F14</f>
        <v>0</v>
      </c>
      <c r="E34" s="480">
        <f>+'[9]Sch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'[9]Sch C'!D15</f>
        <v>0</v>
      </c>
      <c r="D35" s="480">
        <f>'[9]Sch C'!F15</f>
        <v>0</v>
      </c>
      <c r="E35" s="480">
        <f>+'[9]Sch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'[9]Sch C'!D16</f>
        <v>223221</v>
      </c>
      <c r="D36" s="480">
        <f>'[9]Sch C'!F16</f>
        <v>0</v>
      </c>
      <c r="E36" s="480">
        <f>+'[9]Sch C'!H16</f>
        <v>92060</v>
      </c>
      <c r="F36" s="166">
        <f t="shared" si="5"/>
        <v>315281</v>
      </c>
      <c r="G36" s="626"/>
      <c r="H36" s="166"/>
      <c r="I36" s="166">
        <f t="shared" si="6"/>
        <v>315281</v>
      </c>
      <c r="J36" s="167">
        <f t="shared" si="7"/>
        <v>5.0923165185773347E-2</v>
      </c>
      <c r="K36" s="458"/>
      <c r="L36" s="163"/>
      <c r="M36" s="163"/>
      <c r="O36" s="324">
        <f t="shared" si="8"/>
        <v>14.520379496154378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'[9]Sch C'!D17</f>
        <v>212</v>
      </c>
      <c r="D37" s="480">
        <f>'[9]Sch C'!F17</f>
        <v>-212</v>
      </c>
      <c r="E37" s="480">
        <f>+'[9]Sch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'[9]Sch C'!D18</f>
        <v>6013</v>
      </c>
      <c r="D38" s="480">
        <f>'[9]Sch C'!F18</f>
        <v>0</v>
      </c>
      <c r="E38" s="480">
        <f>+'[9]Sch C'!H18</f>
        <v>0</v>
      </c>
      <c r="F38" s="166">
        <f t="shared" si="5"/>
        <v>6013</v>
      </c>
      <c r="G38" s="626"/>
      <c r="H38" s="166"/>
      <c r="I38" s="166">
        <f t="shared" si="6"/>
        <v>6013</v>
      </c>
      <c r="J38" s="167">
        <f t="shared" si="7"/>
        <v>9.7120026979759363E-4</v>
      </c>
      <c r="K38" s="458"/>
      <c r="L38" s="163"/>
      <c r="M38" s="163"/>
      <c r="O38" s="324">
        <f t="shared" si="8"/>
        <v>0.27693087090683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'[9]Sch C'!D19</f>
        <v>12476</v>
      </c>
      <c r="D39" s="480">
        <f>'[9]Sch C'!F19</f>
        <v>0</v>
      </c>
      <c r="E39" s="480">
        <f>+'[9]Sch C'!H19</f>
        <v>0</v>
      </c>
      <c r="F39" s="166">
        <f t="shared" si="5"/>
        <v>12476</v>
      </c>
      <c r="G39" s="626"/>
      <c r="H39" s="166"/>
      <c r="I39" s="166">
        <f t="shared" si="6"/>
        <v>12476</v>
      </c>
      <c r="J39" s="167">
        <f t="shared" si="7"/>
        <v>2.0150830809903173E-3</v>
      </c>
      <c r="K39" s="458"/>
      <c r="L39" s="163"/>
      <c r="M39" s="163"/>
      <c r="O39" s="324">
        <f t="shared" si="8"/>
        <v>0.57458665315709478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'[9]Sch C'!D20</f>
        <v>15654</v>
      </c>
      <c r="D40" s="480">
        <f>'[9]Sch C'!F20</f>
        <v>0</v>
      </c>
      <c r="E40" s="480">
        <f>+'[9]Sch C'!H20</f>
        <v>0</v>
      </c>
      <c r="F40" s="166">
        <f t="shared" si="5"/>
        <v>15654</v>
      </c>
      <c r="G40" s="626"/>
      <c r="H40" s="166"/>
      <c r="I40" s="166">
        <f t="shared" si="6"/>
        <v>15654</v>
      </c>
      <c r="J40" s="167">
        <f t="shared" si="7"/>
        <v>2.5283833399985917E-3</v>
      </c>
      <c r="K40" s="458"/>
      <c r="L40" s="163"/>
      <c r="M40" s="163"/>
      <c r="O40" s="324">
        <f t="shared" si="8"/>
        <v>0.72095058260028555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'[9]Sch C'!D21</f>
        <v>35203</v>
      </c>
      <c r="D41" s="480">
        <f>'[9]Sch C'!F21</f>
        <v>0</v>
      </c>
      <c r="E41" s="480">
        <f>+'[9]Sch C'!H21</f>
        <v>0</v>
      </c>
      <c r="F41" s="166">
        <f t="shared" si="5"/>
        <v>35203</v>
      </c>
      <c r="G41" s="626"/>
      <c r="H41" s="166"/>
      <c r="I41" s="166">
        <f t="shared" si="6"/>
        <v>35203</v>
      </c>
      <c r="J41" s="167">
        <f t="shared" si="7"/>
        <v>5.6858744549616981E-3</v>
      </c>
      <c r="K41" s="458"/>
      <c r="L41" s="163"/>
      <c r="M41" s="163"/>
      <c r="O41" s="324">
        <f t="shared" si="8"/>
        <v>1.6212867867176346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'[9]Sch C'!D22</f>
        <v>0</v>
      </c>
      <c r="D42" s="480">
        <f>'[9]Sch C'!F22</f>
        <v>0</v>
      </c>
      <c r="E42" s="480">
        <f>+'[9]Sch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'[9]Sch C'!D23</f>
        <v>28638</v>
      </c>
      <c r="D43" s="480">
        <f>'[9]Sch C'!F23</f>
        <v>0</v>
      </c>
      <c r="E43" s="480">
        <f>+'[9]Sch C'!H23</f>
        <v>0</v>
      </c>
      <c r="F43" s="166">
        <f t="shared" si="5"/>
        <v>28638</v>
      </c>
      <c r="G43" s="626"/>
      <c r="H43" s="166"/>
      <c r="I43" s="166">
        <f t="shared" si="6"/>
        <v>28638</v>
      </c>
      <c r="J43" s="167">
        <f t="shared" si="7"/>
        <v>4.6255169343860777E-3</v>
      </c>
      <c r="K43" s="458"/>
      <c r="L43" s="163"/>
      <c r="M43" s="163"/>
      <c r="O43" s="324">
        <f t="shared" si="8"/>
        <v>1.3189333578961913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'[9]Sch C'!D24</f>
        <v>26165</v>
      </c>
      <c r="D44" s="480">
        <f>'[9]Sch C'!F24</f>
        <v>0</v>
      </c>
      <c r="E44" s="480">
        <f>+'[9]Sch C'!H24</f>
        <v>0</v>
      </c>
      <c r="F44" s="166">
        <f t="shared" si="5"/>
        <v>26165</v>
      </c>
      <c r="G44" s="626"/>
      <c r="H44" s="166"/>
      <c r="I44" s="166">
        <f t="shared" si="6"/>
        <v>26165</v>
      </c>
      <c r="J44" s="167">
        <f t="shared" si="7"/>
        <v>4.226085990230174E-3</v>
      </c>
      <c r="K44" s="458"/>
      <c r="L44" s="163"/>
      <c r="M44" s="163"/>
      <c r="O44" s="324">
        <f t="shared" si="8"/>
        <v>1.2050384562243817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'[9]Sch C'!D25</f>
        <v>2659</v>
      </c>
      <c r="D45" s="480">
        <f>'[9]Sch C'!F25</f>
        <v>0</v>
      </c>
      <c r="E45" s="480">
        <f>+'[9]Sch C'!H25</f>
        <v>0</v>
      </c>
      <c r="F45" s="166">
        <f t="shared" si="5"/>
        <v>2659</v>
      </c>
      <c r="G45" s="626"/>
      <c r="H45" s="166"/>
      <c r="I45" s="166">
        <f t="shared" si="6"/>
        <v>2659</v>
      </c>
      <c r="J45" s="167">
        <f t="shared" si="7"/>
        <v>4.2947306126589084E-4</v>
      </c>
      <c r="K45" s="458"/>
      <c r="L45" s="163"/>
      <c r="M45" s="163"/>
      <c r="O45" s="324">
        <f t="shared" si="8"/>
        <v>0.12246119836042924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'[9]Sch C'!D26</f>
        <v>419957</v>
      </c>
      <c r="D46" s="480">
        <f>'[9]Sch C'!F26</f>
        <v>0</v>
      </c>
      <c r="E46" s="480">
        <f>+'[9]Sch C'!H26</f>
        <v>0</v>
      </c>
      <c r="F46" s="166">
        <f t="shared" si="5"/>
        <v>419957</v>
      </c>
      <c r="G46" s="626"/>
      <c r="H46" s="166"/>
      <c r="I46" s="166">
        <f t="shared" si="6"/>
        <v>419957</v>
      </c>
      <c r="J46" s="167">
        <f t="shared" si="7"/>
        <v>6.7830093414832537E-2</v>
      </c>
      <c r="K46" s="458"/>
      <c r="L46" s="163"/>
      <c r="M46" s="163"/>
      <c r="O46" s="324">
        <f t="shared" si="8"/>
        <v>19.341270206788561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'[9]Sch C'!D27</f>
        <v>0</v>
      </c>
      <c r="D47" s="480">
        <f>'[9]Sch C'!F27</f>
        <v>0</v>
      </c>
      <c r="E47" s="480">
        <f>+'[9]Sch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'[9]Sch C'!D28</f>
        <v>0</v>
      </c>
      <c r="D48" s="480">
        <f>'[9]Sch C'!F28</f>
        <v>0</v>
      </c>
      <c r="E48" s="480">
        <f>+'[9]Sch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'[9]Sch C'!D29</f>
        <v>146179</v>
      </c>
      <c r="D49" s="480">
        <f>'[9]Sch C'!F29</f>
        <v>-146179</v>
      </c>
      <c r="E49" s="480">
        <f>+'[9]Sch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'[9]Sch C'!D30</f>
        <v>0</v>
      </c>
      <c r="D50" s="480">
        <f>'[9]Sch C'!F30</f>
        <v>0</v>
      </c>
      <c r="E50" s="480">
        <f>+'[9]Sch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'[9]Sch C'!D31</f>
        <v>0</v>
      </c>
      <c r="D51" s="480">
        <f>'[9]Sch C'!F31</f>
        <v>0</v>
      </c>
      <c r="E51" s="480">
        <f>+'[9]Sch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'[9]Sch C'!D32</f>
        <v>60218</v>
      </c>
      <c r="D52" s="480">
        <f>'[9]Sch C'!F32</f>
        <v>0</v>
      </c>
      <c r="E52" s="480">
        <f>+'[9]Sch C'!H32</f>
        <v>0</v>
      </c>
      <c r="F52" s="166">
        <f t="shared" si="5"/>
        <v>60218</v>
      </c>
      <c r="G52" s="626"/>
      <c r="H52" s="166"/>
      <c r="I52" s="166">
        <f t="shared" si="6"/>
        <v>60218</v>
      </c>
      <c r="J52" s="167">
        <f t="shared" si="7"/>
        <v>9.7262161727376516E-3</v>
      </c>
      <c r="K52" s="458"/>
      <c r="L52" s="163"/>
      <c r="M52" s="163"/>
      <c r="O52" s="324">
        <f t="shared" si="8"/>
        <v>2.773361580619905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'[9]Sch C'!D33</f>
        <v>0</v>
      </c>
      <c r="D53" s="480">
        <f>'[9]Sch C'!F33</f>
        <v>0</v>
      </c>
      <c r="E53" s="480">
        <f>+'[9]Sch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'[9]Sch C'!D34</f>
        <v>318</v>
      </c>
      <c r="D54" s="480">
        <f>'[9]Sch C'!F34</f>
        <v>0</v>
      </c>
      <c r="E54" s="480">
        <f>+'[9]Sch C'!H34</f>
        <v>0</v>
      </c>
      <c r="F54" s="166">
        <f t="shared" si="5"/>
        <v>318</v>
      </c>
      <c r="G54" s="626"/>
      <c r="H54" s="166"/>
      <c r="I54" s="166">
        <f t="shared" si="6"/>
        <v>318</v>
      </c>
      <c r="J54" s="167">
        <f t="shared" si="7"/>
        <v>5.1362329252558588E-5</v>
      </c>
      <c r="K54" s="458"/>
      <c r="L54" s="163"/>
      <c r="M54" s="163"/>
      <c r="O54" s="324">
        <f t="shared" si="8"/>
        <v>1.4645604016027264E-2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'[9]Sch C'!D35</f>
        <v>-10056</v>
      </c>
      <c r="D55" s="480">
        <f>'[9]Sch C'!F35</f>
        <v>10056</v>
      </c>
      <c r="E55" s="480">
        <f>+'[9]Sch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'[9]Sch C'!D36</f>
        <v>0</v>
      </c>
      <c r="D56" s="480">
        <f>'[9]Sch C'!F36</f>
        <v>0</v>
      </c>
      <c r="E56" s="480">
        <f>+'[9]Sch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'[9]Sch C'!D37</f>
        <v>0</v>
      </c>
      <c r="D57" s="480">
        <f>'[9]Sch C'!F37</f>
        <v>0</v>
      </c>
      <c r="E57" s="480">
        <f>+'[9]Sch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'[9]Sch C'!D38</f>
        <v>647</v>
      </c>
      <c r="D58" s="480">
        <f>'[9]Sch C'!F38</f>
        <v>-647</v>
      </c>
      <c r="E58" s="480">
        <f>+'[9]Sch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'[9]Sch C'!D39</f>
        <v>13837</v>
      </c>
      <c r="D59" s="480">
        <f>'[9]Sch C'!F39</f>
        <v>0</v>
      </c>
      <c r="E59" s="480">
        <f>+'[9]Sch C'!H39</f>
        <v>0</v>
      </c>
      <c r="F59" s="166">
        <f t="shared" si="5"/>
        <v>13837</v>
      </c>
      <c r="G59" s="626"/>
      <c r="H59" s="166"/>
      <c r="I59" s="166">
        <f t="shared" si="6"/>
        <v>13837</v>
      </c>
      <c r="J59" s="167">
        <f t="shared" si="7"/>
        <v>2.234907389520922E-3</v>
      </c>
      <c r="K59" s="458"/>
      <c r="L59" s="163"/>
      <c r="M59" s="163"/>
      <c r="O59" s="324">
        <f t="shared" si="8"/>
        <v>0.63726799613134988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'[9]Sch C'!D40</f>
        <v>1846</v>
      </c>
      <c r="D60" s="480">
        <f>'[9]Sch C'!F40</f>
        <v>-1846</v>
      </c>
      <c r="E60" s="480">
        <f>+'[9]Sch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'[9]Sch C'!D41</f>
        <v>168313</v>
      </c>
      <c r="D61" s="480">
        <f>'[9]Sch C'!F41</f>
        <v>0</v>
      </c>
      <c r="E61" s="480">
        <f>+'[9]Sch C'!H41</f>
        <v>-4264</v>
      </c>
      <c r="F61" s="166">
        <f t="shared" si="5"/>
        <v>164049</v>
      </c>
      <c r="G61" s="626"/>
      <c r="H61" s="166"/>
      <c r="I61" s="166">
        <f t="shared" si="6"/>
        <v>164049</v>
      </c>
      <c r="J61" s="167">
        <f t="shared" si="7"/>
        <v>2.6496662740732653E-2</v>
      </c>
      <c r="K61" s="458"/>
      <c r="L61" s="163"/>
      <c r="M61" s="163"/>
      <c r="O61" s="324">
        <f t="shared" si="8"/>
        <v>7.5553355132869706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'[9]Sch C'!D42</f>
        <v>40</v>
      </c>
      <c r="D62" s="480">
        <f>'[9]Sch C'!F42</f>
        <v>0</v>
      </c>
      <c r="E62" s="480">
        <f>+'[9]Sch C'!H42</f>
        <v>0</v>
      </c>
      <c r="F62" s="166">
        <f t="shared" si="5"/>
        <v>40</v>
      </c>
      <c r="G62" s="626"/>
      <c r="H62" s="166"/>
      <c r="I62" s="166">
        <f t="shared" si="6"/>
        <v>40</v>
      </c>
      <c r="J62" s="167">
        <f t="shared" si="7"/>
        <v>6.4606703462337849E-6</v>
      </c>
      <c r="K62" s="458"/>
      <c r="L62" s="163"/>
      <c r="M62" s="163"/>
      <c r="O62" s="324">
        <f t="shared" si="8"/>
        <v>1.8422143416386497E-3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'[9]Sch C'!D43</f>
        <v>11497</v>
      </c>
      <c r="D63" s="480">
        <f>'[9]Sch C'!F43</f>
        <v>-11497</v>
      </c>
      <c r="E63" s="480">
        <f>+'[9]Sch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'[9]Sch C'!D44</f>
        <v>0</v>
      </c>
      <c r="D64" s="480">
        <f>'[9]Sch C'!F44</f>
        <v>0</v>
      </c>
      <c r="E64" s="480">
        <f>+'[9]Sch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'[9]Sch C'!D45</f>
        <v>12169</v>
      </c>
      <c r="D65" s="480">
        <f>'[9]Sch C'!F45</f>
        <v>-9286</v>
      </c>
      <c r="E65" s="480">
        <f>+'[9]Sch C'!H45</f>
        <v>0</v>
      </c>
      <c r="F65" s="166">
        <f t="shared" si="5"/>
        <v>2883</v>
      </c>
      <c r="G65" s="626"/>
      <c r="H65" s="166"/>
      <c r="I65" s="166">
        <f t="shared" si="6"/>
        <v>2883</v>
      </c>
      <c r="J65" s="167">
        <f t="shared" si="7"/>
        <v>4.6565281520480003E-4</v>
      </c>
      <c r="K65" s="458"/>
      <c r="L65" s="163"/>
      <c r="M65" s="163"/>
      <c r="O65" s="324">
        <f t="shared" si="8"/>
        <v>0.13277759867360567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1422980</v>
      </c>
      <c r="D66" s="480">
        <f t="shared" si="9"/>
        <v>-159611</v>
      </c>
      <c r="E66" s="480">
        <f t="shared" si="9"/>
        <v>87796</v>
      </c>
      <c r="F66" s="166">
        <f t="shared" ref="F66:I66" si="10">SUM(F30:F65)</f>
        <v>1351165</v>
      </c>
      <c r="G66" s="166">
        <f t="shared" si="10"/>
        <v>0</v>
      </c>
      <c r="H66" s="166">
        <f t="shared" si="10"/>
        <v>0</v>
      </c>
      <c r="I66" s="166">
        <f t="shared" si="10"/>
        <v>1351165</v>
      </c>
      <c r="J66" s="178">
        <f t="shared" si="7"/>
        <v>0.21823579120922429</v>
      </c>
      <c r="K66" s="465"/>
      <c r="L66" s="163"/>
      <c r="M66" s="163"/>
      <c r="O66" s="329">
        <f>I66/I$233</f>
        <v>62.228388523004654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'[9]Sch C'!D57</f>
        <v>0</v>
      </c>
      <c r="D69" s="480">
        <f>'[9]Sch C'!F57</f>
        <v>0</v>
      </c>
      <c r="E69" s="480">
        <f>+'[9]Sch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'[9]Sch C'!D58</f>
        <v>82622</v>
      </c>
      <c r="D70" s="480">
        <f>'[9]Sch C'!F58</f>
        <v>0</v>
      </c>
      <c r="E70" s="480">
        <f>+'[9]Sch C'!H58</f>
        <v>0</v>
      </c>
      <c r="F70" s="166">
        <f t="shared" ref="F70:F83" si="13">C70+D70+E70</f>
        <v>82622</v>
      </c>
      <c r="G70" s="626"/>
      <c r="H70" s="166"/>
      <c r="I70" s="166">
        <f t="shared" ref="I70:I83" si="14">F70+G70+H70</f>
        <v>82622</v>
      </c>
      <c r="J70" s="167">
        <f t="shared" si="11"/>
        <v>1.3344837633663193E-2</v>
      </c>
      <c r="K70" s="458"/>
      <c r="L70" s="182"/>
      <c r="M70" s="163"/>
      <c r="O70" s="324">
        <f t="shared" si="12"/>
        <v>3.8051858333717128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'[9]Sch C'!D59</f>
        <v>77114</v>
      </c>
      <c r="D71" s="480">
        <f>'[9]Sch C'!F59</f>
        <v>-525</v>
      </c>
      <c r="E71" s="480">
        <f>+'[9]Sch C'!H59</f>
        <v>0</v>
      </c>
      <c r="F71" s="166">
        <f t="shared" si="13"/>
        <v>76589</v>
      </c>
      <c r="G71" s="626"/>
      <c r="H71" s="166"/>
      <c r="I71" s="166">
        <f t="shared" si="14"/>
        <v>76589</v>
      </c>
      <c r="J71" s="167">
        <f t="shared" si="11"/>
        <v>1.2370407028692482E-2</v>
      </c>
      <c r="K71" s="458"/>
      <c r="L71" s="182"/>
      <c r="M71" s="163"/>
      <c r="O71" s="324">
        <f t="shared" si="12"/>
        <v>3.5273338552940636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'[9]Sch C'!D60</f>
        <v>39696</v>
      </c>
      <c r="D72" s="480">
        <f>'[9]Sch C'!F60</f>
        <v>0</v>
      </c>
      <c r="E72" s="480">
        <f>+'[9]Sch C'!H60</f>
        <v>0</v>
      </c>
      <c r="F72" s="166">
        <f t="shared" si="13"/>
        <v>39696</v>
      </c>
      <c r="G72" s="626"/>
      <c r="H72" s="166"/>
      <c r="I72" s="166">
        <f t="shared" si="14"/>
        <v>39696</v>
      </c>
      <c r="J72" s="167">
        <f t="shared" si="11"/>
        <v>6.411569251602408E-3</v>
      </c>
      <c r="K72" s="458"/>
      <c r="L72" s="185"/>
      <c r="M72" s="163"/>
      <c r="O72" s="324">
        <f t="shared" si="12"/>
        <v>1.8282135126421959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'[9]Sch C'!D61</f>
        <v>17624</v>
      </c>
      <c r="D73" s="480">
        <f>'[9]Sch C'!F61</f>
        <v>0</v>
      </c>
      <c r="E73" s="480">
        <f>+'[9]Sch C'!H61</f>
        <v>0</v>
      </c>
      <c r="F73" s="166">
        <f t="shared" si="13"/>
        <v>17624</v>
      </c>
      <c r="G73" s="626"/>
      <c r="H73" s="166"/>
      <c r="I73" s="166">
        <f t="shared" si="14"/>
        <v>17624</v>
      </c>
      <c r="J73" s="167">
        <f t="shared" si="11"/>
        <v>2.8465713545506055E-3</v>
      </c>
      <c r="K73" s="458"/>
      <c r="L73" s="185"/>
      <c r="M73" s="163"/>
      <c r="O73" s="324">
        <f t="shared" si="12"/>
        <v>0.81167963892598904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'[9]Sch C'!D62</f>
        <v>387</v>
      </c>
      <c r="D74" s="480">
        <f>'[9]Sch C'!F62</f>
        <v>0</v>
      </c>
      <c r="E74" s="480">
        <f>+'[9]Sch C'!H62</f>
        <v>0</v>
      </c>
      <c r="F74" s="166">
        <f t="shared" si="13"/>
        <v>387</v>
      </c>
      <c r="G74" s="626"/>
      <c r="H74" s="166"/>
      <c r="I74" s="166">
        <f t="shared" si="14"/>
        <v>387</v>
      </c>
      <c r="J74" s="167">
        <f t="shared" si="11"/>
        <v>6.2506985599811862E-5</v>
      </c>
      <c r="K74" s="458"/>
      <c r="L74" s="187"/>
      <c r="M74" s="163"/>
      <c r="O74" s="324">
        <f t="shared" si="12"/>
        <v>1.7823423755353937E-2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'[9]Sch C'!D63</f>
        <v>0</v>
      </c>
      <c r="D75" s="480">
        <f>'[9]Sch C'!F63</f>
        <v>0</v>
      </c>
      <c r="E75" s="480">
        <f>+'[9]Sch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'[9]Sch C'!D64</f>
        <v>0</v>
      </c>
      <c r="D76" s="480">
        <f>'[9]Sch C'!F64</f>
        <v>0</v>
      </c>
      <c r="E76" s="480">
        <f>+'[9]Sch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'[9]Sch C'!D65</f>
        <v>0</v>
      </c>
      <c r="D77" s="480">
        <f>'[9]Sch C'!F65</f>
        <v>0</v>
      </c>
      <c r="E77" s="480">
        <f>+'[9]Sch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'[9]Sch C'!D66</f>
        <v>43841</v>
      </c>
      <c r="D78" s="480">
        <f>'[9]Sch C'!F66</f>
        <v>0</v>
      </c>
      <c r="E78" s="480">
        <f>+'[9]Sch C'!H66</f>
        <v>-508</v>
      </c>
      <c r="F78" s="166">
        <f t="shared" si="13"/>
        <v>43333</v>
      </c>
      <c r="G78" s="626"/>
      <c r="H78" s="166"/>
      <c r="I78" s="166">
        <f t="shared" si="14"/>
        <v>43333</v>
      </c>
      <c r="J78" s="167">
        <f t="shared" si="11"/>
        <v>6.9990057028337148E-3</v>
      </c>
      <c r="K78" s="458"/>
      <c r="L78" s="187"/>
      <c r="M78" s="163"/>
      <c r="O78" s="324">
        <f t="shared" si="12"/>
        <v>1.9957168516556902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'[9]Sch C'!D67</f>
        <v>40730</v>
      </c>
      <c r="D79" s="480">
        <f>'[9]Sch C'!F67</f>
        <v>0</v>
      </c>
      <c r="E79" s="480">
        <f>+'[9]Sch C'!H67</f>
        <v>0</v>
      </c>
      <c r="F79" s="166">
        <f t="shared" si="13"/>
        <v>40730</v>
      </c>
      <c r="G79" s="626"/>
      <c r="H79" s="166"/>
      <c r="I79" s="166">
        <f t="shared" si="14"/>
        <v>40730</v>
      </c>
      <c r="J79" s="167">
        <f t="shared" si="11"/>
        <v>6.5785775800525515E-3</v>
      </c>
      <c r="K79" s="458"/>
      <c r="L79" s="187"/>
      <c r="M79" s="163"/>
      <c r="O79" s="324">
        <f t="shared" si="12"/>
        <v>1.8758347533735551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'[9]Sch C'!D68</f>
        <v>0</v>
      </c>
      <c r="D80" s="480">
        <f>'[9]Sch C'!F68</f>
        <v>0</v>
      </c>
      <c r="E80" s="480">
        <f>+'[9]Sch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'[9]Sch C'!D69</f>
        <v>1857</v>
      </c>
      <c r="D81" s="480">
        <f>'[9]Sch C'!F69</f>
        <v>0</v>
      </c>
      <c r="E81" s="480">
        <f>+'[9]Sch C'!H69</f>
        <v>0</v>
      </c>
      <c r="F81" s="166">
        <f t="shared" si="13"/>
        <v>1857</v>
      </c>
      <c r="G81" s="626"/>
      <c r="H81" s="166"/>
      <c r="I81" s="166">
        <f t="shared" si="14"/>
        <v>1857</v>
      </c>
      <c r="J81" s="167">
        <f t="shared" si="11"/>
        <v>2.9993662082390346E-4</v>
      </c>
      <c r="K81" s="458"/>
      <c r="L81" s="187"/>
      <c r="M81" s="163"/>
      <c r="O81" s="324">
        <f t="shared" si="12"/>
        <v>8.5524800810574314E-2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'[9]Sch C'!D70</f>
        <v>0</v>
      </c>
      <c r="D82" s="480">
        <f>'[9]Sch C'!F70</f>
        <v>0</v>
      </c>
      <c r="E82" s="480">
        <f>+'[9]Sch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'[9]Sch C'!D71</f>
        <v>0</v>
      </c>
      <c r="D83" s="480">
        <f>'[9]Sch C'!F71</f>
        <v>0</v>
      </c>
      <c r="E83" s="480">
        <f>+'[9]Sch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303871</v>
      </c>
      <c r="D84" s="480">
        <f t="shared" si="15"/>
        <v>-525</v>
      </c>
      <c r="E84" s="480">
        <f t="shared" si="15"/>
        <v>-508</v>
      </c>
      <c r="F84" s="166">
        <f t="shared" ref="F84:I84" si="16">SUM(F69:F83)</f>
        <v>302838</v>
      </c>
      <c r="G84" s="166">
        <f t="shared" si="16"/>
        <v>0</v>
      </c>
      <c r="H84" s="166">
        <f t="shared" si="16"/>
        <v>0</v>
      </c>
      <c r="I84" s="166">
        <f t="shared" si="16"/>
        <v>302838</v>
      </c>
      <c r="J84" s="167">
        <f t="shared" si="11"/>
        <v>4.8913412157818671E-2</v>
      </c>
      <c r="K84" s="458"/>
      <c r="L84" s="187"/>
      <c r="M84" s="163"/>
      <c r="O84" s="324">
        <f t="shared" si="12"/>
        <v>13.947312669829135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'[9]Sch C'!D75</f>
        <v>50608</v>
      </c>
      <c r="D87" s="480">
        <f>'[9]Sch C'!F75</f>
        <v>0</v>
      </c>
      <c r="E87" s="480">
        <f>+'[9]Sch C'!H75</f>
        <v>0</v>
      </c>
      <c r="F87" s="166">
        <f t="shared" ref="F87:F97" si="17">C87+D87+E87</f>
        <v>50608</v>
      </c>
      <c r="G87" s="626"/>
      <c r="H87" s="166"/>
      <c r="I87" s="166">
        <f t="shared" ref="I87:I97" si="18">F87+G87+H87</f>
        <v>50608</v>
      </c>
      <c r="J87" s="167">
        <f t="shared" ref="J87:J98" si="19">IF($I$213=0,0,I87/$I$213)</f>
        <v>8.1740401220549846E-3</v>
      </c>
      <c r="K87" s="458"/>
      <c r="L87" s="176">
        <v>2526</v>
      </c>
      <c r="M87" s="176">
        <v>2646</v>
      </c>
      <c r="O87" s="324">
        <f t="shared" ref="O87:O97" si="20">I87/I$233</f>
        <v>2.3307695850412196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'[9]Sch C'!D76</f>
        <v>10846</v>
      </c>
      <c r="D88" s="480">
        <f>'[9]Sch C'!F76</f>
        <v>0</v>
      </c>
      <c r="E88" s="480">
        <f>+'[9]Sch C'!H76</f>
        <v>0</v>
      </c>
      <c r="F88" s="166">
        <f t="shared" si="17"/>
        <v>10846</v>
      </c>
      <c r="G88" s="626"/>
      <c r="H88" s="166"/>
      <c r="I88" s="166">
        <f t="shared" si="18"/>
        <v>10846</v>
      </c>
      <c r="J88" s="167">
        <f t="shared" si="19"/>
        <v>1.7518107643812906E-3</v>
      </c>
      <c r="K88" s="458"/>
      <c r="L88" s="163"/>
      <c r="M88" s="163"/>
      <c r="O88" s="324">
        <f t="shared" si="20"/>
        <v>0.49951641873531988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'[9]Sch C'!D77</f>
        <v>5342</v>
      </c>
      <c r="D89" s="480">
        <f>'[9]Sch C'!F77</f>
        <v>0</v>
      </c>
      <c r="E89" s="480">
        <f>+'[9]Sch C'!H77</f>
        <v>0</v>
      </c>
      <c r="F89" s="166">
        <f t="shared" si="17"/>
        <v>5342</v>
      </c>
      <c r="G89" s="626"/>
      <c r="H89" s="166"/>
      <c r="I89" s="166">
        <f t="shared" si="18"/>
        <v>5342</v>
      </c>
      <c r="J89" s="167">
        <f t="shared" si="19"/>
        <v>8.6282252473952198E-4</v>
      </c>
      <c r="K89" s="458"/>
      <c r="L89" s="163"/>
      <c r="M89" s="163"/>
      <c r="O89" s="324">
        <f t="shared" si="20"/>
        <v>0.24602772532584166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'[9]Sch C'!D78</f>
        <v>0</v>
      </c>
      <c r="D90" s="480">
        <f>'[9]Sch C'!F78</f>
        <v>0</v>
      </c>
      <c r="E90" s="480">
        <f>+'[9]Sch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'[9]Sch C'!D79</f>
        <v>7640</v>
      </c>
      <c r="D91" s="480">
        <f>'[9]Sch C'!F79</f>
        <v>0</v>
      </c>
      <c r="E91" s="480">
        <f>+'[9]Sch C'!H79</f>
        <v>0</v>
      </c>
      <c r="F91" s="166">
        <f t="shared" si="17"/>
        <v>7640</v>
      </c>
      <c r="G91" s="626"/>
      <c r="H91" s="166"/>
      <c r="I91" s="166">
        <f t="shared" si="18"/>
        <v>7640</v>
      </c>
      <c r="J91" s="167">
        <f t="shared" si="19"/>
        <v>1.2339880361306528E-3</v>
      </c>
      <c r="K91" s="458"/>
      <c r="L91" s="163"/>
      <c r="M91" s="163"/>
      <c r="O91" s="324">
        <f t="shared" si="20"/>
        <v>0.35186293925298207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'[9]Sch C'!D80</f>
        <v>31307</v>
      </c>
      <c r="D92" s="480">
        <f>'[9]Sch C'!F80</f>
        <v>0</v>
      </c>
      <c r="E92" s="480">
        <f>+'[9]Sch C'!H80</f>
        <v>0</v>
      </c>
      <c r="F92" s="166">
        <f t="shared" si="17"/>
        <v>31307</v>
      </c>
      <c r="G92" s="626"/>
      <c r="H92" s="166"/>
      <c r="I92" s="166">
        <f t="shared" si="18"/>
        <v>31307</v>
      </c>
      <c r="J92" s="167">
        <f t="shared" si="19"/>
        <v>5.0566051632385273E-3</v>
      </c>
      <c r="K92" s="458"/>
      <c r="L92" s="163"/>
      <c r="M92" s="163"/>
      <c r="O92" s="324">
        <f t="shared" si="20"/>
        <v>1.44185510984203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'[9]Sch C'!D81</f>
        <v>34704</v>
      </c>
      <c r="D93" s="480">
        <f>'[9]Sch C'!F81</f>
        <v>0</v>
      </c>
      <c r="E93" s="480">
        <f>+'[9]Sch C'!H81</f>
        <v>0</v>
      </c>
      <c r="F93" s="166">
        <f t="shared" si="17"/>
        <v>34704</v>
      </c>
      <c r="G93" s="626"/>
      <c r="H93" s="166"/>
      <c r="I93" s="166">
        <f t="shared" si="18"/>
        <v>34704</v>
      </c>
      <c r="J93" s="167">
        <f t="shared" si="19"/>
        <v>5.6052775923924316E-3</v>
      </c>
      <c r="K93" s="458"/>
      <c r="L93" s="163"/>
      <c r="M93" s="163"/>
      <c r="O93" s="324">
        <f t="shared" si="20"/>
        <v>1.5983051628056923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'[9]Sch C'!D82</f>
        <v>36931</v>
      </c>
      <c r="D94" s="480">
        <f>'[9]Sch C'!F82</f>
        <v>0</v>
      </c>
      <c r="E94" s="480">
        <f>+'[9]Sch C'!H82</f>
        <v>0</v>
      </c>
      <c r="F94" s="166">
        <f t="shared" si="17"/>
        <v>36931</v>
      </c>
      <c r="G94" s="626"/>
      <c r="H94" s="166"/>
      <c r="I94" s="166">
        <f t="shared" si="18"/>
        <v>36931</v>
      </c>
      <c r="J94" s="167">
        <f t="shared" si="19"/>
        <v>5.9649754139189971E-3</v>
      </c>
      <c r="K94" s="458"/>
      <c r="L94" s="163"/>
      <c r="M94" s="163"/>
      <c r="O94" s="324">
        <f t="shared" si="20"/>
        <v>1.7008704462764244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'[9]Sch C'!D83</f>
        <v>820</v>
      </c>
      <c r="D95" s="480">
        <f>'[9]Sch C'!F83</f>
        <v>0</v>
      </c>
      <c r="E95" s="480">
        <f>+'[9]Sch C'!H83</f>
        <v>0</v>
      </c>
      <c r="F95" s="166">
        <f t="shared" si="17"/>
        <v>820</v>
      </c>
      <c r="G95" s="626"/>
      <c r="H95" s="166"/>
      <c r="I95" s="166">
        <f t="shared" si="18"/>
        <v>820</v>
      </c>
      <c r="J95" s="167">
        <f t="shared" si="19"/>
        <v>1.3244374209779258E-4</v>
      </c>
      <c r="K95" s="458"/>
      <c r="L95" s="163"/>
      <c r="M95" s="163"/>
      <c r="O95" s="324">
        <f t="shared" si="20"/>
        <v>3.7765394003592315E-2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'[9]Sch C'!D84</f>
        <v>76530</v>
      </c>
      <c r="D96" s="480">
        <f>'[9]Sch C'!F84</f>
        <v>0</v>
      </c>
      <c r="E96" s="480">
        <f>+'[9]Sch C'!H84</f>
        <v>0</v>
      </c>
      <c r="F96" s="166">
        <f t="shared" si="17"/>
        <v>76530</v>
      </c>
      <c r="G96" s="626"/>
      <c r="H96" s="166"/>
      <c r="I96" s="166">
        <f t="shared" si="18"/>
        <v>76530</v>
      </c>
      <c r="J96" s="167">
        <f t="shared" si="19"/>
        <v>1.2360877539931788E-2</v>
      </c>
      <c r="K96" s="458"/>
      <c r="L96" s="163"/>
      <c r="M96" s="163"/>
      <c r="O96" s="324">
        <f t="shared" si="20"/>
        <v>3.5246165891401464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'[9]Sch C'!D85</f>
        <v>0</v>
      </c>
      <c r="D97" s="480">
        <f>'[9]Sch C'!F85</f>
        <v>0</v>
      </c>
      <c r="E97" s="480">
        <f>+'[9]Sch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254728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254728</v>
      </c>
      <c r="G98" s="166">
        <f t="shared" si="22"/>
        <v>0</v>
      </c>
      <c r="H98" s="166">
        <f t="shared" si="22"/>
        <v>0</v>
      </c>
      <c r="I98" s="166">
        <f t="shared" si="22"/>
        <v>254728</v>
      </c>
      <c r="J98" s="167">
        <f t="shared" si="19"/>
        <v>4.1142840898885986E-2</v>
      </c>
      <c r="K98" s="458"/>
      <c r="L98" s="163"/>
      <c r="M98" s="163"/>
      <c r="O98" s="329">
        <f>I98/I$233</f>
        <v>11.731589370423249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'[9]Sch C'!D89</f>
        <v>0</v>
      </c>
      <c r="D101" s="480">
        <f>'[9]Sch C'!F89</f>
        <v>0</v>
      </c>
      <c r="E101" s="480">
        <f>+'[9]Sch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'[9]Sch C'!D90</f>
        <v>0</v>
      </c>
      <c r="D102" s="480">
        <f>'[9]Sch C'!F90</f>
        <v>0</v>
      </c>
      <c r="E102" s="480">
        <f>+'[9]Sch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'[9]Sch C'!D91</f>
        <v>435341</v>
      </c>
      <c r="D103" s="480">
        <f>'[9]Sch C'!F91</f>
        <v>0</v>
      </c>
      <c r="E103" s="480">
        <f>+'[9]Sch C'!H91</f>
        <v>0</v>
      </c>
      <c r="F103" s="166">
        <f t="shared" si="23"/>
        <v>435341</v>
      </c>
      <c r="G103" s="626"/>
      <c r="H103" s="166"/>
      <c r="I103" s="166">
        <f t="shared" si="24"/>
        <v>435341</v>
      </c>
      <c r="J103" s="167">
        <f t="shared" si="25"/>
        <v>7.0314867229994055E-2</v>
      </c>
      <c r="K103" s="458"/>
      <c r="L103" s="163"/>
      <c r="M103" s="163"/>
      <c r="O103" s="329">
        <f t="shared" si="26"/>
        <v>20.049785842582786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'[9]Sch C'!D92</f>
        <v>-621</v>
      </c>
      <c r="D104" s="480">
        <f>'[9]Sch C'!F92</f>
        <v>-1076</v>
      </c>
      <c r="E104" s="480">
        <f>+'[9]Sch C'!H92</f>
        <v>0</v>
      </c>
      <c r="F104" s="166">
        <f t="shared" si="23"/>
        <v>-1697</v>
      </c>
      <c r="G104" s="626"/>
      <c r="H104" s="166"/>
      <c r="I104" s="166">
        <f t="shared" si="24"/>
        <v>-1697</v>
      </c>
      <c r="J104" s="167">
        <f t="shared" si="25"/>
        <v>-2.7409393943896829E-4</v>
      </c>
      <c r="K104" s="458"/>
      <c r="L104" s="163"/>
      <c r="M104" s="163"/>
      <c r="O104" s="329">
        <f t="shared" si="26"/>
        <v>-7.8155943444019715E-2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'[9]Sch C'!D93</f>
        <v>5330</v>
      </c>
      <c r="D105" s="480">
        <f>'[9]Sch C'!F93</f>
        <v>0</v>
      </c>
      <c r="E105" s="480">
        <f>+'[9]Sch C'!H93</f>
        <v>0</v>
      </c>
      <c r="F105" s="166">
        <f t="shared" si="23"/>
        <v>5330</v>
      </c>
      <c r="G105" s="626"/>
      <c r="H105" s="166"/>
      <c r="I105" s="166">
        <f t="shared" si="24"/>
        <v>5330</v>
      </c>
      <c r="J105" s="167">
        <f t="shared" si="25"/>
        <v>8.6088432363565183E-4</v>
      </c>
      <c r="K105" s="458"/>
      <c r="L105" s="163"/>
      <c r="M105" s="163"/>
      <c r="O105" s="329">
        <f t="shared" si="26"/>
        <v>0.24547506102335007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'[9]Sch C'!D94</f>
        <v>0</v>
      </c>
      <c r="D106" s="480">
        <f>'[9]Sch C'!F94</f>
        <v>0</v>
      </c>
      <c r="E106" s="480">
        <f>+'[9]Sch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440050</v>
      </c>
      <c r="D107" s="480">
        <f t="shared" si="27"/>
        <v>-1076</v>
      </c>
      <c r="E107" s="480">
        <f t="shared" si="27"/>
        <v>0</v>
      </c>
      <c r="F107" s="166">
        <f t="shared" ref="F107:I107" si="28">SUM(F101:F106)</f>
        <v>438974</v>
      </c>
      <c r="G107" s="166">
        <f t="shared" si="28"/>
        <v>0</v>
      </c>
      <c r="H107" s="166">
        <f t="shared" si="28"/>
        <v>0</v>
      </c>
      <c r="I107" s="166">
        <f t="shared" si="28"/>
        <v>438974</v>
      </c>
      <c r="J107" s="167">
        <f t="shared" si="25"/>
        <v>7.0901657614190733E-2</v>
      </c>
      <c r="K107" s="458"/>
      <c r="L107" s="163"/>
      <c r="M107" s="163"/>
      <c r="O107" s="329">
        <f>I107/I$233</f>
        <v>20.217104960162114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'[9]Sch C'!D98</f>
        <v>0</v>
      </c>
      <c r="D110" s="480">
        <f>'[9]Sch C'!F98</f>
        <v>0</v>
      </c>
      <c r="E110" s="480">
        <f>+'[9]Sch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'[9]Sch C'!D99</f>
        <v>-2</v>
      </c>
      <c r="D111" s="480">
        <f>'[9]Sch C'!F99</f>
        <v>0</v>
      </c>
      <c r="E111" s="480">
        <f>+'[9]Sch C'!H99</f>
        <v>0</v>
      </c>
      <c r="F111" s="166">
        <f t="shared" si="29"/>
        <v>-2</v>
      </c>
      <c r="G111" s="626"/>
      <c r="H111" s="166"/>
      <c r="I111" s="166">
        <f t="shared" si="30"/>
        <v>-2</v>
      </c>
      <c r="J111" s="167">
        <f t="shared" si="31"/>
        <v>-3.2303351731168923E-7</v>
      </c>
      <c r="K111" s="458"/>
      <c r="L111" s="163"/>
      <c r="M111" s="163"/>
      <c r="O111" s="329">
        <f t="shared" si="32"/>
        <v>-9.2110717081932486E-5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'[9]Sch C'!D100</f>
        <v>498</v>
      </c>
      <c r="D112" s="480">
        <f>'[9]Sch C'!F100</f>
        <v>0</v>
      </c>
      <c r="E112" s="480">
        <f>+'[9]Sch C'!H100</f>
        <v>0</v>
      </c>
      <c r="F112" s="166">
        <f t="shared" si="29"/>
        <v>498</v>
      </c>
      <c r="G112" s="626"/>
      <c r="H112" s="166"/>
      <c r="I112" s="166">
        <f t="shared" si="30"/>
        <v>498</v>
      </c>
      <c r="J112" s="167">
        <f t="shared" si="31"/>
        <v>8.0435345810610614E-5</v>
      </c>
      <c r="K112" s="458"/>
      <c r="L112" s="163"/>
      <c r="M112" s="163"/>
      <c r="O112" s="329">
        <f t="shared" si="32"/>
        <v>2.2935568553401189E-2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'[9]Sch C'!D101</f>
        <v>52917</v>
      </c>
      <c r="D113" s="480">
        <f>'[9]Sch C'!F101</f>
        <v>0</v>
      </c>
      <c r="E113" s="480">
        <f>+'[9]Sch C'!H101</f>
        <v>0</v>
      </c>
      <c r="F113" s="166">
        <f t="shared" si="29"/>
        <v>52917</v>
      </c>
      <c r="G113" s="626"/>
      <c r="H113" s="166"/>
      <c r="I113" s="166">
        <f t="shared" si="30"/>
        <v>52917</v>
      </c>
      <c r="J113" s="167">
        <f t="shared" si="31"/>
        <v>8.5469823177913296E-3</v>
      </c>
      <c r="K113" s="458"/>
      <c r="L113" s="163"/>
      <c r="M113" s="163"/>
      <c r="O113" s="329">
        <f t="shared" si="32"/>
        <v>2.4371114079123104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'[9]Sch C'!D102</f>
        <v>4563</v>
      </c>
      <c r="D114" s="480">
        <f>'[9]Sch C'!F102</f>
        <v>0</v>
      </c>
      <c r="E114" s="480">
        <f>+'[9]Sch C'!H102</f>
        <v>0</v>
      </c>
      <c r="F114" s="166">
        <f t="shared" si="29"/>
        <v>4563</v>
      </c>
      <c r="G114" s="626"/>
      <c r="H114" s="166"/>
      <c r="I114" s="166">
        <f t="shared" si="30"/>
        <v>4563</v>
      </c>
      <c r="J114" s="167">
        <f t="shared" si="31"/>
        <v>7.3700096974661897E-4</v>
      </c>
      <c r="K114" s="458"/>
      <c r="L114" s="163"/>
      <c r="M114" s="163"/>
      <c r="O114" s="329">
        <f t="shared" si="32"/>
        <v>0.21015060102242897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'[9]Sch C'!D103</f>
        <v>0</v>
      </c>
      <c r="D115" s="480">
        <f>'[9]Sch C'!F103</f>
        <v>0</v>
      </c>
      <c r="E115" s="480">
        <f>+'[9]Sch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57976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57976</v>
      </c>
      <c r="G116" s="166">
        <f t="shared" si="34"/>
        <v>0</v>
      </c>
      <c r="H116" s="166">
        <f t="shared" si="34"/>
        <v>0</v>
      </c>
      <c r="I116" s="166">
        <f t="shared" si="34"/>
        <v>57976</v>
      </c>
      <c r="J116" s="167">
        <f t="shared" si="31"/>
        <v>9.3640955998312465E-3</v>
      </c>
      <c r="K116" s="458"/>
      <c r="L116" s="163"/>
      <c r="M116" s="163"/>
      <c r="O116" s="329">
        <f>I116/I$233</f>
        <v>2.6701054667710586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'[9]Sch C'!D115</f>
        <v>0</v>
      </c>
      <c r="D119" s="480">
        <f>'[9]Sch C'!F115</f>
        <v>0</v>
      </c>
      <c r="E119" s="480">
        <f>+'[9]Sch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'[9]Sch C'!D116</f>
        <v>0</v>
      </c>
      <c r="D120" s="480">
        <f>'[9]Sch C'!F116</f>
        <v>0</v>
      </c>
      <c r="E120" s="480">
        <f>+'[9]Sch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'[9]Sch C'!D117</f>
        <v>12072</v>
      </c>
      <c r="D121" s="480">
        <f>'[9]Sch C'!F117</f>
        <v>0</v>
      </c>
      <c r="E121" s="480">
        <f>+'[9]Sch C'!H117</f>
        <v>0</v>
      </c>
      <c r="F121" s="166">
        <f t="shared" si="35"/>
        <v>12072</v>
      </c>
      <c r="G121" s="626"/>
      <c r="H121" s="166"/>
      <c r="I121" s="166">
        <f t="shared" si="36"/>
        <v>12072</v>
      </c>
      <c r="J121" s="167">
        <f t="shared" si="37"/>
        <v>1.9498303104933561E-3</v>
      </c>
      <c r="K121" s="458"/>
      <c r="L121" s="163"/>
      <c r="M121" s="163"/>
      <c r="O121" s="329">
        <f t="shared" si="38"/>
        <v>0.55598028830654445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'[9]Sch C'!D118</f>
        <v>104296</v>
      </c>
      <c r="D122" s="480">
        <f>'[9]Sch C'!F118</f>
        <v>0</v>
      </c>
      <c r="E122" s="480">
        <f>+'[9]Sch C'!H118</f>
        <v>0</v>
      </c>
      <c r="F122" s="166">
        <f t="shared" si="35"/>
        <v>104296</v>
      </c>
      <c r="G122" s="626"/>
      <c r="H122" s="166"/>
      <c r="I122" s="166">
        <f t="shared" si="36"/>
        <v>104296</v>
      </c>
      <c r="J122" s="167">
        <f t="shared" si="37"/>
        <v>1.6845551860769969E-2</v>
      </c>
      <c r="K122" s="458"/>
      <c r="L122" s="163"/>
      <c r="M122" s="163"/>
      <c r="O122" s="329">
        <f t="shared" si="38"/>
        <v>4.8033896743886153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'[9]Sch C'!D119</f>
        <v>0</v>
      </c>
      <c r="D123" s="480">
        <f>'[9]Sch C'!F119</f>
        <v>0</v>
      </c>
      <c r="E123" s="480">
        <f>+'[9]Sch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116368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116368</v>
      </c>
      <c r="G124" s="166">
        <f t="shared" si="40"/>
        <v>0</v>
      </c>
      <c r="H124" s="166">
        <f t="shared" si="40"/>
        <v>0</v>
      </c>
      <c r="I124" s="166">
        <f t="shared" si="40"/>
        <v>116368</v>
      </c>
      <c r="J124" s="167">
        <f t="shared" si="37"/>
        <v>1.8795382171263326E-2</v>
      </c>
      <c r="K124" s="458"/>
      <c r="L124" s="163"/>
      <c r="M124" s="163"/>
      <c r="O124" s="329">
        <f t="shared" si="38"/>
        <v>5.3593699626951592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'[9]Sch C'!D124</f>
        <v>0</v>
      </c>
      <c r="D128" s="480">
        <f>'[9]Sch C'!F124</f>
        <v>0</v>
      </c>
      <c r="E128" s="480">
        <f>+'[9]Sch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'[9]Sch C'!D125</f>
        <v>205415</v>
      </c>
      <c r="D129" s="480">
        <f>'[9]Sch C'!F125</f>
        <v>0</v>
      </c>
      <c r="E129" s="480">
        <f>+'[9]Sch C'!H125</f>
        <v>0</v>
      </c>
      <c r="F129" s="166">
        <f t="shared" si="41"/>
        <v>205415</v>
      </c>
      <c r="G129" s="626"/>
      <c r="H129" s="166"/>
      <c r="I129" s="166">
        <f t="shared" si="42"/>
        <v>205415</v>
      </c>
      <c r="J129" s="167">
        <f>IF($I$213=0,0,I129/$I$213)</f>
        <v>3.317796497929032E-2</v>
      </c>
      <c r="K129" s="458"/>
      <c r="L129" s="176">
        <v>5284</v>
      </c>
      <c r="M129" s="176">
        <v>5596</v>
      </c>
      <c r="O129" s="329">
        <f t="shared" si="43"/>
        <v>9.4604614746925808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'[9]Sch C'!D126</f>
        <v>0</v>
      </c>
      <c r="D130" s="480">
        <f>'[9]Sch C'!F126</f>
        <v>0</v>
      </c>
      <c r="E130" s="480">
        <f>+'[9]Sch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'[9]Sch C'!D127</f>
        <v>0</v>
      </c>
      <c r="D131" s="480">
        <f>'[9]Sch C'!F127</f>
        <v>0</v>
      </c>
      <c r="E131" s="480">
        <f>+'[9]Sch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'[9]Sch C'!D128</f>
        <v>29610</v>
      </c>
      <c r="D132" s="480">
        <f>'[9]Sch C'!F128</f>
        <v>0</v>
      </c>
      <c r="E132" s="480">
        <f>+'[9]Sch C'!H128</f>
        <v>0</v>
      </c>
      <c r="F132" s="166">
        <f t="shared" si="41"/>
        <v>29610</v>
      </c>
      <c r="G132" s="626"/>
      <c r="H132" s="166"/>
      <c r="I132" s="166">
        <f t="shared" si="42"/>
        <v>29610</v>
      </c>
      <c r="J132" s="167">
        <f>IF($I$213=0,0,I132/$I$213)</f>
        <v>4.7825112237995593E-3</v>
      </c>
      <c r="K132" s="458"/>
      <c r="L132" s="176">
        <v>1596</v>
      </c>
      <c r="M132" s="176">
        <v>1747</v>
      </c>
      <c r="O132" s="329">
        <f t="shared" si="43"/>
        <v>1.3636991663980105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'[9]Sch C'!D130</f>
        <v>0</v>
      </c>
      <c r="D134" s="480">
        <f>'[9]Sch C'!F130</f>
        <v>0</v>
      </c>
      <c r="E134" s="480">
        <f>+'[9]Sch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'[9]Sch C'!D131</f>
        <v>24679</v>
      </c>
      <c r="D135" s="480">
        <f>'[9]Sch C'!F131</f>
        <v>0</v>
      </c>
      <c r="E135" s="480">
        <f>+'[9]Sch C'!H131</f>
        <v>0</v>
      </c>
      <c r="F135" s="166">
        <f t="shared" si="44"/>
        <v>24679</v>
      </c>
      <c r="G135" s="626"/>
      <c r="H135" s="166"/>
      <c r="I135" s="166">
        <f t="shared" si="45"/>
        <v>24679</v>
      </c>
      <c r="J135" s="167">
        <f>IF($I$213=0,0,I135/$I$213)</f>
        <v>3.9860720868675889E-3</v>
      </c>
      <c r="K135" s="458"/>
      <c r="L135" s="196"/>
      <c r="M135" s="196"/>
      <c r="O135" s="329">
        <f t="shared" si="43"/>
        <v>1.1366001934325058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'[9]Sch C'!D132</f>
        <v>0</v>
      </c>
      <c r="D136" s="480">
        <f>'[9]Sch C'!F132</f>
        <v>0</v>
      </c>
      <c r="E136" s="480">
        <f>+'[9]Sch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'[9]Sch C'!D133</f>
        <v>0</v>
      </c>
      <c r="D137" s="480">
        <f>'[9]Sch C'!F133</f>
        <v>0</v>
      </c>
      <c r="E137" s="480">
        <f>+'[9]Sch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'[9]Sch C'!D134</f>
        <v>9313</v>
      </c>
      <c r="D138" s="480">
        <f>'[9]Sch C'!F134</f>
        <v>0</v>
      </c>
      <c r="E138" s="480">
        <f>+'[9]Sch C'!H134</f>
        <v>0</v>
      </c>
      <c r="F138" s="166">
        <f t="shared" si="44"/>
        <v>9313</v>
      </c>
      <c r="G138" s="626"/>
      <c r="H138" s="166"/>
      <c r="I138" s="166">
        <f t="shared" si="45"/>
        <v>9313</v>
      </c>
      <c r="J138" s="167">
        <f>IF($I$213=0,0,I138/$I$213)</f>
        <v>1.504205573361881E-3</v>
      </c>
      <c r="K138" s="458"/>
      <c r="L138" s="163"/>
      <c r="M138" s="163"/>
      <c r="O138" s="329">
        <f t="shared" si="43"/>
        <v>0.42891355409201859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'[9]Sch C'!D136</f>
        <v>553605</v>
      </c>
      <c r="D140" s="480">
        <f>'[9]Sch C'!F136</f>
        <v>0</v>
      </c>
      <c r="E140" s="480">
        <f>+'[9]Sch C'!H136</f>
        <v>0</v>
      </c>
      <c r="F140" s="166">
        <f t="shared" ref="F140:F143" si="46">C140+D140+E140</f>
        <v>553605</v>
      </c>
      <c r="G140" s="626"/>
      <c r="H140" s="166"/>
      <c r="I140" s="166">
        <f t="shared" ref="I140:I143" si="47">F140+G140+H140</f>
        <v>553605</v>
      </c>
      <c r="J140" s="167">
        <f>IF($I$213=0,0,I140/$I$213)</f>
        <v>8.9416485175668858E-2</v>
      </c>
      <c r="K140" s="458"/>
      <c r="L140" s="176">
        <v>19803</v>
      </c>
      <c r="M140" s="176">
        <v>20534</v>
      </c>
      <c r="O140" s="329">
        <f t="shared" si="43"/>
        <v>25.496476765071616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'[9]Sch C'!D137</f>
        <v>245475</v>
      </c>
      <c r="D141" s="480">
        <f>'[9]Sch C'!F137</f>
        <v>0</v>
      </c>
      <c r="E141" s="480">
        <f>+'[9]Sch C'!H137</f>
        <v>0</v>
      </c>
      <c r="F141" s="166">
        <f t="shared" si="46"/>
        <v>245475</v>
      </c>
      <c r="G141" s="626"/>
      <c r="H141" s="166"/>
      <c r="I141" s="166">
        <f t="shared" si="47"/>
        <v>245475</v>
      </c>
      <c r="J141" s="167">
        <f>IF($I$213=0,0,I141/$I$213)</f>
        <v>3.9648326331043454E-2</v>
      </c>
      <c r="K141" s="458"/>
      <c r="L141" s="176">
        <v>12600</v>
      </c>
      <c r="M141" s="176">
        <v>13462</v>
      </c>
      <c r="O141" s="329">
        <f t="shared" si="43"/>
        <v>11.305439137843688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'[9]Sch C'!D138</f>
        <v>678334</v>
      </c>
      <c r="D142" s="480">
        <f>'[9]Sch C'!F138</f>
        <v>1035</v>
      </c>
      <c r="E142" s="480">
        <f>+'[9]Sch C'!H138</f>
        <v>0</v>
      </c>
      <c r="F142" s="166">
        <f t="shared" si="46"/>
        <v>679369</v>
      </c>
      <c r="G142" s="626"/>
      <c r="H142" s="166"/>
      <c r="I142" s="166">
        <f t="shared" si="47"/>
        <v>679369</v>
      </c>
      <c r="J142" s="167">
        <f>IF($I$213=0,0,I142/$I$213)</f>
        <v>0.10972947881126249</v>
      </c>
      <c r="K142" s="458"/>
      <c r="L142" s="176">
        <v>67686</v>
      </c>
      <c r="M142" s="176">
        <v>69497</v>
      </c>
      <c r="O142" s="329">
        <f t="shared" si="43"/>
        <v>31.288582876617696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'[9]Sch C'!D139</f>
        <v>1035</v>
      </c>
      <c r="D143" s="480">
        <f>'[9]Sch C'!F139</f>
        <v>-1035</v>
      </c>
      <c r="E143" s="480">
        <f>+'[9]Sch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'[9]Sch C'!D141</f>
        <v>332600</v>
      </c>
      <c r="D145" s="480">
        <f>'[9]Sch C'!F141</f>
        <v>-208058</v>
      </c>
      <c r="E145" s="480">
        <f>+'[9]Sch C'!H141</f>
        <v>0</v>
      </c>
      <c r="F145" s="166">
        <f t="shared" ref="F145:F148" si="48">C145+D145+E145</f>
        <v>124542</v>
      </c>
      <c r="G145" s="626"/>
      <c r="H145" s="166"/>
      <c r="I145" s="166">
        <f t="shared" ref="I145:I148" si="49">F145+G145+H145</f>
        <v>124542</v>
      </c>
      <c r="J145" s="167">
        <f>IF($I$213=0,0,I145/$I$213)</f>
        <v>2.01156201565162E-2</v>
      </c>
      <c r="K145" s="458"/>
      <c r="L145" s="163"/>
      <c r="M145" s="163"/>
      <c r="O145" s="329">
        <f t="shared" si="43"/>
        <v>5.7358264634090173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'[9]Sch C'!D142</f>
        <v>0</v>
      </c>
      <c r="D146" s="480">
        <f>'[9]Sch C'!F142</f>
        <v>55223</v>
      </c>
      <c r="E146" s="480">
        <f>+'[9]Sch C'!H142</f>
        <v>0</v>
      </c>
      <c r="F146" s="166">
        <f t="shared" si="48"/>
        <v>55223</v>
      </c>
      <c r="G146" s="626"/>
      <c r="H146" s="166"/>
      <c r="I146" s="166">
        <f t="shared" si="49"/>
        <v>55223</v>
      </c>
      <c r="J146" s="167">
        <f>IF($I$213=0,0,I146/$I$213)</f>
        <v>8.9194399632517071E-3</v>
      </c>
      <c r="K146" s="458"/>
      <c r="L146" s="163"/>
      <c r="M146" s="163"/>
      <c r="O146" s="329">
        <f t="shared" si="43"/>
        <v>2.5433150647077789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'[9]Sch C'!D143</f>
        <v>0</v>
      </c>
      <c r="D147" s="480">
        <f>'[9]Sch C'!F143</f>
        <v>152835</v>
      </c>
      <c r="E147" s="480">
        <f>+'[9]Sch C'!H143</f>
        <v>0</v>
      </c>
      <c r="F147" s="166">
        <f t="shared" si="48"/>
        <v>152835</v>
      </c>
      <c r="G147" s="626"/>
      <c r="H147" s="166"/>
      <c r="I147" s="166">
        <f t="shared" si="49"/>
        <v>152835</v>
      </c>
      <c r="J147" s="167">
        <f>IF($I$213=0,0,I147/$I$213)</f>
        <v>2.4685413809166012E-2</v>
      </c>
      <c r="K147" s="458"/>
      <c r="L147" s="163"/>
      <c r="M147" s="163"/>
      <c r="O147" s="329">
        <f t="shared" si="43"/>
        <v>7.0388707226085758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'[9]Sch C'!D144</f>
        <v>0</v>
      </c>
      <c r="D148" s="480">
        <f>'[9]Sch C'!F144</f>
        <v>0</v>
      </c>
      <c r="E148" s="480">
        <f>+'[9]Sch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'[9]Sch C'!D146</f>
        <v>37600</v>
      </c>
      <c r="D150" s="480">
        <f>'[9]Sch C'!F146</f>
        <v>0</v>
      </c>
      <c r="E150" s="480">
        <f>+'[9]Sch C'!H146</f>
        <v>0</v>
      </c>
      <c r="F150" s="166">
        <f t="shared" ref="F150:F158" si="50">C150+D150+E150</f>
        <v>37600</v>
      </c>
      <c r="G150" s="626"/>
      <c r="H150" s="166"/>
      <c r="I150" s="166">
        <f t="shared" ref="I150:I158" si="51">F150+G150+H150</f>
        <v>37600</v>
      </c>
      <c r="J150" s="167">
        <f t="shared" ref="J150:J158" si="52">IF($I$213=0,0,I150/$I$213)</f>
        <v>6.0730301254597573E-3</v>
      </c>
      <c r="K150" s="458"/>
      <c r="L150" s="176">
        <v>137</v>
      </c>
      <c r="M150" s="176">
        <v>137</v>
      </c>
      <c r="O150" s="329">
        <f t="shared" si="43"/>
        <v>1.7316814811403307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'[9]Sch C'!D147</f>
        <v>402046</v>
      </c>
      <c r="D151" s="480">
        <f>'[9]Sch C'!F147</f>
        <v>0</v>
      </c>
      <c r="E151" s="480">
        <f>+'[9]Sch C'!H147</f>
        <v>0</v>
      </c>
      <c r="F151" s="166">
        <f t="shared" si="50"/>
        <v>402046</v>
      </c>
      <c r="G151" s="626"/>
      <c r="H151" s="166"/>
      <c r="I151" s="166">
        <f t="shared" si="51"/>
        <v>402046</v>
      </c>
      <c r="J151" s="167">
        <f t="shared" si="52"/>
        <v>6.4937166750547698E-2</v>
      </c>
      <c r="K151" s="458"/>
      <c r="L151" s="176">
        <v>6405</v>
      </c>
      <c r="M151" s="176">
        <v>6405</v>
      </c>
      <c r="O151" s="329">
        <f t="shared" si="43"/>
        <v>18.516372679961314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'[9]Sch C'!D148</f>
        <v>16273</v>
      </c>
      <c r="D152" s="480">
        <f>'[9]Sch C'!F148</f>
        <v>0</v>
      </c>
      <c r="E152" s="480">
        <f>+'[9]Sch C'!H148</f>
        <v>0</v>
      </c>
      <c r="F152" s="166">
        <f t="shared" si="50"/>
        <v>16273</v>
      </c>
      <c r="G152" s="626"/>
      <c r="H152" s="166"/>
      <c r="I152" s="166">
        <f t="shared" si="51"/>
        <v>16273</v>
      </c>
      <c r="J152" s="167">
        <f t="shared" si="52"/>
        <v>2.6283622136065595E-3</v>
      </c>
      <c r="K152" s="458"/>
      <c r="L152" s="176">
        <v>370</v>
      </c>
      <c r="M152" s="176">
        <v>370</v>
      </c>
      <c r="O152" s="329">
        <f t="shared" si="43"/>
        <v>0.7494588495371437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'[9]Sch C'!D149</f>
        <v>262247</v>
      </c>
      <c r="D153" s="480">
        <f>'[9]Sch C'!F149</f>
        <v>0</v>
      </c>
      <c r="E153" s="480">
        <f>+'[9]Sch C'!H149</f>
        <v>0</v>
      </c>
      <c r="F153" s="166">
        <f t="shared" si="50"/>
        <v>262247</v>
      </c>
      <c r="G153" s="626"/>
      <c r="H153" s="166"/>
      <c r="I153" s="166">
        <f t="shared" si="51"/>
        <v>262247</v>
      </c>
      <c r="J153" s="167">
        <f t="shared" si="52"/>
        <v>4.2357285407219281E-2</v>
      </c>
      <c r="K153" s="458"/>
      <c r="L153" s="176">
        <v>10040</v>
      </c>
      <c r="M153" s="176">
        <v>10040</v>
      </c>
      <c r="O153" s="329">
        <f t="shared" si="43"/>
        <v>12.077879611292774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'[9]Sch C'!D150</f>
        <v>7417</v>
      </c>
      <c r="D154" s="480">
        <f>'[9]Sch C'!F150</f>
        <v>0</v>
      </c>
      <c r="E154" s="480">
        <f>+'[9]Sch C'!H150</f>
        <v>0</v>
      </c>
      <c r="F154" s="166">
        <f t="shared" si="50"/>
        <v>7417</v>
      </c>
      <c r="G154" s="626"/>
      <c r="H154" s="166"/>
      <c r="I154" s="166">
        <f t="shared" si="51"/>
        <v>7417</v>
      </c>
      <c r="J154" s="167">
        <f t="shared" si="52"/>
        <v>1.1979697989503994E-3</v>
      </c>
      <c r="K154" s="458"/>
      <c r="L154" s="176">
        <v>0</v>
      </c>
      <c r="M154" s="176">
        <v>0</v>
      </c>
      <c r="O154" s="329">
        <f t="shared" si="43"/>
        <v>0.3415925942983466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'[9]Sch C'!D151</f>
        <v>69957</v>
      </c>
      <c r="D155" s="480">
        <f>'[9]Sch C'!F151</f>
        <v>0</v>
      </c>
      <c r="E155" s="480">
        <f>+'[9]Sch C'!H151</f>
        <v>0</v>
      </c>
      <c r="F155" s="166">
        <f t="shared" si="50"/>
        <v>69957</v>
      </c>
      <c r="G155" s="626"/>
      <c r="H155" s="166"/>
      <c r="I155" s="166">
        <f t="shared" si="51"/>
        <v>69957</v>
      </c>
      <c r="J155" s="167">
        <f t="shared" si="52"/>
        <v>1.1299227885286922E-2</v>
      </c>
      <c r="K155" s="458"/>
      <c r="L155" s="163"/>
      <c r="M155" s="163"/>
      <c r="O155" s="329">
        <f t="shared" si="43"/>
        <v>3.2218947174503754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'[9]Sch C'!D152</f>
        <v>7270</v>
      </c>
      <c r="D156" s="480">
        <f>'[9]Sch C'!F152</f>
        <v>0</v>
      </c>
      <c r="E156" s="480">
        <f>+'[9]Sch C'!H152</f>
        <v>0</v>
      </c>
      <c r="F156" s="166">
        <f t="shared" si="50"/>
        <v>7270</v>
      </c>
      <c r="G156" s="626"/>
      <c r="H156" s="166"/>
      <c r="I156" s="166">
        <f t="shared" si="51"/>
        <v>7270</v>
      </c>
      <c r="J156" s="167">
        <f t="shared" si="52"/>
        <v>1.1742268354279902E-3</v>
      </c>
      <c r="K156" s="458"/>
      <c r="L156" s="163"/>
      <c r="M156" s="163"/>
      <c r="O156" s="329">
        <f t="shared" si="43"/>
        <v>0.33482245659282456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'[9]Sch C'!D153</f>
        <v>0</v>
      </c>
      <c r="D157" s="480">
        <f>'[9]Sch C'!F153</f>
        <v>0</v>
      </c>
      <c r="E157" s="480">
        <f>+'[9]Sch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'[9]Sch C'!D154</f>
        <v>0</v>
      </c>
      <c r="D158" s="480">
        <f>'[9]Sch C'!F154</f>
        <v>0</v>
      </c>
      <c r="E158" s="480">
        <f>+'[9]Sch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'[9]Sch C'!D156</f>
        <v>0</v>
      </c>
      <c r="D160" s="480">
        <f>'[9]Sch C'!F156</f>
        <v>0</v>
      </c>
      <c r="E160" s="480">
        <f>+'[9]Sch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'[9]Sch C'!D157</f>
        <v>0</v>
      </c>
      <c r="D161" s="480">
        <f>'[9]Sch C'!F157</f>
        <v>0</v>
      </c>
      <c r="E161" s="480">
        <f>+'[9]Sch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'[9]Sch C'!D158</f>
        <v>225</v>
      </c>
      <c r="D162" s="480">
        <f>'[9]Sch C'!F158</f>
        <v>0</v>
      </c>
      <c r="E162" s="480">
        <f>+'[9]Sch C'!H158</f>
        <v>0</v>
      </c>
      <c r="F162" s="166">
        <f t="shared" si="53"/>
        <v>225</v>
      </c>
      <c r="G162" s="626"/>
      <c r="H162" s="166"/>
      <c r="I162" s="166">
        <f t="shared" si="54"/>
        <v>225</v>
      </c>
      <c r="J162" s="167">
        <f t="shared" si="55"/>
        <v>3.6341270697565041E-5</v>
      </c>
      <c r="K162" s="458"/>
      <c r="L162" s="163"/>
      <c r="M162" s="163"/>
      <c r="O162" s="329">
        <f t="shared" si="43"/>
        <v>1.0362455671717404E-2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'[9]Sch C'!D159</f>
        <v>0</v>
      </c>
      <c r="D163" s="480">
        <f>'[9]Sch C'!F159</f>
        <v>0</v>
      </c>
      <c r="E163" s="480">
        <f>+'[9]Sch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'[9]Sch C'!D160</f>
        <v>0</v>
      </c>
      <c r="D164" s="480">
        <f>'[9]Sch C'!F160</f>
        <v>0</v>
      </c>
      <c r="E164" s="480">
        <f>+'[9]Sch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'[9]Sch C'!D161</f>
        <v>12576</v>
      </c>
      <c r="D165" s="480">
        <f>'[9]Sch C'!F161</f>
        <v>0</v>
      </c>
      <c r="E165" s="480">
        <f>+'[9]Sch C'!H161</f>
        <v>0</v>
      </c>
      <c r="F165" s="166">
        <f t="shared" si="53"/>
        <v>12576</v>
      </c>
      <c r="G165" s="626"/>
      <c r="H165" s="166"/>
      <c r="I165" s="166">
        <f t="shared" si="54"/>
        <v>12576</v>
      </c>
      <c r="J165" s="167">
        <f t="shared" si="55"/>
        <v>2.031234756855902E-3</v>
      </c>
      <c r="K165" s="458"/>
      <c r="L165" s="163"/>
      <c r="M165" s="163"/>
      <c r="O165" s="329">
        <f t="shared" si="43"/>
        <v>0.57919218901119141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2895677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2895677</v>
      </c>
      <c r="G166" s="166">
        <f t="shared" si="57"/>
        <v>0</v>
      </c>
      <c r="H166" s="166">
        <f t="shared" si="57"/>
        <v>0</v>
      </c>
      <c r="I166" s="166">
        <f t="shared" si="57"/>
        <v>2895677</v>
      </c>
      <c r="J166" s="167">
        <f t="shared" si="55"/>
        <v>0.46770036315428015</v>
      </c>
      <c r="K166" s="458"/>
      <c r="L166" s="163"/>
      <c r="M166" s="163"/>
      <c r="O166" s="329">
        <f>I166/I$233</f>
        <v>133.36144245382951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'[9]Sch C'!D175</f>
        <v>0</v>
      </c>
      <c r="D169" s="480">
        <f>'[9]Sch C'!F175</f>
        <v>0</v>
      </c>
      <c r="E169" s="480">
        <f>+'[9]Sch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'[9]Sch C'!D176</f>
        <v>0</v>
      </c>
      <c r="D170" s="480">
        <f>'[9]Sch C'!F176</f>
        <v>0</v>
      </c>
      <c r="E170" s="480">
        <f>+'[9]Sch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'[9]Sch C'!D177</f>
        <v>0</v>
      </c>
      <c r="D171" s="480">
        <f>'[9]Sch C'!F177</f>
        <v>0</v>
      </c>
      <c r="E171" s="480">
        <f>+'[9]Sch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'[9]Sch C'!D178</f>
        <v>0</v>
      </c>
      <c r="D172" s="480">
        <f>'[9]Sch C'!F178</f>
        <v>0</v>
      </c>
      <c r="E172" s="480">
        <f>+'[9]Sch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'[9]Sch C'!D179</f>
        <v>0</v>
      </c>
      <c r="D173" s="480">
        <f>'[9]Sch C'!F179</f>
        <v>0</v>
      </c>
      <c r="E173" s="480">
        <f>+'[9]Sch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'[9]Sch C'!D180</f>
        <v>0</v>
      </c>
      <c r="D174" s="480">
        <f>'[9]Sch C'!F180</f>
        <v>0</v>
      </c>
      <c r="E174" s="480">
        <f>+'[9]Sch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'[9]Sch C'!D181</f>
        <v>0</v>
      </c>
      <c r="D175" s="480">
        <f>'[9]Sch C'!F181</f>
        <v>0</v>
      </c>
      <c r="E175" s="480">
        <f>+'[9]Sch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'[9]Sch C'!D182</f>
        <v>0</v>
      </c>
      <c r="D176" s="480">
        <f>'[9]Sch C'!F182</f>
        <v>0</v>
      </c>
      <c r="E176" s="480">
        <f>+'[9]Sch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'[9]Sch C'!D183</f>
        <v>0</v>
      </c>
      <c r="D177" s="480">
        <f>'[9]Sch C'!F183</f>
        <v>0</v>
      </c>
      <c r="E177" s="480">
        <f>+'[9]Sch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'[9]Sch C'!D184</f>
        <v>0</v>
      </c>
      <c r="D178" s="480">
        <f>'[9]Sch C'!F184</f>
        <v>0</v>
      </c>
      <c r="E178" s="480">
        <f>+'[9]Sch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'[9]Sch C'!D185</f>
        <v>0</v>
      </c>
      <c r="D179" s="480">
        <f>'[9]Sch C'!F185</f>
        <v>0</v>
      </c>
      <c r="E179" s="480">
        <f>+'[9]Sch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'[9]Sch C'!D186</f>
        <v>0</v>
      </c>
      <c r="D180" s="480">
        <f>'[9]Sch C'!F186</f>
        <v>0</v>
      </c>
      <c r="E180" s="480">
        <f>+'[9]Sch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'[9]Sch C'!D187</f>
        <v>0</v>
      </c>
      <c r="D181" s="480">
        <f>'[9]Sch C'!F187</f>
        <v>0</v>
      </c>
      <c r="E181" s="480">
        <f>+'[9]Sch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'[9]Sch C'!D188</f>
        <v>675</v>
      </c>
      <c r="D182" s="480">
        <f>'[9]Sch C'!F188</f>
        <v>0</v>
      </c>
      <c r="E182" s="480">
        <f>+'[9]Sch C'!H188</f>
        <v>0</v>
      </c>
      <c r="F182" s="166">
        <f t="shared" si="58"/>
        <v>675</v>
      </c>
      <c r="G182" s="626"/>
      <c r="H182" s="166"/>
      <c r="I182" s="166">
        <f t="shared" si="59"/>
        <v>675</v>
      </c>
      <c r="J182" s="167">
        <f t="shared" si="60"/>
        <v>1.0902381209269511E-4</v>
      </c>
      <c r="K182" s="458"/>
      <c r="L182" s="213"/>
      <c r="M182" s="208"/>
      <c r="N182" s="210"/>
      <c r="O182" s="329">
        <f t="shared" si="61"/>
        <v>3.1087367015152214E-2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'[9]Sch C'!D189</f>
        <v>0</v>
      </c>
      <c r="D183" s="480">
        <f>'[9]Sch C'!F189</f>
        <v>0</v>
      </c>
      <c r="E183" s="480">
        <f>+'[9]Sch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'[9]Sch C'!D190</f>
        <v>0</v>
      </c>
      <c r="D184" s="480">
        <f>'[9]Sch C'!F190</f>
        <v>0</v>
      </c>
      <c r="E184" s="480">
        <f>+'[9]Sch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'[9]Sch C'!D191</f>
        <v>0</v>
      </c>
      <c r="D185" s="480">
        <f>'[9]Sch C'!F191</f>
        <v>0</v>
      </c>
      <c r="E185" s="480">
        <f>+'[9]Sch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'[9]Sch C'!D192</f>
        <v>0</v>
      </c>
      <c r="D186" s="480">
        <f>'[9]Sch C'!F192</f>
        <v>0</v>
      </c>
      <c r="E186" s="480">
        <f>+'[9]Sch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'[9]Sch C'!D193</f>
        <v>291</v>
      </c>
      <c r="D187" s="480">
        <f>'[9]Sch C'!F193</f>
        <v>0</v>
      </c>
      <c r="E187" s="480">
        <f>+'[9]Sch C'!H193</f>
        <v>0</v>
      </c>
      <c r="F187" s="166">
        <f t="shared" si="58"/>
        <v>291</v>
      </c>
      <c r="G187" s="626"/>
      <c r="H187" s="166"/>
      <c r="I187" s="166">
        <f t="shared" si="59"/>
        <v>291</v>
      </c>
      <c r="J187" s="167">
        <f t="shared" si="60"/>
        <v>4.7001376768850784E-5</v>
      </c>
      <c r="K187" s="458"/>
      <c r="L187" s="213"/>
      <c r="M187" s="208"/>
      <c r="N187" s="210"/>
      <c r="O187" s="329">
        <f t="shared" si="61"/>
        <v>1.3402109335421176E-2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'[9]Sch C'!D194</f>
        <v>144230</v>
      </c>
      <c r="D188" s="480">
        <f>'[9]Sch C'!F194</f>
        <v>0</v>
      </c>
      <c r="E188" s="480">
        <f>+'[9]Sch C'!H194</f>
        <v>2524</v>
      </c>
      <c r="F188" s="166">
        <f t="shared" si="58"/>
        <v>146754</v>
      </c>
      <c r="G188" s="626"/>
      <c r="H188" s="166"/>
      <c r="I188" s="166">
        <f t="shared" si="59"/>
        <v>146754</v>
      </c>
      <c r="J188" s="167">
        <f t="shared" si="60"/>
        <v>2.3703230399779819E-2</v>
      </c>
      <c r="K188" s="458"/>
      <c r="L188" s="213"/>
      <c r="M188" s="208"/>
      <c r="O188" s="329">
        <f t="shared" si="61"/>
        <v>6.7588080873209595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'[9]Sch C'!D195</f>
        <v>93038</v>
      </c>
      <c r="D189" s="480">
        <f>'[9]Sch C'!F195</f>
        <v>0</v>
      </c>
      <c r="E189" s="480">
        <f>+'[9]Sch C'!H195</f>
        <v>1628</v>
      </c>
      <c r="F189" s="166">
        <f t="shared" si="58"/>
        <v>94666</v>
      </c>
      <c r="G189" s="626"/>
      <c r="H189" s="166"/>
      <c r="I189" s="166">
        <f t="shared" si="59"/>
        <v>94666</v>
      </c>
      <c r="J189" s="167">
        <f t="shared" si="60"/>
        <v>1.5290145474914186E-2</v>
      </c>
      <c r="K189" s="458"/>
      <c r="L189" s="213"/>
      <c r="M189" s="208"/>
      <c r="O189" s="329">
        <f t="shared" si="61"/>
        <v>4.3598765716391101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'[9]Sch C'!D196</f>
        <v>0</v>
      </c>
      <c r="D190" s="480">
        <f>'[9]Sch C'!F196</f>
        <v>0</v>
      </c>
      <c r="E190" s="480">
        <f>+'[9]Sch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'[9]Sch C'!D197</f>
        <v>155816</v>
      </c>
      <c r="D191" s="480">
        <f>'[9]Sch C'!F197</f>
        <v>0</v>
      </c>
      <c r="E191" s="480">
        <f>+'[9]Sch C'!H197</f>
        <v>2727</v>
      </c>
      <c r="F191" s="166">
        <f t="shared" si="58"/>
        <v>158543</v>
      </c>
      <c r="G191" s="626"/>
      <c r="H191" s="166"/>
      <c r="I191" s="166">
        <f t="shared" si="59"/>
        <v>158543</v>
      </c>
      <c r="J191" s="167">
        <f t="shared" si="60"/>
        <v>2.5607351467573574E-2</v>
      </c>
      <c r="K191" s="458"/>
      <c r="L191" s="213"/>
      <c r="M191" s="208"/>
      <c r="O191" s="329">
        <f t="shared" si="61"/>
        <v>7.3017547091604111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'[9]Sch C'!D198</f>
        <v>35816</v>
      </c>
      <c r="D192" s="480">
        <f>'[9]Sch C'!F198</f>
        <v>0</v>
      </c>
      <c r="E192" s="480">
        <f>+'[9]Sch C'!H198</f>
        <v>0</v>
      </c>
      <c r="F192" s="166">
        <f t="shared" si="58"/>
        <v>35816</v>
      </c>
      <c r="G192" s="626"/>
      <c r="H192" s="166"/>
      <c r="I192" s="166">
        <f t="shared" si="59"/>
        <v>35816</v>
      </c>
      <c r="J192" s="167">
        <f t="shared" si="60"/>
        <v>5.7848842280177303E-3</v>
      </c>
      <c r="K192" s="458"/>
      <c r="L192" s="213"/>
      <c r="M192" s="208"/>
      <c r="O192" s="329">
        <f t="shared" si="61"/>
        <v>1.649518721503247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'[9]Sch C'!D199</f>
        <v>0</v>
      </c>
      <c r="D193" s="480">
        <f>'[9]Sch C'!F199</f>
        <v>0</v>
      </c>
      <c r="E193" s="480">
        <f>+'[9]Sch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'[9]Sch C'!D200</f>
        <v>0</v>
      </c>
      <c r="D194" s="480">
        <f>'[9]Sch C'!F200</f>
        <v>0</v>
      </c>
      <c r="E194" s="480">
        <f>+'[9]Sch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'[9]Sch C'!D201</f>
        <v>0</v>
      </c>
      <c r="D195" s="480">
        <f>'[9]Sch C'!F201</f>
        <v>0</v>
      </c>
      <c r="E195" s="480">
        <f>+'[9]Sch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'[9]Sch C'!D202</f>
        <v>0</v>
      </c>
      <c r="D196" s="480">
        <f>'[9]Sch C'!F202</f>
        <v>0</v>
      </c>
      <c r="E196" s="480">
        <f>+'[9]Sch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'[9]Sch C'!D203</f>
        <v>0</v>
      </c>
      <c r="D197" s="480">
        <f>'[9]Sch C'!F203</f>
        <v>0</v>
      </c>
      <c r="E197" s="480">
        <f>+'[9]Sch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'[9]Sch C'!D204</f>
        <v>0</v>
      </c>
      <c r="D198" s="480">
        <f>'[9]Sch C'!F204</f>
        <v>0</v>
      </c>
      <c r="E198" s="480">
        <f>+'[9]Sch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'[9]Sch C'!D205</f>
        <v>85730</v>
      </c>
      <c r="D199" s="480">
        <f>'[9]Sch C'!F205</f>
        <v>0</v>
      </c>
      <c r="E199" s="480">
        <f>+'[9]Sch C'!H205</f>
        <v>0</v>
      </c>
      <c r="F199" s="166">
        <f t="shared" si="58"/>
        <v>85730</v>
      </c>
      <c r="G199" s="626"/>
      <c r="H199" s="166"/>
      <c r="I199" s="166">
        <f t="shared" si="59"/>
        <v>85730</v>
      </c>
      <c r="J199" s="167">
        <f t="shared" si="60"/>
        <v>1.3846831719565559E-2</v>
      </c>
      <c r="K199" s="458"/>
      <c r="L199" s="213"/>
      <c r="M199" s="208"/>
      <c r="O199" s="329">
        <f t="shared" si="61"/>
        <v>3.948325887717036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'[9]Sch C'!D206</f>
        <v>1328</v>
      </c>
      <c r="D200" s="480">
        <f>'[9]Sch C'!F206</f>
        <v>0</v>
      </c>
      <c r="E200" s="480">
        <f>+'[9]Sch C'!H206</f>
        <v>0</v>
      </c>
      <c r="F200" s="166">
        <f t="shared" si="58"/>
        <v>1328</v>
      </c>
      <c r="G200" s="626"/>
      <c r="H200" s="166"/>
      <c r="I200" s="166">
        <f t="shared" si="59"/>
        <v>1328</v>
      </c>
      <c r="J200" s="167">
        <f t="shared" si="60"/>
        <v>2.1449425549496164E-4</v>
      </c>
      <c r="K200" s="458"/>
      <c r="L200" s="213"/>
      <c r="M200" s="208"/>
      <c r="O200" s="329">
        <f t="shared" si="61"/>
        <v>6.1161516142403172E-2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'[9]Sch C'!D207</f>
        <v>0</v>
      </c>
      <c r="D201" s="480">
        <f>'[9]Sch C'!F207</f>
        <v>0</v>
      </c>
      <c r="E201" s="480">
        <f>+'[9]Sch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516924</v>
      </c>
      <c r="D202" s="480">
        <f t="shared" si="62"/>
        <v>0</v>
      </c>
      <c r="E202" s="480">
        <f t="shared" si="62"/>
        <v>6879</v>
      </c>
      <c r="F202" s="166">
        <f t="shared" ref="F202:I202" si="63">SUM(F169:F201)</f>
        <v>523803</v>
      </c>
      <c r="G202" s="166">
        <f t="shared" si="63"/>
        <v>0</v>
      </c>
      <c r="H202" s="166">
        <f t="shared" si="63"/>
        <v>0</v>
      </c>
      <c r="I202" s="166">
        <f t="shared" si="63"/>
        <v>523803</v>
      </c>
      <c r="J202" s="167">
        <f>IF($I$213=0,0,I202/$I$213)</f>
        <v>8.4602962734207379E-2</v>
      </c>
      <c r="K202" s="458"/>
      <c r="L202" s="163"/>
      <c r="M202" s="163"/>
      <c r="O202" s="329">
        <f>I202/I$233</f>
        <v>24.123934969833741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'[9]Sch C'!D211</f>
        <v>197597</v>
      </c>
      <c r="D205" s="480">
        <f>'[9]Sch C'!F211</f>
        <v>0</v>
      </c>
      <c r="E205" s="480">
        <f>+'[9]Sch C'!H211</f>
        <v>0</v>
      </c>
      <c r="F205" s="166">
        <f t="shared" ref="F205:F210" si="64">C205+D205+E205</f>
        <v>197597</v>
      </c>
      <c r="G205" s="626"/>
      <c r="H205" s="166"/>
      <c r="I205" s="166">
        <f t="shared" ref="I205:I210" si="65">F205+G205+H205</f>
        <v>197597</v>
      </c>
      <c r="J205" s="167">
        <f t="shared" ref="J205:J211" si="66">IF($I$213=0,0,I205/$I$213)</f>
        <v>3.1915226960118927E-2</v>
      </c>
      <c r="K205" s="458"/>
      <c r="L205" s="176">
        <v>11947</v>
      </c>
      <c r="M205" s="176">
        <v>12219</v>
      </c>
      <c r="O205" s="329">
        <f t="shared" ref="O205:O210" si="67">I205/I$233</f>
        <v>9.1004006816193073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'[9]Sch C'!D212</f>
        <v>46346</v>
      </c>
      <c r="D206" s="480">
        <f>'[9]Sch C'!F212</f>
        <v>0</v>
      </c>
      <c r="E206" s="480">
        <f>+'[9]Sch C'!H212</f>
        <v>0</v>
      </c>
      <c r="F206" s="166">
        <f t="shared" si="64"/>
        <v>46346</v>
      </c>
      <c r="G206" s="626"/>
      <c r="H206" s="166"/>
      <c r="I206" s="166">
        <f t="shared" si="65"/>
        <v>46346</v>
      </c>
      <c r="J206" s="167">
        <f t="shared" si="66"/>
        <v>7.4856556966637743E-3</v>
      </c>
      <c r="K206" s="458"/>
      <c r="L206" s="163"/>
      <c r="M206" s="163"/>
      <c r="O206" s="329">
        <f t="shared" si="67"/>
        <v>2.1344816469396215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'[9]Sch C'!D213</f>
        <v>3550</v>
      </c>
      <c r="D207" s="480">
        <f>'[9]Sch C'!F213</f>
        <v>0</v>
      </c>
      <c r="E207" s="480">
        <f>+'[9]Sch C'!H213</f>
        <v>0</v>
      </c>
      <c r="F207" s="166">
        <f t="shared" si="64"/>
        <v>3550</v>
      </c>
      <c r="G207" s="626"/>
      <c r="H207" s="166"/>
      <c r="I207" s="166">
        <f t="shared" si="65"/>
        <v>3550</v>
      </c>
      <c r="J207" s="167">
        <f t="shared" si="66"/>
        <v>5.7338449322824842E-4</v>
      </c>
      <c r="K207" s="458"/>
      <c r="L207" s="163"/>
      <c r="M207" s="163"/>
      <c r="O207" s="329">
        <f t="shared" si="67"/>
        <v>0.16349652282043015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'[9]Sch C'!D214</f>
        <v>0</v>
      </c>
      <c r="D208" s="480">
        <f>'[9]Sch C'!F214</f>
        <v>0</v>
      </c>
      <c r="E208" s="480">
        <f>+'[9]Sch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'[9]Sch C'!D215</f>
        <v>0</v>
      </c>
      <c r="D209" s="480">
        <f>'[9]Sch C'!F215</f>
        <v>0</v>
      </c>
      <c r="E209" s="480">
        <f>+'[9]Sch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'[9]Sch C'!D216</f>
        <v>2286</v>
      </c>
      <c r="D210" s="480">
        <f>'[9]Sch C'!F216</f>
        <v>0</v>
      </c>
      <c r="E210" s="480">
        <f>+'[9]Sch C'!H216</f>
        <v>0</v>
      </c>
      <c r="F210" s="166">
        <f t="shared" si="64"/>
        <v>2286</v>
      </c>
      <c r="G210" s="626"/>
      <c r="H210" s="166"/>
      <c r="I210" s="166">
        <f t="shared" si="65"/>
        <v>2286</v>
      </c>
      <c r="J210" s="167">
        <f t="shared" si="66"/>
        <v>3.692273102872608E-4</v>
      </c>
      <c r="K210" s="458"/>
      <c r="L210" s="163"/>
      <c r="M210" s="163"/>
      <c r="O210" s="329">
        <f t="shared" si="67"/>
        <v>0.10528254962464882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249779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249779</v>
      </c>
      <c r="G211" s="166">
        <f t="shared" si="69"/>
        <v>0</v>
      </c>
      <c r="H211" s="166">
        <f t="shared" si="69"/>
        <v>0</v>
      </c>
      <c r="I211" s="166">
        <f t="shared" si="69"/>
        <v>249779</v>
      </c>
      <c r="J211" s="167">
        <f t="shared" si="66"/>
        <v>4.034349446029821E-2</v>
      </c>
      <c r="K211" s="458"/>
      <c r="L211" s="163"/>
      <c r="M211" s="163"/>
      <c r="O211" s="329">
        <f>I211/I$233</f>
        <v>11.503661401004006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6258353</v>
      </c>
      <c r="D213" s="480">
        <f t="shared" si="70"/>
        <v>-161212</v>
      </c>
      <c r="E213" s="480">
        <f t="shared" si="70"/>
        <v>94167</v>
      </c>
      <c r="F213" s="166">
        <f t="shared" ref="F213:I213" si="71">SUM(F30:F211)/2</f>
        <v>6191308</v>
      </c>
      <c r="G213" s="166">
        <f t="shared" si="71"/>
        <v>0</v>
      </c>
      <c r="H213" s="166">
        <f t="shared" si="71"/>
        <v>0</v>
      </c>
      <c r="I213" s="166">
        <f t="shared" si="71"/>
        <v>6191308</v>
      </c>
      <c r="J213" s="167">
        <f>IF($I$213=0,0,I213/$I$213)</f>
        <v>1</v>
      </c>
      <c r="K213" s="458"/>
      <c r="L213" s="176">
        <f>SUM(L30:L205)</f>
        <v>146477</v>
      </c>
      <c r="M213" s="176">
        <f>SUM(M30:M205)</f>
        <v>151234</v>
      </c>
      <c r="O213" s="329">
        <f>I213/I$233</f>
        <v>285.14290977755263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'[9]Sch C'!D221</f>
        <v>6258353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-1795122</v>
      </c>
      <c r="D220" s="480">
        <f t="shared" si="72"/>
        <v>150325</v>
      </c>
      <c r="E220" s="480">
        <f t="shared" si="72"/>
        <v>-94167</v>
      </c>
      <c r="F220" s="166">
        <f t="shared" ref="F220:I220" si="73">F26-F213</f>
        <v>-1738964</v>
      </c>
      <c r="G220" s="166">
        <f t="shared" si="73"/>
        <v>0</v>
      </c>
      <c r="H220" s="166">
        <f t="shared" si="73"/>
        <v>0</v>
      </c>
      <c r="I220" s="166">
        <f t="shared" si="73"/>
        <v>-1738964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'[9]Sch D'!C9</f>
        <v>17237</v>
      </c>
      <c r="D224" s="480"/>
      <c r="E224" s="480"/>
      <c r="F224" s="224">
        <f>C224+D224+E224</f>
        <v>17237</v>
      </c>
      <c r="G224" s="627"/>
      <c r="H224" s="223"/>
      <c r="I224" s="224">
        <f>F224+G224+H224</f>
        <v>17237</v>
      </c>
      <c r="J224" s="167">
        <f t="shared" ref="J224:J233" si="74">IF($I$233=0,0,I224/$I$233)</f>
        <v>0.79385621517063509</v>
      </c>
      <c r="K224" s="458"/>
      <c r="L224" s="163"/>
      <c r="M224" s="163"/>
    </row>
    <row r="225" spans="1:13">
      <c r="A225" s="158"/>
      <c r="B225" s="165" t="s">
        <v>201</v>
      </c>
      <c r="C225" s="504">
        <f>'[9]Sch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'[9]Sch D'!E9</f>
        <v>1633</v>
      </c>
      <c r="D226" s="480"/>
      <c r="E226" s="480"/>
      <c r="F226" s="224">
        <f t="shared" si="75"/>
        <v>1633</v>
      </c>
      <c r="G226" s="627"/>
      <c r="H226" s="223"/>
      <c r="I226" s="224">
        <f t="shared" si="76"/>
        <v>1633</v>
      </c>
      <c r="J226" s="167">
        <f t="shared" si="74"/>
        <v>7.5208400497397868E-2</v>
      </c>
      <c r="K226" s="458"/>
      <c r="L226" s="163"/>
      <c r="M226" s="163"/>
    </row>
    <row r="227" spans="1:13">
      <c r="A227" s="158"/>
      <c r="B227" s="194" t="s">
        <v>315</v>
      </c>
      <c r="C227" s="504">
        <f>'[9]Sch D'!F9</f>
        <v>96</v>
      </c>
      <c r="D227" s="480"/>
      <c r="E227" s="480"/>
      <c r="F227" s="224">
        <f t="shared" si="75"/>
        <v>96</v>
      </c>
      <c r="G227" s="627"/>
      <c r="H227" s="223"/>
      <c r="I227" s="224">
        <f t="shared" si="76"/>
        <v>96</v>
      </c>
      <c r="J227" s="167">
        <f t="shared" si="74"/>
        <v>4.4213144199327595E-3</v>
      </c>
      <c r="K227" s="458"/>
      <c r="L227" s="163"/>
      <c r="M227" s="163"/>
    </row>
    <row r="228" spans="1:13">
      <c r="A228" s="158"/>
      <c r="B228" s="165" t="s">
        <v>65</v>
      </c>
      <c r="C228" s="504">
        <f>'[9]Sch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'[9]Sch D'!H9</f>
        <v>286</v>
      </c>
      <c r="D229" s="480"/>
      <c r="E229" s="480"/>
      <c r="F229" s="224">
        <f t="shared" si="75"/>
        <v>286</v>
      </c>
      <c r="G229" s="627"/>
      <c r="H229" s="223"/>
      <c r="I229" s="224">
        <f t="shared" si="76"/>
        <v>286</v>
      </c>
      <c r="J229" s="167">
        <f t="shared" si="74"/>
        <v>1.3171832542716345E-2</v>
      </c>
      <c r="K229" s="458"/>
      <c r="L229" s="163"/>
      <c r="M229" s="163"/>
    </row>
    <row r="230" spans="1:13">
      <c r="A230" s="158"/>
      <c r="B230" s="165" t="s">
        <v>219</v>
      </c>
      <c r="C230" s="504">
        <f>'[9]Sch D'!I9</f>
        <v>1683</v>
      </c>
      <c r="D230" s="480"/>
      <c r="E230" s="480"/>
      <c r="F230" s="224">
        <f t="shared" si="75"/>
        <v>1683</v>
      </c>
      <c r="G230" s="627"/>
      <c r="H230" s="223"/>
      <c r="I230" s="224">
        <f t="shared" si="76"/>
        <v>1683</v>
      </c>
      <c r="J230" s="167">
        <f t="shared" si="74"/>
        <v>7.7511168424446178E-2</v>
      </c>
      <c r="K230" s="458"/>
      <c r="L230" s="163"/>
      <c r="M230" s="163"/>
    </row>
    <row r="231" spans="1:13">
      <c r="A231" s="158"/>
      <c r="B231" s="165" t="s">
        <v>218</v>
      </c>
      <c r="C231" s="504">
        <f>'[9]Sch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'[9]Sch D'!K9</f>
        <v>778</v>
      </c>
      <c r="D232" s="480"/>
      <c r="E232" s="480"/>
      <c r="F232" s="224">
        <f t="shared" si="75"/>
        <v>778</v>
      </c>
      <c r="G232" s="627"/>
      <c r="H232" s="223"/>
      <c r="I232" s="224">
        <f t="shared" si="76"/>
        <v>778</v>
      </c>
      <c r="J232" s="167">
        <f t="shared" si="74"/>
        <v>3.5831068944871737E-2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21713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21713</v>
      </c>
      <c r="G233" s="226">
        <f t="shared" si="78"/>
        <v>0</v>
      </c>
      <c r="H233" s="226">
        <f t="shared" si="78"/>
        <v>0</v>
      </c>
      <c r="I233" s="226">
        <f t="shared" si="78"/>
        <v>21713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'[9]Sch D'!N22</f>
        <v>90</v>
      </c>
      <c r="D236" s="480"/>
      <c r="E236" s="480"/>
      <c r="F236" s="224">
        <f>C236+E236</f>
        <v>90</v>
      </c>
      <c r="G236" s="627"/>
      <c r="H236" s="224"/>
      <c r="I236" s="224">
        <f>F236+G236+H236</f>
        <v>90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'[9]Sch D'!N24</f>
        <v>90</v>
      </c>
      <c r="D237" s="480"/>
      <c r="E237" s="480"/>
      <c r="F237" s="224">
        <f>C237+E237</f>
        <v>90</v>
      </c>
      <c r="G237" s="627"/>
      <c r="H237" s="224"/>
      <c r="I237" s="224">
        <f>F237+G237+H237</f>
        <v>90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'[9]Sch D'!N28</f>
        <v>32850</v>
      </c>
      <c r="D240" s="427"/>
      <c r="E240" s="427"/>
      <c r="F240" s="223">
        <f>F236*F238</f>
        <v>32850</v>
      </c>
      <c r="G240"/>
      <c r="H240" s="228"/>
      <c r="I240" s="223">
        <f>I236*I238</f>
        <v>32850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'[9]Sch D'!N30</f>
        <v>0.66097412480974127</v>
      </c>
      <c r="D241" s="228"/>
      <c r="E241" s="228"/>
      <c r="F241" s="232">
        <f>F233/F240</f>
        <v>0.66097412480974127</v>
      </c>
      <c r="G241"/>
      <c r="H241" s="233"/>
      <c r="I241" s="232">
        <f>I233/I240</f>
        <v>0.66097412480974127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'[9]Sch D'!N32</f>
        <v>0.52471841704718414</v>
      </c>
      <c r="D242" s="228"/>
      <c r="E242" s="228"/>
      <c r="F242" s="232">
        <f>(F224+F225)/F240</f>
        <v>0.52471841704718414</v>
      </c>
      <c r="G242"/>
      <c r="H242" s="233"/>
      <c r="I242" s="232">
        <f>(I224+I225)/I240</f>
        <v>0.52471841704718414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'[9]Sch D'!N34</f>
        <v>0.79385621517063498</v>
      </c>
      <c r="D243" s="228"/>
      <c r="E243" s="228"/>
      <c r="F243" s="232">
        <f>(F242/F241)</f>
        <v>0.79385621517063498</v>
      </c>
      <c r="G243"/>
      <c r="H243" s="233"/>
      <c r="I243" s="232">
        <f>(I242/I241)</f>
        <v>0.79385621517063498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'[9]Sch B'!C90</f>
        <v>161.42424242424244</v>
      </c>
      <c r="K246" s="460"/>
    </row>
    <row r="247" spans="1:13">
      <c r="H247" s="140" t="s">
        <v>322</v>
      </c>
      <c r="I247" s="480">
        <f>'[9]Sch B'!E90</f>
        <v>161.42741935483872</v>
      </c>
      <c r="K247" s="460"/>
    </row>
    <row r="248" spans="1:13">
      <c r="H248" s="140" t="s">
        <v>323</v>
      </c>
      <c r="I248" s="480">
        <f>'[9]Sch B'!G90</f>
        <v>161.44</v>
      </c>
      <c r="K248" s="460"/>
    </row>
    <row r="249" spans="1:13">
      <c r="H249" s="140" t="s">
        <v>324</v>
      </c>
      <c r="I249" s="480">
        <f>'[9]Sch B'!I90</f>
        <v>161.42253521126761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E28CAB"/>
  </sheetPr>
  <dimension ref="A1:Q277"/>
  <sheetViews>
    <sheetView showGridLines="0" topLeftCell="C10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570</v>
      </c>
      <c r="D2" s="234"/>
      <c r="E2" s="142"/>
      <c r="F2" s="411"/>
      <c r="G2" s="411"/>
    </row>
    <row r="3" spans="1:16">
      <c r="A3" s="143"/>
      <c r="B3" s="138" t="s">
        <v>71</v>
      </c>
      <c r="C3" s="557">
        <f>'[84]Sch A Pg 1'!B39</f>
        <v>43080</v>
      </c>
      <c r="D3" s="620"/>
      <c r="E3" s="393"/>
      <c r="F3" s="144"/>
      <c r="G3" s="144"/>
    </row>
    <row r="4" spans="1:16">
      <c r="A4" s="143"/>
      <c r="B4" s="145" t="s">
        <v>72</v>
      </c>
      <c r="C4" s="557">
        <f>'[84]Sch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492" t="s">
        <v>725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'[84]Sch B'!E10</f>
        <v>136640</v>
      </c>
      <c r="D12" s="480">
        <f>'[84]Sch B'!G10</f>
        <v>0</v>
      </c>
      <c r="E12" s="480"/>
      <c r="F12" s="166">
        <f>C12+D12+E12</f>
        <v>136640</v>
      </c>
      <c r="G12" s="626"/>
      <c r="H12" s="166"/>
      <c r="I12" s="166">
        <f>F12+G12+H12</f>
        <v>136640</v>
      </c>
      <c r="J12" s="167">
        <f>IF($I$26=0,0,I12/$I$26)</f>
        <v>4.1863912259808712E-2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'[84]Sch B'!E12</f>
        <v>25304</v>
      </c>
      <c r="D13" s="480">
        <f>'[84]Sch B'!G12</f>
        <v>0</v>
      </c>
      <c r="E13" s="480"/>
      <c r="F13" s="166">
        <f t="shared" ref="F13:F25" si="0">C13+D13+E13</f>
        <v>25304</v>
      </c>
      <c r="G13" s="626">
        <v>-25304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'[84]Sch B'!E13</f>
        <v>8303</v>
      </c>
      <c r="D14" s="480">
        <f>'[84]Sch B'!G13</f>
        <v>0</v>
      </c>
      <c r="E14" s="480"/>
      <c r="F14" s="166">
        <f t="shared" si="0"/>
        <v>8303</v>
      </c>
      <c r="G14" s="626"/>
      <c r="H14" s="166"/>
      <c r="I14" s="166">
        <f t="shared" si="1"/>
        <v>8303</v>
      </c>
      <c r="J14" s="167">
        <f>IF($I$26=0,0,I14/$I$26)</f>
        <v>2.5438821976960756E-3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'[84]Sch B'!E14</f>
        <v>32454</v>
      </c>
      <c r="D15" s="480">
        <f>'[84]Sch B'!G14</f>
        <v>0</v>
      </c>
      <c r="E15" s="480"/>
      <c r="F15" s="166">
        <f t="shared" si="0"/>
        <v>32454</v>
      </c>
      <c r="G15" s="626"/>
      <c r="H15" s="166"/>
      <c r="I15" s="166">
        <f t="shared" si="1"/>
        <v>32454</v>
      </c>
      <c r="J15" s="167">
        <f>IF($I$26=0,0,I15/$I$26)</f>
        <v>9.943291923886358E-3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'[84]Sch B'!E15</f>
        <v>202701</v>
      </c>
      <c r="D16" s="480">
        <f>'[84]Sch B'!G15</f>
        <v>0</v>
      </c>
      <c r="E16" s="480"/>
      <c r="F16" s="166">
        <f t="shared" si="0"/>
        <v>202701</v>
      </c>
      <c r="G16" s="626"/>
      <c r="H16" s="166"/>
      <c r="I16" s="166">
        <f>SUM(I12:I15)</f>
        <v>177397</v>
      </c>
      <c r="J16" s="167">
        <f t="shared" ref="J16:J26" si="2">IF($I$26=0,0,I16/$I$26)</f>
        <v>5.4351086381391148E-2</v>
      </c>
      <c r="K16" s="458"/>
      <c r="L16" s="333" t="s">
        <v>325</v>
      </c>
      <c r="M16" s="334">
        <f>I26</f>
        <v>3263909</v>
      </c>
      <c r="O16" s="324">
        <f>IFERROR(I16/I224,0)</f>
        <v>248.80364656381488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'[84]Sch B'!E20</f>
        <v>0</v>
      </c>
      <c r="D17" s="480">
        <f>'[84]Sch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3244408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'[84]Sch B'!E26</f>
        <v>2142066</v>
      </c>
      <c r="D18" s="480">
        <f>'[84]Sch B'!G26</f>
        <v>0</v>
      </c>
      <c r="E18" s="480"/>
      <c r="F18" s="166">
        <f t="shared" si="0"/>
        <v>2142066</v>
      </c>
      <c r="G18" s="626"/>
      <c r="H18" s="166"/>
      <c r="I18" s="166">
        <f t="shared" si="1"/>
        <v>2142066</v>
      </c>
      <c r="J18" s="167">
        <f t="shared" si="2"/>
        <v>0.65628851784777087</v>
      </c>
      <c r="K18" s="458"/>
      <c r="L18" s="335" t="s">
        <v>327</v>
      </c>
      <c r="M18" s="336">
        <f>I233</f>
        <v>8254</v>
      </c>
      <c r="O18" s="324">
        <f t="shared" si="3"/>
        <v>460.46130696474637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'[84]Sch B'!E32</f>
        <v>700846</v>
      </c>
      <c r="D19" s="480">
        <f>'[84]Sch B'!G32</f>
        <v>0</v>
      </c>
      <c r="E19" s="480"/>
      <c r="F19" s="166">
        <f t="shared" si="0"/>
        <v>700846</v>
      </c>
      <c r="G19" s="626"/>
      <c r="H19" s="166"/>
      <c r="I19" s="166">
        <f t="shared" si="1"/>
        <v>700846</v>
      </c>
      <c r="J19" s="170">
        <f t="shared" si="2"/>
        <v>0.21472596202896588</v>
      </c>
      <c r="K19" s="464"/>
      <c r="L19" s="335" t="s">
        <v>328</v>
      </c>
      <c r="M19" s="336">
        <f>I236</f>
        <v>52</v>
      </c>
      <c r="O19" s="324">
        <f t="shared" si="3"/>
        <v>328.88127639605818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'[84]Sch B'!E37</f>
        <v>0</v>
      </c>
      <c r="D20" s="480">
        <f>'[84]Sch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10504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'[84]Sch B'!E42</f>
        <v>187209</v>
      </c>
      <c r="D21" s="480">
        <f>'[84]Sch B'!G42</f>
        <v>0</v>
      </c>
      <c r="E21" s="480"/>
      <c r="F21" s="166">
        <f t="shared" si="0"/>
        <v>187209</v>
      </c>
      <c r="G21" s="626">
        <v>-58509</v>
      </c>
      <c r="H21" s="166"/>
      <c r="I21" s="166">
        <f t="shared" si="1"/>
        <v>128700</v>
      </c>
      <c r="J21" s="167">
        <f t="shared" si="2"/>
        <v>3.94312463981073E-2</v>
      </c>
      <c r="K21" s="442" t="s">
        <v>374</v>
      </c>
      <c r="L21" s="337"/>
      <c r="M21" s="336"/>
      <c r="O21" s="324">
        <f t="shared" si="3"/>
        <v>270.94736842105266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'[84]Sch B'!E47</f>
        <v>0</v>
      </c>
      <c r="D22" s="480">
        <f>'[84]Sch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L22" s="335" t="s">
        <v>148</v>
      </c>
      <c r="M22" s="336">
        <f>L213</f>
        <v>76986.849999999991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'[84]Sch B'!E52</f>
        <v>53857</v>
      </c>
      <c r="D23" s="480">
        <f>'[84]Sch B'!G52</f>
        <v>0</v>
      </c>
      <c r="E23" s="480"/>
      <c r="F23" s="166">
        <f t="shared" si="0"/>
        <v>53857</v>
      </c>
      <c r="G23" s="626">
        <v>58509</v>
      </c>
      <c r="H23" s="166"/>
      <c r="I23" s="166">
        <f t="shared" si="1"/>
        <v>112366</v>
      </c>
      <c r="J23" s="167">
        <f t="shared" si="2"/>
        <v>3.4426817659438419E-2</v>
      </c>
      <c r="K23" s="442" t="s">
        <v>374</v>
      </c>
      <c r="L23" s="338" t="s">
        <v>233</v>
      </c>
      <c r="M23" s="339">
        <f>M213</f>
        <v>82093</v>
      </c>
      <c r="O23" s="324">
        <f t="shared" si="3"/>
        <v>397.05300353356893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'[84]Sch B'!E57</f>
        <v>0</v>
      </c>
      <c r="D24" s="480">
        <f>'[84]Sch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'[84]Sch B'!E72</f>
        <v>-7676</v>
      </c>
      <c r="D25" s="480">
        <f>'[84]Sch B'!G72</f>
        <v>0</v>
      </c>
      <c r="E25" s="480"/>
      <c r="F25" s="166">
        <f t="shared" si="0"/>
        <v>-7676</v>
      </c>
      <c r="G25" s="626">
        <v>10210</v>
      </c>
      <c r="H25" s="166"/>
      <c r="I25" s="166">
        <f t="shared" si="1"/>
        <v>2534</v>
      </c>
      <c r="J25" s="167">
        <f t="shared" si="2"/>
        <v>7.7636968432637059E-4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3279003</v>
      </c>
      <c r="D26" s="480">
        <f>SUM(D16:D25)</f>
        <v>0</v>
      </c>
      <c r="E26" s="480"/>
      <c r="F26" s="166">
        <f t="shared" ref="F26" si="4">SUM(F16:F25)</f>
        <v>3279003</v>
      </c>
      <c r="G26" s="166">
        <f>SUM(G12:G25)</f>
        <v>-15094</v>
      </c>
      <c r="H26" s="166">
        <f>SUM(H12:H25)</f>
        <v>0</v>
      </c>
      <c r="I26" s="166">
        <f>SUM(I16:I25)</f>
        <v>3263909</v>
      </c>
      <c r="J26" s="167">
        <f t="shared" si="2"/>
        <v>1</v>
      </c>
      <c r="K26" s="458"/>
      <c r="L26" s="163"/>
      <c r="M26" s="163"/>
      <c r="O26" s="324">
        <f>IFERROR(I26/I233,0)</f>
        <v>395.43360794766176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'[84]Sch C'!D10</f>
        <v>57500</v>
      </c>
      <c r="D30" s="480">
        <f>'[84]Sch C'!F10</f>
        <v>0</v>
      </c>
      <c r="E30" s="480">
        <f>+'[84]Sch C'!H10</f>
        <v>0</v>
      </c>
      <c r="F30" s="166">
        <f t="shared" ref="F30:F65" si="5">C30+D30+E30</f>
        <v>57500</v>
      </c>
      <c r="G30" s="626"/>
      <c r="H30" s="166"/>
      <c r="I30" s="166">
        <f t="shared" ref="I30:I65" si="6">F30+G30+H30</f>
        <v>57500</v>
      </c>
      <c r="J30" s="167">
        <f>IF($I$213=0,0,I30/$I$213)</f>
        <v>1.7722801817773845E-2</v>
      </c>
      <c r="K30" s="458"/>
      <c r="L30" s="176">
        <v>959</v>
      </c>
      <c r="M30" s="176">
        <v>1016</v>
      </c>
      <c r="O30" s="324">
        <f>I30/I$233</f>
        <v>6.9663193603101528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'[84]Sch C'!D11</f>
        <v>0</v>
      </c>
      <c r="D31" s="480">
        <f>'[84]Sch C'!F11</f>
        <v>0</v>
      </c>
      <c r="E31" s="480">
        <f>+'[84]Sch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'[84]Sch C'!D12</f>
        <v>102814</v>
      </c>
      <c r="D32" s="480">
        <f>'[84]Sch C'!F12</f>
        <v>0</v>
      </c>
      <c r="E32" s="480">
        <f>+'[84]Sch C'!H12</f>
        <v>0</v>
      </c>
      <c r="F32" s="166">
        <f t="shared" si="5"/>
        <v>102814</v>
      </c>
      <c r="G32" s="626"/>
      <c r="H32" s="166"/>
      <c r="I32" s="166">
        <f t="shared" si="6"/>
        <v>102814</v>
      </c>
      <c r="J32" s="167">
        <f t="shared" si="7"/>
        <v>3.1689602540740866E-2</v>
      </c>
      <c r="K32" s="458"/>
      <c r="L32" s="176">
        <v>3870.15</v>
      </c>
      <c r="M32" s="176">
        <v>4226</v>
      </c>
      <c r="O32" s="324">
        <f t="shared" si="8"/>
        <v>12.45626362975527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'[84]Sch C'!D13</f>
        <v>264967</v>
      </c>
      <c r="D33" s="480">
        <f>'[84]Sch C'!F13</f>
        <v>-240496</v>
      </c>
      <c r="E33" s="480">
        <f>+'[84]Sch C'!H13</f>
        <v>0</v>
      </c>
      <c r="F33" s="166">
        <f t="shared" si="5"/>
        <v>24471</v>
      </c>
      <c r="G33" s="626"/>
      <c r="H33" s="166"/>
      <c r="I33" s="166">
        <f t="shared" si="6"/>
        <v>24471</v>
      </c>
      <c r="J33" s="167">
        <f t="shared" si="7"/>
        <v>7.5425162310042383E-3</v>
      </c>
      <c r="K33" s="458"/>
      <c r="L33" s="163"/>
      <c r="M33" s="163"/>
      <c r="O33" s="324">
        <f t="shared" si="8"/>
        <v>2.9647443663678215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'[84]Sch C'!D14</f>
        <v>0</v>
      </c>
      <c r="D34" s="480">
        <f>'[84]Sch C'!F14</f>
        <v>0</v>
      </c>
      <c r="E34" s="480">
        <f>+'[84]Sch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'[84]Sch C'!D15</f>
        <v>192000</v>
      </c>
      <c r="D35" s="480">
        <f>'[84]Sch C'!F15</f>
        <v>0</v>
      </c>
      <c r="E35" s="480">
        <f>+'[84]Sch C'!H15</f>
        <v>0</v>
      </c>
      <c r="F35" s="166">
        <f t="shared" si="5"/>
        <v>192000</v>
      </c>
      <c r="G35" s="626"/>
      <c r="H35" s="166">
        <v>-192000</v>
      </c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'[84]Sch C'!D16</f>
        <v>0</v>
      </c>
      <c r="D36" s="480">
        <f>'[84]Sch C'!F16</f>
        <v>0</v>
      </c>
      <c r="E36" s="480">
        <f>+'[84]Sch C'!H16</f>
        <v>-116723</v>
      </c>
      <c r="F36" s="166">
        <f t="shared" si="5"/>
        <v>-116723</v>
      </c>
      <c r="G36" s="626"/>
      <c r="H36" s="166">
        <v>192000</v>
      </c>
      <c r="I36" s="166">
        <f t="shared" si="6"/>
        <v>75277</v>
      </c>
      <c r="J36" s="167">
        <f t="shared" si="7"/>
        <v>2.3202075694548897E-2</v>
      </c>
      <c r="K36" s="458"/>
      <c r="L36" s="163"/>
      <c r="M36" s="163"/>
      <c r="O36" s="324">
        <f t="shared" si="8"/>
        <v>9.1200629997576925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'[84]Sch C'!D17</f>
        <v>0</v>
      </c>
      <c r="D37" s="480">
        <f>'[84]Sch C'!F17</f>
        <v>0</v>
      </c>
      <c r="E37" s="480">
        <f>+'[84]Sch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'[84]Sch C'!D18</f>
        <v>7154</v>
      </c>
      <c r="D38" s="480">
        <f>'[84]Sch C'!F18</f>
        <v>0</v>
      </c>
      <c r="E38" s="480">
        <f>+'[84]Sch C'!H18</f>
        <v>0</v>
      </c>
      <c r="F38" s="166">
        <f t="shared" si="5"/>
        <v>7154</v>
      </c>
      <c r="G38" s="626"/>
      <c r="H38" s="166"/>
      <c r="I38" s="166">
        <f t="shared" si="6"/>
        <v>7154</v>
      </c>
      <c r="J38" s="167">
        <f t="shared" si="7"/>
        <v>2.2050247687713754E-3</v>
      </c>
      <c r="K38" s="458"/>
      <c r="L38" s="163"/>
      <c r="M38" s="163"/>
      <c r="O38" s="324">
        <f t="shared" si="8"/>
        <v>0.86673128180276227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'[84]Sch C'!D19</f>
        <v>12254</v>
      </c>
      <c r="D39" s="480">
        <f>'[84]Sch C'!F19</f>
        <v>0</v>
      </c>
      <c r="E39" s="480">
        <f>+'[84]Sch C'!H19</f>
        <v>0</v>
      </c>
      <c r="F39" s="166">
        <f t="shared" si="5"/>
        <v>12254</v>
      </c>
      <c r="G39" s="626">
        <v>-6000</v>
      </c>
      <c r="H39" s="166"/>
      <c r="I39" s="166">
        <f t="shared" si="6"/>
        <v>6254</v>
      </c>
      <c r="J39" s="167">
        <f t="shared" si="7"/>
        <v>1.9276243924931759E-3</v>
      </c>
      <c r="K39" s="458"/>
      <c r="L39" s="163"/>
      <c r="M39" s="163"/>
      <c r="O39" s="324">
        <f t="shared" si="8"/>
        <v>0.75769323964138602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'[84]Sch C'!D20</f>
        <v>9673</v>
      </c>
      <c r="D40" s="480">
        <f>'[84]Sch C'!F20</f>
        <v>0</v>
      </c>
      <c r="E40" s="480">
        <f>+'[84]Sch C'!H20</f>
        <v>0</v>
      </c>
      <c r="F40" s="166">
        <f t="shared" si="5"/>
        <v>9673</v>
      </c>
      <c r="G40" s="626"/>
      <c r="H40" s="166"/>
      <c r="I40" s="166">
        <f t="shared" si="6"/>
        <v>9673</v>
      </c>
      <c r="J40" s="167">
        <f t="shared" si="7"/>
        <v>2.9814375997100242E-3</v>
      </c>
      <c r="K40" s="458"/>
      <c r="L40" s="163"/>
      <c r="M40" s="163"/>
      <c r="O40" s="324">
        <f t="shared" si="8"/>
        <v>1.1719166464744366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'[84]Sch C'!D21</f>
        <v>8217</v>
      </c>
      <c r="D41" s="480">
        <f>'[84]Sch C'!F21</f>
        <v>0</v>
      </c>
      <c r="E41" s="480">
        <f>+'[84]Sch C'!H21</f>
        <v>0</v>
      </c>
      <c r="F41" s="166">
        <f t="shared" si="5"/>
        <v>8217</v>
      </c>
      <c r="G41" s="626"/>
      <c r="H41" s="166"/>
      <c r="I41" s="166">
        <f t="shared" si="6"/>
        <v>8217</v>
      </c>
      <c r="J41" s="167">
        <f t="shared" si="7"/>
        <v>2.5326654354199596E-3</v>
      </c>
      <c r="K41" s="458"/>
      <c r="L41" s="163"/>
      <c r="M41" s="163"/>
      <c r="O41" s="324">
        <f t="shared" si="8"/>
        <v>0.99551732493336564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'[84]Sch C'!D22</f>
        <v>0</v>
      </c>
      <c r="D42" s="480">
        <f>'[84]Sch C'!F22</f>
        <v>0</v>
      </c>
      <c r="E42" s="480">
        <f>+'[84]Sch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'[84]Sch C'!D23</f>
        <v>1261</v>
      </c>
      <c r="D43" s="480">
        <f>'[84]Sch C'!F23</f>
        <v>0</v>
      </c>
      <c r="E43" s="480">
        <f>+'[84]Sch C'!H23</f>
        <v>0</v>
      </c>
      <c r="F43" s="166">
        <f t="shared" si="5"/>
        <v>1261</v>
      </c>
      <c r="G43" s="626"/>
      <c r="H43" s="166"/>
      <c r="I43" s="166">
        <f t="shared" si="6"/>
        <v>1261</v>
      </c>
      <c r="J43" s="167">
        <f t="shared" si="7"/>
        <v>3.8866874942978814E-4</v>
      </c>
      <c r="K43" s="458" t="s">
        <v>491</v>
      </c>
      <c r="L43" s="163"/>
      <c r="M43" s="163"/>
      <c r="O43" s="324">
        <f t="shared" si="8"/>
        <v>0.15277441240610612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'[84]Sch C'!D24</f>
        <v>33304</v>
      </c>
      <c r="D44" s="480">
        <f>'[84]Sch C'!F24</f>
        <v>0</v>
      </c>
      <c r="E44" s="480">
        <f>+'[84]Sch C'!H24</f>
        <v>0</v>
      </c>
      <c r="F44" s="166">
        <f t="shared" si="5"/>
        <v>33304</v>
      </c>
      <c r="G44" s="626">
        <v>-3475</v>
      </c>
      <c r="H44" s="166"/>
      <c r="I44" s="166">
        <f t="shared" si="6"/>
        <v>29829</v>
      </c>
      <c r="J44" s="167">
        <f t="shared" si="7"/>
        <v>9.1939731377804514E-3</v>
      </c>
      <c r="K44" s="458" t="s">
        <v>492</v>
      </c>
      <c r="L44" s="163"/>
      <c r="M44" s="163"/>
      <c r="O44" s="324">
        <f t="shared" si="8"/>
        <v>3.6138841773685484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'[84]Sch C'!D25</f>
        <v>0</v>
      </c>
      <c r="D45" s="480">
        <f>'[84]Sch C'!F25</f>
        <v>0</v>
      </c>
      <c r="E45" s="480">
        <f>+'[84]Sch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'[84]Sch C'!D26</f>
        <v>33274</v>
      </c>
      <c r="D46" s="480">
        <f>'[84]Sch C'!F26</f>
        <v>0</v>
      </c>
      <c r="E46" s="480">
        <f>+'[84]Sch C'!H26</f>
        <v>0</v>
      </c>
      <c r="F46" s="166">
        <f t="shared" si="5"/>
        <v>33274</v>
      </c>
      <c r="G46" s="626"/>
      <c r="H46" s="166"/>
      <c r="I46" s="166">
        <f t="shared" si="6"/>
        <v>33274</v>
      </c>
      <c r="J46" s="167">
        <f t="shared" si="7"/>
        <v>1.0255800133645337E-2</v>
      </c>
      <c r="K46" s="458"/>
      <c r="L46" s="163"/>
      <c r="M46" s="163"/>
      <c r="O46" s="324">
        <f t="shared" si="8"/>
        <v>4.0312575720862611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'[84]Sch C'!D27</f>
        <v>98</v>
      </c>
      <c r="D47" s="480">
        <f>'[84]Sch C'!F27</f>
        <v>-3</v>
      </c>
      <c r="E47" s="480">
        <f>+'[84]Sch C'!H27</f>
        <v>0</v>
      </c>
      <c r="F47" s="166">
        <f t="shared" si="5"/>
        <v>95</v>
      </c>
      <c r="G47" s="626"/>
      <c r="H47" s="166"/>
      <c r="I47" s="166">
        <f t="shared" si="6"/>
        <v>95</v>
      </c>
      <c r="J47" s="167">
        <f t="shared" si="7"/>
        <v>2.928115082936548E-5</v>
      </c>
      <c r="K47" s="458"/>
      <c r="L47" s="163"/>
      <c r="M47" s="163"/>
      <c r="O47" s="324">
        <f t="shared" si="8"/>
        <v>1.1509571117034165E-2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'[84]Sch C'!D28</f>
        <v>0</v>
      </c>
      <c r="D48" s="480">
        <f>'[84]Sch C'!F28</f>
        <v>0</v>
      </c>
      <c r="E48" s="480">
        <f>+'[84]Sch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'[84]Sch C'!D29</f>
        <v>-45187</v>
      </c>
      <c r="D49" s="480">
        <f>'[84]Sch C'!F29</f>
        <v>45187</v>
      </c>
      <c r="E49" s="480">
        <f>+'[84]Sch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'[84]Sch C'!D30</f>
        <v>0</v>
      </c>
      <c r="D50" s="480">
        <f>'[84]Sch C'!F30</f>
        <v>0</v>
      </c>
      <c r="E50" s="480">
        <f>+'[84]Sch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'[84]Sch C'!D31</f>
        <v>22117</v>
      </c>
      <c r="D51" s="480">
        <f>'[84]Sch C'!F31</f>
        <v>0</v>
      </c>
      <c r="E51" s="480">
        <f>+'[84]Sch C'!H31</f>
        <v>0</v>
      </c>
      <c r="F51" s="166">
        <f t="shared" si="5"/>
        <v>22117</v>
      </c>
      <c r="G51" s="626"/>
      <c r="H51" s="166"/>
      <c r="I51" s="166">
        <f t="shared" si="6"/>
        <v>22117</v>
      </c>
      <c r="J51" s="167">
        <f t="shared" si="7"/>
        <v>6.8169601357165929E-3</v>
      </c>
      <c r="K51" s="458"/>
      <c r="L51" s="163"/>
      <c r="M51" s="163"/>
      <c r="O51" s="324">
        <f t="shared" si="8"/>
        <v>2.6795493094257328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'[84]Sch C'!D32</f>
        <v>250</v>
      </c>
      <c r="D52" s="480">
        <f>'[84]Sch C'!F32</f>
        <v>0</v>
      </c>
      <c r="E52" s="480">
        <f>+'[84]Sch C'!H32</f>
        <v>0</v>
      </c>
      <c r="F52" s="166">
        <f t="shared" si="5"/>
        <v>250</v>
      </c>
      <c r="G52" s="626"/>
      <c r="H52" s="166"/>
      <c r="I52" s="166">
        <f t="shared" si="6"/>
        <v>250</v>
      </c>
      <c r="J52" s="167">
        <f t="shared" si="7"/>
        <v>7.7055660077277586E-5</v>
      </c>
      <c r="K52" s="458"/>
      <c r="L52" s="163"/>
      <c r="M52" s="163"/>
      <c r="O52" s="324">
        <f t="shared" si="8"/>
        <v>3.0288345044826751E-2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'[84]Sch C'!D33</f>
        <v>0</v>
      </c>
      <c r="D53" s="480">
        <f>'[84]Sch C'!F33</f>
        <v>0</v>
      </c>
      <c r="E53" s="480">
        <f>+'[84]Sch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'[84]Sch C'!D34</f>
        <v>0</v>
      </c>
      <c r="D54" s="480">
        <f>'[84]Sch C'!F34</f>
        <v>0</v>
      </c>
      <c r="E54" s="480">
        <f>+'[84]Sch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'[84]Sch C'!D35</f>
        <v>0</v>
      </c>
      <c r="D55" s="480">
        <f>'[84]Sch C'!F35</f>
        <v>0</v>
      </c>
      <c r="E55" s="480">
        <f>+'[84]Sch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'[84]Sch C'!D36</f>
        <v>40791</v>
      </c>
      <c r="D56" s="480">
        <f>'[84]Sch C'!F36</f>
        <v>0</v>
      </c>
      <c r="E56" s="480">
        <f>+'[84]Sch C'!H36</f>
        <v>0</v>
      </c>
      <c r="F56" s="166">
        <f t="shared" si="5"/>
        <v>40791</v>
      </c>
      <c r="G56" s="626"/>
      <c r="H56" s="166"/>
      <c r="I56" s="166">
        <f t="shared" si="6"/>
        <v>40791</v>
      </c>
      <c r="J56" s="167">
        <f t="shared" si="7"/>
        <v>1.2572709720848918E-2</v>
      </c>
      <c r="K56" s="458"/>
      <c r="L56" s="176">
        <v>2378.5300000000002</v>
      </c>
      <c r="M56" s="176">
        <v>2503</v>
      </c>
      <c r="O56" s="324">
        <f t="shared" si="8"/>
        <v>4.9419675308941118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'[84]Sch C'!D37</f>
        <v>0</v>
      </c>
      <c r="D57" s="480">
        <f>'[84]Sch C'!F37</f>
        <v>6227</v>
      </c>
      <c r="E57" s="480">
        <f>+'[84]Sch C'!H37</f>
        <v>0</v>
      </c>
      <c r="F57" s="166">
        <f t="shared" si="5"/>
        <v>6227</v>
      </c>
      <c r="G57" s="626"/>
      <c r="H57" s="166"/>
      <c r="I57" s="166">
        <f t="shared" si="6"/>
        <v>6227</v>
      </c>
      <c r="J57" s="167">
        <f t="shared" si="7"/>
        <v>1.91930238120483E-3</v>
      </c>
      <c r="K57" s="458"/>
      <c r="L57" s="163"/>
      <c r="M57" s="163"/>
      <c r="O57" s="324">
        <f t="shared" si="8"/>
        <v>0.75442209837654473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'[84]Sch C'!D38</f>
        <v>0</v>
      </c>
      <c r="D58" s="480">
        <f>'[84]Sch C'!F38</f>
        <v>0</v>
      </c>
      <c r="E58" s="480">
        <f>+'[84]Sch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'[84]Sch C'!D39</f>
        <v>2990</v>
      </c>
      <c r="D59" s="480">
        <f>'[84]Sch C'!F39</f>
        <v>0</v>
      </c>
      <c r="E59" s="480">
        <f>+'[84]Sch C'!H39</f>
        <v>0</v>
      </c>
      <c r="F59" s="166">
        <f t="shared" si="5"/>
        <v>2990</v>
      </c>
      <c r="G59" s="626"/>
      <c r="H59" s="166"/>
      <c r="I59" s="166">
        <f t="shared" si="6"/>
        <v>2990</v>
      </c>
      <c r="J59" s="167">
        <f t="shared" si="7"/>
        <v>9.2158569452423982E-4</v>
      </c>
      <c r="K59" s="458"/>
      <c r="L59" s="163"/>
      <c r="M59" s="163"/>
      <c r="O59" s="324">
        <f t="shared" si="8"/>
        <v>0.36224860673612796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'[84]Sch C'!D40</f>
        <v>5778</v>
      </c>
      <c r="D60" s="480">
        <f>'[84]Sch C'!F40</f>
        <v>-5546</v>
      </c>
      <c r="E60" s="480">
        <f>+'[84]Sch C'!H40</f>
        <v>0</v>
      </c>
      <c r="F60" s="166">
        <f t="shared" si="5"/>
        <v>232</v>
      </c>
      <c r="G60" s="626"/>
      <c r="H60" s="166"/>
      <c r="I60" s="166">
        <f t="shared" si="6"/>
        <v>232</v>
      </c>
      <c r="J60" s="167">
        <f t="shared" si="7"/>
        <v>7.1507652551713597E-5</v>
      </c>
      <c r="K60" s="458"/>
      <c r="L60" s="163"/>
      <c r="M60" s="163"/>
      <c r="O60" s="324">
        <f t="shared" si="8"/>
        <v>2.8107584201599225E-2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'[84]Sch C'!D41</f>
        <v>0</v>
      </c>
      <c r="D61" s="480">
        <f>'[84]Sch C'!F41</f>
        <v>0</v>
      </c>
      <c r="E61" s="480">
        <f>+'[84]Sch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'[84]Sch C'!D42</f>
        <v>896</v>
      </c>
      <c r="D62" s="480">
        <f>'[84]Sch C'!F42</f>
        <v>0</v>
      </c>
      <c r="E62" s="480">
        <f>+'[84]Sch C'!H42</f>
        <v>0</v>
      </c>
      <c r="F62" s="166">
        <f t="shared" si="5"/>
        <v>896</v>
      </c>
      <c r="G62" s="626"/>
      <c r="H62" s="166"/>
      <c r="I62" s="166">
        <f t="shared" si="6"/>
        <v>896</v>
      </c>
      <c r="J62" s="167">
        <f t="shared" si="7"/>
        <v>2.7616748571696287E-4</v>
      </c>
      <c r="K62" s="458"/>
      <c r="L62" s="163"/>
      <c r="M62" s="163"/>
      <c r="O62" s="324">
        <f t="shared" si="8"/>
        <v>0.10855342864065907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'[84]Sch C'!D43</f>
        <v>6923</v>
      </c>
      <c r="D63" s="480">
        <f>'[84]Sch C'!F43</f>
        <v>-6923</v>
      </c>
      <c r="E63" s="480">
        <f>+'[84]Sch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'[84]Sch C'!D44</f>
        <v>0</v>
      </c>
      <c r="D64" s="480">
        <f>'[84]Sch C'!F44</f>
        <v>0</v>
      </c>
      <c r="E64" s="480">
        <f>+'[84]Sch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'[84]Sch C'!D45</f>
        <v>13276</v>
      </c>
      <c r="D65" s="480">
        <f>'[84]Sch C'!F45</f>
        <v>-100</v>
      </c>
      <c r="E65" s="480">
        <f>+'[84]Sch C'!H45</f>
        <v>0</v>
      </c>
      <c r="F65" s="166">
        <f t="shared" si="5"/>
        <v>13176</v>
      </c>
      <c r="G65" s="626"/>
      <c r="H65" s="166"/>
      <c r="I65" s="166">
        <f t="shared" si="6"/>
        <v>13176</v>
      </c>
      <c r="J65" s="167">
        <f t="shared" si="7"/>
        <v>4.0611415087128374E-3</v>
      </c>
      <c r="K65" s="458"/>
      <c r="L65" s="163"/>
      <c r="M65" s="163"/>
      <c r="O65" s="324">
        <f t="shared" si="8"/>
        <v>1.596316937242549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770350</v>
      </c>
      <c r="D66" s="480">
        <f t="shared" si="9"/>
        <v>-201654</v>
      </c>
      <c r="E66" s="480">
        <f t="shared" si="9"/>
        <v>-116723</v>
      </c>
      <c r="F66" s="166">
        <f t="shared" ref="F66:I66" si="10">SUM(F30:F65)</f>
        <v>451973</v>
      </c>
      <c r="G66" s="166">
        <f t="shared" si="10"/>
        <v>-9475</v>
      </c>
      <c r="H66" s="166">
        <f t="shared" si="10"/>
        <v>0</v>
      </c>
      <c r="I66" s="166">
        <f t="shared" si="10"/>
        <v>442498</v>
      </c>
      <c r="J66" s="178">
        <f t="shared" si="7"/>
        <v>0.13638790189150071</v>
      </c>
      <c r="K66" s="465"/>
      <c r="L66" s="163"/>
      <c r="M66" s="163"/>
      <c r="O66" s="329">
        <f>I66/I$233</f>
        <v>53.610128422582989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'[84]Sch C'!D57</f>
        <v>0</v>
      </c>
      <c r="D69" s="480">
        <f>'[84]Sch C'!F57</f>
        <v>0</v>
      </c>
      <c r="E69" s="480">
        <f>+'[84]Sch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'[84]Sch C'!D58</f>
        <v>186322</v>
      </c>
      <c r="D70" s="480">
        <f>'[84]Sch C'!F58</f>
        <v>0</v>
      </c>
      <c r="E70" s="480">
        <f>+'[84]Sch C'!H58</f>
        <v>0</v>
      </c>
      <c r="F70" s="166">
        <f t="shared" ref="F70:F83" si="13">C70+D70+E70</f>
        <v>186322</v>
      </c>
      <c r="G70" s="626"/>
      <c r="H70" s="166"/>
      <c r="I70" s="166">
        <f t="shared" ref="I70:I83" si="14">F70+G70+H70</f>
        <v>186322</v>
      </c>
      <c r="J70" s="167">
        <f t="shared" si="11"/>
        <v>5.7428658787674051E-2</v>
      </c>
      <c r="K70" s="458"/>
      <c r="L70" s="182"/>
      <c r="M70" s="163"/>
      <c r="O70" s="324">
        <f t="shared" si="12"/>
        <v>22.573540101768838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'[84]Sch C'!D59</f>
        <v>164708</v>
      </c>
      <c r="D71" s="480">
        <f>'[84]Sch C'!F59</f>
        <v>0</v>
      </c>
      <c r="E71" s="480">
        <f>+'[84]Sch C'!H59</f>
        <v>0</v>
      </c>
      <c r="F71" s="166">
        <f t="shared" si="13"/>
        <v>164708</v>
      </c>
      <c r="G71" s="626"/>
      <c r="H71" s="166"/>
      <c r="I71" s="166">
        <f t="shared" si="14"/>
        <v>164708</v>
      </c>
      <c r="J71" s="167">
        <f t="shared" si="11"/>
        <v>5.0766734640032944E-2</v>
      </c>
      <c r="K71" s="458"/>
      <c r="L71" s="182"/>
      <c r="M71" s="163"/>
      <c r="O71" s="324">
        <f t="shared" si="12"/>
        <v>19.954930942573299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'[84]Sch C'!D60</f>
        <v>40282</v>
      </c>
      <c r="D72" s="480">
        <f>'[84]Sch C'!F60</f>
        <v>0</v>
      </c>
      <c r="E72" s="480">
        <f>+'[84]Sch C'!H60</f>
        <v>0</v>
      </c>
      <c r="F72" s="166">
        <f t="shared" si="13"/>
        <v>40282</v>
      </c>
      <c r="G72" s="626"/>
      <c r="H72" s="166"/>
      <c r="I72" s="166">
        <f t="shared" si="14"/>
        <v>40282</v>
      </c>
      <c r="J72" s="167">
        <f t="shared" si="11"/>
        <v>1.2415824396931582E-2</v>
      </c>
      <c r="K72" s="458"/>
      <c r="L72" s="185"/>
      <c r="M72" s="163"/>
      <c r="O72" s="324">
        <f t="shared" si="12"/>
        <v>4.8803004603828448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'[84]Sch C'!D61</f>
        <v>23796</v>
      </c>
      <c r="D73" s="480">
        <f>'[84]Sch C'!F61</f>
        <v>0</v>
      </c>
      <c r="E73" s="480">
        <f>+'[84]Sch C'!H61</f>
        <v>0</v>
      </c>
      <c r="F73" s="166">
        <f t="shared" si="13"/>
        <v>23796</v>
      </c>
      <c r="G73" s="626"/>
      <c r="H73" s="166"/>
      <c r="I73" s="166">
        <f t="shared" si="14"/>
        <v>23796</v>
      </c>
      <c r="J73" s="167">
        <f t="shared" si="11"/>
        <v>7.3344659487955891E-3</v>
      </c>
      <c r="K73" s="458"/>
      <c r="L73" s="185"/>
      <c r="M73" s="163"/>
      <c r="O73" s="324">
        <f t="shared" si="12"/>
        <v>2.8829658347467895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'[84]Sch C'!D62</f>
        <v>0</v>
      </c>
      <c r="D74" s="480">
        <f>'[84]Sch C'!F62</f>
        <v>0</v>
      </c>
      <c r="E74" s="480">
        <f>+'[84]Sch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'[84]Sch C'!D63</f>
        <v>0</v>
      </c>
      <c r="D75" s="480">
        <f>'[84]Sch C'!F63</f>
        <v>0</v>
      </c>
      <c r="E75" s="480">
        <f>+'[84]Sch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'[84]Sch C'!D64</f>
        <v>0</v>
      </c>
      <c r="D76" s="480">
        <f>'[84]Sch C'!F64</f>
        <v>0</v>
      </c>
      <c r="E76" s="480">
        <f>+'[84]Sch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'[84]Sch C'!D65</f>
        <v>734</v>
      </c>
      <c r="D77" s="480">
        <f>'[84]Sch C'!F65</f>
        <v>0</v>
      </c>
      <c r="E77" s="480">
        <f>+'[84]Sch C'!H65</f>
        <v>0</v>
      </c>
      <c r="F77" s="166">
        <f t="shared" si="13"/>
        <v>734</v>
      </c>
      <c r="G77" s="626"/>
      <c r="H77" s="166"/>
      <c r="I77" s="166">
        <f t="shared" si="14"/>
        <v>734</v>
      </c>
      <c r="J77" s="167">
        <f t="shared" si="11"/>
        <v>2.2623541798688697E-4</v>
      </c>
      <c r="K77" s="458"/>
      <c r="L77" s="187"/>
      <c r="M77" s="163"/>
      <c r="O77" s="324">
        <f t="shared" si="12"/>
        <v>8.8926581051611345E-2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'[84]Sch C'!D66</f>
        <v>18315</v>
      </c>
      <c r="D78" s="480">
        <f>'[84]Sch C'!F66</f>
        <v>0</v>
      </c>
      <c r="E78" s="480">
        <f>+'[84]Sch C'!H66</f>
        <v>0</v>
      </c>
      <c r="F78" s="166">
        <f t="shared" si="13"/>
        <v>18315</v>
      </c>
      <c r="G78" s="626">
        <v>16875</v>
      </c>
      <c r="H78" s="166"/>
      <c r="I78" s="166">
        <f t="shared" si="14"/>
        <v>35190</v>
      </c>
      <c r="J78" s="167">
        <f t="shared" si="11"/>
        <v>1.0846354712477592E-2</v>
      </c>
      <c r="K78" s="458"/>
      <c r="L78" s="187"/>
      <c r="M78" s="163"/>
      <c r="O78" s="324">
        <f t="shared" si="12"/>
        <v>4.2633874485098131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'[84]Sch C'!D67</f>
        <v>0</v>
      </c>
      <c r="D79" s="480">
        <f>'[84]Sch C'!F67</f>
        <v>0</v>
      </c>
      <c r="E79" s="480">
        <f>+'[84]Sch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'[84]Sch C'!D68</f>
        <v>0</v>
      </c>
      <c r="D80" s="480">
        <f>'[84]Sch C'!F68</f>
        <v>0</v>
      </c>
      <c r="E80" s="480">
        <f>+'[84]Sch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'[84]Sch C'!D69</f>
        <v>1326</v>
      </c>
      <c r="D81" s="480">
        <f>'[84]Sch C'!F69</f>
        <v>0</v>
      </c>
      <c r="E81" s="480">
        <f>+'[84]Sch C'!H69</f>
        <v>0</v>
      </c>
      <c r="F81" s="166">
        <f t="shared" si="13"/>
        <v>1326</v>
      </c>
      <c r="G81" s="626"/>
      <c r="H81" s="166"/>
      <c r="I81" s="166">
        <f t="shared" si="14"/>
        <v>1326</v>
      </c>
      <c r="J81" s="167">
        <f t="shared" si="11"/>
        <v>4.0870322104988028E-4</v>
      </c>
      <c r="K81" s="458"/>
      <c r="L81" s="187"/>
      <c r="M81" s="163"/>
      <c r="O81" s="324">
        <f t="shared" si="12"/>
        <v>0.16064938211776109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'[84]Sch C'!D70</f>
        <v>0</v>
      </c>
      <c r="D82" s="480">
        <f>'[84]Sch C'!F70</f>
        <v>0</v>
      </c>
      <c r="E82" s="480">
        <f>+'[84]Sch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'[84]Sch C'!D71</f>
        <v>0</v>
      </c>
      <c r="D83" s="480">
        <f>'[84]Sch C'!F71</f>
        <v>0</v>
      </c>
      <c r="E83" s="480">
        <f>+'[84]Sch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435483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435483</v>
      </c>
      <c r="G84" s="166">
        <f t="shared" si="16"/>
        <v>16875</v>
      </c>
      <c r="H84" s="166">
        <f t="shared" si="16"/>
        <v>0</v>
      </c>
      <c r="I84" s="166">
        <f t="shared" si="16"/>
        <v>452358</v>
      </c>
      <c r="J84" s="167">
        <f t="shared" si="11"/>
        <v>0.13942697712494853</v>
      </c>
      <c r="K84" s="458"/>
      <c r="L84" s="187"/>
      <c r="M84" s="163"/>
      <c r="O84" s="324">
        <f t="shared" si="12"/>
        <v>54.804700751150961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'[84]Sch C'!D75</f>
        <v>17060</v>
      </c>
      <c r="D87" s="480">
        <f>'[84]Sch C'!F75</f>
        <v>0</v>
      </c>
      <c r="E87" s="480">
        <f>+'[84]Sch C'!H75</f>
        <v>0</v>
      </c>
      <c r="F87" s="166">
        <f t="shared" ref="F87:F97" si="17">C87+D87+E87</f>
        <v>17060</v>
      </c>
      <c r="G87" s="626"/>
      <c r="H87" s="166"/>
      <c r="I87" s="166">
        <f t="shared" ref="I87:I97" si="18">F87+G87+H87</f>
        <v>17060</v>
      </c>
      <c r="J87" s="167">
        <f t="shared" ref="J87:J98" si="19">IF($I$213=0,0,I87/$I$213)</f>
        <v>5.2582782436734225E-3</v>
      </c>
      <c r="K87" s="458"/>
      <c r="L87" s="176">
        <v>926.55</v>
      </c>
      <c r="M87" s="176">
        <v>988</v>
      </c>
      <c r="O87" s="324">
        <f t="shared" ref="O87:O97" si="20">I87/I$233</f>
        <v>2.0668766658589774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'[84]Sch C'!D76</f>
        <v>0</v>
      </c>
      <c r="D88" s="480">
        <f>'[84]Sch C'!F76</f>
        <v>2604</v>
      </c>
      <c r="E88" s="480">
        <f>+'[84]Sch C'!H76</f>
        <v>0</v>
      </c>
      <c r="F88" s="166">
        <f t="shared" si="17"/>
        <v>2604</v>
      </c>
      <c r="G88" s="626"/>
      <c r="H88" s="166"/>
      <c r="I88" s="166">
        <f t="shared" si="18"/>
        <v>2604</v>
      </c>
      <c r="J88" s="167">
        <f t="shared" si="19"/>
        <v>8.0261175536492323E-4</v>
      </c>
      <c r="K88" s="458"/>
      <c r="L88" s="163"/>
      <c r="M88" s="163"/>
      <c r="O88" s="324">
        <f t="shared" si="20"/>
        <v>0.31548340198691543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'[84]Sch C'!D77</f>
        <v>3306</v>
      </c>
      <c r="D89" s="480">
        <f>'[84]Sch C'!F77</f>
        <v>0</v>
      </c>
      <c r="E89" s="480">
        <f>+'[84]Sch C'!H77</f>
        <v>0</v>
      </c>
      <c r="F89" s="166">
        <f t="shared" si="17"/>
        <v>3306</v>
      </c>
      <c r="G89" s="626"/>
      <c r="H89" s="166"/>
      <c r="I89" s="166">
        <f t="shared" si="18"/>
        <v>3306</v>
      </c>
      <c r="J89" s="167">
        <f t="shared" si="19"/>
        <v>1.0189840488619188E-3</v>
      </c>
      <c r="K89" s="458"/>
      <c r="L89" s="163"/>
      <c r="M89" s="163"/>
      <c r="O89" s="324">
        <f t="shared" si="20"/>
        <v>0.40053307487278894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'[84]Sch C'!D78</f>
        <v>0</v>
      </c>
      <c r="D90" s="480">
        <f>'[84]Sch C'!F78</f>
        <v>0</v>
      </c>
      <c r="E90" s="480">
        <f>+'[84]Sch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'[84]Sch C'!D79</f>
        <v>50042</v>
      </c>
      <c r="D91" s="480">
        <f>'[84]Sch C'!F79</f>
        <v>0</v>
      </c>
      <c r="E91" s="480">
        <f>+'[84]Sch C'!H79</f>
        <v>0</v>
      </c>
      <c r="F91" s="166">
        <f t="shared" si="17"/>
        <v>50042</v>
      </c>
      <c r="G91" s="626">
        <f>-26454-16875</f>
        <v>-43329</v>
      </c>
      <c r="H91" s="166"/>
      <c r="I91" s="166">
        <f t="shared" si="18"/>
        <v>6713</v>
      </c>
      <c r="J91" s="167">
        <f t="shared" si="19"/>
        <v>2.0690985843950576E-3</v>
      </c>
      <c r="K91" s="458"/>
      <c r="L91" s="163"/>
      <c r="M91" s="163"/>
      <c r="O91" s="324">
        <f t="shared" si="20"/>
        <v>0.81330264114368789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'[84]Sch C'!D80</f>
        <v>13710</v>
      </c>
      <c r="D92" s="480">
        <f>'[84]Sch C'!F80</f>
        <v>0</v>
      </c>
      <c r="E92" s="480">
        <f>+'[84]Sch C'!H80</f>
        <v>0</v>
      </c>
      <c r="F92" s="166">
        <f t="shared" si="17"/>
        <v>13710</v>
      </c>
      <c r="G92" s="626"/>
      <c r="H92" s="166"/>
      <c r="I92" s="166">
        <f t="shared" si="18"/>
        <v>13710</v>
      </c>
      <c r="J92" s="167">
        <f t="shared" si="19"/>
        <v>4.2257323986379025E-3</v>
      </c>
      <c r="K92" s="458"/>
      <c r="L92" s="163"/>
      <c r="M92" s="163"/>
      <c r="O92" s="324">
        <f t="shared" si="20"/>
        <v>1.661012842258299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'[84]Sch C'!D81</f>
        <v>5245</v>
      </c>
      <c r="D93" s="480">
        <f>'[84]Sch C'!F81</f>
        <v>0</v>
      </c>
      <c r="E93" s="480">
        <f>+'[84]Sch C'!H81</f>
        <v>0</v>
      </c>
      <c r="F93" s="166">
        <f t="shared" si="17"/>
        <v>5245</v>
      </c>
      <c r="G93" s="626"/>
      <c r="H93" s="166"/>
      <c r="I93" s="166">
        <f t="shared" si="18"/>
        <v>5245</v>
      </c>
      <c r="J93" s="167">
        <f t="shared" si="19"/>
        <v>1.6166277484212835E-3</v>
      </c>
      <c r="K93" s="458"/>
      <c r="L93" s="163"/>
      <c r="M93" s="163"/>
      <c r="O93" s="324">
        <f t="shared" si="20"/>
        <v>0.63544947904046523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'[84]Sch C'!D82</f>
        <v>1854</v>
      </c>
      <c r="D94" s="480">
        <f>'[84]Sch C'!F82</f>
        <v>0</v>
      </c>
      <c r="E94" s="480">
        <f>+'[84]Sch C'!H82</f>
        <v>0</v>
      </c>
      <c r="F94" s="166">
        <f t="shared" si="17"/>
        <v>1854</v>
      </c>
      <c r="G94" s="626"/>
      <c r="H94" s="166"/>
      <c r="I94" s="166">
        <f t="shared" si="18"/>
        <v>1854</v>
      </c>
      <c r="J94" s="167">
        <f t="shared" si="19"/>
        <v>5.7144477513309058E-4</v>
      </c>
      <c r="K94" s="458"/>
      <c r="L94" s="163"/>
      <c r="M94" s="163"/>
      <c r="O94" s="324">
        <f t="shared" si="20"/>
        <v>0.22461836685243519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'[84]Sch C'!D83</f>
        <v>3827</v>
      </c>
      <c r="D95" s="480">
        <f>'[84]Sch C'!F83</f>
        <v>0</v>
      </c>
      <c r="E95" s="480">
        <f>+'[84]Sch C'!H83</f>
        <v>0</v>
      </c>
      <c r="F95" s="166">
        <f t="shared" si="17"/>
        <v>3827</v>
      </c>
      <c r="G95" s="626"/>
      <c r="H95" s="166"/>
      <c r="I95" s="166">
        <f t="shared" si="18"/>
        <v>3827</v>
      </c>
      <c r="J95" s="167">
        <f t="shared" si="19"/>
        <v>1.1795680444629652E-3</v>
      </c>
      <c r="K95" s="458"/>
      <c r="L95" s="163"/>
      <c r="M95" s="163"/>
      <c r="O95" s="324">
        <f t="shared" si="20"/>
        <v>0.46365398594620788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'[84]Sch C'!D84</f>
        <v>43149</v>
      </c>
      <c r="D96" s="480">
        <f>'[84]Sch C'!F84</f>
        <v>0</v>
      </c>
      <c r="E96" s="480">
        <f>+'[84]Sch C'!H84</f>
        <v>0</v>
      </c>
      <c r="F96" s="166">
        <f t="shared" si="17"/>
        <v>43149</v>
      </c>
      <c r="G96" s="626"/>
      <c r="H96" s="166"/>
      <c r="I96" s="166">
        <f t="shared" si="18"/>
        <v>43149</v>
      </c>
      <c r="J96" s="167">
        <f t="shared" si="19"/>
        <v>1.3299498706697801E-2</v>
      </c>
      <c r="K96" s="458"/>
      <c r="L96" s="163"/>
      <c r="M96" s="163"/>
      <c r="O96" s="324">
        <f t="shared" si="20"/>
        <v>5.227647201356918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'[84]Sch C'!D85</f>
        <v>0</v>
      </c>
      <c r="D97" s="480">
        <f>'[84]Sch C'!F85</f>
        <v>0</v>
      </c>
      <c r="E97" s="480">
        <f>+'[84]Sch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138193</v>
      </c>
      <c r="D98" s="480">
        <f t="shared" si="21"/>
        <v>2604</v>
      </c>
      <c r="E98" s="480">
        <f t="shared" si="21"/>
        <v>0</v>
      </c>
      <c r="F98" s="166">
        <f t="shared" ref="F98:I98" si="22">SUM(F87:F97)</f>
        <v>140797</v>
      </c>
      <c r="G98" s="166">
        <f t="shared" si="22"/>
        <v>-43329</v>
      </c>
      <c r="H98" s="166">
        <f t="shared" si="22"/>
        <v>0</v>
      </c>
      <c r="I98" s="166">
        <f t="shared" si="22"/>
        <v>97468</v>
      </c>
      <c r="J98" s="167">
        <f t="shared" si="19"/>
        <v>3.0041844305648366E-2</v>
      </c>
      <c r="K98" s="458"/>
      <c r="L98" s="163"/>
      <c r="M98" s="163"/>
      <c r="O98" s="329">
        <f>I98/I$233</f>
        <v>11.808577659316695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'[84]Sch C'!D89</f>
        <v>127216</v>
      </c>
      <c r="D101" s="480">
        <f>'[84]Sch C'!F89</f>
        <v>0</v>
      </c>
      <c r="E101" s="480">
        <f>+'[84]Sch C'!H89</f>
        <v>0</v>
      </c>
      <c r="F101" s="166">
        <f t="shared" ref="F101:F106" si="23">C101+D101+E101</f>
        <v>127216</v>
      </c>
      <c r="G101" s="626"/>
      <c r="H101" s="166"/>
      <c r="I101" s="166">
        <f t="shared" ref="I101:I106" si="24">F101+G101+H101</f>
        <v>127216</v>
      </c>
      <c r="J101" s="167">
        <f t="shared" ref="J101:J107" si="25">IF($I$213=0,0,I101/$I$213)</f>
        <v>3.9210851409563777E-2</v>
      </c>
      <c r="K101" s="458"/>
      <c r="L101" s="176">
        <v>8599.4599999999991</v>
      </c>
      <c r="M101" s="176">
        <v>9277</v>
      </c>
      <c r="O101" s="329">
        <f t="shared" ref="O101:O106" si="26">I101/I$233</f>
        <v>15.41264841289072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'[84]Sch C'!D90</f>
        <v>0</v>
      </c>
      <c r="D102" s="480">
        <f>'[84]Sch C'!F90</f>
        <v>19420</v>
      </c>
      <c r="E102" s="480">
        <f>+'[84]Sch C'!H90</f>
        <v>0</v>
      </c>
      <c r="F102" s="166">
        <f t="shared" si="23"/>
        <v>19420</v>
      </c>
      <c r="G102" s="626"/>
      <c r="H102" s="166"/>
      <c r="I102" s="166">
        <f t="shared" si="24"/>
        <v>19420</v>
      </c>
      <c r="J102" s="167">
        <f t="shared" si="25"/>
        <v>5.9856836748029222E-3</v>
      </c>
      <c r="K102" s="458"/>
      <c r="L102" s="163"/>
      <c r="M102" s="163"/>
      <c r="O102" s="329">
        <f t="shared" si="26"/>
        <v>2.3527986430821421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'[84]Sch C'!D91</f>
        <v>15187</v>
      </c>
      <c r="D103" s="480">
        <f>'[84]Sch C'!F91</f>
        <v>0</v>
      </c>
      <c r="E103" s="480">
        <f>+'[84]Sch C'!H91</f>
        <v>0</v>
      </c>
      <c r="F103" s="166">
        <f t="shared" si="23"/>
        <v>15187</v>
      </c>
      <c r="G103" s="626"/>
      <c r="H103" s="166"/>
      <c r="I103" s="166">
        <f t="shared" si="24"/>
        <v>15187</v>
      </c>
      <c r="J103" s="167">
        <f t="shared" si="25"/>
        <v>4.6809772383744584E-3</v>
      </c>
      <c r="K103" s="458"/>
      <c r="L103" s="163"/>
      <c r="M103" s="163"/>
      <c r="O103" s="329">
        <f t="shared" si="26"/>
        <v>1.8399563847831355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'[84]Sch C'!D92</f>
        <v>58146</v>
      </c>
      <c r="D104" s="480">
        <f>'[84]Sch C'!F92</f>
        <v>-2007</v>
      </c>
      <c r="E104" s="480">
        <f>+'[84]Sch C'!H92</f>
        <v>0</v>
      </c>
      <c r="F104" s="166">
        <f t="shared" si="23"/>
        <v>56139</v>
      </c>
      <c r="G104" s="626"/>
      <c r="H104" s="166"/>
      <c r="I104" s="166">
        <f t="shared" si="24"/>
        <v>56139</v>
      </c>
      <c r="J104" s="167">
        <f t="shared" si="25"/>
        <v>1.7303310804313143E-2</v>
      </c>
      <c r="K104" s="458"/>
      <c r="L104" s="163"/>
      <c r="M104" s="163"/>
      <c r="O104" s="329">
        <f t="shared" si="26"/>
        <v>6.8014296098861156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'[84]Sch C'!D93</f>
        <v>4072</v>
      </c>
      <c r="D105" s="480">
        <f>'[84]Sch C'!F93</f>
        <v>0</v>
      </c>
      <c r="E105" s="480">
        <f>+'[84]Sch C'!H93</f>
        <v>0</v>
      </c>
      <c r="F105" s="166">
        <f t="shared" si="23"/>
        <v>4072</v>
      </c>
      <c r="G105" s="626"/>
      <c r="H105" s="166"/>
      <c r="I105" s="166">
        <f t="shared" si="24"/>
        <v>4072</v>
      </c>
      <c r="J105" s="167">
        <f t="shared" si="25"/>
        <v>1.2550825913386972E-3</v>
      </c>
      <c r="K105" s="458"/>
      <c r="L105" s="163"/>
      <c r="M105" s="163"/>
      <c r="O105" s="329">
        <f t="shared" si="26"/>
        <v>0.4933365640901381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'[84]Sch C'!D94</f>
        <v>750</v>
      </c>
      <c r="D106" s="480">
        <f>'[84]Sch C'!F94</f>
        <v>0</v>
      </c>
      <c r="E106" s="480">
        <f>+'[84]Sch C'!H94</f>
        <v>0</v>
      </c>
      <c r="F106" s="166">
        <f t="shared" si="23"/>
        <v>750</v>
      </c>
      <c r="G106" s="626"/>
      <c r="H106" s="166"/>
      <c r="I106" s="166">
        <f t="shared" si="24"/>
        <v>750</v>
      </c>
      <c r="J106" s="167">
        <f t="shared" si="25"/>
        <v>2.3116698023183273E-4</v>
      </c>
      <c r="K106" s="458"/>
      <c r="L106" s="163"/>
      <c r="M106" s="163"/>
      <c r="O106" s="329">
        <f t="shared" si="26"/>
        <v>9.0865035134480257E-2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205371</v>
      </c>
      <c r="D107" s="480">
        <f t="shared" si="27"/>
        <v>17413</v>
      </c>
      <c r="E107" s="480">
        <f t="shared" si="27"/>
        <v>0</v>
      </c>
      <c r="F107" s="166">
        <f t="shared" ref="F107:I107" si="28">SUM(F101:F106)</f>
        <v>222784</v>
      </c>
      <c r="G107" s="166">
        <f t="shared" si="28"/>
        <v>0</v>
      </c>
      <c r="H107" s="166">
        <f t="shared" si="28"/>
        <v>0</v>
      </c>
      <c r="I107" s="166">
        <f t="shared" si="28"/>
        <v>222784</v>
      </c>
      <c r="J107" s="167">
        <f t="shared" si="25"/>
        <v>6.8667072698624834E-2</v>
      </c>
      <c r="K107" s="458"/>
      <c r="L107" s="163"/>
      <c r="M107" s="163"/>
      <c r="O107" s="329">
        <f>I107/I$233</f>
        <v>26.99103464986673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'[84]Sch C'!D98</f>
        <v>0</v>
      </c>
      <c r="D110" s="480">
        <f>'[84]Sch C'!F98</f>
        <v>0</v>
      </c>
      <c r="E110" s="480">
        <f>+'[84]Sch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'[84]Sch C'!D99</f>
        <v>0</v>
      </c>
      <c r="D111" s="480">
        <f>'[84]Sch C'!F99</f>
        <v>0</v>
      </c>
      <c r="E111" s="480">
        <f>+'[84]Sch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'[84]Sch C'!D100</f>
        <v>2223</v>
      </c>
      <c r="D112" s="480">
        <f>'[84]Sch C'!F100</f>
        <v>0</v>
      </c>
      <c r="E112" s="480">
        <f>+'[84]Sch C'!H100</f>
        <v>0</v>
      </c>
      <c r="F112" s="166">
        <f t="shared" si="29"/>
        <v>2223</v>
      </c>
      <c r="G112" s="626"/>
      <c r="H112" s="166"/>
      <c r="I112" s="166">
        <f t="shared" si="30"/>
        <v>2223</v>
      </c>
      <c r="J112" s="167">
        <f t="shared" si="31"/>
        <v>6.851789294071522E-4</v>
      </c>
      <c r="K112" s="458"/>
      <c r="L112" s="163"/>
      <c r="M112" s="163"/>
      <c r="O112" s="329">
        <f t="shared" si="32"/>
        <v>0.26932396413859949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'[84]Sch C'!D101</f>
        <v>0</v>
      </c>
      <c r="D113" s="480">
        <f>'[84]Sch C'!F101</f>
        <v>0</v>
      </c>
      <c r="E113" s="480">
        <f>+'[84]Sch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'[84]Sch C'!D102</f>
        <v>1418</v>
      </c>
      <c r="D114" s="480">
        <f>'[84]Sch C'!F102</f>
        <v>0</v>
      </c>
      <c r="E114" s="480">
        <f>+'[84]Sch C'!H102</f>
        <v>0</v>
      </c>
      <c r="F114" s="166">
        <f t="shared" si="29"/>
        <v>1418</v>
      </c>
      <c r="G114" s="626"/>
      <c r="H114" s="166"/>
      <c r="I114" s="166">
        <f t="shared" si="30"/>
        <v>1418</v>
      </c>
      <c r="J114" s="167">
        <f t="shared" si="31"/>
        <v>4.3705970395831845E-4</v>
      </c>
      <c r="K114" s="458"/>
      <c r="L114" s="163"/>
      <c r="M114" s="163"/>
      <c r="O114" s="329">
        <f t="shared" si="32"/>
        <v>0.17179549309425732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'[84]Sch C'!D103</f>
        <v>0</v>
      </c>
      <c r="D115" s="480">
        <f>'[84]Sch C'!F103</f>
        <v>0</v>
      </c>
      <c r="E115" s="480">
        <f>+'[84]Sch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3641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3641</v>
      </c>
      <c r="G116" s="166">
        <f t="shared" si="34"/>
        <v>0</v>
      </c>
      <c r="H116" s="166">
        <f t="shared" si="34"/>
        <v>0</v>
      </c>
      <c r="I116" s="166">
        <f t="shared" si="34"/>
        <v>3641</v>
      </c>
      <c r="J116" s="167">
        <f t="shared" si="31"/>
        <v>1.1222386333654708E-3</v>
      </c>
      <c r="K116" s="458"/>
      <c r="L116" s="163"/>
      <c r="M116" s="163"/>
      <c r="O116" s="329">
        <f>I116/I$233</f>
        <v>0.44111945723285678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'[84]Sch C'!D115</f>
        <v>59361</v>
      </c>
      <c r="D119" s="480">
        <f>'[84]Sch C'!F115</f>
        <v>0</v>
      </c>
      <c r="E119" s="480">
        <f>+'[84]Sch C'!H115</f>
        <v>0</v>
      </c>
      <c r="F119" s="166">
        <f t="shared" ref="F119:F123" si="35">C119+D119+E119</f>
        <v>59361</v>
      </c>
      <c r="G119" s="626"/>
      <c r="H119" s="166"/>
      <c r="I119" s="166">
        <f t="shared" ref="I119:I123" si="36">F119+G119+H119</f>
        <v>59361</v>
      </c>
      <c r="J119" s="167">
        <f t="shared" ref="J119:J124" si="37">IF($I$213=0,0,I119/$I$213)</f>
        <v>1.8296404151389098E-2</v>
      </c>
      <c r="K119" s="458"/>
      <c r="L119" s="176">
        <v>5066.78</v>
      </c>
      <c r="M119" s="176">
        <v>5438</v>
      </c>
      <c r="O119" s="329">
        <f t="shared" ref="O119:O124" si="38">I119/I$233</f>
        <v>7.1917858008238431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'[84]Sch C'!D116</f>
        <v>0</v>
      </c>
      <c r="D120" s="480">
        <f>'[84]Sch C'!F116</f>
        <v>9062</v>
      </c>
      <c r="E120" s="480">
        <f>+'[84]Sch C'!H116</f>
        <v>0</v>
      </c>
      <c r="F120" s="166">
        <f t="shared" si="35"/>
        <v>9062</v>
      </c>
      <c r="G120" s="626"/>
      <c r="H120" s="166"/>
      <c r="I120" s="166">
        <f t="shared" si="36"/>
        <v>9062</v>
      </c>
      <c r="J120" s="167">
        <f t="shared" si="37"/>
        <v>2.7931135664811578E-3</v>
      </c>
      <c r="K120" s="458"/>
      <c r="L120" s="163"/>
      <c r="M120" s="163"/>
      <c r="O120" s="329">
        <f t="shared" si="38"/>
        <v>1.09789193118488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'[84]Sch C'!D117</f>
        <v>9612</v>
      </c>
      <c r="D121" s="480">
        <f>'[84]Sch C'!F117</f>
        <v>0</v>
      </c>
      <c r="E121" s="480">
        <f>+'[84]Sch C'!H117</f>
        <v>0</v>
      </c>
      <c r="F121" s="166">
        <f t="shared" si="35"/>
        <v>9612</v>
      </c>
      <c r="G121" s="626"/>
      <c r="H121" s="166"/>
      <c r="I121" s="166">
        <f t="shared" si="36"/>
        <v>9612</v>
      </c>
      <c r="J121" s="167">
        <f t="shared" si="37"/>
        <v>2.9626360186511685E-3</v>
      </c>
      <c r="K121" s="458"/>
      <c r="L121" s="163"/>
      <c r="M121" s="163"/>
      <c r="O121" s="329">
        <f t="shared" si="38"/>
        <v>1.164526290283499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'[84]Sch C'!D118</f>
        <v>0</v>
      </c>
      <c r="D122" s="480">
        <f>'[84]Sch C'!F118</f>
        <v>0</v>
      </c>
      <c r="E122" s="480">
        <f>+'[84]Sch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'[84]Sch C'!D119</f>
        <v>0</v>
      </c>
      <c r="D123" s="480">
        <f>'[84]Sch C'!F119</f>
        <v>0</v>
      </c>
      <c r="E123" s="480">
        <f>+'[84]Sch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68973</v>
      </c>
      <c r="D124" s="480">
        <f t="shared" si="39"/>
        <v>9062</v>
      </c>
      <c r="E124" s="480">
        <f t="shared" si="39"/>
        <v>0</v>
      </c>
      <c r="F124" s="166">
        <f t="shared" ref="F124:I124" si="40">SUM(F119:F123)</f>
        <v>78035</v>
      </c>
      <c r="G124" s="166">
        <f t="shared" si="40"/>
        <v>0</v>
      </c>
      <c r="H124" s="166">
        <f t="shared" si="40"/>
        <v>0</v>
      </c>
      <c r="I124" s="166">
        <f t="shared" si="40"/>
        <v>78035</v>
      </c>
      <c r="J124" s="167">
        <f t="shared" si="37"/>
        <v>2.4052153736521423E-2</v>
      </c>
      <c r="K124" s="458"/>
      <c r="L124" s="163"/>
      <c r="M124" s="163"/>
      <c r="O124" s="329">
        <f t="shared" si="38"/>
        <v>9.4542040222922221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'[84]Sch C'!D124</f>
        <v>0</v>
      </c>
      <c r="D128" s="480">
        <f>'[84]Sch C'!F124</f>
        <v>0</v>
      </c>
      <c r="E128" s="480">
        <f>+'[84]Sch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'[84]Sch C'!D125</f>
        <v>67129</v>
      </c>
      <c r="D129" s="480">
        <f>'[84]Sch C'!F125</f>
        <v>0</v>
      </c>
      <c r="E129" s="480">
        <f>+'[84]Sch C'!H125</f>
        <v>0</v>
      </c>
      <c r="F129" s="166">
        <f t="shared" si="41"/>
        <v>67129</v>
      </c>
      <c r="G129" s="626"/>
      <c r="H129" s="166"/>
      <c r="I129" s="166">
        <f t="shared" si="42"/>
        <v>67129</v>
      </c>
      <c r="J129" s="167">
        <f>IF($I$213=0,0,I129/$I$213)</f>
        <v>2.0690677621310268E-2</v>
      </c>
      <c r="K129" s="458"/>
      <c r="L129" s="176">
        <v>1490</v>
      </c>
      <c r="M129" s="176">
        <v>1621</v>
      </c>
      <c r="O129" s="329">
        <f t="shared" si="43"/>
        <v>8.1329052580567005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'[84]Sch C'!D126</f>
        <v>0</v>
      </c>
      <c r="D130" s="480">
        <f>'[84]Sch C'!F126</f>
        <v>0</v>
      </c>
      <c r="E130" s="480">
        <f>+'[84]Sch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'[84]Sch C'!D127</f>
        <v>0</v>
      </c>
      <c r="D131" s="480">
        <f>'[84]Sch C'!F127</f>
        <v>0</v>
      </c>
      <c r="E131" s="480">
        <f>+'[84]Sch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'[84]Sch C'!D128</f>
        <v>84189</v>
      </c>
      <c r="D132" s="480">
        <f>'[84]Sch C'!F128</f>
        <v>0</v>
      </c>
      <c r="E132" s="480">
        <f>+'[84]Sch C'!H128</f>
        <v>0</v>
      </c>
      <c r="F132" s="166">
        <f t="shared" si="41"/>
        <v>84189</v>
      </c>
      <c r="G132" s="626"/>
      <c r="H132" s="166"/>
      <c r="I132" s="166">
        <f t="shared" si="42"/>
        <v>84189</v>
      </c>
      <c r="J132" s="167">
        <f>IF($I$213=0,0,I132/$I$213)</f>
        <v>2.5948955864983688E-2</v>
      </c>
      <c r="K132" s="458"/>
      <c r="L132" s="176">
        <v>2874.55</v>
      </c>
      <c r="M132" s="176">
        <v>3020</v>
      </c>
      <c r="O132" s="329">
        <f t="shared" si="43"/>
        <v>10.199781923915678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'[84]Sch C'!D130</f>
        <v>0</v>
      </c>
      <c r="D134" s="480">
        <f>'[84]Sch C'!F130</f>
        <v>0</v>
      </c>
      <c r="E134" s="480">
        <f>+'[84]Sch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'[84]Sch C'!D131</f>
        <v>0</v>
      </c>
      <c r="D135" s="480">
        <f>'[84]Sch C'!F131</f>
        <v>10248</v>
      </c>
      <c r="E135" s="480">
        <f>+'[84]Sch C'!H131</f>
        <v>0</v>
      </c>
      <c r="F135" s="166">
        <f t="shared" si="44"/>
        <v>10248</v>
      </c>
      <c r="G135" s="626"/>
      <c r="H135" s="166"/>
      <c r="I135" s="166">
        <f t="shared" si="45"/>
        <v>10248</v>
      </c>
      <c r="J135" s="167">
        <f>IF($I$213=0,0,I135/$I$213)</f>
        <v>3.1586656178877624E-3</v>
      </c>
      <c r="K135" s="458"/>
      <c r="L135" s="196"/>
      <c r="M135" s="196"/>
      <c r="O135" s="329">
        <f t="shared" si="43"/>
        <v>1.2415798400775382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'[84]Sch C'!D132</f>
        <v>0</v>
      </c>
      <c r="D136" s="480">
        <f>'[84]Sch C'!F132</f>
        <v>0</v>
      </c>
      <c r="E136" s="480">
        <f>+'[84]Sch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'[84]Sch C'!D133</f>
        <v>0</v>
      </c>
      <c r="D137" s="480">
        <f>'[84]Sch C'!F133</f>
        <v>0</v>
      </c>
      <c r="E137" s="480">
        <f>+'[84]Sch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'[84]Sch C'!D134</f>
        <v>0</v>
      </c>
      <c r="D138" s="480">
        <f>'[84]Sch C'!F134</f>
        <v>12852</v>
      </c>
      <c r="E138" s="480">
        <f>+'[84]Sch C'!H134</f>
        <v>0</v>
      </c>
      <c r="F138" s="166">
        <f t="shared" si="44"/>
        <v>12852</v>
      </c>
      <c r="G138" s="626"/>
      <c r="H138" s="166"/>
      <c r="I138" s="166">
        <f t="shared" si="45"/>
        <v>12852</v>
      </c>
      <c r="J138" s="167">
        <f>IF($I$213=0,0,I138/$I$213)</f>
        <v>3.9612773732526857E-3</v>
      </c>
      <c r="K138" s="458"/>
      <c r="L138" s="163"/>
      <c r="M138" s="163"/>
      <c r="O138" s="329">
        <f t="shared" si="43"/>
        <v>1.5570632420644537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'[84]Sch C'!D136</f>
        <v>159125</v>
      </c>
      <c r="D140" s="480">
        <f>'[84]Sch C'!F136</f>
        <v>0</v>
      </c>
      <c r="E140" s="480">
        <f>+'[84]Sch C'!H136</f>
        <v>0</v>
      </c>
      <c r="F140" s="166">
        <f t="shared" ref="F140:F143" si="46">C140+D140+E140</f>
        <v>159125</v>
      </c>
      <c r="G140" s="626"/>
      <c r="H140" s="166"/>
      <c r="I140" s="166">
        <f t="shared" ref="I140:I143" si="47">F140+G140+H140</f>
        <v>159125</v>
      </c>
      <c r="J140" s="167">
        <f>IF($I$213=0,0,I140/$I$213)</f>
        <v>4.9045927639187178E-2</v>
      </c>
      <c r="K140" s="458"/>
      <c r="L140" s="176">
        <v>5243.35</v>
      </c>
      <c r="M140" s="176">
        <v>5546</v>
      </c>
      <c r="O140" s="329">
        <f t="shared" si="43"/>
        <v>19.278531621032226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'[84]Sch C'!D137</f>
        <v>209241</v>
      </c>
      <c r="D141" s="480">
        <f>'[84]Sch C'!F137</f>
        <v>0</v>
      </c>
      <c r="E141" s="480">
        <f>+'[84]Sch C'!H137</f>
        <v>0</v>
      </c>
      <c r="F141" s="166">
        <f t="shared" si="46"/>
        <v>209241</v>
      </c>
      <c r="G141" s="626"/>
      <c r="H141" s="166"/>
      <c r="I141" s="166">
        <f t="shared" si="47"/>
        <v>209241</v>
      </c>
      <c r="J141" s="167">
        <f>IF($I$213=0,0,I141/$I$213)</f>
        <v>6.4492813480918551E-2</v>
      </c>
      <c r="K141" s="458"/>
      <c r="L141" s="176">
        <v>8595.98</v>
      </c>
      <c r="M141" s="176">
        <v>9071</v>
      </c>
      <c r="O141" s="329">
        <f t="shared" si="43"/>
        <v>25.350254422098377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'[84]Sch C'!D138</f>
        <v>273183</v>
      </c>
      <c r="D142" s="480">
        <f>'[84]Sch C'!F138</f>
        <v>0</v>
      </c>
      <c r="E142" s="480">
        <f>+'[84]Sch C'!H138</f>
        <v>0</v>
      </c>
      <c r="F142" s="166">
        <f t="shared" si="46"/>
        <v>273183</v>
      </c>
      <c r="G142" s="626"/>
      <c r="H142" s="166"/>
      <c r="I142" s="166">
        <f t="shared" si="47"/>
        <v>273183</v>
      </c>
      <c r="J142" s="167">
        <f>IF($I$213=0,0,I142/$I$213)</f>
        <v>8.4201185547563687E-2</v>
      </c>
      <c r="K142" s="458"/>
      <c r="L142" s="176">
        <v>21078.43</v>
      </c>
      <c r="M142" s="176">
        <v>22211</v>
      </c>
      <c r="O142" s="329">
        <f t="shared" si="43"/>
        <v>33.097043857523623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'[84]Sch C'!D139</f>
        <v>0</v>
      </c>
      <c r="D143" s="480">
        <f>'[84]Sch C'!F139</f>
        <v>0</v>
      </c>
      <c r="E143" s="480">
        <f>+'[84]Sch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'[84]Sch C'!D141</f>
        <v>0</v>
      </c>
      <c r="D145" s="480">
        <f>'[84]Sch C'!F141</f>
        <v>24291</v>
      </c>
      <c r="E145" s="480">
        <f>+'[84]Sch C'!H141</f>
        <v>0</v>
      </c>
      <c r="F145" s="166">
        <f t="shared" ref="F145:F148" si="48">C145+D145+E145</f>
        <v>24291</v>
      </c>
      <c r="G145" s="626"/>
      <c r="H145" s="166"/>
      <c r="I145" s="166">
        <f t="shared" ref="I145:I148" si="49">F145+G145+H145</f>
        <v>24291</v>
      </c>
      <c r="J145" s="167">
        <f>IF($I$213=0,0,I145/$I$213)</f>
        <v>7.4870361557485988E-3</v>
      </c>
      <c r="K145" s="458"/>
      <c r="L145" s="163"/>
      <c r="M145" s="163"/>
      <c r="O145" s="329">
        <f t="shared" si="43"/>
        <v>2.9429367579355463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'[84]Sch C'!D142</f>
        <v>0</v>
      </c>
      <c r="D146" s="480">
        <f>'[84]Sch C'!F142</f>
        <v>31942</v>
      </c>
      <c r="E146" s="480">
        <f>+'[84]Sch C'!H142</f>
        <v>0</v>
      </c>
      <c r="F146" s="166">
        <f t="shared" si="48"/>
        <v>31942</v>
      </c>
      <c r="G146" s="626"/>
      <c r="H146" s="166"/>
      <c r="I146" s="166">
        <f t="shared" si="49"/>
        <v>31942</v>
      </c>
      <c r="J146" s="167">
        <f>IF($I$213=0,0,I146/$I$213)</f>
        <v>9.8452475767536012E-3</v>
      </c>
      <c r="K146" s="458"/>
      <c r="L146" s="163"/>
      <c r="M146" s="163"/>
      <c r="O146" s="329">
        <f t="shared" si="43"/>
        <v>3.8698812696874243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'[84]Sch C'!D143</f>
        <v>0</v>
      </c>
      <c r="D147" s="480">
        <f>'[84]Sch C'!F143</f>
        <v>41702</v>
      </c>
      <c r="E147" s="480">
        <f>+'[84]Sch C'!H143</f>
        <v>0</v>
      </c>
      <c r="F147" s="166">
        <f t="shared" si="48"/>
        <v>41702</v>
      </c>
      <c r="G147" s="626"/>
      <c r="H147" s="166"/>
      <c r="I147" s="166">
        <f t="shared" si="49"/>
        <v>41702</v>
      </c>
      <c r="J147" s="167">
        <f>IF($I$213=0,0,I147/$I$213)</f>
        <v>1.2853500546170519E-2</v>
      </c>
      <c r="K147" s="458"/>
      <c r="L147" s="163"/>
      <c r="M147" s="163"/>
      <c r="O147" s="329">
        <f t="shared" si="43"/>
        <v>5.0523382602374607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'[84]Sch C'!D144</f>
        <v>0</v>
      </c>
      <c r="D148" s="480">
        <f>'[84]Sch C'!F144</f>
        <v>0</v>
      </c>
      <c r="E148" s="480">
        <f>+'[84]Sch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'[84]Sch C'!D146</f>
        <v>17000</v>
      </c>
      <c r="D150" s="480">
        <f>'[84]Sch C'!F146</f>
        <v>0</v>
      </c>
      <c r="E150" s="480">
        <f>+'[84]Sch C'!H146</f>
        <v>0</v>
      </c>
      <c r="F150" s="166">
        <f t="shared" ref="F150:F158" si="50">C150+D150+E150</f>
        <v>17000</v>
      </c>
      <c r="G150" s="626"/>
      <c r="H150" s="166"/>
      <c r="I150" s="166">
        <f t="shared" ref="I150:I158" si="51">F150+G150+H150</f>
        <v>17000</v>
      </c>
      <c r="J150" s="167">
        <f t="shared" ref="J150:J158" si="52">IF($I$213=0,0,I150/$I$213)</f>
        <v>5.2397848852548754E-3</v>
      </c>
      <c r="K150" s="458"/>
      <c r="L150" s="176">
        <v>0</v>
      </c>
      <c r="M150" s="176">
        <v>0</v>
      </c>
      <c r="O150" s="329">
        <f t="shared" si="43"/>
        <v>2.0596074630482191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'[84]Sch C'!D147</f>
        <v>0</v>
      </c>
      <c r="D151" s="480">
        <f>'[84]Sch C'!F147</f>
        <v>0</v>
      </c>
      <c r="E151" s="480">
        <f>+'[84]Sch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'[84]Sch C'!D148</f>
        <v>0</v>
      </c>
      <c r="D152" s="480">
        <f>'[84]Sch C'!F148</f>
        <v>0</v>
      </c>
      <c r="E152" s="480">
        <f>+'[84]Sch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'[84]Sch C'!D149</f>
        <v>0</v>
      </c>
      <c r="D153" s="480">
        <f>'[84]Sch C'!F149</f>
        <v>0</v>
      </c>
      <c r="E153" s="480">
        <f>+'[84]Sch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'[84]Sch C'!D150</f>
        <v>5500</v>
      </c>
      <c r="D154" s="480">
        <f>'[84]Sch C'!F150</f>
        <v>0</v>
      </c>
      <c r="E154" s="480">
        <f>+'[84]Sch C'!H150</f>
        <v>0</v>
      </c>
      <c r="F154" s="166">
        <f t="shared" si="50"/>
        <v>5500</v>
      </c>
      <c r="G154" s="626"/>
      <c r="H154" s="166"/>
      <c r="I154" s="166">
        <f t="shared" si="51"/>
        <v>5500</v>
      </c>
      <c r="J154" s="167">
        <f t="shared" si="52"/>
        <v>1.6952245217001067E-3</v>
      </c>
      <c r="K154" s="458"/>
      <c r="L154" s="176">
        <v>0</v>
      </c>
      <c r="M154" s="176">
        <v>0</v>
      </c>
      <c r="O154" s="329">
        <f t="shared" si="43"/>
        <v>0.66634359098618856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'[84]Sch C'!D151</f>
        <v>67367</v>
      </c>
      <c r="D155" s="480">
        <f>'[84]Sch C'!F151</f>
        <v>0</v>
      </c>
      <c r="E155" s="480">
        <f>+'[84]Sch C'!H151</f>
        <v>0</v>
      </c>
      <c r="F155" s="166">
        <f t="shared" si="50"/>
        <v>67367</v>
      </c>
      <c r="G155" s="626"/>
      <c r="H155" s="166"/>
      <c r="I155" s="166">
        <f t="shared" si="51"/>
        <v>67367</v>
      </c>
      <c r="J155" s="167">
        <f t="shared" si="52"/>
        <v>2.0764034609703837E-2</v>
      </c>
      <c r="K155" s="458"/>
      <c r="L155" s="163"/>
      <c r="M155" s="163"/>
      <c r="O155" s="329">
        <f t="shared" si="43"/>
        <v>8.1617397625393746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'[84]Sch C'!D152</f>
        <v>1074</v>
      </c>
      <c r="D156" s="480">
        <f>'[84]Sch C'!F152</f>
        <v>0</v>
      </c>
      <c r="E156" s="480">
        <f>+'[84]Sch C'!H152</f>
        <v>0</v>
      </c>
      <c r="F156" s="166">
        <f t="shared" si="50"/>
        <v>1074</v>
      </c>
      <c r="G156" s="626"/>
      <c r="H156" s="166"/>
      <c r="I156" s="166">
        <f t="shared" si="51"/>
        <v>1074</v>
      </c>
      <c r="J156" s="167">
        <f t="shared" si="52"/>
        <v>3.310311156919845E-4</v>
      </c>
      <c r="K156" s="458"/>
      <c r="L156" s="163"/>
      <c r="M156" s="163"/>
      <c r="O156" s="329">
        <f t="shared" si="43"/>
        <v>0.13011873031257573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'[84]Sch C'!D153</f>
        <v>0</v>
      </c>
      <c r="D157" s="480">
        <f>'[84]Sch C'!F153</f>
        <v>0</v>
      </c>
      <c r="E157" s="480">
        <f>+'[84]Sch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'[84]Sch C'!D154</f>
        <v>0</v>
      </c>
      <c r="D158" s="480">
        <f>'[84]Sch C'!F154</f>
        <v>0</v>
      </c>
      <c r="E158" s="480">
        <f>+'[84]Sch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'[84]Sch C'!D156</f>
        <v>0</v>
      </c>
      <c r="D160" s="480">
        <f>'[84]Sch C'!F156</f>
        <v>0</v>
      </c>
      <c r="E160" s="480">
        <f>+'[84]Sch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'[84]Sch C'!D157</f>
        <v>0</v>
      </c>
      <c r="D161" s="480">
        <f>'[84]Sch C'!F157</f>
        <v>0</v>
      </c>
      <c r="E161" s="480">
        <f>+'[84]Sch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'[84]Sch C'!D158</f>
        <v>0</v>
      </c>
      <c r="D162" s="480">
        <f>'[84]Sch C'!F158</f>
        <v>0</v>
      </c>
      <c r="E162" s="480">
        <f>+'[84]Sch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'[84]Sch C'!D159</f>
        <v>0</v>
      </c>
      <c r="D163" s="480">
        <f>'[84]Sch C'!F159</f>
        <v>0</v>
      </c>
      <c r="E163" s="480">
        <f>+'[84]Sch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'[84]Sch C'!D160</f>
        <v>0</v>
      </c>
      <c r="D164" s="480">
        <f>'[84]Sch C'!F160</f>
        <v>0</v>
      </c>
      <c r="E164" s="480">
        <f>+'[84]Sch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'[84]Sch C'!D161</f>
        <v>117</v>
      </c>
      <c r="D165" s="480">
        <f>'[84]Sch C'!F161</f>
        <v>0</v>
      </c>
      <c r="E165" s="480">
        <f>+'[84]Sch C'!H161</f>
        <v>0</v>
      </c>
      <c r="F165" s="166">
        <f t="shared" si="53"/>
        <v>117</v>
      </c>
      <c r="G165" s="626"/>
      <c r="H165" s="166"/>
      <c r="I165" s="166">
        <f t="shared" si="54"/>
        <v>117</v>
      </c>
      <c r="J165" s="167">
        <f t="shared" si="55"/>
        <v>3.6062048916165905E-5</v>
      </c>
      <c r="K165" s="458"/>
      <c r="L165" s="163"/>
      <c r="M165" s="163"/>
      <c r="O165" s="329">
        <f t="shared" si="43"/>
        <v>1.4174945480978919E-2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883925</v>
      </c>
      <c r="D166" s="480">
        <f t="shared" si="56"/>
        <v>121035</v>
      </c>
      <c r="E166" s="480">
        <f t="shared" si="56"/>
        <v>0</v>
      </c>
      <c r="F166" s="166">
        <f t="shared" ref="F166:I166" si="57">SUM(F128:F165)</f>
        <v>1004960</v>
      </c>
      <c r="G166" s="166">
        <f t="shared" si="57"/>
        <v>0</v>
      </c>
      <c r="H166" s="166">
        <f t="shared" si="57"/>
        <v>0</v>
      </c>
      <c r="I166" s="166">
        <f t="shared" si="57"/>
        <v>1004960</v>
      </c>
      <c r="J166" s="167">
        <f t="shared" si="55"/>
        <v>0.30975142460504351</v>
      </c>
      <c r="K166" s="458"/>
      <c r="L166" s="163"/>
      <c r="M166" s="163"/>
      <c r="O166" s="329">
        <f>I166/I$233</f>
        <v>121.75430094499636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'[84]Sch C'!D175</f>
        <v>0</v>
      </c>
      <c r="D169" s="480">
        <f>'[84]Sch C'!F175</f>
        <v>0</v>
      </c>
      <c r="E169" s="480">
        <f>+'[84]Sch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'[84]Sch C'!D176</f>
        <v>0</v>
      </c>
      <c r="D170" s="480">
        <f>'[84]Sch C'!F176</f>
        <v>0</v>
      </c>
      <c r="E170" s="480">
        <f>+'[84]Sch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'[84]Sch C'!D177</f>
        <v>233607</v>
      </c>
      <c r="D171" s="480">
        <f>'[84]Sch C'!F177</f>
        <v>0</v>
      </c>
      <c r="E171" s="480">
        <f>+'[84]Sch C'!H177</f>
        <v>0</v>
      </c>
      <c r="F171" s="166">
        <f t="shared" si="58"/>
        <v>233607</v>
      </c>
      <c r="G171" s="626"/>
      <c r="H171" s="166"/>
      <c r="I171" s="166">
        <f t="shared" si="59"/>
        <v>233607</v>
      </c>
      <c r="J171" s="167">
        <f t="shared" si="60"/>
        <v>7.2002966334690333E-2</v>
      </c>
      <c r="K171" s="468"/>
      <c r="L171" s="176">
        <v>9010.92</v>
      </c>
      <c r="M171" s="176">
        <v>9760</v>
      </c>
      <c r="N171" s="208"/>
      <c r="O171" s="329">
        <f t="shared" si="61"/>
        <v>28.30227768354737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'[84]Sch C'!D178</f>
        <v>0</v>
      </c>
      <c r="D172" s="480">
        <f>'[84]Sch C'!F178</f>
        <v>35661</v>
      </c>
      <c r="E172" s="480">
        <f>+'[84]Sch C'!H178</f>
        <v>0</v>
      </c>
      <c r="F172" s="166">
        <f t="shared" si="58"/>
        <v>35661</v>
      </c>
      <c r="G172" s="626"/>
      <c r="H172" s="166"/>
      <c r="I172" s="166">
        <f t="shared" si="59"/>
        <v>35661</v>
      </c>
      <c r="J172" s="167">
        <f t="shared" si="60"/>
        <v>1.0991527576063182E-2</v>
      </c>
      <c r="K172" s="469"/>
      <c r="L172" s="212"/>
      <c r="M172" s="212"/>
      <c r="N172" s="208"/>
      <c r="O172" s="329">
        <f t="shared" si="61"/>
        <v>4.3204506905742672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'[84]Sch C'!D179</f>
        <v>48736</v>
      </c>
      <c r="D173" s="480">
        <f>'[84]Sch C'!F179</f>
        <v>0</v>
      </c>
      <c r="E173" s="480">
        <f>+'[84]Sch C'!H179</f>
        <v>0</v>
      </c>
      <c r="F173" s="166">
        <f t="shared" si="58"/>
        <v>48736</v>
      </c>
      <c r="G173" s="626"/>
      <c r="H173" s="166"/>
      <c r="I173" s="166">
        <f t="shared" si="59"/>
        <v>48736</v>
      </c>
      <c r="J173" s="167">
        <f t="shared" si="60"/>
        <v>1.5021538598104801E-2</v>
      </c>
      <c r="K173" s="468"/>
      <c r="L173" s="176">
        <v>942</v>
      </c>
      <c r="M173" s="176">
        <v>1060</v>
      </c>
      <c r="N173" s="208"/>
      <c r="O173" s="329">
        <f t="shared" si="61"/>
        <v>5.9045311364187061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'[84]Sch C'!D180</f>
        <v>0</v>
      </c>
      <c r="D174" s="480">
        <f>'[84]Sch C'!F180</f>
        <v>7440</v>
      </c>
      <c r="E174" s="480">
        <f>+'[84]Sch C'!H180</f>
        <v>0</v>
      </c>
      <c r="F174" s="166">
        <f t="shared" si="58"/>
        <v>7440</v>
      </c>
      <c r="G174" s="626"/>
      <c r="H174" s="166"/>
      <c r="I174" s="166">
        <f t="shared" si="59"/>
        <v>7440</v>
      </c>
      <c r="J174" s="167">
        <f t="shared" si="60"/>
        <v>2.2931764438997807E-3</v>
      </c>
      <c r="K174" s="469"/>
      <c r="L174" s="212"/>
      <c r="M174" s="212"/>
      <c r="N174" s="208"/>
      <c r="O174" s="329">
        <f t="shared" si="61"/>
        <v>0.90138114853404405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'[84]Sch C'!D181</f>
        <v>0</v>
      </c>
      <c r="D175" s="480">
        <f>'[84]Sch C'!F181</f>
        <v>0</v>
      </c>
      <c r="E175" s="480">
        <f>+'[84]Sch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'[84]Sch C'!D182</f>
        <v>0</v>
      </c>
      <c r="D176" s="480">
        <f>'[84]Sch C'!F182</f>
        <v>0</v>
      </c>
      <c r="E176" s="480">
        <f>+'[84]Sch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'[84]Sch C'!D183</f>
        <v>205831</v>
      </c>
      <c r="D177" s="480">
        <f>'[84]Sch C'!F183</f>
        <v>0</v>
      </c>
      <c r="E177" s="480">
        <f>+'[84]Sch C'!H183</f>
        <v>0</v>
      </c>
      <c r="F177" s="166">
        <f t="shared" si="58"/>
        <v>205831</v>
      </c>
      <c r="G177" s="626"/>
      <c r="H177" s="166"/>
      <c r="I177" s="166">
        <f t="shared" si="59"/>
        <v>205831</v>
      </c>
      <c r="J177" s="167">
        <f t="shared" si="60"/>
        <v>6.3441774277464488E-2</v>
      </c>
      <c r="K177" s="468"/>
      <c r="L177" s="176">
        <v>3380.15</v>
      </c>
      <c r="M177" s="176">
        <v>3649</v>
      </c>
      <c r="N177" s="208"/>
      <c r="O177" s="329">
        <f t="shared" si="61"/>
        <v>24.93712139568694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'[84]Sch C'!D184</f>
        <v>0</v>
      </c>
      <c r="D178" s="480">
        <f>'[84]Sch C'!F184</f>
        <v>31421</v>
      </c>
      <c r="E178" s="480">
        <f>+'[84]Sch C'!H184</f>
        <v>0</v>
      </c>
      <c r="F178" s="166">
        <f t="shared" si="58"/>
        <v>31421</v>
      </c>
      <c r="G178" s="626"/>
      <c r="H178" s="166"/>
      <c r="I178" s="166">
        <f t="shared" si="59"/>
        <v>31421</v>
      </c>
      <c r="J178" s="167">
        <f t="shared" si="60"/>
        <v>9.6846635811525562E-3</v>
      </c>
      <c r="K178" s="469"/>
      <c r="L178" s="212"/>
      <c r="M178" s="212"/>
      <c r="N178" s="208"/>
      <c r="O178" s="329">
        <f t="shared" si="61"/>
        <v>3.8067603586140053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'[84]Sch C'!D185</f>
        <v>0</v>
      </c>
      <c r="D179" s="480">
        <f>'[84]Sch C'!F185</f>
        <v>0</v>
      </c>
      <c r="E179" s="480">
        <f>+'[84]Sch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'[84]Sch C'!D186</f>
        <v>0</v>
      </c>
      <c r="D180" s="480">
        <f>'[84]Sch C'!F186</f>
        <v>0</v>
      </c>
      <c r="E180" s="480">
        <f>+'[84]Sch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'[84]Sch C'!D187</f>
        <v>0</v>
      </c>
      <c r="D181" s="480">
        <f>'[84]Sch C'!F187</f>
        <v>0</v>
      </c>
      <c r="E181" s="480">
        <f>+'[84]Sch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'[84]Sch C'!D188</f>
        <v>12575</v>
      </c>
      <c r="D182" s="480">
        <f>'[84]Sch C'!F188</f>
        <v>0</v>
      </c>
      <c r="E182" s="480">
        <f>+'[84]Sch C'!H188</f>
        <v>0</v>
      </c>
      <c r="F182" s="166">
        <f t="shared" si="58"/>
        <v>12575</v>
      </c>
      <c r="G182" s="626">
        <v>-995</v>
      </c>
      <c r="H182" s="166"/>
      <c r="I182" s="166">
        <f t="shared" si="59"/>
        <v>11580</v>
      </c>
      <c r="J182" s="167">
        <f t="shared" si="60"/>
        <v>3.5692181747794976E-3</v>
      </c>
      <c r="K182" s="458"/>
      <c r="L182" s="213"/>
      <c r="M182" s="208"/>
      <c r="N182" s="210"/>
      <c r="O182" s="329">
        <f t="shared" si="61"/>
        <v>1.402956142476375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'[84]Sch C'!D189</f>
        <v>0</v>
      </c>
      <c r="D183" s="480">
        <f>'[84]Sch C'!F189</f>
        <v>0</v>
      </c>
      <c r="E183" s="480">
        <f>+'[84]Sch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'[84]Sch C'!D190</f>
        <v>0</v>
      </c>
      <c r="D184" s="480">
        <f>'[84]Sch C'!F190</f>
        <v>0</v>
      </c>
      <c r="E184" s="480">
        <f>+'[84]Sch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'[84]Sch C'!D191</f>
        <v>0</v>
      </c>
      <c r="D185" s="480">
        <f>'[84]Sch C'!F191</f>
        <v>0</v>
      </c>
      <c r="E185" s="480">
        <f>+'[84]Sch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'[84]Sch C'!D192</f>
        <v>0</v>
      </c>
      <c r="D186" s="480">
        <f>'[84]Sch C'!F192</f>
        <v>0</v>
      </c>
      <c r="E186" s="480">
        <f>+'[84]Sch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'[84]Sch C'!D193</f>
        <v>0</v>
      </c>
      <c r="D187" s="480">
        <f>'[84]Sch C'!F193</f>
        <v>0</v>
      </c>
      <c r="E187" s="480">
        <f>+'[84]Sch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'[84]Sch C'!D194</f>
        <v>0</v>
      </c>
      <c r="D188" s="480">
        <f>'[84]Sch C'!F194</f>
        <v>0</v>
      </c>
      <c r="E188" s="480">
        <f>+'[84]Sch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'[84]Sch C'!D195</f>
        <v>0</v>
      </c>
      <c r="D189" s="480">
        <f>'[84]Sch C'!F195</f>
        <v>0</v>
      </c>
      <c r="E189" s="480">
        <f>+'[84]Sch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'[84]Sch C'!D196</f>
        <v>0</v>
      </c>
      <c r="D190" s="480">
        <f>'[84]Sch C'!F196</f>
        <v>0</v>
      </c>
      <c r="E190" s="480">
        <f>+'[84]Sch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'[84]Sch C'!D197</f>
        <v>0</v>
      </c>
      <c r="D191" s="480">
        <f>'[84]Sch C'!F197</f>
        <v>0</v>
      </c>
      <c r="E191" s="480">
        <f>+'[84]Sch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'[84]Sch C'!D198</f>
        <v>63320</v>
      </c>
      <c r="D192" s="480">
        <f>'[84]Sch C'!F198</f>
        <v>0</v>
      </c>
      <c r="E192" s="480">
        <f>+'[84]Sch C'!H198</f>
        <v>0</v>
      </c>
      <c r="F192" s="166">
        <f t="shared" si="58"/>
        <v>63320</v>
      </c>
      <c r="G192" s="626"/>
      <c r="H192" s="166"/>
      <c r="I192" s="166">
        <f t="shared" si="59"/>
        <v>63320</v>
      </c>
      <c r="J192" s="167">
        <f t="shared" si="60"/>
        <v>1.9516657584372866E-2</v>
      </c>
      <c r="K192" s="458"/>
      <c r="L192" s="213"/>
      <c r="M192" s="208"/>
      <c r="O192" s="329">
        <f t="shared" si="61"/>
        <v>7.6714320329537191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'[84]Sch C'!D199</f>
        <v>0</v>
      </c>
      <c r="D193" s="480">
        <f>'[84]Sch C'!F199</f>
        <v>0</v>
      </c>
      <c r="E193" s="480">
        <f>+'[84]Sch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'[84]Sch C'!D200</f>
        <v>0</v>
      </c>
      <c r="D194" s="480">
        <f>'[84]Sch C'!F200</f>
        <v>0</v>
      </c>
      <c r="E194" s="480">
        <f>+'[84]Sch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'[84]Sch C'!D201</f>
        <v>0</v>
      </c>
      <c r="D195" s="480">
        <f>'[84]Sch C'!F201</f>
        <v>0</v>
      </c>
      <c r="E195" s="480">
        <f>+'[84]Sch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'[84]Sch C'!D202</f>
        <v>0</v>
      </c>
      <c r="D196" s="480">
        <f>'[84]Sch C'!F202</f>
        <v>0</v>
      </c>
      <c r="E196" s="480">
        <f>+'[84]Sch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'[84]Sch C'!D203</f>
        <v>0</v>
      </c>
      <c r="D197" s="480">
        <f>'[84]Sch C'!F203</f>
        <v>0</v>
      </c>
      <c r="E197" s="480">
        <f>+'[84]Sch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'[84]Sch C'!D204</f>
        <v>0</v>
      </c>
      <c r="D198" s="480">
        <f>'[84]Sch C'!F204</f>
        <v>0</v>
      </c>
      <c r="E198" s="480">
        <f>+'[84]Sch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'[84]Sch C'!D205</f>
        <v>225379</v>
      </c>
      <c r="D199" s="480">
        <f>'[84]Sch C'!F205</f>
        <v>0</v>
      </c>
      <c r="E199" s="480">
        <f>+'[84]Sch C'!H205</f>
        <v>0</v>
      </c>
      <c r="F199" s="166">
        <f t="shared" si="58"/>
        <v>225379</v>
      </c>
      <c r="G199" s="626"/>
      <c r="H199" s="166"/>
      <c r="I199" s="166">
        <f t="shared" si="59"/>
        <v>225379</v>
      </c>
      <c r="J199" s="167">
        <f t="shared" si="60"/>
        <v>6.9466910450226974E-2</v>
      </c>
      <c r="K199" s="458"/>
      <c r="L199" s="213"/>
      <c r="M199" s="208"/>
      <c r="O199" s="329">
        <f t="shared" si="61"/>
        <v>27.305427671432032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'[84]Sch C'!D206</f>
        <v>12952</v>
      </c>
      <c r="D200" s="480">
        <f>'[84]Sch C'!F206</f>
        <v>0</v>
      </c>
      <c r="E200" s="480">
        <f>+'[84]Sch C'!H206</f>
        <v>0</v>
      </c>
      <c r="F200" s="166">
        <f t="shared" si="58"/>
        <v>12952</v>
      </c>
      <c r="G200" s="626"/>
      <c r="H200" s="166"/>
      <c r="I200" s="166">
        <f t="shared" si="59"/>
        <v>12952</v>
      </c>
      <c r="J200" s="167">
        <f t="shared" si="60"/>
        <v>3.9920996372835972E-3</v>
      </c>
      <c r="K200" s="458"/>
      <c r="L200" s="213"/>
      <c r="M200" s="208"/>
      <c r="O200" s="329">
        <f t="shared" si="61"/>
        <v>1.5691785800823843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'[84]Sch C'!D207</f>
        <v>0</v>
      </c>
      <c r="D201" s="480">
        <f>'[84]Sch C'!F207</f>
        <v>0</v>
      </c>
      <c r="E201" s="480">
        <f>+'[84]Sch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802400</v>
      </c>
      <c r="D202" s="480">
        <f t="shared" si="62"/>
        <v>74522</v>
      </c>
      <c r="E202" s="480">
        <f t="shared" si="62"/>
        <v>0</v>
      </c>
      <c r="F202" s="166">
        <f t="shared" ref="F202:I202" si="63">SUM(F169:F201)</f>
        <v>876922</v>
      </c>
      <c r="G202" s="166">
        <f t="shared" si="63"/>
        <v>-995</v>
      </c>
      <c r="H202" s="166">
        <f t="shared" si="63"/>
        <v>0</v>
      </c>
      <c r="I202" s="166">
        <f t="shared" si="63"/>
        <v>875927</v>
      </c>
      <c r="J202" s="167">
        <f>IF($I$213=0,0,I202/$I$213)</f>
        <v>0.26998053265803806</v>
      </c>
      <c r="K202" s="458"/>
      <c r="L202" s="163"/>
      <c r="M202" s="163"/>
      <c r="O202" s="329">
        <f>I202/I$233</f>
        <v>106.12151684031984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'[84]Sch C'!D211</f>
        <v>49957</v>
      </c>
      <c r="D205" s="480">
        <f>'[84]Sch C'!F211</f>
        <v>0</v>
      </c>
      <c r="E205" s="480">
        <f>+'[84]Sch C'!H211</f>
        <v>0</v>
      </c>
      <c r="F205" s="166">
        <f t="shared" ref="F205:F210" si="64">C205+D205+E205</f>
        <v>49957</v>
      </c>
      <c r="G205" s="626"/>
      <c r="H205" s="166"/>
      <c r="I205" s="166">
        <f t="shared" ref="I205:I210" si="65">F205+G205+H205</f>
        <v>49957</v>
      </c>
      <c r="J205" s="167">
        <f t="shared" ref="J205:J211" si="66">IF($I$213=0,0,I205/$I$213)</f>
        <v>1.5397878441922225E-2</v>
      </c>
      <c r="K205" s="458"/>
      <c r="L205" s="176">
        <v>2571</v>
      </c>
      <c r="M205" s="176">
        <v>2707</v>
      </c>
      <c r="O205" s="329">
        <f t="shared" ref="O205:O210" si="67">I205/I$233</f>
        <v>6.0524594136176395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'[84]Sch C'!D212</f>
        <v>0</v>
      </c>
      <c r="D206" s="480">
        <f>'[84]Sch C'!F212</f>
        <v>7626</v>
      </c>
      <c r="E206" s="480">
        <f>+'[84]Sch C'!H212</f>
        <v>0</v>
      </c>
      <c r="F206" s="166">
        <f t="shared" si="64"/>
        <v>7626</v>
      </c>
      <c r="G206" s="626"/>
      <c r="H206" s="166"/>
      <c r="I206" s="166">
        <f t="shared" si="65"/>
        <v>7626</v>
      </c>
      <c r="J206" s="167">
        <f t="shared" si="66"/>
        <v>2.3505058549972754E-3</v>
      </c>
      <c r="K206" s="458"/>
      <c r="L206" s="163"/>
      <c r="M206" s="163"/>
      <c r="O206" s="329">
        <f t="shared" si="67"/>
        <v>0.92391567724739521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'[84]Sch C'!D213</f>
        <v>7717</v>
      </c>
      <c r="D207" s="480">
        <f>'[84]Sch C'!F213</f>
        <v>0</v>
      </c>
      <c r="E207" s="480">
        <f>+'[84]Sch C'!H213</f>
        <v>0</v>
      </c>
      <c r="F207" s="166">
        <f t="shared" si="64"/>
        <v>7717</v>
      </c>
      <c r="G207" s="626"/>
      <c r="H207" s="166"/>
      <c r="I207" s="166">
        <f t="shared" si="65"/>
        <v>7717</v>
      </c>
      <c r="J207" s="167">
        <f t="shared" si="66"/>
        <v>2.3785541152654042E-3</v>
      </c>
      <c r="K207" s="458"/>
      <c r="L207" s="163"/>
      <c r="M207" s="163"/>
      <c r="O207" s="329">
        <f t="shared" si="67"/>
        <v>0.93494063484371215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'[84]Sch C'!D214</f>
        <v>0</v>
      </c>
      <c r="D208" s="480">
        <f>'[84]Sch C'!F214</f>
        <v>0</v>
      </c>
      <c r="E208" s="480">
        <f>+'[84]Sch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'[84]Sch C'!D215</f>
        <v>0</v>
      </c>
      <c r="D209" s="480">
        <f>'[84]Sch C'!F215</f>
        <v>0</v>
      </c>
      <c r="E209" s="480">
        <f>+'[84]Sch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'[84]Sch C'!D216</f>
        <v>1437</v>
      </c>
      <c r="D210" s="480">
        <f>'[84]Sch C'!F216</f>
        <v>0</v>
      </c>
      <c r="E210" s="480">
        <f>+'[84]Sch C'!H216</f>
        <v>0</v>
      </c>
      <c r="F210" s="166">
        <f t="shared" si="64"/>
        <v>1437</v>
      </c>
      <c r="G210" s="626"/>
      <c r="H210" s="166"/>
      <c r="I210" s="166">
        <f t="shared" si="65"/>
        <v>1437</v>
      </c>
      <c r="J210" s="167">
        <f t="shared" si="66"/>
        <v>4.4291593412419152E-4</v>
      </c>
      <c r="K210" s="458"/>
      <c r="L210" s="163"/>
      <c r="M210" s="163"/>
      <c r="O210" s="329">
        <f t="shared" si="67"/>
        <v>0.17409740731766415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59111</v>
      </c>
      <c r="D211" s="480">
        <f t="shared" si="68"/>
        <v>7626</v>
      </c>
      <c r="E211" s="480">
        <f t="shared" si="68"/>
        <v>0</v>
      </c>
      <c r="F211" s="166">
        <f t="shared" ref="F211:I211" si="69">SUM(F205:F210)</f>
        <v>66737</v>
      </c>
      <c r="G211" s="166">
        <f t="shared" si="69"/>
        <v>0</v>
      </c>
      <c r="H211" s="166">
        <f t="shared" si="69"/>
        <v>0</v>
      </c>
      <c r="I211" s="166">
        <f t="shared" si="69"/>
        <v>66737</v>
      </c>
      <c r="J211" s="167">
        <f t="shared" si="66"/>
        <v>2.0569854346309095E-2</v>
      </c>
      <c r="K211" s="458"/>
      <c r="L211" s="163"/>
      <c r="M211" s="163"/>
      <c r="O211" s="329">
        <f>I211/I$233</f>
        <v>8.0854131330264121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3367447</v>
      </c>
      <c r="D213" s="480">
        <f t="shared" si="70"/>
        <v>30608</v>
      </c>
      <c r="E213" s="480">
        <f t="shared" si="70"/>
        <v>-116723</v>
      </c>
      <c r="F213" s="166">
        <f t="shared" ref="F213:I213" si="71">SUM(F30:F211)/2</f>
        <v>3281332</v>
      </c>
      <c r="G213" s="166">
        <f t="shared" si="71"/>
        <v>-36924</v>
      </c>
      <c r="H213" s="166">
        <f t="shared" si="71"/>
        <v>0</v>
      </c>
      <c r="I213" s="166">
        <f t="shared" si="71"/>
        <v>3244408</v>
      </c>
      <c r="J213" s="167">
        <f>IF($I$213=0,0,I213/$I$213)</f>
        <v>1</v>
      </c>
      <c r="K213" s="458"/>
      <c r="L213" s="176">
        <f>SUM(L30:L205)</f>
        <v>76986.849999999991</v>
      </c>
      <c r="M213" s="176">
        <f>SUM(M30:M205)</f>
        <v>82093</v>
      </c>
      <c r="O213" s="329">
        <f>I213/I$233</f>
        <v>393.07099588078506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'[84]Sch C'!D221</f>
        <v>3367447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-88444</v>
      </c>
      <c r="D220" s="480">
        <f t="shared" si="72"/>
        <v>-30608</v>
      </c>
      <c r="E220" s="480">
        <f t="shared" si="72"/>
        <v>116723</v>
      </c>
      <c r="F220" s="166">
        <f t="shared" ref="F220:I220" si="73">F26-F213</f>
        <v>-2329</v>
      </c>
      <c r="G220" s="166">
        <f t="shared" si="73"/>
        <v>21830</v>
      </c>
      <c r="H220" s="166">
        <f t="shared" si="73"/>
        <v>0</v>
      </c>
      <c r="I220" s="166">
        <f t="shared" si="73"/>
        <v>19501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 t="s">
        <v>726</v>
      </c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'[84]Sch D'!C9</f>
        <v>785</v>
      </c>
      <c r="D224" s="480"/>
      <c r="E224" s="480"/>
      <c r="F224" s="224">
        <f>C224+D224+E224</f>
        <v>785</v>
      </c>
      <c r="G224" s="627">
        <v>-72</v>
      </c>
      <c r="H224" s="223"/>
      <c r="I224" s="224">
        <f>F224+G224+H224</f>
        <v>713</v>
      </c>
      <c r="J224" s="167">
        <f t="shared" ref="J224:J233" si="74">IF($I$233=0,0,I224/$I$233)</f>
        <v>8.6382360067845887E-2</v>
      </c>
      <c r="K224" s="162" t="s">
        <v>727</v>
      </c>
      <c r="L224" s="163"/>
      <c r="M224" s="163"/>
    </row>
    <row r="225" spans="1:13">
      <c r="A225" s="158"/>
      <c r="B225" s="165" t="s">
        <v>201</v>
      </c>
      <c r="C225" s="504">
        <f>'[84]Sch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162"/>
      <c r="L225" s="163"/>
      <c r="M225" s="163"/>
    </row>
    <row r="226" spans="1:13">
      <c r="A226" s="158"/>
      <c r="B226" s="165" t="s">
        <v>64</v>
      </c>
      <c r="C226" s="504">
        <f>'[84]Sch D'!E9</f>
        <v>4652</v>
      </c>
      <c r="D226" s="480"/>
      <c r="E226" s="480"/>
      <c r="F226" s="224">
        <f t="shared" si="75"/>
        <v>4652</v>
      </c>
      <c r="G226" s="627"/>
      <c r="H226" s="223"/>
      <c r="I226" s="224">
        <f t="shared" si="76"/>
        <v>4652</v>
      </c>
      <c r="J226" s="167">
        <f t="shared" si="74"/>
        <v>0.56360552459413615</v>
      </c>
      <c r="K226" s="162"/>
      <c r="L226" s="163"/>
      <c r="M226" s="163"/>
    </row>
    <row r="227" spans="1:13">
      <c r="A227" s="158"/>
      <c r="B227" s="194" t="s">
        <v>315</v>
      </c>
      <c r="C227" s="504">
        <f>'[84]Sch D'!F9</f>
        <v>2131</v>
      </c>
      <c r="D227" s="480"/>
      <c r="E227" s="480"/>
      <c r="F227" s="224">
        <f t="shared" si="75"/>
        <v>2131</v>
      </c>
      <c r="G227" s="627"/>
      <c r="H227" s="223"/>
      <c r="I227" s="224">
        <f t="shared" si="76"/>
        <v>2131</v>
      </c>
      <c r="J227" s="167">
        <f t="shared" si="74"/>
        <v>0.25817785316210323</v>
      </c>
      <c r="K227" s="162"/>
      <c r="L227" s="163"/>
      <c r="M227" s="163"/>
    </row>
    <row r="228" spans="1:13">
      <c r="A228" s="158"/>
      <c r="B228" s="165" t="s">
        <v>65</v>
      </c>
      <c r="C228" s="504">
        <f>'[84]Sch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162"/>
      <c r="L228" s="163"/>
      <c r="M228" s="163"/>
    </row>
    <row r="229" spans="1:13">
      <c r="A229" s="158"/>
      <c r="B229" s="165" t="s">
        <v>66</v>
      </c>
      <c r="C229" s="504">
        <f>'[84]Sch D'!H9</f>
        <v>475</v>
      </c>
      <c r="D229" s="480"/>
      <c r="E229" s="480"/>
      <c r="F229" s="224">
        <f t="shared" si="75"/>
        <v>475</v>
      </c>
      <c r="G229" s="627"/>
      <c r="H229" s="223"/>
      <c r="I229" s="224">
        <f t="shared" si="76"/>
        <v>475</v>
      </c>
      <c r="J229" s="167">
        <f t="shared" si="74"/>
        <v>5.7547855585170823E-2</v>
      </c>
      <c r="K229" s="162"/>
      <c r="L229" s="163"/>
      <c r="M229" s="163"/>
    </row>
    <row r="230" spans="1:13">
      <c r="A230" s="158"/>
      <c r="B230" s="165" t="s">
        <v>219</v>
      </c>
      <c r="C230" s="504">
        <f>'[84]Sch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162"/>
      <c r="L230" s="163"/>
      <c r="M230" s="163"/>
    </row>
    <row r="231" spans="1:13">
      <c r="A231" s="158"/>
      <c r="B231" s="165" t="s">
        <v>218</v>
      </c>
      <c r="C231" s="504">
        <f>'[84]Sch D'!J9</f>
        <v>283</v>
      </c>
      <c r="D231" s="480"/>
      <c r="E231" s="480"/>
      <c r="F231" s="224">
        <f t="shared" si="75"/>
        <v>283</v>
      </c>
      <c r="G231" s="627"/>
      <c r="H231" s="223"/>
      <c r="I231" s="224">
        <f t="shared" si="76"/>
        <v>283</v>
      </c>
      <c r="J231" s="167">
        <f>IF($I$233=0,0,I231/$I$233)</f>
        <v>3.4286406590743883E-2</v>
      </c>
      <c r="K231" s="162"/>
      <c r="L231" s="163"/>
      <c r="M231" s="163"/>
    </row>
    <row r="232" spans="1:13">
      <c r="A232" s="158"/>
      <c r="B232" s="165" t="s">
        <v>170</v>
      </c>
      <c r="C232" s="504">
        <f>'[84]Sch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162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8326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8326</v>
      </c>
      <c r="G233" s="226">
        <f t="shared" si="78"/>
        <v>-72</v>
      </c>
      <c r="H233" s="226">
        <f t="shared" si="78"/>
        <v>0</v>
      </c>
      <c r="I233" s="226">
        <f t="shared" si="78"/>
        <v>8254</v>
      </c>
      <c r="J233" s="167">
        <f t="shared" si="74"/>
        <v>1</v>
      </c>
      <c r="K233" s="162" t="s">
        <v>728</v>
      </c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'[84]Sch D'!N22</f>
        <v>52</v>
      </c>
      <c r="D236" s="480"/>
      <c r="E236" s="480"/>
      <c r="F236" s="224">
        <f>C236+E236</f>
        <v>52</v>
      </c>
      <c r="G236" s="627"/>
      <c r="H236" s="224"/>
      <c r="I236" s="224">
        <f>F236+G236+H236</f>
        <v>52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'[84]Sch D'!N24</f>
        <v>52</v>
      </c>
      <c r="D237" s="480"/>
      <c r="E237" s="480"/>
      <c r="F237" s="224">
        <f>C237+E237</f>
        <v>52</v>
      </c>
      <c r="G237" s="627"/>
      <c r="H237" s="224"/>
      <c r="I237" s="224">
        <f>F237+G237+H237</f>
        <v>52</v>
      </c>
      <c r="J237" s="455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202</v>
      </c>
      <c r="D238" s="427"/>
      <c r="E238" s="427"/>
      <c r="F238" s="224">
        <f>C238+E238</f>
        <v>202</v>
      </c>
      <c r="G238" s="627"/>
      <c r="H238" s="228"/>
      <c r="I238" s="224">
        <f>F238+G238+H238</f>
        <v>202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'[84]Sch D'!N28</f>
        <v>10504</v>
      </c>
      <c r="D240" s="427"/>
      <c r="E240" s="427"/>
      <c r="F240" s="223">
        <f>F236*F238</f>
        <v>10504</v>
      </c>
      <c r="G240"/>
      <c r="H240" s="228"/>
      <c r="I240" s="223">
        <f>I236*I238</f>
        <v>10504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'[84]Sch D'!N30</f>
        <v>0.79265041888804266</v>
      </c>
      <c r="D241" s="228"/>
      <c r="E241" s="228"/>
      <c r="F241" s="232">
        <f>F233/F240</f>
        <v>0.79265041888804266</v>
      </c>
      <c r="G241"/>
      <c r="H241" s="233"/>
      <c r="I241" s="232">
        <f>I233/I240</f>
        <v>0.78579588728103578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'[84]Sch D'!N32</f>
        <v>7.4733434881949737E-2</v>
      </c>
      <c r="D242" s="228"/>
      <c r="E242" s="228"/>
      <c r="F242" s="232">
        <f>(F224+F225)/F240</f>
        <v>7.4733434881949737E-2</v>
      </c>
      <c r="G242"/>
      <c r="H242" s="233"/>
      <c r="I242" s="232">
        <f>(I224+I225)/I240</f>
        <v>6.7878903274942878E-2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'[84]Sch D'!N34</f>
        <v>9.4282969012731213E-2</v>
      </c>
      <c r="D243" s="228"/>
      <c r="E243" s="228"/>
      <c r="F243" s="232">
        <f>(F242/F241)</f>
        <v>9.4282969012731213E-2</v>
      </c>
      <c r="G243"/>
      <c r="H243" s="233"/>
      <c r="I243" s="232">
        <f>(I242/I241)</f>
        <v>8.6382360067845901E-2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 t="str">
        <f>'[84]Sch B'!C90</f>
        <v/>
      </c>
      <c r="K246" s="460"/>
    </row>
    <row r="247" spans="1:13">
      <c r="B247" s="456"/>
      <c r="H247" s="140" t="s">
        <v>322</v>
      </c>
      <c r="I247" s="480">
        <f>'[84]Sch B'!E90</f>
        <v>394.12421052631572</v>
      </c>
      <c r="K247" s="460"/>
    </row>
    <row r="248" spans="1:13">
      <c r="B248" s="411"/>
      <c r="H248" s="140" t="s">
        <v>323</v>
      </c>
      <c r="I248" s="480">
        <f>'[84]Sch B'!G90</f>
        <v>394.12421052631584</v>
      </c>
      <c r="K248" s="460"/>
    </row>
    <row r="249" spans="1:13">
      <c r="H249" s="140" t="s">
        <v>324</v>
      </c>
      <c r="I249" s="480">
        <f>'[84]Sch B'!I90</f>
        <v>394.12421052631578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E28CAB"/>
  </sheetPr>
  <dimension ref="A1:Q277"/>
  <sheetViews>
    <sheetView showGridLines="0" topLeftCell="A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571</v>
      </c>
      <c r="D2" s="234"/>
      <c r="E2" s="142"/>
      <c r="F2" s="411"/>
      <c r="G2" s="411"/>
    </row>
    <row r="3" spans="1:16">
      <c r="A3" s="143"/>
      <c r="B3" s="138" t="s">
        <v>71</v>
      </c>
      <c r="C3" s="557">
        <f>'[85]Sch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'[85]Sch A Pg 1'!G39</f>
        <v>43079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'[85]Sch B'!E10</f>
        <v>179592</v>
      </c>
      <c r="D12" s="480">
        <f>'[85]Sch B'!G10</f>
        <v>0</v>
      </c>
      <c r="E12" s="480"/>
      <c r="F12" s="166">
        <f>C12+D12+E12</f>
        <v>179592</v>
      </c>
      <c r="G12" s="626"/>
      <c r="H12" s="166"/>
      <c r="I12" s="166">
        <f>F12+G12+H12</f>
        <v>179592</v>
      </c>
      <c r="J12" s="167">
        <f>IF($I$26=0,0,I12/$I$26)</f>
        <v>0.104185895409177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'[85]Sch B'!E12</f>
        <v>6887</v>
      </c>
      <c r="D13" s="480">
        <f>'[85]Sch B'!G12</f>
        <v>0</v>
      </c>
      <c r="E13" s="480"/>
      <c r="F13" s="166">
        <f t="shared" ref="F13:F25" si="0">C13+D13+E13</f>
        <v>6887</v>
      </c>
      <c r="G13" s="626">
        <v>-6887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'[85]Sch B'!E13</f>
        <v>4722</v>
      </c>
      <c r="D14" s="480">
        <f>'[85]Sch B'!G13</f>
        <v>0</v>
      </c>
      <c r="E14" s="480"/>
      <c r="F14" s="166">
        <f t="shared" si="0"/>
        <v>4722</v>
      </c>
      <c r="G14" s="626"/>
      <c r="H14" s="166"/>
      <c r="I14" s="166">
        <f t="shared" si="1"/>
        <v>4722</v>
      </c>
      <c r="J14" s="167">
        <f>IF($I$26=0,0,I14/$I$26)</f>
        <v>2.739352521950498E-3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'[85]Sch B'!E14</f>
        <v>0</v>
      </c>
      <c r="D15" s="480">
        <f>'[85]Sch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'[85]Sch B'!E15</f>
        <v>191201</v>
      </c>
      <c r="D16" s="480">
        <f>'[85]Sch B'!G15</f>
        <v>0</v>
      </c>
      <c r="E16" s="480"/>
      <c r="F16" s="166">
        <f t="shared" si="0"/>
        <v>191201</v>
      </c>
      <c r="G16" s="626"/>
      <c r="H16" s="166"/>
      <c r="I16" s="166">
        <f>SUM(I12:I15)</f>
        <v>184314</v>
      </c>
      <c r="J16" s="167">
        <f t="shared" ref="J16:J26" si="2">IF($I$26=0,0,I16/$I$26)</f>
        <v>0.10692524793112751</v>
      </c>
      <c r="K16" s="458"/>
      <c r="L16" s="333" t="s">
        <v>325</v>
      </c>
      <c r="M16" s="334">
        <f>I26</f>
        <v>1723765</v>
      </c>
      <c r="O16" s="324">
        <f>IFERROR(I16/I224,0)</f>
        <v>192.59561128526647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'[85]Sch B'!E20</f>
        <v>0</v>
      </c>
      <c r="D17" s="480">
        <f>'[85]Sch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1617225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'[85]Sch B'!E26</f>
        <v>1322684</v>
      </c>
      <c r="D18" s="480">
        <f>'[85]Sch B'!G26</f>
        <v>0</v>
      </c>
      <c r="E18" s="480"/>
      <c r="F18" s="166">
        <f t="shared" si="0"/>
        <v>1322684</v>
      </c>
      <c r="G18" s="626"/>
      <c r="H18" s="166"/>
      <c r="I18" s="166">
        <f t="shared" si="1"/>
        <v>1322684</v>
      </c>
      <c r="J18" s="167">
        <f t="shared" si="2"/>
        <v>0.76732269189825764</v>
      </c>
      <c r="K18" s="458"/>
      <c r="L18" s="335" t="s">
        <v>327</v>
      </c>
      <c r="M18" s="336">
        <f>I233</f>
        <v>3785</v>
      </c>
      <c r="O18" s="324">
        <f t="shared" si="3"/>
        <v>589.95718108831397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'[85]Sch B'!E32</f>
        <v>85589</v>
      </c>
      <c r="D19" s="480">
        <f>'[85]Sch B'!G32</f>
        <v>0</v>
      </c>
      <c r="E19" s="480"/>
      <c r="F19" s="166">
        <f t="shared" si="0"/>
        <v>85589</v>
      </c>
      <c r="G19" s="626"/>
      <c r="H19" s="166"/>
      <c r="I19" s="166">
        <f t="shared" si="1"/>
        <v>85589</v>
      </c>
      <c r="J19" s="170">
        <f t="shared" si="2"/>
        <v>4.9652359805425914E-2</v>
      </c>
      <c r="K19" s="464"/>
      <c r="L19" s="335" t="s">
        <v>328</v>
      </c>
      <c r="M19" s="336">
        <f>I236</f>
        <v>30</v>
      </c>
      <c r="O19" s="324">
        <f t="shared" si="3"/>
        <v>448.10994764397907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'[85]Sch B'!E37</f>
        <v>0</v>
      </c>
      <c r="D20" s="480">
        <f>'[85]Sch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4890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'[85]Sch B'!E42</f>
        <v>123872</v>
      </c>
      <c r="D21" s="480">
        <f>'[85]Sch B'!G42</f>
        <v>0</v>
      </c>
      <c r="E21" s="480"/>
      <c r="F21" s="166">
        <f t="shared" si="0"/>
        <v>123872</v>
      </c>
      <c r="G21" s="626"/>
      <c r="H21" s="166"/>
      <c r="I21" s="166">
        <f t="shared" si="1"/>
        <v>123872</v>
      </c>
      <c r="J21" s="167">
        <f t="shared" si="2"/>
        <v>7.1861303599968673E-2</v>
      </c>
      <c r="K21" s="458"/>
      <c r="L21" s="337"/>
      <c r="M21" s="336"/>
      <c r="O21" s="324">
        <f t="shared" si="3"/>
        <v>326.83905013192611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'[85]Sch B'!E47</f>
        <v>0</v>
      </c>
      <c r="D22" s="480">
        <f>'[85]Sch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40603.730000000003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'[85]Sch B'!E52</f>
        <v>3520</v>
      </c>
      <c r="D23" s="480">
        <f>'[85]Sch B'!G52</f>
        <v>0</v>
      </c>
      <c r="E23" s="480"/>
      <c r="F23" s="166">
        <f t="shared" si="0"/>
        <v>3520</v>
      </c>
      <c r="G23" s="626"/>
      <c r="H23" s="166"/>
      <c r="I23" s="166">
        <f t="shared" si="1"/>
        <v>3520</v>
      </c>
      <c r="J23" s="167">
        <f t="shared" si="2"/>
        <v>2.0420416936183295E-3</v>
      </c>
      <c r="K23" s="458"/>
      <c r="L23" s="338" t="s">
        <v>233</v>
      </c>
      <c r="M23" s="339">
        <f>M213</f>
        <v>42886.259999999995</v>
      </c>
      <c r="O23" s="324">
        <f t="shared" si="3"/>
        <v>220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'[85]Sch B'!E57</f>
        <v>0</v>
      </c>
      <c r="D24" s="480">
        <f>'[85]Sch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'[85]Sch B'!E72</f>
        <v>3786</v>
      </c>
      <c r="D25" s="480">
        <f>'[85]Sch B'!G72</f>
        <v>0</v>
      </c>
      <c r="E25" s="480"/>
      <c r="F25" s="166">
        <f t="shared" si="0"/>
        <v>3786</v>
      </c>
      <c r="G25" s="626"/>
      <c r="H25" s="166"/>
      <c r="I25" s="166">
        <f t="shared" si="1"/>
        <v>3786</v>
      </c>
      <c r="J25" s="167">
        <f t="shared" si="2"/>
        <v>2.1963550716019875E-3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1730652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1730652</v>
      </c>
      <c r="G26" s="166">
        <f>SUM(G12:G25)</f>
        <v>-6887</v>
      </c>
      <c r="H26" s="166">
        <f>SUM(H12:H25)</f>
        <v>0</v>
      </c>
      <c r="I26" s="166">
        <f>SUM(I16:I25)</f>
        <v>1723765</v>
      </c>
      <c r="J26" s="167">
        <f t="shared" si="2"/>
        <v>1</v>
      </c>
      <c r="K26" s="458"/>
      <c r="L26" s="163"/>
      <c r="M26" s="163"/>
      <c r="O26" s="324">
        <f>IFERROR(I26/I233,0)</f>
        <v>455.4200792602378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'[85]Sch C'!D10</f>
        <v>46268</v>
      </c>
      <c r="D30" s="480">
        <f>'[85]Sch C'!F10</f>
        <v>0</v>
      </c>
      <c r="E30" s="480">
        <f>+'[85]Sch C'!H10</f>
        <v>0</v>
      </c>
      <c r="F30" s="166">
        <f t="shared" ref="F30:F65" si="5">C30+D30+E30</f>
        <v>46268</v>
      </c>
      <c r="G30" s="626"/>
      <c r="H30" s="166"/>
      <c r="I30" s="166">
        <f t="shared" ref="I30:I65" si="6">F30+G30+H30</f>
        <v>46268</v>
      </c>
      <c r="J30" s="167">
        <f>IF($I$213=0,0,I30/$I$213)</f>
        <v>2.8609500842492541E-2</v>
      </c>
      <c r="K30" s="458"/>
      <c r="L30" s="176">
        <v>947</v>
      </c>
      <c r="M30" s="176">
        <v>1039</v>
      </c>
      <c r="O30" s="324">
        <f>I30/I$233</f>
        <v>12.224042272126816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'[85]Sch C'!D11</f>
        <v>0</v>
      </c>
      <c r="D31" s="480">
        <f>'[85]Sch C'!F11</f>
        <v>0</v>
      </c>
      <c r="E31" s="480">
        <f>+'[85]Sch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'[85]Sch C'!D12</f>
        <v>19154</v>
      </c>
      <c r="D32" s="480">
        <f>'[85]Sch C'!F12</f>
        <v>0</v>
      </c>
      <c r="E32" s="480">
        <f>+'[85]Sch C'!H12</f>
        <v>0</v>
      </c>
      <c r="F32" s="166">
        <f t="shared" si="5"/>
        <v>19154</v>
      </c>
      <c r="G32" s="626"/>
      <c r="H32" s="166"/>
      <c r="I32" s="166">
        <f t="shared" si="6"/>
        <v>19154</v>
      </c>
      <c r="J32" s="167">
        <f t="shared" si="7"/>
        <v>1.1843744686113558E-2</v>
      </c>
      <c r="K32" s="458"/>
      <c r="L32" s="176">
        <v>1111.21</v>
      </c>
      <c r="M32" s="176">
        <v>1239.74</v>
      </c>
      <c r="O32" s="324">
        <f t="shared" si="8"/>
        <v>5.0605019815059444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'[85]Sch C'!D13</f>
        <v>115809</v>
      </c>
      <c r="D33" s="480">
        <f>'[85]Sch C'!F13</f>
        <v>-107510</v>
      </c>
      <c r="E33" s="480">
        <f>+'[85]Sch C'!H13</f>
        <v>0</v>
      </c>
      <c r="F33" s="166">
        <f t="shared" si="5"/>
        <v>8299</v>
      </c>
      <c r="G33" s="626">
        <v>3792</v>
      </c>
      <c r="H33" s="166"/>
      <c r="I33" s="166">
        <f t="shared" si="6"/>
        <v>12091</v>
      </c>
      <c r="J33" s="167">
        <f t="shared" si="7"/>
        <v>7.4763870209772912E-3</v>
      </c>
      <c r="K33" s="458"/>
      <c r="L33" s="163"/>
      <c r="M33" s="163"/>
      <c r="O33" s="324">
        <f t="shared" si="8"/>
        <v>3.1944517833553498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'[85]Sch C'!D14</f>
        <v>0</v>
      </c>
      <c r="D34" s="480">
        <f>'[85]Sch C'!F14</f>
        <v>0</v>
      </c>
      <c r="E34" s="480">
        <f>+'[85]Sch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'[85]Sch C'!D15</f>
        <v>0</v>
      </c>
      <c r="D35" s="480">
        <f>'[85]Sch C'!F15</f>
        <v>0</v>
      </c>
      <c r="E35" s="480">
        <f>+'[85]Sch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'[85]Sch C'!D16</f>
        <v>45000</v>
      </c>
      <c r="D36" s="480">
        <f>'[85]Sch C'!F16</f>
        <v>0</v>
      </c>
      <c r="E36" s="480">
        <f>+'[85]Sch C'!H16</f>
        <v>-6320</v>
      </c>
      <c r="F36" s="166">
        <f t="shared" si="5"/>
        <v>38680</v>
      </c>
      <c r="G36" s="626"/>
      <c r="H36" s="166"/>
      <c r="I36" s="166">
        <f t="shared" si="6"/>
        <v>38680</v>
      </c>
      <c r="J36" s="167">
        <f t="shared" si="7"/>
        <v>2.3917513023852588E-2</v>
      </c>
      <c r="K36" s="458"/>
      <c r="L36" s="163"/>
      <c r="M36" s="163"/>
      <c r="O36" s="324">
        <f t="shared" si="8"/>
        <v>10.219286657859973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'[85]Sch C'!D17</f>
        <v>0</v>
      </c>
      <c r="D37" s="480">
        <f>'[85]Sch C'!F17</f>
        <v>0</v>
      </c>
      <c r="E37" s="480">
        <f>+'[85]Sch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'[85]Sch C'!D18</f>
        <v>7974</v>
      </c>
      <c r="D38" s="480">
        <f>'[85]Sch C'!F18</f>
        <v>0</v>
      </c>
      <c r="E38" s="480">
        <f>+'[85]Sch C'!H18</f>
        <v>0</v>
      </c>
      <c r="F38" s="166">
        <f t="shared" si="5"/>
        <v>7974</v>
      </c>
      <c r="G38" s="626"/>
      <c r="H38" s="166"/>
      <c r="I38" s="166">
        <f t="shared" si="6"/>
        <v>7974</v>
      </c>
      <c r="J38" s="167">
        <f t="shared" si="7"/>
        <v>4.9306682743588551E-3</v>
      </c>
      <c r="K38" s="458"/>
      <c r="L38" s="163"/>
      <c r="M38" s="163"/>
      <c r="O38" s="324">
        <f t="shared" si="8"/>
        <v>2.1067371202113607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'[85]Sch C'!D19</f>
        <v>10634</v>
      </c>
      <c r="D39" s="480">
        <f>'[85]Sch C'!F19</f>
        <v>0</v>
      </c>
      <c r="E39" s="480">
        <f>+'[85]Sch C'!H19</f>
        <v>0</v>
      </c>
      <c r="F39" s="166">
        <f t="shared" si="5"/>
        <v>10634</v>
      </c>
      <c r="G39" s="626"/>
      <c r="H39" s="166"/>
      <c r="I39" s="166">
        <f t="shared" si="6"/>
        <v>10634</v>
      </c>
      <c r="J39" s="167">
        <f t="shared" si="7"/>
        <v>6.5754610521108689E-3</v>
      </c>
      <c r="K39" s="458"/>
      <c r="L39" s="163"/>
      <c r="M39" s="163"/>
      <c r="O39" s="324">
        <f t="shared" si="8"/>
        <v>2.8095112285336854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'[85]Sch C'!D20</f>
        <v>2706</v>
      </c>
      <c r="D40" s="480">
        <f>'[85]Sch C'!F20</f>
        <v>0</v>
      </c>
      <c r="E40" s="480">
        <f>+'[85]Sch C'!H20</f>
        <v>0</v>
      </c>
      <c r="F40" s="166">
        <f t="shared" si="5"/>
        <v>2706</v>
      </c>
      <c r="G40" s="626"/>
      <c r="H40" s="166"/>
      <c r="I40" s="166">
        <f t="shared" si="6"/>
        <v>2706</v>
      </c>
      <c r="J40" s="167">
        <f t="shared" si="7"/>
        <v>1.6732365626304319E-3</v>
      </c>
      <c r="K40" s="458"/>
      <c r="L40" s="163"/>
      <c r="M40" s="163"/>
      <c r="O40" s="324">
        <f t="shared" si="8"/>
        <v>0.71492734478203435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'[85]Sch C'!D21</f>
        <v>3903</v>
      </c>
      <c r="D41" s="480">
        <f>'[85]Sch C'!F21</f>
        <v>0</v>
      </c>
      <c r="E41" s="480">
        <f>+'[85]Sch C'!H21</f>
        <v>0</v>
      </c>
      <c r="F41" s="166">
        <f t="shared" si="5"/>
        <v>3903</v>
      </c>
      <c r="G41" s="626"/>
      <c r="H41" s="166"/>
      <c r="I41" s="166">
        <f t="shared" si="6"/>
        <v>3903</v>
      </c>
      <c r="J41" s="167">
        <f t="shared" si="7"/>
        <v>2.4133933126188377E-3</v>
      </c>
      <c r="K41" s="458"/>
      <c r="L41" s="163"/>
      <c r="M41" s="163"/>
      <c r="O41" s="324">
        <f t="shared" si="8"/>
        <v>1.0311756935270806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'[85]Sch C'!D22</f>
        <v>0</v>
      </c>
      <c r="D42" s="480">
        <f>'[85]Sch C'!F22</f>
        <v>0</v>
      </c>
      <c r="E42" s="480">
        <f>+'[85]Sch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'[85]Sch C'!D23</f>
        <v>1903</v>
      </c>
      <c r="D43" s="480">
        <f>'[85]Sch C'!F23</f>
        <v>0</v>
      </c>
      <c r="E43" s="480">
        <f>+'[85]Sch C'!H23</f>
        <v>0</v>
      </c>
      <c r="F43" s="166">
        <f t="shared" si="5"/>
        <v>1903</v>
      </c>
      <c r="G43" s="626"/>
      <c r="H43" s="166"/>
      <c r="I43" s="166">
        <f t="shared" si="6"/>
        <v>1903</v>
      </c>
      <c r="J43" s="167">
        <f t="shared" si="7"/>
        <v>1.1767070135571735E-3</v>
      </c>
      <c r="K43" s="458" t="s">
        <v>489</v>
      </c>
      <c r="L43" s="163"/>
      <c r="M43" s="163"/>
      <c r="O43" s="324">
        <f t="shared" si="8"/>
        <v>0.50277410832232494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'[85]Sch C'!D24</f>
        <v>8625</v>
      </c>
      <c r="D44" s="480">
        <f>'[85]Sch C'!F24</f>
        <v>0</v>
      </c>
      <c r="E44" s="480">
        <f>+'[85]Sch C'!H24</f>
        <v>0</v>
      </c>
      <c r="F44" s="166">
        <f t="shared" si="5"/>
        <v>8625</v>
      </c>
      <c r="G44" s="626">
        <v>-2649</v>
      </c>
      <c r="H44" s="166"/>
      <c r="I44" s="166">
        <f t="shared" si="6"/>
        <v>5976</v>
      </c>
      <c r="J44" s="167">
        <f t="shared" si="7"/>
        <v>3.6952186615962527E-3</v>
      </c>
      <c r="K44" s="458" t="s">
        <v>490</v>
      </c>
      <c r="L44" s="163"/>
      <c r="M44" s="163"/>
      <c r="O44" s="324">
        <f t="shared" si="8"/>
        <v>1.5788639365918098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'[85]Sch C'!D25</f>
        <v>0</v>
      </c>
      <c r="D45" s="480">
        <f>'[85]Sch C'!F25</f>
        <v>0</v>
      </c>
      <c r="E45" s="480">
        <f>+'[85]Sch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'[85]Sch C'!D26</f>
        <v>33232</v>
      </c>
      <c r="D46" s="480">
        <f>'[85]Sch C'!F26</f>
        <v>0</v>
      </c>
      <c r="E46" s="480">
        <f>+'[85]Sch C'!H26</f>
        <v>0</v>
      </c>
      <c r="F46" s="166">
        <f t="shared" si="5"/>
        <v>33232</v>
      </c>
      <c r="G46" s="626"/>
      <c r="H46" s="166"/>
      <c r="I46" s="166">
        <f t="shared" si="6"/>
        <v>33232</v>
      </c>
      <c r="J46" s="167">
        <f t="shared" si="7"/>
        <v>2.0548779545208614E-2</v>
      </c>
      <c r="K46" s="458"/>
      <c r="L46" s="163"/>
      <c r="M46" s="163"/>
      <c r="O46" s="324">
        <f t="shared" si="8"/>
        <v>8.7799207397622201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'[85]Sch C'!D27</f>
        <v>176</v>
      </c>
      <c r="D47" s="480">
        <f>'[85]Sch C'!F27</f>
        <v>0</v>
      </c>
      <c r="E47" s="480">
        <f>+'[85]Sch C'!H27</f>
        <v>0</v>
      </c>
      <c r="F47" s="166">
        <f t="shared" si="5"/>
        <v>176</v>
      </c>
      <c r="G47" s="626"/>
      <c r="H47" s="166"/>
      <c r="I47" s="166">
        <f t="shared" si="6"/>
        <v>176</v>
      </c>
      <c r="J47" s="167">
        <f t="shared" si="7"/>
        <v>1.0882839431742646E-4</v>
      </c>
      <c r="K47" s="458"/>
      <c r="L47" s="163"/>
      <c r="M47" s="163"/>
      <c r="O47" s="324">
        <f t="shared" si="8"/>
        <v>4.6499339498018495E-2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'[85]Sch C'!D28</f>
        <v>0</v>
      </c>
      <c r="D48" s="480">
        <f>'[85]Sch C'!F28</f>
        <v>0</v>
      </c>
      <c r="E48" s="480">
        <f>+'[85]Sch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'[85]Sch C'!D29</f>
        <v>-2706</v>
      </c>
      <c r="D49" s="480">
        <f>'[85]Sch C'!F29</f>
        <v>2706</v>
      </c>
      <c r="E49" s="480">
        <f>+'[85]Sch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'[85]Sch C'!D30</f>
        <v>0</v>
      </c>
      <c r="D50" s="480">
        <f>'[85]Sch C'!F30</f>
        <v>0</v>
      </c>
      <c r="E50" s="480">
        <f>+'[85]Sch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'[85]Sch C'!D31</f>
        <v>7010</v>
      </c>
      <c r="D51" s="480">
        <f>'[85]Sch C'!F31</f>
        <v>0</v>
      </c>
      <c r="E51" s="480">
        <f>+'[85]Sch C'!H31</f>
        <v>0</v>
      </c>
      <c r="F51" s="166">
        <f t="shared" si="5"/>
        <v>7010</v>
      </c>
      <c r="G51" s="626"/>
      <c r="H51" s="166"/>
      <c r="I51" s="166">
        <f t="shared" si="6"/>
        <v>7010</v>
      </c>
      <c r="J51" s="167">
        <f t="shared" si="7"/>
        <v>4.3345854782111332E-3</v>
      </c>
      <c r="K51" s="458"/>
      <c r="L51" s="163"/>
      <c r="M51" s="163"/>
      <c r="O51" s="324">
        <f t="shared" si="8"/>
        <v>1.8520475561426684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'[85]Sch C'!D32</f>
        <v>4942</v>
      </c>
      <c r="D52" s="480">
        <f>'[85]Sch C'!F32</f>
        <v>0</v>
      </c>
      <c r="E52" s="480">
        <f>+'[85]Sch C'!H32</f>
        <v>0</v>
      </c>
      <c r="F52" s="166">
        <f t="shared" si="5"/>
        <v>4942</v>
      </c>
      <c r="G52" s="626"/>
      <c r="H52" s="166"/>
      <c r="I52" s="166">
        <f t="shared" si="6"/>
        <v>4942</v>
      </c>
      <c r="J52" s="167">
        <f t="shared" si="7"/>
        <v>3.0558518449813723E-3</v>
      </c>
      <c r="K52" s="458"/>
      <c r="L52" s="163"/>
      <c r="M52" s="163"/>
      <c r="O52" s="324">
        <f t="shared" si="8"/>
        <v>1.3056803170409512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'[85]Sch C'!D33</f>
        <v>0</v>
      </c>
      <c r="D53" s="480">
        <f>'[85]Sch C'!F33</f>
        <v>0</v>
      </c>
      <c r="E53" s="480">
        <f>+'[85]Sch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'[85]Sch C'!D34</f>
        <v>0</v>
      </c>
      <c r="D54" s="480">
        <f>'[85]Sch C'!F34</f>
        <v>0</v>
      </c>
      <c r="E54" s="480">
        <f>+'[85]Sch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'[85]Sch C'!D35</f>
        <v>0</v>
      </c>
      <c r="D55" s="480">
        <f>'[85]Sch C'!F35</f>
        <v>0</v>
      </c>
      <c r="E55" s="480">
        <f>+'[85]Sch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'[85]Sch C'!D36</f>
        <v>3687</v>
      </c>
      <c r="D56" s="480">
        <f>'[85]Sch C'!F36</f>
        <v>0</v>
      </c>
      <c r="E56" s="480">
        <f>+'[85]Sch C'!H36</f>
        <v>0</v>
      </c>
      <c r="F56" s="166">
        <f t="shared" si="5"/>
        <v>3687</v>
      </c>
      <c r="G56" s="626"/>
      <c r="H56" s="166"/>
      <c r="I56" s="166">
        <f t="shared" si="6"/>
        <v>3687</v>
      </c>
      <c r="J56" s="167">
        <f t="shared" si="7"/>
        <v>2.279831192320178E-3</v>
      </c>
      <c r="K56" s="458"/>
      <c r="L56" s="176">
        <v>338.52</v>
      </c>
      <c r="M56" s="176">
        <v>342.27</v>
      </c>
      <c r="O56" s="324">
        <f t="shared" si="8"/>
        <v>0.97410832232496702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'[85]Sch C'!D37</f>
        <v>0</v>
      </c>
      <c r="D57" s="480">
        <f>'[85]Sch C'!F37</f>
        <v>468</v>
      </c>
      <c r="E57" s="480">
        <f>+'[85]Sch C'!H37</f>
        <v>0</v>
      </c>
      <c r="F57" s="166">
        <f t="shared" si="5"/>
        <v>468</v>
      </c>
      <c r="G57" s="626">
        <v>214</v>
      </c>
      <c r="H57" s="166"/>
      <c r="I57" s="166">
        <f t="shared" si="6"/>
        <v>682</v>
      </c>
      <c r="J57" s="167">
        <f t="shared" si="7"/>
        <v>4.2171002798002753E-4</v>
      </c>
      <c r="K57" s="458"/>
      <c r="L57" s="163"/>
      <c r="M57" s="163"/>
      <c r="O57" s="324">
        <f t="shared" si="8"/>
        <v>0.18018494055482168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'[85]Sch C'!D38</f>
        <v>0</v>
      </c>
      <c r="D58" s="480">
        <f>'[85]Sch C'!F38</f>
        <v>0</v>
      </c>
      <c r="E58" s="480">
        <f>+'[85]Sch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'[85]Sch C'!D39</f>
        <v>820</v>
      </c>
      <c r="D59" s="480">
        <f>'[85]Sch C'!F39</f>
        <v>0</v>
      </c>
      <c r="E59" s="480">
        <f>+'[85]Sch C'!H39</f>
        <v>0</v>
      </c>
      <c r="F59" s="166">
        <f t="shared" si="5"/>
        <v>820</v>
      </c>
      <c r="G59" s="626"/>
      <c r="H59" s="166"/>
      <c r="I59" s="166">
        <f t="shared" si="6"/>
        <v>820</v>
      </c>
      <c r="J59" s="167">
        <f t="shared" si="7"/>
        <v>5.070413826152823E-4</v>
      </c>
      <c r="K59" s="458"/>
      <c r="L59" s="163"/>
      <c r="M59" s="163"/>
      <c r="O59" s="324">
        <f t="shared" si="8"/>
        <v>0.2166446499339498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'[85]Sch C'!D40</f>
        <v>2516</v>
      </c>
      <c r="D60" s="480">
        <f>'[85]Sch C'!F40</f>
        <v>-1311</v>
      </c>
      <c r="E60" s="480">
        <f>+'[85]Sch C'!H40</f>
        <v>0</v>
      </c>
      <c r="F60" s="166">
        <f t="shared" si="5"/>
        <v>1205</v>
      </c>
      <c r="G60" s="626"/>
      <c r="H60" s="166"/>
      <c r="I60" s="166">
        <f t="shared" si="6"/>
        <v>1205</v>
      </c>
      <c r="J60" s="167">
        <f t="shared" si="7"/>
        <v>7.4510349518465272E-4</v>
      </c>
      <c r="K60" s="458"/>
      <c r="L60" s="163"/>
      <c r="M60" s="163"/>
      <c r="O60" s="324">
        <f t="shared" si="8"/>
        <v>0.31836195508586523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'[85]Sch C'!D41</f>
        <v>0</v>
      </c>
      <c r="D61" s="480">
        <f>'[85]Sch C'!F41</f>
        <v>0</v>
      </c>
      <c r="E61" s="480">
        <f>+'[85]Sch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'[85]Sch C'!D42</f>
        <v>1073</v>
      </c>
      <c r="D62" s="480">
        <f>'[85]Sch C'!F42</f>
        <v>0</v>
      </c>
      <c r="E62" s="480">
        <f>+'[85]Sch C'!H42</f>
        <v>0</v>
      </c>
      <c r="F62" s="166">
        <f t="shared" si="5"/>
        <v>1073</v>
      </c>
      <c r="G62" s="626"/>
      <c r="H62" s="166"/>
      <c r="I62" s="166">
        <f t="shared" si="6"/>
        <v>1073</v>
      </c>
      <c r="J62" s="167">
        <f t="shared" si="7"/>
        <v>6.6348219944658291E-4</v>
      </c>
      <c r="K62" s="458"/>
      <c r="L62" s="163"/>
      <c r="M62" s="163"/>
      <c r="O62" s="324">
        <f t="shared" si="8"/>
        <v>0.28348745046235141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'[85]Sch C'!D43</f>
        <v>2959</v>
      </c>
      <c r="D63" s="480">
        <f>'[85]Sch C'!F43</f>
        <v>-2959</v>
      </c>
      <c r="E63" s="480">
        <f>+'[85]Sch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 t="s">
        <v>493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'[85]Sch C'!D44</f>
        <v>0</v>
      </c>
      <c r="D64" s="480">
        <f>'[85]Sch C'!F44</f>
        <v>0</v>
      </c>
      <c r="E64" s="480">
        <f>+'[85]Sch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'[85]Sch C'!D45</f>
        <v>674</v>
      </c>
      <c r="D65" s="480">
        <f>'[85]Sch C'!F45</f>
        <v>0</v>
      </c>
      <c r="E65" s="480">
        <f>+'[85]Sch C'!H45</f>
        <v>0</v>
      </c>
      <c r="F65" s="166">
        <f t="shared" si="5"/>
        <v>674</v>
      </c>
      <c r="G65" s="626"/>
      <c r="H65" s="166"/>
      <c r="I65" s="166">
        <f t="shared" si="6"/>
        <v>674</v>
      </c>
      <c r="J65" s="167">
        <f t="shared" si="7"/>
        <v>4.1676328278378088E-4</v>
      </c>
      <c r="K65" s="458"/>
      <c r="L65" s="163"/>
      <c r="M65" s="163"/>
      <c r="O65" s="324">
        <f t="shared" si="8"/>
        <v>0.17807133421400265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316359</v>
      </c>
      <c r="D66" s="480">
        <f t="shared" si="9"/>
        <v>-108606</v>
      </c>
      <c r="E66" s="480">
        <f t="shared" si="9"/>
        <v>-6320</v>
      </c>
      <c r="F66" s="166">
        <f t="shared" ref="F66:I66" si="10">SUM(F30:F65)</f>
        <v>201433</v>
      </c>
      <c r="G66" s="166">
        <f t="shared" si="10"/>
        <v>1357</v>
      </c>
      <c r="H66" s="166">
        <f t="shared" si="10"/>
        <v>0</v>
      </c>
      <c r="I66" s="166">
        <f t="shared" si="10"/>
        <v>202790</v>
      </c>
      <c r="J66" s="178">
        <f t="shared" si="7"/>
        <v>0.12539380729335745</v>
      </c>
      <c r="K66" s="465"/>
      <c r="L66" s="163"/>
      <c r="M66" s="163"/>
      <c r="O66" s="329">
        <f>I66/I$233</f>
        <v>53.577278731836195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'[85]Sch C'!D57</f>
        <v>0</v>
      </c>
      <c r="D69" s="480">
        <f>'[85]Sch C'!F57</f>
        <v>0</v>
      </c>
      <c r="E69" s="480">
        <f>+'[85]Sch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'[85]Sch C'!D58</f>
        <v>87251</v>
      </c>
      <c r="D70" s="480">
        <f>'[85]Sch C'!F58</f>
        <v>0</v>
      </c>
      <c r="E70" s="480">
        <f>+'[85]Sch C'!H58</f>
        <v>0</v>
      </c>
      <c r="F70" s="166">
        <f t="shared" ref="F70:F83" si="13">C70+D70+E70</f>
        <v>87251</v>
      </c>
      <c r="G70" s="626"/>
      <c r="H70" s="166"/>
      <c r="I70" s="166">
        <f t="shared" ref="I70:I83" si="14">F70+G70+H70</f>
        <v>87251</v>
      </c>
      <c r="J70" s="167">
        <f t="shared" si="11"/>
        <v>5.3951058139714632E-2</v>
      </c>
      <c r="K70" s="458"/>
      <c r="L70" s="182"/>
      <c r="M70" s="163"/>
      <c r="O70" s="324">
        <f t="shared" si="12"/>
        <v>23.051783355350064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'[85]Sch C'!D59</f>
        <v>63109</v>
      </c>
      <c r="D71" s="480">
        <f>'[85]Sch C'!F59</f>
        <v>0</v>
      </c>
      <c r="E71" s="480">
        <f>+'[85]Sch C'!H59</f>
        <v>0</v>
      </c>
      <c r="F71" s="166">
        <f t="shared" si="13"/>
        <v>63109</v>
      </c>
      <c r="G71" s="626"/>
      <c r="H71" s="166"/>
      <c r="I71" s="166">
        <f t="shared" si="14"/>
        <v>63109</v>
      </c>
      <c r="J71" s="167">
        <f t="shared" si="11"/>
        <v>3.9023017823741284E-2</v>
      </c>
      <c r="K71" s="458"/>
      <c r="L71" s="182"/>
      <c r="M71" s="163"/>
      <c r="O71" s="324">
        <f t="shared" si="12"/>
        <v>16.673447820343462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'[85]Sch C'!D60</f>
        <v>18867</v>
      </c>
      <c r="D72" s="480">
        <f>'[85]Sch C'!F60</f>
        <v>0</v>
      </c>
      <c r="E72" s="480">
        <f>+'[85]Sch C'!H60</f>
        <v>0</v>
      </c>
      <c r="F72" s="166">
        <f t="shared" si="13"/>
        <v>18867</v>
      </c>
      <c r="G72" s="626"/>
      <c r="H72" s="166"/>
      <c r="I72" s="166">
        <f t="shared" si="14"/>
        <v>18867</v>
      </c>
      <c r="J72" s="167">
        <f t="shared" si="11"/>
        <v>1.1666280202198211E-2</v>
      </c>
      <c r="K72" s="458"/>
      <c r="L72" s="185"/>
      <c r="M72" s="163"/>
      <c r="O72" s="324">
        <f t="shared" si="12"/>
        <v>4.9846763540290624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'[85]Sch C'!D61</f>
        <v>0</v>
      </c>
      <c r="D73" s="480">
        <f>'[85]Sch C'!F61</f>
        <v>0</v>
      </c>
      <c r="E73" s="480">
        <f>+'[85]Sch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'[85]Sch C'!D62</f>
        <v>0</v>
      </c>
      <c r="D74" s="480">
        <f>'[85]Sch C'!F62</f>
        <v>0</v>
      </c>
      <c r="E74" s="480">
        <f>+'[85]Sch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'[85]Sch C'!D63</f>
        <v>0</v>
      </c>
      <c r="D75" s="480">
        <f>'[85]Sch C'!F63</f>
        <v>0</v>
      </c>
      <c r="E75" s="480">
        <f>+'[85]Sch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'[85]Sch C'!D64</f>
        <v>0</v>
      </c>
      <c r="D76" s="480">
        <f>'[85]Sch C'!F64</f>
        <v>0</v>
      </c>
      <c r="E76" s="480">
        <f>+'[85]Sch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'[85]Sch C'!D65</f>
        <v>918</v>
      </c>
      <c r="D77" s="480">
        <f>'[85]Sch C'!F65</f>
        <v>0</v>
      </c>
      <c r="E77" s="480">
        <f>+'[85]Sch C'!H65</f>
        <v>0</v>
      </c>
      <c r="F77" s="166">
        <f t="shared" si="13"/>
        <v>918</v>
      </c>
      <c r="G77" s="626"/>
      <c r="H77" s="166"/>
      <c r="I77" s="166">
        <f t="shared" si="14"/>
        <v>918</v>
      </c>
      <c r="J77" s="167">
        <f t="shared" si="11"/>
        <v>5.6763901126930395E-4</v>
      </c>
      <c r="K77" s="458"/>
      <c r="L77" s="187"/>
      <c r="M77" s="163"/>
      <c r="O77" s="324">
        <f t="shared" si="12"/>
        <v>0.24253632760898283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'[85]Sch C'!D66</f>
        <v>13754</v>
      </c>
      <c r="D78" s="480">
        <f>'[85]Sch C'!F66</f>
        <v>0</v>
      </c>
      <c r="E78" s="480">
        <f>+'[85]Sch C'!H66</f>
        <v>0</v>
      </c>
      <c r="F78" s="166">
        <f t="shared" si="13"/>
        <v>13754</v>
      </c>
      <c r="G78" s="626"/>
      <c r="H78" s="166"/>
      <c r="I78" s="166">
        <f t="shared" si="14"/>
        <v>13754</v>
      </c>
      <c r="J78" s="167">
        <f t="shared" si="11"/>
        <v>8.5046916786470656E-3</v>
      </c>
      <c r="K78" s="458"/>
      <c r="L78" s="187"/>
      <c r="M78" s="163"/>
      <c r="O78" s="324">
        <f t="shared" si="12"/>
        <v>3.6338177014531046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'[85]Sch C'!D67</f>
        <v>0</v>
      </c>
      <c r="D79" s="480">
        <f>'[85]Sch C'!F67</f>
        <v>0</v>
      </c>
      <c r="E79" s="480">
        <f>+'[85]Sch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'[85]Sch C'!D68</f>
        <v>0</v>
      </c>
      <c r="D80" s="480">
        <f>'[85]Sch C'!F68</f>
        <v>0</v>
      </c>
      <c r="E80" s="480">
        <f>+'[85]Sch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'[85]Sch C'!D69</f>
        <v>2069</v>
      </c>
      <c r="D81" s="480">
        <f>'[85]Sch C'!F69</f>
        <v>0</v>
      </c>
      <c r="E81" s="480">
        <f>+'[85]Sch C'!H69</f>
        <v>0</v>
      </c>
      <c r="F81" s="166">
        <f t="shared" si="13"/>
        <v>2069</v>
      </c>
      <c r="G81" s="626"/>
      <c r="H81" s="166"/>
      <c r="I81" s="166">
        <f t="shared" si="14"/>
        <v>2069</v>
      </c>
      <c r="J81" s="167">
        <f t="shared" si="11"/>
        <v>1.2793519763792916E-3</v>
      </c>
      <c r="K81" s="458"/>
      <c r="L81" s="187"/>
      <c r="M81" s="163"/>
      <c r="O81" s="324">
        <f t="shared" si="12"/>
        <v>0.54663143989431973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'[85]Sch C'!D70</f>
        <v>0</v>
      </c>
      <c r="D82" s="480">
        <f>'[85]Sch C'!F70</f>
        <v>0</v>
      </c>
      <c r="E82" s="480">
        <f>+'[85]Sch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'[85]Sch C'!D71</f>
        <v>0</v>
      </c>
      <c r="D83" s="480">
        <f>'[85]Sch C'!F71</f>
        <v>0</v>
      </c>
      <c r="E83" s="480">
        <f>+'[85]Sch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185968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185968</v>
      </c>
      <c r="G84" s="166">
        <f t="shared" si="16"/>
        <v>0</v>
      </c>
      <c r="H84" s="166">
        <f t="shared" si="16"/>
        <v>0</v>
      </c>
      <c r="I84" s="166">
        <f t="shared" si="16"/>
        <v>185968</v>
      </c>
      <c r="J84" s="167">
        <f t="shared" si="11"/>
        <v>0.11499203883194979</v>
      </c>
      <c r="K84" s="458"/>
      <c r="L84" s="187"/>
      <c r="M84" s="163"/>
      <c r="O84" s="324">
        <f t="shared" si="12"/>
        <v>49.132892998678997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'[85]Sch C'!D75</f>
        <v>16935</v>
      </c>
      <c r="D87" s="480">
        <f>'[85]Sch C'!F75</f>
        <v>0</v>
      </c>
      <c r="E87" s="480">
        <f>+'[85]Sch C'!H75</f>
        <v>0</v>
      </c>
      <c r="F87" s="166">
        <f t="shared" ref="F87:F97" si="17">C87+D87+E87</f>
        <v>16935</v>
      </c>
      <c r="G87" s="626"/>
      <c r="H87" s="166"/>
      <c r="I87" s="166">
        <f t="shared" ref="I87:I97" si="18">F87+G87+H87</f>
        <v>16935</v>
      </c>
      <c r="J87" s="167">
        <f t="shared" ref="J87:J98" si="19">IF($I$213=0,0,I87/$I$213)</f>
        <v>1.0471641237304641E-2</v>
      </c>
      <c r="K87" s="458"/>
      <c r="L87" s="176">
        <v>971.96</v>
      </c>
      <c r="M87" s="176">
        <v>1061</v>
      </c>
      <c r="O87" s="324">
        <f t="shared" ref="O87:O97" si="20">I87/I$233</f>
        <v>4.4742404227212678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'[85]Sch C'!D76</f>
        <v>0</v>
      </c>
      <c r="D88" s="480">
        <f>'[85]Sch C'!F76</f>
        <v>2148</v>
      </c>
      <c r="E88" s="480">
        <f>+'[85]Sch C'!H76</f>
        <v>0</v>
      </c>
      <c r="F88" s="166">
        <f t="shared" si="17"/>
        <v>2148</v>
      </c>
      <c r="G88" s="626">
        <v>982</v>
      </c>
      <c r="H88" s="166"/>
      <c r="I88" s="166">
        <f t="shared" si="18"/>
        <v>3130</v>
      </c>
      <c r="J88" s="167">
        <f t="shared" si="19"/>
        <v>1.9354140580315046E-3</v>
      </c>
      <c r="K88" s="458"/>
      <c r="L88" s="163"/>
      <c r="M88" s="163"/>
      <c r="O88" s="324">
        <f t="shared" si="20"/>
        <v>0.82694848084544259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'[85]Sch C'!D77</f>
        <v>1408</v>
      </c>
      <c r="D89" s="480">
        <f>'[85]Sch C'!F77</f>
        <v>0</v>
      </c>
      <c r="E89" s="480">
        <f>+'[85]Sch C'!H77</f>
        <v>0</v>
      </c>
      <c r="F89" s="166">
        <f t="shared" si="17"/>
        <v>1408</v>
      </c>
      <c r="G89" s="626"/>
      <c r="H89" s="166"/>
      <c r="I89" s="166">
        <f t="shared" si="18"/>
        <v>1408</v>
      </c>
      <c r="J89" s="167">
        <f t="shared" si="19"/>
        <v>8.7062715453941166E-4</v>
      </c>
      <c r="K89" s="458"/>
      <c r="L89" s="163"/>
      <c r="M89" s="163"/>
      <c r="O89" s="324">
        <f t="shared" si="20"/>
        <v>0.37199471598414796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'[85]Sch C'!D78</f>
        <v>0</v>
      </c>
      <c r="D90" s="480">
        <f>'[85]Sch C'!F78</f>
        <v>0</v>
      </c>
      <c r="E90" s="480">
        <f>+'[85]Sch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'[85]Sch C'!D79</f>
        <v>8193</v>
      </c>
      <c r="D91" s="480">
        <f>'[85]Sch C'!F79</f>
        <v>0</v>
      </c>
      <c r="E91" s="480">
        <f>+'[85]Sch C'!H79</f>
        <v>0</v>
      </c>
      <c r="F91" s="166">
        <f t="shared" si="17"/>
        <v>8193</v>
      </c>
      <c r="G91" s="626"/>
      <c r="H91" s="166"/>
      <c r="I91" s="166">
        <f t="shared" si="18"/>
        <v>8193</v>
      </c>
      <c r="J91" s="167">
        <f t="shared" si="19"/>
        <v>5.0660854241061076E-3</v>
      </c>
      <c r="K91" s="458"/>
      <c r="L91" s="163"/>
      <c r="M91" s="163"/>
      <c r="O91" s="324">
        <f t="shared" si="20"/>
        <v>2.1645970937912815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'[85]Sch C'!D80</f>
        <v>4361</v>
      </c>
      <c r="D92" s="480">
        <f>'[85]Sch C'!F80</f>
        <v>0</v>
      </c>
      <c r="E92" s="480">
        <f>+'[85]Sch C'!H80</f>
        <v>0</v>
      </c>
      <c r="F92" s="166">
        <f t="shared" si="17"/>
        <v>4361</v>
      </c>
      <c r="G92" s="626"/>
      <c r="H92" s="166"/>
      <c r="I92" s="166">
        <f t="shared" si="18"/>
        <v>4361</v>
      </c>
      <c r="J92" s="167">
        <f t="shared" si="19"/>
        <v>2.6965944751039589E-3</v>
      </c>
      <c r="K92" s="458"/>
      <c r="L92" s="163"/>
      <c r="M92" s="163"/>
      <c r="O92" s="324">
        <f t="shared" si="20"/>
        <v>1.1521796565389697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'[85]Sch C'!D81</f>
        <v>0</v>
      </c>
      <c r="D93" s="480">
        <f>'[85]Sch C'!F81</f>
        <v>0</v>
      </c>
      <c r="E93" s="480">
        <f>+'[85]Sch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'[85]Sch C'!D82</f>
        <v>0</v>
      </c>
      <c r="D94" s="480">
        <f>'[85]Sch C'!F82</f>
        <v>0</v>
      </c>
      <c r="E94" s="480">
        <f>+'[85]Sch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'[85]Sch C'!D83</f>
        <v>4273</v>
      </c>
      <c r="D95" s="480">
        <f>'[85]Sch C'!F83</f>
        <v>0</v>
      </c>
      <c r="E95" s="480">
        <f>+'[85]Sch C'!H83</f>
        <v>0</v>
      </c>
      <c r="F95" s="166">
        <f t="shared" si="17"/>
        <v>4273</v>
      </c>
      <c r="G95" s="626"/>
      <c r="H95" s="166"/>
      <c r="I95" s="166">
        <f t="shared" si="18"/>
        <v>4273</v>
      </c>
      <c r="J95" s="167">
        <f t="shared" si="19"/>
        <v>2.6421802779452459E-3</v>
      </c>
      <c r="K95" s="458"/>
      <c r="L95" s="163"/>
      <c r="M95" s="163"/>
      <c r="O95" s="324">
        <f t="shared" si="20"/>
        <v>1.1289299867899603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'[85]Sch C'!D84</f>
        <v>23418</v>
      </c>
      <c r="D96" s="480">
        <f>'[85]Sch C'!F84</f>
        <v>0</v>
      </c>
      <c r="E96" s="480">
        <f>+'[85]Sch C'!H84</f>
        <v>0</v>
      </c>
      <c r="F96" s="166">
        <f t="shared" si="17"/>
        <v>23418</v>
      </c>
      <c r="G96" s="626"/>
      <c r="H96" s="166"/>
      <c r="I96" s="166">
        <f t="shared" si="18"/>
        <v>23418</v>
      </c>
      <c r="J96" s="167">
        <f t="shared" si="19"/>
        <v>1.4480359875713026E-2</v>
      </c>
      <c r="K96" s="458"/>
      <c r="L96" s="163"/>
      <c r="M96" s="163"/>
      <c r="O96" s="324">
        <f t="shared" si="20"/>
        <v>6.1870541611624832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'[85]Sch C'!D85</f>
        <v>37</v>
      </c>
      <c r="D97" s="480">
        <f>'[85]Sch C'!F85</f>
        <v>0</v>
      </c>
      <c r="E97" s="480">
        <f>+'[85]Sch C'!H85</f>
        <v>0</v>
      </c>
      <c r="F97" s="166">
        <f t="shared" si="17"/>
        <v>37</v>
      </c>
      <c r="G97" s="626"/>
      <c r="H97" s="166"/>
      <c r="I97" s="166">
        <f t="shared" si="18"/>
        <v>37</v>
      </c>
      <c r="J97" s="167">
        <f t="shared" si="19"/>
        <v>2.2878696532640789E-5</v>
      </c>
      <c r="K97" s="458"/>
      <c r="L97" s="163"/>
      <c r="M97" s="163"/>
      <c r="O97" s="324">
        <f t="shared" si="20"/>
        <v>9.7754293262879797E-3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58625</v>
      </c>
      <c r="D98" s="480">
        <f t="shared" si="21"/>
        <v>2148</v>
      </c>
      <c r="E98" s="480">
        <f t="shared" si="21"/>
        <v>0</v>
      </c>
      <c r="F98" s="166">
        <f t="shared" ref="F98:I98" si="22">SUM(F87:F97)</f>
        <v>60773</v>
      </c>
      <c r="G98" s="166">
        <f t="shared" si="22"/>
        <v>982</v>
      </c>
      <c r="H98" s="166">
        <f t="shared" si="22"/>
        <v>0</v>
      </c>
      <c r="I98" s="166">
        <f t="shared" si="22"/>
        <v>61755</v>
      </c>
      <c r="J98" s="167">
        <f t="shared" si="19"/>
        <v>3.8185781199276542E-2</v>
      </c>
      <c r="K98" s="458"/>
      <c r="L98" s="163"/>
      <c r="M98" s="163"/>
      <c r="O98" s="329">
        <f>I98/I$233</f>
        <v>16.315719947159842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'[85]Sch C'!D89</f>
        <v>63690</v>
      </c>
      <c r="D101" s="480">
        <f>'[85]Sch C'!F89</f>
        <v>0</v>
      </c>
      <c r="E101" s="480">
        <f>+'[85]Sch C'!H89</f>
        <v>0</v>
      </c>
      <c r="F101" s="166">
        <f t="shared" ref="F101:F106" si="23">C101+D101+E101</f>
        <v>63690</v>
      </c>
      <c r="G101" s="626"/>
      <c r="H101" s="166"/>
      <c r="I101" s="166">
        <f t="shared" ref="I101:I106" si="24">F101+G101+H101</f>
        <v>63690</v>
      </c>
      <c r="J101" s="167">
        <f t="shared" ref="J101:J107" si="25">IF($I$213=0,0,I101/$I$213)</f>
        <v>3.9382275193618699E-2</v>
      </c>
      <c r="K101" s="458"/>
      <c r="L101" s="176">
        <v>5359.08</v>
      </c>
      <c r="M101" s="176">
        <v>5738.65</v>
      </c>
      <c r="O101" s="329">
        <f t="shared" ref="O101:O106" si="26">I101/I$233</f>
        <v>16.826948480845441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'[85]Sch C'!D90</f>
        <v>0</v>
      </c>
      <c r="D102" s="480">
        <f>'[85]Sch C'!F90</f>
        <v>8079</v>
      </c>
      <c r="E102" s="480">
        <f>+'[85]Sch C'!H90</f>
        <v>0</v>
      </c>
      <c r="F102" s="166">
        <f t="shared" si="23"/>
        <v>8079</v>
      </c>
      <c r="G102" s="626">
        <v>3691</v>
      </c>
      <c r="H102" s="166"/>
      <c r="I102" s="166">
        <f t="shared" si="24"/>
        <v>11770</v>
      </c>
      <c r="J102" s="167">
        <f t="shared" si="25"/>
        <v>7.2778988699778941E-3</v>
      </c>
      <c r="K102" s="458"/>
      <c r="L102" s="163"/>
      <c r="M102" s="163"/>
      <c r="O102" s="329">
        <f t="shared" si="26"/>
        <v>3.109643328929987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'[85]Sch C'!D91</f>
        <v>2972</v>
      </c>
      <c r="D103" s="480">
        <f>'[85]Sch C'!F91</f>
        <v>0</v>
      </c>
      <c r="E103" s="480">
        <f>+'[85]Sch C'!H91</f>
        <v>0</v>
      </c>
      <c r="F103" s="166">
        <f t="shared" si="23"/>
        <v>2972</v>
      </c>
      <c r="G103" s="626"/>
      <c r="H103" s="166"/>
      <c r="I103" s="166">
        <f t="shared" si="24"/>
        <v>2972</v>
      </c>
      <c r="J103" s="167">
        <f t="shared" si="25"/>
        <v>1.8377158404056331E-3</v>
      </c>
      <c r="K103" s="458"/>
      <c r="L103" s="163"/>
      <c r="M103" s="163"/>
      <c r="O103" s="329">
        <f t="shared" si="26"/>
        <v>0.78520475561426684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'[85]Sch C'!D92</f>
        <v>37780</v>
      </c>
      <c r="D104" s="480">
        <f>'[85]Sch C'!F92</f>
        <v>-3786</v>
      </c>
      <c r="E104" s="480">
        <f>+'[85]Sch C'!H92</f>
        <v>0</v>
      </c>
      <c r="F104" s="166">
        <f t="shared" si="23"/>
        <v>33994</v>
      </c>
      <c r="G104" s="626"/>
      <c r="H104" s="166"/>
      <c r="I104" s="166">
        <f t="shared" si="24"/>
        <v>33994</v>
      </c>
      <c r="J104" s="167">
        <f t="shared" si="25"/>
        <v>2.1019957025151109E-2</v>
      </c>
      <c r="K104" s="458"/>
      <c r="L104" s="163"/>
      <c r="M104" s="163"/>
      <c r="O104" s="329">
        <f t="shared" si="26"/>
        <v>8.9812417437252314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'[85]Sch C'!D93</f>
        <v>10995</v>
      </c>
      <c r="D105" s="480">
        <f>'[85]Sch C'!F93</f>
        <v>0</v>
      </c>
      <c r="E105" s="480">
        <f>+'[85]Sch C'!H93</f>
        <v>0</v>
      </c>
      <c r="F105" s="166">
        <f t="shared" si="23"/>
        <v>10995</v>
      </c>
      <c r="G105" s="626"/>
      <c r="H105" s="166"/>
      <c r="I105" s="166">
        <f t="shared" si="24"/>
        <v>10995</v>
      </c>
      <c r="J105" s="167">
        <f t="shared" si="25"/>
        <v>6.7986829290914994E-3</v>
      </c>
      <c r="K105" s="458"/>
      <c r="L105" s="163"/>
      <c r="M105" s="163"/>
      <c r="O105" s="329">
        <f t="shared" si="26"/>
        <v>2.9048877146631438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'[85]Sch C'!D94</f>
        <v>0</v>
      </c>
      <c r="D106" s="480">
        <f>'[85]Sch C'!F94</f>
        <v>0</v>
      </c>
      <c r="E106" s="480">
        <f>+'[85]Sch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115437</v>
      </c>
      <c r="D107" s="480">
        <f t="shared" si="27"/>
        <v>4293</v>
      </c>
      <c r="E107" s="480">
        <f t="shared" si="27"/>
        <v>0</v>
      </c>
      <c r="F107" s="166">
        <f t="shared" ref="F107:I107" si="28">SUM(F101:F106)</f>
        <v>119730</v>
      </c>
      <c r="G107" s="166">
        <f t="shared" si="28"/>
        <v>3691</v>
      </c>
      <c r="H107" s="166">
        <f t="shared" si="28"/>
        <v>0</v>
      </c>
      <c r="I107" s="166">
        <f t="shared" si="28"/>
        <v>123421</v>
      </c>
      <c r="J107" s="167">
        <f t="shared" si="25"/>
        <v>7.631652985824483E-2</v>
      </c>
      <c r="K107" s="458"/>
      <c r="L107" s="163"/>
      <c r="M107" s="163"/>
      <c r="O107" s="329">
        <f>I107/I$233</f>
        <v>32.60792602377807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'[85]Sch C'!D98</f>
        <v>0</v>
      </c>
      <c r="D110" s="480">
        <f>'[85]Sch C'!F98</f>
        <v>0</v>
      </c>
      <c r="E110" s="480">
        <f>+'[85]Sch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'[85]Sch C'!D99</f>
        <v>0</v>
      </c>
      <c r="D111" s="480">
        <f>'[85]Sch C'!F99</f>
        <v>0</v>
      </c>
      <c r="E111" s="480">
        <f>+'[85]Sch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'[85]Sch C'!D100</f>
        <v>747</v>
      </c>
      <c r="D112" s="480">
        <f>'[85]Sch C'!F100</f>
        <v>0</v>
      </c>
      <c r="E112" s="480">
        <f>+'[85]Sch C'!H100</f>
        <v>0</v>
      </c>
      <c r="F112" s="166">
        <f t="shared" si="29"/>
        <v>747</v>
      </c>
      <c r="G112" s="626"/>
      <c r="H112" s="166"/>
      <c r="I112" s="166">
        <f t="shared" si="30"/>
        <v>747</v>
      </c>
      <c r="J112" s="167">
        <f t="shared" si="31"/>
        <v>4.6190233269953159E-4</v>
      </c>
      <c r="K112" s="458"/>
      <c r="L112" s="163"/>
      <c r="M112" s="163"/>
      <c r="O112" s="329">
        <f t="shared" si="32"/>
        <v>0.19735799207397622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'[85]Sch C'!D101</f>
        <v>0</v>
      </c>
      <c r="D113" s="480">
        <f>'[85]Sch C'!F101</f>
        <v>0</v>
      </c>
      <c r="E113" s="480">
        <f>+'[85]Sch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'[85]Sch C'!D102</f>
        <v>292</v>
      </c>
      <c r="D114" s="480">
        <f>'[85]Sch C'!F102</f>
        <v>0</v>
      </c>
      <c r="E114" s="480">
        <f>+'[85]Sch C'!H102</f>
        <v>0</v>
      </c>
      <c r="F114" s="166">
        <f t="shared" si="29"/>
        <v>292</v>
      </c>
      <c r="G114" s="626"/>
      <c r="H114" s="166"/>
      <c r="I114" s="166">
        <f t="shared" si="30"/>
        <v>292</v>
      </c>
      <c r="J114" s="167">
        <f t="shared" si="31"/>
        <v>1.8055619966300299E-4</v>
      </c>
      <c r="K114" s="458"/>
      <c r="L114" s="163"/>
      <c r="M114" s="163"/>
      <c r="O114" s="329">
        <f t="shared" si="32"/>
        <v>7.7146631439894323E-2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'[85]Sch C'!D103</f>
        <v>0</v>
      </c>
      <c r="D115" s="480">
        <f>'[85]Sch C'!F103</f>
        <v>0</v>
      </c>
      <c r="E115" s="480">
        <f>+'[85]Sch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1039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1039</v>
      </c>
      <c r="G116" s="166">
        <f t="shared" si="34"/>
        <v>0</v>
      </c>
      <c r="H116" s="166">
        <f t="shared" si="34"/>
        <v>0</v>
      </c>
      <c r="I116" s="166">
        <f t="shared" si="34"/>
        <v>1039</v>
      </c>
      <c r="J116" s="167">
        <f t="shared" si="31"/>
        <v>6.4245853236253464E-4</v>
      </c>
      <c r="K116" s="458"/>
      <c r="L116" s="163"/>
      <c r="M116" s="163"/>
      <c r="O116" s="329">
        <f>I116/I$233</f>
        <v>0.27450462351387056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'[85]Sch C'!D115</f>
        <v>31810</v>
      </c>
      <c r="D119" s="480">
        <f>'[85]Sch C'!F115</f>
        <v>0</v>
      </c>
      <c r="E119" s="480">
        <f>+'[85]Sch C'!H115</f>
        <v>0</v>
      </c>
      <c r="F119" s="166">
        <f t="shared" ref="F119:F123" si="35">C119+D119+E119</f>
        <v>31810</v>
      </c>
      <c r="G119" s="626"/>
      <c r="H119" s="166"/>
      <c r="I119" s="166">
        <f t="shared" ref="I119:I123" si="36">F119+G119+H119</f>
        <v>31810</v>
      </c>
      <c r="J119" s="167">
        <f t="shared" ref="J119:J124" si="37">IF($I$213=0,0,I119/$I$213)</f>
        <v>1.9669495586575769E-2</v>
      </c>
      <c r="K119" s="458"/>
      <c r="L119" s="176">
        <v>2989.65</v>
      </c>
      <c r="M119" s="176">
        <v>3281</v>
      </c>
      <c r="O119" s="329">
        <f t="shared" ref="O119:O124" si="38">I119/I$233</f>
        <v>8.4042272126816382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'[85]Sch C'!D116</f>
        <v>0</v>
      </c>
      <c r="D120" s="480">
        <f>'[85]Sch C'!F116</f>
        <v>4035</v>
      </c>
      <c r="E120" s="480">
        <f>+'[85]Sch C'!H116</f>
        <v>0</v>
      </c>
      <c r="F120" s="166">
        <f t="shared" si="35"/>
        <v>4035</v>
      </c>
      <c r="G120" s="626">
        <v>1844</v>
      </c>
      <c r="H120" s="166"/>
      <c r="I120" s="166">
        <f t="shared" si="36"/>
        <v>5879</v>
      </c>
      <c r="J120" s="167">
        <f t="shared" si="37"/>
        <v>3.6352393760917621E-3</v>
      </c>
      <c r="K120" s="458"/>
      <c r="L120" s="163"/>
      <c r="M120" s="163"/>
      <c r="O120" s="329">
        <f t="shared" si="38"/>
        <v>1.5532364597093791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'[85]Sch C'!D117</f>
        <v>5339</v>
      </c>
      <c r="D121" s="480">
        <f>'[85]Sch C'!F117</f>
        <v>0</v>
      </c>
      <c r="E121" s="480">
        <f>+'[85]Sch C'!H117</f>
        <v>0</v>
      </c>
      <c r="F121" s="166">
        <f t="shared" si="35"/>
        <v>5339</v>
      </c>
      <c r="G121" s="626"/>
      <c r="H121" s="166"/>
      <c r="I121" s="166">
        <f t="shared" si="36"/>
        <v>5339</v>
      </c>
      <c r="J121" s="167">
        <f t="shared" si="37"/>
        <v>3.3013340753451129E-3</v>
      </c>
      <c r="K121" s="458"/>
      <c r="L121" s="163"/>
      <c r="M121" s="163"/>
      <c r="O121" s="329">
        <f t="shared" si="38"/>
        <v>1.4105680317040952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'[85]Sch C'!D118</f>
        <v>0</v>
      </c>
      <c r="D122" s="480">
        <f>'[85]Sch C'!F118</f>
        <v>0</v>
      </c>
      <c r="E122" s="480">
        <f>+'[85]Sch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'[85]Sch C'!D119</f>
        <v>224</v>
      </c>
      <c r="D123" s="480">
        <f>'[85]Sch C'!F119</f>
        <v>0</v>
      </c>
      <c r="E123" s="480">
        <f>+'[85]Sch C'!H119</f>
        <v>0</v>
      </c>
      <c r="F123" s="166">
        <f t="shared" si="35"/>
        <v>224</v>
      </c>
      <c r="G123" s="626"/>
      <c r="H123" s="166"/>
      <c r="I123" s="166">
        <f t="shared" si="36"/>
        <v>224</v>
      </c>
      <c r="J123" s="167">
        <f t="shared" si="37"/>
        <v>1.385088654949064E-4</v>
      </c>
      <c r="K123" s="458"/>
      <c r="L123" s="163"/>
      <c r="M123" s="163"/>
      <c r="O123" s="329">
        <f t="shared" si="38"/>
        <v>5.9180977542932632E-2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37373</v>
      </c>
      <c r="D124" s="480">
        <f t="shared" si="39"/>
        <v>4035</v>
      </c>
      <c r="E124" s="480">
        <f t="shared" si="39"/>
        <v>0</v>
      </c>
      <c r="F124" s="166">
        <f t="shared" ref="F124:I124" si="40">SUM(F119:F123)</f>
        <v>41408</v>
      </c>
      <c r="G124" s="166">
        <f t="shared" si="40"/>
        <v>1844</v>
      </c>
      <c r="H124" s="166">
        <f t="shared" si="40"/>
        <v>0</v>
      </c>
      <c r="I124" s="166">
        <f t="shared" si="40"/>
        <v>43252</v>
      </c>
      <c r="J124" s="167">
        <f t="shared" si="37"/>
        <v>2.6744577903507552E-2</v>
      </c>
      <c r="K124" s="458"/>
      <c r="L124" s="163"/>
      <c r="M124" s="163"/>
      <c r="O124" s="329">
        <f t="shared" si="38"/>
        <v>11.427212681638045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'[85]Sch C'!D124</f>
        <v>0</v>
      </c>
      <c r="D128" s="480">
        <f>'[85]Sch C'!F124</f>
        <v>0</v>
      </c>
      <c r="E128" s="480">
        <f>+'[85]Sch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'[85]Sch C'!D125</f>
        <v>40450</v>
      </c>
      <c r="D129" s="480">
        <f>'[85]Sch C'!F125</f>
        <v>0</v>
      </c>
      <c r="E129" s="480">
        <f>+'[85]Sch C'!H125</f>
        <v>0</v>
      </c>
      <c r="F129" s="166">
        <f t="shared" si="41"/>
        <v>40450</v>
      </c>
      <c r="G129" s="626"/>
      <c r="H129" s="166"/>
      <c r="I129" s="166">
        <f t="shared" si="42"/>
        <v>40450</v>
      </c>
      <c r="J129" s="167">
        <f>IF($I$213=0,0,I129/$I$213)</f>
        <v>2.5011980398522159E-2</v>
      </c>
      <c r="K129" s="458"/>
      <c r="L129" s="176">
        <v>964</v>
      </c>
      <c r="M129" s="176">
        <v>1040</v>
      </c>
      <c r="O129" s="329">
        <f t="shared" si="43"/>
        <v>10.686922060766182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'[85]Sch C'!D126</f>
        <v>0</v>
      </c>
      <c r="D130" s="480">
        <f>'[85]Sch C'!F126</f>
        <v>0</v>
      </c>
      <c r="E130" s="480">
        <f>+'[85]Sch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'[85]Sch C'!D127</f>
        <v>0</v>
      </c>
      <c r="D131" s="480">
        <f>'[85]Sch C'!F127</f>
        <v>0</v>
      </c>
      <c r="E131" s="480">
        <f>+'[85]Sch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'[85]Sch C'!D128</f>
        <v>31326</v>
      </c>
      <c r="D132" s="480">
        <f>'[85]Sch C'!F128</f>
        <v>0</v>
      </c>
      <c r="E132" s="480">
        <f>+'[85]Sch C'!H128</f>
        <v>0</v>
      </c>
      <c r="F132" s="166">
        <f t="shared" si="41"/>
        <v>31326</v>
      </c>
      <c r="G132" s="626"/>
      <c r="H132" s="166"/>
      <c r="I132" s="166">
        <f t="shared" si="42"/>
        <v>31326</v>
      </c>
      <c r="J132" s="167">
        <f>IF($I$213=0,0,I132/$I$213)</f>
        <v>1.9370217502202847E-2</v>
      </c>
      <c r="K132" s="458"/>
      <c r="L132" s="176">
        <v>969.7</v>
      </c>
      <c r="M132" s="176">
        <v>1043</v>
      </c>
      <c r="O132" s="329">
        <f t="shared" si="43"/>
        <v>8.2763540290620874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'[85]Sch C'!D130</f>
        <v>0</v>
      </c>
      <c r="D134" s="480">
        <f>'[85]Sch C'!F130</f>
        <v>0</v>
      </c>
      <c r="E134" s="480">
        <f>+'[85]Sch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'[85]Sch C'!D131</f>
        <v>0</v>
      </c>
      <c r="D135" s="480">
        <f>'[85]Sch C'!F131</f>
        <v>5131</v>
      </c>
      <c r="E135" s="480">
        <f>+'[85]Sch C'!H131</f>
        <v>0</v>
      </c>
      <c r="F135" s="166">
        <f t="shared" si="44"/>
        <v>5131</v>
      </c>
      <c r="G135" s="626">
        <v>2344</v>
      </c>
      <c r="H135" s="166"/>
      <c r="I135" s="166">
        <f t="shared" si="45"/>
        <v>7475</v>
      </c>
      <c r="J135" s="167">
        <f>IF($I$213=0,0,I135/$I$213)</f>
        <v>4.6221150427429702E-3</v>
      </c>
      <c r="K135" s="458"/>
      <c r="L135" s="196"/>
      <c r="M135" s="196"/>
      <c r="O135" s="329">
        <f t="shared" si="43"/>
        <v>1.974900924702774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'[85]Sch C'!D132</f>
        <v>0</v>
      </c>
      <c r="D136" s="480">
        <f>'[85]Sch C'!F132</f>
        <v>0</v>
      </c>
      <c r="E136" s="480">
        <f>+'[85]Sch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'[85]Sch C'!D133</f>
        <v>0</v>
      </c>
      <c r="D137" s="480">
        <f>'[85]Sch C'!F133</f>
        <v>0</v>
      </c>
      <c r="E137" s="480">
        <f>+'[85]Sch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'[85]Sch C'!D134</f>
        <v>0</v>
      </c>
      <c r="D138" s="480">
        <f>'[85]Sch C'!F134</f>
        <v>3974</v>
      </c>
      <c r="E138" s="480">
        <f>+'[85]Sch C'!H134</f>
        <v>0</v>
      </c>
      <c r="F138" s="166">
        <f t="shared" si="44"/>
        <v>3974</v>
      </c>
      <c r="G138" s="626">
        <v>1816</v>
      </c>
      <c r="H138" s="166"/>
      <c r="I138" s="166">
        <f t="shared" si="45"/>
        <v>5790</v>
      </c>
      <c r="J138" s="167">
        <f>IF($I$213=0,0,I138/$I$213)</f>
        <v>3.5802068357835182E-3</v>
      </c>
      <c r="K138" s="458"/>
      <c r="L138" s="163"/>
      <c r="M138" s="163"/>
      <c r="O138" s="329">
        <f t="shared" si="43"/>
        <v>1.5297225891677675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'[85]Sch C'!D136</f>
        <v>167483</v>
      </c>
      <c r="D140" s="480">
        <f>'[85]Sch C'!F136</f>
        <v>0</v>
      </c>
      <c r="E140" s="480">
        <f>+'[85]Sch C'!H136</f>
        <v>0</v>
      </c>
      <c r="F140" s="166">
        <f t="shared" ref="F140:F143" si="46">C140+D140+E140</f>
        <v>167483</v>
      </c>
      <c r="G140" s="626"/>
      <c r="H140" s="166"/>
      <c r="I140" s="166">
        <f t="shared" ref="I140:I143" si="47">F140+G140+H140</f>
        <v>167483</v>
      </c>
      <c r="J140" s="167">
        <f>IF($I$213=0,0,I140/$I$213)</f>
        <v>0.10356196571287236</v>
      </c>
      <c r="K140" s="458"/>
      <c r="L140" s="176">
        <v>6034.2199999999993</v>
      </c>
      <c r="M140" s="176">
        <v>6380</v>
      </c>
      <c r="O140" s="329">
        <f t="shared" si="43"/>
        <v>44.249141347424043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'[85]Sch C'!D137</f>
        <v>46636</v>
      </c>
      <c r="D141" s="480">
        <f>'[85]Sch C'!F137</f>
        <v>0</v>
      </c>
      <c r="E141" s="480">
        <f>+'[85]Sch C'!H137</f>
        <v>0</v>
      </c>
      <c r="F141" s="166">
        <f t="shared" si="46"/>
        <v>46636</v>
      </c>
      <c r="G141" s="626"/>
      <c r="H141" s="166"/>
      <c r="I141" s="166">
        <f t="shared" si="47"/>
        <v>46636</v>
      </c>
      <c r="J141" s="167">
        <f>IF($I$213=0,0,I141/$I$213)</f>
        <v>2.8837051121519887E-2</v>
      </c>
      <c r="K141" s="458"/>
      <c r="L141" s="176">
        <v>1893.86</v>
      </c>
      <c r="M141" s="176">
        <v>1971.6</v>
      </c>
      <c r="O141" s="329">
        <f t="shared" si="43"/>
        <v>12.321268163804492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'[85]Sch C'!D138</f>
        <v>129007</v>
      </c>
      <c r="D142" s="480">
        <f>'[85]Sch C'!F138</f>
        <v>0</v>
      </c>
      <c r="E142" s="480">
        <f>+'[85]Sch C'!H138</f>
        <v>0</v>
      </c>
      <c r="F142" s="166">
        <f t="shared" si="46"/>
        <v>129007</v>
      </c>
      <c r="G142" s="626"/>
      <c r="H142" s="166"/>
      <c r="I142" s="166">
        <f t="shared" si="47"/>
        <v>129007</v>
      </c>
      <c r="J142" s="167">
        <f>IF($I$213=0,0,I142/$I$213)</f>
        <v>7.977059469152406E-2</v>
      </c>
      <c r="K142" s="458"/>
      <c r="L142" s="176">
        <v>11663.63</v>
      </c>
      <c r="M142" s="176">
        <v>12178</v>
      </c>
      <c r="O142" s="329">
        <f t="shared" si="43"/>
        <v>34.083751651254957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'[85]Sch C'!D139</f>
        <v>0</v>
      </c>
      <c r="D143" s="480">
        <f>'[85]Sch C'!F139</f>
        <v>0</v>
      </c>
      <c r="E143" s="480">
        <f>+'[85]Sch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'[85]Sch C'!D141</f>
        <v>0</v>
      </c>
      <c r="D145" s="480">
        <f>'[85]Sch C'!F141</f>
        <v>21245</v>
      </c>
      <c r="E145" s="480">
        <f>+'[85]Sch C'!H141</f>
        <v>0</v>
      </c>
      <c r="F145" s="166">
        <f t="shared" ref="F145:F148" si="48">C145+D145+E145</f>
        <v>21245</v>
      </c>
      <c r="G145" s="626">
        <v>9707</v>
      </c>
      <c r="H145" s="166"/>
      <c r="I145" s="166">
        <f t="shared" ref="I145:I148" si="49">F145+G145+H145</f>
        <v>30952</v>
      </c>
      <c r="J145" s="167">
        <f>IF($I$213=0,0,I145/$I$213)</f>
        <v>1.9138957164278315E-2</v>
      </c>
      <c r="K145" s="458"/>
      <c r="L145" s="163"/>
      <c r="M145" s="163"/>
      <c r="O145" s="329">
        <f t="shared" si="43"/>
        <v>8.1775429326287981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'[85]Sch C'!D142</f>
        <v>0</v>
      </c>
      <c r="D146" s="480">
        <f>'[85]Sch C'!F142</f>
        <v>5916</v>
      </c>
      <c r="E146" s="480">
        <f>+'[85]Sch C'!H142</f>
        <v>0</v>
      </c>
      <c r="F146" s="166">
        <f t="shared" si="48"/>
        <v>5916</v>
      </c>
      <c r="G146" s="626">
        <v>2703</v>
      </c>
      <c r="H146" s="166"/>
      <c r="I146" s="166">
        <f t="shared" si="49"/>
        <v>8619</v>
      </c>
      <c r="J146" s="167">
        <f>IF($I$213=0,0,I146/$I$213)</f>
        <v>5.3294996058062425E-3</v>
      </c>
      <c r="K146" s="458"/>
      <c r="L146" s="163"/>
      <c r="M146" s="163"/>
      <c r="O146" s="329">
        <f t="shared" si="43"/>
        <v>2.2771466314398943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'[85]Sch C'!D143</f>
        <v>0</v>
      </c>
      <c r="D147" s="480">
        <f>'[85]Sch C'!F143</f>
        <v>16364</v>
      </c>
      <c r="E147" s="480">
        <f>+'[85]Sch C'!H143</f>
        <v>0</v>
      </c>
      <c r="F147" s="166">
        <f t="shared" si="48"/>
        <v>16364</v>
      </c>
      <c r="G147" s="626">
        <v>7477</v>
      </c>
      <c r="H147" s="166"/>
      <c r="I147" s="166">
        <f t="shared" si="49"/>
        <v>23841</v>
      </c>
      <c r="J147" s="167">
        <f>IF($I$213=0,0,I147/$I$213)</f>
        <v>1.4741919027964569E-2</v>
      </c>
      <c r="K147" s="458"/>
      <c r="L147" s="163"/>
      <c r="M147" s="163"/>
      <c r="O147" s="329">
        <f t="shared" si="43"/>
        <v>6.2988110964332895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'[85]Sch C'!D144</f>
        <v>0</v>
      </c>
      <c r="D148" s="480">
        <f>'[85]Sch C'!F144</f>
        <v>0</v>
      </c>
      <c r="E148" s="480">
        <f>+'[85]Sch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'[85]Sch C'!D146</f>
        <v>10800</v>
      </c>
      <c r="D150" s="480">
        <f>'[85]Sch C'!F146</f>
        <v>0</v>
      </c>
      <c r="E150" s="480">
        <f>+'[85]Sch C'!H146</f>
        <v>0</v>
      </c>
      <c r="F150" s="166">
        <f t="shared" ref="F150:F158" si="50">C150+D150+E150</f>
        <v>10800</v>
      </c>
      <c r="G150" s="626"/>
      <c r="H150" s="166"/>
      <c r="I150" s="166">
        <f t="shared" ref="I150:I158" si="51">F150+G150+H150</f>
        <v>10800</v>
      </c>
      <c r="J150" s="167">
        <f t="shared" ref="J150:J158" si="52">IF($I$213=0,0,I150/$I$213)</f>
        <v>6.6781060149329868E-3</v>
      </c>
      <c r="K150" s="458"/>
      <c r="L150" s="176">
        <v>0</v>
      </c>
      <c r="M150" s="176">
        <v>0</v>
      </c>
      <c r="O150" s="329">
        <f t="shared" si="43"/>
        <v>2.8533685601056802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'[85]Sch C'!D147</f>
        <v>0</v>
      </c>
      <c r="D151" s="480">
        <f>'[85]Sch C'!F147</f>
        <v>0</v>
      </c>
      <c r="E151" s="480">
        <f>+'[85]Sch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'[85]Sch C'!D148</f>
        <v>0</v>
      </c>
      <c r="D152" s="480">
        <f>'[85]Sch C'!F148</f>
        <v>0</v>
      </c>
      <c r="E152" s="480">
        <f>+'[85]Sch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'[85]Sch C'!D149</f>
        <v>0</v>
      </c>
      <c r="D153" s="480">
        <f>'[85]Sch C'!F149</f>
        <v>0</v>
      </c>
      <c r="E153" s="480">
        <f>+'[85]Sch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'[85]Sch C'!D150</f>
        <v>3318</v>
      </c>
      <c r="D154" s="480">
        <f>'[85]Sch C'!F150</f>
        <v>0</v>
      </c>
      <c r="E154" s="480">
        <f>+'[85]Sch C'!H150</f>
        <v>0</v>
      </c>
      <c r="F154" s="166">
        <f t="shared" si="50"/>
        <v>3318</v>
      </c>
      <c r="G154" s="626"/>
      <c r="H154" s="166"/>
      <c r="I154" s="166">
        <f t="shared" si="51"/>
        <v>3318</v>
      </c>
      <c r="J154" s="167">
        <f t="shared" si="52"/>
        <v>2.0516625701433012E-3</v>
      </c>
      <c r="K154" s="458"/>
      <c r="L154" s="176">
        <v>0</v>
      </c>
      <c r="M154" s="176">
        <v>0</v>
      </c>
      <c r="O154" s="329">
        <f t="shared" si="43"/>
        <v>0.87661822985468951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'[85]Sch C'!D151</f>
        <v>31535</v>
      </c>
      <c r="D155" s="480">
        <f>'[85]Sch C'!F151</f>
        <v>0</v>
      </c>
      <c r="E155" s="480">
        <f>+'[85]Sch C'!H151</f>
        <v>0</v>
      </c>
      <c r="F155" s="166">
        <f t="shared" si="50"/>
        <v>31535</v>
      </c>
      <c r="G155" s="626">
        <v>2649</v>
      </c>
      <c r="H155" s="166"/>
      <c r="I155" s="166">
        <f t="shared" si="51"/>
        <v>34184</v>
      </c>
      <c r="J155" s="167">
        <f t="shared" si="52"/>
        <v>2.1137442223561967E-2</v>
      </c>
      <c r="K155" s="458"/>
      <c r="L155" s="163"/>
      <c r="M155" s="163"/>
      <c r="O155" s="329">
        <f t="shared" si="43"/>
        <v>9.0314398943196821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'[85]Sch C'!D152</f>
        <v>224</v>
      </c>
      <c r="D156" s="480">
        <f>'[85]Sch C'!F152</f>
        <v>0</v>
      </c>
      <c r="E156" s="480">
        <f>+'[85]Sch C'!H152</f>
        <v>0</v>
      </c>
      <c r="F156" s="166">
        <f t="shared" si="50"/>
        <v>224</v>
      </c>
      <c r="G156" s="626"/>
      <c r="H156" s="166"/>
      <c r="I156" s="166">
        <f t="shared" si="51"/>
        <v>224</v>
      </c>
      <c r="J156" s="167">
        <f t="shared" si="52"/>
        <v>1.385088654949064E-4</v>
      </c>
      <c r="K156" s="458"/>
      <c r="L156" s="163"/>
      <c r="M156" s="163"/>
      <c r="O156" s="329">
        <f t="shared" si="43"/>
        <v>5.9180977542932632E-2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'[85]Sch C'!D153</f>
        <v>0</v>
      </c>
      <c r="D157" s="480">
        <f>'[85]Sch C'!F153</f>
        <v>0</v>
      </c>
      <c r="E157" s="480">
        <f>+'[85]Sch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'[85]Sch C'!D154</f>
        <v>0</v>
      </c>
      <c r="D158" s="480">
        <f>'[85]Sch C'!F154</f>
        <v>0</v>
      </c>
      <c r="E158" s="480">
        <f>+'[85]Sch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'[85]Sch C'!D156</f>
        <v>0</v>
      </c>
      <c r="D160" s="480">
        <f>'[85]Sch C'!F156</f>
        <v>0</v>
      </c>
      <c r="E160" s="480">
        <f>+'[85]Sch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'[85]Sch C'!D157</f>
        <v>0</v>
      </c>
      <c r="D161" s="480">
        <f>'[85]Sch C'!F157</f>
        <v>0</v>
      </c>
      <c r="E161" s="480">
        <f>+'[85]Sch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'[85]Sch C'!D158</f>
        <v>0</v>
      </c>
      <c r="D162" s="480">
        <f>'[85]Sch C'!F158</f>
        <v>0</v>
      </c>
      <c r="E162" s="480">
        <f>+'[85]Sch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'[85]Sch C'!D159</f>
        <v>0</v>
      </c>
      <c r="D163" s="480">
        <f>'[85]Sch C'!F159</f>
        <v>0</v>
      </c>
      <c r="E163" s="480">
        <f>+'[85]Sch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'[85]Sch C'!D160</f>
        <v>0</v>
      </c>
      <c r="D164" s="480">
        <f>'[85]Sch C'!F160</f>
        <v>0</v>
      </c>
      <c r="E164" s="480">
        <f>+'[85]Sch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'[85]Sch C'!D161</f>
        <v>0</v>
      </c>
      <c r="D165" s="480">
        <f>'[85]Sch C'!F161</f>
        <v>0</v>
      </c>
      <c r="E165" s="480">
        <f>+'[85]Sch C'!H161</f>
        <v>0</v>
      </c>
      <c r="F165" s="166">
        <f t="shared" si="53"/>
        <v>0</v>
      </c>
      <c r="G165" s="626"/>
      <c r="H165" s="166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460779</v>
      </c>
      <c r="D166" s="480">
        <f t="shared" si="56"/>
        <v>52630</v>
      </c>
      <c r="E166" s="480">
        <f t="shared" si="56"/>
        <v>0</v>
      </c>
      <c r="F166" s="166">
        <f t="shared" ref="F166:I166" si="57">SUM(F128:F165)</f>
        <v>513409</v>
      </c>
      <c r="G166" s="166">
        <f t="shared" si="57"/>
        <v>26696</v>
      </c>
      <c r="H166" s="166">
        <f t="shared" si="57"/>
        <v>0</v>
      </c>
      <c r="I166" s="166">
        <f t="shared" si="57"/>
        <v>540105</v>
      </c>
      <c r="J166" s="167">
        <f t="shared" si="55"/>
        <v>0.33397022677735011</v>
      </c>
      <c r="K166" s="458"/>
      <c r="L166" s="163"/>
      <c r="M166" s="163"/>
      <c r="O166" s="329">
        <f>I166/I$233</f>
        <v>142.69616908850728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'[85]Sch C'!D175</f>
        <v>0</v>
      </c>
      <c r="D169" s="480">
        <f>'[85]Sch C'!F175</f>
        <v>0</v>
      </c>
      <c r="E169" s="480">
        <f>+'[85]Sch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'[85]Sch C'!D176</f>
        <v>0</v>
      </c>
      <c r="D170" s="480">
        <f>'[85]Sch C'!F176</f>
        <v>0</v>
      </c>
      <c r="E170" s="480">
        <f>+'[85]Sch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'[85]Sch C'!D177</f>
        <v>286323</v>
      </c>
      <c r="D171" s="480">
        <f>'[85]Sch C'!F177</f>
        <v>0</v>
      </c>
      <c r="E171" s="480">
        <f>+'[85]Sch C'!H177</f>
        <v>0</v>
      </c>
      <c r="F171" s="166">
        <f t="shared" si="58"/>
        <v>286323</v>
      </c>
      <c r="G171" s="626">
        <v>-286323</v>
      </c>
      <c r="H171" s="166"/>
      <c r="I171" s="166">
        <f t="shared" si="59"/>
        <v>0</v>
      </c>
      <c r="J171" s="167">
        <f t="shared" si="60"/>
        <v>0</v>
      </c>
      <c r="K171" s="468"/>
      <c r="L171" s="176">
        <v>5633</v>
      </c>
      <c r="M171" s="176">
        <v>5634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'[85]Sch C'!D178</f>
        <v>0</v>
      </c>
      <c r="D172" s="480">
        <f>'[85]Sch C'!F178</f>
        <v>36320</v>
      </c>
      <c r="E172" s="480">
        <f>+'[85]Sch C'!H178</f>
        <v>0</v>
      </c>
      <c r="F172" s="166">
        <f t="shared" si="58"/>
        <v>36320</v>
      </c>
      <c r="G172" s="626">
        <v>-36320</v>
      </c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'[85]Sch C'!D179</f>
        <v>0</v>
      </c>
      <c r="D173" s="480">
        <f>'[85]Sch C'!F179</f>
        <v>0</v>
      </c>
      <c r="E173" s="480">
        <f>+'[85]Sch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'[85]Sch C'!D180</f>
        <v>0</v>
      </c>
      <c r="D174" s="480">
        <f>'[85]Sch C'!F180</f>
        <v>0</v>
      </c>
      <c r="E174" s="480">
        <f>+'[85]Sch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'[85]Sch C'!D181</f>
        <v>0</v>
      </c>
      <c r="D175" s="480">
        <f>'[85]Sch C'!F181</f>
        <v>0</v>
      </c>
      <c r="E175" s="480">
        <f>+'[85]Sch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'[85]Sch C'!D182</f>
        <v>0</v>
      </c>
      <c r="D176" s="480">
        <f>'[85]Sch C'!F182</f>
        <v>0</v>
      </c>
      <c r="E176" s="480">
        <f>+'[85]Sch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'[85]Sch C'!D183</f>
        <v>0</v>
      </c>
      <c r="D177" s="480">
        <f>'[85]Sch C'!F183</f>
        <v>0</v>
      </c>
      <c r="E177" s="480">
        <f>+'[85]Sch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'[85]Sch C'!D184</f>
        <v>0</v>
      </c>
      <c r="D178" s="480">
        <f>'[85]Sch C'!F184</f>
        <v>0</v>
      </c>
      <c r="E178" s="480">
        <f>+'[85]Sch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'[85]Sch C'!D185</f>
        <v>0</v>
      </c>
      <c r="D179" s="480">
        <f>'[85]Sch C'!F185</f>
        <v>0</v>
      </c>
      <c r="E179" s="480">
        <f>+'[85]Sch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'[85]Sch C'!D186</f>
        <v>0</v>
      </c>
      <c r="D180" s="480">
        <f>'[85]Sch C'!F186</f>
        <v>0</v>
      </c>
      <c r="E180" s="480">
        <f>+'[85]Sch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'[85]Sch C'!D187</f>
        <v>0</v>
      </c>
      <c r="D181" s="480">
        <f>'[85]Sch C'!F187</f>
        <v>0</v>
      </c>
      <c r="E181" s="480">
        <f>+'[85]Sch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'[85]Sch C'!D188</f>
        <v>593</v>
      </c>
      <c r="D182" s="480">
        <f>'[85]Sch C'!F188</f>
        <v>0</v>
      </c>
      <c r="E182" s="480">
        <f>+'[85]Sch C'!H188</f>
        <v>0</v>
      </c>
      <c r="F182" s="166">
        <f t="shared" si="58"/>
        <v>593</v>
      </c>
      <c r="G182" s="626"/>
      <c r="H182" s="166"/>
      <c r="I182" s="166">
        <f t="shared" si="59"/>
        <v>593</v>
      </c>
      <c r="J182" s="167">
        <f t="shared" si="60"/>
        <v>3.6667748767178348E-4</v>
      </c>
      <c r="K182" s="458"/>
      <c r="L182" s="213"/>
      <c r="M182" s="208"/>
      <c r="N182" s="210"/>
      <c r="O182" s="329">
        <f t="shared" si="61"/>
        <v>0.15667107001321004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'[85]Sch C'!D189</f>
        <v>0</v>
      </c>
      <c r="D183" s="480">
        <f>'[85]Sch C'!F189</f>
        <v>0</v>
      </c>
      <c r="E183" s="480">
        <f>+'[85]Sch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'[85]Sch C'!D190</f>
        <v>0</v>
      </c>
      <c r="D184" s="480">
        <f>'[85]Sch C'!F190</f>
        <v>0</v>
      </c>
      <c r="E184" s="480">
        <f>+'[85]Sch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'[85]Sch C'!D191</f>
        <v>0</v>
      </c>
      <c r="D185" s="480">
        <f>'[85]Sch C'!F191</f>
        <v>0</v>
      </c>
      <c r="E185" s="480">
        <f>+'[85]Sch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'[85]Sch C'!D192</f>
        <v>0</v>
      </c>
      <c r="D186" s="480">
        <f>'[85]Sch C'!F192</f>
        <v>0</v>
      </c>
      <c r="E186" s="480">
        <f>+'[85]Sch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'[85]Sch C'!D193</f>
        <v>0</v>
      </c>
      <c r="D187" s="480">
        <f>'[85]Sch C'!F193</f>
        <v>0</v>
      </c>
      <c r="E187" s="480">
        <f>+'[85]Sch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'[85]Sch C'!D194</f>
        <v>0</v>
      </c>
      <c r="D188" s="480">
        <f>'[85]Sch C'!F194</f>
        <v>0</v>
      </c>
      <c r="E188" s="480">
        <f>+'[85]Sch C'!H194</f>
        <v>0</v>
      </c>
      <c r="F188" s="166">
        <f t="shared" si="58"/>
        <v>0</v>
      </c>
      <c r="G188" s="626">
        <v>286323</v>
      </c>
      <c r="H188" s="166"/>
      <c r="I188" s="166">
        <f t="shared" si="59"/>
        <v>286323</v>
      </c>
      <c r="J188" s="167">
        <f t="shared" si="60"/>
        <v>0.17704586560311644</v>
      </c>
      <c r="K188" s="458"/>
      <c r="L188" s="213"/>
      <c r="M188" s="208"/>
      <c r="O188" s="329">
        <f t="shared" si="61"/>
        <v>75.646763540290621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'[85]Sch C'!D195</f>
        <v>0</v>
      </c>
      <c r="D189" s="480">
        <f>'[85]Sch C'!F195</f>
        <v>0</v>
      </c>
      <c r="E189" s="480">
        <f>+'[85]Sch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'[85]Sch C'!D196</f>
        <v>0</v>
      </c>
      <c r="D190" s="480">
        <f>'[85]Sch C'!F196</f>
        <v>0</v>
      </c>
      <c r="E190" s="480">
        <f>+'[85]Sch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'[85]Sch C'!D197</f>
        <v>0</v>
      </c>
      <c r="D191" s="480">
        <f>'[85]Sch C'!F197</f>
        <v>0</v>
      </c>
      <c r="E191" s="480">
        <f>+'[85]Sch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'[85]Sch C'!D198</f>
        <v>21638</v>
      </c>
      <c r="D192" s="480">
        <f>'[85]Sch C'!F198</f>
        <v>0</v>
      </c>
      <c r="E192" s="480">
        <f>+'[85]Sch C'!H198</f>
        <v>0</v>
      </c>
      <c r="F192" s="166">
        <f t="shared" si="58"/>
        <v>21638</v>
      </c>
      <c r="G192" s="626"/>
      <c r="H192" s="166"/>
      <c r="I192" s="166">
        <f t="shared" si="59"/>
        <v>21638</v>
      </c>
      <c r="J192" s="167">
        <f t="shared" si="60"/>
        <v>1.3379709069548145E-2</v>
      </c>
      <c r="K192" s="458"/>
      <c r="L192" s="213"/>
      <c r="M192" s="208"/>
      <c r="O192" s="329">
        <f t="shared" si="61"/>
        <v>5.7167767503302507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'[85]Sch C'!D199</f>
        <v>0</v>
      </c>
      <c r="D193" s="480">
        <f>'[85]Sch C'!F199</f>
        <v>0</v>
      </c>
      <c r="E193" s="480">
        <f>+'[85]Sch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'[85]Sch C'!D200</f>
        <v>0</v>
      </c>
      <c r="D194" s="480">
        <f>'[85]Sch C'!F200</f>
        <v>0</v>
      </c>
      <c r="E194" s="480">
        <f>+'[85]Sch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'[85]Sch C'!D201</f>
        <v>0</v>
      </c>
      <c r="D195" s="480">
        <f>'[85]Sch C'!F201</f>
        <v>0</v>
      </c>
      <c r="E195" s="480">
        <f>+'[85]Sch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'[85]Sch C'!D202</f>
        <v>0</v>
      </c>
      <c r="D196" s="480">
        <f>'[85]Sch C'!F202</f>
        <v>0</v>
      </c>
      <c r="E196" s="480">
        <f>+'[85]Sch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'[85]Sch C'!D203</f>
        <v>0</v>
      </c>
      <c r="D197" s="480">
        <f>'[85]Sch C'!F203</f>
        <v>0</v>
      </c>
      <c r="E197" s="480">
        <f>+'[85]Sch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'[85]Sch C'!D204</f>
        <v>0</v>
      </c>
      <c r="D198" s="480">
        <f>'[85]Sch C'!F204</f>
        <v>0</v>
      </c>
      <c r="E198" s="480">
        <f>+'[85]Sch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'[85]Sch C'!D205</f>
        <v>99155</v>
      </c>
      <c r="D199" s="480">
        <f>'[85]Sch C'!F205</f>
        <v>0</v>
      </c>
      <c r="E199" s="480">
        <f>+'[85]Sch C'!H205</f>
        <v>0</v>
      </c>
      <c r="F199" s="166">
        <f t="shared" si="58"/>
        <v>99155</v>
      </c>
      <c r="G199" s="626"/>
      <c r="H199" s="166"/>
      <c r="I199" s="166">
        <f t="shared" si="59"/>
        <v>99155</v>
      </c>
      <c r="J199" s="167">
        <f t="shared" si="60"/>
        <v>6.1311814991729663E-2</v>
      </c>
      <c r="K199" s="458"/>
      <c r="L199" s="213"/>
      <c r="M199" s="208"/>
      <c r="O199" s="329">
        <f t="shared" si="61"/>
        <v>26.196829590488772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'[85]Sch C'!D206</f>
        <v>4343</v>
      </c>
      <c r="D200" s="480">
        <f>'[85]Sch C'!F206</f>
        <v>0</v>
      </c>
      <c r="E200" s="480">
        <f>+'[85]Sch C'!H206</f>
        <v>0</v>
      </c>
      <c r="F200" s="166">
        <f t="shared" si="58"/>
        <v>4343</v>
      </c>
      <c r="G200" s="626"/>
      <c r="H200" s="166"/>
      <c r="I200" s="166">
        <f t="shared" si="59"/>
        <v>4343</v>
      </c>
      <c r="J200" s="167">
        <f t="shared" si="60"/>
        <v>2.685464298412404E-3</v>
      </c>
      <c r="K200" s="458"/>
      <c r="L200" s="213"/>
      <c r="M200" s="208"/>
      <c r="O200" s="329">
        <f t="shared" si="61"/>
        <v>1.1474240422721269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'[85]Sch C'!D207</f>
        <v>5407</v>
      </c>
      <c r="D201" s="480">
        <f>'[85]Sch C'!F207</f>
        <v>0</v>
      </c>
      <c r="E201" s="480">
        <f>+'[85]Sch C'!H207</f>
        <v>0</v>
      </c>
      <c r="F201" s="166">
        <f t="shared" si="58"/>
        <v>5407</v>
      </c>
      <c r="G201" s="626"/>
      <c r="H201" s="166"/>
      <c r="I201" s="166">
        <f t="shared" si="59"/>
        <v>5407</v>
      </c>
      <c r="J201" s="167">
        <f t="shared" si="60"/>
        <v>3.3433814095132092E-3</v>
      </c>
      <c r="K201" s="458"/>
      <c r="L201" s="213"/>
      <c r="M201" s="208"/>
      <c r="O201" s="329">
        <f t="shared" si="61"/>
        <v>1.4285336856010569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417459</v>
      </c>
      <c r="D202" s="480">
        <f t="shared" si="62"/>
        <v>36320</v>
      </c>
      <c r="E202" s="480">
        <f t="shared" si="62"/>
        <v>0</v>
      </c>
      <c r="F202" s="166">
        <f t="shared" ref="F202:I202" si="63">SUM(F169:F201)</f>
        <v>453779</v>
      </c>
      <c r="G202" s="166">
        <f t="shared" si="63"/>
        <v>-36320</v>
      </c>
      <c r="H202" s="166">
        <f t="shared" si="63"/>
        <v>0</v>
      </c>
      <c r="I202" s="166">
        <f t="shared" si="63"/>
        <v>417459</v>
      </c>
      <c r="J202" s="167">
        <f>IF($I$213=0,0,I202/$I$213)</f>
        <v>0.25813291285999163</v>
      </c>
      <c r="K202" s="458"/>
      <c r="L202" s="163"/>
      <c r="M202" s="163"/>
      <c r="O202" s="329">
        <f>I202/I$233</f>
        <v>110.29299867899604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'[85]Sch C'!D211</f>
        <v>30195</v>
      </c>
      <c r="D205" s="480">
        <f>'[85]Sch C'!F211</f>
        <v>0</v>
      </c>
      <c r="E205" s="480">
        <f>+'[85]Sch C'!H211</f>
        <v>0</v>
      </c>
      <c r="F205" s="166">
        <f t="shared" ref="F205:F210" si="64">C205+D205+E205</f>
        <v>30195</v>
      </c>
      <c r="G205" s="626"/>
      <c r="H205" s="166"/>
      <c r="I205" s="166">
        <f t="shared" ref="I205:I210" si="65">F205+G205+H205</f>
        <v>30195</v>
      </c>
      <c r="J205" s="167">
        <f t="shared" ref="J205:J211" si="66">IF($I$213=0,0,I205/$I$213)</f>
        <v>1.8670871400083475E-2</v>
      </c>
      <c r="K205" s="458"/>
      <c r="L205" s="176">
        <v>1727.9</v>
      </c>
      <c r="M205" s="176">
        <v>1938</v>
      </c>
      <c r="O205" s="329">
        <f t="shared" ref="O205:O210" si="67">I205/I$233</f>
        <v>7.9775429326287979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'[85]Sch C'!D212</f>
        <v>0</v>
      </c>
      <c r="D206" s="480">
        <f>'[85]Sch C'!F212</f>
        <v>3830</v>
      </c>
      <c r="E206" s="480">
        <f>+'[85]Sch C'!H212</f>
        <v>0</v>
      </c>
      <c r="F206" s="166">
        <f t="shared" si="64"/>
        <v>3830</v>
      </c>
      <c r="G206" s="626">
        <v>1750</v>
      </c>
      <c r="H206" s="166"/>
      <c r="I206" s="166">
        <f t="shared" si="65"/>
        <v>5580</v>
      </c>
      <c r="J206" s="167">
        <f t="shared" si="66"/>
        <v>3.4503547743820434E-3</v>
      </c>
      <c r="K206" s="458"/>
      <c r="L206" s="163"/>
      <c r="M206" s="163"/>
      <c r="O206" s="329">
        <f t="shared" si="67"/>
        <v>1.4742404227212682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'[85]Sch C'!D213</f>
        <v>4411</v>
      </c>
      <c r="D207" s="480">
        <f>'[85]Sch C'!F213</f>
        <v>0</v>
      </c>
      <c r="E207" s="480">
        <f>+'[85]Sch C'!H213</f>
        <v>0</v>
      </c>
      <c r="F207" s="166">
        <f t="shared" si="64"/>
        <v>4411</v>
      </c>
      <c r="G207" s="626"/>
      <c r="H207" s="166"/>
      <c r="I207" s="166">
        <f t="shared" si="65"/>
        <v>4411</v>
      </c>
      <c r="J207" s="167">
        <f t="shared" si="66"/>
        <v>2.7275116325805007E-3</v>
      </c>
      <c r="K207" s="458"/>
      <c r="L207" s="163"/>
      <c r="M207" s="163"/>
      <c r="O207" s="329">
        <f t="shared" si="67"/>
        <v>1.1653896961690886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'[85]Sch C'!D214</f>
        <v>0</v>
      </c>
      <c r="D208" s="480">
        <f>'[85]Sch C'!F214</f>
        <v>0</v>
      </c>
      <c r="E208" s="480">
        <f>+'[85]Sch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'[85]Sch C'!D215</f>
        <v>0</v>
      </c>
      <c r="D209" s="480">
        <f>'[85]Sch C'!F215</f>
        <v>0</v>
      </c>
      <c r="E209" s="480">
        <f>+'[85]Sch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'[85]Sch C'!D216</f>
        <v>1250</v>
      </c>
      <c r="D210" s="480">
        <f>'[85]Sch C'!F216</f>
        <v>0</v>
      </c>
      <c r="E210" s="480">
        <f>+'[85]Sch C'!H216</f>
        <v>0</v>
      </c>
      <c r="F210" s="166">
        <f t="shared" si="64"/>
        <v>1250</v>
      </c>
      <c r="G210" s="626"/>
      <c r="H210" s="166"/>
      <c r="I210" s="166">
        <f t="shared" si="65"/>
        <v>1250</v>
      </c>
      <c r="J210" s="167">
        <f t="shared" si="66"/>
        <v>7.7292893691354022E-4</v>
      </c>
      <c r="K210" s="458"/>
      <c r="L210" s="163"/>
      <c r="M210" s="163"/>
      <c r="O210" s="329">
        <f t="shared" si="67"/>
        <v>0.33025099075297226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35856</v>
      </c>
      <c r="D211" s="480">
        <f t="shared" si="68"/>
        <v>3830</v>
      </c>
      <c r="E211" s="480">
        <f t="shared" si="68"/>
        <v>0</v>
      </c>
      <c r="F211" s="166">
        <f t="shared" ref="F211:I211" si="69">SUM(F205:F210)</f>
        <v>39686</v>
      </c>
      <c r="G211" s="166">
        <f t="shared" si="69"/>
        <v>1750</v>
      </c>
      <c r="H211" s="166">
        <f t="shared" si="69"/>
        <v>0</v>
      </c>
      <c r="I211" s="166">
        <f t="shared" si="69"/>
        <v>41436</v>
      </c>
      <c r="J211" s="167">
        <f t="shared" si="66"/>
        <v>2.5621666743959562E-2</v>
      </c>
      <c r="K211" s="458"/>
      <c r="L211" s="163"/>
      <c r="M211" s="163"/>
      <c r="O211" s="329">
        <f>I211/I$233</f>
        <v>10.947424042272127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1628895</v>
      </c>
      <c r="D213" s="480">
        <f t="shared" si="70"/>
        <v>-5350</v>
      </c>
      <c r="E213" s="480">
        <f t="shared" si="70"/>
        <v>-6320</v>
      </c>
      <c r="F213" s="166">
        <f t="shared" ref="F213:I213" si="71">SUM(F30:F211)/2</f>
        <v>1617225</v>
      </c>
      <c r="G213" s="166">
        <f t="shared" si="71"/>
        <v>0</v>
      </c>
      <c r="H213" s="166">
        <f t="shared" si="71"/>
        <v>0</v>
      </c>
      <c r="I213" s="166">
        <f t="shared" si="71"/>
        <v>1617225</v>
      </c>
      <c r="J213" s="167">
        <f>IF($I$213=0,0,I213/$I$213)</f>
        <v>1</v>
      </c>
      <c r="K213" s="458"/>
      <c r="L213" s="176">
        <f>SUM(L30:L205)</f>
        <v>40603.730000000003</v>
      </c>
      <c r="M213" s="176">
        <f>SUM(M30:M205)</f>
        <v>42886.259999999995</v>
      </c>
      <c r="O213" s="329">
        <f>I213/I$233</f>
        <v>427.27212681638042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'[85]Sch C'!D221</f>
        <v>1628895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101757</v>
      </c>
      <c r="D220" s="480">
        <f t="shared" si="72"/>
        <v>5350</v>
      </c>
      <c r="E220" s="480">
        <f t="shared" si="72"/>
        <v>6320</v>
      </c>
      <c r="F220" s="166">
        <f t="shared" ref="F220:I220" si="73">F26-F213</f>
        <v>113427</v>
      </c>
      <c r="G220" s="166">
        <f t="shared" si="73"/>
        <v>-6887</v>
      </c>
      <c r="H220" s="166">
        <f t="shared" si="73"/>
        <v>0</v>
      </c>
      <c r="I220" s="166">
        <f t="shared" si="73"/>
        <v>106540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 t="s">
        <v>729</v>
      </c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'[85]Sch D'!C9</f>
        <v>957</v>
      </c>
      <c r="D224" s="480"/>
      <c r="E224" s="480"/>
      <c r="F224" s="224">
        <f>C224+D224+E224</f>
        <v>957</v>
      </c>
      <c r="G224" s="627"/>
      <c r="H224" s="223"/>
      <c r="I224" s="224">
        <f>F224+G224+H224</f>
        <v>957</v>
      </c>
      <c r="J224" s="167">
        <f t="shared" ref="J224:J233" si="74">IF($I$233=0,0,I224/$I$233)</f>
        <v>0.25284015852047559</v>
      </c>
      <c r="K224" s="458"/>
      <c r="L224" s="163"/>
      <c r="M224" s="163"/>
    </row>
    <row r="225" spans="1:13">
      <c r="A225" s="158"/>
      <c r="B225" s="165" t="s">
        <v>201</v>
      </c>
      <c r="C225" s="504">
        <f>'[85]Sch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'[85]Sch D'!E9</f>
        <v>2242</v>
      </c>
      <c r="D226" s="480"/>
      <c r="E226" s="480"/>
      <c r="F226" s="224">
        <f t="shared" si="75"/>
        <v>2242</v>
      </c>
      <c r="G226" s="627"/>
      <c r="H226" s="223"/>
      <c r="I226" s="224">
        <f t="shared" si="76"/>
        <v>2242</v>
      </c>
      <c r="J226" s="167">
        <f t="shared" si="74"/>
        <v>0.59233817701453106</v>
      </c>
      <c r="K226" s="458"/>
      <c r="L226" s="163"/>
      <c r="M226" s="163"/>
    </row>
    <row r="227" spans="1:13">
      <c r="A227" s="158"/>
      <c r="B227" s="194" t="s">
        <v>315</v>
      </c>
      <c r="C227" s="504">
        <f>'[85]Sch D'!F9</f>
        <v>191</v>
      </c>
      <c r="D227" s="480"/>
      <c r="E227" s="480"/>
      <c r="F227" s="224">
        <f t="shared" si="75"/>
        <v>191</v>
      </c>
      <c r="G227" s="627"/>
      <c r="H227" s="223"/>
      <c r="I227" s="224">
        <f t="shared" si="76"/>
        <v>191</v>
      </c>
      <c r="J227" s="167">
        <f t="shared" si="74"/>
        <v>5.0462351387054162E-2</v>
      </c>
      <c r="K227" s="458"/>
      <c r="L227" s="163"/>
      <c r="M227" s="163"/>
    </row>
    <row r="228" spans="1:13">
      <c r="A228" s="158"/>
      <c r="B228" s="165" t="s">
        <v>65</v>
      </c>
      <c r="C228" s="504">
        <f>'[85]Sch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'[85]Sch D'!H9</f>
        <v>379</v>
      </c>
      <c r="D229" s="480"/>
      <c r="E229" s="480"/>
      <c r="F229" s="224">
        <f t="shared" si="75"/>
        <v>379</v>
      </c>
      <c r="G229" s="627"/>
      <c r="H229" s="223"/>
      <c r="I229" s="224">
        <f t="shared" si="76"/>
        <v>379</v>
      </c>
      <c r="J229" s="167">
        <f t="shared" si="74"/>
        <v>0.10013210039630119</v>
      </c>
      <c r="K229" s="458"/>
      <c r="L229" s="163"/>
      <c r="M229" s="163"/>
    </row>
    <row r="230" spans="1:13">
      <c r="A230" s="158"/>
      <c r="B230" s="165" t="s">
        <v>219</v>
      </c>
      <c r="C230" s="504">
        <f>'[85]Sch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'[85]Sch D'!J9</f>
        <v>16</v>
      </c>
      <c r="D231" s="480"/>
      <c r="E231" s="480"/>
      <c r="F231" s="224">
        <f t="shared" si="75"/>
        <v>16</v>
      </c>
      <c r="G231" s="627"/>
      <c r="H231" s="223"/>
      <c r="I231" s="224">
        <f t="shared" si="76"/>
        <v>16</v>
      </c>
      <c r="J231" s="167">
        <f>IF($I$233=0,0,I231/$I$233)</f>
        <v>4.2272126816380448E-3</v>
      </c>
      <c r="K231" s="458"/>
      <c r="L231" s="163"/>
      <c r="M231" s="163"/>
    </row>
    <row r="232" spans="1:13">
      <c r="A232" s="158"/>
      <c r="B232" s="165" t="s">
        <v>170</v>
      </c>
      <c r="C232" s="504">
        <f>'[85]Sch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3785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3785</v>
      </c>
      <c r="G233" s="226">
        <f t="shared" si="78"/>
        <v>0</v>
      </c>
      <c r="H233" s="226">
        <f t="shared" si="78"/>
        <v>0</v>
      </c>
      <c r="I233" s="226">
        <f t="shared" si="78"/>
        <v>3785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'[85]Sch D'!N22</f>
        <v>30</v>
      </c>
      <c r="D236" s="480"/>
      <c r="E236" s="480"/>
      <c r="F236" s="224">
        <f>C236+E236</f>
        <v>30</v>
      </c>
      <c r="G236" s="627"/>
      <c r="H236" s="224"/>
      <c r="I236" s="224">
        <f>F236+G236+H236</f>
        <v>30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'[85]Sch D'!N24</f>
        <v>8</v>
      </c>
      <c r="D237" s="480"/>
      <c r="E237" s="480"/>
      <c r="F237" s="224">
        <f>C237+E237</f>
        <v>8</v>
      </c>
      <c r="G237" s="627"/>
      <c r="H237" s="176"/>
      <c r="I237" s="224">
        <f>F237+G237+H237</f>
        <v>8</v>
      </c>
      <c r="J237" s="541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163</v>
      </c>
      <c r="D238" s="427"/>
      <c r="E238" s="427"/>
      <c r="F238" s="224">
        <f>C238+E238</f>
        <v>163</v>
      </c>
      <c r="G238" s="627"/>
      <c r="H238" s="228"/>
      <c r="I238" s="224">
        <f>F238+G238+H238</f>
        <v>163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'[85]Sch D'!N28</f>
        <v>4890</v>
      </c>
      <c r="D240" s="427"/>
      <c r="E240" s="427"/>
      <c r="F240" s="223">
        <f>F236*F238</f>
        <v>4890</v>
      </c>
      <c r="G240"/>
      <c r="H240" s="228"/>
      <c r="I240" s="223">
        <f>I236*I238</f>
        <v>4890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'[85]Sch D'!N30</f>
        <v>0.77402862985685073</v>
      </c>
      <c r="D241" s="228"/>
      <c r="E241" s="228"/>
      <c r="F241" s="232">
        <f>F233/F240</f>
        <v>0.77402862985685073</v>
      </c>
      <c r="G241"/>
      <c r="H241" s="233"/>
      <c r="I241" s="232">
        <f>I233/I240</f>
        <v>0.77402862985685073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'[85]Sch D'!N32</f>
        <v>0.19570552147239265</v>
      </c>
      <c r="D242" s="228"/>
      <c r="E242" s="228"/>
      <c r="F242" s="232">
        <f>(F224+F225)/F240</f>
        <v>0.19570552147239265</v>
      </c>
      <c r="G242"/>
      <c r="H242" s="233"/>
      <c r="I242" s="232">
        <f>(I224+I225)/I240</f>
        <v>0.19570552147239265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'[85]Sch D'!N34</f>
        <v>0.25284015852047559</v>
      </c>
      <c r="D243" s="228"/>
      <c r="E243" s="228"/>
      <c r="F243" s="232">
        <f>(F242/F241)</f>
        <v>0.25284015852047559</v>
      </c>
      <c r="G243"/>
      <c r="H243" s="233"/>
      <c r="I243" s="232">
        <f>(I242/I241)</f>
        <v>0.25284015852047559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'[85]Sch B'!C90</f>
        <v>326.83905013192617</v>
      </c>
      <c r="K246" s="460"/>
    </row>
    <row r="247" spans="1:13">
      <c r="B247" s="456" t="s">
        <v>375</v>
      </c>
      <c r="H247" s="140" t="s">
        <v>322</v>
      </c>
      <c r="I247" s="480">
        <f>'[85]Sch B'!E90</f>
        <v>326.83905013192617</v>
      </c>
      <c r="K247" s="460"/>
    </row>
    <row r="248" spans="1:13">
      <c r="B248" s="411" t="s">
        <v>376</v>
      </c>
      <c r="H248" s="140" t="s">
        <v>323</v>
      </c>
      <c r="I248" s="480"/>
      <c r="K248" s="460"/>
    </row>
    <row r="249" spans="1:13">
      <c r="B249" s="411" t="s">
        <v>423</v>
      </c>
      <c r="H249" s="140" t="s">
        <v>324</v>
      </c>
      <c r="I249" s="480"/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E28CAB"/>
  </sheetPr>
  <dimension ref="A1:Q277"/>
  <sheetViews>
    <sheetView showGridLines="0" topLeftCell="A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572</v>
      </c>
      <c r="D2" s="234"/>
      <c r="E2" s="142"/>
      <c r="F2" s="411"/>
      <c r="G2" s="411"/>
    </row>
    <row r="3" spans="1:16">
      <c r="A3" s="143"/>
      <c r="B3" s="138" t="s">
        <v>71</v>
      </c>
      <c r="C3" s="557">
        <f>'[86]Sch A Pg 1'!B39</f>
        <v>43080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'[86]Sch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'[86]Sch B'!E10</f>
        <v>184957</v>
      </c>
      <c r="D12" s="480">
        <f>'[86]Sch B'!G10</f>
        <v>0</v>
      </c>
      <c r="E12" s="480"/>
      <c r="F12" s="166">
        <f>C12+D12+E12</f>
        <v>184957</v>
      </c>
      <c r="G12" s="626"/>
      <c r="H12" s="166"/>
      <c r="I12" s="166">
        <f>F12+G12+H12</f>
        <v>184957</v>
      </c>
      <c r="J12" s="167">
        <f>IF($I$26=0,0,I12/$I$26)</f>
        <v>0.11932694280394476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'[86]Sch B'!E12</f>
        <v>52604</v>
      </c>
      <c r="D13" s="480">
        <f>'[86]Sch B'!G12</f>
        <v>0</v>
      </c>
      <c r="E13" s="480"/>
      <c r="F13" s="166">
        <f t="shared" ref="F13:F25" si="0">C13+D13+E13</f>
        <v>52604</v>
      </c>
      <c r="G13" s="626">
        <v>-52604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'[86]Sch B'!E13</f>
        <v>3673</v>
      </c>
      <c r="D14" s="480">
        <f>'[86]Sch B'!G13</f>
        <v>0</v>
      </c>
      <c r="E14" s="480"/>
      <c r="F14" s="166">
        <f t="shared" si="0"/>
        <v>3673</v>
      </c>
      <c r="G14" s="626"/>
      <c r="H14" s="166"/>
      <c r="I14" s="166">
        <f t="shared" si="1"/>
        <v>3673</v>
      </c>
      <c r="J14" s="167">
        <f>IF($I$26=0,0,I14/$I$26)</f>
        <v>2.369674361710501E-3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'[86]Sch B'!E14</f>
        <v>0</v>
      </c>
      <c r="D15" s="480">
        <f>'[86]Sch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'[86]Sch B'!E15</f>
        <v>241234</v>
      </c>
      <c r="D16" s="480">
        <f>'[86]Sch B'!G15</f>
        <v>0</v>
      </c>
      <c r="E16" s="480"/>
      <c r="F16" s="166">
        <f t="shared" si="0"/>
        <v>241234</v>
      </c>
      <c r="G16" s="626"/>
      <c r="H16" s="166"/>
      <c r="I16" s="166">
        <f>SUM(I12:I15)</f>
        <v>188630</v>
      </c>
      <c r="J16" s="167">
        <f t="shared" ref="J16:J26" si="2">IF($I$26=0,0,I16/$I$26)</f>
        <v>0.12169661716565527</v>
      </c>
      <c r="K16" s="458"/>
      <c r="L16" s="333" t="s">
        <v>325</v>
      </c>
      <c r="M16" s="334">
        <f>I26</f>
        <v>1550002</v>
      </c>
      <c r="O16" s="324">
        <f>IFERROR(I16/I224,0)</f>
        <v>163.03370786516854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'[86]Sch B'!E20</f>
        <v>0</v>
      </c>
      <c r="D17" s="480">
        <f>'[86]Sch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1506695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'[86]Sch B'!E26</f>
        <v>1168742</v>
      </c>
      <c r="D18" s="480">
        <f>'[86]Sch B'!G26</f>
        <v>0</v>
      </c>
      <c r="E18" s="480"/>
      <c r="F18" s="166">
        <f t="shared" si="0"/>
        <v>1168742</v>
      </c>
      <c r="G18" s="626"/>
      <c r="H18" s="166"/>
      <c r="I18" s="166">
        <f t="shared" si="1"/>
        <v>1168742</v>
      </c>
      <c r="J18" s="167">
        <f t="shared" si="2"/>
        <v>0.75402612383725953</v>
      </c>
      <c r="K18" s="458"/>
      <c r="L18" s="335" t="s">
        <v>327</v>
      </c>
      <c r="M18" s="336">
        <f>I233</f>
        <v>4412</v>
      </c>
      <c r="O18" s="324">
        <f t="shared" si="3"/>
        <v>477.42728758169937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'[86]Sch B'!E32</f>
        <v>93003</v>
      </c>
      <c r="D19" s="480">
        <f>'[86]Sch B'!G32</f>
        <v>0</v>
      </c>
      <c r="E19" s="480"/>
      <c r="F19" s="166">
        <f t="shared" si="0"/>
        <v>93003</v>
      </c>
      <c r="G19" s="626"/>
      <c r="H19" s="166"/>
      <c r="I19" s="166">
        <f t="shared" si="1"/>
        <v>93003</v>
      </c>
      <c r="J19" s="170">
        <f t="shared" si="2"/>
        <v>6.0001858062118628E-2</v>
      </c>
      <c r="K19" s="464"/>
      <c r="L19" s="335" t="s">
        <v>328</v>
      </c>
      <c r="M19" s="336">
        <f>I236</f>
        <v>30</v>
      </c>
      <c r="O19" s="324">
        <f t="shared" si="3"/>
        <v>384.30991735537191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'[86]Sch B'!E37</f>
        <v>0</v>
      </c>
      <c r="D20" s="480">
        <f>'[86]Sch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6060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'[86]Sch B'!E42</f>
        <v>94433</v>
      </c>
      <c r="D21" s="480">
        <f>'[86]Sch B'!G42</f>
        <v>0</v>
      </c>
      <c r="E21" s="480"/>
      <c r="F21" s="166">
        <f t="shared" si="0"/>
        <v>94433</v>
      </c>
      <c r="G21" s="626"/>
      <c r="H21" s="166"/>
      <c r="I21" s="166">
        <f t="shared" si="1"/>
        <v>94433</v>
      </c>
      <c r="J21" s="167">
        <f t="shared" si="2"/>
        <v>6.0924437516854814E-2</v>
      </c>
      <c r="K21" s="458"/>
      <c r="L21" s="337"/>
      <c r="M21" s="336"/>
      <c r="O21" s="324">
        <f t="shared" si="3"/>
        <v>169.8435251798561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'[86]Sch B'!E47</f>
        <v>0</v>
      </c>
      <c r="D22" s="480">
        <f>'[86]Sch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37759.71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'[86]Sch B'!E52</f>
        <v>1980</v>
      </c>
      <c r="D23" s="480">
        <f>'[86]Sch B'!G52</f>
        <v>0</v>
      </c>
      <c r="E23" s="480"/>
      <c r="F23" s="166">
        <f t="shared" si="0"/>
        <v>1980</v>
      </c>
      <c r="G23" s="626"/>
      <c r="H23" s="166"/>
      <c r="I23" s="166">
        <f t="shared" si="1"/>
        <v>1980</v>
      </c>
      <c r="J23" s="167">
        <f t="shared" si="2"/>
        <v>1.277417706557798E-3</v>
      </c>
      <c r="K23" s="458"/>
      <c r="L23" s="338" t="s">
        <v>233</v>
      </c>
      <c r="M23" s="339">
        <f>M213</f>
        <v>39890</v>
      </c>
      <c r="O23" s="324">
        <f t="shared" si="3"/>
        <v>220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'[86]Sch B'!E57</f>
        <v>0</v>
      </c>
      <c r="D24" s="480">
        <f>'[86]Sch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'[86]Sch B'!E72</f>
        <v>3214</v>
      </c>
      <c r="D25" s="480">
        <f>'[86]Sch B'!G72</f>
        <v>0</v>
      </c>
      <c r="E25" s="480"/>
      <c r="F25" s="166">
        <f t="shared" si="0"/>
        <v>3214</v>
      </c>
      <c r="G25" s="626"/>
      <c r="H25" s="166"/>
      <c r="I25" s="166">
        <f t="shared" si="1"/>
        <v>3214</v>
      </c>
      <c r="J25" s="167">
        <f t="shared" si="2"/>
        <v>2.0735457115539204E-3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1602606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1602606</v>
      </c>
      <c r="G26" s="166">
        <f>SUM(G12:G25)</f>
        <v>-52604</v>
      </c>
      <c r="H26" s="166">
        <f>SUM(H12:H25)</f>
        <v>0</v>
      </c>
      <c r="I26" s="166">
        <f>SUM(I16:I25)</f>
        <v>1550002</v>
      </c>
      <c r="J26" s="167">
        <f t="shared" si="2"/>
        <v>1</v>
      </c>
      <c r="K26" s="458"/>
      <c r="L26" s="163"/>
      <c r="M26" s="163"/>
      <c r="O26" s="324">
        <f>IFERROR(I26/I233,0)</f>
        <v>351.31504986400728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'[86]Sch C'!D10</f>
        <v>46365</v>
      </c>
      <c r="D30" s="480">
        <f>'[86]Sch C'!F10</f>
        <v>0</v>
      </c>
      <c r="E30" s="480">
        <f>+'[86]Sch C'!H10</f>
        <v>0</v>
      </c>
      <c r="F30" s="166">
        <f t="shared" ref="F30:F65" si="5">C30+D30+E30</f>
        <v>46365</v>
      </c>
      <c r="G30" s="626"/>
      <c r="H30" s="166"/>
      <c r="I30" s="166">
        <f t="shared" ref="I30:I65" si="6">F30+G30+H30</f>
        <v>46365</v>
      </c>
      <c r="J30" s="167">
        <f>IF($I$213=0,0,I30/$I$213)</f>
        <v>3.0772651399254659E-2</v>
      </c>
      <c r="K30" s="458"/>
      <c r="L30" s="176">
        <v>947</v>
      </c>
      <c r="M30" s="176">
        <v>1041</v>
      </c>
      <c r="O30" s="324">
        <f>I30/I$233</f>
        <v>10.508839528558477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'[86]Sch C'!D11</f>
        <v>0</v>
      </c>
      <c r="D31" s="480">
        <f>'[86]Sch C'!F11</f>
        <v>0</v>
      </c>
      <c r="E31" s="480">
        <f>+'[86]Sch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'[86]Sch C'!D12</f>
        <v>15022</v>
      </c>
      <c r="D32" s="480">
        <f>'[86]Sch C'!F12</f>
        <v>0</v>
      </c>
      <c r="E32" s="480">
        <f>+'[86]Sch C'!H12</f>
        <v>0</v>
      </c>
      <c r="F32" s="166">
        <f t="shared" si="5"/>
        <v>15022</v>
      </c>
      <c r="G32" s="626"/>
      <c r="H32" s="166"/>
      <c r="I32" s="166">
        <f t="shared" si="6"/>
        <v>15022</v>
      </c>
      <c r="J32" s="167">
        <f t="shared" si="7"/>
        <v>9.9701664902319322E-3</v>
      </c>
      <c r="K32" s="458"/>
      <c r="L32" s="176">
        <v>928.75</v>
      </c>
      <c r="M32" s="176">
        <v>1003</v>
      </c>
      <c r="O32" s="324">
        <f t="shared" si="8"/>
        <v>3.4048050770625569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'[86]Sch C'!D13</f>
        <v>96465</v>
      </c>
      <c r="D33" s="480">
        <f>'[86]Sch C'!F13</f>
        <v>-89385</v>
      </c>
      <c r="E33" s="480">
        <f>+'[86]Sch C'!H13</f>
        <v>0</v>
      </c>
      <c r="F33" s="166">
        <f t="shared" si="5"/>
        <v>7080</v>
      </c>
      <c r="G33" s="626">
        <v>3055</v>
      </c>
      <c r="H33" s="166"/>
      <c r="I33" s="166">
        <f t="shared" si="6"/>
        <v>10135</v>
      </c>
      <c r="J33" s="167">
        <f t="shared" si="7"/>
        <v>6.7266434148915344E-3</v>
      </c>
      <c r="K33" s="458"/>
      <c r="L33" s="163"/>
      <c r="M33" s="163"/>
      <c r="O33" s="324">
        <f t="shared" si="8"/>
        <v>2.2971441523118767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'[86]Sch C'!D14</f>
        <v>0</v>
      </c>
      <c r="D34" s="480">
        <f>'[86]Sch C'!F14</f>
        <v>0</v>
      </c>
      <c r="E34" s="480">
        <f>+'[86]Sch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'[86]Sch C'!D15</f>
        <v>0</v>
      </c>
      <c r="D35" s="480">
        <f>'[86]Sch C'!F15</f>
        <v>0</v>
      </c>
      <c r="E35" s="480">
        <f>+'[86]Sch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'[86]Sch C'!D16</f>
        <v>45000</v>
      </c>
      <c r="D36" s="480">
        <f>'[86]Sch C'!F16</f>
        <v>0</v>
      </c>
      <c r="E36" s="480">
        <f>+'[86]Sch C'!H16</f>
        <v>-6320</v>
      </c>
      <c r="F36" s="166">
        <f t="shared" si="5"/>
        <v>38680</v>
      </c>
      <c r="G36" s="626"/>
      <c r="H36" s="166"/>
      <c r="I36" s="166">
        <f t="shared" si="6"/>
        <v>38680</v>
      </c>
      <c r="J36" s="167">
        <f t="shared" si="7"/>
        <v>2.5672083600197786E-2</v>
      </c>
      <c r="K36" s="458"/>
      <c r="L36" s="163"/>
      <c r="M36" s="163"/>
      <c r="O36" s="324">
        <f t="shared" si="8"/>
        <v>8.7669990933816866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'[86]Sch C'!D17</f>
        <v>0</v>
      </c>
      <c r="D37" s="480">
        <f>'[86]Sch C'!F17</f>
        <v>0</v>
      </c>
      <c r="E37" s="480">
        <f>+'[86]Sch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'[86]Sch C'!D18</f>
        <v>8080</v>
      </c>
      <c r="D38" s="480">
        <f>'[86]Sch C'!F18</f>
        <v>0</v>
      </c>
      <c r="E38" s="480">
        <f>+'[86]Sch C'!H18</f>
        <v>0</v>
      </c>
      <c r="F38" s="166">
        <f t="shared" si="5"/>
        <v>8080</v>
      </c>
      <c r="G38" s="626"/>
      <c r="H38" s="166"/>
      <c r="I38" s="166">
        <f t="shared" si="6"/>
        <v>8080</v>
      </c>
      <c r="J38" s="167">
        <f t="shared" si="7"/>
        <v>5.3627310105894025E-3</v>
      </c>
      <c r="K38" s="458"/>
      <c r="L38" s="163"/>
      <c r="M38" s="163"/>
      <c r="O38" s="324">
        <f t="shared" si="8"/>
        <v>1.8313689936536719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'[86]Sch C'!D19</f>
        <v>8733</v>
      </c>
      <c r="D39" s="480">
        <f>'[86]Sch C'!F19</f>
        <v>0</v>
      </c>
      <c r="E39" s="480">
        <f>+'[86]Sch C'!H19</f>
        <v>0</v>
      </c>
      <c r="F39" s="166">
        <f t="shared" si="5"/>
        <v>8733</v>
      </c>
      <c r="G39" s="626"/>
      <c r="H39" s="166"/>
      <c r="I39" s="166">
        <f t="shared" si="6"/>
        <v>8733</v>
      </c>
      <c r="J39" s="167">
        <f t="shared" si="7"/>
        <v>5.7961299400343131E-3</v>
      </c>
      <c r="K39" s="458"/>
      <c r="L39" s="163"/>
      <c r="M39" s="163"/>
      <c r="O39" s="324">
        <f t="shared" si="8"/>
        <v>1.9793744333635539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'[86]Sch C'!D20</f>
        <v>3244</v>
      </c>
      <c r="D40" s="480">
        <f>'[86]Sch C'!F20</f>
        <v>0</v>
      </c>
      <c r="E40" s="480">
        <f>+'[86]Sch C'!H20</f>
        <v>0</v>
      </c>
      <c r="F40" s="166">
        <f t="shared" si="5"/>
        <v>3244</v>
      </c>
      <c r="G40" s="626"/>
      <c r="H40" s="166"/>
      <c r="I40" s="166">
        <f t="shared" si="6"/>
        <v>3244</v>
      </c>
      <c r="J40" s="167">
        <f t="shared" si="7"/>
        <v>2.1530568562316858E-3</v>
      </c>
      <c r="K40" s="458"/>
      <c r="L40" s="163"/>
      <c r="M40" s="163"/>
      <c r="O40" s="324">
        <f t="shared" si="8"/>
        <v>0.73526745240253855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'[86]Sch C'!D21</f>
        <v>4369</v>
      </c>
      <c r="D41" s="480">
        <f>'[86]Sch C'!F21</f>
        <v>0</v>
      </c>
      <c r="E41" s="480">
        <f>+'[86]Sch C'!H21</f>
        <v>0</v>
      </c>
      <c r="F41" s="166">
        <f t="shared" si="5"/>
        <v>4369</v>
      </c>
      <c r="G41" s="626"/>
      <c r="H41" s="166"/>
      <c r="I41" s="166">
        <f t="shared" si="6"/>
        <v>4369</v>
      </c>
      <c r="J41" s="167">
        <f t="shared" si="7"/>
        <v>2.8997242308496413E-3</v>
      </c>
      <c r="K41" s="458"/>
      <c r="L41" s="163"/>
      <c r="M41" s="163"/>
      <c r="O41" s="324">
        <f t="shared" si="8"/>
        <v>0.99025385312783321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'[86]Sch C'!D22</f>
        <v>0</v>
      </c>
      <c r="D42" s="480">
        <f>'[86]Sch C'!F22</f>
        <v>0</v>
      </c>
      <c r="E42" s="480">
        <f>+'[86]Sch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'[86]Sch C'!D23</f>
        <v>1291</v>
      </c>
      <c r="D43" s="480">
        <f>'[86]Sch C'!F23</f>
        <v>0</v>
      </c>
      <c r="E43" s="480">
        <f>+'[86]Sch C'!H23</f>
        <v>0</v>
      </c>
      <c r="F43" s="166">
        <f t="shared" si="5"/>
        <v>1291</v>
      </c>
      <c r="G43" s="626"/>
      <c r="H43" s="166"/>
      <c r="I43" s="166">
        <f t="shared" si="6"/>
        <v>1291</v>
      </c>
      <c r="J43" s="167">
        <f t="shared" si="7"/>
        <v>8.5684229389491569E-4</v>
      </c>
      <c r="K43" s="458" t="s">
        <v>489</v>
      </c>
      <c r="L43" s="163"/>
      <c r="M43" s="163"/>
      <c r="O43" s="324">
        <f t="shared" si="8"/>
        <v>0.29261106074342702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'[86]Sch C'!D24</f>
        <v>16055</v>
      </c>
      <c r="D44" s="480">
        <f>'[86]Sch C'!F24</f>
        <v>0</v>
      </c>
      <c r="E44" s="480">
        <f>+'[86]Sch C'!H24</f>
        <v>0</v>
      </c>
      <c r="F44" s="166">
        <f t="shared" si="5"/>
        <v>16055</v>
      </c>
      <c r="G44" s="626"/>
      <c r="H44" s="166"/>
      <c r="I44" s="166">
        <f t="shared" si="6"/>
        <v>16055</v>
      </c>
      <c r="J44" s="167">
        <f t="shared" si="7"/>
        <v>1.0655773066214463E-2</v>
      </c>
      <c r="K44" s="458" t="s">
        <v>490</v>
      </c>
      <c r="L44" s="163"/>
      <c r="M44" s="163"/>
      <c r="O44" s="324">
        <f t="shared" si="8"/>
        <v>3.6389392565729826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'[86]Sch C'!D25</f>
        <v>0</v>
      </c>
      <c r="D45" s="480">
        <f>'[86]Sch C'!F25</f>
        <v>0</v>
      </c>
      <c r="E45" s="480">
        <f>+'[86]Sch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'[86]Sch C'!D26</f>
        <v>34297</v>
      </c>
      <c r="D46" s="480">
        <f>'[86]Sch C'!F26</f>
        <v>0</v>
      </c>
      <c r="E46" s="480">
        <f>+'[86]Sch C'!H26</f>
        <v>0</v>
      </c>
      <c r="F46" s="166">
        <f t="shared" si="5"/>
        <v>34297</v>
      </c>
      <c r="G46" s="626"/>
      <c r="H46" s="166"/>
      <c r="I46" s="166">
        <f t="shared" si="6"/>
        <v>34297</v>
      </c>
      <c r="J46" s="167">
        <f t="shared" si="7"/>
        <v>2.276306750868623E-2</v>
      </c>
      <c r="K46" s="458"/>
      <c r="L46" s="163"/>
      <c r="M46" s="163"/>
      <c r="O46" s="324">
        <f t="shared" si="8"/>
        <v>7.7735720761559381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'[86]Sch C'!D27</f>
        <v>0</v>
      </c>
      <c r="D47" s="480">
        <f>'[86]Sch C'!F27</f>
        <v>0</v>
      </c>
      <c r="E47" s="480">
        <f>+'[86]Sch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'[86]Sch C'!D28</f>
        <v>0</v>
      </c>
      <c r="D48" s="480">
        <f>'[86]Sch C'!F28</f>
        <v>0</v>
      </c>
      <c r="E48" s="480">
        <f>+'[86]Sch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'[86]Sch C'!D29</f>
        <v>14030</v>
      </c>
      <c r="D49" s="480">
        <f>'[86]Sch C'!F29</f>
        <v>-14030</v>
      </c>
      <c r="E49" s="480">
        <f>+'[86]Sch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'[86]Sch C'!D30</f>
        <v>0</v>
      </c>
      <c r="D50" s="480">
        <f>'[86]Sch C'!F30</f>
        <v>0</v>
      </c>
      <c r="E50" s="480">
        <f>+'[86]Sch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'[86]Sch C'!D31</f>
        <v>10046</v>
      </c>
      <c r="D51" s="480">
        <f>'[86]Sch C'!F31</f>
        <v>0</v>
      </c>
      <c r="E51" s="480">
        <f>+'[86]Sch C'!H31</f>
        <v>0</v>
      </c>
      <c r="F51" s="166">
        <f t="shared" si="5"/>
        <v>10046</v>
      </c>
      <c r="G51" s="626"/>
      <c r="H51" s="166"/>
      <c r="I51" s="166">
        <f t="shared" si="6"/>
        <v>10046</v>
      </c>
      <c r="J51" s="167">
        <f t="shared" si="7"/>
        <v>6.6675737292550916E-3</v>
      </c>
      <c r="K51" s="458"/>
      <c r="L51" s="163"/>
      <c r="M51" s="163"/>
      <c r="O51" s="324">
        <f t="shared" si="8"/>
        <v>2.2769718948322755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'[86]Sch C'!D32</f>
        <v>16047</v>
      </c>
      <c r="D52" s="480">
        <f>'[86]Sch C'!F32</f>
        <v>0</v>
      </c>
      <c r="E52" s="480">
        <f>+'[86]Sch C'!H32</f>
        <v>0</v>
      </c>
      <c r="F52" s="166">
        <f t="shared" si="5"/>
        <v>16047</v>
      </c>
      <c r="G52" s="626"/>
      <c r="H52" s="166"/>
      <c r="I52" s="166">
        <f t="shared" si="6"/>
        <v>16047</v>
      </c>
      <c r="J52" s="167">
        <f t="shared" si="7"/>
        <v>1.0650463431550513E-2</v>
      </c>
      <c r="K52" s="458"/>
      <c r="L52" s="163"/>
      <c r="M52" s="163"/>
      <c r="O52" s="324">
        <f t="shared" si="8"/>
        <v>3.6371260199456028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'[86]Sch C'!D33</f>
        <v>0</v>
      </c>
      <c r="D53" s="480">
        <f>'[86]Sch C'!F33</f>
        <v>0</v>
      </c>
      <c r="E53" s="480">
        <f>+'[86]Sch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'[86]Sch C'!D34</f>
        <v>0</v>
      </c>
      <c r="D54" s="480">
        <f>'[86]Sch C'!F34</f>
        <v>0</v>
      </c>
      <c r="E54" s="480">
        <f>+'[86]Sch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'[86]Sch C'!D35</f>
        <v>0</v>
      </c>
      <c r="D55" s="480">
        <f>'[86]Sch C'!F35</f>
        <v>0</v>
      </c>
      <c r="E55" s="480">
        <f>+'[86]Sch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'[86]Sch C'!D36</f>
        <v>1655</v>
      </c>
      <c r="D56" s="480">
        <f>'[86]Sch C'!F36</f>
        <v>0</v>
      </c>
      <c r="E56" s="480">
        <f>+'[86]Sch C'!H36</f>
        <v>0</v>
      </c>
      <c r="F56" s="166">
        <f t="shared" si="5"/>
        <v>1655</v>
      </c>
      <c r="G56" s="626"/>
      <c r="H56" s="166"/>
      <c r="I56" s="166">
        <f t="shared" si="6"/>
        <v>1655</v>
      </c>
      <c r="J56" s="167">
        <f t="shared" si="7"/>
        <v>1.0984306711046363E-3</v>
      </c>
      <c r="K56" s="458"/>
      <c r="L56" s="176">
        <v>152</v>
      </c>
      <c r="M56" s="176">
        <v>154</v>
      </c>
      <c r="O56" s="324">
        <f t="shared" si="8"/>
        <v>0.37511332728921126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'[86]Sch C'!D37</f>
        <v>0</v>
      </c>
      <c r="D57" s="480">
        <f>'[86]Sch C'!F37</f>
        <v>191</v>
      </c>
      <c r="E57" s="480">
        <f>+'[86]Sch C'!H37</f>
        <v>0</v>
      </c>
      <c r="F57" s="166">
        <f t="shared" si="5"/>
        <v>191</v>
      </c>
      <c r="G57" s="626">
        <v>82</v>
      </c>
      <c r="H57" s="166"/>
      <c r="I57" s="166">
        <f t="shared" si="6"/>
        <v>273</v>
      </c>
      <c r="J57" s="167">
        <f t="shared" si="7"/>
        <v>1.8119128290729046E-4</v>
      </c>
      <c r="K57" s="458"/>
      <c r="L57" s="163"/>
      <c r="M57" s="163"/>
      <c r="O57" s="324">
        <f t="shared" si="8"/>
        <v>6.1876699909338168E-2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'[86]Sch C'!D38</f>
        <v>0</v>
      </c>
      <c r="D58" s="480">
        <f>'[86]Sch C'!F38</f>
        <v>0</v>
      </c>
      <c r="E58" s="480">
        <f>+'[86]Sch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'[86]Sch C'!D39</f>
        <v>797</v>
      </c>
      <c r="D59" s="480">
        <f>'[86]Sch C'!F39</f>
        <v>0</v>
      </c>
      <c r="E59" s="480">
        <f>+'[86]Sch C'!H39</f>
        <v>0</v>
      </c>
      <c r="F59" s="166">
        <f t="shared" si="5"/>
        <v>797</v>
      </c>
      <c r="G59" s="626"/>
      <c r="H59" s="166"/>
      <c r="I59" s="166">
        <f t="shared" si="6"/>
        <v>797</v>
      </c>
      <c r="J59" s="167">
        <f t="shared" si="7"/>
        <v>5.2897235339600913E-4</v>
      </c>
      <c r="K59" s="458"/>
      <c r="L59" s="163"/>
      <c r="M59" s="163"/>
      <c r="O59" s="324">
        <f t="shared" si="8"/>
        <v>0.18064369900271984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'[86]Sch C'!D40</f>
        <v>1972</v>
      </c>
      <c r="D60" s="480">
        <f>'[86]Sch C'!F40</f>
        <v>-767</v>
      </c>
      <c r="E60" s="480">
        <f>+'[86]Sch C'!H40</f>
        <v>0</v>
      </c>
      <c r="F60" s="166">
        <f t="shared" si="5"/>
        <v>1205</v>
      </c>
      <c r="G60" s="626"/>
      <c r="H60" s="166"/>
      <c r="I60" s="166">
        <f t="shared" si="6"/>
        <v>1205</v>
      </c>
      <c r="J60" s="167">
        <f t="shared" si="7"/>
        <v>7.9976372125745425E-4</v>
      </c>
      <c r="K60" s="458"/>
      <c r="L60" s="163"/>
      <c r="M60" s="163"/>
      <c r="O60" s="324">
        <f t="shared" si="8"/>
        <v>0.27311876699909338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'[86]Sch C'!D41</f>
        <v>0</v>
      </c>
      <c r="D61" s="480">
        <f>'[86]Sch C'!F41</f>
        <v>0</v>
      </c>
      <c r="E61" s="480">
        <f>+'[86]Sch C'!H41</f>
        <v>0</v>
      </c>
      <c r="F61" s="166">
        <f t="shared" si="5"/>
        <v>0</v>
      </c>
      <c r="G61" s="626"/>
      <c r="H61" s="166"/>
      <c r="I61" s="166">
        <f t="shared" si="6"/>
        <v>0</v>
      </c>
      <c r="J61" s="167">
        <f t="shared" si="7"/>
        <v>0</v>
      </c>
      <c r="K61" s="458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'[86]Sch C'!D42</f>
        <v>335</v>
      </c>
      <c r="D62" s="480">
        <f>'[86]Sch C'!F42</f>
        <v>0</v>
      </c>
      <c r="E62" s="480">
        <f>+'[86]Sch C'!H42</f>
        <v>0</v>
      </c>
      <c r="F62" s="166">
        <f t="shared" si="5"/>
        <v>335</v>
      </c>
      <c r="G62" s="626"/>
      <c r="H62" s="166"/>
      <c r="I62" s="166">
        <f t="shared" si="6"/>
        <v>335</v>
      </c>
      <c r="J62" s="167">
        <f t="shared" si="7"/>
        <v>2.2234095155290222E-4</v>
      </c>
      <c r="K62" s="458"/>
      <c r="L62" s="163"/>
      <c r="M62" s="163"/>
      <c r="O62" s="324">
        <f t="shared" si="8"/>
        <v>7.5929283771532186E-2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'[86]Sch C'!D43</f>
        <v>3203</v>
      </c>
      <c r="D63" s="480">
        <f>'[86]Sch C'!F43</f>
        <v>-3203</v>
      </c>
      <c r="E63" s="480">
        <f>+'[86]Sch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 t="s">
        <v>493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'[86]Sch C'!D44</f>
        <v>0</v>
      </c>
      <c r="D64" s="480">
        <f>'[86]Sch C'!F44</f>
        <v>0</v>
      </c>
      <c r="E64" s="480">
        <f>+'[86]Sch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'[86]Sch C'!D45</f>
        <v>1175</v>
      </c>
      <c r="D65" s="480">
        <f>'[86]Sch C'!F45</f>
        <v>-150</v>
      </c>
      <c r="E65" s="480">
        <f>+'[86]Sch C'!H45</f>
        <v>0</v>
      </c>
      <c r="F65" s="166">
        <f t="shared" si="5"/>
        <v>1025</v>
      </c>
      <c r="G65" s="626"/>
      <c r="H65" s="166"/>
      <c r="I65" s="166">
        <f t="shared" si="6"/>
        <v>1025</v>
      </c>
      <c r="J65" s="167">
        <f t="shared" si="7"/>
        <v>6.802969413185814E-4</v>
      </c>
      <c r="K65" s="458"/>
      <c r="L65" s="163"/>
      <c r="M65" s="163"/>
      <c r="O65" s="324">
        <f t="shared" si="8"/>
        <v>0.23232094288304625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328181</v>
      </c>
      <c r="D66" s="480">
        <f t="shared" si="9"/>
        <v>-107344</v>
      </c>
      <c r="E66" s="480">
        <f t="shared" si="9"/>
        <v>-6320</v>
      </c>
      <c r="F66" s="166">
        <f t="shared" ref="F66:I66" si="10">SUM(F30:F65)</f>
        <v>214517</v>
      </c>
      <c r="G66" s="166">
        <f t="shared" si="10"/>
        <v>3137</v>
      </c>
      <c r="H66" s="166">
        <f t="shared" si="10"/>
        <v>0</v>
      </c>
      <c r="I66" s="166">
        <f t="shared" si="10"/>
        <v>217654</v>
      </c>
      <c r="J66" s="178">
        <f t="shared" si="7"/>
        <v>0.14445790289341903</v>
      </c>
      <c r="K66" s="465"/>
      <c r="L66" s="163"/>
      <c r="M66" s="163"/>
      <c r="O66" s="329">
        <f>I66/I$233</f>
        <v>49.332275611967361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'[86]Sch C'!D57</f>
        <v>0</v>
      </c>
      <c r="D69" s="480">
        <f>'[86]Sch C'!F57</f>
        <v>0</v>
      </c>
      <c r="E69" s="480">
        <f>+'[86]Sch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'[86]Sch C'!D58</f>
        <v>87251</v>
      </c>
      <c r="D70" s="480">
        <f>'[86]Sch C'!F58</f>
        <v>0</v>
      </c>
      <c r="E70" s="480">
        <f>+'[86]Sch C'!H58</f>
        <v>0</v>
      </c>
      <c r="F70" s="166">
        <f t="shared" ref="F70:F83" si="13">C70+D70+E70</f>
        <v>87251</v>
      </c>
      <c r="G70" s="626"/>
      <c r="H70" s="166"/>
      <c r="I70" s="166">
        <f t="shared" ref="I70:I83" si="14">F70+G70+H70</f>
        <v>87251</v>
      </c>
      <c r="J70" s="167">
        <f t="shared" si="11"/>
        <v>5.790886675803663E-2</v>
      </c>
      <c r="K70" s="458"/>
      <c r="L70" s="182"/>
      <c r="M70" s="163"/>
      <c r="O70" s="324">
        <f t="shared" si="12"/>
        <v>19.775838621940164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'[86]Sch C'!D59</f>
        <v>63109</v>
      </c>
      <c r="D71" s="480">
        <f>'[86]Sch C'!F59</f>
        <v>0</v>
      </c>
      <c r="E71" s="480">
        <f>+'[86]Sch C'!H59</f>
        <v>0</v>
      </c>
      <c r="F71" s="166">
        <f t="shared" si="13"/>
        <v>63109</v>
      </c>
      <c r="G71" s="626"/>
      <c r="H71" s="166"/>
      <c r="I71" s="166">
        <f t="shared" si="14"/>
        <v>63109</v>
      </c>
      <c r="J71" s="167">
        <f t="shared" si="11"/>
        <v>4.1885716750901809E-2</v>
      </c>
      <c r="K71" s="458"/>
      <c r="L71" s="182"/>
      <c r="M71" s="163"/>
      <c r="O71" s="324">
        <f t="shared" si="12"/>
        <v>14.303943789664551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'[86]Sch C'!D60</f>
        <v>21814</v>
      </c>
      <c r="D72" s="480">
        <f>'[86]Sch C'!F60</f>
        <v>0</v>
      </c>
      <c r="E72" s="480">
        <f>+'[86]Sch C'!H60</f>
        <v>0</v>
      </c>
      <c r="F72" s="166">
        <f t="shared" si="13"/>
        <v>21814</v>
      </c>
      <c r="G72" s="626"/>
      <c r="H72" s="166"/>
      <c r="I72" s="166">
        <f t="shared" si="14"/>
        <v>21814</v>
      </c>
      <c r="J72" s="167">
        <f t="shared" si="11"/>
        <v>1.44780463199254E-2</v>
      </c>
      <c r="K72" s="458"/>
      <c r="L72" s="185"/>
      <c r="M72" s="163"/>
      <c r="O72" s="324">
        <f t="shared" si="12"/>
        <v>4.9442429737080689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'[86]Sch C'!D61</f>
        <v>5455</v>
      </c>
      <c r="D73" s="480">
        <f>'[86]Sch C'!F61</f>
        <v>0</v>
      </c>
      <c r="E73" s="480">
        <f>+'[86]Sch C'!H61</f>
        <v>0</v>
      </c>
      <c r="F73" s="166">
        <f t="shared" si="13"/>
        <v>5455</v>
      </c>
      <c r="G73" s="626"/>
      <c r="H73" s="166"/>
      <c r="I73" s="166">
        <f t="shared" si="14"/>
        <v>5455</v>
      </c>
      <c r="J73" s="167">
        <f t="shared" si="11"/>
        <v>3.6205071364808403E-3</v>
      </c>
      <c r="K73" s="458"/>
      <c r="L73" s="185"/>
      <c r="M73" s="163"/>
      <c r="O73" s="324">
        <f t="shared" si="12"/>
        <v>1.2364007252946509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'[86]Sch C'!D62</f>
        <v>0</v>
      </c>
      <c r="D74" s="480">
        <f>'[86]Sch C'!F62</f>
        <v>0</v>
      </c>
      <c r="E74" s="480">
        <f>+'[86]Sch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'[86]Sch C'!D63</f>
        <v>0</v>
      </c>
      <c r="D75" s="480">
        <f>'[86]Sch C'!F63</f>
        <v>0</v>
      </c>
      <c r="E75" s="480">
        <f>+'[86]Sch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'[86]Sch C'!D64</f>
        <v>0</v>
      </c>
      <c r="D76" s="480">
        <f>'[86]Sch C'!F64</f>
        <v>0</v>
      </c>
      <c r="E76" s="480">
        <f>+'[86]Sch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'[86]Sch C'!D65</f>
        <v>1102</v>
      </c>
      <c r="D77" s="480">
        <f>'[86]Sch C'!F65</f>
        <v>0</v>
      </c>
      <c r="E77" s="480">
        <f>+'[86]Sch C'!H65</f>
        <v>0</v>
      </c>
      <c r="F77" s="166">
        <f t="shared" si="13"/>
        <v>1102</v>
      </c>
      <c r="G77" s="626"/>
      <c r="H77" s="166"/>
      <c r="I77" s="166">
        <f t="shared" si="14"/>
        <v>1102</v>
      </c>
      <c r="J77" s="167">
        <f t="shared" si="11"/>
        <v>7.3140217495909921E-4</v>
      </c>
      <c r="K77" s="458"/>
      <c r="L77" s="187"/>
      <c r="M77" s="163"/>
      <c r="O77" s="324">
        <f t="shared" si="12"/>
        <v>0.2497733454215775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'[86]Sch C'!D66</f>
        <v>13086</v>
      </c>
      <c r="D78" s="480">
        <f>'[86]Sch C'!F66</f>
        <v>0</v>
      </c>
      <c r="E78" s="480">
        <f>+'[86]Sch C'!H66</f>
        <v>0</v>
      </c>
      <c r="F78" s="166">
        <f t="shared" si="13"/>
        <v>13086</v>
      </c>
      <c r="G78" s="626"/>
      <c r="H78" s="166"/>
      <c r="I78" s="166">
        <f t="shared" si="14"/>
        <v>13086</v>
      </c>
      <c r="J78" s="167">
        <f t="shared" si="11"/>
        <v>8.6852349015560555E-3</v>
      </c>
      <c r="K78" s="458"/>
      <c r="L78" s="187"/>
      <c r="M78" s="163"/>
      <c r="O78" s="324">
        <f t="shared" si="12"/>
        <v>2.9660018132366273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'[86]Sch C'!D67</f>
        <v>0</v>
      </c>
      <c r="D79" s="480">
        <f>'[86]Sch C'!F67</f>
        <v>0</v>
      </c>
      <c r="E79" s="480">
        <f>+'[86]Sch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'[86]Sch C'!D68</f>
        <v>0</v>
      </c>
      <c r="D80" s="480">
        <f>'[86]Sch C'!F68</f>
        <v>0</v>
      </c>
      <c r="E80" s="480">
        <f>+'[86]Sch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'[86]Sch C'!D69</f>
        <v>1583</v>
      </c>
      <c r="D81" s="480">
        <f>'[86]Sch C'!F69</f>
        <v>0</v>
      </c>
      <c r="E81" s="480">
        <f>+'[86]Sch C'!H69</f>
        <v>0</v>
      </c>
      <c r="F81" s="166">
        <f t="shared" si="13"/>
        <v>1583</v>
      </c>
      <c r="G81" s="626"/>
      <c r="H81" s="166"/>
      <c r="I81" s="166">
        <f t="shared" si="14"/>
        <v>1583</v>
      </c>
      <c r="J81" s="167">
        <f t="shared" si="11"/>
        <v>1.0506439591290871E-3</v>
      </c>
      <c r="K81" s="458"/>
      <c r="L81" s="187"/>
      <c r="M81" s="163"/>
      <c r="O81" s="324">
        <f t="shared" si="12"/>
        <v>0.35879419764279241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'[86]Sch C'!D70</f>
        <v>0</v>
      </c>
      <c r="D82" s="480">
        <f>'[86]Sch C'!F70</f>
        <v>0</v>
      </c>
      <c r="E82" s="480">
        <f>+'[86]Sch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'[86]Sch C'!D71</f>
        <v>0</v>
      </c>
      <c r="D83" s="480">
        <f>'[86]Sch C'!F71</f>
        <v>0</v>
      </c>
      <c r="E83" s="480">
        <f>+'[86]Sch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193400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193400</v>
      </c>
      <c r="G84" s="166">
        <f t="shared" si="16"/>
        <v>0</v>
      </c>
      <c r="H84" s="166">
        <f t="shared" si="16"/>
        <v>0</v>
      </c>
      <c r="I84" s="166">
        <f t="shared" si="16"/>
        <v>193400</v>
      </c>
      <c r="J84" s="167">
        <f t="shared" si="11"/>
        <v>0.12836041800098891</v>
      </c>
      <c r="K84" s="458"/>
      <c r="L84" s="187"/>
      <c r="M84" s="163"/>
      <c r="O84" s="324">
        <f t="shared" si="12"/>
        <v>43.834995466908431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'[86]Sch C'!D75</f>
        <v>17634</v>
      </c>
      <c r="D87" s="480">
        <f>'[86]Sch C'!F75</f>
        <v>0</v>
      </c>
      <c r="E87" s="480">
        <f>+'[86]Sch C'!H75</f>
        <v>0</v>
      </c>
      <c r="F87" s="166">
        <f t="shared" ref="F87:F97" si="17">C87+D87+E87</f>
        <v>17634</v>
      </c>
      <c r="G87" s="626"/>
      <c r="H87" s="166"/>
      <c r="I87" s="166">
        <f t="shared" ref="I87:I97" si="18">F87+G87+H87</f>
        <v>17634</v>
      </c>
      <c r="J87" s="167">
        <f t="shared" ref="J87:J98" si="19">IF($I$213=0,0,I87/$I$213)</f>
        <v>1.1703762208011574E-2</v>
      </c>
      <c r="K87" s="458"/>
      <c r="L87" s="176">
        <v>1012.12</v>
      </c>
      <c r="M87" s="176">
        <v>1105</v>
      </c>
      <c r="O87" s="324">
        <f t="shared" ref="O87:O97" si="20">I87/I$233</f>
        <v>3.9968268359020853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'[86]Sch C'!D76</f>
        <v>0</v>
      </c>
      <c r="D88" s="480">
        <f>'[86]Sch C'!F76</f>
        <v>2034</v>
      </c>
      <c r="E88" s="480">
        <f>+'[86]Sch C'!H76</f>
        <v>0</v>
      </c>
      <c r="F88" s="166">
        <f t="shared" si="17"/>
        <v>2034</v>
      </c>
      <c r="G88" s="626">
        <v>877</v>
      </c>
      <c r="H88" s="166"/>
      <c r="I88" s="166">
        <f t="shared" si="18"/>
        <v>2911</v>
      </c>
      <c r="J88" s="167">
        <f t="shared" si="19"/>
        <v>1.9320433133447712E-3</v>
      </c>
      <c r="K88" s="458"/>
      <c r="L88" s="163"/>
      <c r="M88" s="163"/>
      <c r="O88" s="324">
        <f t="shared" si="20"/>
        <v>0.6597914777878513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'[86]Sch C'!D77</f>
        <v>1517</v>
      </c>
      <c r="D89" s="480">
        <f>'[86]Sch C'!F77</f>
        <v>0</v>
      </c>
      <c r="E89" s="480">
        <f>+'[86]Sch C'!H77</f>
        <v>0</v>
      </c>
      <c r="F89" s="166">
        <f t="shared" si="17"/>
        <v>1517</v>
      </c>
      <c r="G89" s="626"/>
      <c r="H89" s="166"/>
      <c r="I89" s="166">
        <f t="shared" si="18"/>
        <v>1517</v>
      </c>
      <c r="J89" s="167">
        <f t="shared" si="19"/>
        <v>1.0068394731515004E-3</v>
      </c>
      <c r="K89" s="458"/>
      <c r="L89" s="163"/>
      <c r="M89" s="163"/>
      <c r="O89" s="324">
        <f t="shared" si="20"/>
        <v>0.34383499546690843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'[86]Sch C'!D78</f>
        <v>200</v>
      </c>
      <c r="D90" s="480">
        <f>'[86]Sch C'!F78</f>
        <v>0</v>
      </c>
      <c r="E90" s="480">
        <f>+'[86]Sch C'!H78</f>
        <v>0</v>
      </c>
      <c r="F90" s="166">
        <f t="shared" si="17"/>
        <v>200</v>
      </c>
      <c r="G90" s="626"/>
      <c r="H90" s="166"/>
      <c r="I90" s="166">
        <f t="shared" si="18"/>
        <v>200</v>
      </c>
      <c r="J90" s="167">
        <f t="shared" si="19"/>
        <v>1.327408665987476E-4</v>
      </c>
      <c r="K90" s="458"/>
      <c r="L90" s="163"/>
      <c r="M90" s="163"/>
      <c r="O90" s="324">
        <f t="shared" si="20"/>
        <v>4.5330915684496827E-2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'[86]Sch C'!D79</f>
        <v>15852</v>
      </c>
      <c r="D91" s="480">
        <f>'[86]Sch C'!F79</f>
        <v>0</v>
      </c>
      <c r="E91" s="480">
        <f>+'[86]Sch C'!H79</f>
        <v>0</v>
      </c>
      <c r="F91" s="166">
        <f t="shared" si="17"/>
        <v>15852</v>
      </c>
      <c r="G91" s="626"/>
      <c r="H91" s="166"/>
      <c r="I91" s="166">
        <f t="shared" si="18"/>
        <v>15852</v>
      </c>
      <c r="J91" s="167">
        <f t="shared" si="19"/>
        <v>1.0521041086616735E-2</v>
      </c>
      <c r="K91" s="458"/>
      <c r="L91" s="163"/>
      <c r="M91" s="163"/>
      <c r="O91" s="324">
        <f t="shared" si="20"/>
        <v>3.5929283771532186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'[86]Sch C'!D80</f>
        <v>8934</v>
      </c>
      <c r="D92" s="480">
        <f>'[86]Sch C'!F80</f>
        <v>0</v>
      </c>
      <c r="E92" s="480">
        <f>+'[86]Sch C'!H80</f>
        <v>0</v>
      </c>
      <c r="F92" s="166">
        <f t="shared" si="17"/>
        <v>8934</v>
      </c>
      <c r="G92" s="626"/>
      <c r="H92" s="166"/>
      <c r="I92" s="166">
        <f t="shared" si="18"/>
        <v>8934</v>
      </c>
      <c r="J92" s="167">
        <f t="shared" si="19"/>
        <v>5.9295345109660553E-3</v>
      </c>
      <c r="K92" s="458"/>
      <c r="L92" s="163"/>
      <c r="M92" s="163"/>
      <c r="O92" s="324">
        <f t="shared" si="20"/>
        <v>2.0249320036264731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'[86]Sch C'!D81</f>
        <v>613</v>
      </c>
      <c r="D93" s="480">
        <f>'[86]Sch C'!F81</f>
        <v>0</v>
      </c>
      <c r="E93" s="480">
        <f>+'[86]Sch C'!H81</f>
        <v>0</v>
      </c>
      <c r="F93" s="166">
        <f t="shared" si="17"/>
        <v>613</v>
      </c>
      <c r="G93" s="626"/>
      <c r="H93" s="166"/>
      <c r="I93" s="166">
        <f t="shared" si="18"/>
        <v>613</v>
      </c>
      <c r="J93" s="167">
        <f t="shared" si="19"/>
        <v>4.0685075612516134E-4</v>
      </c>
      <c r="K93" s="458"/>
      <c r="L93" s="163"/>
      <c r="M93" s="163"/>
      <c r="O93" s="324">
        <f t="shared" si="20"/>
        <v>0.13893925657298278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'[86]Sch C'!D82</f>
        <v>0</v>
      </c>
      <c r="D94" s="480">
        <f>'[86]Sch C'!F82</f>
        <v>0</v>
      </c>
      <c r="E94" s="480">
        <f>+'[86]Sch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'[86]Sch C'!D83</f>
        <v>3222</v>
      </c>
      <c r="D95" s="480">
        <f>'[86]Sch C'!F83</f>
        <v>0</v>
      </c>
      <c r="E95" s="480">
        <f>+'[86]Sch C'!H83</f>
        <v>0</v>
      </c>
      <c r="F95" s="166">
        <f t="shared" si="17"/>
        <v>3222</v>
      </c>
      <c r="G95" s="626"/>
      <c r="H95" s="166"/>
      <c r="I95" s="166">
        <f t="shared" si="18"/>
        <v>3222</v>
      </c>
      <c r="J95" s="167">
        <f t="shared" si="19"/>
        <v>2.1384553609058235E-3</v>
      </c>
      <c r="K95" s="458"/>
      <c r="L95" s="163"/>
      <c r="M95" s="163"/>
      <c r="O95" s="324">
        <f t="shared" si="20"/>
        <v>0.73028105167724389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'[86]Sch C'!D84</f>
        <v>20876</v>
      </c>
      <c r="D96" s="480">
        <f>'[86]Sch C'!F84</f>
        <v>0</v>
      </c>
      <c r="E96" s="480">
        <f>+'[86]Sch C'!H84</f>
        <v>0</v>
      </c>
      <c r="F96" s="166">
        <f t="shared" si="17"/>
        <v>20876</v>
      </c>
      <c r="G96" s="626"/>
      <c r="H96" s="166"/>
      <c r="I96" s="166">
        <f t="shared" si="18"/>
        <v>20876</v>
      </c>
      <c r="J96" s="167">
        <f t="shared" si="19"/>
        <v>1.3855491655577274E-2</v>
      </c>
      <c r="K96" s="458"/>
      <c r="L96" s="163"/>
      <c r="M96" s="163"/>
      <c r="O96" s="324">
        <f t="shared" si="20"/>
        <v>4.7316409791477785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'[86]Sch C'!D85</f>
        <v>0</v>
      </c>
      <c r="D97" s="480">
        <f>'[86]Sch C'!F85</f>
        <v>0</v>
      </c>
      <c r="E97" s="480">
        <f>+'[86]Sch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68848</v>
      </c>
      <c r="D98" s="480">
        <f t="shared" si="21"/>
        <v>2034</v>
      </c>
      <c r="E98" s="480">
        <f t="shared" si="21"/>
        <v>0</v>
      </c>
      <c r="F98" s="166">
        <f t="shared" ref="F98:I98" si="22">SUM(F87:F97)</f>
        <v>70882</v>
      </c>
      <c r="G98" s="166">
        <f t="shared" si="22"/>
        <v>877</v>
      </c>
      <c r="H98" s="166">
        <f t="shared" si="22"/>
        <v>0</v>
      </c>
      <c r="I98" s="166">
        <f t="shared" si="22"/>
        <v>71759</v>
      </c>
      <c r="J98" s="167">
        <f t="shared" si="19"/>
        <v>4.7626759231297638E-2</v>
      </c>
      <c r="K98" s="458"/>
      <c r="L98" s="163"/>
      <c r="M98" s="163"/>
      <c r="O98" s="329">
        <f>I98/I$233</f>
        <v>16.264505893019038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'[86]Sch C'!D89</f>
        <v>62593</v>
      </c>
      <c r="D101" s="480">
        <f>'[86]Sch C'!F89</f>
        <v>0</v>
      </c>
      <c r="E101" s="480">
        <f>+'[86]Sch C'!H89</f>
        <v>0</v>
      </c>
      <c r="F101" s="166">
        <f t="shared" ref="F101:F106" si="23">C101+D101+E101</f>
        <v>62593</v>
      </c>
      <c r="G101" s="626"/>
      <c r="H101" s="166"/>
      <c r="I101" s="166">
        <f t="shared" ref="I101:I106" si="24">F101+G101+H101</f>
        <v>62593</v>
      </c>
      <c r="J101" s="167">
        <f t="shared" ref="J101:J107" si="25">IF($I$213=0,0,I101/$I$213)</f>
        <v>4.154324531507704E-2</v>
      </c>
      <c r="K101" s="458"/>
      <c r="L101" s="176">
        <v>5266.8499999999995</v>
      </c>
      <c r="M101" s="176">
        <v>5640</v>
      </c>
      <c r="O101" s="329">
        <f t="shared" ref="O101:O106" si="26">I101/I$233</f>
        <v>14.186990027198549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'[86]Sch C'!D90</f>
        <v>0</v>
      </c>
      <c r="D102" s="480">
        <f>'[86]Sch C'!F90</f>
        <v>7220</v>
      </c>
      <c r="E102" s="480">
        <f>+'[86]Sch C'!H90</f>
        <v>0</v>
      </c>
      <c r="F102" s="166">
        <f t="shared" si="23"/>
        <v>7220</v>
      </c>
      <c r="G102" s="626">
        <v>3114</v>
      </c>
      <c r="H102" s="166"/>
      <c r="I102" s="166">
        <f t="shared" si="24"/>
        <v>10334</v>
      </c>
      <c r="J102" s="167">
        <f t="shared" si="25"/>
        <v>6.8587205771572877E-3</v>
      </c>
      <c r="K102" s="458"/>
      <c r="L102" s="163"/>
      <c r="M102" s="163"/>
      <c r="O102" s="329">
        <f t="shared" si="26"/>
        <v>2.3422484134179511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'[86]Sch C'!D91</f>
        <v>4761</v>
      </c>
      <c r="D103" s="480">
        <f>'[86]Sch C'!F91</f>
        <v>0</v>
      </c>
      <c r="E103" s="480">
        <f>+'[86]Sch C'!H91</f>
        <v>0</v>
      </c>
      <c r="F103" s="166">
        <f t="shared" si="23"/>
        <v>4761</v>
      </c>
      <c r="G103" s="626"/>
      <c r="H103" s="166"/>
      <c r="I103" s="166">
        <f t="shared" si="24"/>
        <v>4761</v>
      </c>
      <c r="J103" s="167">
        <f t="shared" si="25"/>
        <v>3.1598963293831862E-3</v>
      </c>
      <c r="K103" s="458"/>
      <c r="L103" s="163"/>
      <c r="M103" s="163"/>
      <c r="O103" s="329">
        <f t="shared" si="26"/>
        <v>1.0791024478694469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'[86]Sch C'!D92</f>
        <v>35621</v>
      </c>
      <c r="D104" s="480">
        <f>'[86]Sch C'!F92</f>
        <v>-3064</v>
      </c>
      <c r="E104" s="480">
        <f>+'[86]Sch C'!H92</f>
        <v>0</v>
      </c>
      <c r="F104" s="166">
        <f t="shared" si="23"/>
        <v>32557</v>
      </c>
      <c r="G104" s="626"/>
      <c r="H104" s="166"/>
      <c r="I104" s="166">
        <f t="shared" si="24"/>
        <v>32557</v>
      </c>
      <c r="J104" s="167">
        <f t="shared" si="25"/>
        <v>2.1608221969277128E-2</v>
      </c>
      <c r="K104" s="458"/>
      <c r="L104" s="163"/>
      <c r="M104" s="163"/>
      <c r="O104" s="329">
        <f t="shared" si="26"/>
        <v>7.3791931097008163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'[86]Sch C'!D93</f>
        <v>6819</v>
      </c>
      <c r="D105" s="480">
        <f>'[86]Sch C'!F93</f>
        <v>0</v>
      </c>
      <c r="E105" s="480">
        <f>+'[86]Sch C'!H93</f>
        <v>0</v>
      </c>
      <c r="F105" s="166">
        <f t="shared" si="23"/>
        <v>6819</v>
      </c>
      <c r="G105" s="626"/>
      <c r="H105" s="166"/>
      <c r="I105" s="166">
        <f t="shared" si="24"/>
        <v>6819</v>
      </c>
      <c r="J105" s="167">
        <f t="shared" si="25"/>
        <v>4.5257998466842987E-3</v>
      </c>
      <c r="K105" s="458"/>
      <c r="L105" s="163"/>
      <c r="M105" s="163"/>
      <c r="O105" s="329">
        <f t="shared" si="26"/>
        <v>1.5455575702629194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'[86]Sch C'!D94</f>
        <v>0</v>
      </c>
      <c r="D106" s="480">
        <f>'[86]Sch C'!F94</f>
        <v>0</v>
      </c>
      <c r="E106" s="480">
        <f>+'[86]Sch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109794</v>
      </c>
      <c r="D107" s="480">
        <f t="shared" si="27"/>
        <v>4156</v>
      </c>
      <c r="E107" s="480">
        <f t="shared" si="27"/>
        <v>0</v>
      </c>
      <c r="F107" s="166">
        <f t="shared" ref="F107:I107" si="28">SUM(F101:F106)</f>
        <v>113950</v>
      </c>
      <c r="G107" s="166">
        <f t="shared" si="28"/>
        <v>3114</v>
      </c>
      <c r="H107" s="166">
        <f t="shared" si="28"/>
        <v>0</v>
      </c>
      <c r="I107" s="166">
        <f t="shared" si="28"/>
        <v>117064</v>
      </c>
      <c r="J107" s="167">
        <f t="shared" si="25"/>
        <v>7.7695884037578933E-2</v>
      </c>
      <c r="K107" s="458"/>
      <c r="L107" s="163"/>
      <c r="M107" s="163"/>
      <c r="O107" s="329">
        <f>I107/I$233</f>
        <v>26.533091568449684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'[86]Sch C'!D98</f>
        <v>0</v>
      </c>
      <c r="D110" s="480">
        <f>'[86]Sch C'!F98</f>
        <v>0</v>
      </c>
      <c r="E110" s="480">
        <f>+'[86]Sch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'[86]Sch C'!D99</f>
        <v>0</v>
      </c>
      <c r="D111" s="480">
        <f>'[86]Sch C'!F99</f>
        <v>0</v>
      </c>
      <c r="E111" s="480">
        <f>+'[86]Sch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'[86]Sch C'!D100</f>
        <v>875</v>
      </c>
      <c r="D112" s="480">
        <f>'[86]Sch C'!F100</f>
        <v>0</v>
      </c>
      <c r="E112" s="480">
        <f>+'[86]Sch C'!H100</f>
        <v>0</v>
      </c>
      <c r="F112" s="166">
        <f t="shared" si="29"/>
        <v>875</v>
      </c>
      <c r="G112" s="626"/>
      <c r="H112" s="166"/>
      <c r="I112" s="166">
        <f t="shared" si="30"/>
        <v>875</v>
      </c>
      <c r="J112" s="167">
        <f t="shared" si="31"/>
        <v>5.807412913695207E-4</v>
      </c>
      <c r="K112" s="458"/>
      <c r="L112" s="163"/>
      <c r="M112" s="163"/>
      <c r="O112" s="329">
        <f t="shared" si="32"/>
        <v>0.19832275611967362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'[86]Sch C'!D101</f>
        <v>0</v>
      </c>
      <c r="D113" s="480">
        <f>'[86]Sch C'!F101</f>
        <v>0</v>
      </c>
      <c r="E113" s="480">
        <f>+'[86]Sch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'[86]Sch C'!D102</f>
        <v>92</v>
      </c>
      <c r="D114" s="480">
        <f>'[86]Sch C'!F102</f>
        <v>0</v>
      </c>
      <c r="E114" s="480">
        <f>+'[86]Sch C'!H102</f>
        <v>0</v>
      </c>
      <c r="F114" s="166">
        <f t="shared" si="29"/>
        <v>92</v>
      </c>
      <c r="G114" s="626"/>
      <c r="H114" s="166"/>
      <c r="I114" s="166">
        <f t="shared" si="30"/>
        <v>92</v>
      </c>
      <c r="J114" s="167">
        <f t="shared" si="31"/>
        <v>6.1060798635423894E-5</v>
      </c>
      <c r="K114" s="458"/>
      <c r="L114" s="163"/>
      <c r="M114" s="163"/>
      <c r="O114" s="329">
        <f t="shared" si="32"/>
        <v>2.085222121486854E-2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'[86]Sch C'!D103</f>
        <v>0</v>
      </c>
      <c r="D115" s="480">
        <f>'[86]Sch C'!F103</f>
        <v>0</v>
      </c>
      <c r="E115" s="480">
        <f>+'[86]Sch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967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967</v>
      </c>
      <c r="G116" s="166">
        <f t="shared" si="34"/>
        <v>0</v>
      </c>
      <c r="H116" s="166">
        <f t="shared" si="34"/>
        <v>0</v>
      </c>
      <c r="I116" s="166">
        <f t="shared" si="34"/>
        <v>967</v>
      </c>
      <c r="J116" s="167">
        <f t="shared" si="31"/>
        <v>6.418020900049446E-4</v>
      </c>
      <c r="K116" s="458"/>
      <c r="L116" s="163"/>
      <c r="M116" s="163"/>
      <c r="O116" s="329">
        <f>I116/I$233</f>
        <v>0.21917497733454216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'[86]Sch C'!D115</f>
        <v>31168</v>
      </c>
      <c r="D119" s="480">
        <f>'[86]Sch C'!F115</f>
        <v>0</v>
      </c>
      <c r="E119" s="480">
        <f>+'[86]Sch C'!H115</f>
        <v>0</v>
      </c>
      <c r="F119" s="166">
        <f t="shared" ref="F119:F123" si="35">C119+D119+E119</f>
        <v>31168</v>
      </c>
      <c r="G119" s="626"/>
      <c r="H119" s="166"/>
      <c r="I119" s="166">
        <f t="shared" ref="I119:I123" si="36">F119+G119+H119</f>
        <v>31168</v>
      </c>
      <c r="J119" s="167">
        <f t="shared" ref="J119:J124" si="37">IF($I$213=0,0,I119/$I$213)</f>
        <v>2.0686336650748826E-2</v>
      </c>
      <c r="K119" s="458"/>
      <c r="L119" s="176">
        <v>2929.35</v>
      </c>
      <c r="M119" s="176">
        <v>3215</v>
      </c>
      <c r="O119" s="329">
        <f t="shared" ref="O119:O124" si="38">I119/I$233</f>
        <v>7.0643699002719851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'[86]Sch C'!D116</f>
        <v>0</v>
      </c>
      <c r="D120" s="480">
        <f>'[86]Sch C'!F116</f>
        <v>3595</v>
      </c>
      <c r="E120" s="480">
        <f>+'[86]Sch C'!H116</f>
        <v>0</v>
      </c>
      <c r="F120" s="166">
        <f t="shared" si="35"/>
        <v>3595</v>
      </c>
      <c r="G120" s="626">
        <v>1550</v>
      </c>
      <c r="H120" s="166"/>
      <c r="I120" s="166">
        <f t="shared" si="36"/>
        <v>5145</v>
      </c>
      <c r="J120" s="167">
        <f t="shared" si="37"/>
        <v>3.4147587932527815E-3</v>
      </c>
      <c r="K120" s="458"/>
      <c r="L120" s="163"/>
      <c r="M120" s="163"/>
      <c r="O120" s="329">
        <f t="shared" si="38"/>
        <v>1.1661378059836809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'[86]Sch C'!D117</f>
        <v>5246</v>
      </c>
      <c r="D121" s="480">
        <f>'[86]Sch C'!F117</f>
        <v>0</v>
      </c>
      <c r="E121" s="480">
        <f>+'[86]Sch C'!H117</f>
        <v>0</v>
      </c>
      <c r="F121" s="166">
        <f t="shared" si="35"/>
        <v>5246</v>
      </c>
      <c r="G121" s="626"/>
      <c r="H121" s="166"/>
      <c r="I121" s="166">
        <f t="shared" si="36"/>
        <v>5246</v>
      </c>
      <c r="J121" s="167">
        <f t="shared" si="37"/>
        <v>3.4817929308851494E-3</v>
      </c>
      <c r="K121" s="458"/>
      <c r="L121" s="163"/>
      <c r="M121" s="163"/>
      <c r="O121" s="329">
        <f t="shared" si="38"/>
        <v>1.1890299184043518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'[86]Sch C'!D118</f>
        <v>0</v>
      </c>
      <c r="D122" s="480">
        <f>'[86]Sch C'!F118</f>
        <v>0</v>
      </c>
      <c r="E122" s="480">
        <f>+'[86]Sch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'[86]Sch C'!D119</f>
        <v>239</v>
      </c>
      <c r="D123" s="480">
        <f>'[86]Sch C'!F119</f>
        <v>0</v>
      </c>
      <c r="E123" s="480">
        <f>+'[86]Sch C'!H119</f>
        <v>0</v>
      </c>
      <c r="F123" s="166">
        <f t="shared" si="35"/>
        <v>239</v>
      </c>
      <c r="G123" s="626"/>
      <c r="H123" s="166"/>
      <c r="I123" s="166">
        <f t="shared" si="36"/>
        <v>239</v>
      </c>
      <c r="J123" s="167">
        <f t="shared" si="37"/>
        <v>1.5862533558550336E-4</v>
      </c>
      <c r="K123" s="458"/>
      <c r="L123" s="163"/>
      <c r="M123" s="163"/>
      <c r="O123" s="329">
        <f t="shared" si="38"/>
        <v>5.4170444242973709E-2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36653</v>
      </c>
      <c r="D124" s="480">
        <f t="shared" si="39"/>
        <v>3595</v>
      </c>
      <c r="E124" s="480">
        <f t="shared" si="39"/>
        <v>0</v>
      </c>
      <c r="F124" s="166">
        <f t="shared" ref="F124:I124" si="40">SUM(F119:F123)</f>
        <v>40248</v>
      </c>
      <c r="G124" s="166">
        <f t="shared" si="40"/>
        <v>1550</v>
      </c>
      <c r="H124" s="166">
        <f t="shared" si="40"/>
        <v>0</v>
      </c>
      <c r="I124" s="166">
        <f t="shared" si="40"/>
        <v>41798</v>
      </c>
      <c r="J124" s="167">
        <f t="shared" si="37"/>
        <v>2.774151371047226E-2</v>
      </c>
      <c r="K124" s="458"/>
      <c r="L124" s="163"/>
      <c r="M124" s="163"/>
      <c r="O124" s="329">
        <f t="shared" si="38"/>
        <v>9.473708068902992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'[86]Sch C'!D124</f>
        <v>0</v>
      </c>
      <c r="D128" s="480">
        <f>'[86]Sch C'!F124</f>
        <v>0</v>
      </c>
      <c r="E128" s="480">
        <f>+'[86]Sch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'[86]Sch C'!D125</f>
        <v>40423</v>
      </c>
      <c r="D129" s="480">
        <f>'[86]Sch C'!F125</f>
        <v>0</v>
      </c>
      <c r="E129" s="480">
        <f>+'[86]Sch C'!H125</f>
        <v>0</v>
      </c>
      <c r="F129" s="166">
        <f t="shared" si="41"/>
        <v>40423</v>
      </c>
      <c r="G129" s="626"/>
      <c r="H129" s="166"/>
      <c r="I129" s="166">
        <f t="shared" si="42"/>
        <v>40423</v>
      </c>
      <c r="J129" s="167">
        <f>IF($I$213=0,0,I129/$I$213)</f>
        <v>2.6828920252605869E-2</v>
      </c>
      <c r="K129" s="458"/>
      <c r="L129" s="176">
        <v>964</v>
      </c>
      <c r="M129" s="176">
        <v>1040</v>
      </c>
      <c r="O129" s="329">
        <f t="shared" si="43"/>
        <v>9.1620580235720759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'[86]Sch C'!D126</f>
        <v>0</v>
      </c>
      <c r="D130" s="480">
        <f>'[86]Sch C'!F126</f>
        <v>0</v>
      </c>
      <c r="E130" s="480">
        <f>+'[86]Sch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'[86]Sch C'!D127</f>
        <v>0</v>
      </c>
      <c r="D131" s="480">
        <f>'[86]Sch C'!F127</f>
        <v>0</v>
      </c>
      <c r="E131" s="480">
        <f>+'[86]Sch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'[86]Sch C'!D128</f>
        <v>31320</v>
      </c>
      <c r="D132" s="480">
        <f>'[86]Sch C'!F128</f>
        <v>0</v>
      </c>
      <c r="E132" s="480">
        <f>+'[86]Sch C'!H128</f>
        <v>0</v>
      </c>
      <c r="F132" s="166">
        <f t="shared" si="41"/>
        <v>31320</v>
      </c>
      <c r="G132" s="626"/>
      <c r="H132" s="166"/>
      <c r="I132" s="166">
        <f t="shared" si="42"/>
        <v>31320</v>
      </c>
      <c r="J132" s="167">
        <f>IF($I$213=0,0,I132/$I$213)</f>
        <v>2.0787219709363872E-2</v>
      </c>
      <c r="K132" s="458"/>
      <c r="L132" s="176">
        <v>969.51</v>
      </c>
      <c r="M132" s="176">
        <v>1043</v>
      </c>
      <c r="O132" s="329">
        <f t="shared" si="43"/>
        <v>7.0988213961922026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'[86]Sch C'!D130</f>
        <v>0</v>
      </c>
      <c r="D134" s="480">
        <f>'[86]Sch C'!F130</f>
        <v>0</v>
      </c>
      <c r="E134" s="480">
        <f>+'[86]Sch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'[86]Sch C'!D131</f>
        <v>0</v>
      </c>
      <c r="D135" s="480">
        <f>'[86]Sch C'!F131</f>
        <v>4663</v>
      </c>
      <c r="E135" s="480">
        <f>+'[86]Sch C'!H131</f>
        <v>0</v>
      </c>
      <c r="F135" s="166">
        <f t="shared" si="44"/>
        <v>4663</v>
      </c>
      <c r="G135" s="626">
        <v>2011</v>
      </c>
      <c r="H135" s="166"/>
      <c r="I135" s="166">
        <f t="shared" si="45"/>
        <v>6674</v>
      </c>
      <c r="J135" s="167">
        <f>IF($I$213=0,0,I135/$I$213)</f>
        <v>4.4295627184002071E-3</v>
      </c>
      <c r="K135" s="458"/>
      <c r="L135" s="196"/>
      <c r="M135" s="196"/>
      <c r="O135" s="329">
        <f t="shared" si="43"/>
        <v>1.5126926563916592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'[86]Sch C'!D132</f>
        <v>0</v>
      </c>
      <c r="D136" s="480">
        <f>'[86]Sch C'!F132</f>
        <v>0</v>
      </c>
      <c r="E136" s="480">
        <f>+'[86]Sch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'[86]Sch C'!D133</f>
        <v>0</v>
      </c>
      <c r="D137" s="480">
        <f>'[86]Sch C'!F133</f>
        <v>0</v>
      </c>
      <c r="E137" s="480">
        <f>+'[86]Sch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'[86]Sch C'!D134</f>
        <v>0</v>
      </c>
      <c r="D138" s="480">
        <f>'[86]Sch C'!F134</f>
        <v>3613</v>
      </c>
      <c r="E138" s="480">
        <f>+'[86]Sch C'!H134</f>
        <v>0</v>
      </c>
      <c r="F138" s="166">
        <f t="shared" si="44"/>
        <v>3613</v>
      </c>
      <c r="G138" s="626">
        <v>1558</v>
      </c>
      <c r="H138" s="166"/>
      <c r="I138" s="166">
        <f t="shared" si="45"/>
        <v>5171</v>
      </c>
      <c r="J138" s="167">
        <f>IF($I$213=0,0,I138/$I$213)</f>
        <v>3.4320151059106189E-3</v>
      </c>
      <c r="K138" s="458"/>
      <c r="L138" s="163"/>
      <c r="M138" s="163"/>
      <c r="O138" s="329">
        <f t="shared" si="43"/>
        <v>1.1720308250226654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'[86]Sch C'!D136</f>
        <v>135805</v>
      </c>
      <c r="D140" s="480">
        <f>'[86]Sch C'!F136</f>
        <v>0</v>
      </c>
      <c r="E140" s="480">
        <f>+'[86]Sch C'!H136</f>
        <v>0</v>
      </c>
      <c r="F140" s="166">
        <f t="shared" ref="F140:F143" si="46">C140+D140+E140</f>
        <v>135805</v>
      </c>
      <c r="G140" s="626"/>
      <c r="H140" s="166"/>
      <c r="I140" s="166">
        <f t="shared" ref="I140:I143" si="47">F140+G140+H140</f>
        <v>135805</v>
      </c>
      <c r="J140" s="167">
        <f>IF($I$213=0,0,I140/$I$213)</f>
        <v>9.0134366942214578E-2</v>
      </c>
      <c r="K140" s="458"/>
      <c r="L140" s="176">
        <v>4892.88</v>
      </c>
      <c r="M140" s="176">
        <v>5173</v>
      </c>
      <c r="O140" s="329">
        <f t="shared" si="43"/>
        <v>30.780825022665457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'[86]Sch C'!D137</f>
        <v>51143</v>
      </c>
      <c r="D141" s="480">
        <f>'[86]Sch C'!F137</f>
        <v>0</v>
      </c>
      <c r="E141" s="480">
        <f>+'[86]Sch C'!H137</f>
        <v>0</v>
      </c>
      <c r="F141" s="166">
        <f t="shared" si="46"/>
        <v>51143</v>
      </c>
      <c r="G141" s="626"/>
      <c r="H141" s="166"/>
      <c r="I141" s="166">
        <f t="shared" si="47"/>
        <v>51143</v>
      </c>
      <c r="J141" s="167">
        <f>IF($I$213=0,0,I141/$I$213)</f>
        <v>3.3943830702298741E-2</v>
      </c>
      <c r="K141" s="458"/>
      <c r="L141" s="176">
        <v>2076.89</v>
      </c>
      <c r="M141" s="176">
        <v>2162</v>
      </c>
      <c r="O141" s="329">
        <f t="shared" si="43"/>
        <v>11.591795104261106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'[86]Sch C'!D138</f>
        <v>120861</v>
      </c>
      <c r="D142" s="480">
        <f>'[86]Sch C'!F138</f>
        <v>0</v>
      </c>
      <c r="E142" s="480">
        <f>+'[86]Sch C'!H138</f>
        <v>0</v>
      </c>
      <c r="F142" s="166">
        <f t="shared" si="46"/>
        <v>120861</v>
      </c>
      <c r="G142" s="626"/>
      <c r="H142" s="166"/>
      <c r="I142" s="166">
        <f t="shared" si="47"/>
        <v>120861</v>
      </c>
      <c r="J142" s="167">
        <f>IF($I$213=0,0,I142/$I$213)</f>
        <v>8.0215969389956163E-2</v>
      </c>
      <c r="K142" s="458"/>
      <c r="L142" s="176">
        <v>10927.19</v>
      </c>
      <c r="M142" s="176">
        <v>11410</v>
      </c>
      <c r="O142" s="329">
        <f t="shared" si="43"/>
        <v>27.393699002719856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'[86]Sch C'!D139</f>
        <v>0</v>
      </c>
      <c r="D143" s="480">
        <f>'[86]Sch C'!F139</f>
        <v>0</v>
      </c>
      <c r="E143" s="480">
        <f>+'[86]Sch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200"/>
      <c r="M144" s="200"/>
      <c r="O144" s="329"/>
      <c r="P144" s="324"/>
    </row>
    <row r="145" spans="1:16" s="162" customFormat="1">
      <c r="A145" s="164"/>
      <c r="B145" s="323" t="s">
        <v>681</v>
      </c>
      <c r="C145" s="480">
        <f>'[86]Sch C'!D141</f>
        <v>0</v>
      </c>
      <c r="D145" s="480">
        <f>'[86]Sch C'!F141</f>
        <v>15665</v>
      </c>
      <c r="E145" s="480">
        <f>+'[86]Sch C'!H141</f>
        <v>0</v>
      </c>
      <c r="F145" s="166">
        <f t="shared" ref="F145:F148" si="48">C145+D145+E145</f>
        <v>15665</v>
      </c>
      <c r="G145" s="626">
        <v>6755</v>
      </c>
      <c r="H145" s="166"/>
      <c r="I145" s="166">
        <f t="shared" ref="I145:I148" si="49">F145+G145+H145</f>
        <v>22420</v>
      </c>
      <c r="J145" s="167">
        <f>IF($I$213=0,0,I145/$I$213)</f>
        <v>1.4880251145719605E-2</v>
      </c>
      <c r="K145" s="458"/>
      <c r="L145" s="163"/>
      <c r="M145" s="163"/>
      <c r="O145" s="329">
        <f t="shared" si="43"/>
        <v>5.0815956482320939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'[86]Sch C'!D142</f>
        <v>0</v>
      </c>
      <c r="D146" s="480">
        <f>'[86]Sch C'!F142</f>
        <v>5899</v>
      </c>
      <c r="E146" s="480">
        <f>+'[86]Sch C'!H142</f>
        <v>0</v>
      </c>
      <c r="F146" s="166">
        <f t="shared" si="48"/>
        <v>5899</v>
      </c>
      <c r="G146" s="626">
        <v>2544</v>
      </c>
      <c r="H146" s="166"/>
      <c r="I146" s="166">
        <f t="shared" si="49"/>
        <v>8443</v>
      </c>
      <c r="J146" s="167">
        <f>IF($I$213=0,0,I146/$I$213)</f>
        <v>5.6036556834661291E-3</v>
      </c>
      <c r="K146" s="458"/>
      <c r="L146" s="163"/>
      <c r="M146" s="163"/>
      <c r="O146" s="329">
        <f t="shared" si="43"/>
        <v>1.9136446056210334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'[86]Sch C'!D143</f>
        <v>0</v>
      </c>
      <c r="D147" s="480">
        <f>'[86]Sch C'!F143</f>
        <v>13941</v>
      </c>
      <c r="E147" s="480">
        <f>+'[86]Sch C'!H143</f>
        <v>0</v>
      </c>
      <c r="F147" s="166">
        <f t="shared" si="48"/>
        <v>13941</v>
      </c>
      <c r="G147" s="626">
        <v>6012</v>
      </c>
      <c r="H147" s="166"/>
      <c r="I147" s="166">
        <f t="shared" si="49"/>
        <v>19953</v>
      </c>
      <c r="J147" s="167">
        <f>IF($I$213=0,0,I147/$I$213)</f>
        <v>1.3242892556224054E-2</v>
      </c>
      <c r="K147" s="458"/>
      <c r="L147" s="163"/>
      <c r="M147" s="163"/>
      <c r="O147" s="329">
        <f t="shared" si="43"/>
        <v>4.5224388032638263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'[86]Sch C'!D144</f>
        <v>0</v>
      </c>
      <c r="D148" s="480">
        <f>'[86]Sch C'!F144</f>
        <v>0</v>
      </c>
      <c r="E148" s="480">
        <f>+'[86]Sch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'[86]Sch C'!D146</f>
        <v>10800</v>
      </c>
      <c r="D150" s="480">
        <f>'[86]Sch C'!F146</f>
        <v>0</v>
      </c>
      <c r="E150" s="480">
        <f>+'[86]Sch C'!H146</f>
        <v>0</v>
      </c>
      <c r="F150" s="166">
        <f t="shared" ref="F150:F158" si="50">C150+D150+E150</f>
        <v>10800</v>
      </c>
      <c r="G150" s="626"/>
      <c r="H150" s="166"/>
      <c r="I150" s="166">
        <f t="shared" ref="I150:I158" si="51">F150+G150+H150</f>
        <v>10800</v>
      </c>
      <c r="J150" s="167">
        <f t="shared" ref="J150:J158" si="52">IF($I$213=0,0,I150/$I$213)</f>
        <v>7.16800679633237E-3</v>
      </c>
      <c r="K150" s="458"/>
      <c r="L150" s="176">
        <v>0</v>
      </c>
      <c r="M150" s="176">
        <v>0</v>
      </c>
      <c r="O150" s="329">
        <f t="shared" si="43"/>
        <v>2.4478694469628288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'[86]Sch C'!D147</f>
        <v>0</v>
      </c>
      <c r="D151" s="480">
        <f>'[86]Sch C'!F147</f>
        <v>0</v>
      </c>
      <c r="E151" s="480">
        <f>+'[86]Sch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'[86]Sch C'!D148</f>
        <v>0</v>
      </c>
      <c r="D152" s="480">
        <f>'[86]Sch C'!F148</f>
        <v>0</v>
      </c>
      <c r="E152" s="480">
        <f>+'[86]Sch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'[86]Sch C'!D149</f>
        <v>0</v>
      </c>
      <c r="D153" s="480">
        <f>'[86]Sch C'!F149</f>
        <v>0</v>
      </c>
      <c r="E153" s="480">
        <f>+'[86]Sch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'[86]Sch C'!D150</f>
        <v>3365</v>
      </c>
      <c r="D154" s="480">
        <f>'[86]Sch C'!F150</f>
        <v>0</v>
      </c>
      <c r="E154" s="480">
        <f>+'[86]Sch C'!H150</f>
        <v>0</v>
      </c>
      <c r="F154" s="166">
        <f t="shared" si="50"/>
        <v>3365</v>
      </c>
      <c r="G154" s="626"/>
      <c r="H154" s="166"/>
      <c r="I154" s="166">
        <f t="shared" si="51"/>
        <v>3365</v>
      </c>
      <c r="J154" s="167">
        <f t="shared" si="52"/>
        <v>2.2333650805239284E-3</v>
      </c>
      <c r="K154" s="458"/>
      <c r="L154" s="176">
        <v>0</v>
      </c>
      <c r="M154" s="176">
        <v>0</v>
      </c>
      <c r="O154" s="329">
        <f t="shared" si="43"/>
        <v>0.76269265639165906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'[86]Sch C'!D151</f>
        <v>18438</v>
      </c>
      <c r="D155" s="480">
        <f>'[86]Sch C'!F151</f>
        <v>0</v>
      </c>
      <c r="E155" s="480">
        <f>+'[86]Sch C'!H151</f>
        <v>0</v>
      </c>
      <c r="F155" s="166">
        <f t="shared" si="50"/>
        <v>18438</v>
      </c>
      <c r="G155" s="626"/>
      <c r="H155" s="166"/>
      <c r="I155" s="166">
        <f t="shared" si="51"/>
        <v>18438</v>
      </c>
      <c r="J155" s="167">
        <f t="shared" si="52"/>
        <v>1.223738049173854E-2</v>
      </c>
      <c r="K155" s="458"/>
      <c r="L155" s="163"/>
      <c r="M155" s="163"/>
      <c r="O155" s="329">
        <f t="shared" si="43"/>
        <v>4.1790571169537625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'[86]Sch C'!D152</f>
        <v>0</v>
      </c>
      <c r="D156" s="480">
        <f>'[86]Sch C'!F152</f>
        <v>0</v>
      </c>
      <c r="E156" s="480">
        <f>+'[86]Sch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'[86]Sch C'!D153</f>
        <v>0</v>
      </c>
      <c r="D157" s="480">
        <f>'[86]Sch C'!F153</f>
        <v>0</v>
      </c>
      <c r="E157" s="480">
        <f>+'[86]Sch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'[86]Sch C'!D154</f>
        <v>0</v>
      </c>
      <c r="D158" s="480">
        <f>'[86]Sch C'!F154</f>
        <v>0</v>
      </c>
      <c r="E158" s="480">
        <f>+'[86]Sch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'[86]Sch C'!D156</f>
        <v>0</v>
      </c>
      <c r="D160" s="480">
        <f>'[86]Sch C'!F156</f>
        <v>0</v>
      </c>
      <c r="E160" s="480">
        <f>+'[86]Sch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'[86]Sch C'!D157</f>
        <v>0</v>
      </c>
      <c r="D161" s="480">
        <f>'[86]Sch C'!F157</f>
        <v>0</v>
      </c>
      <c r="E161" s="480">
        <f>+'[86]Sch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'[86]Sch C'!D158</f>
        <v>0</v>
      </c>
      <c r="D162" s="480">
        <f>'[86]Sch C'!F158</f>
        <v>0</v>
      </c>
      <c r="E162" s="480">
        <f>+'[86]Sch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'[86]Sch C'!D159</f>
        <v>0</v>
      </c>
      <c r="D163" s="480">
        <f>'[86]Sch C'!F159</f>
        <v>0</v>
      </c>
      <c r="E163" s="480">
        <f>+'[86]Sch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'[86]Sch C'!D160</f>
        <v>0</v>
      </c>
      <c r="D164" s="480">
        <f>'[86]Sch C'!F160</f>
        <v>0</v>
      </c>
      <c r="E164" s="480">
        <f>+'[86]Sch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'[86]Sch C'!D161</f>
        <v>219</v>
      </c>
      <c r="D165" s="480">
        <f>'[86]Sch C'!F161</f>
        <v>0</v>
      </c>
      <c r="E165" s="480">
        <f>+'[86]Sch C'!H161</f>
        <v>0</v>
      </c>
      <c r="F165" s="166">
        <f t="shared" si="53"/>
        <v>219</v>
      </c>
      <c r="G165" s="626"/>
      <c r="H165" s="166"/>
      <c r="I165" s="166">
        <f t="shared" si="54"/>
        <v>219</v>
      </c>
      <c r="J165" s="167">
        <f t="shared" si="55"/>
        <v>1.4535124892562862E-4</v>
      </c>
      <c r="K165" s="458"/>
      <c r="L165" s="163"/>
      <c r="M165" s="163"/>
      <c r="O165" s="329">
        <f t="shared" si="43"/>
        <v>4.9637352674524023E-2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412374</v>
      </c>
      <c r="D166" s="480">
        <f t="shared" si="56"/>
        <v>43781</v>
      </c>
      <c r="E166" s="480">
        <f t="shared" si="56"/>
        <v>0</v>
      </c>
      <c r="F166" s="166">
        <f t="shared" ref="F166:I166" si="57">SUM(F128:F165)</f>
        <v>456155</v>
      </c>
      <c r="G166" s="166">
        <f t="shared" si="57"/>
        <v>18880</v>
      </c>
      <c r="H166" s="166">
        <f t="shared" si="57"/>
        <v>0</v>
      </c>
      <c r="I166" s="166">
        <f t="shared" si="57"/>
        <v>475035</v>
      </c>
      <c r="J166" s="167">
        <f t="shared" si="55"/>
        <v>0.3152827878236803</v>
      </c>
      <c r="K166" s="458"/>
      <c r="L166" s="163"/>
      <c r="M166" s="163"/>
      <c r="O166" s="329">
        <f>I166/I$233</f>
        <v>107.66885766092476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'[86]Sch C'!D175</f>
        <v>0</v>
      </c>
      <c r="D169" s="480">
        <f>'[86]Sch C'!F175</f>
        <v>0</v>
      </c>
      <c r="E169" s="480">
        <f>+'[86]Sch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'[86]Sch C'!D176</f>
        <v>0</v>
      </c>
      <c r="D170" s="480">
        <f>'[86]Sch C'!F176</f>
        <v>0</v>
      </c>
      <c r="E170" s="480">
        <f>+'[86]Sch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'[86]Sch C'!D177</f>
        <v>251983</v>
      </c>
      <c r="D171" s="480">
        <f>'[86]Sch C'!F177</f>
        <v>0</v>
      </c>
      <c r="E171" s="480">
        <f>+'[86]Sch C'!H177</f>
        <v>0</v>
      </c>
      <c r="F171" s="166">
        <f t="shared" si="58"/>
        <v>251983</v>
      </c>
      <c r="G171" s="626">
        <v>-251983</v>
      </c>
      <c r="H171" s="166"/>
      <c r="I171" s="166">
        <f t="shared" si="59"/>
        <v>0</v>
      </c>
      <c r="J171" s="167">
        <f t="shared" si="60"/>
        <v>0</v>
      </c>
      <c r="K171" s="468"/>
      <c r="L171" s="176">
        <v>4957.7999999999993</v>
      </c>
      <c r="M171" s="176">
        <v>4958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'[86]Sch C'!D178</f>
        <v>0</v>
      </c>
      <c r="D172" s="480">
        <f>'[86]Sch C'!F178</f>
        <v>29066</v>
      </c>
      <c r="E172" s="480">
        <f>+'[86]Sch C'!H178</f>
        <v>0</v>
      </c>
      <c r="F172" s="166">
        <f t="shared" si="58"/>
        <v>29066</v>
      </c>
      <c r="G172" s="626">
        <v>-29066</v>
      </c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'[86]Sch C'!D179</f>
        <v>0</v>
      </c>
      <c r="D173" s="480">
        <f>'[86]Sch C'!F179</f>
        <v>0</v>
      </c>
      <c r="E173" s="480">
        <f>+'[86]Sch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'[86]Sch C'!D180</f>
        <v>0</v>
      </c>
      <c r="D174" s="480">
        <f>'[86]Sch C'!F180</f>
        <v>0</v>
      </c>
      <c r="E174" s="480">
        <f>+'[86]Sch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'[86]Sch C'!D181</f>
        <v>0</v>
      </c>
      <c r="D175" s="480">
        <f>'[86]Sch C'!F181</f>
        <v>0</v>
      </c>
      <c r="E175" s="480">
        <f>+'[86]Sch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'[86]Sch C'!D182</f>
        <v>0</v>
      </c>
      <c r="D176" s="480">
        <f>'[86]Sch C'!F182</f>
        <v>0</v>
      </c>
      <c r="E176" s="480">
        <f>+'[86]Sch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'[86]Sch C'!D183</f>
        <v>0</v>
      </c>
      <c r="D177" s="480">
        <f>'[86]Sch C'!F183</f>
        <v>0</v>
      </c>
      <c r="E177" s="480">
        <f>+'[86]Sch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'[86]Sch C'!D184</f>
        <v>0</v>
      </c>
      <c r="D178" s="480">
        <f>'[86]Sch C'!F184</f>
        <v>0</v>
      </c>
      <c r="E178" s="480">
        <f>+'[86]Sch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'[86]Sch C'!D185</f>
        <v>0</v>
      </c>
      <c r="D179" s="480">
        <f>'[86]Sch C'!F185</f>
        <v>0</v>
      </c>
      <c r="E179" s="480">
        <f>+'[86]Sch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'[86]Sch C'!D186</f>
        <v>0</v>
      </c>
      <c r="D180" s="480">
        <f>'[86]Sch C'!F186</f>
        <v>0</v>
      </c>
      <c r="E180" s="480">
        <f>+'[86]Sch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'[86]Sch C'!D187</f>
        <v>0</v>
      </c>
      <c r="D181" s="480">
        <f>'[86]Sch C'!F187</f>
        <v>0</v>
      </c>
      <c r="E181" s="480">
        <f>+'[86]Sch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'[86]Sch C'!D188</f>
        <v>167</v>
      </c>
      <c r="D182" s="480">
        <f>'[86]Sch C'!F188</f>
        <v>0</v>
      </c>
      <c r="E182" s="480">
        <f>+'[86]Sch C'!H188</f>
        <v>0</v>
      </c>
      <c r="F182" s="166">
        <f t="shared" si="58"/>
        <v>167</v>
      </c>
      <c r="G182" s="626"/>
      <c r="H182" s="166"/>
      <c r="I182" s="166">
        <f t="shared" si="59"/>
        <v>167</v>
      </c>
      <c r="J182" s="167">
        <f t="shared" si="60"/>
        <v>1.1083862360995424E-4</v>
      </c>
      <c r="K182" s="458"/>
      <c r="L182" s="213"/>
      <c r="M182" s="208"/>
      <c r="N182" s="210"/>
      <c r="O182" s="329">
        <f t="shared" si="61"/>
        <v>3.7851314596554851E-2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'[86]Sch C'!D189</f>
        <v>0</v>
      </c>
      <c r="D183" s="480">
        <f>'[86]Sch C'!F189</f>
        <v>0</v>
      </c>
      <c r="E183" s="480">
        <f>+'[86]Sch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'[86]Sch C'!D190</f>
        <v>0</v>
      </c>
      <c r="D184" s="480">
        <f>'[86]Sch C'!F190</f>
        <v>0</v>
      </c>
      <c r="E184" s="480">
        <f>+'[86]Sch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'[86]Sch C'!D191</f>
        <v>0</v>
      </c>
      <c r="D185" s="480">
        <f>'[86]Sch C'!F191</f>
        <v>0</v>
      </c>
      <c r="E185" s="480">
        <f>+'[86]Sch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'[86]Sch C'!D192</f>
        <v>0</v>
      </c>
      <c r="D186" s="480">
        <f>'[86]Sch C'!F192</f>
        <v>0</v>
      </c>
      <c r="E186" s="480">
        <f>+'[86]Sch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'[86]Sch C'!D193</f>
        <v>0</v>
      </c>
      <c r="D187" s="480">
        <f>'[86]Sch C'!F193</f>
        <v>0</v>
      </c>
      <c r="E187" s="480">
        <f>+'[86]Sch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'[86]Sch C'!D194</f>
        <v>0</v>
      </c>
      <c r="D188" s="480">
        <f>'[86]Sch C'!F194</f>
        <v>0</v>
      </c>
      <c r="E188" s="480">
        <f>+'[86]Sch C'!H194</f>
        <v>0</v>
      </c>
      <c r="F188" s="166">
        <f t="shared" si="58"/>
        <v>0</v>
      </c>
      <c r="G188" s="626">
        <v>251983</v>
      </c>
      <c r="H188" s="166"/>
      <c r="I188" s="166">
        <f t="shared" si="59"/>
        <v>251983</v>
      </c>
      <c r="J188" s="167">
        <f t="shared" si="60"/>
        <v>0.16724220894076108</v>
      </c>
      <c r="K188" s="458"/>
      <c r="L188" s="213"/>
      <c r="M188" s="208"/>
      <c r="O188" s="329">
        <f t="shared" si="61"/>
        <v>57.113100634632822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'[86]Sch C'!D195</f>
        <v>0</v>
      </c>
      <c r="D189" s="480">
        <f>'[86]Sch C'!F195</f>
        <v>0</v>
      </c>
      <c r="E189" s="480">
        <f>+'[86]Sch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'[86]Sch C'!D196</f>
        <v>0</v>
      </c>
      <c r="D190" s="480">
        <f>'[86]Sch C'!F196</f>
        <v>0</v>
      </c>
      <c r="E190" s="480">
        <f>+'[86]Sch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'[86]Sch C'!D197</f>
        <v>0</v>
      </c>
      <c r="D191" s="480">
        <f>'[86]Sch C'!F197</f>
        <v>0</v>
      </c>
      <c r="E191" s="480">
        <f>+'[86]Sch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'[86]Sch C'!D198</f>
        <v>11465</v>
      </c>
      <c r="D192" s="480">
        <f>'[86]Sch C'!F198</f>
        <v>0</v>
      </c>
      <c r="E192" s="480">
        <f>+'[86]Sch C'!H198</f>
        <v>0</v>
      </c>
      <c r="F192" s="166">
        <f t="shared" si="58"/>
        <v>11465</v>
      </c>
      <c r="G192" s="626"/>
      <c r="H192" s="166"/>
      <c r="I192" s="166">
        <f t="shared" si="59"/>
        <v>11465</v>
      </c>
      <c r="J192" s="167">
        <f t="shared" si="60"/>
        <v>7.6093701777732057E-3</v>
      </c>
      <c r="K192" s="458"/>
      <c r="L192" s="213"/>
      <c r="M192" s="208"/>
      <c r="O192" s="329">
        <f t="shared" si="61"/>
        <v>2.5985947416137805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'[86]Sch C'!D199</f>
        <v>0</v>
      </c>
      <c r="D193" s="480">
        <f>'[86]Sch C'!F199</f>
        <v>0</v>
      </c>
      <c r="E193" s="480">
        <f>+'[86]Sch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'[86]Sch C'!D200</f>
        <v>0</v>
      </c>
      <c r="D194" s="480">
        <f>'[86]Sch C'!F200</f>
        <v>0</v>
      </c>
      <c r="E194" s="480">
        <f>+'[86]Sch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'[86]Sch C'!D201</f>
        <v>0</v>
      </c>
      <c r="D195" s="480">
        <f>'[86]Sch C'!F201</f>
        <v>0</v>
      </c>
      <c r="E195" s="480">
        <f>+'[86]Sch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'[86]Sch C'!D202</f>
        <v>0</v>
      </c>
      <c r="D196" s="480">
        <f>'[86]Sch C'!F202</f>
        <v>0</v>
      </c>
      <c r="E196" s="480">
        <f>+'[86]Sch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'[86]Sch C'!D203</f>
        <v>0</v>
      </c>
      <c r="D197" s="480">
        <f>'[86]Sch C'!F203</f>
        <v>0</v>
      </c>
      <c r="E197" s="480">
        <f>+'[86]Sch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'[86]Sch C'!D204</f>
        <v>0</v>
      </c>
      <c r="D198" s="480">
        <f>'[86]Sch C'!F204</f>
        <v>0</v>
      </c>
      <c r="E198" s="480">
        <f>+'[86]Sch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'[86]Sch C'!D205</f>
        <v>75526</v>
      </c>
      <c r="D199" s="480">
        <f>'[86]Sch C'!F205</f>
        <v>0</v>
      </c>
      <c r="E199" s="480">
        <f>+'[86]Sch C'!H205</f>
        <v>0</v>
      </c>
      <c r="F199" s="166">
        <f t="shared" si="58"/>
        <v>75526</v>
      </c>
      <c r="G199" s="626"/>
      <c r="H199" s="166"/>
      <c r="I199" s="166">
        <f t="shared" si="59"/>
        <v>75526</v>
      </c>
      <c r="J199" s="167">
        <f t="shared" si="60"/>
        <v>5.0126933453685053E-2</v>
      </c>
      <c r="K199" s="458"/>
      <c r="L199" s="213"/>
      <c r="M199" s="208"/>
      <c r="O199" s="329">
        <f t="shared" si="61"/>
        <v>17.118313689936535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'[86]Sch C'!D206</f>
        <v>5895</v>
      </c>
      <c r="D200" s="480">
        <f>'[86]Sch C'!F206</f>
        <v>0</v>
      </c>
      <c r="E200" s="480">
        <f>+'[86]Sch C'!H206</f>
        <v>0</v>
      </c>
      <c r="F200" s="166">
        <f t="shared" si="58"/>
        <v>5895</v>
      </c>
      <c r="G200" s="626"/>
      <c r="H200" s="166"/>
      <c r="I200" s="166">
        <f t="shared" si="59"/>
        <v>5895</v>
      </c>
      <c r="J200" s="167">
        <f t="shared" si="60"/>
        <v>3.9125370429980849E-3</v>
      </c>
      <c r="K200" s="458"/>
      <c r="L200" s="213"/>
      <c r="M200" s="208"/>
      <c r="O200" s="329">
        <f t="shared" si="61"/>
        <v>1.3361287398005439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'[86]Sch C'!D207</f>
        <v>2780</v>
      </c>
      <c r="D201" s="480">
        <f>'[86]Sch C'!F207</f>
        <v>0</v>
      </c>
      <c r="E201" s="480">
        <f>+'[86]Sch C'!H207</f>
        <v>0</v>
      </c>
      <c r="F201" s="166">
        <f t="shared" si="58"/>
        <v>2780</v>
      </c>
      <c r="G201" s="626"/>
      <c r="H201" s="166"/>
      <c r="I201" s="166">
        <f t="shared" si="59"/>
        <v>2780</v>
      </c>
      <c r="J201" s="167">
        <f t="shared" si="60"/>
        <v>1.8450980457225916E-3</v>
      </c>
      <c r="K201" s="458"/>
      <c r="L201" s="213"/>
      <c r="M201" s="208"/>
      <c r="O201" s="329">
        <f t="shared" si="61"/>
        <v>0.63009972801450587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347816</v>
      </c>
      <c r="D202" s="480">
        <f t="shared" si="62"/>
        <v>29066</v>
      </c>
      <c r="E202" s="480">
        <f t="shared" si="62"/>
        <v>0</v>
      </c>
      <c r="F202" s="166">
        <f t="shared" ref="F202:I202" si="63">SUM(F169:F201)</f>
        <v>376882</v>
      </c>
      <c r="G202" s="166">
        <f t="shared" si="63"/>
        <v>-29066</v>
      </c>
      <c r="H202" s="166">
        <f t="shared" si="63"/>
        <v>0</v>
      </c>
      <c r="I202" s="166">
        <f t="shared" si="63"/>
        <v>347816</v>
      </c>
      <c r="J202" s="167">
        <f>IF($I$213=0,0,I202/$I$213)</f>
        <v>0.23084698628454997</v>
      </c>
      <c r="K202" s="458"/>
      <c r="L202" s="163"/>
      <c r="M202" s="163"/>
      <c r="O202" s="329">
        <f>I202/I$233</f>
        <v>78.834088848594746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'[86]Sch C'!D211</f>
        <v>30325</v>
      </c>
      <c r="D205" s="480">
        <f>'[86]Sch C'!F211</f>
        <v>0</v>
      </c>
      <c r="E205" s="480">
        <f>+'[86]Sch C'!H211</f>
        <v>0</v>
      </c>
      <c r="F205" s="166">
        <f t="shared" ref="F205:F210" si="64">C205+D205+E205</f>
        <v>30325</v>
      </c>
      <c r="G205" s="626"/>
      <c r="H205" s="166"/>
      <c r="I205" s="166">
        <f t="shared" ref="I205:I210" si="65">F205+G205+H205</f>
        <v>30325</v>
      </c>
      <c r="J205" s="167">
        <f t="shared" ref="J205:J211" si="66">IF($I$213=0,0,I205/$I$213)</f>
        <v>2.0126833898035105E-2</v>
      </c>
      <c r="K205" s="458"/>
      <c r="L205" s="176">
        <v>1735.3700000000001</v>
      </c>
      <c r="M205" s="176">
        <v>1946</v>
      </c>
      <c r="O205" s="329">
        <f t="shared" ref="O205:O210" si="67">I205/I$233</f>
        <v>6.8733000906618313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'[86]Sch C'!D212</f>
        <v>0</v>
      </c>
      <c r="D206" s="480">
        <f>'[86]Sch C'!F212</f>
        <v>3498</v>
      </c>
      <c r="E206" s="480">
        <f>+'[86]Sch C'!H212</f>
        <v>0</v>
      </c>
      <c r="F206" s="166">
        <f t="shared" si="64"/>
        <v>3498</v>
      </c>
      <c r="G206" s="626">
        <v>1508</v>
      </c>
      <c r="H206" s="166"/>
      <c r="I206" s="166">
        <f t="shared" si="65"/>
        <v>5006</v>
      </c>
      <c r="J206" s="167">
        <f t="shared" si="66"/>
        <v>3.3225038909666521E-3</v>
      </c>
      <c r="K206" s="458"/>
      <c r="L206" s="163"/>
      <c r="M206" s="163"/>
      <c r="O206" s="329">
        <f t="shared" si="67"/>
        <v>1.1346328195829556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'[86]Sch C'!D213</f>
        <v>5022</v>
      </c>
      <c r="D207" s="480">
        <f>'[86]Sch C'!F213</f>
        <v>0</v>
      </c>
      <c r="E207" s="480">
        <f>+'[86]Sch C'!H213</f>
        <v>0</v>
      </c>
      <c r="F207" s="166">
        <f t="shared" si="64"/>
        <v>5022</v>
      </c>
      <c r="G207" s="626"/>
      <c r="H207" s="166"/>
      <c r="I207" s="166">
        <f t="shared" si="65"/>
        <v>5022</v>
      </c>
      <c r="J207" s="167">
        <f t="shared" si="66"/>
        <v>3.3331231602945518E-3</v>
      </c>
      <c r="K207" s="458"/>
      <c r="L207" s="163"/>
      <c r="M207" s="163"/>
      <c r="O207" s="329">
        <f t="shared" si="67"/>
        <v>1.1382592928377153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'[86]Sch C'!D214</f>
        <v>0</v>
      </c>
      <c r="D208" s="480">
        <f>'[86]Sch C'!F214</f>
        <v>0</v>
      </c>
      <c r="E208" s="480">
        <f>+'[86]Sch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'[86]Sch C'!D215</f>
        <v>0</v>
      </c>
      <c r="D209" s="480">
        <f>'[86]Sch C'!F215</f>
        <v>0</v>
      </c>
      <c r="E209" s="480">
        <f>+'[86]Sch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'[86]Sch C'!D216</f>
        <v>849</v>
      </c>
      <c r="D210" s="480">
        <f>'[86]Sch C'!F216</f>
        <v>0</v>
      </c>
      <c r="E210" s="480">
        <f>+'[86]Sch C'!H216</f>
        <v>0</v>
      </c>
      <c r="F210" s="166">
        <f t="shared" si="64"/>
        <v>849</v>
      </c>
      <c r="G210" s="626"/>
      <c r="H210" s="166"/>
      <c r="I210" s="166">
        <f t="shared" si="65"/>
        <v>849</v>
      </c>
      <c r="J210" s="167">
        <f t="shared" si="66"/>
        <v>5.6348497871168348E-4</v>
      </c>
      <c r="K210" s="458"/>
      <c r="L210" s="163"/>
      <c r="M210" s="163"/>
      <c r="O210" s="329">
        <f t="shared" si="67"/>
        <v>0.19242973708068903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36196</v>
      </c>
      <c r="D211" s="480">
        <f t="shared" si="68"/>
        <v>3498</v>
      </c>
      <c r="E211" s="480">
        <f t="shared" si="68"/>
        <v>0</v>
      </c>
      <c r="F211" s="166">
        <f t="shared" ref="F211:I211" si="69">SUM(F205:F210)</f>
        <v>39694</v>
      </c>
      <c r="G211" s="166">
        <f t="shared" si="69"/>
        <v>1508</v>
      </c>
      <c r="H211" s="166">
        <f t="shared" si="69"/>
        <v>0</v>
      </c>
      <c r="I211" s="166">
        <f t="shared" si="69"/>
        <v>41202</v>
      </c>
      <c r="J211" s="167">
        <f t="shared" si="66"/>
        <v>2.734594592800799E-2</v>
      </c>
      <c r="K211" s="458"/>
      <c r="L211" s="163"/>
      <c r="M211" s="163"/>
      <c r="O211" s="329">
        <f>I211/I$233</f>
        <v>9.3386219401631916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1534229</v>
      </c>
      <c r="D213" s="480">
        <f t="shared" si="70"/>
        <v>-21214</v>
      </c>
      <c r="E213" s="480">
        <f t="shared" si="70"/>
        <v>-6320</v>
      </c>
      <c r="F213" s="166">
        <f t="shared" ref="F213:I213" si="71">SUM(F30:F211)/2</f>
        <v>1506695</v>
      </c>
      <c r="G213" s="166">
        <f t="shared" si="71"/>
        <v>0</v>
      </c>
      <c r="H213" s="166">
        <f t="shared" si="71"/>
        <v>0</v>
      </c>
      <c r="I213" s="166">
        <f t="shared" si="71"/>
        <v>1506695</v>
      </c>
      <c r="J213" s="167">
        <f>IF($I$213=0,0,I213/$I$213)</f>
        <v>1</v>
      </c>
      <c r="K213" s="458"/>
      <c r="L213" s="176">
        <f>SUM(L30:L205)</f>
        <v>37759.71</v>
      </c>
      <c r="M213" s="176">
        <f>SUM(M30:M205)</f>
        <v>39890</v>
      </c>
      <c r="O213" s="329">
        <f>I213/I$233</f>
        <v>341.49932003626475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'[86]Sch C'!D221</f>
        <v>1534229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68377</v>
      </c>
      <c r="D220" s="480">
        <f t="shared" si="72"/>
        <v>21214</v>
      </c>
      <c r="E220" s="480">
        <f t="shared" si="72"/>
        <v>6320</v>
      </c>
      <c r="F220" s="166">
        <f t="shared" ref="F220:I220" si="73">F26-F213</f>
        <v>95911</v>
      </c>
      <c r="G220" s="166">
        <f t="shared" si="73"/>
        <v>-52604</v>
      </c>
      <c r="H220" s="166">
        <f t="shared" si="73"/>
        <v>0</v>
      </c>
      <c r="I220" s="166">
        <f t="shared" si="73"/>
        <v>43307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 t="s">
        <v>730</v>
      </c>
      <c r="D223" s="160"/>
      <c r="E223" s="160"/>
      <c r="F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'[86]Sch D'!C9</f>
        <v>1157</v>
      </c>
      <c r="D224" s="480"/>
      <c r="E224" s="480"/>
      <c r="F224" s="224">
        <f>C224+D224+E224</f>
        <v>1157</v>
      </c>
      <c r="G224" s="627"/>
      <c r="H224" s="223"/>
      <c r="I224" s="224">
        <f>F224+G224+H224</f>
        <v>1157</v>
      </c>
      <c r="J224" s="167">
        <f t="shared" ref="J224:J233" si="74">IF($I$233=0,0,I224/$I$233)</f>
        <v>0.26223934723481412</v>
      </c>
      <c r="K224" s="458"/>
      <c r="L224" s="163"/>
      <c r="M224" s="163"/>
    </row>
    <row r="225" spans="1:13">
      <c r="A225" s="158"/>
      <c r="B225" s="165" t="s">
        <v>201</v>
      </c>
      <c r="C225" s="504">
        <f>'[86]Sch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'[86]Sch D'!E9</f>
        <v>2448</v>
      </c>
      <c r="D226" s="480"/>
      <c r="E226" s="480"/>
      <c r="F226" s="224">
        <f t="shared" si="75"/>
        <v>2448</v>
      </c>
      <c r="G226" s="627"/>
      <c r="H226" s="223"/>
      <c r="I226" s="224">
        <f t="shared" si="76"/>
        <v>2448</v>
      </c>
      <c r="J226" s="167">
        <f t="shared" si="74"/>
        <v>0.55485040797824114</v>
      </c>
      <c r="K226" s="458"/>
      <c r="L226" s="163"/>
      <c r="M226" s="163"/>
    </row>
    <row r="227" spans="1:13">
      <c r="A227" s="158"/>
      <c r="B227" s="194" t="s">
        <v>315</v>
      </c>
      <c r="C227" s="504">
        <f>'[86]Sch D'!F9</f>
        <v>242</v>
      </c>
      <c r="D227" s="480"/>
      <c r="E227" s="480"/>
      <c r="F227" s="224">
        <f t="shared" si="75"/>
        <v>242</v>
      </c>
      <c r="G227" s="627"/>
      <c r="H227" s="223"/>
      <c r="I227" s="224">
        <f t="shared" si="76"/>
        <v>242</v>
      </c>
      <c r="J227" s="167">
        <f t="shared" si="74"/>
        <v>5.4850407978241159E-2</v>
      </c>
      <c r="K227" s="458"/>
      <c r="L227" s="163"/>
      <c r="M227" s="163"/>
    </row>
    <row r="228" spans="1:13">
      <c r="A228" s="158"/>
      <c r="B228" s="165" t="s">
        <v>65</v>
      </c>
      <c r="C228" s="504">
        <f>'[86]Sch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'[86]Sch D'!H9</f>
        <v>556</v>
      </c>
      <c r="D229" s="480"/>
      <c r="E229" s="480"/>
      <c r="F229" s="224">
        <f t="shared" si="75"/>
        <v>556</v>
      </c>
      <c r="G229" s="627"/>
      <c r="H229" s="223"/>
      <c r="I229" s="224">
        <f t="shared" si="76"/>
        <v>556</v>
      </c>
      <c r="J229" s="167">
        <f t="shared" si="74"/>
        <v>0.12601994560290117</v>
      </c>
      <c r="K229" s="458"/>
      <c r="L229" s="163"/>
      <c r="M229" s="163"/>
    </row>
    <row r="230" spans="1:13">
      <c r="A230" s="158"/>
      <c r="B230" s="165" t="s">
        <v>219</v>
      </c>
      <c r="C230" s="504">
        <f>'[86]Sch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'[86]Sch D'!J9</f>
        <v>9</v>
      </c>
      <c r="D231" s="480"/>
      <c r="E231" s="480"/>
      <c r="F231" s="224">
        <f t="shared" si="75"/>
        <v>9</v>
      </c>
      <c r="G231" s="627"/>
      <c r="H231" s="223"/>
      <c r="I231" s="224">
        <f t="shared" si="76"/>
        <v>9</v>
      </c>
      <c r="J231" s="167">
        <f>IF($I$233=0,0,I231/$I$233)</f>
        <v>2.0398912058023572E-3</v>
      </c>
      <c r="K231" s="458"/>
      <c r="L231" s="163"/>
      <c r="M231" s="163"/>
    </row>
    <row r="232" spans="1:13">
      <c r="A232" s="158"/>
      <c r="B232" s="165" t="s">
        <v>170</v>
      </c>
      <c r="C232" s="504">
        <f>'[86]Sch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4412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4412</v>
      </c>
      <c r="G233" s="226">
        <f t="shared" si="78"/>
        <v>0</v>
      </c>
      <c r="H233" s="226">
        <f t="shared" si="78"/>
        <v>0</v>
      </c>
      <c r="I233" s="226">
        <f t="shared" si="78"/>
        <v>4412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'[86]Sch D'!N22</f>
        <v>30</v>
      </c>
      <c r="D236" s="480"/>
      <c r="E236" s="480"/>
      <c r="F236" s="224">
        <f>C236+E236</f>
        <v>30</v>
      </c>
      <c r="G236" s="627"/>
      <c r="H236" s="224"/>
      <c r="I236" s="224">
        <f>F236+G236+H236</f>
        <v>30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'[86]Sch D'!N24</f>
        <v>8</v>
      </c>
      <c r="D237" s="480"/>
      <c r="E237" s="480"/>
      <c r="F237" s="224">
        <f>C237+E237</f>
        <v>8</v>
      </c>
      <c r="G237" s="627"/>
      <c r="H237" s="176"/>
      <c r="I237" s="224">
        <f>F237+G237+H237</f>
        <v>8</v>
      </c>
      <c r="J237" s="541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202</v>
      </c>
      <c r="D238" s="427"/>
      <c r="E238" s="427"/>
      <c r="F238" s="224">
        <f>C238+E238</f>
        <v>202</v>
      </c>
      <c r="G238" s="627"/>
      <c r="H238" s="228"/>
      <c r="I238" s="224">
        <f>F238+G238+H238</f>
        <v>202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'[86]Sch D'!N28</f>
        <v>6060</v>
      </c>
      <c r="D240" s="427"/>
      <c r="E240" s="427"/>
      <c r="F240" s="223">
        <f>F236*F238</f>
        <v>6060</v>
      </c>
      <c r="G240"/>
      <c r="H240" s="228"/>
      <c r="I240" s="223">
        <f>I236*I238</f>
        <v>6060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'[86]Sch D'!N30</f>
        <v>0.72805280528052807</v>
      </c>
      <c r="D241" s="228"/>
      <c r="E241" s="228"/>
      <c r="F241" s="232">
        <f>F233/F240</f>
        <v>0.72805280528052807</v>
      </c>
      <c r="G241"/>
      <c r="H241" s="233"/>
      <c r="I241" s="232">
        <f>I233/I240</f>
        <v>0.72805280528052807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'[86]Sch D'!N32</f>
        <v>0.19092409240924094</v>
      </c>
      <c r="D242" s="228"/>
      <c r="E242" s="228"/>
      <c r="F242" s="232">
        <f>(F224+F225)/F240</f>
        <v>0.19092409240924094</v>
      </c>
      <c r="G242"/>
      <c r="H242" s="233"/>
      <c r="I242" s="232">
        <f>(I224+I225)/I240</f>
        <v>0.19092409240924094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'[86]Sch D'!N34</f>
        <v>0.26223934723481418</v>
      </c>
      <c r="D243" s="228"/>
      <c r="E243" s="228"/>
      <c r="F243" s="232">
        <f>(F242/F241)</f>
        <v>0.26223934723481418</v>
      </c>
      <c r="G243"/>
      <c r="H243" s="233"/>
      <c r="I243" s="232">
        <f>(I242/I241)</f>
        <v>0.26223934723481418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B247" s="456" t="s">
        <v>375</v>
      </c>
      <c r="H247" s="140" t="s">
        <v>322</v>
      </c>
      <c r="I247" s="480">
        <f>'[86]Sch B'!E90</f>
        <v>169.83599843417633</v>
      </c>
      <c r="K247" s="460"/>
    </row>
    <row r="248" spans="1:13">
      <c r="B248" s="411" t="s">
        <v>376</v>
      </c>
      <c r="H248" s="140" t="s">
        <v>323</v>
      </c>
      <c r="I248" s="480">
        <f>'[86]Sch B'!G90</f>
        <v>169.83599843417628</v>
      </c>
      <c r="K248" s="460"/>
    </row>
    <row r="249" spans="1:13">
      <c r="B249" s="411" t="s">
        <v>423</v>
      </c>
      <c r="H249" s="140" t="s">
        <v>324</v>
      </c>
      <c r="I249" s="480">
        <f>'[86]Sch B'!I90</f>
        <v>169.8359984341763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E28CAB"/>
  </sheetPr>
  <dimension ref="A1:Q277"/>
  <sheetViews>
    <sheetView showGridLines="0" topLeftCell="A3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576</v>
      </c>
      <c r="D2" s="426"/>
      <c r="E2" s="142"/>
    </row>
    <row r="3" spans="1:16">
      <c r="A3" s="143"/>
      <c r="B3" s="138" t="s">
        <v>71</v>
      </c>
      <c r="C3" s="557">
        <f>'[87]Sch A Pg 1'!B39</f>
        <v>42917</v>
      </c>
      <c r="D3" s="620"/>
      <c r="E3" s="531"/>
      <c r="F3" s="144"/>
      <c r="G3" s="144"/>
    </row>
    <row r="4" spans="1:16">
      <c r="A4" s="143"/>
      <c r="B4" s="145" t="s">
        <v>72</v>
      </c>
      <c r="C4" s="557">
        <f>'[87]Sch A Pg 1'!G39</f>
        <v>43079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  <c r="H5" s="138" t="s">
        <v>456</v>
      </c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'[87]Sch B'!E10</f>
        <v>354831</v>
      </c>
      <c r="D12" s="480">
        <f>'[87]Sch B'!G10</f>
        <v>0</v>
      </c>
      <c r="E12" s="480"/>
      <c r="F12" s="166">
        <f>C12+D12+E12</f>
        <v>354831</v>
      </c>
      <c r="G12" s="626"/>
      <c r="H12" s="166"/>
      <c r="I12" s="166">
        <f>F12+G12+H12</f>
        <v>354831</v>
      </c>
      <c r="J12" s="167">
        <f>IF($I$26=0,0,I12/$I$26)</f>
        <v>0.13253805000072838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'[87]Sch B'!E12</f>
        <v>7731</v>
      </c>
      <c r="D13" s="480">
        <f>'[87]Sch B'!G12</f>
        <v>0</v>
      </c>
      <c r="E13" s="480"/>
      <c r="F13" s="166">
        <f t="shared" ref="F13:F25" si="0">C13+D13+E13</f>
        <v>7731</v>
      </c>
      <c r="G13" s="626">
        <v>-7731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'[87]Sch B'!E13</f>
        <v>3807</v>
      </c>
      <c r="D14" s="480">
        <f>'[87]Sch B'!G13</f>
        <v>0</v>
      </c>
      <c r="E14" s="480"/>
      <c r="F14" s="166">
        <f t="shared" si="0"/>
        <v>3807</v>
      </c>
      <c r="G14" s="626"/>
      <c r="H14" s="166"/>
      <c r="I14" s="166">
        <f t="shared" si="1"/>
        <v>3807</v>
      </c>
      <c r="J14" s="167">
        <f>IF($I$26=0,0,I14/$I$26)</f>
        <v>1.422007536976118E-3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'[87]Sch B'!E14</f>
        <v>0</v>
      </c>
      <c r="D15" s="480">
        <f>'[87]Sch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'[87]Sch B'!E15</f>
        <v>366369</v>
      </c>
      <c r="D16" s="480">
        <f>'[87]Sch B'!G15</f>
        <v>0</v>
      </c>
      <c r="E16" s="480"/>
      <c r="F16" s="166">
        <f t="shared" si="0"/>
        <v>366369</v>
      </c>
      <c r="G16" s="626"/>
      <c r="H16" s="166"/>
      <c r="I16" s="166">
        <f>SUM(I12:I15)</f>
        <v>358638</v>
      </c>
      <c r="J16" s="167">
        <f t="shared" ref="J16:J26" si="2">IF($I$26=0,0,I16/$I$26)</f>
        <v>0.13396005753770449</v>
      </c>
      <c r="K16" s="458"/>
      <c r="L16" s="333" t="s">
        <v>325</v>
      </c>
      <c r="M16" s="334">
        <f>I26</f>
        <v>2677201</v>
      </c>
      <c r="O16" s="324">
        <f>IFERROR(I16/I224,0)</f>
        <v>197.16217702034083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'[87]Sch B'!E20</f>
        <v>0</v>
      </c>
      <c r="D17" s="480">
        <f>'[87]Sch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2755017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'[87]Sch B'!E26</f>
        <v>1839046</v>
      </c>
      <c r="D18" s="480">
        <f>'[87]Sch B'!G26</f>
        <v>0</v>
      </c>
      <c r="E18" s="480"/>
      <c r="F18" s="166">
        <f t="shared" si="0"/>
        <v>1839046</v>
      </c>
      <c r="G18" s="626"/>
      <c r="H18" s="166"/>
      <c r="I18" s="166">
        <f t="shared" si="1"/>
        <v>1839046</v>
      </c>
      <c r="J18" s="167">
        <f t="shared" si="2"/>
        <v>0.68692862433564006</v>
      </c>
      <c r="K18" s="458"/>
      <c r="L18" s="335" t="s">
        <v>327</v>
      </c>
      <c r="M18" s="336">
        <f>I233</f>
        <v>6151</v>
      </c>
      <c r="O18" s="324">
        <f t="shared" si="3"/>
        <v>586.24354478801399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'[87]Sch B'!E32</f>
        <v>288203</v>
      </c>
      <c r="D19" s="480">
        <f>'[87]Sch B'!G32</f>
        <v>0</v>
      </c>
      <c r="E19" s="480"/>
      <c r="F19" s="166">
        <f t="shared" si="0"/>
        <v>288203</v>
      </c>
      <c r="G19" s="626"/>
      <c r="H19" s="166"/>
      <c r="I19" s="166">
        <f t="shared" si="1"/>
        <v>288203</v>
      </c>
      <c r="J19" s="170">
        <f t="shared" si="2"/>
        <v>0.10765086371923513</v>
      </c>
      <c r="K19" s="464"/>
      <c r="L19" s="335" t="s">
        <v>328</v>
      </c>
      <c r="M19" s="336">
        <f>I236</f>
        <v>50</v>
      </c>
      <c r="O19" s="324">
        <f t="shared" si="3"/>
        <v>444.0724191063174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'[87]Sch B'!E37</f>
        <v>0</v>
      </c>
      <c r="D20" s="480">
        <f>'[87]Sch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8150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'[87]Sch B'!E42</f>
        <v>174042</v>
      </c>
      <c r="D21" s="480">
        <f>'[87]Sch B'!G42</f>
        <v>0</v>
      </c>
      <c r="E21" s="480"/>
      <c r="F21" s="166">
        <f t="shared" si="0"/>
        <v>174042</v>
      </c>
      <c r="G21" s="626"/>
      <c r="H21" s="166"/>
      <c r="I21" s="166">
        <f t="shared" si="1"/>
        <v>174042</v>
      </c>
      <c r="J21" s="167">
        <f t="shared" si="2"/>
        <v>6.5008940307433025E-2</v>
      </c>
      <c r="K21" s="458"/>
      <c r="L21" s="337"/>
      <c r="M21" s="336"/>
      <c r="O21" s="324">
        <f t="shared" si="3"/>
        <v>318.75824175824175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'[87]Sch B'!E47</f>
        <v>0</v>
      </c>
      <c r="D22" s="480">
        <f>'[87]Sch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62856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'[87]Sch B'!E52</f>
        <v>0</v>
      </c>
      <c r="D23" s="480">
        <f>'[87]Sch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66338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'[87]Sch B'!E57</f>
        <v>0</v>
      </c>
      <c r="D24" s="480">
        <f>'[87]Sch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'[87]Sch B'!E72</f>
        <v>17272</v>
      </c>
      <c r="D25" s="480">
        <f>'[87]Sch B'!G72</f>
        <v>0</v>
      </c>
      <c r="E25" s="480"/>
      <c r="F25" s="166">
        <f t="shared" si="0"/>
        <v>17272</v>
      </c>
      <c r="G25" s="626"/>
      <c r="H25" s="166"/>
      <c r="I25" s="166">
        <f t="shared" si="1"/>
        <v>17272</v>
      </c>
      <c r="J25" s="167">
        <f t="shared" si="2"/>
        <v>6.4515140999872626E-3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2684932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2684932</v>
      </c>
      <c r="G26" s="166">
        <f>SUM(G12:G25)</f>
        <v>-7731</v>
      </c>
      <c r="H26" s="166">
        <f>SUM(H12:H25)</f>
        <v>0</v>
      </c>
      <c r="I26" s="166">
        <f>SUM(I16:I25)</f>
        <v>2677201</v>
      </c>
      <c r="J26" s="167">
        <f t="shared" si="2"/>
        <v>1</v>
      </c>
      <c r="K26" s="458"/>
      <c r="L26" s="163"/>
      <c r="M26" s="163"/>
      <c r="O26" s="324">
        <f>IFERROR(I26/I233,0)</f>
        <v>435.24646398959521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 t="s">
        <v>745</v>
      </c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'[87]Sch C'!D10</f>
        <v>42500</v>
      </c>
      <c r="D30" s="480">
        <f>'[87]Sch C'!F10</f>
        <v>0</v>
      </c>
      <c r="E30" s="480">
        <f>+'[87]Sch C'!H10</f>
        <v>0</v>
      </c>
      <c r="F30" s="166">
        <f t="shared" ref="F30:F65" si="5">C30+D30+E30</f>
        <v>42500</v>
      </c>
      <c r="G30" s="626"/>
      <c r="H30" s="166"/>
      <c r="I30" s="166">
        <f t="shared" ref="I30:I65" si="6">F30+G30+H30</f>
        <v>42500</v>
      </c>
      <c r="J30" s="167">
        <f>IF($I$213=0,0,I30/$I$213)</f>
        <v>1.5426402087537028E-2</v>
      </c>
      <c r="K30" s="458"/>
      <c r="L30" s="176">
        <v>832</v>
      </c>
      <c r="M30" s="176">
        <v>920</v>
      </c>
      <c r="O30" s="324">
        <f>I30/I$233</f>
        <v>6.9094456185986015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'[87]Sch C'!D11</f>
        <v>0</v>
      </c>
      <c r="D31" s="480">
        <f>'[87]Sch C'!F11</f>
        <v>0</v>
      </c>
      <c r="E31" s="480">
        <f>+'[87]Sch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'[87]Sch C'!D12</f>
        <v>75279</v>
      </c>
      <c r="D32" s="480">
        <f>'[87]Sch C'!F12</f>
        <v>0</v>
      </c>
      <c r="E32" s="480">
        <f>+'[87]Sch C'!H12</f>
        <v>0</v>
      </c>
      <c r="F32" s="166">
        <f t="shared" si="5"/>
        <v>75279</v>
      </c>
      <c r="G32" s="626"/>
      <c r="H32" s="166"/>
      <c r="I32" s="166">
        <f t="shared" si="6"/>
        <v>75279</v>
      </c>
      <c r="J32" s="167">
        <f t="shared" si="7"/>
        <v>2.732433229994588E-2</v>
      </c>
      <c r="K32" s="458"/>
      <c r="L32" s="176">
        <v>2825</v>
      </c>
      <c r="M32" s="176">
        <v>3109</v>
      </c>
      <c r="O32" s="324">
        <f t="shared" si="8"/>
        <v>12.238497805234921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'[87]Sch C'!D13</f>
        <v>222540</v>
      </c>
      <c r="D33" s="480">
        <f>'[87]Sch C'!F13</f>
        <v>-202984</v>
      </c>
      <c r="E33" s="480">
        <f>+'[87]Sch C'!H13</f>
        <v>0</v>
      </c>
      <c r="F33" s="166">
        <f t="shared" si="5"/>
        <v>19556</v>
      </c>
      <c r="G33" s="626">
        <v>-1125</v>
      </c>
      <c r="H33" s="166"/>
      <c r="I33" s="166">
        <f t="shared" si="6"/>
        <v>18431</v>
      </c>
      <c r="J33" s="167">
        <f t="shared" si="7"/>
        <v>6.6899768676563524E-3</v>
      </c>
      <c r="K33" s="458"/>
      <c r="L33" s="163"/>
      <c r="M33" s="163"/>
      <c r="O33" s="324">
        <f t="shared" si="8"/>
        <v>2.9964233457974312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'[87]Sch C'!D14</f>
        <v>0</v>
      </c>
      <c r="D34" s="480">
        <f>'[87]Sch C'!F14</f>
        <v>0</v>
      </c>
      <c r="E34" s="480">
        <f>+'[87]Sch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'[87]Sch C'!D15</f>
        <v>0</v>
      </c>
      <c r="D35" s="480">
        <f>'[87]Sch C'!F15</f>
        <v>0</v>
      </c>
      <c r="E35" s="480">
        <f>+'[87]Sch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'[87]Sch C'!D16</f>
        <v>45000</v>
      </c>
      <c r="D36" s="480">
        <f>'[87]Sch C'!F16</f>
        <v>0</v>
      </c>
      <c r="E36" s="480">
        <f>+'[87]Sch C'!H16</f>
        <v>20338</v>
      </c>
      <c r="F36" s="166">
        <f t="shared" si="5"/>
        <v>65338</v>
      </c>
      <c r="G36" s="626"/>
      <c r="H36" s="166"/>
      <c r="I36" s="166">
        <f t="shared" si="6"/>
        <v>65338</v>
      </c>
      <c r="J36" s="167">
        <f t="shared" si="7"/>
        <v>2.3716006108129278E-2</v>
      </c>
      <c r="K36" s="458"/>
      <c r="L36" s="163"/>
      <c r="M36" s="163"/>
      <c r="O36" s="324">
        <f t="shared" si="8"/>
        <v>10.622337831246952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'[87]Sch C'!D17</f>
        <v>0</v>
      </c>
      <c r="D37" s="480">
        <f>'[87]Sch C'!F17</f>
        <v>0</v>
      </c>
      <c r="E37" s="480">
        <f>+'[87]Sch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'[87]Sch C'!D18</f>
        <v>3341</v>
      </c>
      <c r="D38" s="480">
        <f>'[87]Sch C'!F18</f>
        <v>0</v>
      </c>
      <c r="E38" s="480">
        <f>+'[87]Sch C'!H18</f>
        <v>0</v>
      </c>
      <c r="F38" s="166">
        <f t="shared" si="5"/>
        <v>3341</v>
      </c>
      <c r="G38" s="626"/>
      <c r="H38" s="166"/>
      <c r="I38" s="166">
        <f t="shared" si="6"/>
        <v>3341</v>
      </c>
      <c r="J38" s="167">
        <f t="shared" si="7"/>
        <v>1.2126966911637932E-3</v>
      </c>
      <c r="K38" s="458"/>
      <c r="L38" s="163"/>
      <c r="M38" s="163"/>
      <c r="O38" s="324">
        <f t="shared" si="8"/>
        <v>0.54316371321736301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'[87]Sch C'!D19</f>
        <v>10466</v>
      </c>
      <c r="D39" s="480">
        <f>'[87]Sch C'!F19</f>
        <v>0</v>
      </c>
      <c r="E39" s="480">
        <f>+'[87]Sch C'!H19</f>
        <v>0</v>
      </c>
      <c r="F39" s="166">
        <f t="shared" si="5"/>
        <v>10466</v>
      </c>
      <c r="G39" s="626"/>
      <c r="H39" s="166"/>
      <c r="I39" s="166">
        <f t="shared" si="6"/>
        <v>10466</v>
      </c>
      <c r="J39" s="167">
        <f t="shared" si="7"/>
        <v>3.7988876293685303E-3</v>
      </c>
      <c r="K39" s="458"/>
      <c r="L39" s="163"/>
      <c r="M39" s="163"/>
      <c r="O39" s="324">
        <f t="shared" si="8"/>
        <v>1.7015119492765405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'[87]Sch C'!D20</f>
        <v>15465</v>
      </c>
      <c r="D40" s="480">
        <f>'[87]Sch C'!F20</f>
        <v>0</v>
      </c>
      <c r="E40" s="480">
        <f>+'[87]Sch C'!H20</f>
        <v>0</v>
      </c>
      <c r="F40" s="166">
        <f t="shared" si="5"/>
        <v>15465</v>
      </c>
      <c r="G40" s="626"/>
      <c r="H40" s="166"/>
      <c r="I40" s="166">
        <f t="shared" si="6"/>
        <v>15465</v>
      </c>
      <c r="J40" s="167">
        <f t="shared" si="7"/>
        <v>5.6133954890296503E-3</v>
      </c>
      <c r="K40" s="458"/>
      <c r="L40" s="163"/>
      <c r="M40" s="163"/>
      <c r="O40" s="324">
        <f t="shared" si="8"/>
        <v>2.5142253292147618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'[87]Sch C'!D21</f>
        <v>14145</v>
      </c>
      <c r="D41" s="480">
        <f>'[87]Sch C'!F21</f>
        <v>0</v>
      </c>
      <c r="E41" s="480">
        <f>+'[87]Sch C'!H21</f>
        <v>0</v>
      </c>
      <c r="F41" s="166">
        <f t="shared" si="5"/>
        <v>14145</v>
      </c>
      <c r="G41" s="626"/>
      <c r="H41" s="166"/>
      <c r="I41" s="166">
        <f t="shared" si="6"/>
        <v>14145</v>
      </c>
      <c r="J41" s="167">
        <f t="shared" si="7"/>
        <v>5.1342695888990887E-3</v>
      </c>
      <c r="K41" s="458"/>
      <c r="L41" s="163"/>
      <c r="M41" s="163"/>
      <c r="O41" s="324">
        <f t="shared" si="8"/>
        <v>2.2996260770606405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'[87]Sch C'!D22</f>
        <v>0</v>
      </c>
      <c r="D42" s="480">
        <f>'[87]Sch C'!F22</f>
        <v>0</v>
      </c>
      <c r="E42" s="480">
        <f>+'[87]Sch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'[87]Sch C'!D23</f>
        <v>2163</v>
      </c>
      <c r="D43" s="480">
        <f>'[87]Sch C'!F23</f>
        <v>0</v>
      </c>
      <c r="E43" s="480">
        <f>+'[87]Sch C'!H23</f>
        <v>0</v>
      </c>
      <c r="F43" s="166">
        <f t="shared" si="5"/>
        <v>2163</v>
      </c>
      <c r="G43" s="626"/>
      <c r="H43" s="166"/>
      <c r="I43" s="166">
        <f t="shared" si="6"/>
        <v>2163</v>
      </c>
      <c r="J43" s="167">
        <f t="shared" si="7"/>
        <v>7.8511312271394333E-4</v>
      </c>
      <c r="K43" s="458"/>
      <c r="L43" s="163"/>
      <c r="M43" s="163"/>
      <c r="O43" s="324">
        <f t="shared" si="8"/>
        <v>0.35165013818891239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'[87]Sch C'!D24</f>
        <v>18963</v>
      </c>
      <c r="D44" s="480">
        <f>'[87]Sch C'!F24</f>
        <v>0</v>
      </c>
      <c r="E44" s="480">
        <f>+'[87]Sch C'!H24</f>
        <v>0</v>
      </c>
      <c r="F44" s="166">
        <f t="shared" si="5"/>
        <v>18963</v>
      </c>
      <c r="G44" s="626"/>
      <c r="H44" s="166"/>
      <c r="I44" s="166">
        <f t="shared" si="6"/>
        <v>18963</v>
      </c>
      <c r="J44" s="167">
        <f t="shared" si="7"/>
        <v>6.8830791243756394E-3</v>
      </c>
      <c r="K44" s="458"/>
      <c r="L44" s="163"/>
      <c r="M44" s="163"/>
      <c r="O44" s="324">
        <f t="shared" si="8"/>
        <v>3.0829133474231831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'[87]Sch C'!D25</f>
        <v>0</v>
      </c>
      <c r="D45" s="480">
        <f>'[87]Sch C'!F25</f>
        <v>0</v>
      </c>
      <c r="E45" s="480">
        <f>+'[87]Sch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'[87]Sch C'!D26</f>
        <v>56688</v>
      </c>
      <c r="D46" s="480">
        <f>'[87]Sch C'!F26</f>
        <v>0</v>
      </c>
      <c r="E46" s="480">
        <f>+'[87]Sch C'!H26</f>
        <v>0</v>
      </c>
      <c r="F46" s="166">
        <f t="shared" si="5"/>
        <v>56688</v>
      </c>
      <c r="G46" s="626"/>
      <c r="H46" s="166"/>
      <c r="I46" s="166">
        <f t="shared" si="6"/>
        <v>56688</v>
      </c>
      <c r="J46" s="167">
        <f t="shared" si="7"/>
        <v>2.0576279565607036E-2</v>
      </c>
      <c r="K46" s="458"/>
      <c r="L46" s="163"/>
      <c r="M46" s="163"/>
      <c r="O46" s="324">
        <f t="shared" si="8"/>
        <v>9.2160624288733537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'[87]Sch C'!D27</f>
        <v>0</v>
      </c>
      <c r="D47" s="480">
        <f>'[87]Sch C'!F27</f>
        <v>0</v>
      </c>
      <c r="E47" s="480">
        <f>+'[87]Sch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'[87]Sch C'!D28</f>
        <v>0</v>
      </c>
      <c r="D48" s="480">
        <f>'[87]Sch C'!F28</f>
        <v>0</v>
      </c>
      <c r="E48" s="480">
        <f>+'[87]Sch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'[87]Sch C'!D29</f>
        <v>0</v>
      </c>
      <c r="D49" s="480">
        <f>'[87]Sch C'!F29</f>
        <v>0</v>
      </c>
      <c r="E49" s="480">
        <f>+'[87]Sch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'[87]Sch C'!D30</f>
        <v>0</v>
      </c>
      <c r="D50" s="480">
        <f>'[87]Sch C'!F30</f>
        <v>0</v>
      </c>
      <c r="E50" s="480">
        <f>+'[87]Sch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'[87]Sch C'!D31</f>
        <v>16356</v>
      </c>
      <c r="D51" s="480">
        <f>'[87]Sch C'!F31</f>
        <v>0</v>
      </c>
      <c r="E51" s="480">
        <f>+'[87]Sch C'!H31</f>
        <v>0</v>
      </c>
      <c r="F51" s="166">
        <f t="shared" si="5"/>
        <v>16356</v>
      </c>
      <c r="G51" s="626"/>
      <c r="H51" s="166"/>
      <c r="I51" s="166">
        <f t="shared" si="6"/>
        <v>16356</v>
      </c>
      <c r="J51" s="167">
        <f t="shared" si="7"/>
        <v>5.9368054716177794E-3</v>
      </c>
      <c r="K51" s="458"/>
      <c r="L51" s="163"/>
      <c r="M51" s="163"/>
      <c r="O51" s="324">
        <f t="shared" si="8"/>
        <v>2.6590798244187939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'[87]Sch C'!D32</f>
        <v>0</v>
      </c>
      <c r="D52" s="480">
        <f>'[87]Sch C'!F32</f>
        <v>0</v>
      </c>
      <c r="E52" s="480">
        <f>+'[87]Sch C'!H32</f>
        <v>0</v>
      </c>
      <c r="F52" s="166">
        <f t="shared" si="5"/>
        <v>0</v>
      </c>
      <c r="G52" s="626"/>
      <c r="H52" s="166"/>
      <c r="I52" s="166">
        <f t="shared" si="6"/>
        <v>0</v>
      </c>
      <c r="J52" s="167">
        <f t="shared" si="7"/>
        <v>0</v>
      </c>
      <c r="K52" s="458"/>
      <c r="L52" s="163"/>
      <c r="M52" s="163"/>
      <c r="O52" s="324">
        <f t="shared" si="8"/>
        <v>0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'[87]Sch C'!D33</f>
        <v>0</v>
      </c>
      <c r="D53" s="480">
        <f>'[87]Sch C'!F33</f>
        <v>0</v>
      </c>
      <c r="E53" s="480">
        <f>+'[87]Sch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'[87]Sch C'!D34</f>
        <v>0</v>
      </c>
      <c r="D54" s="480">
        <f>'[87]Sch C'!F34</f>
        <v>0</v>
      </c>
      <c r="E54" s="480">
        <f>+'[87]Sch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'[87]Sch C'!D35</f>
        <v>0</v>
      </c>
      <c r="D55" s="480">
        <f>'[87]Sch C'!F35</f>
        <v>0</v>
      </c>
      <c r="E55" s="480">
        <f>+'[87]Sch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'[87]Sch C'!D36</f>
        <v>21435</v>
      </c>
      <c r="D56" s="480">
        <f>'[87]Sch C'!F36</f>
        <v>0</v>
      </c>
      <c r="E56" s="480">
        <f>+'[87]Sch C'!H36</f>
        <v>0</v>
      </c>
      <c r="F56" s="166">
        <f t="shared" si="5"/>
        <v>21435</v>
      </c>
      <c r="G56" s="626">
        <v>-11262</v>
      </c>
      <c r="H56" s="166"/>
      <c r="I56" s="166">
        <f t="shared" si="6"/>
        <v>10173</v>
      </c>
      <c r="J56" s="167">
        <f t="shared" si="7"/>
        <v>3.692536198506216E-3</v>
      </c>
      <c r="K56" s="458"/>
      <c r="L56" s="176">
        <v>1614.9099999999999</v>
      </c>
      <c r="M56" s="176">
        <v>1708</v>
      </c>
      <c r="O56" s="324">
        <f t="shared" si="8"/>
        <v>1.6538774183059666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'[87]Sch C'!D37</f>
        <v>0</v>
      </c>
      <c r="D57" s="480">
        <f>'[87]Sch C'!F37</f>
        <v>3559</v>
      </c>
      <c r="E57" s="480">
        <f>+'[87]Sch C'!H37</f>
        <v>0</v>
      </c>
      <c r="F57" s="166">
        <f t="shared" si="5"/>
        <v>3559</v>
      </c>
      <c r="G57" s="626">
        <f>-1870-205</f>
        <v>-2075</v>
      </c>
      <c r="H57" s="166"/>
      <c r="I57" s="166">
        <f t="shared" si="6"/>
        <v>1484</v>
      </c>
      <c r="J57" s="167">
        <f t="shared" si="7"/>
        <v>5.3865366348011649E-4</v>
      </c>
      <c r="K57" s="458"/>
      <c r="L57" s="163"/>
      <c r="M57" s="163"/>
      <c r="O57" s="324">
        <f t="shared" si="8"/>
        <v>0.2412615834823606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'[87]Sch C'!D38</f>
        <v>0</v>
      </c>
      <c r="D58" s="480">
        <f>'[87]Sch C'!F38</f>
        <v>0</v>
      </c>
      <c r="E58" s="480">
        <f>+'[87]Sch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'[87]Sch C'!D39</f>
        <v>3367</v>
      </c>
      <c r="D59" s="480">
        <f>'[87]Sch C'!F39</f>
        <v>0</v>
      </c>
      <c r="E59" s="480">
        <f>+'[87]Sch C'!H39</f>
        <v>0</v>
      </c>
      <c r="F59" s="166">
        <f t="shared" si="5"/>
        <v>3367</v>
      </c>
      <c r="G59" s="626"/>
      <c r="H59" s="166"/>
      <c r="I59" s="166">
        <f t="shared" si="6"/>
        <v>3367</v>
      </c>
      <c r="J59" s="167">
        <f t="shared" si="7"/>
        <v>1.2221340194996982E-3</v>
      </c>
      <c r="K59" s="458"/>
      <c r="L59" s="163"/>
      <c r="M59" s="163"/>
      <c r="O59" s="324">
        <f t="shared" si="8"/>
        <v>0.54739066818403515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'[87]Sch C'!D40</f>
        <v>2844</v>
      </c>
      <c r="D60" s="480">
        <f>'[87]Sch C'!F40</f>
        <v>-1086</v>
      </c>
      <c r="E60" s="480">
        <f>+'[87]Sch C'!H40</f>
        <v>0</v>
      </c>
      <c r="F60" s="166">
        <f t="shared" si="5"/>
        <v>1758</v>
      </c>
      <c r="G60" s="626"/>
      <c r="H60" s="166"/>
      <c r="I60" s="166">
        <f t="shared" si="6"/>
        <v>1758</v>
      </c>
      <c r="J60" s="167">
        <f t="shared" si="7"/>
        <v>6.3810858517388458E-4</v>
      </c>
      <c r="K60" s="458"/>
      <c r="L60" s="163"/>
      <c r="M60" s="163"/>
      <c r="O60" s="324">
        <f t="shared" si="8"/>
        <v>0.28580718582344333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'[87]Sch C'!D41</f>
        <v>804</v>
      </c>
      <c r="D61" s="480">
        <f>'[87]Sch C'!F41</f>
        <v>0</v>
      </c>
      <c r="E61" s="480">
        <f>+'[87]Sch C'!H41</f>
        <v>0</v>
      </c>
      <c r="F61" s="166">
        <f t="shared" si="5"/>
        <v>804</v>
      </c>
      <c r="G61" s="626"/>
      <c r="H61" s="166"/>
      <c r="I61" s="166">
        <f t="shared" si="6"/>
        <v>804</v>
      </c>
      <c r="J61" s="167">
        <f t="shared" si="7"/>
        <v>2.91831230079524E-4</v>
      </c>
      <c r="K61" s="458"/>
      <c r="L61" s="163"/>
      <c r="M61" s="163"/>
      <c r="O61" s="324">
        <f t="shared" si="8"/>
        <v>0.13071045358478295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'[87]Sch C'!D42</f>
        <v>935</v>
      </c>
      <c r="D62" s="480">
        <f>'[87]Sch C'!F42</f>
        <v>0</v>
      </c>
      <c r="E62" s="480">
        <f>+'[87]Sch C'!H42</f>
        <v>0</v>
      </c>
      <c r="F62" s="166">
        <f t="shared" si="5"/>
        <v>935</v>
      </c>
      <c r="G62" s="626"/>
      <c r="H62" s="166"/>
      <c r="I62" s="166">
        <f t="shared" si="6"/>
        <v>935</v>
      </c>
      <c r="J62" s="167">
        <f t="shared" si="7"/>
        <v>3.3938084592581461E-4</v>
      </c>
      <c r="K62" s="458"/>
      <c r="L62" s="163"/>
      <c r="M62" s="163"/>
      <c r="O62" s="324">
        <f t="shared" si="8"/>
        <v>0.15200780360916924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'[87]Sch C'!D43</f>
        <v>4395</v>
      </c>
      <c r="D63" s="480">
        <f>'[87]Sch C'!F43</f>
        <v>-4395</v>
      </c>
      <c r="E63" s="480">
        <f>+'[87]Sch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'[87]Sch C'!D44</f>
        <v>0</v>
      </c>
      <c r="D64" s="480">
        <f>'[87]Sch C'!F44</f>
        <v>0</v>
      </c>
      <c r="E64" s="480">
        <f>+'[87]Sch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'[87]Sch C'!D45</f>
        <v>1813</v>
      </c>
      <c r="D65" s="480">
        <f>'[87]Sch C'!F45</f>
        <v>-13875</v>
      </c>
      <c r="E65" s="480">
        <f>+'[87]Sch C'!H45</f>
        <v>0</v>
      </c>
      <c r="F65" s="166">
        <f t="shared" si="5"/>
        <v>-12062</v>
      </c>
      <c r="G65" s="626"/>
      <c r="H65" s="166"/>
      <c r="I65" s="166">
        <f t="shared" si="6"/>
        <v>-12062</v>
      </c>
      <c r="J65" s="167">
        <f t="shared" si="7"/>
        <v>-4.3781943995263913E-3</v>
      </c>
      <c r="K65" s="458"/>
      <c r="L65" s="163"/>
      <c r="M65" s="163"/>
      <c r="O65" s="324">
        <f t="shared" si="8"/>
        <v>-1.9609819541537961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558499</v>
      </c>
      <c r="D66" s="480">
        <f t="shared" si="9"/>
        <v>-218781</v>
      </c>
      <c r="E66" s="480">
        <f t="shared" si="9"/>
        <v>20338</v>
      </c>
      <c r="F66" s="166">
        <f t="shared" ref="F66:I66" si="10">SUM(F30:F65)</f>
        <v>360056</v>
      </c>
      <c r="G66" s="166">
        <f t="shared" si="10"/>
        <v>-14462</v>
      </c>
      <c r="H66" s="166">
        <f t="shared" si="10"/>
        <v>0</v>
      </c>
      <c r="I66" s="166">
        <f t="shared" si="10"/>
        <v>345594</v>
      </c>
      <c r="J66" s="178">
        <f t="shared" si="7"/>
        <v>0.12544169418918286</v>
      </c>
      <c r="K66" s="465"/>
      <c r="L66" s="163"/>
      <c r="M66" s="163"/>
      <c r="O66" s="329">
        <f>I66/I$233</f>
        <v>56.185010567387415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'[87]Sch C'!D57</f>
        <v>0</v>
      </c>
      <c r="D69" s="480">
        <f>'[87]Sch C'!F57</f>
        <v>0</v>
      </c>
      <c r="E69" s="480">
        <f>+'[87]Sch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'[87]Sch C'!D58</f>
        <v>191916</v>
      </c>
      <c r="D70" s="480">
        <f>'[87]Sch C'!F58</f>
        <v>0</v>
      </c>
      <c r="E70" s="480">
        <f>+'[87]Sch C'!H58</f>
        <v>0</v>
      </c>
      <c r="F70" s="166">
        <f t="shared" ref="F70:F83" si="13">C70+D70+E70</f>
        <v>191916</v>
      </c>
      <c r="G70" s="626"/>
      <c r="H70" s="166"/>
      <c r="I70" s="166">
        <f t="shared" ref="I70:I83" si="14">F70+G70+H70</f>
        <v>191916</v>
      </c>
      <c r="J70" s="167">
        <f t="shared" si="11"/>
        <v>6.9660550188982498E-2</v>
      </c>
      <c r="K70" s="458"/>
      <c r="L70" s="182"/>
      <c r="M70" s="163"/>
      <c r="O70" s="324">
        <f t="shared" si="12"/>
        <v>31.200780360916923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'[87]Sch C'!D59</f>
        <v>149018</v>
      </c>
      <c r="D71" s="480">
        <f>'[87]Sch C'!F59</f>
        <v>0</v>
      </c>
      <c r="E71" s="480">
        <f>+'[87]Sch C'!H59</f>
        <v>0</v>
      </c>
      <c r="F71" s="166">
        <f t="shared" si="13"/>
        <v>149018</v>
      </c>
      <c r="G71" s="626"/>
      <c r="H71" s="166"/>
      <c r="I71" s="166">
        <f t="shared" si="14"/>
        <v>149018</v>
      </c>
      <c r="J71" s="167">
        <f t="shared" si="11"/>
        <v>5.4089684383072774E-2</v>
      </c>
      <c r="K71" s="458"/>
      <c r="L71" s="182"/>
      <c r="M71" s="163"/>
      <c r="O71" s="324">
        <f t="shared" si="12"/>
        <v>24.226629816290036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'[87]Sch C'!D60</f>
        <v>40600</v>
      </c>
      <c r="D72" s="480">
        <f>'[87]Sch C'!F60</f>
        <v>0</v>
      </c>
      <c r="E72" s="480">
        <f>+'[87]Sch C'!H60</f>
        <v>0</v>
      </c>
      <c r="F72" s="166">
        <f t="shared" si="13"/>
        <v>40600</v>
      </c>
      <c r="G72" s="626"/>
      <c r="H72" s="166"/>
      <c r="I72" s="166">
        <f t="shared" si="14"/>
        <v>40600</v>
      </c>
      <c r="J72" s="167">
        <f t="shared" si="11"/>
        <v>1.4736751170682431E-2</v>
      </c>
      <c r="K72" s="458"/>
      <c r="L72" s="185"/>
      <c r="M72" s="163"/>
      <c r="O72" s="324">
        <f t="shared" si="12"/>
        <v>6.6005527556494883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'[87]Sch C'!D61</f>
        <v>0</v>
      </c>
      <c r="D73" s="480">
        <f>'[87]Sch C'!F61</f>
        <v>0</v>
      </c>
      <c r="E73" s="480">
        <f>+'[87]Sch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'[87]Sch C'!D62</f>
        <v>0</v>
      </c>
      <c r="D74" s="480">
        <f>'[87]Sch C'!F62</f>
        <v>0</v>
      </c>
      <c r="E74" s="480">
        <f>+'[87]Sch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'[87]Sch C'!D63</f>
        <v>0</v>
      </c>
      <c r="D75" s="480">
        <f>'[87]Sch C'!F63</f>
        <v>0</v>
      </c>
      <c r="E75" s="480">
        <f>+'[87]Sch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'[87]Sch C'!D64</f>
        <v>0</v>
      </c>
      <c r="D76" s="480">
        <f>'[87]Sch C'!F64</f>
        <v>0</v>
      </c>
      <c r="E76" s="480">
        <f>+'[87]Sch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'[87]Sch C'!D65</f>
        <v>734</v>
      </c>
      <c r="D77" s="480">
        <f>'[87]Sch C'!F65</f>
        <v>0</v>
      </c>
      <c r="E77" s="480">
        <f>+'[87]Sch C'!H65</f>
        <v>0</v>
      </c>
      <c r="F77" s="166">
        <f t="shared" si="13"/>
        <v>734</v>
      </c>
      <c r="G77" s="626"/>
      <c r="H77" s="166"/>
      <c r="I77" s="166">
        <f t="shared" si="14"/>
        <v>734</v>
      </c>
      <c r="J77" s="167">
        <f t="shared" si="11"/>
        <v>2.6642303840593361E-4</v>
      </c>
      <c r="K77" s="458"/>
      <c r="L77" s="187"/>
      <c r="M77" s="163"/>
      <c r="O77" s="324">
        <f t="shared" si="12"/>
        <v>0.1193301902129735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'[87]Sch C'!D66</f>
        <v>12640</v>
      </c>
      <c r="D78" s="480">
        <f>'[87]Sch C'!F66</f>
        <v>0</v>
      </c>
      <c r="E78" s="480">
        <f>+'[87]Sch C'!H66</f>
        <v>0</v>
      </c>
      <c r="F78" s="166">
        <f t="shared" si="13"/>
        <v>12640</v>
      </c>
      <c r="G78" s="626"/>
      <c r="H78" s="166"/>
      <c r="I78" s="166">
        <f t="shared" si="14"/>
        <v>12640</v>
      </c>
      <c r="J78" s="167">
        <f t="shared" si="11"/>
        <v>4.5879934679168947E-3</v>
      </c>
      <c r="K78" s="458"/>
      <c r="L78" s="187"/>
      <c r="M78" s="163"/>
      <c r="O78" s="324">
        <f t="shared" si="12"/>
        <v>2.0549504145667372</v>
      </c>
      <c r="P78" s="324">
        <f>SUMMARY!L80</f>
        <v>1.1839694573213462</v>
      </c>
    </row>
    <row r="79" spans="1:16" s="162" customFormat="1">
      <c r="A79" s="140">
        <v>330</v>
      </c>
      <c r="B79" s="600" t="s">
        <v>244</v>
      </c>
      <c r="C79" s="480">
        <f>'[87]Sch C'!D67</f>
        <v>0</v>
      </c>
      <c r="D79" s="480">
        <f>'[87]Sch C'!F67</f>
        <v>0</v>
      </c>
      <c r="E79" s="480">
        <f>+'[87]Sch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'[87]Sch C'!D68</f>
        <v>0</v>
      </c>
      <c r="D80" s="480">
        <f>'[87]Sch C'!F68</f>
        <v>0</v>
      </c>
      <c r="E80" s="480">
        <f>+'[87]Sch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'[87]Sch C'!D69</f>
        <v>0</v>
      </c>
      <c r="D81" s="480">
        <f>'[87]Sch C'!F69</f>
        <v>0</v>
      </c>
      <c r="E81" s="480">
        <f>+'[87]Sch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'[87]Sch C'!D70</f>
        <v>0</v>
      </c>
      <c r="D82" s="480">
        <f>'[87]Sch C'!F70</f>
        <v>0</v>
      </c>
      <c r="E82" s="480">
        <f>+'[87]Sch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'[87]Sch C'!D71</f>
        <v>0</v>
      </c>
      <c r="D83" s="480">
        <f>'[87]Sch C'!F71</f>
        <v>0</v>
      </c>
      <c r="E83" s="480">
        <f>+'[87]Sch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394908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394908</v>
      </c>
      <c r="G84" s="166">
        <f t="shared" si="16"/>
        <v>0</v>
      </c>
      <c r="H84" s="166">
        <f t="shared" si="16"/>
        <v>0</v>
      </c>
      <c r="I84" s="166">
        <f t="shared" si="16"/>
        <v>394908</v>
      </c>
      <c r="J84" s="167">
        <f t="shared" si="11"/>
        <v>0.14334140224906053</v>
      </c>
      <c r="K84" s="458"/>
      <c r="L84" s="187"/>
      <c r="M84" s="163"/>
      <c r="O84" s="324">
        <f t="shared" si="12"/>
        <v>64.20224353763615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'[87]Sch C'!D75</f>
        <v>17160</v>
      </c>
      <c r="D87" s="480">
        <f>'[87]Sch C'!F75</f>
        <v>0</v>
      </c>
      <c r="E87" s="480">
        <f>+'[87]Sch C'!H75</f>
        <v>0</v>
      </c>
      <c r="F87" s="166">
        <f t="shared" ref="F87:F97" si="17">C87+D87+E87</f>
        <v>17160</v>
      </c>
      <c r="G87" s="626"/>
      <c r="H87" s="166"/>
      <c r="I87" s="166">
        <f t="shared" ref="I87:I97" si="18">F87+G87+H87</f>
        <v>17160</v>
      </c>
      <c r="J87" s="167">
        <f t="shared" ref="J87:J98" si="19">IF($I$213=0,0,I87/$I$213)</f>
        <v>6.2286367016973036E-3</v>
      </c>
      <c r="K87" s="458"/>
      <c r="L87" s="176">
        <v>654.09000000000015</v>
      </c>
      <c r="M87" s="176">
        <v>652</v>
      </c>
      <c r="O87" s="324">
        <f t="shared" ref="O87:O97" si="20">I87/I$233</f>
        <v>2.7897902780035766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'[87]Sch C'!D76</f>
        <v>0</v>
      </c>
      <c r="D88" s="480">
        <f>'[87]Sch C'!F76</f>
        <v>2849</v>
      </c>
      <c r="E88" s="480">
        <f>+'[87]Sch C'!H76</f>
        <v>0</v>
      </c>
      <c r="F88" s="166">
        <f t="shared" si="17"/>
        <v>2849</v>
      </c>
      <c r="G88" s="626">
        <v>-164</v>
      </c>
      <c r="H88" s="166"/>
      <c r="I88" s="166">
        <f t="shared" si="18"/>
        <v>2685</v>
      </c>
      <c r="J88" s="167">
        <f t="shared" si="19"/>
        <v>9.7458563776557454E-4</v>
      </c>
      <c r="K88" s="458"/>
      <c r="L88" s="163"/>
      <c r="M88" s="163"/>
      <c r="O88" s="324">
        <f t="shared" si="20"/>
        <v>0.43651438790440578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'[87]Sch C'!D77</f>
        <v>2993</v>
      </c>
      <c r="D89" s="480">
        <f>'[87]Sch C'!F77</f>
        <v>0</v>
      </c>
      <c r="E89" s="480">
        <f>+'[87]Sch C'!H77</f>
        <v>0</v>
      </c>
      <c r="F89" s="166">
        <f t="shared" si="17"/>
        <v>2993</v>
      </c>
      <c r="G89" s="626"/>
      <c r="H89" s="166"/>
      <c r="I89" s="166">
        <f t="shared" si="18"/>
        <v>2993</v>
      </c>
      <c r="J89" s="167">
        <f t="shared" si="19"/>
        <v>1.0863816811293723E-3</v>
      </c>
      <c r="K89" s="458"/>
      <c r="L89" s="163"/>
      <c r="M89" s="163"/>
      <c r="O89" s="324">
        <f t="shared" si="20"/>
        <v>0.48658754674036742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'[87]Sch C'!D78</f>
        <v>21906</v>
      </c>
      <c r="D90" s="480">
        <f>'[87]Sch C'!F78</f>
        <v>0</v>
      </c>
      <c r="E90" s="480">
        <f>+'[87]Sch C'!H78</f>
        <v>0</v>
      </c>
      <c r="F90" s="166">
        <f t="shared" si="17"/>
        <v>21906</v>
      </c>
      <c r="G90" s="626"/>
      <c r="H90" s="166"/>
      <c r="I90" s="166">
        <f t="shared" si="18"/>
        <v>21906</v>
      </c>
      <c r="J90" s="167">
        <f t="shared" si="19"/>
        <v>7.9513120971667333E-3</v>
      </c>
      <c r="K90" s="458"/>
      <c r="L90" s="163"/>
      <c r="M90" s="163"/>
      <c r="O90" s="324">
        <f t="shared" si="20"/>
        <v>3.5613721346122582</v>
      </c>
      <c r="P90" s="324">
        <f>SUMMARY!L92</f>
        <v>0.24523901522861224</v>
      </c>
    </row>
    <row r="91" spans="1:16" s="162" customFormat="1">
      <c r="A91" s="164">
        <v>240</v>
      </c>
      <c r="B91" s="601" t="s">
        <v>248</v>
      </c>
      <c r="C91" s="480">
        <f>'[87]Sch C'!D79</f>
        <v>-3239</v>
      </c>
      <c r="D91" s="480">
        <f>'[87]Sch C'!F79</f>
        <v>0</v>
      </c>
      <c r="E91" s="480">
        <f>+'[87]Sch C'!H79</f>
        <v>0</v>
      </c>
      <c r="F91" s="166">
        <f t="shared" si="17"/>
        <v>-3239</v>
      </c>
      <c r="G91" s="626"/>
      <c r="H91" s="166"/>
      <c r="I91" s="166">
        <f t="shared" si="18"/>
        <v>-3239</v>
      </c>
      <c r="J91" s="167">
        <f t="shared" si="19"/>
        <v>-1.1756733261537042E-3</v>
      </c>
      <c r="K91" s="458"/>
      <c r="L91" s="163"/>
      <c r="M91" s="163"/>
      <c r="O91" s="324">
        <f t="shared" si="20"/>
        <v>-0.52658104373272641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'[87]Sch C'!D80</f>
        <v>4994</v>
      </c>
      <c r="D92" s="480">
        <f>'[87]Sch C'!F80</f>
        <v>0</v>
      </c>
      <c r="E92" s="480">
        <f>+'[87]Sch C'!H80</f>
        <v>0</v>
      </c>
      <c r="F92" s="166">
        <f t="shared" si="17"/>
        <v>4994</v>
      </c>
      <c r="G92" s="626"/>
      <c r="H92" s="166"/>
      <c r="I92" s="166">
        <f t="shared" si="18"/>
        <v>4994</v>
      </c>
      <c r="J92" s="167">
        <f t="shared" si="19"/>
        <v>1.8126929888272923E-3</v>
      </c>
      <c r="K92" s="458"/>
      <c r="L92" s="163"/>
      <c r="M92" s="163"/>
      <c r="O92" s="324">
        <f t="shared" si="20"/>
        <v>0.81190050398309221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'[87]Sch C'!D81</f>
        <v>16</v>
      </c>
      <c r="D93" s="480">
        <f>'[87]Sch C'!F81</f>
        <v>0</v>
      </c>
      <c r="E93" s="480">
        <f>+'[87]Sch C'!H81</f>
        <v>0</v>
      </c>
      <c r="F93" s="166">
        <f t="shared" si="17"/>
        <v>16</v>
      </c>
      <c r="G93" s="626"/>
      <c r="H93" s="166"/>
      <c r="I93" s="166">
        <f t="shared" si="18"/>
        <v>16</v>
      </c>
      <c r="J93" s="167">
        <f t="shared" si="19"/>
        <v>5.807586668249234E-6</v>
      </c>
      <c r="K93" s="458"/>
      <c r="L93" s="163"/>
      <c r="M93" s="163"/>
      <c r="O93" s="324">
        <f t="shared" si="20"/>
        <v>2.6012030564135911E-3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'[87]Sch C'!D82</f>
        <v>0</v>
      </c>
      <c r="D94" s="480">
        <f>'[87]Sch C'!F82</f>
        <v>0</v>
      </c>
      <c r="E94" s="480">
        <f>+'[87]Sch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'[87]Sch C'!D83</f>
        <v>4108</v>
      </c>
      <c r="D95" s="480">
        <f>'[87]Sch C'!F83</f>
        <v>0</v>
      </c>
      <c r="E95" s="480">
        <f>+'[87]Sch C'!H83</f>
        <v>0</v>
      </c>
      <c r="F95" s="166">
        <f t="shared" si="17"/>
        <v>4108</v>
      </c>
      <c r="G95" s="626"/>
      <c r="H95" s="166"/>
      <c r="I95" s="166">
        <f t="shared" si="18"/>
        <v>4108</v>
      </c>
      <c r="J95" s="167">
        <f t="shared" si="19"/>
        <v>1.4910978770729909E-3</v>
      </c>
      <c r="K95" s="458"/>
      <c r="L95" s="163"/>
      <c r="M95" s="163"/>
      <c r="O95" s="324">
        <f t="shared" si="20"/>
        <v>0.66785888473418953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'[87]Sch C'!D84</f>
        <v>38624</v>
      </c>
      <c r="D96" s="480">
        <f>'[87]Sch C'!F84</f>
        <v>0</v>
      </c>
      <c r="E96" s="480">
        <f>+'[87]Sch C'!H84</f>
        <v>0</v>
      </c>
      <c r="F96" s="166">
        <f t="shared" si="17"/>
        <v>38624</v>
      </c>
      <c r="G96" s="626"/>
      <c r="H96" s="166"/>
      <c r="I96" s="166">
        <f t="shared" si="18"/>
        <v>38624</v>
      </c>
      <c r="J96" s="167">
        <f t="shared" si="19"/>
        <v>1.4019514217153651E-2</v>
      </c>
      <c r="K96" s="458"/>
      <c r="L96" s="163"/>
      <c r="M96" s="163"/>
      <c r="O96" s="324">
        <f t="shared" si="20"/>
        <v>6.279304178182409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'[87]Sch C'!D85</f>
        <v>0</v>
      </c>
      <c r="D97" s="480">
        <f>'[87]Sch C'!F85</f>
        <v>0</v>
      </c>
      <c r="E97" s="480">
        <f>+'[87]Sch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86562</v>
      </c>
      <c r="D98" s="480">
        <f t="shared" si="21"/>
        <v>2849</v>
      </c>
      <c r="E98" s="480">
        <f t="shared" si="21"/>
        <v>0</v>
      </c>
      <c r="F98" s="166">
        <f t="shared" ref="F98:I98" si="22">SUM(F87:F97)</f>
        <v>89411</v>
      </c>
      <c r="G98" s="166">
        <f t="shared" si="22"/>
        <v>-164</v>
      </c>
      <c r="H98" s="166">
        <f t="shared" si="22"/>
        <v>0</v>
      </c>
      <c r="I98" s="166">
        <f t="shared" si="22"/>
        <v>89247</v>
      </c>
      <c r="J98" s="167">
        <f t="shared" si="19"/>
        <v>3.2394355461327462E-2</v>
      </c>
      <c r="K98" s="458"/>
      <c r="L98" s="163"/>
      <c r="M98" s="163"/>
      <c r="O98" s="329">
        <f>I98/I$233</f>
        <v>14.509348073483986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'[87]Sch C'!D89</f>
        <v>109265</v>
      </c>
      <c r="D101" s="480">
        <f>'[87]Sch C'!F89</f>
        <v>0</v>
      </c>
      <c r="E101" s="480">
        <f>+'[87]Sch C'!H89</f>
        <v>0</v>
      </c>
      <c r="F101" s="166">
        <f t="shared" ref="F101:F106" si="23">C101+D101+E101</f>
        <v>109265</v>
      </c>
      <c r="G101" s="626"/>
      <c r="H101" s="166"/>
      <c r="I101" s="166">
        <f t="shared" ref="I101:I106" si="24">F101+G101+H101</f>
        <v>109265</v>
      </c>
      <c r="J101" s="167">
        <f t="shared" ref="J101:J107" si="25">IF($I$213=0,0,I101/$I$213)</f>
        <v>3.9660372331640784E-2</v>
      </c>
      <c r="K101" s="458"/>
      <c r="L101" s="176">
        <v>8189</v>
      </c>
      <c r="M101" s="176">
        <v>8565</v>
      </c>
      <c r="O101" s="329">
        <f t="shared" ref="O101:O106" si="26">I101/I$233</f>
        <v>17.76377824743944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'[87]Sch C'!D90</f>
        <v>0</v>
      </c>
      <c r="D102" s="480">
        <f>'[87]Sch C'!F90</f>
        <v>18141</v>
      </c>
      <c r="E102" s="480">
        <f>+'[87]Sch C'!H90</f>
        <v>0</v>
      </c>
      <c r="F102" s="166">
        <f t="shared" si="23"/>
        <v>18141</v>
      </c>
      <c r="G102" s="626">
        <v>-1043</v>
      </c>
      <c r="H102" s="166"/>
      <c r="I102" s="166">
        <f t="shared" si="24"/>
        <v>17098</v>
      </c>
      <c r="J102" s="167">
        <f t="shared" si="25"/>
        <v>6.2061323033578376E-3</v>
      </c>
      <c r="K102" s="458"/>
      <c r="L102" s="163"/>
      <c r="M102" s="163"/>
      <c r="O102" s="329">
        <f t="shared" si="26"/>
        <v>2.7797106161599738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'[87]Sch C'!D91</f>
        <v>7782</v>
      </c>
      <c r="D103" s="480">
        <f>'[87]Sch C'!F91</f>
        <v>0</v>
      </c>
      <c r="E103" s="480">
        <f>+'[87]Sch C'!H91</f>
        <v>0</v>
      </c>
      <c r="F103" s="166">
        <f t="shared" si="23"/>
        <v>7782</v>
      </c>
      <c r="G103" s="626"/>
      <c r="H103" s="166"/>
      <c r="I103" s="166">
        <f t="shared" si="24"/>
        <v>7782</v>
      </c>
      <c r="J103" s="167">
        <f t="shared" si="25"/>
        <v>2.8246649657697213E-3</v>
      </c>
      <c r="K103" s="458"/>
      <c r="L103" s="163"/>
      <c r="M103" s="163"/>
      <c r="O103" s="329">
        <f t="shared" si="26"/>
        <v>1.2651601365631604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'[87]Sch C'!D92</f>
        <v>68882</v>
      </c>
      <c r="D104" s="480">
        <f>'[87]Sch C'!F92</f>
        <v>-3397</v>
      </c>
      <c r="E104" s="480">
        <f>+'[87]Sch C'!H92</f>
        <v>0</v>
      </c>
      <c r="F104" s="166">
        <f t="shared" si="23"/>
        <v>65485</v>
      </c>
      <c r="G104" s="626"/>
      <c r="H104" s="166"/>
      <c r="I104" s="166">
        <f t="shared" si="24"/>
        <v>65485</v>
      </c>
      <c r="J104" s="167">
        <f t="shared" si="25"/>
        <v>2.3769363310643818E-2</v>
      </c>
      <c r="K104" s="458"/>
      <c r="L104" s="163"/>
      <c r="M104" s="163"/>
      <c r="O104" s="329">
        <f t="shared" si="26"/>
        <v>10.646236384327752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'[87]Sch C'!D93</f>
        <v>4569</v>
      </c>
      <c r="D105" s="480">
        <f>'[87]Sch C'!F93</f>
        <v>0</v>
      </c>
      <c r="E105" s="480">
        <f>+'[87]Sch C'!H93</f>
        <v>0</v>
      </c>
      <c r="F105" s="166">
        <f t="shared" si="23"/>
        <v>4569</v>
      </c>
      <c r="G105" s="626"/>
      <c r="H105" s="166"/>
      <c r="I105" s="166">
        <f t="shared" si="24"/>
        <v>4569</v>
      </c>
      <c r="J105" s="167">
        <f t="shared" si="25"/>
        <v>1.6584289679519219E-3</v>
      </c>
      <c r="K105" s="458"/>
      <c r="L105" s="163"/>
      <c r="M105" s="163"/>
      <c r="O105" s="329">
        <f t="shared" si="26"/>
        <v>0.74280604779710613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'[87]Sch C'!D94</f>
        <v>0</v>
      </c>
      <c r="D106" s="480">
        <f>'[87]Sch C'!F94</f>
        <v>0</v>
      </c>
      <c r="E106" s="480">
        <f>+'[87]Sch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190498</v>
      </c>
      <c r="D107" s="480">
        <f t="shared" si="27"/>
        <v>14744</v>
      </c>
      <c r="E107" s="480">
        <f t="shared" si="27"/>
        <v>0</v>
      </c>
      <c r="F107" s="166">
        <f t="shared" ref="F107:I107" si="28">SUM(F101:F106)</f>
        <v>205242</v>
      </c>
      <c r="G107" s="166">
        <f t="shared" si="28"/>
        <v>-1043</v>
      </c>
      <c r="H107" s="166">
        <f t="shared" si="28"/>
        <v>0</v>
      </c>
      <c r="I107" s="166">
        <f t="shared" si="28"/>
        <v>204199</v>
      </c>
      <c r="J107" s="167">
        <f t="shared" si="25"/>
        <v>7.4118961879364079E-2</v>
      </c>
      <c r="K107" s="458"/>
      <c r="L107" s="163"/>
      <c r="M107" s="163"/>
      <c r="O107" s="329">
        <f>I107/I$233</f>
        <v>33.197691432287435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'[87]Sch C'!D98</f>
        <v>0</v>
      </c>
      <c r="D110" s="480">
        <f>'[87]Sch C'!F98</f>
        <v>0</v>
      </c>
      <c r="E110" s="480">
        <f>+'[87]Sch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'[87]Sch C'!D99</f>
        <v>0</v>
      </c>
      <c r="D111" s="480">
        <f>'[87]Sch C'!F99</f>
        <v>0</v>
      </c>
      <c r="E111" s="480">
        <f>+'[87]Sch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'[87]Sch C'!D100</f>
        <v>459</v>
      </c>
      <c r="D112" s="480">
        <f>'[87]Sch C'!F100</f>
        <v>0</v>
      </c>
      <c r="E112" s="480">
        <f>+'[87]Sch C'!H100</f>
        <v>0</v>
      </c>
      <c r="F112" s="166">
        <f t="shared" si="29"/>
        <v>459</v>
      </c>
      <c r="G112" s="626"/>
      <c r="H112" s="166"/>
      <c r="I112" s="166">
        <f t="shared" si="30"/>
        <v>459</v>
      </c>
      <c r="J112" s="167">
        <f t="shared" si="31"/>
        <v>1.6660514254539989E-4</v>
      </c>
      <c r="K112" s="458"/>
      <c r="L112" s="163"/>
      <c r="M112" s="163"/>
      <c r="O112" s="329">
        <f t="shared" si="32"/>
        <v>7.4622012680864894E-2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'[87]Sch C'!D101</f>
        <v>0</v>
      </c>
      <c r="D113" s="480">
        <f>'[87]Sch C'!F101</f>
        <v>0</v>
      </c>
      <c r="E113" s="480">
        <f>+'[87]Sch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'[87]Sch C'!D102</f>
        <v>0</v>
      </c>
      <c r="D114" s="480">
        <f>'[87]Sch C'!F102</f>
        <v>0</v>
      </c>
      <c r="E114" s="480">
        <f>+'[87]Sch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'[87]Sch C'!D103</f>
        <v>0</v>
      </c>
      <c r="D115" s="480">
        <f>'[87]Sch C'!F103</f>
        <v>0</v>
      </c>
      <c r="E115" s="480">
        <f>+'[87]Sch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459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459</v>
      </c>
      <c r="G116" s="166">
        <f t="shared" si="34"/>
        <v>0</v>
      </c>
      <c r="H116" s="166">
        <f t="shared" si="34"/>
        <v>0</v>
      </c>
      <c r="I116" s="166">
        <f t="shared" si="34"/>
        <v>459</v>
      </c>
      <c r="J116" s="167">
        <f t="shared" si="31"/>
        <v>1.6660514254539989E-4</v>
      </c>
      <c r="K116" s="458"/>
      <c r="L116" s="163"/>
      <c r="M116" s="163"/>
      <c r="O116" s="329">
        <f>I116/I$233</f>
        <v>7.4622012680864894E-2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'[87]Sch C'!D115</f>
        <v>41604</v>
      </c>
      <c r="D119" s="480">
        <f>'[87]Sch C'!F115</f>
        <v>0</v>
      </c>
      <c r="E119" s="480">
        <f>+'[87]Sch C'!H115</f>
        <v>0</v>
      </c>
      <c r="F119" s="166">
        <f t="shared" ref="F119:F123" si="35">C119+D119+E119</f>
        <v>41604</v>
      </c>
      <c r="G119" s="626"/>
      <c r="H119" s="166"/>
      <c r="I119" s="166">
        <f t="shared" ref="I119:I123" si="36">F119+G119+H119</f>
        <v>41604</v>
      </c>
      <c r="J119" s="167">
        <f t="shared" ref="J119:J124" si="37">IF($I$213=0,0,I119/$I$213)</f>
        <v>1.5101177234115071E-2</v>
      </c>
      <c r="K119" s="458"/>
      <c r="L119" s="176">
        <v>3374</v>
      </c>
      <c r="M119" s="176">
        <v>3610</v>
      </c>
      <c r="O119" s="329">
        <f t="shared" ref="O119:O124" si="38">I119/I$233</f>
        <v>6.7637782474394408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'[87]Sch C'!D116</f>
        <v>0</v>
      </c>
      <c r="D120" s="480">
        <f>'[87]Sch C'!F116</f>
        <v>6908</v>
      </c>
      <c r="E120" s="480">
        <f>+'[87]Sch C'!H116</f>
        <v>0</v>
      </c>
      <c r="F120" s="166">
        <f t="shared" si="35"/>
        <v>6908</v>
      </c>
      <c r="G120" s="626">
        <v>-398</v>
      </c>
      <c r="H120" s="166"/>
      <c r="I120" s="166">
        <f t="shared" si="36"/>
        <v>6510</v>
      </c>
      <c r="J120" s="167">
        <f t="shared" si="37"/>
        <v>2.3629618256439072E-3</v>
      </c>
      <c r="K120" s="458"/>
      <c r="L120" s="163"/>
      <c r="M120" s="163"/>
      <c r="O120" s="329">
        <f t="shared" si="38"/>
        <v>1.0583644935782799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'[87]Sch C'!D117</f>
        <v>5562</v>
      </c>
      <c r="D121" s="480">
        <f>'[87]Sch C'!F117</f>
        <v>0</v>
      </c>
      <c r="E121" s="480">
        <f>+'[87]Sch C'!H117</f>
        <v>0</v>
      </c>
      <c r="F121" s="166">
        <f t="shared" si="35"/>
        <v>5562</v>
      </c>
      <c r="G121" s="626"/>
      <c r="H121" s="166"/>
      <c r="I121" s="166">
        <f t="shared" si="36"/>
        <v>5562</v>
      </c>
      <c r="J121" s="167">
        <f t="shared" si="37"/>
        <v>2.01886231555014E-3</v>
      </c>
      <c r="K121" s="458"/>
      <c r="L121" s="163"/>
      <c r="M121" s="163"/>
      <c r="O121" s="329">
        <f t="shared" si="38"/>
        <v>0.90424321248577466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'[87]Sch C'!D118</f>
        <v>0</v>
      </c>
      <c r="D122" s="480">
        <f>'[87]Sch C'!F118</f>
        <v>0</v>
      </c>
      <c r="E122" s="480">
        <f>+'[87]Sch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'[87]Sch C'!D119</f>
        <v>80</v>
      </c>
      <c r="D123" s="480">
        <f>'[87]Sch C'!F119</f>
        <v>0</v>
      </c>
      <c r="E123" s="480">
        <f>+'[87]Sch C'!H119</f>
        <v>0</v>
      </c>
      <c r="F123" s="166">
        <f t="shared" si="35"/>
        <v>80</v>
      </c>
      <c r="G123" s="626"/>
      <c r="H123" s="166"/>
      <c r="I123" s="166">
        <f t="shared" si="36"/>
        <v>80</v>
      </c>
      <c r="J123" s="167">
        <f t="shared" si="37"/>
        <v>2.9037933341246171E-5</v>
      </c>
      <c r="K123" s="458"/>
      <c r="L123" s="163"/>
      <c r="M123" s="163"/>
      <c r="O123" s="329">
        <f t="shared" si="38"/>
        <v>1.3006015282067957E-2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47246</v>
      </c>
      <c r="D124" s="480">
        <f t="shared" si="39"/>
        <v>6908</v>
      </c>
      <c r="E124" s="480">
        <f t="shared" si="39"/>
        <v>0</v>
      </c>
      <c r="F124" s="166">
        <f t="shared" ref="F124:I124" si="40">SUM(F119:F123)</f>
        <v>54154</v>
      </c>
      <c r="G124" s="166">
        <f t="shared" si="40"/>
        <v>-398</v>
      </c>
      <c r="H124" s="166">
        <f t="shared" si="40"/>
        <v>0</v>
      </c>
      <c r="I124" s="166">
        <f t="shared" si="40"/>
        <v>53756</v>
      </c>
      <c r="J124" s="167">
        <f t="shared" si="37"/>
        <v>1.9512039308650364E-2</v>
      </c>
      <c r="K124" s="458"/>
      <c r="L124" s="163"/>
      <c r="M124" s="163"/>
      <c r="O124" s="329">
        <f t="shared" si="38"/>
        <v>8.7393919687855632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'[87]Sch C'!D124</f>
        <v>0</v>
      </c>
      <c r="D128" s="480">
        <f>'[87]Sch C'!F124</f>
        <v>0</v>
      </c>
      <c r="E128" s="480">
        <f>+'[87]Sch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'[87]Sch C'!D125</f>
        <v>79890</v>
      </c>
      <c r="D129" s="480">
        <f>'[87]Sch C'!F125</f>
        <v>0</v>
      </c>
      <c r="E129" s="480">
        <f>+'[87]Sch C'!H125</f>
        <v>0</v>
      </c>
      <c r="F129" s="166">
        <f t="shared" si="41"/>
        <v>79890</v>
      </c>
      <c r="G129" s="626"/>
      <c r="H129" s="166"/>
      <c r="I129" s="166">
        <f t="shared" si="42"/>
        <v>79890</v>
      </c>
      <c r="J129" s="167">
        <f>IF($I$213=0,0,I129/$I$213)</f>
        <v>2.8998006182901957E-2</v>
      </c>
      <c r="K129" s="458"/>
      <c r="L129" s="176">
        <v>3358</v>
      </c>
      <c r="M129" s="176">
        <v>3600</v>
      </c>
      <c r="O129" s="329">
        <f t="shared" si="43"/>
        <v>12.988132011055113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'[87]Sch C'!D126</f>
        <v>0</v>
      </c>
      <c r="D130" s="480">
        <f>'[87]Sch C'!F126</f>
        <v>0</v>
      </c>
      <c r="E130" s="480">
        <f>+'[87]Sch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'[87]Sch C'!D127</f>
        <v>0</v>
      </c>
      <c r="D131" s="480">
        <f>'[87]Sch C'!F127</f>
        <v>0</v>
      </c>
      <c r="E131" s="480">
        <f>+'[87]Sch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'[87]Sch C'!D128</f>
        <v>73609</v>
      </c>
      <c r="D132" s="480">
        <f>'[87]Sch C'!F128</f>
        <v>0</v>
      </c>
      <c r="E132" s="480">
        <f>+'[87]Sch C'!H128</f>
        <v>0</v>
      </c>
      <c r="F132" s="166">
        <f t="shared" si="41"/>
        <v>73609</v>
      </c>
      <c r="G132" s="626">
        <v>11262</v>
      </c>
      <c r="H132" s="166"/>
      <c r="I132" s="166">
        <f t="shared" si="42"/>
        <v>84871</v>
      </c>
      <c r="J132" s="167">
        <f>IF($I$213=0,0,I132/$I$213)</f>
        <v>3.0805980507561295E-2</v>
      </c>
      <c r="K132" s="458"/>
      <c r="L132" s="176">
        <v>1950</v>
      </c>
      <c r="M132" s="176">
        <v>2014</v>
      </c>
      <c r="O132" s="329">
        <f t="shared" si="43"/>
        <v>13.79791903755487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'[87]Sch C'!D130</f>
        <v>0</v>
      </c>
      <c r="D134" s="480">
        <f>'[87]Sch C'!F130</f>
        <v>0</v>
      </c>
      <c r="E134" s="480">
        <f>+'[87]Sch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'[87]Sch C'!D131</f>
        <v>0</v>
      </c>
      <c r="D135" s="480">
        <f>'[87]Sch C'!F131</f>
        <v>13264</v>
      </c>
      <c r="E135" s="480">
        <f>+'[87]Sch C'!H131</f>
        <v>0</v>
      </c>
      <c r="F135" s="166">
        <f t="shared" si="44"/>
        <v>13264</v>
      </c>
      <c r="G135" s="626">
        <f>-762</f>
        <v>-762</v>
      </c>
      <c r="H135" s="166"/>
      <c r="I135" s="166">
        <f t="shared" si="45"/>
        <v>12502</v>
      </c>
      <c r="J135" s="167">
        <f>IF($I$213=0,0,I135/$I$213)</f>
        <v>4.5379030329032455E-3</v>
      </c>
      <c r="K135" s="458"/>
      <c r="L135" s="196"/>
      <c r="M135" s="196"/>
      <c r="O135" s="329">
        <f t="shared" si="43"/>
        <v>2.0325150382051698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'[87]Sch C'!D132</f>
        <v>0</v>
      </c>
      <c r="D136" s="480">
        <f>'[87]Sch C'!F132</f>
        <v>0</v>
      </c>
      <c r="E136" s="480">
        <f>+'[87]Sch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'[87]Sch C'!D133</f>
        <v>0</v>
      </c>
      <c r="D137" s="480">
        <f>'[87]Sch C'!F133</f>
        <v>0</v>
      </c>
      <c r="E137" s="480">
        <f>+'[87]Sch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'[87]Sch C'!D134</f>
        <v>0</v>
      </c>
      <c r="D138" s="480">
        <f>'[87]Sch C'!F134</f>
        <v>12221</v>
      </c>
      <c r="E138" s="480">
        <f>+'[87]Sch C'!H134</f>
        <v>0</v>
      </c>
      <c r="F138" s="166">
        <f t="shared" si="44"/>
        <v>12221</v>
      </c>
      <c r="G138" s="626">
        <f>1870-702</f>
        <v>1168</v>
      </c>
      <c r="H138" s="166"/>
      <c r="I138" s="166">
        <f t="shared" si="45"/>
        <v>13389</v>
      </c>
      <c r="J138" s="167">
        <f>IF($I$213=0,0,I138/$I$213)</f>
        <v>4.8598611188243124E-3</v>
      </c>
      <c r="K138" s="458"/>
      <c r="L138" s="163"/>
      <c r="M138" s="163"/>
      <c r="O138" s="329">
        <f t="shared" si="43"/>
        <v>2.1767192326450981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'[87]Sch C'!D136</f>
        <v>155332</v>
      </c>
      <c r="D140" s="480">
        <f>'[87]Sch C'!F136</f>
        <v>0</v>
      </c>
      <c r="E140" s="480">
        <f>+'[87]Sch C'!H136</f>
        <v>0</v>
      </c>
      <c r="F140" s="166">
        <f t="shared" ref="F140:F143" si="46">C140+D140+E140</f>
        <v>155332</v>
      </c>
      <c r="G140" s="626"/>
      <c r="H140" s="166"/>
      <c r="I140" s="166">
        <f t="shared" ref="I140:I143" si="47">F140+G140+H140</f>
        <v>155332</v>
      </c>
      <c r="J140" s="167">
        <f>IF($I$213=0,0,I140/$I$213)</f>
        <v>5.6381503272030627E-2</v>
      </c>
      <c r="K140" s="458"/>
      <c r="L140" s="176">
        <v>4744</v>
      </c>
      <c r="M140" s="176">
        <v>4826</v>
      </c>
      <c r="O140" s="329">
        <f t="shared" si="43"/>
        <v>25.253129572427248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'[87]Sch C'!D137</f>
        <v>177922</v>
      </c>
      <c r="D141" s="480">
        <f>'[87]Sch C'!F137</f>
        <v>0</v>
      </c>
      <c r="E141" s="480">
        <f>+'[87]Sch C'!H137</f>
        <v>0</v>
      </c>
      <c r="F141" s="166">
        <f t="shared" si="46"/>
        <v>177922</v>
      </c>
      <c r="G141" s="626"/>
      <c r="H141" s="166"/>
      <c r="I141" s="166">
        <f t="shared" si="47"/>
        <v>177922</v>
      </c>
      <c r="J141" s="167">
        <f>IF($I$213=0,0,I141/$I$213)</f>
        <v>6.4581089699265015E-2</v>
      </c>
      <c r="K141" s="458"/>
      <c r="L141" s="176">
        <v>6143</v>
      </c>
      <c r="M141" s="176">
        <v>6389</v>
      </c>
      <c r="O141" s="329">
        <f t="shared" si="43"/>
        <v>28.925703137701188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'[87]Sch C'!D138</f>
        <v>270050</v>
      </c>
      <c r="D142" s="480">
        <f>'[87]Sch C'!F138</f>
        <v>0</v>
      </c>
      <c r="E142" s="480">
        <f>+'[87]Sch C'!H138</f>
        <v>0</v>
      </c>
      <c r="F142" s="166">
        <f t="shared" si="46"/>
        <v>270050</v>
      </c>
      <c r="G142" s="626"/>
      <c r="H142" s="166"/>
      <c r="I142" s="166">
        <f t="shared" si="47"/>
        <v>270050</v>
      </c>
      <c r="J142" s="167">
        <f>IF($I$213=0,0,I142/$I$213)</f>
        <v>9.8021173735044098E-2</v>
      </c>
      <c r="K142" s="458"/>
      <c r="L142" s="176">
        <v>17965</v>
      </c>
      <c r="M142" s="176">
        <v>18910</v>
      </c>
      <c r="O142" s="329">
        <f t="shared" si="43"/>
        <v>43.903430336530647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'[87]Sch C'!D139</f>
        <v>0</v>
      </c>
      <c r="D143" s="480">
        <f>'[87]Sch C'!F139</f>
        <v>0</v>
      </c>
      <c r="E143" s="480">
        <f>+'[87]Sch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'[87]Sch C'!D141</f>
        <v>0</v>
      </c>
      <c r="D145" s="480">
        <f>'[87]Sch C'!F141</f>
        <v>25790</v>
      </c>
      <c r="E145" s="480">
        <f>+'[87]Sch C'!H141</f>
        <v>0</v>
      </c>
      <c r="F145" s="166">
        <f t="shared" ref="F145:F148" si="48">C145+D145+E145</f>
        <v>25790</v>
      </c>
      <c r="G145" s="626">
        <v>-1483</v>
      </c>
      <c r="H145" s="166"/>
      <c r="I145" s="166">
        <f t="shared" ref="I145:I148" si="49">F145+G145+H145</f>
        <v>24307</v>
      </c>
      <c r="J145" s="167">
        <f>IF($I$213=0,0,I145/$I$213)</f>
        <v>8.8228130715708834E-3</v>
      </c>
      <c r="K145" s="458"/>
      <c r="L145" s="163"/>
      <c r="M145" s="163"/>
      <c r="O145" s="329">
        <f t="shared" si="43"/>
        <v>3.9517151682653227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'[87]Sch C'!D142</f>
        <v>0</v>
      </c>
      <c r="D146" s="480">
        <f>'[87]Sch C'!F142</f>
        <v>29541</v>
      </c>
      <c r="E146" s="480">
        <f>+'[87]Sch C'!H142</f>
        <v>0</v>
      </c>
      <c r="F146" s="166">
        <f t="shared" si="48"/>
        <v>29541</v>
      </c>
      <c r="G146" s="626">
        <v>-1699</v>
      </c>
      <c r="H146" s="166"/>
      <c r="I146" s="166">
        <f t="shared" si="49"/>
        <v>27842</v>
      </c>
      <c r="J146" s="167">
        <f>IF($I$213=0,0,I146/$I$213)</f>
        <v>1.0105926751087199E-2</v>
      </c>
      <c r="K146" s="458"/>
      <c r="L146" s="163"/>
      <c r="M146" s="163"/>
      <c r="O146" s="329">
        <f t="shared" si="43"/>
        <v>4.5264184685417002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'[87]Sch C'!D143</f>
        <v>0</v>
      </c>
      <c r="D147" s="480">
        <f>'[87]Sch C'!F143</f>
        <v>44836</v>
      </c>
      <c r="E147" s="480">
        <f>+'[87]Sch C'!H143</f>
        <v>0</v>
      </c>
      <c r="F147" s="166">
        <f t="shared" si="48"/>
        <v>44836</v>
      </c>
      <c r="G147" s="626">
        <v>-2577</v>
      </c>
      <c r="H147" s="166"/>
      <c r="I147" s="166">
        <f t="shared" si="49"/>
        <v>42259</v>
      </c>
      <c r="J147" s="167">
        <f>IF($I$213=0,0,I147/$I$213)</f>
        <v>1.5338925313346524E-2</v>
      </c>
      <c r="K147" s="458"/>
      <c r="L147" s="163"/>
      <c r="M147" s="163"/>
      <c r="O147" s="329">
        <f t="shared" si="43"/>
        <v>6.8702649975613719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'[87]Sch C'!D144</f>
        <v>0</v>
      </c>
      <c r="D148" s="480">
        <f>'[87]Sch C'!F144</f>
        <v>0</v>
      </c>
      <c r="E148" s="480">
        <f>+'[87]Sch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'[87]Sch C'!D146</f>
        <v>29586</v>
      </c>
      <c r="D150" s="480">
        <f>'[87]Sch C'!F146</f>
        <v>0</v>
      </c>
      <c r="E150" s="480">
        <f>+'[87]Sch C'!H146</f>
        <v>0</v>
      </c>
      <c r="F150" s="166">
        <f t="shared" ref="F150:F158" si="50">C150+D150+E150</f>
        <v>29586</v>
      </c>
      <c r="G150" s="626"/>
      <c r="H150" s="166"/>
      <c r="I150" s="166">
        <f t="shared" ref="I150:I158" si="51">F150+G150+H150</f>
        <v>29586</v>
      </c>
      <c r="J150" s="167">
        <f t="shared" ref="J150:J158" si="52">IF($I$213=0,0,I150/$I$213)</f>
        <v>1.0738953697926365E-2</v>
      </c>
      <c r="K150" s="458"/>
      <c r="L150" s="176">
        <v>0</v>
      </c>
      <c r="M150" s="176">
        <v>0</v>
      </c>
      <c r="O150" s="329">
        <f t="shared" si="43"/>
        <v>4.8099496016907821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'[87]Sch C'!D147</f>
        <v>0</v>
      </c>
      <c r="D151" s="480">
        <f>'[87]Sch C'!F147</f>
        <v>0</v>
      </c>
      <c r="E151" s="480">
        <f>+'[87]Sch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'[87]Sch C'!D148</f>
        <v>0</v>
      </c>
      <c r="D152" s="480">
        <f>'[87]Sch C'!F148</f>
        <v>0</v>
      </c>
      <c r="E152" s="480">
        <f>+'[87]Sch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'[87]Sch C'!D149</f>
        <v>0</v>
      </c>
      <c r="D153" s="480">
        <f>'[87]Sch C'!F149</f>
        <v>0</v>
      </c>
      <c r="E153" s="480">
        <f>+'[87]Sch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'[87]Sch C'!D150</f>
        <v>4646</v>
      </c>
      <c r="D154" s="480">
        <f>'[87]Sch C'!F150</f>
        <v>0</v>
      </c>
      <c r="E154" s="480">
        <f>+'[87]Sch C'!H150</f>
        <v>0</v>
      </c>
      <c r="F154" s="166">
        <f t="shared" si="50"/>
        <v>4646</v>
      </c>
      <c r="G154" s="626">
        <v>324</v>
      </c>
      <c r="H154" s="166"/>
      <c r="I154" s="166">
        <f t="shared" si="51"/>
        <v>4970</v>
      </c>
      <c r="J154" s="167">
        <f t="shared" si="52"/>
        <v>1.8039816088249183E-3</v>
      </c>
      <c r="K154" s="458"/>
      <c r="L154" s="176">
        <v>0</v>
      </c>
      <c r="M154" s="176">
        <v>0</v>
      </c>
      <c r="O154" s="329">
        <f t="shared" si="43"/>
        <v>0.8079986993984718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'[87]Sch C'!D151</f>
        <v>68990</v>
      </c>
      <c r="D155" s="480">
        <f>'[87]Sch C'!F151</f>
        <v>0</v>
      </c>
      <c r="E155" s="480">
        <f>+'[87]Sch C'!H151</f>
        <v>0</v>
      </c>
      <c r="F155" s="166">
        <f t="shared" si="50"/>
        <v>68990</v>
      </c>
      <c r="G155" s="626"/>
      <c r="H155" s="166"/>
      <c r="I155" s="166">
        <f t="shared" si="51"/>
        <v>68990</v>
      </c>
      <c r="J155" s="167">
        <f t="shared" si="52"/>
        <v>2.5041587765157167E-2</v>
      </c>
      <c r="K155" s="458"/>
      <c r="L155" s="163"/>
      <c r="M155" s="163"/>
      <c r="O155" s="329">
        <f t="shared" si="43"/>
        <v>11.216062428873354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'[87]Sch C'!D152</f>
        <v>0</v>
      </c>
      <c r="D156" s="480">
        <f>'[87]Sch C'!F152</f>
        <v>0</v>
      </c>
      <c r="E156" s="480">
        <f>+'[87]Sch C'!H152</f>
        <v>0</v>
      </c>
      <c r="F156" s="166">
        <f t="shared" si="50"/>
        <v>0</v>
      </c>
      <c r="G156" s="626"/>
      <c r="H156" s="166"/>
      <c r="I156" s="166">
        <f t="shared" si="51"/>
        <v>0</v>
      </c>
      <c r="J156" s="167">
        <f t="shared" si="52"/>
        <v>0</v>
      </c>
      <c r="K156" s="458"/>
      <c r="L156" s="163"/>
      <c r="M156" s="163"/>
      <c r="O156" s="329">
        <f t="shared" si="43"/>
        <v>0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'[87]Sch C'!D153</f>
        <v>0</v>
      </c>
      <c r="D157" s="480">
        <f>'[87]Sch C'!F153</f>
        <v>0</v>
      </c>
      <c r="E157" s="480">
        <f>+'[87]Sch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'[87]Sch C'!D154</f>
        <v>0</v>
      </c>
      <c r="D158" s="480">
        <f>'[87]Sch C'!F154</f>
        <v>0</v>
      </c>
      <c r="E158" s="480">
        <f>+'[87]Sch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'[87]Sch C'!D156</f>
        <v>0</v>
      </c>
      <c r="D160" s="480">
        <f>'[87]Sch C'!F156</f>
        <v>0</v>
      </c>
      <c r="E160" s="480">
        <f>+'[87]Sch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'[87]Sch C'!D157</f>
        <v>0</v>
      </c>
      <c r="D161" s="480">
        <f>'[87]Sch C'!F157</f>
        <v>0</v>
      </c>
      <c r="E161" s="480">
        <f>+'[87]Sch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'[87]Sch C'!D158</f>
        <v>0</v>
      </c>
      <c r="D162" s="480">
        <f>'[87]Sch C'!F158</f>
        <v>0</v>
      </c>
      <c r="E162" s="480">
        <f>+'[87]Sch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'[87]Sch C'!D159</f>
        <v>0</v>
      </c>
      <c r="D163" s="480">
        <f>'[87]Sch C'!F159</f>
        <v>0</v>
      </c>
      <c r="E163" s="480">
        <f>+'[87]Sch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'[87]Sch C'!D160</f>
        <v>0</v>
      </c>
      <c r="D164" s="480">
        <f>'[87]Sch C'!F160</f>
        <v>0</v>
      </c>
      <c r="E164" s="480">
        <f>+'[87]Sch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'[87]Sch C'!D161</f>
        <v>5176</v>
      </c>
      <c r="D165" s="480">
        <f>'[87]Sch C'!F161</f>
        <v>0</v>
      </c>
      <c r="E165" s="480">
        <f>+'[87]Sch C'!H161</f>
        <v>0</v>
      </c>
      <c r="F165" s="166">
        <f t="shared" si="53"/>
        <v>5176</v>
      </c>
      <c r="G165" s="626"/>
      <c r="H165" s="166"/>
      <c r="I165" s="166">
        <f t="shared" si="54"/>
        <v>5176</v>
      </c>
      <c r="J165" s="167">
        <f t="shared" si="55"/>
        <v>1.8787542871786273E-3</v>
      </c>
      <c r="K165" s="458"/>
      <c r="L165" s="163"/>
      <c r="M165" s="163"/>
      <c r="O165" s="329">
        <f t="shared" si="43"/>
        <v>0.84148918874979683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865201</v>
      </c>
      <c r="D166" s="480">
        <f t="shared" si="56"/>
        <v>125652</v>
      </c>
      <c r="E166" s="480">
        <f t="shared" si="56"/>
        <v>0</v>
      </c>
      <c r="F166" s="166">
        <f t="shared" ref="F166:I166" si="57">SUM(F128:F165)</f>
        <v>990853</v>
      </c>
      <c r="G166" s="166">
        <f t="shared" si="57"/>
        <v>6233</v>
      </c>
      <c r="H166" s="166">
        <f t="shared" si="57"/>
        <v>0</v>
      </c>
      <c r="I166" s="166">
        <f t="shared" si="57"/>
        <v>997086</v>
      </c>
      <c r="J166" s="167">
        <f t="shared" si="55"/>
        <v>0.36191646004362221</v>
      </c>
      <c r="K166" s="458"/>
      <c r="L166" s="163"/>
      <c r="M166" s="163"/>
      <c r="O166" s="329">
        <f>I166/I$233</f>
        <v>162.10144691920013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'[87]Sch C'!D175</f>
        <v>0</v>
      </c>
      <c r="D169" s="480">
        <f>'[87]Sch C'!F175</f>
        <v>0</v>
      </c>
      <c r="E169" s="480">
        <f>+'[87]Sch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'[87]Sch C'!D176</f>
        <v>0</v>
      </c>
      <c r="D170" s="480">
        <f>'[87]Sch C'!F176</f>
        <v>0</v>
      </c>
      <c r="E170" s="480">
        <f>+'[87]Sch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'[87]Sch C'!D177</f>
        <v>174855</v>
      </c>
      <c r="D171" s="480">
        <f>'[87]Sch C'!F177</f>
        <v>0</v>
      </c>
      <c r="E171" s="480">
        <f>+'[87]Sch C'!H177</f>
        <v>0</v>
      </c>
      <c r="F171" s="166">
        <f t="shared" si="58"/>
        <v>174855</v>
      </c>
      <c r="G171" s="626"/>
      <c r="H171" s="166"/>
      <c r="I171" s="166">
        <f t="shared" si="59"/>
        <v>174855</v>
      </c>
      <c r="J171" s="167">
        <f t="shared" si="60"/>
        <v>6.3467847929794985E-2</v>
      </c>
      <c r="K171" s="468"/>
      <c r="L171" s="176">
        <v>5484</v>
      </c>
      <c r="M171" s="176">
        <v>5896</v>
      </c>
      <c r="N171" s="208"/>
      <c r="O171" s="329">
        <f t="shared" si="61"/>
        <v>28.427085026824905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'[87]Sch C'!D178</f>
        <v>0</v>
      </c>
      <c r="D172" s="480">
        <f>'[87]Sch C'!F178</f>
        <v>29031</v>
      </c>
      <c r="E172" s="480">
        <f>+'[87]Sch C'!H178</f>
        <v>0</v>
      </c>
      <c r="F172" s="166">
        <f t="shared" si="58"/>
        <v>29031</v>
      </c>
      <c r="G172" s="626">
        <v>-1669</v>
      </c>
      <c r="H172" s="166"/>
      <c r="I172" s="166">
        <f t="shared" si="59"/>
        <v>27362</v>
      </c>
      <c r="J172" s="167">
        <f t="shared" si="60"/>
        <v>9.9316991510397211E-3</v>
      </c>
      <c r="K172" s="469"/>
      <c r="L172" s="212"/>
      <c r="M172" s="212"/>
      <c r="N172" s="208"/>
      <c r="O172" s="329">
        <f t="shared" si="61"/>
        <v>4.4483823768492927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'[87]Sch C'!D179</f>
        <v>7766</v>
      </c>
      <c r="D173" s="480">
        <f>'[87]Sch C'!F179</f>
        <v>0</v>
      </c>
      <c r="E173" s="480">
        <f>+'[87]Sch C'!H179</f>
        <v>0</v>
      </c>
      <c r="F173" s="166">
        <f t="shared" si="58"/>
        <v>7766</v>
      </c>
      <c r="G173" s="626"/>
      <c r="H173" s="166"/>
      <c r="I173" s="166">
        <f t="shared" si="59"/>
        <v>7766</v>
      </c>
      <c r="J173" s="167">
        <f t="shared" si="60"/>
        <v>2.8188573791014721E-3</v>
      </c>
      <c r="K173" s="468"/>
      <c r="L173" s="176">
        <v>155</v>
      </c>
      <c r="M173" s="176">
        <v>155</v>
      </c>
      <c r="N173" s="208"/>
      <c r="O173" s="329">
        <f t="shared" si="61"/>
        <v>1.2625589335067469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'[87]Sch C'!D180</f>
        <v>0</v>
      </c>
      <c r="D174" s="480">
        <f>'[87]Sch C'!F180</f>
        <v>1289</v>
      </c>
      <c r="E174" s="480">
        <f>+'[87]Sch C'!H180</f>
        <v>0</v>
      </c>
      <c r="F174" s="166">
        <f t="shared" si="58"/>
        <v>1289</v>
      </c>
      <c r="G174" s="626">
        <v>-74</v>
      </c>
      <c r="H174" s="166"/>
      <c r="I174" s="166">
        <f t="shared" si="59"/>
        <v>1215</v>
      </c>
      <c r="J174" s="167">
        <f t="shared" si="60"/>
        <v>4.4101361262017619E-4</v>
      </c>
      <c r="K174" s="469"/>
      <c r="L174" s="212"/>
      <c r="M174" s="212"/>
      <c r="N174" s="208"/>
      <c r="O174" s="329">
        <f t="shared" si="61"/>
        <v>0.19752885709640708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'[87]Sch C'!D181</f>
        <v>0</v>
      </c>
      <c r="D175" s="480">
        <f>'[87]Sch C'!F181</f>
        <v>0</v>
      </c>
      <c r="E175" s="480">
        <f>+'[87]Sch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'[87]Sch C'!D182</f>
        <v>0</v>
      </c>
      <c r="D176" s="480">
        <f>'[87]Sch C'!F182</f>
        <v>0</v>
      </c>
      <c r="E176" s="480">
        <f>+'[87]Sch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'[87]Sch C'!D183</f>
        <v>61604</v>
      </c>
      <c r="D177" s="480">
        <f>'[87]Sch C'!F183</f>
        <v>0</v>
      </c>
      <c r="E177" s="480">
        <f>+'[87]Sch C'!H183</f>
        <v>0</v>
      </c>
      <c r="F177" s="166">
        <f t="shared" si="58"/>
        <v>61604</v>
      </c>
      <c r="G177" s="626">
        <v>81769</v>
      </c>
      <c r="H177" s="166"/>
      <c r="I177" s="166">
        <f t="shared" si="59"/>
        <v>143373</v>
      </c>
      <c r="J177" s="167">
        <f t="shared" si="60"/>
        <v>5.2040695211681087E-2</v>
      </c>
      <c r="K177" s="468"/>
      <c r="L177" s="176">
        <v>3923</v>
      </c>
      <c r="M177" s="176">
        <v>4200</v>
      </c>
      <c r="N177" s="208"/>
      <c r="O177" s="329">
        <f t="shared" si="61"/>
        <v>23.308892862949115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'[87]Sch C'!D184</f>
        <v>0</v>
      </c>
      <c r="D178" s="480">
        <f>'[87]Sch C'!F184</f>
        <v>10228</v>
      </c>
      <c r="E178" s="480">
        <f>+'[87]Sch C'!H184</f>
        <v>0</v>
      </c>
      <c r="F178" s="166">
        <f t="shared" si="58"/>
        <v>10228</v>
      </c>
      <c r="G178" s="626">
        <v>12208</v>
      </c>
      <c r="H178" s="166"/>
      <c r="I178" s="166">
        <f t="shared" si="59"/>
        <v>22436</v>
      </c>
      <c r="J178" s="167">
        <f t="shared" si="60"/>
        <v>8.1436884055524888E-3</v>
      </c>
      <c r="K178" s="469"/>
      <c r="L178" s="212"/>
      <c r="M178" s="212"/>
      <c r="N178" s="208"/>
      <c r="O178" s="329">
        <f t="shared" si="61"/>
        <v>3.6475369858559583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'[87]Sch C'!D185</f>
        <v>0</v>
      </c>
      <c r="D179" s="480">
        <f>'[87]Sch C'!F185</f>
        <v>0</v>
      </c>
      <c r="E179" s="480">
        <f>+'[87]Sch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'[87]Sch C'!D186</f>
        <v>0</v>
      </c>
      <c r="D180" s="480">
        <f>'[87]Sch C'!F186</f>
        <v>0</v>
      </c>
      <c r="E180" s="480">
        <f>+'[87]Sch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'[87]Sch C'!D187</f>
        <v>0</v>
      </c>
      <c r="D181" s="480">
        <f>'[87]Sch C'!F187</f>
        <v>0</v>
      </c>
      <c r="E181" s="480">
        <f>+'[87]Sch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'[87]Sch C'!D188</f>
        <v>7327</v>
      </c>
      <c r="D182" s="480">
        <f>'[87]Sch C'!F188</f>
        <v>0</v>
      </c>
      <c r="E182" s="480">
        <f>+'[87]Sch C'!H188</f>
        <v>0</v>
      </c>
      <c r="F182" s="166">
        <f t="shared" si="58"/>
        <v>7327</v>
      </c>
      <c r="G182" s="626"/>
      <c r="H182" s="166"/>
      <c r="I182" s="166">
        <f t="shared" si="59"/>
        <v>7327</v>
      </c>
      <c r="J182" s="167">
        <f t="shared" si="60"/>
        <v>2.6595117198913837E-3</v>
      </c>
      <c r="K182" s="458"/>
      <c r="L182" s="213"/>
      <c r="M182" s="208"/>
      <c r="N182" s="210"/>
      <c r="O182" s="329">
        <f t="shared" si="61"/>
        <v>1.1911884246463991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'[87]Sch C'!D189</f>
        <v>0</v>
      </c>
      <c r="D183" s="480">
        <f>'[87]Sch C'!F189</f>
        <v>0</v>
      </c>
      <c r="E183" s="480">
        <f>+'[87]Sch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'[87]Sch C'!D190</f>
        <v>0</v>
      </c>
      <c r="D184" s="480">
        <f>'[87]Sch C'!F190</f>
        <v>0</v>
      </c>
      <c r="E184" s="480">
        <f>+'[87]Sch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'[87]Sch C'!D191</f>
        <v>42</v>
      </c>
      <c r="D185" s="480">
        <f>'[87]Sch C'!F191</f>
        <v>0</v>
      </c>
      <c r="E185" s="480">
        <f>+'[87]Sch C'!H191</f>
        <v>0</v>
      </c>
      <c r="F185" s="166">
        <f t="shared" si="58"/>
        <v>42</v>
      </c>
      <c r="G185" s="626"/>
      <c r="H185" s="166"/>
      <c r="I185" s="166">
        <f t="shared" si="59"/>
        <v>42</v>
      </c>
      <c r="J185" s="167">
        <f t="shared" si="60"/>
        <v>1.5244915004154239E-5</v>
      </c>
      <c r="K185" s="458"/>
      <c r="L185" s="213"/>
      <c r="M185" s="208"/>
      <c r="N185" s="210"/>
      <c r="O185" s="329">
        <f t="shared" si="61"/>
        <v>6.8281580230856774E-3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'[87]Sch C'!D192</f>
        <v>0</v>
      </c>
      <c r="D186" s="480">
        <f>'[87]Sch C'!F192</f>
        <v>0</v>
      </c>
      <c r="E186" s="480">
        <f>+'[87]Sch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'[87]Sch C'!D193</f>
        <v>0</v>
      </c>
      <c r="D187" s="480">
        <f>'[87]Sch C'!F193</f>
        <v>0</v>
      </c>
      <c r="E187" s="480">
        <f>+'[87]Sch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'[87]Sch C'!D194</f>
        <v>1318</v>
      </c>
      <c r="D188" s="480">
        <f>'[87]Sch C'!F194</f>
        <v>0</v>
      </c>
      <c r="E188" s="480">
        <f>+'[87]Sch C'!H194</f>
        <v>0</v>
      </c>
      <c r="F188" s="166">
        <f t="shared" si="58"/>
        <v>1318</v>
      </c>
      <c r="G188" s="626"/>
      <c r="H188" s="166"/>
      <c r="I188" s="166">
        <f t="shared" si="59"/>
        <v>1318</v>
      </c>
      <c r="J188" s="167">
        <f t="shared" si="60"/>
        <v>4.7839995179703063E-4</v>
      </c>
      <c r="K188" s="458"/>
      <c r="L188" s="213"/>
      <c r="M188" s="208"/>
      <c r="O188" s="329">
        <f t="shared" si="61"/>
        <v>0.21427410177206957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'[87]Sch C'!D195</f>
        <v>0</v>
      </c>
      <c r="D189" s="480">
        <f>'[87]Sch C'!F195</f>
        <v>0</v>
      </c>
      <c r="E189" s="480">
        <f>+'[87]Sch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'[87]Sch C'!D196</f>
        <v>0</v>
      </c>
      <c r="D190" s="480">
        <f>'[87]Sch C'!F196</f>
        <v>0</v>
      </c>
      <c r="E190" s="480">
        <f>+'[87]Sch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'[87]Sch C'!D197</f>
        <v>81769</v>
      </c>
      <c r="D191" s="480">
        <f>'[87]Sch C'!F197</f>
        <v>0</v>
      </c>
      <c r="E191" s="480">
        <f>+'[87]Sch C'!H197</f>
        <v>0</v>
      </c>
      <c r="F191" s="166">
        <f t="shared" si="58"/>
        <v>81769</v>
      </c>
      <c r="G191" s="626">
        <v>-81769</v>
      </c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'[87]Sch C'!D198</f>
        <v>54158</v>
      </c>
      <c r="D192" s="480">
        <f>'[87]Sch C'!F198</f>
        <v>0</v>
      </c>
      <c r="E192" s="480">
        <f>+'[87]Sch C'!H198</f>
        <v>0</v>
      </c>
      <c r="F192" s="166">
        <f t="shared" si="58"/>
        <v>54158</v>
      </c>
      <c r="G192" s="626"/>
      <c r="H192" s="166"/>
      <c r="I192" s="166">
        <f t="shared" si="59"/>
        <v>54158</v>
      </c>
      <c r="J192" s="167">
        <f t="shared" si="60"/>
        <v>1.9657954923690126E-2</v>
      </c>
      <c r="K192" s="458"/>
      <c r="L192" s="213"/>
      <c r="M192" s="208"/>
      <c r="O192" s="329">
        <f t="shared" si="61"/>
        <v>8.8047471955779546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'[87]Sch C'!D199</f>
        <v>0</v>
      </c>
      <c r="D193" s="480">
        <f>'[87]Sch C'!F199</f>
        <v>0</v>
      </c>
      <c r="E193" s="480">
        <f>+'[87]Sch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'[87]Sch C'!D200</f>
        <v>0</v>
      </c>
      <c r="D194" s="480">
        <f>'[87]Sch C'!F200</f>
        <v>0</v>
      </c>
      <c r="E194" s="480">
        <f>+'[87]Sch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'[87]Sch C'!D201</f>
        <v>0</v>
      </c>
      <c r="D195" s="480">
        <f>'[87]Sch C'!F201</f>
        <v>0</v>
      </c>
      <c r="E195" s="480">
        <f>+'[87]Sch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'[87]Sch C'!D202</f>
        <v>0</v>
      </c>
      <c r="D196" s="480">
        <f>'[87]Sch C'!F202</f>
        <v>0</v>
      </c>
      <c r="E196" s="480">
        <f>+'[87]Sch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'[87]Sch C'!D203</f>
        <v>0</v>
      </c>
      <c r="D197" s="480">
        <f>'[87]Sch C'!F203</f>
        <v>0</v>
      </c>
      <c r="E197" s="480">
        <f>+'[87]Sch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'[87]Sch C'!D204</f>
        <v>0</v>
      </c>
      <c r="D198" s="480">
        <f>'[87]Sch C'!F204</f>
        <v>0</v>
      </c>
      <c r="E198" s="480">
        <f>+'[87]Sch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'[87]Sch C'!D205</f>
        <v>182477</v>
      </c>
      <c r="D199" s="480">
        <f>'[87]Sch C'!F205</f>
        <v>0</v>
      </c>
      <c r="E199" s="480">
        <f>+'[87]Sch C'!H205</f>
        <v>0</v>
      </c>
      <c r="F199" s="166">
        <f t="shared" si="58"/>
        <v>182477</v>
      </c>
      <c r="G199" s="626">
        <v>-324</v>
      </c>
      <c r="H199" s="166"/>
      <c r="I199" s="166">
        <f t="shared" si="59"/>
        <v>182153</v>
      </c>
      <c r="J199" s="167">
        <f t="shared" si="60"/>
        <v>6.6116833398850175E-2</v>
      </c>
      <c r="K199" s="458"/>
      <c r="L199" s="213"/>
      <c r="M199" s="208"/>
      <c r="O199" s="329">
        <f t="shared" si="61"/>
        <v>29.613558770931554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'[87]Sch C'!D206</f>
        <v>2462</v>
      </c>
      <c r="D200" s="480">
        <f>'[87]Sch C'!F206</f>
        <v>0</v>
      </c>
      <c r="E200" s="480">
        <f>+'[87]Sch C'!H206</f>
        <v>0</v>
      </c>
      <c r="F200" s="166">
        <f t="shared" si="58"/>
        <v>2462</v>
      </c>
      <c r="G200" s="626"/>
      <c r="H200" s="166"/>
      <c r="I200" s="166">
        <f t="shared" si="59"/>
        <v>2462</v>
      </c>
      <c r="J200" s="167">
        <f t="shared" si="60"/>
        <v>8.9364239857685093E-4</v>
      </c>
      <c r="K200" s="458"/>
      <c r="L200" s="213"/>
      <c r="M200" s="208"/>
      <c r="O200" s="329">
        <f t="shared" si="61"/>
        <v>0.40026012030564134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'[87]Sch C'!D207</f>
        <v>0</v>
      </c>
      <c r="D201" s="480">
        <f>'[87]Sch C'!F207</f>
        <v>0</v>
      </c>
      <c r="E201" s="480">
        <f>+'[87]Sch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573778</v>
      </c>
      <c r="D202" s="480">
        <f t="shared" si="62"/>
        <v>40548</v>
      </c>
      <c r="E202" s="480">
        <f t="shared" si="62"/>
        <v>0</v>
      </c>
      <c r="F202" s="166">
        <f t="shared" ref="F202:I202" si="63">SUM(F169:F201)</f>
        <v>614326</v>
      </c>
      <c r="G202" s="166">
        <f t="shared" si="63"/>
        <v>10141</v>
      </c>
      <c r="H202" s="166">
        <f t="shared" si="63"/>
        <v>0</v>
      </c>
      <c r="I202" s="166">
        <f t="shared" si="63"/>
        <v>624467</v>
      </c>
      <c r="J202" s="167">
        <f>IF($I$213=0,0,I202/$I$213)</f>
        <v>0.22666538899759966</v>
      </c>
      <c r="K202" s="458"/>
      <c r="L202" s="163"/>
      <c r="M202" s="163"/>
      <c r="O202" s="329">
        <f>I202/I$233</f>
        <v>101.52284181433913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'[87]Sch C'!D211</f>
        <v>32082</v>
      </c>
      <c r="D205" s="480">
        <f>'[87]Sch C'!F211</f>
        <v>0</v>
      </c>
      <c r="E205" s="480">
        <f>+'[87]Sch C'!H211</f>
        <v>0</v>
      </c>
      <c r="F205" s="166">
        <f t="shared" ref="F205:F210" si="64">C205+D205+E205</f>
        <v>32082</v>
      </c>
      <c r="G205" s="626"/>
      <c r="H205" s="166"/>
      <c r="I205" s="166">
        <f t="shared" ref="I205:I210" si="65">F205+G205+H205</f>
        <v>32082</v>
      </c>
      <c r="J205" s="167">
        <f t="shared" ref="J205:J211" si="66">IF($I$213=0,0,I205/$I$213)</f>
        <v>1.1644937218173246E-2</v>
      </c>
      <c r="K205" s="458"/>
      <c r="L205" s="176">
        <v>1645</v>
      </c>
      <c r="M205" s="176">
        <v>1784</v>
      </c>
      <c r="O205" s="329">
        <f t="shared" ref="O205:O210" si="67">I205/I$233</f>
        <v>5.2157372784913019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'[87]Sch C'!D212</f>
        <v>0</v>
      </c>
      <c r="D206" s="480">
        <f>'[87]Sch C'!F212</f>
        <v>5327</v>
      </c>
      <c r="E206" s="480">
        <f>+'[87]Sch C'!H212</f>
        <v>0</v>
      </c>
      <c r="F206" s="166">
        <f t="shared" si="64"/>
        <v>5327</v>
      </c>
      <c r="G206" s="626">
        <v>-307</v>
      </c>
      <c r="H206" s="166"/>
      <c r="I206" s="166">
        <f t="shared" si="65"/>
        <v>5020</v>
      </c>
      <c r="J206" s="167">
        <f t="shared" si="66"/>
        <v>1.8221303171631971E-3</v>
      </c>
      <c r="K206" s="458"/>
      <c r="L206" s="163"/>
      <c r="M206" s="163"/>
      <c r="O206" s="329">
        <f t="shared" si="67"/>
        <v>0.81612745894976424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'[87]Sch C'!D213</f>
        <v>6977</v>
      </c>
      <c r="D207" s="480">
        <f>'[87]Sch C'!F213</f>
        <v>0</v>
      </c>
      <c r="E207" s="480">
        <f>+'[87]Sch C'!H213</f>
        <v>0</v>
      </c>
      <c r="F207" s="166">
        <f t="shared" si="64"/>
        <v>6977</v>
      </c>
      <c r="G207" s="626"/>
      <c r="H207" s="166"/>
      <c r="I207" s="166">
        <f t="shared" si="65"/>
        <v>6977</v>
      </c>
      <c r="J207" s="167">
        <f t="shared" si="66"/>
        <v>2.5324707615234318E-3</v>
      </c>
      <c r="K207" s="458"/>
      <c r="L207" s="163"/>
      <c r="M207" s="163"/>
      <c r="O207" s="329">
        <f t="shared" si="67"/>
        <v>1.1342871077873518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'[87]Sch C'!D214</f>
        <v>0</v>
      </c>
      <c r="D208" s="480">
        <f>'[87]Sch C'!F214</f>
        <v>0</v>
      </c>
      <c r="E208" s="480">
        <f>+'[87]Sch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'[87]Sch C'!D215</f>
        <v>0</v>
      </c>
      <c r="D209" s="480">
        <f>'[87]Sch C'!F215</f>
        <v>0</v>
      </c>
      <c r="E209" s="480">
        <f>+'[87]Sch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'[87]Sch C'!D216</f>
        <v>1222</v>
      </c>
      <c r="D210" s="480">
        <f>'[87]Sch C'!F216</f>
        <v>0</v>
      </c>
      <c r="E210" s="480">
        <f>+'[87]Sch C'!H216</f>
        <v>0</v>
      </c>
      <c r="F210" s="166">
        <f t="shared" si="64"/>
        <v>1222</v>
      </c>
      <c r="G210" s="626"/>
      <c r="H210" s="166"/>
      <c r="I210" s="166">
        <f t="shared" si="65"/>
        <v>1222</v>
      </c>
      <c r="J210" s="167">
        <f t="shared" si="66"/>
        <v>4.4355443178753523E-4</v>
      </c>
      <c r="K210" s="458"/>
      <c r="L210" s="163"/>
      <c r="M210" s="163"/>
      <c r="O210" s="329">
        <f t="shared" si="67"/>
        <v>0.19866688343358804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40281</v>
      </c>
      <c r="D211" s="480">
        <f t="shared" si="68"/>
        <v>5327</v>
      </c>
      <c r="E211" s="480">
        <f t="shared" si="68"/>
        <v>0</v>
      </c>
      <c r="F211" s="166">
        <f t="shared" ref="F211:I211" si="69">SUM(F205:F210)</f>
        <v>45608</v>
      </c>
      <c r="G211" s="166">
        <f t="shared" si="69"/>
        <v>-307</v>
      </c>
      <c r="H211" s="166">
        <f t="shared" si="69"/>
        <v>0</v>
      </c>
      <c r="I211" s="166">
        <f t="shared" si="69"/>
        <v>45301</v>
      </c>
      <c r="J211" s="167">
        <f t="shared" si="66"/>
        <v>1.6443092728647409E-2</v>
      </c>
      <c r="K211" s="458"/>
      <c r="L211" s="163"/>
      <c r="M211" s="163"/>
      <c r="O211" s="329">
        <f>I211/I$233</f>
        <v>7.3648187286620059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2757432</v>
      </c>
      <c r="D213" s="480">
        <f t="shared" si="70"/>
        <v>-22753</v>
      </c>
      <c r="E213" s="480">
        <f t="shared" si="70"/>
        <v>20338</v>
      </c>
      <c r="F213" s="166">
        <f t="shared" ref="F213:I213" si="71">SUM(F30:F211)/2</f>
        <v>2755017</v>
      </c>
      <c r="G213" s="166">
        <f t="shared" si="71"/>
        <v>0</v>
      </c>
      <c r="H213" s="166">
        <f t="shared" si="71"/>
        <v>0</v>
      </c>
      <c r="I213" s="166">
        <f t="shared" si="71"/>
        <v>2755017</v>
      </c>
      <c r="J213" s="167">
        <f>IF($I$213=0,0,I213/$I$213)</f>
        <v>1</v>
      </c>
      <c r="K213" s="458"/>
      <c r="L213" s="176">
        <f>SUM(L30:L205)</f>
        <v>62856</v>
      </c>
      <c r="M213" s="176">
        <f>SUM(M30:M205)</f>
        <v>66338</v>
      </c>
      <c r="O213" s="329">
        <f>I213/I$233</f>
        <v>447.89741505446267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'[87]Sch C'!D221</f>
        <v>2757432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-72500</v>
      </c>
      <c r="D220" s="480">
        <f t="shared" si="72"/>
        <v>22753</v>
      </c>
      <c r="E220" s="480">
        <f t="shared" si="72"/>
        <v>-20338</v>
      </c>
      <c r="F220" s="166">
        <f t="shared" ref="F220:I220" si="73">F26-F213</f>
        <v>-70085</v>
      </c>
      <c r="G220" s="166">
        <f t="shared" si="73"/>
        <v>-7731</v>
      </c>
      <c r="H220" s="166">
        <f t="shared" si="73"/>
        <v>0</v>
      </c>
      <c r="I220" s="166">
        <f t="shared" si="73"/>
        <v>-77816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'[87]Sch D'!C9</f>
        <v>1819</v>
      </c>
      <c r="D224" s="480"/>
      <c r="E224" s="480"/>
      <c r="F224" s="224">
        <f>C224+D224+E224</f>
        <v>1819</v>
      </c>
      <c r="G224" s="627"/>
      <c r="H224" s="223"/>
      <c r="I224" s="224">
        <f>F224+G224+H224</f>
        <v>1819</v>
      </c>
      <c r="J224" s="167">
        <f t="shared" ref="J224:J233" si="74">IF($I$233=0,0,I224/$I$233)</f>
        <v>0.29572427247602018</v>
      </c>
      <c r="K224" s="458"/>
      <c r="L224" s="163"/>
      <c r="M224" s="163"/>
    </row>
    <row r="225" spans="1:13">
      <c r="A225" s="158"/>
      <c r="B225" s="165" t="s">
        <v>201</v>
      </c>
      <c r="C225" s="504">
        <f>'[87]Sch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'[87]Sch D'!E9</f>
        <v>3137</v>
      </c>
      <c r="D226" s="480"/>
      <c r="E226" s="480"/>
      <c r="F226" s="224">
        <f t="shared" si="75"/>
        <v>3137</v>
      </c>
      <c r="G226" s="627"/>
      <c r="H226" s="223"/>
      <c r="I226" s="224">
        <f t="shared" si="76"/>
        <v>3137</v>
      </c>
      <c r="J226" s="167">
        <f t="shared" si="74"/>
        <v>0.50999837424808969</v>
      </c>
      <c r="K226" s="458"/>
      <c r="L226" s="163"/>
      <c r="M226" s="163"/>
    </row>
    <row r="227" spans="1:13">
      <c r="A227" s="158"/>
      <c r="B227" s="194" t="s">
        <v>315</v>
      </c>
      <c r="C227" s="504">
        <f>'[87]Sch D'!F9</f>
        <v>649</v>
      </c>
      <c r="D227" s="480"/>
      <c r="E227" s="480"/>
      <c r="F227" s="224">
        <f t="shared" si="75"/>
        <v>649</v>
      </c>
      <c r="G227" s="627"/>
      <c r="H227" s="223"/>
      <c r="I227" s="224">
        <f t="shared" si="76"/>
        <v>649</v>
      </c>
      <c r="J227" s="167">
        <f t="shared" si="74"/>
        <v>0.1055112989757763</v>
      </c>
      <c r="K227" s="458"/>
      <c r="L227" s="163"/>
      <c r="M227" s="163"/>
    </row>
    <row r="228" spans="1:13">
      <c r="A228" s="158"/>
      <c r="B228" s="165" t="s">
        <v>65</v>
      </c>
      <c r="C228" s="504">
        <f>'[87]Sch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'[87]Sch D'!H9</f>
        <v>546</v>
      </c>
      <c r="D229" s="480"/>
      <c r="E229" s="480"/>
      <c r="F229" s="224">
        <f t="shared" si="75"/>
        <v>546</v>
      </c>
      <c r="G229" s="627"/>
      <c r="H229" s="223"/>
      <c r="I229" s="224">
        <f t="shared" si="76"/>
        <v>546</v>
      </c>
      <c r="J229" s="167">
        <f t="shared" si="74"/>
        <v>8.8766054300113806E-2</v>
      </c>
      <c r="K229" s="458"/>
      <c r="L229" s="163"/>
      <c r="M229" s="163"/>
    </row>
    <row r="230" spans="1:13">
      <c r="A230" s="158"/>
      <c r="B230" s="165" t="s">
        <v>219</v>
      </c>
      <c r="C230" s="504">
        <f>'[87]Sch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'[87]Sch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'[87]Sch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6151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6151</v>
      </c>
      <c r="G233" s="226">
        <f t="shared" si="78"/>
        <v>0</v>
      </c>
      <c r="H233" s="226">
        <f t="shared" si="78"/>
        <v>0</v>
      </c>
      <c r="I233" s="226">
        <f t="shared" si="78"/>
        <v>6151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'[87]Sch D'!N22</f>
        <v>50</v>
      </c>
      <c r="D236" s="480"/>
      <c r="E236" s="480"/>
      <c r="F236" s="224">
        <f>C236+E236</f>
        <v>50</v>
      </c>
      <c r="G236" s="627"/>
      <c r="H236" s="224"/>
      <c r="I236" s="224">
        <f>F236+G236+H236</f>
        <v>50</v>
      </c>
      <c r="J236" s="162" t="s">
        <v>463</v>
      </c>
      <c r="K236" s="460"/>
      <c r="L236" s="163"/>
      <c r="M236" s="163"/>
    </row>
    <row r="237" spans="1:13">
      <c r="A237" s="158"/>
      <c r="B237" s="194" t="s">
        <v>271</v>
      </c>
      <c r="C237" s="504">
        <f>'[87]Sch D'!N24</f>
        <v>50</v>
      </c>
      <c r="D237" s="480"/>
      <c r="E237" s="480"/>
      <c r="F237" s="224">
        <f>C237+E237</f>
        <v>50</v>
      </c>
      <c r="G237" s="627"/>
      <c r="H237" s="224"/>
      <c r="I237" s="224">
        <f>F237+G237+H237</f>
        <v>50</v>
      </c>
      <c r="J237" s="162" t="s">
        <v>457</v>
      </c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163</v>
      </c>
      <c r="D238" s="427"/>
      <c r="E238" s="427"/>
      <c r="F238" s="224">
        <f>C238+E238</f>
        <v>163</v>
      </c>
      <c r="G238" s="627"/>
      <c r="H238" s="228"/>
      <c r="I238" s="224">
        <f>F238+G238+H238</f>
        <v>163</v>
      </c>
      <c r="J238" s="442" t="s">
        <v>471</v>
      </c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'[87]Sch D'!N28</f>
        <v>8150</v>
      </c>
      <c r="D240" s="427"/>
      <c r="E240" s="427"/>
      <c r="F240" s="223">
        <f>F236*F238</f>
        <v>8150</v>
      </c>
      <c r="G240"/>
      <c r="H240" s="228"/>
      <c r="I240" s="223">
        <f>I236*I238</f>
        <v>8150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'[87]Sch D'!N30</f>
        <v>0.75472392638036812</v>
      </c>
      <c r="D241" s="228"/>
      <c r="E241" s="228"/>
      <c r="F241" s="232">
        <f>F233/F240</f>
        <v>0.75472392638036812</v>
      </c>
      <c r="G241"/>
      <c r="H241" s="233"/>
      <c r="I241" s="232">
        <f>I233/I240</f>
        <v>0.75472392638036812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'[87]Sch D'!N32</f>
        <v>0.22319018404907975</v>
      </c>
      <c r="D242" s="228"/>
      <c r="E242" s="228"/>
      <c r="F242" s="232">
        <f>(F224+F225)/F240</f>
        <v>0.22319018404907975</v>
      </c>
      <c r="G242"/>
      <c r="H242" s="233"/>
      <c r="I242" s="232">
        <f>(I224+I225)/I240</f>
        <v>0.22319018404907975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'[87]Sch D'!N34</f>
        <v>0.29572427247602018</v>
      </c>
      <c r="D243" s="228"/>
      <c r="E243" s="228"/>
      <c r="F243" s="232">
        <f>(F242/F241)</f>
        <v>0.29572427247602018</v>
      </c>
      <c r="G243"/>
      <c r="H243" s="233"/>
      <c r="I243" s="232">
        <f>(I242/I241)</f>
        <v>0.29572427247602018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'[87]Sch B'!C90</f>
        <v>318.75824175824175</v>
      </c>
      <c r="K246" s="460"/>
    </row>
    <row r="247" spans="1:13">
      <c r="H247" s="140" t="s">
        <v>322</v>
      </c>
      <c r="I247" s="480">
        <f>'[87]Sch B'!E90</f>
        <v>318.7582417582417</v>
      </c>
      <c r="K247" s="460"/>
    </row>
    <row r="248" spans="1:13">
      <c r="B248" s="411"/>
      <c r="H248" s="140" t="s">
        <v>323</v>
      </c>
      <c r="I248" s="480"/>
      <c r="K248" s="460"/>
    </row>
    <row r="249" spans="1:13" ht="16.5">
      <c r="B249" s="470"/>
      <c r="H249" s="140" t="s">
        <v>324</v>
      </c>
      <c r="I249" s="480"/>
      <c r="K249" s="460"/>
    </row>
    <row r="250" spans="1:13" ht="16.5">
      <c r="B250" s="470"/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" bottom="1" header="0.5" footer="0.5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E28CAB"/>
  </sheetPr>
  <dimension ref="A1:Q277"/>
  <sheetViews>
    <sheetView showGridLines="0" topLeftCell="A2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426" t="s">
        <v>573</v>
      </c>
      <c r="D2" s="426"/>
      <c r="E2" s="142"/>
    </row>
    <row r="3" spans="1:16">
      <c r="A3" s="143"/>
      <c r="B3" s="138" t="s">
        <v>71</v>
      </c>
      <c r="C3" s="557">
        <f>'[88]Sch A Pg 1'!B39</f>
        <v>43080</v>
      </c>
      <c r="D3" s="620"/>
      <c r="E3" s="673">
        <v>43281</v>
      </c>
      <c r="F3" s="144"/>
      <c r="G3" s="144"/>
    </row>
    <row r="4" spans="1:16">
      <c r="A4" s="143"/>
      <c r="B4" s="145" t="s">
        <v>72</v>
      </c>
      <c r="C4" s="557">
        <f>'[88]Sch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  <c r="H5" s="138" t="s">
        <v>456</v>
      </c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'[88]Sch B'!E10</f>
        <v>383941</v>
      </c>
      <c r="D12" s="480">
        <f>'[88]Sch B'!G10</f>
        <v>0</v>
      </c>
      <c r="E12" s="480"/>
      <c r="F12" s="166">
        <f>C12+D12+E12</f>
        <v>383941</v>
      </c>
      <c r="G12" s="626"/>
      <c r="H12" s="166"/>
      <c r="I12" s="166">
        <f>F12+G12+H12</f>
        <v>383941</v>
      </c>
      <c r="J12" s="167">
        <f>IF($I$26=0,0,I12/$I$26)</f>
        <v>0.16112274487916037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'[88]Sch B'!E12</f>
        <v>154421</v>
      </c>
      <c r="D13" s="480">
        <f>'[88]Sch B'!G12</f>
        <v>0</v>
      </c>
      <c r="E13" s="480"/>
      <c r="F13" s="166">
        <f t="shared" ref="F13:F25" si="0">C13+D13+E13</f>
        <v>154421</v>
      </c>
      <c r="G13" s="626">
        <v>-154421</v>
      </c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'[88]Sch B'!E13</f>
        <v>8343</v>
      </c>
      <c r="D14" s="480">
        <f>'[88]Sch B'!G13</f>
        <v>0</v>
      </c>
      <c r="E14" s="480"/>
      <c r="F14" s="166">
        <f t="shared" si="0"/>
        <v>8343</v>
      </c>
      <c r="G14" s="626"/>
      <c r="H14" s="166"/>
      <c r="I14" s="166">
        <f t="shared" si="1"/>
        <v>8343</v>
      </c>
      <c r="J14" s="167">
        <f>IF($I$26=0,0,I14/$I$26)</f>
        <v>3.5011813287115332E-3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'[88]Sch B'!E14</f>
        <v>34554</v>
      </c>
      <c r="D15" s="480">
        <f>'[88]Sch B'!G14</f>
        <v>0</v>
      </c>
      <c r="E15" s="480"/>
      <c r="F15" s="166">
        <f t="shared" si="0"/>
        <v>34554</v>
      </c>
      <c r="G15" s="626"/>
      <c r="H15" s="166"/>
      <c r="I15" s="166">
        <f t="shared" si="1"/>
        <v>34554</v>
      </c>
      <c r="J15" s="167">
        <f>IF($I$26=0,0,I15/$I$26)</f>
        <v>1.4500757477202244E-2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'[88]Sch B'!E15</f>
        <v>581259</v>
      </c>
      <c r="D16" s="480">
        <f>'[88]Sch B'!G15</f>
        <v>0</v>
      </c>
      <c r="E16" s="480"/>
      <c r="F16" s="166">
        <f t="shared" si="0"/>
        <v>581259</v>
      </c>
      <c r="G16" s="626"/>
      <c r="H16" s="166"/>
      <c r="I16" s="166">
        <f>SUM(I12:I15)</f>
        <v>426838</v>
      </c>
      <c r="J16" s="167">
        <f t="shared" ref="J16:J26" si="2">IF($I$26=0,0,I16/$I$26)</f>
        <v>0.17912468368507414</v>
      </c>
      <c r="K16" s="458"/>
      <c r="L16" s="333" t="s">
        <v>325</v>
      </c>
      <c r="M16" s="334">
        <f>I26</f>
        <v>2382910</v>
      </c>
      <c r="O16" s="324">
        <f>IFERROR(I16/I224,0)</f>
        <v>164.61164674122637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'[88]Sch B'!E20</f>
        <v>0</v>
      </c>
      <c r="D17" s="480">
        <f>'[88]Sch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2797902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'[88]Sch B'!E26</f>
        <v>1302820</v>
      </c>
      <c r="D18" s="480">
        <f>'[88]Sch B'!G26</f>
        <v>0</v>
      </c>
      <c r="E18" s="480"/>
      <c r="F18" s="166">
        <f t="shared" si="0"/>
        <v>1302820</v>
      </c>
      <c r="G18" s="626"/>
      <c r="H18" s="166"/>
      <c r="I18" s="166">
        <f t="shared" si="1"/>
        <v>1302820</v>
      </c>
      <c r="J18" s="167">
        <f t="shared" si="2"/>
        <v>0.54673487458611525</v>
      </c>
      <c r="K18" s="458"/>
      <c r="L18" s="335" t="s">
        <v>327</v>
      </c>
      <c r="M18" s="336">
        <f>I233</f>
        <v>7160</v>
      </c>
      <c r="O18" s="324">
        <f t="shared" si="3"/>
        <v>499.16475095785438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'[88]Sch B'!E32</f>
        <v>516560</v>
      </c>
      <c r="D19" s="480">
        <f>'[88]Sch B'!G32</f>
        <v>0</v>
      </c>
      <c r="E19" s="480"/>
      <c r="F19" s="166">
        <f t="shared" si="0"/>
        <v>516560</v>
      </c>
      <c r="G19" s="626"/>
      <c r="H19" s="166"/>
      <c r="I19" s="166">
        <f t="shared" si="1"/>
        <v>516560</v>
      </c>
      <c r="J19" s="170">
        <f t="shared" si="2"/>
        <v>0.21677696597857241</v>
      </c>
      <c r="K19" s="464"/>
      <c r="L19" s="335" t="s">
        <v>328</v>
      </c>
      <c r="M19" s="336">
        <f>I236</f>
        <v>50</v>
      </c>
      <c r="O19" s="324">
        <f t="shared" si="3"/>
        <v>362.49824561403511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'[88]Sch B'!E37</f>
        <v>0</v>
      </c>
      <c r="D20" s="480">
        <f>'[88]Sch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10100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'[88]Sch B'!E42</f>
        <v>132529</v>
      </c>
      <c r="D21" s="480">
        <f>'[88]Sch B'!G42</f>
        <v>0</v>
      </c>
      <c r="E21" s="480"/>
      <c r="F21" s="166">
        <f t="shared" si="0"/>
        <v>132529</v>
      </c>
      <c r="G21" s="626"/>
      <c r="H21" s="166"/>
      <c r="I21" s="166">
        <f t="shared" si="1"/>
        <v>132529</v>
      </c>
      <c r="J21" s="167">
        <f t="shared" si="2"/>
        <v>5.5616452153039772E-2</v>
      </c>
      <c r="K21" s="458"/>
      <c r="L21" s="337"/>
      <c r="M21" s="336"/>
      <c r="O21" s="324">
        <f t="shared" si="3"/>
        <v>276.67849686847597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'[88]Sch B'!E47</f>
        <v>0</v>
      </c>
      <c r="D22" s="480">
        <f>'[88]Sch B'!G47</f>
        <v>0</v>
      </c>
      <c r="E22" s="480"/>
      <c r="F22" s="166">
        <f t="shared" si="0"/>
        <v>0</v>
      </c>
      <c r="G22" s="626"/>
      <c r="H22" s="166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74456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'[88]Sch B'!E52</f>
        <v>0</v>
      </c>
      <c r="D23" s="480">
        <f>'[88]Sch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79403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'[88]Sch B'!E57</f>
        <v>0</v>
      </c>
      <c r="D24" s="480">
        <f>'[88]Sch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'[88]Sch B'!E72</f>
        <v>4163</v>
      </c>
      <c r="D25" s="480">
        <f>'[88]Sch B'!G72</f>
        <v>0</v>
      </c>
      <c r="E25" s="480"/>
      <c r="F25" s="166">
        <f t="shared" si="0"/>
        <v>4163</v>
      </c>
      <c r="G25" s="626"/>
      <c r="H25" s="166"/>
      <c r="I25" s="166">
        <f t="shared" si="1"/>
        <v>4163</v>
      </c>
      <c r="J25" s="167">
        <f t="shared" si="2"/>
        <v>1.7470235971983835E-3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2537331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2537331</v>
      </c>
      <c r="G26" s="166">
        <f>SUM(G12:G25)</f>
        <v>-154421</v>
      </c>
      <c r="H26" s="166">
        <f>SUM(H12:H25)</f>
        <v>0</v>
      </c>
      <c r="I26" s="166">
        <f>SUM(I16:I25)</f>
        <v>2382910</v>
      </c>
      <c r="J26" s="167">
        <f t="shared" si="2"/>
        <v>1</v>
      </c>
      <c r="K26" s="458"/>
      <c r="L26" s="163"/>
      <c r="M26" s="163"/>
      <c r="O26" s="324">
        <f>IFERROR(I26/I233,0)</f>
        <v>332.80865921787711</v>
      </c>
      <c r="P26" s="324">
        <f>SUMMARY!L28</f>
        <v>316.15377811906774</v>
      </c>
    </row>
    <row r="27" spans="1:16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'[88]Sch C'!D10</f>
        <v>48570</v>
      </c>
      <c r="D30" s="480">
        <f>'[88]Sch C'!F10</f>
        <v>0</v>
      </c>
      <c r="E30" s="480">
        <f>+'[88]Sch C'!H10</f>
        <v>0</v>
      </c>
      <c r="F30" s="166">
        <f t="shared" ref="F30:F65" si="5">C30+D30+E30</f>
        <v>48570</v>
      </c>
      <c r="G30" s="626"/>
      <c r="H30" s="166"/>
      <c r="I30" s="166">
        <f t="shared" ref="I30:I65" si="6">F30+G30+H30</f>
        <v>48570</v>
      </c>
      <c r="J30" s="167">
        <f>IF($I$213=0,0,I30/$I$213)</f>
        <v>1.7359435748643091E-2</v>
      </c>
      <c r="K30" s="458"/>
      <c r="L30" s="176">
        <v>1070</v>
      </c>
      <c r="M30" s="176">
        <v>1202</v>
      </c>
      <c r="O30" s="324">
        <f>I30/I$233</f>
        <v>6.783519553072626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'[88]Sch C'!D11</f>
        <v>0</v>
      </c>
      <c r="D31" s="480">
        <f>'[88]Sch C'!F11</f>
        <v>0</v>
      </c>
      <c r="E31" s="480">
        <f>+'[88]Sch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'[88]Sch C'!D12</f>
        <v>73323</v>
      </c>
      <c r="D32" s="480">
        <f>'[88]Sch C'!F12</f>
        <v>0</v>
      </c>
      <c r="E32" s="480">
        <f>+'[88]Sch C'!H12</f>
        <v>0</v>
      </c>
      <c r="F32" s="166">
        <f t="shared" si="5"/>
        <v>73323</v>
      </c>
      <c r="G32" s="626"/>
      <c r="H32" s="166"/>
      <c r="I32" s="166">
        <f t="shared" si="6"/>
        <v>73323</v>
      </c>
      <c r="J32" s="167">
        <f t="shared" si="7"/>
        <v>2.620642181177182E-2</v>
      </c>
      <c r="K32" s="458"/>
      <c r="L32" s="176">
        <v>3516</v>
      </c>
      <c r="M32" s="176">
        <v>3800</v>
      </c>
      <c r="O32" s="324">
        <f t="shared" si="8"/>
        <v>10.24064245810056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'[88]Sch C'!D13</f>
        <v>220623</v>
      </c>
      <c r="D33" s="480">
        <f>'[88]Sch C'!F13</f>
        <v>-200603</v>
      </c>
      <c r="E33" s="480">
        <f>+'[88]Sch C'!H13</f>
        <v>0</v>
      </c>
      <c r="F33" s="166">
        <f t="shared" si="5"/>
        <v>20020</v>
      </c>
      <c r="G33" s="626">
        <v>-1125</v>
      </c>
      <c r="H33" s="166"/>
      <c r="I33" s="166">
        <f t="shared" si="6"/>
        <v>18895</v>
      </c>
      <c r="J33" s="167">
        <f t="shared" si="7"/>
        <v>6.7532744177601642E-3</v>
      </c>
      <c r="K33" s="458"/>
      <c r="L33" s="163"/>
      <c r="M33" s="163"/>
      <c r="O33" s="324">
        <f t="shared" si="8"/>
        <v>2.6389664804469275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'[88]Sch C'!D14</f>
        <v>0</v>
      </c>
      <c r="D34" s="480">
        <f>'[88]Sch C'!F14</f>
        <v>0</v>
      </c>
      <c r="E34" s="480">
        <f>+'[88]Sch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'[88]Sch C'!D15</f>
        <v>0</v>
      </c>
      <c r="D35" s="480">
        <f>'[88]Sch C'!F15</f>
        <v>0</v>
      </c>
      <c r="E35" s="480">
        <f>+'[88]Sch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'[88]Sch C'!D16</f>
        <v>45000</v>
      </c>
      <c r="D36" s="480">
        <f>'[88]Sch C'!F16</f>
        <v>0</v>
      </c>
      <c r="E36" s="480">
        <f>+'[88]Sch C'!H16</f>
        <v>20338</v>
      </c>
      <c r="F36" s="166">
        <f t="shared" si="5"/>
        <v>65338</v>
      </c>
      <c r="G36" s="626"/>
      <c r="H36" s="166"/>
      <c r="I36" s="166">
        <f t="shared" si="6"/>
        <v>65338</v>
      </c>
      <c r="J36" s="167">
        <f t="shared" si="7"/>
        <v>2.3352497692914191E-2</v>
      </c>
      <c r="K36" s="458"/>
      <c r="L36" s="163"/>
      <c r="M36" s="163"/>
      <c r="O36" s="324">
        <f t="shared" si="8"/>
        <v>9.1254189944134083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'[88]Sch C'!D17</f>
        <v>0</v>
      </c>
      <c r="D37" s="480">
        <f>'[88]Sch C'!F17</f>
        <v>0</v>
      </c>
      <c r="E37" s="480">
        <f>+'[88]Sch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'[88]Sch C'!D18</f>
        <v>5909</v>
      </c>
      <c r="D38" s="480">
        <f>'[88]Sch C'!F18</f>
        <v>0</v>
      </c>
      <c r="E38" s="480">
        <f>+'[88]Sch C'!H18</f>
        <v>0</v>
      </c>
      <c r="F38" s="166">
        <f t="shared" si="5"/>
        <v>5909</v>
      </c>
      <c r="G38" s="626"/>
      <c r="H38" s="166"/>
      <c r="I38" s="166">
        <f t="shared" si="6"/>
        <v>5909</v>
      </c>
      <c r="J38" s="167">
        <f t="shared" si="7"/>
        <v>2.1119395890206306E-3</v>
      </c>
      <c r="K38" s="458"/>
      <c r="L38" s="163"/>
      <c r="M38" s="163"/>
      <c r="O38" s="324">
        <f t="shared" si="8"/>
        <v>0.82527932960893857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'[88]Sch C'!D19</f>
        <v>13673</v>
      </c>
      <c r="D39" s="480">
        <f>'[88]Sch C'!F19</f>
        <v>0</v>
      </c>
      <c r="E39" s="480">
        <f>+'[88]Sch C'!H19</f>
        <v>0</v>
      </c>
      <c r="F39" s="166">
        <f t="shared" si="5"/>
        <v>13673</v>
      </c>
      <c r="G39" s="626">
        <v>990</v>
      </c>
      <c r="H39" s="166"/>
      <c r="I39" s="166">
        <f t="shared" si="6"/>
        <v>14663</v>
      </c>
      <c r="J39" s="167">
        <f t="shared" si="7"/>
        <v>5.2407125052986126E-3</v>
      </c>
      <c r="K39" s="458"/>
      <c r="L39" s="163"/>
      <c r="M39" s="163"/>
      <c r="O39" s="324">
        <f t="shared" si="8"/>
        <v>2.0479050279329609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'[88]Sch C'!D20</f>
        <v>14650</v>
      </c>
      <c r="D40" s="480">
        <f>'[88]Sch C'!F20</f>
        <v>0</v>
      </c>
      <c r="E40" s="480">
        <f>+'[88]Sch C'!H20</f>
        <v>0</v>
      </c>
      <c r="F40" s="166">
        <f t="shared" si="5"/>
        <v>14650</v>
      </c>
      <c r="G40" s="626"/>
      <c r="H40" s="166"/>
      <c r="I40" s="166">
        <f t="shared" si="6"/>
        <v>14650</v>
      </c>
      <c r="J40" s="167">
        <f t="shared" si="7"/>
        <v>5.2360661667206357E-3</v>
      </c>
      <c r="K40" s="458"/>
      <c r="L40" s="163"/>
      <c r="M40" s="163"/>
      <c r="O40" s="324">
        <f t="shared" si="8"/>
        <v>2.0460893854748603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'[88]Sch C'!D21</f>
        <v>13342</v>
      </c>
      <c r="D41" s="480">
        <f>'[88]Sch C'!F21</f>
        <v>0</v>
      </c>
      <c r="E41" s="480">
        <f>+'[88]Sch C'!H21</f>
        <v>0</v>
      </c>
      <c r="F41" s="166">
        <f t="shared" si="5"/>
        <v>13342</v>
      </c>
      <c r="G41" s="626"/>
      <c r="H41" s="166"/>
      <c r="I41" s="166">
        <f t="shared" si="6"/>
        <v>13342</v>
      </c>
      <c r="J41" s="167">
        <f t="shared" si="7"/>
        <v>4.7685730236441447E-3</v>
      </c>
      <c r="K41" s="458"/>
      <c r="L41" s="163"/>
      <c r="M41" s="163"/>
      <c r="O41" s="324">
        <f t="shared" si="8"/>
        <v>1.8634078212290504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'[88]Sch C'!D22</f>
        <v>0</v>
      </c>
      <c r="D42" s="480">
        <f>'[88]Sch C'!F22</f>
        <v>0</v>
      </c>
      <c r="E42" s="480">
        <f>+'[88]Sch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'[88]Sch C'!D23</f>
        <v>1488</v>
      </c>
      <c r="D43" s="480">
        <f>'[88]Sch C'!F23</f>
        <v>0</v>
      </c>
      <c r="E43" s="480">
        <f>+'[88]Sch C'!H23</f>
        <v>0</v>
      </c>
      <c r="F43" s="166">
        <f t="shared" si="5"/>
        <v>1488</v>
      </c>
      <c r="G43" s="626"/>
      <c r="H43" s="166"/>
      <c r="I43" s="166">
        <f t="shared" si="6"/>
        <v>1488</v>
      </c>
      <c r="J43" s="167">
        <f t="shared" si="7"/>
        <v>5.3182706184848501E-4</v>
      </c>
      <c r="K43" s="458"/>
      <c r="L43" s="163"/>
      <c r="M43" s="163"/>
      <c r="O43" s="324">
        <f t="shared" si="8"/>
        <v>0.20782122905027933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'[88]Sch C'!D24</f>
        <v>30825</v>
      </c>
      <c r="D44" s="480">
        <f>'[88]Sch C'!F24</f>
        <v>0</v>
      </c>
      <c r="E44" s="480">
        <f>+'[88]Sch C'!H24</f>
        <v>0</v>
      </c>
      <c r="F44" s="166">
        <f t="shared" si="5"/>
        <v>30825</v>
      </c>
      <c r="G44" s="626">
        <v>-5937</v>
      </c>
      <c r="H44" s="166"/>
      <c r="I44" s="166">
        <f t="shared" si="6"/>
        <v>24888</v>
      </c>
      <c r="J44" s="167">
        <f t="shared" si="7"/>
        <v>8.8952365022077259E-3</v>
      </c>
      <c r="K44" s="458"/>
      <c r="L44" s="163"/>
      <c r="M44" s="163"/>
      <c r="O44" s="324">
        <f t="shared" si="8"/>
        <v>3.475977653631285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'[88]Sch C'!D25</f>
        <v>0</v>
      </c>
      <c r="D45" s="480">
        <f>'[88]Sch C'!F25</f>
        <v>0</v>
      </c>
      <c r="E45" s="480">
        <f>+'[88]Sch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'[88]Sch C'!D26</f>
        <v>58870</v>
      </c>
      <c r="D46" s="480">
        <f>'[88]Sch C'!F26</f>
        <v>0</v>
      </c>
      <c r="E46" s="480">
        <f>+'[88]Sch C'!H26</f>
        <v>0</v>
      </c>
      <c r="F46" s="166">
        <f t="shared" si="5"/>
        <v>58870</v>
      </c>
      <c r="G46" s="626"/>
      <c r="H46" s="166"/>
      <c r="I46" s="166">
        <f t="shared" si="6"/>
        <v>58870</v>
      </c>
      <c r="J46" s="167">
        <f t="shared" si="7"/>
        <v>2.1040765545040533E-2</v>
      </c>
      <c r="K46" s="458"/>
      <c r="L46" s="163"/>
      <c r="M46" s="163"/>
      <c r="O46" s="324">
        <f t="shared" si="8"/>
        <v>8.222067039106145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'[88]Sch C'!D27</f>
        <v>161</v>
      </c>
      <c r="D47" s="480">
        <f>'[88]Sch C'!F27</f>
        <v>0</v>
      </c>
      <c r="E47" s="480">
        <f>+'[88]Sch C'!H27</f>
        <v>0</v>
      </c>
      <c r="F47" s="166">
        <f t="shared" si="5"/>
        <v>161</v>
      </c>
      <c r="G47" s="626"/>
      <c r="H47" s="166"/>
      <c r="I47" s="166">
        <f t="shared" si="6"/>
        <v>161</v>
      </c>
      <c r="J47" s="167">
        <f t="shared" si="7"/>
        <v>5.7543116234950329E-5</v>
      </c>
      <c r="K47" s="458"/>
      <c r="L47" s="163"/>
      <c r="M47" s="163"/>
      <c r="O47" s="324">
        <f t="shared" si="8"/>
        <v>2.2486033519553073E-2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'[88]Sch C'!D28</f>
        <v>0</v>
      </c>
      <c r="D48" s="480">
        <f>'[88]Sch C'!F28</f>
        <v>0</v>
      </c>
      <c r="E48" s="480">
        <f>+'[88]Sch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'[88]Sch C'!D29</f>
        <v>0</v>
      </c>
      <c r="D49" s="480">
        <f>'[88]Sch C'!F29</f>
        <v>0</v>
      </c>
      <c r="E49" s="480">
        <f>+'[88]Sch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'[88]Sch C'!D30</f>
        <v>0</v>
      </c>
      <c r="D50" s="480">
        <f>'[88]Sch C'!F30</f>
        <v>0</v>
      </c>
      <c r="E50" s="480">
        <f>+'[88]Sch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'[88]Sch C'!D31</f>
        <v>22240</v>
      </c>
      <c r="D51" s="480">
        <f>'[88]Sch C'!F31</f>
        <v>0</v>
      </c>
      <c r="E51" s="480">
        <f>+'[88]Sch C'!H31</f>
        <v>0</v>
      </c>
      <c r="F51" s="166">
        <f t="shared" si="5"/>
        <v>22240</v>
      </c>
      <c r="G51" s="626"/>
      <c r="H51" s="166"/>
      <c r="I51" s="166">
        <f t="shared" si="6"/>
        <v>22240</v>
      </c>
      <c r="J51" s="167">
        <f t="shared" si="7"/>
        <v>7.9488130749397218E-3</v>
      </c>
      <c r="K51" s="458"/>
      <c r="L51" s="163"/>
      <c r="M51" s="163"/>
      <c r="O51" s="324">
        <f t="shared" si="8"/>
        <v>3.1061452513966481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'[88]Sch C'!D32</f>
        <v>27610</v>
      </c>
      <c r="D52" s="480">
        <f>'[88]Sch C'!F32</f>
        <v>0</v>
      </c>
      <c r="E52" s="480">
        <f>+'[88]Sch C'!H32</f>
        <v>0</v>
      </c>
      <c r="F52" s="166">
        <f t="shared" si="5"/>
        <v>27610</v>
      </c>
      <c r="G52" s="626"/>
      <c r="H52" s="166"/>
      <c r="I52" s="166">
        <f t="shared" si="6"/>
        <v>27610</v>
      </c>
      <c r="J52" s="167">
        <f t="shared" si="7"/>
        <v>9.868108318304215E-3</v>
      </c>
      <c r="K52" s="458"/>
      <c r="L52" s="163"/>
      <c r="M52" s="163"/>
      <c r="O52" s="324">
        <f t="shared" si="8"/>
        <v>3.8561452513966481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'[88]Sch C'!D33</f>
        <v>0</v>
      </c>
      <c r="D53" s="480">
        <f>'[88]Sch C'!F33</f>
        <v>0</v>
      </c>
      <c r="E53" s="480">
        <f>+'[88]Sch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'[88]Sch C'!D34</f>
        <v>0</v>
      </c>
      <c r="D54" s="480">
        <f>'[88]Sch C'!F34</f>
        <v>0</v>
      </c>
      <c r="E54" s="480">
        <f>+'[88]Sch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'[88]Sch C'!D35</f>
        <v>0</v>
      </c>
      <c r="D55" s="480">
        <f>'[88]Sch C'!F35</f>
        <v>0</v>
      </c>
      <c r="E55" s="480">
        <f>+'[88]Sch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'[88]Sch C'!D36</f>
        <v>26752</v>
      </c>
      <c r="D56" s="480">
        <f>'[88]Sch C'!F36</f>
        <v>0</v>
      </c>
      <c r="E56" s="480">
        <f>+'[88]Sch C'!H36</f>
        <v>0</v>
      </c>
      <c r="F56" s="166">
        <f t="shared" si="5"/>
        <v>26752</v>
      </c>
      <c r="G56" s="626">
        <v>-11261</v>
      </c>
      <c r="H56" s="166"/>
      <c r="I56" s="166">
        <f t="shared" si="6"/>
        <v>15491</v>
      </c>
      <c r="J56" s="167">
        <f t="shared" si="7"/>
        <v>5.5366485316497857E-3</v>
      </c>
      <c r="K56" s="458"/>
      <c r="L56" s="176">
        <v>2015</v>
      </c>
      <c r="M56" s="176">
        <v>2131</v>
      </c>
      <c r="O56" s="324">
        <f t="shared" si="8"/>
        <v>2.1635474860335195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'[88]Sch C'!D37</f>
        <v>0</v>
      </c>
      <c r="D57" s="480">
        <f>'[88]Sch C'!F37</f>
        <v>4394</v>
      </c>
      <c r="E57" s="480">
        <f>+'[88]Sch C'!H37</f>
        <v>0</v>
      </c>
      <c r="F57" s="166">
        <f t="shared" si="5"/>
        <v>4394</v>
      </c>
      <c r="G57" s="626">
        <f>-1869-205</f>
        <v>-2074</v>
      </c>
      <c r="H57" s="166"/>
      <c r="I57" s="166">
        <f t="shared" si="6"/>
        <v>2320</v>
      </c>
      <c r="J57" s="167">
        <f t="shared" si="7"/>
        <v>8.2919273083903585E-4</v>
      </c>
      <c r="K57" s="458"/>
      <c r="L57" s="163"/>
      <c r="M57" s="163"/>
      <c r="O57" s="324">
        <f t="shared" si="8"/>
        <v>0.32402234636871508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'[88]Sch C'!D38</f>
        <v>0</v>
      </c>
      <c r="D58" s="480">
        <f>'[88]Sch C'!F38</f>
        <v>0</v>
      </c>
      <c r="E58" s="480">
        <f>+'[88]Sch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'[88]Sch C'!D39</f>
        <v>2563</v>
      </c>
      <c r="D59" s="480">
        <f>'[88]Sch C'!F39</f>
        <v>0</v>
      </c>
      <c r="E59" s="480">
        <f>+'[88]Sch C'!H39</f>
        <v>0</v>
      </c>
      <c r="F59" s="166">
        <f t="shared" si="5"/>
        <v>2563</v>
      </c>
      <c r="G59" s="626"/>
      <c r="H59" s="166"/>
      <c r="I59" s="166">
        <f t="shared" si="6"/>
        <v>2563</v>
      </c>
      <c r="J59" s="167">
        <f t="shared" si="7"/>
        <v>9.1604352118122791E-4</v>
      </c>
      <c r="K59" s="458"/>
      <c r="L59" s="163"/>
      <c r="M59" s="163"/>
      <c r="O59" s="324">
        <f t="shared" si="8"/>
        <v>0.35796089385474861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'[88]Sch C'!D40</f>
        <v>1735</v>
      </c>
      <c r="D60" s="480">
        <f>'[88]Sch C'!F40</f>
        <v>-46</v>
      </c>
      <c r="E60" s="480">
        <f>+'[88]Sch C'!H40</f>
        <v>0</v>
      </c>
      <c r="F60" s="166">
        <f t="shared" si="5"/>
        <v>1689</v>
      </c>
      <c r="G60" s="626"/>
      <c r="H60" s="166"/>
      <c r="I60" s="166">
        <f t="shared" si="6"/>
        <v>1689</v>
      </c>
      <c r="J60" s="167">
        <f t="shared" si="7"/>
        <v>6.0366660447721187E-4</v>
      </c>
      <c r="K60" s="458"/>
      <c r="L60" s="163"/>
      <c r="M60" s="163"/>
      <c r="O60" s="324">
        <f t="shared" si="8"/>
        <v>0.23589385474860336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'[88]Sch C'!D41</f>
        <v>2040</v>
      </c>
      <c r="D61" s="480">
        <f>'[88]Sch C'!F41</f>
        <v>0</v>
      </c>
      <c r="E61" s="480">
        <f>+'[88]Sch C'!H41</f>
        <v>0</v>
      </c>
      <c r="F61" s="166">
        <f t="shared" si="5"/>
        <v>2040</v>
      </c>
      <c r="G61" s="626"/>
      <c r="H61" s="166"/>
      <c r="I61" s="166">
        <f t="shared" si="6"/>
        <v>2040</v>
      </c>
      <c r="J61" s="167">
        <f t="shared" si="7"/>
        <v>7.2911774608260048E-4</v>
      </c>
      <c r="K61" s="458"/>
      <c r="L61" s="163"/>
      <c r="M61" s="163"/>
      <c r="O61" s="324">
        <f t="shared" si="8"/>
        <v>0.28491620111731841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'[88]Sch C'!D42</f>
        <v>1220</v>
      </c>
      <c r="D62" s="480">
        <f>'[88]Sch C'!F42</f>
        <v>0</v>
      </c>
      <c r="E62" s="480">
        <f>+'[88]Sch C'!H42</f>
        <v>0</v>
      </c>
      <c r="F62" s="166">
        <f t="shared" si="5"/>
        <v>1220</v>
      </c>
      <c r="G62" s="626"/>
      <c r="H62" s="166"/>
      <c r="I62" s="166">
        <f t="shared" si="6"/>
        <v>1220</v>
      </c>
      <c r="J62" s="167">
        <f t="shared" si="7"/>
        <v>4.3604100501018261E-4</v>
      </c>
      <c r="K62" s="458"/>
      <c r="L62" s="163"/>
      <c r="M62" s="163"/>
      <c r="O62" s="324">
        <f t="shared" si="8"/>
        <v>0.17039106145251395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'[88]Sch C'!D43</f>
        <v>2343</v>
      </c>
      <c r="D63" s="480">
        <f>'[88]Sch C'!F43</f>
        <v>-2343</v>
      </c>
      <c r="E63" s="480">
        <f>+'[88]Sch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'[88]Sch C'!D44</f>
        <v>0</v>
      </c>
      <c r="D64" s="480">
        <f>'[88]Sch C'!F44</f>
        <v>0</v>
      </c>
      <c r="E64" s="480">
        <f>+'[88]Sch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'[88]Sch C'!D45</f>
        <v>25839</v>
      </c>
      <c r="D65" s="480">
        <f>'[88]Sch C'!F45</f>
        <v>-1596</v>
      </c>
      <c r="E65" s="480">
        <f>+'[88]Sch C'!H45</f>
        <v>0</v>
      </c>
      <c r="F65" s="166">
        <f t="shared" si="5"/>
        <v>24243</v>
      </c>
      <c r="G65" s="626"/>
      <c r="H65" s="166"/>
      <c r="I65" s="166">
        <f t="shared" si="6"/>
        <v>24243</v>
      </c>
      <c r="J65" s="167">
        <f t="shared" si="7"/>
        <v>8.6647066266080791E-3</v>
      </c>
      <c r="K65" s="458"/>
      <c r="L65" s="163"/>
      <c r="M65" s="163"/>
      <c r="O65" s="324">
        <f t="shared" si="8"/>
        <v>3.3858938547486033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638776</v>
      </c>
      <c r="D66" s="480">
        <f t="shared" si="9"/>
        <v>-200194</v>
      </c>
      <c r="E66" s="480">
        <f t="shared" si="9"/>
        <v>20338</v>
      </c>
      <c r="F66" s="166">
        <f t="shared" ref="F66:I66" si="10">SUM(F30:F65)</f>
        <v>458920</v>
      </c>
      <c r="G66" s="166">
        <f t="shared" si="10"/>
        <v>-19407</v>
      </c>
      <c r="H66" s="166">
        <f t="shared" si="10"/>
        <v>0</v>
      </c>
      <c r="I66" s="166">
        <f t="shared" si="10"/>
        <v>439513</v>
      </c>
      <c r="J66" s="178">
        <f t="shared" si="7"/>
        <v>0.15708663134019704</v>
      </c>
      <c r="K66" s="465"/>
      <c r="L66" s="163"/>
      <c r="M66" s="163"/>
      <c r="O66" s="329">
        <f>I66/I$233</f>
        <v>61.384497206703912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'[88]Sch C'!D57</f>
        <v>0</v>
      </c>
      <c r="D69" s="480">
        <f>'[88]Sch C'!F57</f>
        <v>0</v>
      </c>
      <c r="E69" s="480">
        <f>+'[88]Sch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'[88]Sch C'!D58</f>
        <v>191916</v>
      </c>
      <c r="D70" s="480">
        <f>'[88]Sch C'!F58</f>
        <v>0</v>
      </c>
      <c r="E70" s="480">
        <f>+'[88]Sch C'!H58</f>
        <v>0</v>
      </c>
      <c r="F70" s="166">
        <f t="shared" ref="F70:F83" si="13">C70+D70+E70</f>
        <v>191916</v>
      </c>
      <c r="G70" s="626"/>
      <c r="H70" s="166"/>
      <c r="I70" s="166">
        <f t="shared" ref="I70:I83" si="14">F70+G70+H70</f>
        <v>191916</v>
      </c>
      <c r="J70" s="167">
        <f t="shared" si="11"/>
        <v>6.8592824194700169E-2</v>
      </c>
      <c r="K70" s="458"/>
      <c r="L70" s="182"/>
      <c r="M70" s="163"/>
      <c r="O70" s="324">
        <f t="shared" si="12"/>
        <v>26.80391061452514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'[88]Sch C'!D59</f>
        <v>139213</v>
      </c>
      <c r="D71" s="480">
        <f>'[88]Sch C'!F59</f>
        <v>0</v>
      </c>
      <c r="E71" s="480">
        <f>+'[88]Sch C'!H59</f>
        <v>0</v>
      </c>
      <c r="F71" s="166">
        <f t="shared" si="13"/>
        <v>139213</v>
      </c>
      <c r="G71" s="626"/>
      <c r="H71" s="166"/>
      <c r="I71" s="166">
        <f t="shared" si="14"/>
        <v>139213</v>
      </c>
      <c r="J71" s="167">
        <f t="shared" si="11"/>
        <v>4.9756210188920125E-2</v>
      </c>
      <c r="K71" s="458"/>
      <c r="L71" s="182"/>
      <c r="M71" s="163"/>
      <c r="O71" s="324">
        <f t="shared" si="12"/>
        <v>19.443156424581005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'[88]Sch C'!D60</f>
        <v>34548</v>
      </c>
      <c r="D72" s="480">
        <f>'[88]Sch C'!F60</f>
        <v>0</v>
      </c>
      <c r="E72" s="480">
        <f>+'[88]Sch C'!H60</f>
        <v>0</v>
      </c>
      <c r="F72" s="166">
        <f t="shared" si="13"/>
        <v>34548</v>
      </c>
      <c r="G72" s="626"/>
      <c r="H72" s="166"/>
      <c r="I72" s="166">
        <f t="shared" si="14"/>
        <v>34548</v>
      </c>
      <c r="J72" s="167">
        <f t="shared" si="11"/>
        <v>1.2347823476304745E-2</v>
      </c>
      <c r="K72" s="458"/>
      <c r="L72" s="185"/>
      <c r="M72" s="163"/>
      <c r="O72" s="324">
        <f t="shared" si="12"/>
        <v>4.8251396648044693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'[88]Sch C'!D61</f>
        <v>2739</v>
      </c>
      <c r="D73" s="480">
        <f>'[88]Sch C'!F61</f>
        <v>0</v>
      </c>
      <c r="E73" s="480">
        <f>+'[88]Sch C'!H61</f>
        <v>0</v>
      </c>
      <c r="F73" s="166">
        <f t="shared" si="13"/>
        <v>2739</v>
      </c>
      <c r="G73" s="626"/>
      <c r="H73" s="166"/>
      <c r="I73" s="166">
        <f t="shared" si="14"/>
        <v>2739</v>
      </c>
      <c r="J73" s="167">
        <f t="shared" si="11"/>
        <v>9.7894779731384448E-4</v>
      </c>
      <c r="K73" s="458"/>
      <c r="L73" s="185"/>
      <c r="M73" s="163"/>
      <c r="O73" s="324">
        <f t="shared" si="12"/>
        <v>0.38254189944134076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'[88]Sch C'!D62</f>
        <v>0</v>
      </c>
      <c r="D74" s="480">
        <f>'[88]Sch C'!F62</f>
        <v>0</v>
      </c>
      <c r="E74" s="480">
        <f>+'[88]Sch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'[88]Sch C'!D63</f>
        <v>0</v>
      </c>
      <c r="D75" s="480">
        <f>'[88]Sch C'!F63</f>
        <v>0</v>
      </c>
      <c r="E75" s="480">
        <f>+'[88]Sch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'[88]Sch C'!D64</f>
        <v>0</v>
      </c>
      <c r="D76" s="480">
        <f>'[88]Sch C'!F64</f>
        <v>0</v>
      </c>
      <c r="E76" s="480">
        <f>+'[88]Sch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'[88]Sch C'!D65</f>
        <v>2096</v>
      </c>
      <c r="D77" s="480">
        <f>'[88]Sch C'!F65</f>
        <v>0</v>
      </c>
      <c r="E77" s="480">
        <f>+'[88]Sch C'!H65</f>
        <v>0</v>
      </c>
      <c r="F77" s="166">
        <f t="shared" si="13"/>
        <v>2096</v>
      </c>
      <c r="G77" s="626"/>
      <c r="H77" s="166"/>
      <c r="I77" s="166">
        <f t="shared" si="14"/>
        <v>2096</v>
      </c>
      <c r="J77" s="167">
        <f t="shared" si="11"/>
        <v>7.4913274303388757E-4</v>
      </c>
      <c r="K77" s="458"/>
      <c r="L77" s="187"/>
      <c r="M77" s="163"/>
      <c r="O77" s="324">
        <f t="shared" si="12"/>
        <v>0.29273743016759779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'[88]Sch C'!D66</f>
        <v>11843</v>
      </c>
      <c r="D78" s="480">
        <f>'[88]Sch C'!F66</f>
        <v>0</v>
      </c>
      <c r="E78" s="480">
        <f>+'[88]Sch C'!H66</f>
        <v>0</v>
      </c>
      <c r="F78" s="166">
        <f t="shared" si="13"/>
        <v>11843</v>
      </c>
      <c r="G78" s="626">
        <v>6097</v>
      </c>
      <c r="H78" s="166"/>
      <c r="I78" s="166">
        <f t="shared" si="14"/>
        <v>17940</v>
      </c>
      <c r="J78" s="167">
        <f t="shared" si="11"/>
        <v>6.4119472376087516E-3</v>
      </c>
      <c r="K78" s="458"/>
      <c r="L78" s="187"/>
      <c r="M78" s="163"/>
      <c r="O78" s="324">
        <f t="shared" si="12"/>
        <v>2.505586592178771</v>
      </c>
      <c r="P78" s="324">
        <f>SUMMARY!L80</f>
        <v>1.1839694573213462</v>
      </c>
    </row>
    <row r="79" spans="1:16" s="162" customFormat="1">
      <c r="A79" s="140">
        <v>330</v>
      </c>
      <c r="B79" s="600" t="s">
        <v>244</v>
      </c>
      <c r="C79" s="480">
        <f>'[88]Sch C'!D67</f>
        <v>0</v>
      </c>
      <c r="D79" s="480">
        <f>'[88]Sch C'!F67</f>
        <v>0</v>
      </c>
      <c r="E79" s="480">
        <f>+'[88]Sch C'!H67</f>
        <v>0</v>
      </c>
      <c r="F79" s="166">
        <f t="shared" si="13"/>
        <v>0</v>
      </c>
      <c r="G79" s="626"/>
      <c r="H79" s="166"/>
      <c r="I79" s="166">
        <f t="shared" si="14"/>
        <v>0</v>
      </c>
      <c r="J79" s="167">
        <f t="shared" si="11"/>
        <v>0</v>
      </c>
      <c r="K79" s="458"/>
      <c r="L79" s="187"/>
      <c r="M79" s="163"/>
      <c r="O79" s="324">
        <f t="shared" si="12"/>
        <v>0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'[88]Sch C'!D68</f>
        <v>0</v>
      </c>
      <c r="D80" s="480">
        <f>'[88]Sch C'!F68</f>
        <v>0</v>
      </c>
      <c r="E80" s="480">
        <f>+'[88]Sch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'[88]Sch C'!D69</f>
        <v>0</v>
      </c>
      <c r="D81" s="480">
        <f>'[88]Sch C'!F69</f>
        <v>0</v>
      </c>
      <c r="E81" s="480">
        <f>+'[88]Sch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'[88]Sch C'!D70</f>
        <v>0</v>
      </c>
      <c r="D82" s="480">
        <f>'[88]Sch C'!F70</f>
        <v>0</v>
      </c>
      <c r="E82" s="480">
        <f>+'[88]Sch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'[88]Sch C'!D71</f>
        <v>0</v>
      </c>
      <c r="D83" s="480">
        <f>'[88]Sch C'!F71</f>
        <v>0</v>
      </c>
      <c r="E83" s="480">
        <f>+'[88]Sch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382355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382355</v>
      </c>
      <c r="G84" s="166">
        <f t="shared" si="16"/>
        <v>6097</v>
      </c>
      <c r="H84" s="166">
        <f t="shared" si="16"/>
        <v>0</v>
      </c>
      <c r="I84" s="166">
        <f t="shared" si="16"/>
        <v>388452</v>
      </c>
      <c r="J84" s="167">
        <f t="shared" si="11"/>
        <v>0.13883688563788152</v>
      </c>
      <c r="K84" s="458"/>
      <c r="L84" s="187"/>
      <c r="M84" s="163"/>
      <c r="O84" s="324">
        <f t="shared" si="12"/>
        <v>54.253072625698323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'[88]Sch C'!D75</f>
        <v>17674</v>
      </c>
      <c r="D87" s="480">
        <f>'[88]Sch C'!F75</f>
        <v>0</v>
      </c>
      <c r="E87" s="480">
        <f>+'[88]Sch C'!H75</f>
        <v>0</v>
      </c>
      <c r="F87" s="166">
        <f t="shared" ref="F87:F97" si="17">C87+D87+E87</f>
        <v>17674</v>
      </c>
      <c r="G87" s="626"/>
      <c r="H87" s="166"/>
      <c r="I87" s="166">
        <f t="shared" ref="I87:I97" si="18">F87+G87+H87</f>
        <v>17674</v>
      </c>
      <c r="J87" s="167">
        <f t="shared" ref="J87:J98" si="19">IF($I$213=0,0,I87/$I$213)</f>
        <v>6.3168760020901379E-3</v>
      </c>
      <c r="K87" s="458"/>
      <c r="L87" s="176">
        <v>1288</v>
      </c>
      <c r="M87" s="176">
        <v>1445</v>
      </c>
      <c r="O87" s="324">
        <f t="shared" ref="O87:O97" si="20">I87/I$233</f>
        <v>2.4684357541899442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'[88]Sch C'!D76</f>
        <v>0</v>
      </c>
      <c r="D88" s="480">
        <f>'[88]Sch C'!F76</f>
        <v>2903</v>
      </c>
      <c r="E88" s="480">
        <f>+'[88]Sch C'!H76</f>
        <v>0</v>
      </c>
      <c r="F88" s="166">
        <f t="shared" si="17"/>
        <v>2903</v>
      </c>
      <c r="G88" s="626">
        <v>-164</v>
      </c>
      <c r="H88" s="166"/>
      <c r="I88" s="166">
        <f t="shared" si="18"/>
        <v>2739</v>
      </c>
      <c r="J88" s="167">
        <f t="shared" si="19"/>
        <v>9.7894779731384448E-4</v>
      </c>
      <c r="K88" s="458"/>
      <c r="L88" s="163"/>
      <c r="M88" s="163"/>
      <c r="O88" s="324">
        <f t="shared" si="20"/>
        <v>0.38254189944134076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'[88]Sch C'!D77</f>
        <v>1513</v>
      </c>
      <c r="D89" s="480">
        <f>'[88]Sch C'!F77</f>
        <v>0</v>
      </c>
      <c r="E89" s="480">
        <f>+'[88]Sch C'!H77</f>
        <v>0</v>
      </c>
      <c r="F89" s="166">
        <f t="shared" si="17"/>
        <v>1513</v>
      </c>
      <c r="G89" s="626"/>
      <c r="H89" s="166"/>
      <c r="I89" s="166">
        <f t="shared" si="18"/>
        <v>1513</v>
      </c>
      <c r="J89" s="167">
        <f t="shared" si="19"/>
        <v>5.407623283445953E-4</v>
      </c>
      <c r="K89" s="458"/>
      <c r="L89" s="163"/>
      <c r="M89" s="163"/>
      <c r="O89" s="324">
        <f t="shared" si="20"/>
        <v>0.21131284916201118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'[88]Sch C'!D78</f>
        <v>9123</v>
      </c>
      <c r="D90" s="480">
        <f>'[88]Sch C'!F78</f>
        <v>0</v>
      </c>
      <c r="E90" s="480">
        <f>+'[88]Sch C'!H78</f>
        <v>0</v>
      </c>
      <c r="F90" s="166">
        <f t="shared" si="17"/>
        <v>9123</v>
      </c>
      <c r="G90" s="626">
        <v>-6097</v>
      </c>
      <c r="H90" s="166"/>
      <c r="I90" s="166">
        <f t="shared" si="18"/>
        <v>3026</v>
      </c>
      <c r="J90" s="167">
        <f t="shared" si="19"/>
        <v>1.0815246566891906E-3</v>
      </c>
      <c r="K90" s="458"/>
      <c r="L90" s="163"/>
      <c r="M90" s="163"/>
      <c r="O90" s="324">
        <f t="shared" si="20"/>
        <v>0.42262569832402236</v>
      </c>
      <c r="P90" s="324">
        <f>SUMMARY!L92</f>
        <v>0.24523901522861224</v>
      </c>
    </row>
    <row r="91" spans="1:16" s="162" customFormat="1">
      <c r="A91" s="164">
        <v>240</v>
      </c>
      <c r="B91" s="601" t="s">
        <v>248</v>
      </c>
      <c r="C91" s="480">
        <f>'[88]Sch C'!D79</f>
        <v>22523</v>
      </c>
      <c r="D91" s="480">
        <f>'[88]Sch C'!F79</f>
        <v>0</v>
      </c>
      <c r="E91" s="480">
        <f>+'[88]Sch C'!H79</f>
        <v>0</v>
      </c>
      <c r="F91" s="166">
        <f t="shared" si="17"/>
        <v>22523</v>
      </c>
      <c r="G91" s="626"/>
      <c r="H91" s="166"/>
      <c r="I91" s="166">
        <f t="shared" si="18"/>
        <v>22523</v>
      </c>
      <c r="J91" s="167">
        <f t="shared" si="19"/>
        <v>8.0499602916756906E-3</v>
      </c>
      <c r="K91" s="458"/>
      <c r="L91" s="163"/>
      <c r="M91" s="163"/>
      <c r="O91" s="324">
        <f t="shared" si="20"/>
        <v>3.1456703910614525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'[88]Sch C'!D80</f>
        <v>11149</v>
      </c>
      <c r="D92" s="480">
        <f>'[88]Sch C'!F80</f>
        <v>0</v>
      </c>
      <c r="E92" s="480">
        <f>+'[88]Sch C'!H80</f>
        <v>0</v>
      </c>
      <c r="F92" s="166">
        <f t="shared" si="17"/>
        <v>11149</v>
      </c>
      <c r="G92" s="626"/>
      <c r="H92" s="166"/>
      <c r="I92" s="166">
        <f t="shared" si="18"/>
        <v>11149</v>
      </c>
      <c r="J92" s="167">
        <f t="shared" si="19"/>
        <v>3.9847714466053497E-3</v>
      </c>
      <c r="K92" s="458"/>
      <c r="L92" s="163"/>
      <c r="M92" s="163"/>
      <c r="O92" s="324">
        <f t="shared" si="20"/>
        <v>1.5571229050279329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'[88]Sch C'!D81</f>
        <v>0</v>
      </c>
      <c r="D93" s="480">
        <f>'[88]Sch C'!F81</f>
        <v>0</v>
      </c>
      <c r="E93" s="480">
        <f>+'[88]Sch C'!H81</f>
        <v>0</v>
      </c>
      <c r="F93" s="166">
        <f t="shared" si="17"/>
        <v>0</v>
      </c>
      <c r="G93" s="626"/>
      <c r="H93" s="166"/>
      <c r="I93" s="166">
        <f t="shared" si="18"/>
        <v>0</v>
      </c>
      <c r="J93" s="167">
        <f t="shared" si="19"/>
        <v>0</v>
      </c>
      <c r="K93" s="458"/>
      <c r="L93" s="163"/>
      <c r="M93" s="163"/>
      <c r="O93" s="324">
        <f t="shared" si="20"/>
        <v>0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'[88]Sch C'!D82</f>
        <v>267</v>
      </c>
      <c r="D94" s="480">
        <f>'[88]Sch C'!F82</f>
        <v>0</v>
      </c>
      <c r="E94" s="480">
        <f>+'[88]Sch C'!H82</f>
        <v>0</v>
      </c>
      <c r="F94" s="166">
        <f t="shared" si="17"/>
        <v>267</v>
      </c>
      <c r="G94" s="626"/>
      <c r="H94" s="166"/>
      <c r="I94" s="166">
        <f t="shared" si="18"/>
        <v>267</v>
      </c>
      <c r="J94" s="167">
        <f t="shared" si="19"/>
        <v>9.5428646178457999E-5</v>
      </c>
      <c r="K94" s="458"/>
      <c r="L94" s="163"/>
      <c r="M94" s="163"/>
      <c r="O94" s="324">
        <f t="shared" si="20"/>
        <v>3.7290502793296092E-2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'[88]Sch C'!D83</f>
        <v>3227</v>
      </c>
      <c r="D95" s="480">
        <f>'[88]Sch C'!F83</f>
        <v>0</v>
      </c>
      <c r="E95" s="480">
        <f>+'[88]Sch C'!H83</f>
        <v>0</v>
      </c>
      <c r="F95" s="166">
        <f t="shared" si="17"/>
        <v>3227</v>
      </c>
      <c r="G95" s="626"/>
      <c r="H95" s="166"/>
      <c r="I95" s="166">
        <f t="shared" si="18"/>
        <v>3227</v>
      </c>
      <c r="J95" s="167">
        <f t="shared" si="19"/>
        <v>1.1533641993179175E-3</v>
      </c>
      <c r="K95" s="458"/>
      <c r="L95" s="163"/>
      <c r="M95" s="163"/>
      <c r="O95" s="324">
        <f t="shared" si="20"/>
        <v>0.45069832402234639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'[88]Sch C'!D84</f>
        <v>37032</v>
      </c>
      <c r="D96" s="480">
        <f>'[88]Sch C'!F84</f>
        <v>0</v>
      </c>
      <c r="E96" s="480">
        <f>+'[88]Sch C'!H84</f>
        <v>0</v>
      </c>
      <c r="F96" s="166">
        <f t="shared" si="17"/>
        <v>37032</v>
      </c>
      <c r="G96" s="626"/>
      <c r="H96" s="166"/>
      <c r="I96" s="166">
        <f t="shared" si="18"/>
        <v>37032</v>
      </c>
      <c r="J96" s="167">
        <f t="shared" si="19"/>
        <v>1.3235631555358264E-2</v>
      </c>
      <c r="K96" s="458"/>
      <c r="L96" s="163"/>
      <c r="M96" s="163"/>
      <c r="O96" s="324">
        <f t="shared" si="20"/>
        <v>5.1720670391061452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'[88]Sch C'!D85</f>
        <v>0</v>
      </c>
      <c r="D97" s="480">
        <f>'[88]Sch C'!F85</f>
        <v>0</v>
      </c>
      <c r="E97" s="480">
        <f>+'[88]Sch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102508</v>
      </c>
      <c r="D98" s="480">
        <f t="shared" si="21"/>
        <v>2903</v>
      </c>
      <c r="E98" s="480">
        <f t="shared" si="21"/>
        <v>0</v>
      </c>
      <c r="F98" s="166">
        <f t="shared" ref="F98:I98" si="22">SUM(F87:F97)</f>
        <v>105411</v>
      </c>
      <c r="G98" s="166">
        <f t="shared" si="22"/>
        <v>-6261</v>
      </c>
      <c r="H98" s="166">
        <f t="shared" si="22"/>
        <v>0</v>
      </c>
      <c r="I98" s="166">
        <f t="shared" si="22"/>
        <v>99150</v>
      </c>
      <c r="J98" s="167">
        <f t="shared" si="19"/>
        <v>3.5437266923573449E-2</v>
      </c>
      <c r="K98" s="458"/>
      <c r="L98" s="163"/>
      <c r="M98" s="163"/>
      <c r="O98" s="329">
        <f>I98/I$233</f>
        <v>13.847765363128492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'[88]Sch C'!D89</f>
        <v>107835</v>
      </c>
      <c r="D101" s="480">
        <f>'[88]Sch C'!F89</f>
        <v>0</v>
      </c>
      <c r="E101" s="480">
        <f>+'[88]Sch C'!H89</f>
        <v>0</v>
      </c>
      <c r="F101" s="166">
        <f t="shared" ref="F101:F106" si="23">C101+D101+E101</f>
        <v>107835</v>
      </c>
      <c r="G101" s="626"/>
      <c r="H101" s="166"/>
      <c r="I101" s="166">
        <f t="shared" ref="I101:I106" si="24">F101+G101+H101</f>
        <v>107835</v>
      </c>
      <c r="J101" s="167">
        <f t="shared" ref="J101:J107" si="25">IF($I$213=0,0,I101/$I$213)</f>
        <v>3.8541378504322168E-2</v>
      </c>
      <c r="K101" s="458"/>
      <c r="L101" s="176">
        <v>9745</v>
      </c>
      <c r="M101" s="176">
        <v>10320</v>
      </c>
      <c r="O101" s="329">
        <f t="shared" ref="O101:O106" si="26">I101/I$233</f>
        <v>15.060754189944134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'[88]Sch C'!D90</f>
        <v>0</v>
      </c>
      <c r="D102" s="480">
        <f>'[88]Sch C'!F90</f>
        <v>17711</v>
      </c>
      <c r="E102" s="480">
        <f>+'[88]Sch C'!H90</f>
        <v>0</v>
      </c>
      <c r="F102" s="166">
        <f t="shared" si="23"/>
        <v>17711</v>
      </c>
      <c r="G102" s="626">
        <v>-1043</v>
      </c>
      <c r="H102" s="166"/>
      <c r="I102" s="166">
        <f t="shared" si="24"/>
        <v>16668</v>
      </c>
      <c r="J102" s="167">
        <f t="shared" si="25"/>
        <v>5.957320878286659E-3</v>
      </c>
      <c r="K102" s="458"/>
      <c r="L102" s="163"/>
      <c r="M102" s="163"/>
      <c r="O102" s="329">
        <f t="shared" si="26"/>
        <v>2.3279329608938548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'[88]Sch C'!D91</f>
        <v>7969</v>
      </c>
      <c r="D103" s="480">
        <f>'[88]Sch C'!F91</f>
        <v>0</v>
      </c>
      <c r="E103" s="480">
        <f>+'[88]Sch C'!H91</f>
        <v>0</v>
      </c>
      <c r="F103" s="166">
        <f t="shared" si="23"/>
        <v>7969</v>
      </c>
      <c r="G103" s="626"/>
      <c r="H103" s="166"/>
      <c r="I103" s="166">
        <f t="shared" si="24"/>
        <v>7969</v>
      </c>
      <c r="J103" s="167">
        <f t="shared" si="25"/>
        <v>2.8482055483001192E-3</v>
      </c>
      <c r="K103" s="458"/>
      <c r="L103" s="163"/>
      <c r="M103" s="163"/>
      <c r="O103" s="329">
        <f t="shared" si="26"/>
        <v>1.1129888268156425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'[88]Sch C'!D92</f>
        <v>69454</v>
      </c>
      <c r="D104" s="480">
        <f>'[88]Sch C'!F92</f>
        <v>-2567</v>
      </c>
      <c r="E104" s="480">
        <f>+'[88]Sch C'!H92</f>
        <v>0</v>
      </c>
      <c r="F104" s="166">
        <f t="shared" si="23"/>
        <v>66887</v>
      </c>
      <c r="G104" s="626"/>
      <c r="H104" s="166"/>
      <c r="I104" s="166">
        <f t="shared" si="24"/>
        <v>66887</v>
      </c>
      <c r="J104" s="167">
        <f t="shared" si="25"/>
        <v>2.3906126805013184E-2</v>
      </c>
      <c r="K104" s="458"/>
      <c r="L104" s="163"/>
      <c r="M104" s="163"/>
      <c r="O104" s="329">
        <f t="shared" si="26"/>
        <v>9.3417597765363123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'[88]Sch C'!D93</f>
        <v>7709</v>
      </c>
      <c r="D105" s="480">
        <f>'[88]Sch C'!F93</f>
        <v>0</v>
      </c>
      <c r="E105" s="480">
        <f>+'[88]Sch C'!H93</f>
        <v>0</v>
      </c>
      <c r="F105" s="166">
        <f t="shared" si="23"/>
        <v>7709</v>
      </c>
      <c r="G105" s="626"/>
      <c r="H105" s="166"/>
      <c r="I105" s="166">
        <f t="shared" si="24"/>
        <v>7709</v>
      </c>
      <c r="J105" s="167">
        <f t="shared" si="25"/>
        <v>2.7552787767405719E-3</v>
      </c>
      <c r="K105" s="458"/>
      <c r="L105" s="163"/>
      <c r="M105" s="163"/>
      <c r="O105" s="329">
        <f t="shared" si="26"/>
        <v>1.0766759776536312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'[88]Sch C'!D94</f>
        <v>510</v>
      </c>
      <c r="D106" s="480">
        <f>'[88]Sch C'!F94</f>
        <v>0</v>
      </c>
      <c r="E106" s="480">
        <f>+'[88]Sch C'!H94</f>
        <v>0</v>
      </c>
      <c r="F106" s="166">
        <f t="shared" si="23"/>
        <v>510</v>
      </c>
      <c r="G106" s="626"/>
      <c r="H106" s="166"/>
      <c r="I106" s="166">
        <f t="shared" si="24"/>
        <v>510</v>
      </c>
      <c r="J106" s="167">
        <f t="shared" si="25"/>
        <v>1.8227943652065012E-4</v>
      </c>
      <c r="K106" s="458"/>
      <c r="L106" s="163"/>
      <c r="M106" s="163"/>
      <c r="O106" s="329">
        <f t="shared" si="26"/>
        <v>7.1229050279329603E-2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193477</v>
      </c>
      <c r="D107" s="480">
        <f t="shared" si="27"/>
        <v>15144</v>
      </c>
      <c r="E107" s="480">
        <f t="shared" si="27"/>
        <v>0</v>
      </c>
      <c r="F107" s="166">
        <f t="shared" ref="F107:I107" si="28">SUM(F101:F106)</f>
        <v>208621</v>
      </c>
      <c r="G107" s="166">
        <f t="shared" si="28"/>
        <v>-1043</v>
      </c>
      <c r="H107" s="166">
        <f t="shared" si="28"/>
        <v>0</v>
      </c>
      <c r="I107" s="166">
        <f t="shared" si="28"/>
        <v>207578</v>
      </c>
      <c r="J107" s="167">
        <f t="shared" si="25"/>
        <v>7.4190589949183358E-2</v>
      </c>
      <c r="K107" s="458"/>
      <c r="L107" s="163"/>
      <c r="M107" s="163"/>
      <c r="O107" s="329">
        <f>I107/I$233</f>
        <v>28.991340782122904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'[88]Sch C'!D98</f>
        <v>0</v>
      </c>
      <c r="D110" s="480">
        <f>'[88]Sch C'!F98</f>
        <v>0</v>
      </c>
      <c r="E110" s="480">
        <f>+'[88]Sch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'[88]Sch C'!D99</f>
        <v>0</v>
      </c>
      <c r="D111" s="480">
        <f>'[88]Sch C'!F99</f>
        <v>0</v>
      </c>
      <c r="E111" s="480">
        <f>+'[88]Sch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'[88]Sch C'!D100</f>
        <v>678</v>
      </c>
      <c r="D112" s="480">
        <f>'[88]Sch C'!F100</f>
        <v>0</v>
      </c>
      <c r="E112" s="480">
        <f>+'[88]Sch C'!H100</f>
        <v>0</v>
      </c>
      <c r="F112" s="166">
        <f t="shared" si="29"/>
        <v>678</v>
      </c>
      <c r="G112" s="626"/>
      <c r="H112" s="166"/>
      <c r="I112" s="166">
        <f t="shared" si="30"/>
        <v>678</v>
      </c>
      <c r="J112" s="167">
        <f t="shared" si="31"/>
        <v>2.4232442737451133E-4</v>
      </c>
      <c r="K112" s="458"/>
      <c r="L112" s="163"/>
      <c r="M112" s="163"/>
      <c r="O112" s="329">
        <f t="shared" si="32"/>
        <v>9.4692737430167595E-2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'[88]Sch C'!D101</f>
        <v>0</v>
      </c>
      <c r="D113" s="480">
        <f>'[88]Sch C'!F101</f>
        <v>0</v>
      </c>
      <c r="E113" s="480">
        <f>+'[88]Sch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'[88]Sch C'!D102</f>
        <v>500</v>
      </c>
      <c r="D114" s="480">
        <f>'[88]Sch C'!F102</f>
        <v>0</v>
      </c>
      <c r="E114" s="480">
        <f>+'[88]Sch C'!H102</f>
        <v>0</v>
      </c>
      <c r="F114" s="166">
        <f t="shared" si="29"/>
        <v>500</v>
      </c>
      <c r="G114" s="626"/>
      <c r="H114" s="166"/>
      <c r="I114" s="166">
        <f t="shared" si="30"/>
        <v>500</v>
      </c>
      <c r="J114" s="167">
        <f t="shared" si="31"/>
        <v>1.7870532992220599E-4</v>
      </c>
      <c r="K114" s="458"/>
      <c r="L114" s="163"/>
      <c r="M114" s="163"/>
      <c r="O114" s="329">
        <f t="shared" si="32"/>
        <v>6.9832402234636867E-2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'[88]Sch C'!D103</f>
        <v>0</v>
      </c>
      <c r="D115" s="480">
        <f>'[88]Sch C'!F103</f>
        <v>0</v>
      </c>
      <c r="E115" s="480">
        <f>+'[88]Sch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1178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1178</v>
      </c>
      <c r="G116" s="166">
        <f t="shared" si="34"/>
        <v>0</v>
      </c>
      <c r="H116" s="166">
        <f t="shared" si="34"/>
        <v>0</v>
      </c>
      <c r="I116" s="166">
        <f t="shared" si="34"/>
        <v>1178</v>
      </c>
      <c r="J116" s="167">
        <f t="shared" si="31"/>
        <v>4.2102975729671732E-4</v>
      </c>
      <c r="K116" s="458"/>
      <c r="L116" s="163"/>
      <c r="M116" s="163"/>
      <c r="O116" s="329">
        <f>I116/I$233</f>
        <v>0.16452513966480448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'[88]Sch C'!D115</f>
        <v>41690</v>
      </c>
      <c r="D119" s="480">
        <f>'[88]Sch C'!F115</f>
        <v>0</v>
      </c>
      <c r="E119" s="480">
        <f>+'[88]Sch C'!H115</f>
        <v>0</v>
      </c>
      <c r="F119" s="166">
        <f t="shared" ref="F119:F123" si="35">C119+D119+E119</f>
        <v>41690</v>
      </c>
      <c r="G119" s="626"/>
      <c r="H119" s="166"/>
      <c r="I119" s="166">
        <f t="shared" ref="I119:I123" si="36">F119+G119+H119</f>
        <v>41690</v>
      </c>
      <c r="J119" s="167">
        <f t="shared" ref="J119:J124" si="37">IF($I$213=0,0,I119/$I$213)</f>
        <v>1.4900450408913536E-2</v>
      </c>
      <c r="K119" s="458"/>
      <c r="L119" s="176">
        <v>4231</v>
      </c>
      <c r="M119" s="176">
        <v>4415</v>
      </c>
      <c r="O119" s="329">
        <f t="shared" ref="O119:O124" si="38">I119/I$233</f>
        <v>5.8226256983240221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'[88]Sch C'!D116</f>
        <v>0</v>
      </c>
      <c r="D120" s="480">
        <f>'[88]Sch C'!F116</f>
        <v>6847</v>
      </c>
      <c r="E120" s="480">
        <f>+'[88]Sch C'!H116</f>
        <v>0</v>
      </c>
      <c r="F120" s="166">
        <f t="shared" si="35"/>
        <v>6847</v>
      </c>
      <c r="G120" s="626">
        <v>-398</v>
      </c>
      <c r="H120" s="166"/>
      <c r="I120" s="166">
        <f t="shared" si="36"/>
        <v>6449</v>
      </c>
      <c r="J120" s="167">
        <f t="shared" si="37"/>
        <v>2.3049413453366131E-3</v>
      </c>
      <c r="K120" s="458"/>
      <c r="L120" s="163"/>
      <c r="M120" s="163"/>
      <c r="O120" s="329">
        <f t="shared" si="38"/>
        <v>0.9006983240223464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'[88]Sch C'!D117</f>
        <v>7384</v>
      </c>
      <c r="D121" s="480">
        <f>'[88]Sch C'!F117</f>
        <v>0</v>
      </c>
      <c r="E121" s="480">
        <f>+'[88]Sch C'!H117</f>
        <v>0</v>
      </c>
      <c r="F121" s="166">
        <f t="shared" si="35"/>
        <v>7384</v>
      </c>
      <c r="G121" s="626"/>
      <c r="H121" s="166"/>
      <c r="I121" s="166">
        <f t="shared" si="36"/>
        <v>7384</v>
      </c>
      <c r="J121" s="167">
        <f t="shared" si="37"/>
        <v>2.6391203122911383E-3</v>
      </c>
      <c r="K121" s="458"/>
      <c r="L121" s="163"/>
      <c r="M121" s="163"/>
      <c r="O121" s="329">
        <f t="shared" si="38"/>
        <v>1.0312849162011173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'[88]Sch C'!D118</f>
        <v>177</v>
      </c>
      <c r="D122" s="480">
        <f>'[88]Sch C'!F118</f>
        <v>0</v>
      </c>
      <c r="E122" s="480">
        <f>+'[88]Sch C'!H118</f>
        <v>0</v>
      </c>
      <c r="F122" s="166">
        <f t="shared" si="35"/>
        <v>177</v>
      </c>
      <c r="G122" s="626"/>
      <c r="H122" s="166"/>
      <c r="I122" s="166">
        <f t="shared" si="36"/>
        <v>177</v>
      </c>
      <c r="J122" s="167">
        <f t="shared" si="37"/>
        <v>6.3261686792460918E-5</v>
      </c>
      <c r="K122" s="458"/>
      <c r="L122" s="163"/>
      <c r="M122" s="163"/>
      <c r="O122" s="329">
        <f t="shared" si="38"/>
        <v>2.4720670391061454E-2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'[88]Sch C'!D119</f>
        <v>0</v>
      </c>
      <c r="D123" s="480">
        <f>'[88]Sch C'!F119</f>
        <v>0</v>
      </c>
      <c r="E123" s="480">
        <f>+'[88]Sch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49251</v>
      </c>
      <c r="D124" s="480">
        <f t="shared" si="39"/>
        <v>6847</v>
      </c>
      <c r="E124" s="480">
        <f t="shared" si="39"/>
        <v>0</v>
      </c>
      <c r="F124" s="166">
        <f t="shared" ref="F124:I124" si="40">SUM(F119:F123)</f>
        <v>56098</v>
      </c>
      <c r="G124" s="166">
        <f t="shared" si="40"/>
        <v>-398</v>
      </c>
      <c r="H124" s="166">
        <f t="shared" si="40"/>
        <v>0</v>
      </c>
      <c r="I124" s="166">
        <f t="shared" si="40"/>
        <v>55700</v>
      </c>
      <c r="J124" s="167">
        <f t="shared" si="37"/>
        <v>1.9907773753333746E-2</v>
      </c>
      <c r="K124" s="458"/>
      <c r="L124" s="163"/>
      <c r="M124" s="163"/>
      <c r="O124" s="329">
        <f t="shared" si="38"/>
        <v>7.7793296089385473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'[88]Sch C'!D124</f>
        <v>0</v>
      </c>
      <c r="D128" s="480">
        <f>'[88]Sch C'!F124</f>
        <v>0</v>
      </c>
      <c r="E128" s="480">
        <f>+'[88]Sch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'[88]Sch C'!D125</f>
        <v>84182</v>
      </c>
      <c r="D129" s="480">
        <f>'[88]Sch C'!F125</f>
        <v>0</v>
      </c>
      <c r="E129" s="480">
        <f>+'[88]Sch C'!H125</f>
        <v>0</v>
      </c>
      <c r="F129" s="166">
        <f t="shared" si="41"/>
        <v>84182</v>
      </c>
      <c r="G129" s="626"/>
      <c r="H129" s="166"/>
      <c r="I129" s="166">
        <f t="shared" si="42"/>
        <v>84182</v>
      </c>
      <c r="J129" s="167">
        <f>IF($I$213=0,0,I129/$I$213)</f>
        <v>3.0087544167022289E-2</v>
      </c>
      <c r="K129" s="458"/>
      <c r="L129" s="176">
        <v>5062</v>
      </c>
      <c r="M129" s="176">
        <v>5445</v>
      </c>
      <c r="O129" s="329">
        <f t="shared" si="43"/>
        <v>11.757262569832402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'[88]Sch C'!D126</f>
        <v>0</v>
      </c>
      <c r="D130" s="480">
        <f>'[88]Sch C'!F126</f>
        <v>0</v>
      </c>
      <c r="E130" s="480">
        <f>+'[88]Sch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'[88]Sch C'!D127</f>
        <v>0</v>
      </c>
      <c r="D131" s="480">
        <f>'[88]Sch C'!F127</f>
        <v>0</v>
      </c>
      <c r="E131" s="480">
        <f>+'[88]Sch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'[88]Sch C'!D128</f>
        <v>103620</v>
      </c>
      <c r="D132" s="480">
        <f>'[88]Sch C'!F128</f>
        <v>0</v>
      </c>
      <c r="E132" s="480">
        <f>+'[88]Sch C'!H128</f>
        <v>0</v>
      </c>
      <c r="F132" s="166">
        <f t="shared" si="41"/>
        <v>103620</v>
      </c>
      <c r="G132" s="626">
        <v>11261</v>
      </c>
      <c r="H132" s="166"/>
      <c r="I132" s="166">
        <f t="shared" si="42"/>
        <v>114881</v>
      </c>
      <c r="J132" s="167">
        <f>IF($I$213=0,0,I132/$I$213)</f>
        <v>4.1059694013585897E-2</v>
      </c>
      <c r="K132" s="458"/>
      <c r="L132" s="176">
        <v>1532</v>
      </c>
      <c r="M132" s="176">
        <v>1640</v>
      </c>
      <c r="O132" s="329">
        <f t="shared" si="43"/>
        <v>16.044832402234636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'[88]Sch C'!D130</f>
        <v>0</v>
      </c>
      <c r="D134" s="480">
        <f>'[88]Sch C'!F130</f>
        <v>0</v>
      </c>
      <c r="E134" s="480">
        <f>+'[88]Sch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'[88]Sch C'!D131</f>
        <v>0</v>
      </c>
      <c r="D135" s="480">
        <f>'[88]Sch C'!F131</f>
        <v>13826</v>
      </c>
      <c r="E135" s="480">
        <f>+'[88]Sch C'!H131</f>
        <v>0</v>
      </c>
      <c r="F135" s="166">
        <f t="shared" si="44"/>
        <v>13826</v>
      </c>
      <c r="G135" s="626">
        <v>-762</v>
      </c>
      <c r="H135" s="166"/>
      <c r="I135" s="166">
        <f t="shared" si="45"/>
        <v>13064</v>
      </c>
      <c r="J135" s="167">
        <f>IF($I$213=0,0,I135/$I$213)</f>
        <v>4.6692128602073982E-3</v>
      </c>
      <c r="K135" s="458"/>
      <c r="L135" s="196"/>
      <c r="M135" s="196"/>
      <c r="O135" s="329">
        <f t="shared" si="43"/>
        <v>1.8245810055865921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'[88]Sch C'!D132</f>
        <v>0</v>
      </c>
      <c r="D136" s="480">
        <f>'[88]Sch C'!F132</f>
        <v>0</v>
      </c>
      <c r="E136" s="480">
        <f>+'[88]Sch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'[88]Sch C'!D133</f>
        <v>0</v>
      </c>
      <c r="D137" s="480">
        <f>'[88]Sch C'!F133</f>
        <v>0</v>
      </c>
      <c r="E137" s="480">
        <f>+'[88]Sch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'[88]Sch C'!D134</f>
        <v>0</v>
      </c>
      <c r="D138" s="480">
        <f>'[88]Sch C'!F134</f>
        <v>17019</v>
      </c>
      <c r="E138" s="480">
        <f>+'[88]Sch C'!H134</f>
        <v>0</v>
      </c>
      <c r="F138" s="166">
        <f t="shared" si="44"/>
        <v>17019</v>
      </c>
      <c r="G138" s="626">
        <f>1869-702</f>
        <v>1167</v>
      </c>
      <c r="H138" s="166"/>
      <c r="I138" s="166">
        <f t="shared" si="45"/>
        <v>18186</v>
      </c>
      <c r="J138" s="167">
        <f>IF($I$213=0,0,I138/$I$213)</f>
        <v>6.4998702599304761E-3</v>
      </c>
      <c r="K138" s="458"/>
      <c r="L138" s="163"/>
      <c r="M138" s="163"/>
      <c r="O138" s="329">
        <f t="shared" si="43"/>
        <v>2.5399441340782123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'[88]Sch C'!D136</f>
        <v>163756</v>
      </c>
      <c r="D140" s="480">
        <f>'[88]Sch C'!F136</f>
        <v>0</v>
      </c>
      <c r="E140" s="480">
        <f>+'[88]Sch C'!H136</f>
        <v>0</v>
      </c>
      <c r="F140" s="166">
        <f t="shared" ref="F140:F143" si="46">C140+D140+E140</f>
        <v>163756</v>
      </c>
      <c r="G140" s="626"/>
      <c r="H140" s="166"/>
      <c r="I140" s="166">
        <f t="shared" ref="I140:I143" si="47">F140+G140+H140</f>
        <v>163756</v>
      </c>
      <c r="J140" s="167">
        <f>IF($I$213=0,0,I140/$I$213)</f>
        <v>5.8528140013481528E-2</v>
      </c>
      <c r="K140" s="458"/>
      <c r="L140" s="176">
        <v>6115</v>
      </c>
      <c r="M140" s="176">
        <v>6276</v>
      </c>
      <c r="O140" s="329">
        <f t="shared" si="43"/>
        <v>22.870949720670392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'[88]Sch C'!D137</f>
        <v>163817</v>
      </c>
      <c r="D141" s="480">
        <f>'[88]Sch C'!F137</f>
        <v>0</v>
      </c>
      <c r="E141" s="480">
        <f>+'[88]Sch C'!H137</f>
        <v>0</v>
      </c>
      <c r="F141" s="166">
        <f t="shared" si="46"/>
        <v>163817</v>
      </c>
      <c r="G141" s="626"/>
      <c r="H141" s="166"/>
      <c r="I141" s="166">
        <f t="shared" si="47"/>
        <v>163817</v>
      </c>
      <c r="J141" s="167">
        <f>IF($I$213=0,0,I141/$I$213)</f>
        <v>5.8549942063732041E-2</v>
      </c>
      <c r="K141" s="458"/>
      <c r="L141" s="176">
        <v>6958</v>
      </c>
      <c r="M141" s="176">
        <v>7563</v>
      </c>
      <c r="O141" s="329">
        <f t="shared" si="43"/>
        <v>22.879469273743016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'[88]Sch C'!D138</f>
        <v>246746</v>
      </c>
      <c r="D142" s="480">
        <f>'[88]Sch C'!F138</f>
        <v>0</v>
      </c>
      <c r="E142" s="480">
        <f>+'[88]Sch C'!H138</f>
        <v>0</v>
      </c>
      <c r="F142" s="166">
        <f t="shared" si="46"/>
        <v>246746</v>
      </c>
      <c r="G142" s="626"/>
      <c r="H142" s="166"/>
      <c r="I142" s="166">
        <f t="shared" si="47"/>
        <v>246746</v>
      </c>
      <c r="J142" s="167">
        <f>IF($I$213=0,0,I142/$I$213)</f>
        <v>8.8189650673969278E-2</v>
      </c>
      <c r="K142" s="458"/>
      <c r="L142" s="176">
        <v>20379</v>
      </c>
      <c r="M142" s="176">
        <v>21617</v>
      </c>
      <c r="O142" s="329">
        <f t="shared" si="43"/>
        <v>34.461731843575421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'[88]Sch C'!D139</f>
        <v>0</v>
      </c>
      <c r="D143" s="480">
        <f>'[88]Sch C'!F139</f>
        <v>0</v>
      </c>
      <c r="E143" s="480">
        <f>+'[88]Sch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'[88]Sch C'!D141</f>
        <v>0</v>
      </c>
      <c r="D145" s="480">
        <f>'[88]Sch C'!F141</f>
        <v>26896</v>
      </c>
      <c r="E145" s="480">
        <f>+'[88]Sch C'!H141</f>
        <v>0</v>
      </c>
      <c r="F145" s="166">
        <f t="shared" ref="F145:F148" si="48">C145+D145+E145</f>
        <v>26896</v>
      </c>
      <c r="G145" s="626">
        <v>-1483</v>
      </c>
      <c r="H145" s="166"/>
      <c r="I145" s="166">
        <f t="shared" ref="I145:I148" si="49">F145+G145+H145</f>
        <v>25413</v>
      </c>
      <c r="J145" s="167">
        <f>IF($I$213=0,0,I145/$I$213)</f>
        <v>9.0828770986260427E-3</v>
      </c>
      <c r="K145" s="458"/>
      <c r="L145" s="163"/>
      <c r="M145" s="163"/>
      <c r="O145" s="329">
        <f t="shared" si="43"/>
        <v>3.5493016759776537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'[88]Sch C'!D142</f>
        <v>0</v>
      </c>
      <c r="D146" s="480">
        <f>'[88]Sch C'!F142</f>
        <v>26906</v>
      </c>
      <c r="E146" s="480">
        <f>+'[88]Sch C'!H142</f>
        <v>0</v>
      </c>
      <c r="F146" s="166">
        <f t="shared" si="48"/>
        <v>26906</v>
      </c>
      <c r="G146" s="626">
        <v>-1699</v>
      </c>
      <c r="H146" s="166"/>
      <c r="I146" s="166">
        <f t="shared" si="49"/>
        <v>25207</v>
      </c>
      <c r="J146" s="167">
        <f>IF($I$213=0,0,I146/$I$213)</f>
        <v>9.0092505026980931E-3</v>
      </c>
      <c r="K146" s="458"/>
      <c r="L146" s="163"/>
      <c r="M146" s="163"/>
      <c r="O146" s="329">
        <f t="shared" si="43"/>
        <v>3.5205307262569834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'[88]Sch C'!D143</f>
        <v>0</v>
      </c>
      <c r="D147" s="480">
        <f>'[88]Sch C'!F143</f>
        <v>40527</v>
      </c>
      <c r="E147" s="480">
        <f>+'[88]Sch C'!H143</f>
        <v>0</v>
      </c>
      <c r="F147" s="166">
        <f t="shared" si="48"/>
        <v>40527</v>
      </c>
      <c r="G147" s="626">
        <v>-2577</v>
      </c>
      <c r="H147" s="166"/>
      <c r="I147" s="166">
        <f t="shared" si="49"/>
        <v>37950</v>
      </c>
      <c r="J147" s="167">
        <f>IF($I$213=0,0,I147/$I$213)</f>
        <v>1.3563734541095435E-2</v>
      </c>
      <c r="K147" s="458"/>
      <c r="L147" s="163"/>
      <c r="M147" s="163"/>
      <c r="O147" s="329">
        <f t="shared" si="43"/>
        <v>5.3002793296089381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'[88]Sch C'!D144</f>
        <v>0</v>
      </c>
      <c r="D148" s="480">
        <f>'[88]Sch C'!F144</f>
        <v>0</v>
      </c>
      <c r="E148" s="480">
        <f>+'[88]Sch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'[88]Sch C'!D146</f>
        <v>28200</v>
      </c>
      <c r="D150" s="480">
        <f>'[88]Sch C'!F146</f>
        <v>0</v>
      </c>
      <c r="E150" s="480">
        <f>+'[88]Sch C'!H146</f>
        <v>0</v>
      </c>
      <c r="F150" s="166">
        <f t="shared" ref="F150:F158" si="50">C150+D150+E150</f>
        <v>28200</v>
      </c>
      <c r="G150" s="626"/>
      <c r="H150" s="166"/>
      <c r="I150" s="166">
        <f t="shared" ref="I150:I158" si="51">F150+G150+H150</f>
        <v>28200</v>
      </c>
      <c r="J150" s="167">
        <f t="shared" ref="J150:J158" si="52">IF($I$213=0,0,I150/$I$213)</f>
        <v>1.0078980607612418E-2</v>
      </c>
      <c r="K150" s="458"/>
      <c r="L150" s="176">
        <v>0</v>
      </c>
      <c r="M150" s="176">
        <v>0</v>
      </c>
      <c r="O150" s="329">
        <f t="shared" si="43"/>
        <v>3.9385474860335195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'[88]Sch C'!D147</f>
        <v>0</v>
      </c>
      <c r="D151" s="480">
        <f>'[88]Sch C'!F147</f>
        <v>0</v>
      </c>
      <c r="E151" s="480">
        <f>+'[88]Sch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'[88]Sch C'!D148</f>
        <v>0</v>
      </c>
      <c r="D152" s="480">
        <f>'[88]Sch C'!F148</f>
        <v>0</v>
      </c>
      <c r="E152" s="480">
        <f>+'[88]Sch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'[88]Sch C'!D149</f>
        <v>0</v>
      </c>
      <c r="D153" s="480">
        <f>'[88]Sch C'!F149</f>
        <v>0</v>
      </c>
      <c r="E153" s="480">
        <f>+'[88]Sch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'[88]Sch C'!D150</f>
        <v>3877</v>
      </c>
      <c r="D154" s="480">
        <f>'[88]Sch C'!F150</f>
        <v>0</v>
      </c>
      <c r="E154" s="480">
        <f>+'[88]Sch C'!H150</f>
        <v>0</v>
      </c>
      <c r="F154" s="166">
        <f t="shared" si="50"/>
        <v>3877</v>
      </c>
      <c r="G154" s="626"/>
      <c r="H154" s="166"/>
      <c r="I154" s="166">
        <f t="shared" si="51"/>
        <v>3877</v>
      </c>
      <c r="J154" s="167">
        <f t="shared" si="52"/>
        <v>1.3856811282167852E-3</v>
      </c>
      <c r="K154" s="458"/>
      <c r="L154" s="176">
        <v>0</v>
      </c>
      <c r="M154" s="176">
        <v>0</v>
      </c>
      <c r="O154" s="329">
        <f t="shared" si="43"/>
        <v>0.54148044692737429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'[88]Sch C'!D151</f>
        <v>68021</v>
      </c>
      <c r="D155" s="480">
        <f>'[88]Sch C'!F151</f>
        <v>0</v>
      </c>
      <c r="E155" s="480">
        <f>+'[88]Sch C'!H151</f>
        <v>0</v>
      </c>
      <c r="F155" s="166">
        <f t="shared" si="50"/>
        <v>68021</v>
      </c>
      <c r="G155" s="626"/>
      <c r="H155" s="166"/>
      <c r="I155" s="166">
        <f t="shared" si="51"/>
        <v>68021</v>
      </c>
      <c r="J155" s="167">
        <f t="shared" si="52"/>
        <v>2.4311430493276748E-2</v>
      </c>
      <c r="K155" s="458"/>
      <c r="L155" s="163"/>
      <c r="M155" s="163"/>
      <c r="O155" s="329">
        <f t="shared" si="43"/>
        <v>9.50013966480447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'[88]Sch C'!D152</f>
        <v>454</v>
      </c>
      <c r="D156" s="480">
        <f>'[88]Sch C'!F152</f>
        <v>0</v>
      </c>
      <c r="E156" s="480">
        <f>+'[88]Sch C'!H152</f>
        <v>0</v>
      </c>
      <c r="F156" s="166">
        <f t="shared" si="50"/>
        <v>454</v>
      </c>
      <c r="G156" s="626"/>
      <c r="H156" s="166"/>
      <c r="I156" s="166">
        <f t="shared" si="51"/>
        <v>454</v>
      </c>
      <c r="J156" s="167">
        <f t="shared" si="52"/>
        <v>1.6226443956936305E-4</v>
      </c>
      <c r="K156" s="458"/>
      <c r="L156" s="163"/>
      <c r="M156" s="163"/>
      <c r="O156" s="329">
        <f t="shared" si="43"/>
        <v>6.3407821229050282E-2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'[88]Sch C'!D153</f>
        <v>0</v>
      </c>
      <c r="D157" s="480">
        <f>'[88]Sch C'!F153</f>
        <v>0</v>
      </c>
      <c r="E157" s="480">
        <f>+'[88]Sch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'[88]Sch C'!D154</f>
        <v>0</v>
      </c>
      <c r="D158" s="480">
        <f>'[88]Sch C'!F154</f>
        <v>0</v>
      </c>
      <c r="E158" s="480">
        <f>+'[88]Sch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'[88]Sch C'!D156</f>
        <v>0</v>
      </c>
      <c r="D160" s="480">
        <f>'[88]Sch C'!F156</f>
        <v>0</v>
      </c>
      <c r="E160" s="480">
        <f>+'[88]Sch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'[88]Sch C'!D157</f>
        <v>0</v>
      </c>
      <c r="D161" s="480">
        <f>'[88]Sch C'!F157</f>
        <v>0</v>
      </c>
      <c r="E161" s="480">
        <f>+'[88]Sch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'[88]Sch C'!D158</f>
        <v>0</v>
      </c>
      <c r="D162" s="480">
        <f>'[88]Sch C'!F158</f>
        <v>0</v>
      </c>
      <c r="E162" s="480">
        <f>+'[88]Sch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'[88]Sch C'!D159</f>
        <v>0</v>
      </c>
      <c r="D163" s="480">
        <f>'[88]Sch C'!F159</f>
        <v>0</v>
      </c>
      <c r="E163" s="480">
        <f>+'[88]Sch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'[88]Sch C'!D160</f>
        <v>0</v>
      </c>
      <c r="D164" s="480">
        <f>'[88]Sch C'!F160</f>
        <v>0</v>
      </c>
      <c r="E164" s="480">
        <f>+'[88]Sch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'[88]Sch C'!D161</f>
        <v>3612</v>
      </c>
      <c r="D165" s="480">
        <f>'[88]Sch C'!F161</f>
        <v>0</v>
      </c>
      <c r="E165" s="480">
        <f>+'[88]Sch C'!H161</f>
        <v>0</v>
      </c>
      <c r="F165" s="166">
        <f t="shared" si="53"/>
        <v>3612</v>
      </c>
      <c r="G165" s="626"/>
      <c r="H165" s="166"/>
      <c r="I165" s="166">
        <f t="shared" si="54"/>
        <v>3612</v>
      </c>
      <c r="J165" s="167">
        <f t="shared" si="55"/>
        <v>1.2909673033580161E-3</v>
      </c>
      <c r="K165" s="458"/>
      <c r="L165" s="163"/>
      <c r="M165" s="163"/>
      <c r="O165" s="329">
        <f t="shared" si="43"/>
        <v>0.50446927374301676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866285</v>
      </c>
      <c r="D166" s="480">
        <f t="shared" si="56"/>
        <v>125174</v>
      </c>
      <c r="E166" s="480">
        <f t="shared" si="56"/>
        <v>0</v>
      </c>
      <c r="F166" s="166">
        <f t="shared" ref="F166:I166" si="57">SUM(F128:F165)</f>
        <v>991459</v>
      </c>
      <c r="G166" s="166">
        <f t="shared" si="57"/>
        <v>5907</v>
      </c>
      <c r="H166" s="166">
        <f t="shared" si="57"/>
        <v>0</v>
      </c>
      <c r="I166" s="166">
        <f t="shared" si="57"/>
        <v>997366</v>
      </c>
      <c r="J166" s="167">
        <f t="shared" si="55"/>
        <v>0.35646924016638182</v>
      </c>
      <c r="K166" s="458"/>
      <c r="L166" s="163"/>
      <c r="M166" s="163"/>
      <c r="O166" s="329">
        <f>I166/I$233</f>
        <v>139.29692737430167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'[88]Sch C'!D175</f>
        <v>0</v>
      </c>
      <c r="D169" s="480">
        <f>'[88]Sch C'!F175</f>
        <v>0</v>
      </c>
      <c r="E169" s="480">
        <f>+'[88]Sch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'[88]Sch C'!D176</f>
        <v>0</v>
      </c>
      <c r="D170" s="480">
        <f>'[88]Sch C'!F176</f>
        <v>0</v>
      </c>
      <c r="E170" s="480">
        <f>+'[88]Sch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'[88]Sch C'!D177</f>
        <v>165057</v>
      </c>
      <c r="D171" s="480">
        <f>'[88]Sch C'!F177</f>
        <v>0</v>
      </c>
      <c r="E171" s="480">
        <f>+'[88]Sch C'!H177</f>
        <v>0</v>
      </c>
      <c r="F171" s="166">
        <f t="shared" si="58"/>
        <v>165057</v>
      </c>
      <c r="G171" s="626"/>
      <c r="H171" s="166"/>
      <c r="I171" s="166">
        <f t="shared" si="59"/>
        <v>165057</v>
      </c>
      <c r="J171" s="167">
        <f t="shared" si="60"/>
        <v>5.8993131281939108E-2</v>
      </c>
      <c r="K171" s="468"/>
      <c r="L171" s="176">
        <v>5907</v>
      </c>
      <c r="M171" s="176">
        <v>6377</v>
      </c>
      <c r="N171" s="208"/>
      <c r="O171" s="329">
        <f t="shared" si="61"/>
        <v>23.052653631284915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'[88]Sch C'!D178</f>
        <v>0</v>
      </c>
      <c r="D172" s="480">
        <f>'[88]Sch C'!F178</f>
        <v>27110</v>
      </c>
      <c r="E172" s="480">
        <f>+'[88]Sch C'!H178</f>
        <v>0</v>
      </c>
      <c r="F172" s="166">
        <f t="shared" si="58"/>
        <v>27110</v>
      </c>
      <c r="G172" s="626">
        <v>-1669</v>
      </c>
      <c r="H172" s="166"/>
      <c r="I172" s="166">
        <f t="shared" si="59"/>
        <v>25441</v>
      </c>
      <c r="J172" s="167">
        <f t="shared" si="60"/>
        <v>9.0928845971016848E-3</v>
      </c>
      <c r="K172" s="469"/>
      <c r="L172" s="212"/>
      <c r="M172" s="212"/>
      <c r="N172" s="208"/>
      <c r="O172" s="329">
        <f t="shared" si="61"/>
        <v>3.5532122905027932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'[88]Sch C'!D179</f>
        <v>6757</v>
      </c>
      <c r="D173" s="480">
        <f>'[88]Sch C'!F179</f>
        <v>0</v>
      </c>
      <c r="E173" s="480">
        <f>+'[88]Sch C'!H179</f>
        <v>0</v>
      </c>
      <c r="F173" s="166">
        <f t="shared" si="58"/>
        <v>6757</v>
      </c>
      <c r="G173" s="626"/>
      <c r="H173" s="166"/>
      <c r="I173" s="166">
        <f t="shared" si="59"/>
        <v>6757</v>
      </c>
      <c r="J173" s="167">
        <f t="shared" si="60"/>
        <v>2.415023828568692E-3</v>
      </c>
      <c r="K173" s="468"/>
      <c r="L173" s="176">
        <v>175</v>
      </c>
      <c r="M173" s="176">
        <v>175</v>
      </c>
      <c r="N173" s="208"/>
      <c r="O173" s="329">
        <f t="shared" si="61"/>
        <v>0.94371508379888269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'[88]Sch C'!D180</f>
        <v>0</v>
      </c>
      <c r="D174" s="480">
        <f>'[88]Sch C'!F180</f>
        <v>1110</v>
      </c>
      <c r="E174" s="480">
        <f>+'[88]Sch C'!H180</f>
        <v>0</v>
      </c>
      <c r="F174" s="166">
        <f t="shared" si="58"/>
        <v>1110</v>
      </c>
      <c r="G174" s="626">
        <v>-74</v>
      </c>
      <c r="H174" s="166"/>
      <c r="I174" s="166">
        <f t="shared" si="59"/>
        <v>1036</v>
      </c>
      <c r="J174" s="167">
        <f t="shared" si="60"/>
        <v>3.7027744359881081E-4</v>
      </c>
      <c r="K174" s="469"/>
      <c r="L174" s="212"/>
      <c r="M174" s="212"/>
      <c r="N174" s="208"/>
      <c r="O174" s="329">
        <f t="shared" si="61"/>
        <v>0.14469273743016758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'[88]Sch C'!D181</f>
        <v>0</v>
      </c>
      <c r="D175" s="480">
        <f>'[88]Sch C'!F181</f>
        <v>0</v>
      </c>
      <c r="E175" s="480">
        <f>+'[88]Sch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'[88]Sch C'!D182</f>
        <v>0</v>
      </c>
      <c r="D176" s="480">
        <f>'[88]Sch C'!F182</f>
        <v>0</v>
      </c>
      <c r="E176" s="480">
        <f>+'[88]Sch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'[88]Sch C'!D183</f>
        <v>59893</v>
      </c>
      <c r="D177" s="480">
        <f>'[88]Sch C'!F183</f>
        <v>0</v>
      </c>
      <c r="E177" s="480">
        <f>+'[88]Sch C'!H183</f>
        <v>0</v>
      </c>
      <c r="F177" s="166">
        <f t="shared" si="58"/>
        <v>59893</v>
      </c>
      <c r="G177" s="626">
        <v>72601</v>
      </c>
      <c r="H177" s="166"/>
      <c r="I177" s="166">
        <f t="shared" si="59"/>
        <v>132494</v>
      </c>
      <c r="J177" s="167">
        <f t="shared" si="60"/>
        <v>4.7354767965425523E-2</v>
      </c>
      <c r="K177" s="468"/>
      <c r="L177" s="176">
        <v>4270</v>
      </c>
      <c r="M177" s="176">
        <v>4663</v>
      </c>
      <c r="N177" s="208"/>
      <c r="O177" s="329">
        <f t="shared" si="61"/>
        <v>18.504748603351956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'[88]Sch C'!D184</f>
        <v>0</v>
      </c>
      <c r="D178" s="480">
        <f>'[88]Sch C'!F184</f>
        <v>9837</v>
      </c>
      <c r="E178" s="480">
        <f>+'[88]Sch C'!H184</f>
        <v>0</v>
      </c>
      <c r="F178" s="166">
        <f t="shared" si="58"/>
        <v>9837</v>
      </c>
      <c r="G178" s="626">
        <v>12208</v>
      </c>
      <c r="H178" s="166"/>
      <c r="I178" s="166">
        <f t="shared" si="59"/>
        <v>22045</v>
      </c>
      <c r="J178" s="167">
        <f t="shared" si="60"/>
        <v>7.8791179962700627E-3</v>
      </c>
      <c r="K178" s="469"/>
      <c r="L178" s="212"/>
      <c r="M178" s="212"/>
      <c r="N178" s="208"/>
      <c r="O178" s="329">
        <f t="shared" si="61"/>
        <v>3.0789106145251397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'[88]Sch C'!D185</f>
        <v>0</v>
      </c>
      <c r="D179" s="480">
        <f>'[88]Sch C'!F185</f>
        <v>0</v>
      </c>
      <c r="E179" s="480">
        <f>+'[88]Sch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'[88]Sch C'!D186</f>
        <v>0</v>
      </c>
      <c r="D180" s="480">
        <f>'[88]Sch C'!F186</f>
        <v>0</v>
      </c>
      <c r="E180" s="480">
        <f>+'[88]Sch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'[88]Sch C'!D187</f>
        <v>0</v>
      </c>
      <c r="D181" s="480">
        <f>'[88]Sch C'!F187</f>
        <v>0</v>
      </c>
      <c r="E181" s="480">
        <f>+'[88]Sch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'[88]Sch C'!D188</f>
        <v>4934</v>
      </c>
      <c r="D182" s="480">
        <f>'[88]Sch C'!F188</f>
        <v>0</v>
      </c>
      <c r="E182" s="480">
        <f>+'[88]Sch C'!H188</f>
        <v>0</v>
      </c>
      <c r="F182" s="166">
        <f t="shared" si="58"/>
        <v>4934</v>
      </c>
      <c r="G182" s="626"/>
      <c r="H182" s="166"/>
      <c r="I182" s="166">
        <f t="shared" si="59"/>
        <v>4934</v>
      </c>
      <c r="J182" s="167">
        <f t="shared" si="60"/>
        <v>1.7634641956723288E-3</v>
      </c>
      <c r="K182" s="458"/>
      <c r="L182" s="213"/>
      <c r="M182" s="208"/>
      <c r="N182" s="210"/>
      <c r="O182" s="329">
        <f t="shared" si="61"/>
        <v>0.68910614525139668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'[88]Sch C'!D189</f>
        <v>0</v>
      </c>
      <c r="D183" s="480">
        <f>'[88]Sch C'!F189</f>
        <v>0</v>
      </c>
      <c r="E183" s="480">
        <f>+'[88]Sch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'[88]Sch C'!D190</f>
        <v>0</v>
      </c>
      <c r="D184" s="480">
        <f>'[88]Sch C'!F190</f>
        <v>0</v>
      </c>
      <c r="E184" s="480">
        <f>+'[88]Sch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'[88]Sch C'!D191</f>
        <v>5</v>
      </c>
      <c r="D185" s="480">
        <f>'[88]Sch C'!F191</f>
        <v>0</v>
      </c>
      <c r="E185" s="480">
        <f>+'[88]Sch C'!H191</f>
        <v>0</v>
      </c>
      <c r="F185" s="166">
        <f t="shared" si="58"/>
        <v>5</v>
      </c>
      <c r="G185" s="626"/>
      <c r="H185" s="166"/>
      <c r="I185" s="166">
        <f t="shared" si="59"/>
        <v>5</v>
      </c>
      <c r="J185" s="167">
        <f t="shared" si="60"/>
        <v>1.78705329922206E-6</v>
      </c>
      <c r="K185" s="458"/>
      <c r="L185" s="213"/>
      <c r="M185" s="208"/>
      <c r="N185" s="210"/>
      <c r="O185" s="329">
        <f t="shared" si="61"/>
        <v>6.9832402234636874E-4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'[88]Sch C'!D192</f>
        <v>0</v>
      </c>
      <c r="D186" s="480">
        <f>'[88]Sch C'!F192</f>
        <v>0</v>
      </c>
      <c r="E186" s="480">
        <f>+'[88]Sch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'[88]Sch C'!D193</f>
        <v>0</v>
      </c>
      <c r="D187" s="480">
        <f>'[88]Sch C'!F193</f>
        <v>0</v>
      </c>
      <c r="E187" s="480">
        <f>+'[88]Sch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'[88]Sch C'!D194</f>
        <v>327</v>
      </c>
      <c r="D188" s="480">
        <f>'[88]Sch C'!F194</f>
        <v>0</v>
      </c>
      <c r="E188" s="480">
        <f>+'[88]Sch C'!H194</f>
        <v>0</v>
      </c>
      <c r="F188" s="166">
        <f t="shared" si="58"/>
        <v>327</v>
      </c>
      <c r="G188" s="626"/>
      <c r="H188" s="166"/>
      <c r="I188" s="166">
        <f t="shared" si="59"/>
        <v>327</v>
      </c>
      <c r="J188" s="167">
        <f t="shared" si="60"/>
        <v>1.1687328576912272E-4</v>
      </c>
      <c r="K188" s="458"/>
      <c r="L188" s="213"/>
      <c r="M188" s="208"/>
      <c r="O188" s="329">
        <f t="shared" si="61"/>
        <v>4.5670391061452514E-2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'[88]Sch C'!D195</f>
        <v>0</v>
      </c>
      <c r="D189" s="480">
        <f>'[88]Sch C'!F195</f>
        <v>0</v>
      </c>
      <c r="E189" s="480">
        <f>+'[88]Sch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'[88]Sch C'!D196</f>
        <v>0</v>
      </c>
      <c r="D190" s="480">
        <f>'[88]Sch C'!F196</f>
        <v>0</v>
      </c>
      <c r="E190" s="480">
        <f>+'[88]Sch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'[88]Sch C'!D197</f>
        <v>72601</v>
      </c>
      <c r="D191" s="480">
        <f>'[88]Sch C'!F197</f>
        <v>0</v>
      </c>
      <c r="E191" s="480">
        <f>+'[88]Sch C'!H197</f>
        <v>0</v>
      </c>
      <c r="F191" s="166">
        <f t="shared" si="58"/>
        <v>72601</v>
      </c>
      <c r="G191" s="626">
        <v>-72601</v>
      </c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'[88]Sch C'!D198</f>
        <v>49007</v>
      </c>
      <c r="D192" s="480">
        <f>'[88]Sch C'!F198</f>
        <v>0</v>
      </c>
      <c r="E192" s="480">
        <f>+'[88]Sch C'!H198</f>
        <v>0</v>
      </c>
      <c r="F192" s="166">
        <f t="shared" si="58"/>
        <v>49007</v>
      </c>
      <c r="G192" s="626"/>
      <c r="H192" s="166"/>
      <c r="I192" s="166">
        <f t="shared" si="59"/>
        <v>49007</v>
      </c>
      <c r="J192" s="167">
        <f t="shared" si="60"/>
        <v>1.7515624206995099E-2</v>
      </c>
      <c r="K192" s="458"/>
      <c r="L192" s="213"/>
      <c r="M192" s="208"/>
      <c r="O192" s="329">
        <f t="shared" si="61"/>
        <v>6.8445530726256987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'[88]Sch C'!D199</f>
        <v>0</v>
      </c>
      <c r="D193" s="480">
        <f>'[88]Sch C'!F199</f>
        <v>0</v>
      </c>
      <c r="E193" s="480">
        <f>+'[88]Sch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'[88]Sch C'!D200</f>
        <v>0</v>
      </c>
      <c r="D194" s="480">
        <f>'[88]Sch C'!F200</f>
        <v>0</v>
      </c>
      <c r="E194" s="480">
        <f>+'[88]Sch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'[88]Sch C'!D201</f>
        <v>0</v>
      </c>
      <c r="D195" s="480">
        <f>'[88]Sch C'!F201</f>
        <v>0</v>
      </c>
      <c r="E195" s="480">
        <f>+'[88]Sch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'[88]Sch C'!D202</f>
        <v>0</v>
      </c>
      <c r="D196" s="480">
        <f>'[88]Sch C'!F202</f>
        <v>0</v>
      </c>
      <c r="E196" s="480">
        <f>+'[88]Sch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'[88]Sch C'!D203</f>
        <v>0</v>
      </c>
      <c r="D197" s="480">
        <f>'[88]Sch C'!F203</f>
        <v>0</v>
      </c>
      <c r="E197" s="480">
        <f>+'[88]Sch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'[88]Sch C'!D204</f>
        <v>0</v>
      </c>
      <c r="D198" s="480">
        <f>'[88]Sch C'!F204</f>
        <v>0</v>
      </c>
      <c r="E198" s="480">
        <f>+'[88]Sch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'[88]Sch C'!D205</f>
        <v>140414</v>
      </c>
      <c r="D199" s="480">
        <f>'[88]Sch C'!F205</f>
        <v>0</v>
      </c>
      <c r="E199" s="480">
        <f>+'[88]Sch C'!H205</f>
        <v>0</v>
      </c>
      <c r="F199" s="166">
        <f t="shared" si="58"/>
        <v>140414</v>
      </c>
      <c r="G199" s="626"/>
      <c r="H199" s="166"/>
      <c r="I199" s="166">
        <f t="shared" si="59"/>
        <v>140414</v>
      </c>
      <c r="J199" s="167">
        <f t="shared" si="60"/>
        <v>5.0185460391393266E-2</v>
      </c>
      <c r="K199" s="458"/>
      <c r="L199" s="213"/>
      <c r="M199" s="208"/>
      <c r="O199" s="329">
        <f t="shared" si="61"/>
        <v>19.610893854748603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'[88]Sch C'!D206</f>
        <v>12618</v>
      </c>
      <c r="D200" s="480">
        <f>'[88]Sch C'!F206</f>
        <v>0</v>
      </c>
      <c r="E200" s="480">
        <f>+'[88]Sch C'!H206</f>
        <v>0</v>
      </c>
      <c r="F200" s="166">
        <f t="shared" si="58"/>
        <v>12618</v>
      </c>
      <c r="G200" s="626"/>
      <c r="H200" s="166"/>
      <c r="I200" s="166">
        <f t="shared" si="59"/>
        <v>12618</v>
      </c>
      <c r="J200" s="167">
        <f t="shared" si="60"/>
        <v>4.5098077059167905E-3</v>
      </c>
      <c r="K200" s="458"/>
      <c r="L200" s="213"/>
      <c r="M200" s="208"/>
      <c r="O200" s="329">
        <f t="shared" si="61"/>
        <v>1.762290502793296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'[88]Sch C'!D207</f>
        <v>0</v>
      </c>
      <c r="D201" s="480">
        <f>'[88]Sch C'!F207</f>
        <v>0</v>
      </c>
      <c r="E201" s="480">
        <f>+'[88]Sch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511613</v>
      </c>
      <c r="D202" s="480">
        <f t="shared" si="62"/>
        <v>38057</v>
      </c>
      <c r="E202" s="480">
        <f t="shared" si="62"/>
        <v>0</v>
      </c>
      <c r="F202" s="166">
        <f t="shared" ref="F202:I202" si="63">SUM(F169:F201)</f>
        <v>549670</v>
      </c>
      <c r="G202" s="166">
        <f t="shared" si="63"/>
        <v>10465</v>
      </c>
      <c r="H202" s="166">
        <f t="shared" si="63"/>
        <v>0</v>
      </c>
      <c r="I202" s="166">
        <f t="shared" si="63"/>
        <v>560135</v>
      </c>
      <c r="J202" s="167">
        <f>IF($I$213=0,0,I202/$I$213)</f>
        <v>0.20019821995194972</v>
      </c>
      <c r="K202" s="458"/>
      <c r="L202" s="163"/>
      <c r="M202" s="163"/>
      <c r="O202" s="329">
        <f>I202/I$233</f>
        <v>78.231145251396654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'[88]Sch C'!D211</f>
        <v>33591</v>
      </c>
      <c r="D205" s="480">
        <f>'[88]Sch C'!F211</f>
        <v>0</v>
      </c>
      <c r="E205" s="480">
        <f>+'[88]Sch C'!H211</f>
        <v>0</v>
      </c>
      <c r="F205" s="166">
        <f t="shared" ref="F205:F210" si="64">C205+D205+E205</f>
        <v>33591</v>
      </c>
      <c r="G205" s="626"/>
      <c r="H205" s="166"/>
      <c r="I205" s="166">
        <f t="shared" ref="I205:I210" si="65">F205+G205+H205</f>
        <v>33591</v>
      </c>
      <c r="J205" s="167">
        <f t="shared" ref="J205:J211" si="66">IF($I$213=0,0,I205/$I$213)</f>
        <v>1.2005781474833643E-2</v>
      </c>
      <c r="K205" s="458"/>
      <c r="L205" s="176">
        <v>2193</v>
      </c>
      <c r="M205" s="176">
        <v>2334</v>
      </c>
      <c r="O205" s="329">
        <f t="shared" ref="O205:O210" si="67">I205/I$233</f>
        <v>4.6914804469273745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'[88]Sch C'!D212</f>
        <v>0</v>
      </c>
      <c r="D206" s="480">
        <f>'[88]Sch C'!F212</f>
        <v>5517</v>
      </c>
      <c r="E206" s="480">
        <f>+'[88]Sch C'!H212</f>
        <v>0</v>
      </c>
      <c r="F206" s="166">
        <f t="shared" si="64"/>
        <v>5517</v>
      </c>
      <c r="G206" s="626">
        <v>-307</v>
      </c>
      <c r="H206" s="166"/>
      <c r="I206" s="166">
        <f t="shared" si="65"/>
        <v>5210</v>
      </c>
      <c r="J206" s="167">
        <f t="shared" si="66"/>
        <v>1.8621095377893864E-3</v>
      </c>
      <c r="K206" s="458"/>
      <c r="L206" s="163"/>
      <c r="M206" s="163"/>
      <c r="O206" s="329">
        <f t="shared" si="67"/>
        <v>0.72765363128491622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'[88]Sch C'!D213</f>
        <v>9380</v>
      </c>
      <c r="D207" s="480">
        <f>'[88]Sch C'!F213</f>
        <v>0</v>
      </c>
      <c r="E207" s="480">
        <f>+'[88]Sch C'!H213</f>
        <v>0</v>
      </c>
      <c r="F207" s="166">
        <f t="shared" si="64"/>
        <v>9380</v>
      </c>
      <c r="G207" s="626"/>
      <c r="H207" s="166"/>
      <c r="I207" s="166">
        <f t="shared" si="65"/>
        <v>9380</v>
      </c>
      <c r="J207" s="167">
        <f t="shared" si="66"/>
        <v>3.3525119893405846E-3</v>
      </c>
      <c r="K207" s="458"/>
      <c r="L207" s="163"/>
      <c r="M207" s="163"/>
      <c r="O207" s="329">
        <f t="shared" si="67"/>
        <v>1.3100558659217878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'[88]Sch C'!D214</f>
        <v>0</v>
      </c>
      <c r="D208" s="480">
        <f>'[88]Sch C'!F214</f>
        <v>0</v>
      </c>
      <c r="E208" s="480">
        <f>+'[88]Sch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'[88]Sch C'!D215</f>
        <v>0</v>
      </c>
      <c r="D209" s="480">
        <f>'[88]Sch C'!F215</f>
        <v>0</v>
      </c>
      <c r="E209" s="480">
        <f>+'[88]Sch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'[88]Sch C'!D216</f>
        <v>649</v>
      </c>
      <c r="D210" s="480">
        <f>'[88]Sch C'!F216</f>
        <v>0</v>
      </c>
      <c r="E210" s="480">
        <f>+'[88]Sch C'!H216</f>
        <v>0</v>
      </c>
      <c r="F210" s="166">
        <f t="shared" si="64"/>
        <v>649</v>
      </c>
      <c r="G210" s="626"/>
      <c r="H210" s="166"/>
      <c r="I210" s="166">
        <f t="shared" si="65"/>
        <v>649</v>
      </c>
      <c r="J210" s="167">
        <f t="shared" si="66"/>
        <v>2.3195951823902337E-4</v>
      </c>
      <c r="K210" s="458"/>
      <c r="L210" s="163"/>
      <c r="M210" s="163"/>
      <c r="O210" s="329">
        <f t="shared" si="67"/>
        <v>9.0642458100558654E-2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43620</v>
      </c>
      <c r="D211" s="480">
        <f t="shared" si="68"/>
        <v>5517</v>
      </c>
      <c r="E211" s="480">
        <f t="shared" si="68"/>
        <v>0</v>
      </c>
      <c r="F211" s="166">
        <f t="shared" ref="F211:I211" si="69">SUM(F205:F210)</f>
        <v>49137</v>
      </c>
      <c r="G211" s="166">
        <f t="shared" si="69"/>
        <v>-307</v>
      </c>
      <c r="H211" s="166">
        <f t="shared" si="69"/>
        <v>0</v>
      </c>
      <c r="I211" s="166">
        <f t="shared" si="69"/>
        <v>48830</v>
      </c>
      <c r="J211" s="167">
        <f t="shared" si="66"/>
        <v>1.7452362520202637E-2</v>
      </c>
      <c r="K211" s="458"/>
      <c r="L211" s="163"/>
      <c r="M211" s="163"/>
      <c r="O211" s="329">
        <f>I211/I$233</f>
        <v>6.8198324022346366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2789063</v>
      </c>
      <c r="D213" s="480">
        <f t="shared" si="70"/>
        <v>-6552</v>
      </c>
      <c r="E213" s="480">
        <f t="shared" si="70"/>
        <v>20338</v>
      </c>
      <c r="F213" s="166">
        <f t="shared" ref="F213:I213" si="71">SUM(F30:F211)/2</f>
        <v>2802849</v>
      </c>
      <c r="G213" s="166">
        <f t="shared" si="71"/>
        <v>-4947</v>
      </c>
      <c r="H213" s="166">
        <f t="shared" si="71"/>
        <v>0</v>
      </c>
      <c r="I213" s="166">
        <f t="shared" si="71"/>
        <v>2797902</v>
      </c>
      <c r="J213" s="167">
        <f>IF($I$213=0,0,I213/$I$213)</f>
        <v>1</v>
      </c>
      <c r="K213" s="458"/>
      <c r="L213" s="176">
        <f>SUM(L30:L205)</f>
        <v>74456</v>
      </c>
      <c r="M213" s="176">
        <f>SUM(M30:M205)</f>
        <v>79403</v>
      </c>
      <c r="O213" s="329">
        <f>I213/I$233</f>
        <v>390.76843575418997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'[88]Sch C'!D221</f>
        <v>2789063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-251732</v>
      </c>
      <c r="D220" s="480">
        <f t="shared" si="72"/>
        <v>6552</v>
      </c>
      <c r="E220" s="480">
        <f t="shared" si="72"/>
        <v>-20338</v>
      </c>
      <c r="F220" s="166">
        <f t="shared" ref="F220:I220" si="73">F26-F213</f>
        <v>-265518</v>
      </c>
      <c r="G220" s="166">
        <f t="shared" si="73"/>
        <v>-149474</v>
      </c>
      <c r="H220" s="166">
        <f t="shared" si="73"/>
        <v>0</v>
      </c>
      <c r="I220" s="166">
        <f t="shared" si="73"/>
        <v>-414992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'[88]Sch D'!C9</f>
        <v>2646</v>
      </c>
      <c r="D224" s="480"/>
      <c r="E224" s="480"/>
      <c r="F224" s="224">
        <f>C224+D224+E224</f>
        <v>2646</v>
      </c>
      <c r="G224" s="627">
        <v>-53</v>
      </c>
      <c r="H224" s="223"/>
      <c r="I224" s="224">
        <f>F224+G224+H224</f>
        <v>2593</v>
      </c>
      <c r="J224" s="167">
        <f t="shared" ref="J224:J233" si="74">IF($I$233=0,0,I224/$I$233)</f>
        <v>0.3621508379888268</v>
      </c>
      <c r="K224" s="458" t="s">
        <v>722</v>
      </c>
      <c r="L224" s="163"/>
      <c r="M224" s="163"/>
    </row>
    <row r="225" spans="1:13">
      <c r="A225" s="158"/>
      <c r="B225" s="165" t="s">
        <v>201</v>
      </c>
      <c r="C225" s="504">
        <f>'[88]Sch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'[88]Sch D'!E9</f>
        <v>2610</v>
      </c>
      <c r="D226" s="480"/>
      <c r="E226" s="480"/>
      <c r="F226" s="224">
        <f t="shared" si="75"/>
        <v>2610</v>
      </c>
      <c r="G226" s="627"/>
      <c r="H226" s="223"/>
      <c r="I226" s="224">
        <f t="shared" si="76"/>
        <v>2610</v>
      </c>
      <c r="J226" s="167">
        <f t="shared" si="74"/>
        <v>0.36452513966480449</v>
      </c>
      <c r="K226" s="458"/>
      <c r="L226" s="163"/>
      <c r="M226" s="163"/>
    </row>
    <row r="227" spans="1:13">
      <c r="A227" s="158"/>
      <c r="B227" s="194" t="s">
        <v>315</v>
      </c>
      <c r="C227" s="504">
        <f>'[88]Sch D'!F9</f>
        <v>1425</v>
      </c>
      <c r="D227" s="480"/>
      <c r="E227" s="480"/>
      <c r="F227" s="224">
        <f t="shared" si="75"/>
        <v>1425</v>
      </c>
      <c r="G227" s="627"/>
      <c r="H227" s="223"/>
      <c r="I227" s="224">
        <f t="shared" si="76"/>
        <v>1425</v>
      </c>
      <c r="J227" s="167">
        <f t="shared" si="74"/>
        <v>0.19902234636871508</v>
      </c>
      <c r="K227" s="458"/>
      <c r="L227" s="163"/>
      <c r="M227" s="163"/>
    </row>
    <row r="228" spans="1:13">
      <c r="A228" s="158"/>
      <c r="B228" s="165" t="s">
        <v>65</v>
      </c>
      <c r="C228" s="504">
        <f>'[88]Sch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'[88]Sch D'!H9</f>
        <v>479</v>
      </c>
      <c r="D229" s="480"/>
      <c r="E229" s="480"/>
      <c r="F229" s="224">
        <f t="shared" si="75"/>
        <v>479</v>
      </c>
      <c r="G229" s="627"/>
      <c r="H229" s="223"/>
      <c r="I229" s="224">
        <f t="shared" si="76"/>
        <v>479</v>
      </c>
      <c r="J229" s="167">
        <f t="shared" si="74"/>
        <v>6.6899441340782129E-2</v>
      </c>
      <c r="K229" s="458"/>
      <c r="L229" s="163"/>
      <c r="M229" s="163"/>
    </row>
    <row r="230" spans="1:13">
      <c r="A230" s="158"/>
      <c r="B230" s="165" t="s">
        <v>219</v>
      </c>
      <c r="C230" s="504">
        <f>'[88]Sch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'[88]Sch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'[88]Sch D'!K9</f>
        <v>0</v>
      </c>
      <c r="D232" s="480"/>
      <c r="E232" s="480"/>
      <c r="F232" s="224">
        <f t="shared" si="75"/>
        <v>0</v>
      </c>
      <c r="G232" s="627">
        <v>53</v>
      </c>
      <c r="H232" s="223"/>
      <c r="I232" s="224">
        <f t="shared" si="76"/>
        <v>53</v>
      </c>
      <c r="J232" s="167">
        <f t="shared" si="74"/>
        <v>7.4022346368715084E-3</v>
      </c>
      <c r="K232" s="458" t="s">
        <v>723</v>
      </c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7160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7160</v>
      </c>
      <c r="G233" s="226">
        <f t="shared" si="78"/>
        <v>0</v>
      </c>
      <c r="H233" s="226">
        <f t="shared" si="78"/>
        <v>0</v>
      </c>
      <c r="I233" s="226">
        <f t="shared" si="78"/>
        <v>7160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'[88]Sch D'!N22</f>
        <v>50</v>
      </c>
      <c r="D236" s="480"/>
      <c r="E236" s="480"/>
      <c r="F236" s="224">
        <f>C236+E236</f>
        <v>50</v>
      </c>
      <c r="G236" s="627"/>
      <c r="H236" s="224"/>
      <c r="I236" s="224">
        <f>F236+G236+H236</f>
        <v>50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'[88]Sch D'!N24</f>
        <v>50</v>
      </c>
      <c r="D237" s="480"/>
      <c r="E237" s="480"/>
      <c r="F237" s="224">
        <f>C237+E237</f>
        <v>50</v>
      </c>
      <c r="G237" s="627"/>
      <c r="H237" s="224"/>
      <c r="I237" s="224">
        <f>F237+G237+H237</f>
        <v>50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202</v>
      </c>
      <c r="D238" s="427"/>
      <c r="E238" s="427"/>
      <c r="F238" s="224">
        <f>C238+E238</f>
        <v>202</v>
      </c>
      <c r="G238" s="627"/>
      <c r="H238" s="228"/>
      <c r="I238" s="224">
        <f>F238+G238+H238</f>
        <v>202</v>
      </c>
      <c r="J238" s="44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'[88]Sch D'!N28</f>
        <v>10100</v>
      </c>
      <c r="D240" s="427"/>
      <c r="E240" s="427"/>
      <c r="F240" s="223">
        <f>F236*F238</f>
        <v>10100</v>
      </c>
      <c r="G240"/>
      <c r="H240" s="228"/>
      <c r="I240" s="223">
        <f>I236*I238</f>
        <v>10100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'[88]Sch D'!N30</f>
        <v>0.70891089108910887</v>
      </c>
      <c r="D241" s="228"/>
      <c r="E241" s="228"/>
      <c r="F241" s="232">
        <f>F233/F240</f>
        <v>0.70891089108910887</v>
      </c>
      <c r="G241"/>
      <c r="H241" s="233"/>
      <c r="I241" s="232">
        <f>I233/I240</f>
        <v>0.70891089108910887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'[88]Sch D'!N32</f>
        <v>0.26198019801980199</v>
      </c>
      <c r="D242" s="228"/>
      <c r="E242" s="228"/>
      <c r="F242" s="232">
        <f>(F224+F225)/F240</f>
        <v>0.26198019801980199</v>
      </c>
      <c r="G242"/>
      <c r="H242" s="233"/>
      <c r="I242" s="232">
        <f>(I224+I225)/I240</f>
        <v>0.25673267326732674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'[88]Sch D'!N34</f>
        <v>0.36955307262569836</v>
      </c>
      <c r="D243" s="228"/>
      <c r="E243" s="228"/>
      <c r="F243" s="232">
        <f>(F242/F241)</f>
        <v>0.36955307262569836</v>
      </c>
      <c r="G243"/>
      <c r="H243" s="233"/>
      <c r="I243" s="232">
        <f>(I242/I241)</f>
        <v>0.36215083798882686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H247" s="140" t="s">
        <v>322</v>
      </c>
      <c r="I247" s="480">
        <f>'[88]Sch B'!E90</f>
        <v>276.67849686847597</v>
      </c>
      <c r="K247" s="460"/>
    </row>
    <row r="248" spans="1:13">
      <c r="B248" s="411"/>
      <c r="H248" s="140" t="s">
        <v>323</v>
      </c>
      <c r="I248" s="480">
        <f>'[88]Sch B'!G90</f>
        <v>276.67849686847603</v>
      </c>
      <c r="K248" s="460"/>
    </row>
    <row r="249" spans="1:13" ht="16.5">
      <c r="B249" s="470"/>
      <c r="H249" s="140" t="s">
        <v>324</v>
      </c>
      <c r="I249" s="480">
        <f>'[88]Sch B'!I90</f>
        <v>276.67849686847603</v>
      </c>
      <c r="K249" s="460"/>
    </row>
    <row r="250" spans="1:13" ht="16.5">
      <c r="B250" s="470"/>
      <c r="H250" s="140"/>
      <c r="K250" s="460"/>
    </row>
    <row r="251" spans="1:13">
      <c r="K251" s="460"/>
    </row>
    <row r="277" spans="2:2">
      <c r="B277" s="138">
        <v>0</v>
      </c>
    </row>
  </sheetData>
  <printOptions horizontalCentered="1"/>
  <pageMargins left="0" right="0" top="0" bottom="1" header="0.5" footer="0.5"/>
  <pageSetup scale="7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8">
    <tabColor rgb="FFE28CAB"/>
  </sheetPr>
  <dimension ref="A1:Q277"/>
  <sheetViews>
    <sheetView showGridLines="0" topLeftCell="B2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460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59"/>
    </row>
    <row r="2" spans="1:16" ht="23">
      <c r="B2" s="141" t="s">
        <v>178</v>
      </c>
      <c r="C2" s="234" t="s">
        <v>351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'[89]Sch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'[89]Sch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461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'[89]Sch B'!E10</f>
        <v>3645403.1</v>
      </c>
      <c r="D12" s="480">
        <f>'[89]Sch B'!G10</f>
        <v>0</v>
      </c>
      <c r="E12" s="480"/>
      <c r="F12" s="166">
        <f>C12+D12+E12</f>
        <v>3645403.1</v>
      </c>
      <c r="G12" s="626"/>
      <c r="H12" s="166"/>
      <c r="I12" s="166">
        <f>F12+G12+H12</f>
        <v>3645403.1</v>
      </c>
      <c r="J12" s="167">
        <f>IF($I$26=0,0,I12/$I$26)</f>
        <v>0.53091355585713196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'[89]Sch B'!E12</f>
        <v>0</v>
      </c>
      <c r="D13" s="480">
        <f>'[89]Sch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'[89]Sch B'!E13</f>
        <v>0</v>
      </c>
      <c r="D14" s="480">
        <f>'[89]Sch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'[89]Sch B'!E14</f>
        <v>0</v>
      </c>
      <c r="D15" s="480">
        <f>'[89]Sch B'!G14</f>
        <v>0</v>
      </c>
      <c r="E15" s="480"/>
      <c r="F15" s="166">
        <f t="shared" si="0"/>
        <v>0</v>
      </c>
      <c r="G15" s="626">
        <v>206653.67</v>
      </c>
      <c r="H15" s="166"/>
      <c r="I15" s="166">
        <f t="shared" si="1"/>
        <v>206653.67</v>
      </c>
      <c r="J15" s="167">
        <f>IF($I$26=0,0,I15/$I$26)</f>
        <v>3.0096873174499224E-2</v>
      </c>
      <c r="K15" s="162" t="s">
        <v>638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'[89]Sch B'!E15</f>
        <v>3645403.1</v>
      </c>
      <c r="D16" s="480">
        <f>'[89]Sch B'!G15</f>
        <v>0</v>
      </c>
      <c r="E16" s="480"/>
      <c r="F16" s="166">
        <f t="shared" si="0"/>
        <v>3645403.1</v>
      </c>
      <c r="G16" s="626"/>
      <c r="H16" s="166"/>
      <c r="I16" s="166">
        <f>SUM(I12:I15)</f>
        <v>3852056.77</v>
      </c>
      <c r="J16" s="167">
        <f t="shared" ref="J16:J26" si="2">IF($I$26=0,0,I16/$I$26)</f>
        <v>0.56101042903163112</v>
      </c>
      <c r="K16" s="458"/>
      <c r="L16" s="333" t="s">
        <v>325</v>
      </c>
      <c r="M16" s="334">
        <f>I26</f>
        <v>6866283.71</v>
      </c>
      <c r="O16" s="324">
        <f>IFERROR(I16/I224,0)</f>
        <v>193.62907258469892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'[89]Sch B'!E20</f>
        <v>0</v>
      </c>
      <c r="D17" s="480">
        <f>'[89]Sch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7380205.2400000002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'[89]Sch B'!E26</f>
        <v>797028.79999999993</v>
      </c>
      <c r="D18" s="480">
        <f>'[89]Sch B'!G26</f>
        <v>0</v>
      </c>
      <c r="E18" s="480"/>
      <c r="F18" s="166">
        <f t="shared" si="0"/>
        <v>797028.79999999993</v>
      </c>
      <c r="G18" s="626"/>
      <c r="H18" s="166"/>
      <c r="I18" s="166">
        <f t="shared" si="1"/>
        <v>797028.79999999993</v>
      </c>
      <c r="J18" s="167">
        <f t="shared" si="2"/>
        <v>0.11607862909002925</v>
      </c>
      <c r="K18" s="458"/>
      <c r="L18" s="335" t="s">
        <v>327</v>
      </c>
      <c r="M18" s="336">
        <f>I233</f>
        <v>31946</v>
      </c>
      <c r="O18" s="324">
        <f t="shared" si="3"/>
        <v>493.8220570012391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'[89]Sch B'!E32</f>
        <v>882859.3899999999</v>
      </c>
      <c r="D19" s="480">
        <f>'[89]Sch B'!G32</f>
        <v>0</v>
      </c>
      <c r="E19" s="480"/>
      <c r="F19" s="166">
        <f t="shared" si="0"/>
        <v>882859.3899999999</v>
      </c>
      <c r="G19" s="626"/>
      <c r="H19" s="166"/>
      <c r="I19" s="166">
        <f t="shared" si="1"/>
        <v>882859.3899999999</v>
      </c>
      <c r="J19" s="170">
        <f t="shared" si="2"/>
        <v>0.12857892672191956</v>
      </c>
      <c r="K19" s="464"/>
      <c r="L19" s="335" t="s">
        <v>328</v>
      </c>
      <c r="M19" s="336">
        <f>I236</f>
        <v>172</v>
      </c>
      <c r="O19" s="324">
        <f t="shared" si="3"/>
        <v>295.96359034528996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'[89]Sch B'!E37</f>
        <v>0</v>
      </c>
      <c r="D20" s="480">
        <f>'[89]Sch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62780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'[89]Sch B'!E42</f>
        <v>801728</v>
      </c>
      <c r="D21" s="480">
        <f>'[89]Sch B'!G42</f>
        <v>0</v>
      </c>
      <c r="E21" s="480"/>
      <c r="F21" s="166">
        <f t="shared" si="0"/>
        <v>801728</v>
      </c>
      <c r="G21" s="626"/>
      <c r="H21" s="166"/>
      <c r="I21" s="166">
        <f t="shared" si="1"/>
        <v>801728</v>
      </c>
      <c r="J21" s="167">
        <f t="shared" si="2"/>
        <v>0.11676301677315923</v>
      </c>
      <c r="K21" s="458"/>
      <c r="L21" s="337"/>
      <c r="M21" s="336"/>
      <c r="O21" s="324">
        <f t="shared" si="3"/>
        <v>179.4779494067607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'[89]Sch B'!E47</f>
        <v>366301.56000000006</v>
      </c>
      <c r="D22" s="480">
        <f>'[89]Sch B'!G47</f>
        <v>0</v>
      </c>
      <c r="E22" s="480"/>
      <c r="F22" s="166">
        <f t="shared" si="0"/>
        <v>366301.56000000006</v>
      </c>
      <c r="G22" s="626"/>
      <c r="H22" s="166"/>
      <c r="I22" s="166">
        <f t="shared" si="1"/>
        <v>366301.56000000006</v>
      </c>
      <c r="J22" s="167">
        <f t="shared" si="2"/>
        <v>5.3347862609656141E-2</v>
      </c>
      <c r="K22" s="458"/>
      <c r="L22" s="335" t="s">
        <v>148</v>
      </c>
      <c r="M22" s="336">
        <f>L213</f>
        <v>214844</v>
      </c>
      <c r="O22" s="324">
        <f t="shared" si="3"/>
        <v>221.46406287787187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'[89]Sch B'!E52</f>
        <v>222068.73</v>
      </c>
      <c r="D23" s="480">
        <f>'[89]Sch B'!G52</f>
        <v>0</v>
      </c>
      <c r="E23" s="480"/>
      <c r="F23" s="166">
        <f t="shared" si="0"/>
        <v>222068.73</v>
      </c>
      <c r="G23" s="626"/>
      <c r="H23" s="166"/>
      <c r="I23" s="166">
        <f t="shared" si="1"/>
        <v>222068.73</v>
      </c>
      <c r="J23" s="167">
        <f t="shared" si="2"/>
        <v>3.2341910031562039E-2</v>
      </c>
      <c r="K23" s="458"/>
      <c r="L23" s="338" t="s">
        <v>233</v>
      </c>
      <c r="M23" s="339">
        <f>M213</f>
        <v>227347</v>
      </c>
      <c r="O23" s="324">
        <f t="shared" si="3"/>
        <v>166.46831334332833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'[89]Sch B'!E57</f>
        <v>0</v>
      </c>
      <c r="D24" s="480">
        <f>'[89]Sch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'[89]Sch B'!E72</f>
        <v>150894.13</v>
      </c>
      <c r="D25" s="480">
        <f>'[89]Sch B'!G72</f>
        <v>0</v>
      </c>
      <c r="E25" s="480"/>
      <c r="F25" s="166">
        <f t="shared" si="0"/>
        <v>150894.13</v>
      </c>
      <c r="G25" s="626">
        <v>-206653.67</v>
      </c>
      <c r="H25" s="166"/>
      <c r="I25" s="166">
        <f t="shared" si="1"/>
        <v>-55759.540000000008</v>
      </c>
      <c r="J25" s="167">
        <f t="shared" si="2"/>
        <v>-8.120774257957368E-3</v>
      </c>
      <c r="K25" s="162" t="s">
        <v>638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6866283.71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6866283.71</v>
      </c>
      <c r="G26" s="166">
        <f>SUM(G12:G25)</f>
        <v>0</v>
      </c>
      <c r="H26" s="166">
        <f>SUM(H12:H25)</f>
        <v>0</v>
      </c>
      <c r="I26" s="166">
        <f>SUM(I16:I25)</f>
        <v>6866283.71</v>
      </c>
      <c r="J26" s="167">
        <f t="shared" si="2"/>
        <v>1</v>
      </c>
      <c r="K26" s="458"/>
      <c r="L26" s="163"/>
      <c r="M26" s="163"/>
      <c r="O26" s="324">
        <f>IFERROR(I26/I233,0)</f>
        <v>214.93406717585927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O28" s="328"/>
      <c r="P28" s="328"/>
    </row>
    <row r="29" spans="1:16">
      <c r="A29" s="175" t="s">
        <v>153</v>
      </c>
      <c r="B29" s="145" t="s">
        <v>8</v>
      </c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'[89]Sch C'!D10</f>
        <v>78796.570000000007</v>
      </c>
      <c r="D30" s="480">
        <f>'[89]Sch C'!F10</f>
        <v>0</v>
      </c>
      <c r="E30" s="480">
        <f>+'[89]Sch C'!H10</f>
        <v>0</v>
      </c>
      <c r="F30" s="166">
        <f t="shared" ref="F30:F65" si="5">C30+D30+E30</f>
        <v>78796.570000000007</v>
      </c>
      <c r="G30" s="626"/>
      <c r="H30" s="166"/>
      <c r="I30" s="166">
        <f t="shared" ref="I30:I65" si="6">F30+G30+H30</f>
        <v>78796.570000000007</v>
      </c>
      <c r="J30" s="167">
        <f>IF($I$213=0,0,I30/$I$213)</f>
        <v>1.0676745081956556E-2</v>
      </c>
      <c r="K30" s="458"/>
      <c r="L30" s="176">
        <v>1835</v>
      </c>
      <c r="M30" s="176">
        <v>2080</v>
      </c>
      <c r="O30" s="324">
        <f>I30/I$233</f>
        <v>2.4665551242722095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'[89]Sch C'!D11</f>
        <v>0</v>
      </c>
      <c r="D31" s="480">
        <f>'[89]Sch C'!F11</f>
        <v>0</v>
      </c>
      <c r="E31" s="480">
        <f>+'[89]Sch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'[89]Sch C'!D12</f>
        <v>104093.16</v>
      </c>
      <c r="D32" s="480">
        <f>'[89]Sch C'!F12</f>
        <v>0</v>
      </c>
      <c r="E32" s="480">
        <f>+'[89]Sch C'!H12</f>
        <v>0</v>
      </c>
      <c r="F32" s="166">
        <f t="shared" si="5"/>
        <v>104093.16</v>
      </c>
      <c r="G32" s="626"/>
      <c r="H32" s="166"/>
      <c r="I32" s="166">
        <f t="shared" si="6"/>
        <v>104093.16</v>
      </c>
      <c r="J32" s="167">
        <f t="shared" si="7"/>
        <v>1.4104371980852933E-2</v>
      </c>
      <c r="K32" s="458"/>
      <c r="L32" s="176">
        <v>6309</v>
      </c>
      <c r="M32" s="176">
        <v>6697</v>
      </c>
      <c r="O32" s="324">
        <f t="shared" si="8"/>
        <v>3.2584098165654543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'[89]Sch C'!D13</f>
        <v>256557.42</v>
      </c>
      <c r="D33" s="480">
        <f>'[89]Sch C'!F13</f>
        <v>0</v>
      </c>
      <c r="E33" s="480">
        <f>+'[89]Sch C'!H13</f>
        <v>0</v>
      </c>
      <c r="F33" s="166">
        <f t="shared" si="5"/>
        <v>256557.42</v>
      </c>
      <c r="G33" s="626"/>
      <c r="H33" s="166"/>
      <c r="I33" s="166">
        <f t="shared" si="6"/>
        <v>256557.42</v>
      </c>
      <c r="J33" s="167">
        <f t="shared" si="7"/>
        <v>3.4762911281854811E-2</v>
      </c>
      <c r="K33" s="457"/>
      <c r="L33" s="163"/>
      <c r="M33" s="163"/>
      <c r="O33" s="324">
        <f t="shared" si="8"/>
        <v>8.030971639641896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'[89]Sch C'!D14</f>
        <v>0</v>
      </c>
      <c r="D34" s="480">
        <f>'[89]Sch C'!F14</f>
        <v>0</v>
      </c>
      <c r="E34" s="480">
        <f>+'[89]Sch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'[89]Sch C'!D15</f>
        <v>0</v>
      </c>
      <c r="D35" s="480">
        <f>'[89]Sch C'!F15</f>
        <v>0</v>
      </c>
      <c r="E35" s="480">
        <f>+'[89]Sch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'[89]Sch C'!D16</f>
        <v>620181.68999999994</v>
      </c>
      <c r="D36" s="480">
        <f>'[89]Sch C'!F16</f>
        <v>0</v>
      </c>
      <c r="E36" s="480">
        <f>+'[89]Sch C'!H16</f>
        <v>0</v>
      </c>
      <c r="F36" s="166">
        <f t="shared" si="5"/>
        <v>620181.68999999994</v>
      </c>
      <c r="G36" s="626"/>
      <c r="H36" s="166"/>
      <c r="I36" s="166">
        <f t="shared" si="6"/>
        <v>620181.68999999994</v>
      </c>
      <c r="J36" s="167">
        <f t="shared" si="7"/>
        <v>8.403312236341004E-2</v>
      </c>
      <c r="K36" s="458"/>
      <c r="L36" s="163"/>
      <c r="M36" s="163"/>
      <c r="O36" s="324">
        <f t="shared" si="8"/>
        <v>19.413437989106615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'[89]Sch C'!D17</f>
        <v>1822.51</v>
      </c>
      <c r="D37" s="480">
        <f>'[89]Sch C'!F17</f>
        <v>0</v>
      </c>
      <c r="E37" s="480">
        <f>+'[89]Sch C'!H17</f>
        <v>0</v>
      </c>
      <c r="F37" s="166">
        <f t="shared" si="5"/>
        <v>1822.51</v>
      </c>
      <c r="G37" s="626"/>
      <c r="H37" s="166"/>
      <c r="I37" s="166">
        <f t="shared" si="6"/>
        <v>1822.51</v>
      </c>
      <c r="J37" s="167">
        <f t="shared" si="7"/>
        <v>2.4694570689202131E-4</v>
      </c>
      <c r="K37" s="458"/>
      <c r="L37" s="163"/>
      <c r="M37" s="163"/>
      <c r="O37" s="324">
        <f t="shared" si="8"/>
        <v>5.7049708883741314E-2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'[89]Sch C'!D18</f>
        <v>3467.64</v>
      </c>
      <c r="D38" s="480">
        <f>'[89]Sch C'!F18</f>
        <v>0</v>
      </c>
      <c r="E38" s="480">
        <f>+'[89]Sch C'!H18</f>
        <v>0</v>
      </c>
      <c r="F38" s="166">
        <f t="shared" si="5"/>
        <v>3467.64</v>
      </c>
      <c r="G38" s="626"/>
      <c r="H38" s="166"/>
      <c r="I38" s="166">
        <f t="shared" si="6"/>
        <v>3467.64</v>
      </c>
      <c r="J38" s="167">
        <f t="shared" si="7"/>
        <v>4.6985685184007157E-4</v>
      </c>
      <c r="K38" s="458"/>
      <c r="L38" s="163"/>
      <c r="M38" s="163"/>
      <c r="O38" s="324">
        <f t="shared" si="8"/>
        <v>0.1085469229324485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'[89]Sch C'!D19</f>
        <v>16943.64</v>
      </c>
      <c r="D39" s="480">
        <f>'[89]Sch C'!F19</f>
        <v>0</v>
      </c>
      <c r="E39" s="480">
        <f>+'[89]Sch C'!H19</f>
        <v>0</v>
      </c>
      <c r="F39" s="166">
        <f t="shared" si="5"/>
        <v>16943.64</v>
      </c>
      <c r="G39" s="626"/>
      <c r="H39" s="166"/>
      <c r="I39" s="166">
        <f t="shared" si="6"/>
        <v>16943.64</v>
      </c>
      <c r="J39" s="167">
        <f t="shared" si="7"/>
        <v>2.2958223313583621E-3</v>
      </c>
      <c r="K39" s="458"/>
      <c r="L39" s="163"/>
      <c r="M39" s="163"/>
      <c r="O39" s="324">
        <f t="shared" si="8"/>
        <v>0.53038377261628999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'[89]Sch C'!D20</f>
        <v>7206.01</v>
      </c>
      <c r="D40" s="480">
        <f>'[89]Sch C'!F20</f>
        <v>0</v>
      </c>
      <c r="E40" s="480">
        <f>+'[89]Sch C'!H20</f>
        <v>0</v>
      </c>
      <c r="F40" s="166">
        <f t="shared" si="5"/>
        <v>7206.01</v>
      </c>
      <c r="G40" s="626"/>
      <c r="H40" s="166"/>
      <c r="I40" s="166">
        <f t="shared" si="6"/>
        <v>7206.01</v>
      </c>
      <c r="J40" s="167">
        <f t="shared" si="7"/>
        <v>9.7639696535051917E-4</v>
      </c>
      <c r="K40" s="458"/>
      <c r="L40" s="163"/>
      <c r="M40" s="163"/>
      <c r="O40" s="324">
        <f t="shared" si="8"/>
        <v>0.22556845927502661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'[89]Sch C'!D21</f>
        <v>0</v>
      </c>
      <c r="D41" s="480">
        <f>'[89]Sch C'!F21</f>
        <v>0</v>
      </c>
      <c r="E41" s="480">
        <f>+'[89]Sch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'[89]Sch C'!D22</f>
        <v>0</v>
      </c>
      <c r="D42" s="480">
        <f>'[89]Sch C'!F22</f>
        <v>0</v>
      </c>
      <c r="E42" s="480">
        <f>+'[89]Sch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'[89]Sch C'!D23</f>
        <v>15806.66</v>
      </c>
      <c r="D43" s="480">
        <f>'[89]Sch C'!F23</f>
        <v>0</v>
      </c>
      <c r="E43" s="480">
        <f>+'[89]Sch C'!H23</f>
        <v>0</v>
      </c>
      <c r="F43" s="166">
        <f t="shared" si="5"/>
        <v>15806.66</v>
      </c>
      <c r="G43" s="626"/>
      <c r="H43" s="166"/>
      <c r="I43" s="166">
        <f t="shared" si="6"/>
        <v>15806.66</v>
      </c>
      <c r="J43" s="167">
        <f t="shared" si="7"/>
        <v>2.1417642851352466E-3</v>
      </c>
      <c r="K43" s="458"/>
      <c r="L43" s="163"/>
      <c r="M43" s="163"/>
      <c r="O43" s="324">
        <f t="shared" si="8"/>
        <v>0.49479308833656793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'[89]Sch C'!D24</f>
        <v>0</v>
      </c>
      <c r="D44" s="480">
        <f>'[89]Sch C'!F24</f>
        <v>0</v>
      </c>
      <c r="E44" s="480">
        <f>+'[89]Sch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'[89]Sch C'!D25</f>
        <v>0</v>
      </c>
      <c r="D45" s="480">
        <f>'[89]Sch C'!F25</f>
        <v>0</v>
      </c>
      <c r="E45" s="480">
        <f>+'[89]Sch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'[89]Sch C'!D26</f>
        <v>572478.07999999996</v>
      </c>
      <c r="D46" s="480">
        <f>'[89]Sch C'!F26</f>
        <v>0</v>
      </c>
      <c r="E46" s="480">
        <f>+'[89]Sch C'!H26</f>
        <v>0</v>
      </c>
      <c r="F46" s="166">
        <f t="shared" si="5"/>
        <v>572478.07999999996</v>
      </c>
      <c r="G46" s="626"/>
      <c r="H46" s="166"/>
      <c r="I46" s="166">
        <f t="shared" si="6"/>
        <v>572478.07999999996</v>
      </c>
      <c r="J46" s="167">
        <f t="shared" si="7"/>
        <v>7.7569398327464387E-2</v>
      </c>
      <c r="K46" s="458"/>
      <c r="L46" s="163"/>
      <c r="M46" s="163"/>
      <c r="O46" s="324">
        <f t="shared" si="8"/>
        <v>17.920180304263443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'[89]Sch C'!D27</f>
        <v>0</v>
      </c>
      <c r="D47" s="480">
        <f>'[89]Sch C'!F27</f>
        <v>0</v>
      </c>
      <c r="E47" s="480">
        <f>+'[89]Sch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'[89]Sch C'!D28</f>
        <v>0</v>
      </c>
      <c r="D48" s="480">
        <f>'[89]Sch C'!F28</f>
        <v>0</v>
      </c>
      <c r="E48" s="480">
        <f>+'[89]Sch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'[89]Sch C'!D29</f>
        <v>186801.7</v>
      </c>
      <c r="D49" s="480">
        <f>'[89]Sch C'!F29</f>
        <v>-186801.7</v>
      </c>
      <c r="E49" s="480">
        <f>+'[89]Sch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'[89]Sch C'!D30</f>
        <v>5160.9399999999996</v>
      </c>
      <c r="D50" s="480">
        <f>'[89]Sch C'!F30</f>
        <v>-5160.9399999999996</v>
      </c>
      <c r="E50" s="480">
        <f>+'[89]Sch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'[89]Sch C'!D31</f>
        <v>16180.55</v>
      </c>
      <c r="D51" s="480">
        <f>'[89]Sch C'!F31</f>
        <v>0</v>
      </c>
      <c r="E51" s="480">
        <f>+'[89]Sch C'!H31</f>
        <v>0</v>
      </c>
      <c r="F51" s="166">
        <f t="shared" si="5"/>
        <v>16180.55</v>
      </c>
      <c r="G51" s="626"/>
      <c r="H51" s="166"/>
      <c r="I51" s="166">
        <f t="shared" si="6"/>
        <v>16180.55</v>
      </c>
      <c r="J51" s="167">
        <f t="shared" si="7"/>
        <v>2.1924254778583905E-3</v>
      </c>
      <c r="K51" s="458"/>
      <c r="L51" s="163"/>
      <c r="M51" s="163"/>
      <c r="O51" s="324">
        <f t="shared" si="8"/>
        <v>0.50649690102047207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'[89]Sch C'!D32</f>
        <v>111747.78</v>
      </c>
      <c r="D52" s="480">
        <f>'[89]Sch C'!F32</f>
        <v>0</v>
      </c>
      <c r="E52" s="480">
        <f>+'[89]Sch C'!H32</f>
        <v>0</v>
      </c>
      <c r="F52" s="166">
        <f t="shared" si="5"/>
        <v>111747.78</v>
      </c>
      <c r="G52" s="626"/>
      <c r="H52" s="166"/>
      <c r="I52" s="166">
        <f t="shared" si="6"/>
        <v>111747.78</v>
      </c>
      <c r="J52" s="167">
        <f t="shared" si="7"/>
        <v>1.5141554518611192E-2</v>
      </c>
      <c r="K52" s="458"/>
      <c r="L52" s="163"/>
      <c r="M52" s="163"/>
      <c r="O52" s="324">
        <f t="shared" si="8"/>
        <v>3.498021035497402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'[89]Sch C'!D33</f>
        <v>0</v>
      </c>
      <c r="D53" s="480">
        <f>'[89]Sch C'!F33</f>
        <v>0</v>
      </c>
      <c r="E53" s="480">
        <f>+'[89]Sch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'[89]Sch C'!D34</f>
        <v>0</v>
      </c>
      <c r="D54" s="480">
        <f>'[89]Sch C'!F34</f>
        <v>0</v>
      </c>
      <c r="E54" s="480">
        <f>+'[89]Sch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'[89]Sch C'!D35</f>
        <v>0</v>
      </c>
      <c r="D55" s="480">
        <f>'[89]Sch C'!F35</f>
        <v>0</v>
      </c>
      <c r="E55" s="480">
        <f>+'[89]Sch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'[89]Sch C'!D36</f>
        <v>47048.800000000003</v>
      </c>
      <c r="D56" s="480">
        <f>'[89]Sch C'!F36</f>
        <v>0</v>
      </c>
      <c r="E56" s="480">
        <f>+'[89]Sch C'!H36</f>
        <v>0</v>
      </c>
      <c r="F56" s="166">
        <f t="shared" si="5"/>
        <v>47048.800000000003</v>
      </c>
      <c r="G56" s="626"/>
      <c r="H56" s="166"/>
      <c r="I56" s="166">
        <f t="shared" si="6"/>
        <v>47048.800000000003</v>
      </c>
      <c r="J56" s="167">
        <f t="shared" si="7"/>
        <v>6.3749988611427836E-3</v>
      </c>
      <c r="K56" s="458"/>
      <c r="L56" s="176">
        <v>3794</v>
      </c>
      <c r="M56" s="176">
        <v>4065</v>
      </c>
      <c r="O56" s="324">
        <f t="shared" si="8"/>
        <v>1.4727602829775246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'[89]Sch C'!D37</f>
        <v>10306.82</v>
      </c>
      <c r="D57" s="480">
        <f>'[89]Sch C'!F37</f>
        <v>0</v>
      </c>
      <c r="E57" s="480">
        <f>+'[89]Sch C'!H37</f>
        <v>0</v>
      </c>
      <c r="F57" s="166">
        <f t="shared" si="5"/>
        <v>10306.82</v>
      </c>
      <c r="G57" s="626"/>
      <c r="H57" s="166"/>
      <c r="I57" s="166">
        <f t="shared" si="6"/>
        <v>10306.82</v>
      </c>
      <c r="J57" s="167">
        <f t="shared" si="7"/>
        <v>1.3965492374301504E-3</v>
      </c>
      <c r="K57" s="457"/>
      <c r="L57" s="163"/>
      <c r="M57" s="163"/>
      <c r="O57" s="324">
        <f t="shared" si="8"/>
        <v>0.32263256745758467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'[89]Sch C'!D38</f>
        <v>0</v>
      </c>
      <c r="D58" s="480">
        <f>'[89]Sch C'!F38</f>
        <v>0</v>
      </c>
      <c r="E58" s="480">
        <f>+'[89]Sch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'[89]Sch C'!D39</f>
        <v>0</v>
      </c>
      <c r="D59" s="480">
        <f>'[89]Sch C'!F39</f>
        <v>0</v>
      </c>
      <c r="E59" s="480">
        <f>+'[89]Sch C'!H39</f>
        <v>0</v>
      </c>
      <c r="F59" s="166">
        <f t="shared" si="5"/>
        <v>0</v>
      </c>
      <c r="G59" s="626"/>
      <c r="H59" s="166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'[89]Sch C'!D40</f>
        <v>3241.34</v>
      </c>
      <c r="D60" s="480">
        <f>'[89]Sch C'!F40</f>
        <v>0</v>
      </c>
      <c r="E60" s="480">
        <f>+'[89]Sch C'!H40</f>
        <v>0</v>
      </c>
      <c r="F60" s="166">
        <f t="shared" si="5"/>
        <v>3241.34</v>
      </c>
      <c r="G60" s="626"/>
      <c r="H60" s="166"/>
      <c r="I60" s="166">
        <f t="shared" si="6"/>
        <v>3241.34</v>
      </c>
      <c r="J60" s="167">
        <f t="shared" si="7"/>
        <v>4.3919374795056514E-4</v>
      </c>
      <c r="K60" s="458"/>
      <c r="L60" s="163"/>
      <c r="M60" s="163"/>
      <c r="O60" s="324">
        <f t="shared" si="8"/>
        <v>0.1014630939710762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'[89]Sch C'!D41</f>
        <v>47293.82</v>
      </c>
      <c r="D61" s="480">
        <f>'[89]Sch C'!F41</f>
        <v>0</v>
      </c>
      <c r="E61" s="480">
        <f>+'[89]Sch C'!H41</f>
        <v>0</v>
      </c>
      <c r="F61" s="166">
        <f t="shared" si="5"/>
        <v>47293.82</v>
      </c>
      <c r="G61" s="626"/>
      <c r="H61" s="166"/>
      <c r="I61" s="166">
        <f t="shared" si="6"/>
        <v>47293.82</v>
      </c>
      <c r="J61" s="167">
        <f t="shared" si="7"/>
        <v>6.4081984798569098E-3</v>
      </c>
      <c r="K61" s="458"/>
      <c r="L61" s="163"/>
      <c r="M61" s="163"/>
      <c r="O61" s="324">
        <f t="shared" si="8"/>
        <v>1.4804301007950917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'[89]Sch C'!D42</f>
        <v>0</v>
      </c>
      <c r="D62" s="480">
        <f>'[89]Sch C'!F42</f>
        <v>0</v>
      </c>
      <c r="E62" s="480">
        <f>+'[89]Sch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'[89]Sch C'!D43</f>
        <v>29767.99</v>
      </c>
      <c r="D63" s="480">
        <f>'[89]Sch C'!F43</f>
        <v>0</v>
      </c>
      <c r="E63" s="480">
        <f>+'[89]Sch C'!H43</f>
        <v>0</v>
      </c>
      <c r="F63" s="166">
        <f t="shared" si="5"/>
        <v>29767.99</v>
      </c>
      <c r="G63" s="626">
        <v>-29767.99</v>
      </c>
      <c r="H63" s="166"/>
      <c r="I63" s="166">
        <f t="shared" si="6"/>
        <v>0</v>
      </c>
      <c r="J63" s="167">
        <f t="shared" si="7"/>
        <v>0</v>
      </c>
      <c r="K63" s="162" t="s">
        <v>639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'[89]Sch C'!D44</f>
        <v>0</v>
      </c>
      <c r="D64" s="480">
        <f>'[89]Sch C'!F44</f>
        <v>0</v>
      </c>
      <c r="E64" s="480">
        <f>+'[89]Sch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'[89]Sch C'!D45</f>
        <v>2395.15</v>
      </c>
      <c r="D65" s="480">
        <f>'[89]Sch C'!F45</f>
        <v>0</v>
      </c>
      <c r="E65" s="480">
        <f>+'[89]Sch C'!H45</f>
        <v>0</v>
      </c>
      <c r="F65" s="166">
        <f t="shared" si="5"/>
        <v>2395.15</v>
      </c>
      <c r="G65" s="626"/>
      <c r="H65" s="166"/>
      <c r="I65" s="166">
        <f t="shared" si="6"/>
        <v>2395.15</v>
      </c>
      <c r="J65" s="167">
        <f t="shared" si="7"/>
        <v>3.2453704498873801E-4</v>
      </c>
      <c r="K65" s="458"/>
      <c r="L65" s="163"/>
      <c r="M65" s="163"/>
      <c r="O65" s="324">
        <f t="shared" si="8"/>
        <v>7.4974957741188258E-2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2137298.2699999996</v>
      </c>
      <c r="D66" s="480">
        <f t="shared" si="9"/>
        <v>-191962.64</v>
      </c>
      <c r="E66" s="480">
        <f t="shared" si="9"/>
        <v>0</v>
      </c>
      <c r="F66" s="166">
        <f t="shared" ref="F66:I66" si="10">SUM(F30:F65)</f>
        <v>1945335.6299999997</v>
      </c>
      <c r="G66" s="166">
        <f t="shared" si="10"/>
        <v>-29767.99</v>
      </c>
      <c r="H66" s="166">
        <f t="shared" si="10"/>
        <v>0</v>
      </c>
      <c r="I66" s="166">
        <f t="shared" si="10"/>
        <v>1915567.6399999997</v>
      </c>
      <c r="J66" s="178">
        <f t="shared" si="7"/>
        <v>0.25955479254395364</v>
      </c>
      <c r="K66" s="465"/>
      <c r="L66" s="163"/>
      <c r="M66" s="163"/>
      <c r="O66" s="329">
        <f>I66/I$233</f>
        <v>59.962675765354021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'[89]Sch C'!D57</f>
        <v>0</v>
      </c>
      <c r="D69" s="480">
        <f>'[89]Sch C'!F57</f>
        <v>0</v>
      </c>
      <c r="E69" s="480">
        <f>+'[89]Sch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'[89]Sch C'!D58</f>
        <v>484694.92</v>
      </c>
      <c r="D70" s="480">
        <f>'[89]Sch C'!F58</f>
        <v>0</v>
      </c>
      <c r="E70" s="480">
        <f>+'[89]Sch C'!H58</f>
        <v>0</v>
      </c>
      <c r="F70" s="166">
        <f t="shared" ref="F70:F83" si="13">C70+D70+E70</f>
        <v>484694.92</v>
      </c>
      <c r="G70" s="626"/>
      <c r="H70" s="166"/>
      <c r="I70" s="166">
        <f t="shared" ref="I70:I83" si="14">F70+G70+H70</f>
        <v>484694.92</v>
      </c>
      <c r="J70" s="167">
        <f t="shared" si="11"/>
        <v>6.5674991987079212E-2</v>
      </c>
      <c r="K70" s="458"/>
      <c r="L70" s="182"/>
      <c r="M70" s="163"/>
      <c r="O70" s="324">
        <f t="shared" si="12"/>
        <v>15.172319539222437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'[89]Sch C'!D59</f>
        <v>0</v>
      </c>
      <c r="D71" s="480">
        <f>'[89]Sch C'!F59</f>
        <v>0</v>
      </c>
      <c r="E71" s="480">
        <f>+'[89]Sch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'[89]Sch C'!D60</f>
        <v>0</v>
      </c>
      <c r="D72" s="480">
        <f>'[89]Sch C'!F60</f>
        <v>0</v>
      </c>
      <c r="E72" s="480">
        <f>+'[89]Sch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'[89]Sch C'!D61</f>
        <v>0</v>
      </c>
      <c r="D73" s="480">
        <f>'[89]Sch C'!F61</f>
        <v>0</v>
      </c>
      <c r="E73" s="480">
        <f>+'[89]Sch C'!H61</f>
        <v>0</v>
      </c>
      <c r="F73" s="166">
        <f t="shared" si="13"/>
        <v>0</v>
      </c>
      <c r="G73" s="626"/>
      <c r="H73" s="166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'[89]Sch C'!D62</f>
        <v>8058.96</v>
      </c>
      <c r="D74" s="480">
        <f>'[89]Sch C'!F62</f>
        <v>0</v>
      </c>
      <c r="E74" s="480">
        <f>+'[89]Sch C'!H62</f>
        <v>0</v>
      </c>
      <c r="F74" s="166">
        <f t="shared" si="13"/>
        <v>8058.96</v>
      </c>
      <c r="G74" s="626"/>
      <c r="H74" s="166"/>
      <c r="I74" s="166">
        <f t="shared" si="14"/>
        <v>8058.96</v>
      </c>
      <c r="J74" s="167">
        <f t="shared" si="11"/>
        <v>1.0919696319990147E-3</v>
      </c>
      <c r="K74" s="458"/>
      <c r="L74" s="187"/>
      <c r="M74" s="163"/>
      <c r="O74" s="324">
        <f t="shared" si="12"/>
        <v>0.25226820259187377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'[89]Sch C'!D63</f>
        <v>0</v>
      </c>
      <c r="D75" s="480">
        <f>'[89]Sch C'!F63</f>
        <v>0</v>
      </c>
      <c r="E75" s="480">
        <f>+'[89]Sch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'[89]Sch C'!D64</f>
        <v>0</v>
      </c>
      <c r="D76" s="480">
        <f>'[89]Sch C'!F64</f>
        <v>0</v>
      </c>
      <c r="E76" s="480">
        <f>+'[89]Sch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'[89]Sch C'!D65</f>
        <v>0</v>
      </c>
      <c r="D77" s="480">
        <f>'[89]Sch C'!F65</f>
        <v>0</v>
      </c>
      <c r="E77" s="480">
        <f>+'[89]Sch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'[89]Sch C'!D66</f>
        <v>2140.0500000000002</v>
      </c>
      <c r="D78" s="480">
        <f>'[89]Sch C'!F66</f>
        <v>0</v>
      </c>
      <c r="E78" s="480">
        <f>+'[89]Sch C'!H66</f>
        <v>0</v>
      </c>
      <c r="F78" s="166">
        <f t="shared" si="13"/>
        <v>2140.0500000000002</v>
      </c>
      <c r="G78" s="626"/>
      <c r="H78" s="166"/>
      <c r="I78" s="166">
        <f t="shared" si="14"/>
        <v>2140.0500000000002</v>
      </c>
      <c r="J78" s="167">
        <f t="shared" si="11"/>
        <v>2.899716105998158E-4</v>
      </c>
      <c r="K78" s="458"/>
      <c r="L78" s="187"/>
      <c r="M78" s="163"/>
      <c r="O78" s="324">
        <f t="shared" si="12"/>
        <v>6.6989607462593137E-2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'[89]Sch C'!D67</f>
        <v>56123.22</v>
      </c>
      <c r="D79" s="480">
        <f>'[89]Sch C'!F67</f>
        <v>0</v>
      </c>
      <c r="E79" s="480">
        <f>+'[89]Sch C'!H67</f>
        <v>0</v>
      </c>
      <c r="F79" s="166">
        <f t="shared" si="13"/>
        <v>56123.22</v>
      </c>
      <c r="G79" s="626"/>
      <c r="H79" s="166"/>
      <c r="I79" s="166">
        <f t="shared" si="14"/>
        <v>56123.22</v>
      </c>
      <c r="J79" s="167">
        <f t="shared" si="11"/>
        <v>7.604560872618767E-3</v>
      </c>
      <c r="K79" s="458"/>
      <c r="L79" s="187"/>
      <c r="M79" s="163"/>
      <c r="O79" s="324">
        <f t="shared" si="12"/>
        <v>1.7568152507356163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'[89]Sch C'!D68</f>
        <v>72480.55</v>
      </c>
      <c r="D80" s="480">
        <f>'[89]Sch C'!F68</f>
        <v>0</v>
      </c>
      <c r="E80" s="480">
        <f>+'[89]Sch C'!H68</f>
        <v>0</v>
      </c>
      <c r="F80" s="166">
        <f t="shared" si="13"/>
        <v>72480.55</v>
      </c>
      <c r="G80" s="626"/>
      <c r="H80" s="166"/>
      <c r="I80" s="166">
        <f t="shared" si="14"/>
        <v>72480.55</v>
      </c>
      <c r="J80" s="167">
        <f t="shared" si="11"/>
        <v>9.8209396138690588E-3</v>
      </c>
      <c r="K80" s="458"/>
      <c r="L80" s="187"/>
      <c r="M80" s="163"/>
      <c r="O80" s="324">
        <f t="shared" si="12"/>
        <v>2.2688458648970138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'[89]Sch C'!D69</f>
        <v>0</v>
      </c>
      <c r="D81" s="480">
        <f>'[89]Sch C'!F69</f>
        <v>0</v>
      </c>
      <c r="E81" s="480">
        <f>+'[89]Sch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'[89]Sch C'!D70</f>
        <v>0</v>
      </c>
      <c r="D82" s="480">
        <f>'[89]Sch C'!F70</f>
        <v>0</v>
      </c>
      <c r="E82" s="480">
        <f>+'[89]Sch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'[89]Sch C'!D71</f>
        <v>0</v>
      </c>
      <c r="D83" s="480">
        <f>'[89]Sch C'!F71</f>
        <v>0</v>
      </c>
      <c r="E83" s="480">
        <f>+'[89]Sch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623497.70000000007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623497.70000000007</v>
      </c>
      <c r="G84" s="166">
        <f t="shared" si="16"/>
        <v>0</v>
      </c>
      <c r="H84" s="166">
        <f t="shared" si="16"/>
        <v>0</v>
      </c>
      <c r="I84" s="166">
        <f t="shared" si="16"/>
        <v>623497.70000000007</v>
      </c>
      <c r="J84" s="167">
        <f t="shared" si="11"/>
        <v>8.4482433716165872E-2</v>
      </c>
      <c r="K84" s="458"/>
      <c r="L84" s="187"/>
      <c r="M84" s="163"/>
      <c r="O84" s="324">
        <f t="shared" si="12"/>
        <v>19.517238464909536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'[89]Sch C'!D75</f>
        <v>81881.7</v>
      </c>
      <c r="D87" s="480">
        <f>'[89]Sch C'!F75</f>
        <v>0</v>
      </c>
      <c r="E87" s="480">
        <f>+'[89]Sch C'!H75</f>
        <v>0</v>
      </c>
      <c r="F87" s="166">
        <f t="shared" ref="F87:F97" si="17">C87+D87+E87</f>
        <v>81881.7</v>
      </c>
      <c r="G87" s="626"/>
      <c r="H87" s="166"/>
      <c r="I87" s="166">
        <f t="shared" ref="I87:I97" si="18">F87+G87+H87</f>
        <v>81881.7</v>
      </c>
      <c r="J87" s="167">
        <f t="shared" ref="J87:J98" si="19">IF($I$213=0,0,I87/$I$213)</f>
        <v>1.1094772751875393E-2</v>
      </c>
      <c r="K87" s="458"/>
      <c r="L87" s="176">
        <v>3800</v>
      </c>
      <c r="M87" s="176">
        <v>4280</v>
      </c>
      <c r="O87" s="324">
        <f t="shared" ref="O87:O97" si="20">I87/I$233</f>
        <v>2.563128404182057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'[89]Sch C'!D76</f>
        <v>8688.99</v>
      </c>
      <c r="D88" s="480">
        <f>'[89]Sch C'!F76</f>
        <v>0</v>
      </c>
      <c r="E88" s="480">
        <f>+'[89]Sch C'!H76</f>
        <v>0</v>
      </c>
      <c r="F88" s="166">
        <f t="shared" si="17"/>
        <v>8688.99</v>
      </c>
      <c r="G88" s="626"/>
      <c r="H88" s="166"/>
      <c r="I88" s="166">
        <f t="shared" si="18"/>
        <v>8688.99</v>
      </c>
      <c r="J88" s="167">
        <f t="shared" si="19"/>
        <v>1.177337176601338E-3</v>
      </c>
      <c r="K88" s="457"/>
      <c r="L88" s="163"/>
      <c r="M88" s="163"/>
      <c r="O88" s="324">
        <f t="shared" si="20"/>
        <v>0.27198992049082826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'[89]Sch C'!D77</f>
        <v>6775.23</v>
      </c>
      <c r="D89" s="480">
        <f>'[89]Sch C'!F77</f>
        <v>0</v>
      </c>
      <c r="E89" s="480">
        <f>+'[89]Sch C'!H77</f>
        <v>0</v>
      </c>
      <c r="F89" s="166">
        <f t="shared" si="17"/>
        <v>6775.23</v>
      </c>
      <c r="G89" s="626"/>
      <c r="H89" s="166"/>
      <c r="I89" s="166">
        <f t="shared" si="18"/>
        <v>6775.23</v>
      </c>
      <c r="J89" s="167">
        <f t="shared" si="19"/>
        <v>9.1802731491516076E-4</v>
      </c>
      <c r="K89" s="458"/>
      <c r="L89" s="163"/>
      <c r="M89" s="163"/>
      <c r="O89" s="324">
        <f t="shared" si="20"/>
        <v>0.21208382896137229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'[89]Sch C'!D78</f>
        <v>0</v>
      </c>
      <c r="D90" s="480">
        <f>'[89]Sch C'!F78</f>
        <v>0</v>
      </c>
      <c r="E90" s="480">
        <f>+'[89]Sch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'[89]Sch C'!D79</f>
        <v>479.95</v>
      </c>
      <c r="D91" s="480">
        <f>'[89]Sch C'!F79</f>
        <v>0</v>
      </c>
      <c r="E91" s="480">
        <f>+'[89]Sch C'!H79</f>
        <v>0</v>
      </c>
      <c r="F91" s="166">
        <f t="shared" si="17"/>
        <v>479.95</v>
      </c>
      <c r="G91" s="626"/>
      <c r="H91" s="166"/>
      <c r="I91" s="166">
        <f t="shared" si="18"/>
        <v>479.95</v>
      </c>
      <c r="J91" s="167">
        <f t="shared" si="19"/>
        <v>6.5032066777590046E-5</v>
      </c>
      <c r="K91" s="458"/>
      <c r="L91" s="163"/>
      <c r="M91" s="163"/>
      <c r="O91" s="324">
        <f t="shared" si="20"/>
        <v>1.5023790145871158E-2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'[89]Sch C'!D80</f>
        <v>16743.349999999999</v>
      </c>
      <c r="D92" s="480">
        <f>'[89]Sch C'!F80</f>
        <v>0</v>
      </c>
      <c r="E92" s="480">
        <f>+'[89]Sch C'!H80</f>
        <v>0</v>
      </c>
      <c r="F92" s="166">
        <f t="shared" si="17"/>
        <v>16743.349999999999</v>
      </c>
      <c r="G92" s="626"/>
      <c r="H92" s="166"/>
      <c r="I92" s="166">
        <f t="shared" si="18"/>
        <v>16743.349999999999</v>
      </c>
      <c r="J92" s="167">
        <f t="shared" si="19"/>
        <v>2.2686835197011403E-3</v>
      </c>
      <c r="K92" s="458"/>
      <c r="L92" s="163"/>
      <c r="M92" s="163"/>
      <c r="O92" s="324">
        <f t="shared" si="20"/>
        <v>0.52411413009453445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'[89]Sch C'!D81</f>
        <v>75193.899999999994</v>
      </c>
      <c r="D93" s="480">
        <f>'[89]Sch C'!F81</f>
        <v>0</v>
      </c>
      <c r="E93" s="480">
        <f>+'[89]Sch C'!H81</f>
        <v>0</v>
      </c>
      <c r="F93" s="166">
        <f t="shared" si="17"/>
        <v>75193.899999999994</v>
      </c>
      <c r="G93" s="626"/>
      <c r="H93" s="166"/>
      <c r="I93" s="166">
        <f t="shared" si="18"/>
        <v>75193.899999999994</v>
      </c>
      <c r="J93" s="167">
        <f t="shared" si="19"/>
        <v>1.0188591990972868E-2</v>
      </c>
      <c r="K93" s="458"/>
      <c r="L93" s="163"/>
      <c r="M93" s="163"/>
      <c r="O93" s="324">
        <f t="shared" si="20"/>
        <v>2.3537813810805734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'[89]Sch C'!D82</f>
        <v>194.63</v>
      </c>
      <c r="D94" s="480">
        <f>'[89]Sch C'!F82</f>
        <v>0</v>
      </c>
      <c r="E94" s="480">
        <f>+'[89]Sch C'!H82</f>
        <v>0</v>
      </c>
      <c r="F94" s="166">
        <f t="shared" si="17"/>
        <v>194.63</v>
      </c>
      <c r="G94" s="626"/>
      <c r="H94" s="166"/>
      <c r="I94" s="166">
        <f t="shared" si="18"/>
        <v>194.63</v>
      </c>
      <c r="J94" s="167">
        <f t="shared" si="19"/>
        <v>2.6371895316016982E-5</v>
      </c>
      <c r="K94" s="458"/>
      <c r="L94" s="163"/>
      <c r="M94" s="163"/>
      <c r="O94" s="324">
        <f t="shared" si="20"/>
        <v>6.0924685406623675E-3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'[89]Sch C'!D83</f>
        <v>15650.37</v>
      </c>
      <c r="D95" s="480">
        <f>'[89]Sch C'!F83</f>
        <v>0</v>
      </c>
      <c r="E95" s="480">
        <f>+'[89]Sch C'!H83</f>
        <v>0</v>
      </c>
      <c r="F95" s="166">
        <f t="shared" si="17"/>
        <v>15650.37</v>
      </c>
      <c r="G95" s="626"/>
      <c r="H95" s="166"/>
      <c r="I95" s="166">
        <f t="shared" si="18"/>
        <v>15650.37</v>
      </c>
      <c r="J95" s="167">
        <f t="shared" si="19"/>
        <v>2.1205873672965766E-3</v>
      </c>
      <c r="K95" s="458"/>
      <c r="L95" s="163"/>
      <c r="M95" s="163"/>
      <c r="O95" s="324">
        <f t="shared" si="20"/>
        <v>0.48990077004945848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'[89]Sch C'!D84</f>
        <v>145669.99</v>
      </c>
      <c r="D96" s="480">
        <f>'[89]Sch C'!F84</f>
        <v>0</v>
      </c>
      <c r="E96" s="480">
        <f>+'[89]Sch C'!H84</f>
        <v>0</v>
      </c>
      <c r="F96" s="166">
        <f t="shared" si="17"/>
        <v>145669.99</v>
      </c>
      <c r="G96" s="626"/>
      <c r="H96" s="166"/>
      <c r="I96" s="166">
        <f t="shared" si="18"/>
        <v>145669.99</v>
      </c>
      <c r="J96" s="167">
        <f t="shared" si="19"/>
        <v>1.9737932112034322E-2</v>
      </c>
      <c r="K96" s="458"/>
      <c r="L96" s="163"/>
      <c r="M96" s="163"/>
      <c r="O96" s="324">
        <f t="shared" si="20"/>
        <v>4.5598819883553494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'[89]Sch C'!D85</f>
        <v>180</v>
      </c>
      <c r="D97" s="480">
        <f>'[89]Sch C'!F85</f>
        <v>0</v>
      </c>
      <c r="E97" s="480">
        <f>+'[89]Sch C'!H85</f>
        <v>0</v>
      </c>
      <c r="F97" s="166">
        <f t="shared" si="17"/>
        <v>180</v>
      </c>
      <c r="G97" s="626"/>
      <c r="H97" s="166"/>
      <c r="I97" s="166">
        <f t="shared" si="18"/>
        <v>180</v>
      </c>
      <c r="J97" s="167">
        <f t="shared" si="19"/>
        <v>2.4389565621348491E-5</v>
      </c>
      <c r="K97" s="458"/>
      <c r="L97" s="163"/>
      <c r="M97" s="163"/>
      <c r="O97" s="324">
        <f t="shared" si="20"/>
        <v>5.6345082326425848E-3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351458.11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351458.11</v>
      </c>
      <c r="G98" s="166">
        <f t="shared" si="22"/>
        <v>0</v>
      </c>
      <c r="H98" s="166">
        <f t="shared" si="22"/>
        <v>0</v>
      </c>
      <c r="I98" s="166">
        <f t="shared" si="22"/>
        <v>351458.11</v>
      </c>
      <c r="J98" s="167">
        <f t="shared" si="19"/>
        <v>4.7621725761111754E-2</v>
      </c>
      <c r="K98" s="458"/>
      <c r="L98" s="163"/>
      <c r="M98" s="163"/>
      <c r="O98" s="329">
        <f>I98/I$233</f>
        <v>11.001631190133349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'[89]Sch C'!D89</f>
        <v>250010.09</v>
      </c>
      <c r="D101" s="480">
        <f>'[89]Sch C'!F89</f>
        <v>0</v>
      </c>
      <c r="E101" s="480">
        <f>+'[89]Sch C'!H89</f>
        <v>0</v>
      </c>
      <c r="F101" s="166">
        <f t="shared" ref="F101:F106" si="23">C101+D101+E101</f>
        <v>250010.09</v>
      </c>
      <c r="G101" s="626"/>
      <c r="H101" s="166"/>
      <c r="I101" s="166">
        <f t="shared" ref="I101:I106" si="24">F101+G101+H101</f>
        <v>250010.09</v>
      </c>
      <c r="J101" s="167">
        <f t="shared" ref="J101:J107" si="25">IF($I$213=0,0,I101/$I$213)</f>
        <v>3.3875763866968014E-2</v>
      </c>
      <c r="K101" s="458"/>
      <c r="L101" s="176">
        <v>21566</v>
      </c>
      <c r="M101" s="176">
        <v>22576</v>
      </c>
      <c r="O101" s="329">
        <f t="shared" ref="O101:O106" si="26">I101/I$233</f>
        <v>7.8260217241595189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'[89]Sch C'!D90</f>
        <v>21867.4</v>
      </c>
      <c r="D102" s="480">
        <f>'[89]Sch C'!F90</f>
        <v>0</v>
      </c>
      <c r="E102" s="480">
        <f>+'[89]Sch C'!H90</f>
        <v>0</v>
      </c>
      <c r="F102" s="166">
        <f t="shared" si="23"/>
        <v>21867.4</v>
      </c>
      <c r="G102" s="626"/>
      <c r="H102" s="166"/>
      <c r="I102" s="166">
        <f t="shared" si="24"/>
        <v>21867.4</v>
      </c>
      <c r="J102" s="167">
        <f t="shared" si="25"/>
        <v>2.9629799292682003E-3</v>
      </c>
      <c r="K102" s="457"/>
      <c r="L102" s="163"/>
      <c r="M102" s="163"/>
      <c r="O102" s="329">
        <f t="shared" si="26"/>
        <v>0.68451136292493586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'[89]Sch C'!D91</f>
        <v>34020</v>
      </c>
      <c r="D103" s="480">
        <f>'[89]Sch C'!F91</f>
        <v>0</v>
      </c>
      <c r="E103" s="480">
        <f>+'[89]Sch C'!H91</f>
        <v>0</v>
      </c>
      <c r="F103" s="166">
        <f t="shared" si="23"/>
        <v>34020</v>
      </c>
      <c r="G103" s="626"/>
      <c r="H103" s="166"/>
      <c r="I103" s="166">
        <f t="shared" si="24"/>
        <v>34020</v>
      </c>
      <c r="J103" s="167">
        <f t="shared" si="25"/>
        <v>4.6096279024348645E-3</v>
      </c>
      <c r="K103" s="458"/>
      <c r="L103" s="163"/>
      <c r="M103" s="163"/>
      <c r="O103" s="329">
        <f t="shared" si="26"/>
        <v>1.0649220559694483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'[89]Sch C'!D92</f>
        <v>250475.49</v>
      </c>
      <c r="D104" s="480">
        <f>'[89]Sch C'!F92</f>
        <v>0</v>
      </c>
      <c r="E104" s="480">
        <f>+'[89]Sch C'!H92</f>
        <v>0</v>
      </c>
      <c r="F104" s="166">
        <f t="shared" si="23"/>
        <v>250475.49</v>
      </c>
      <c r="G104" s="626"/>
      <c r="H104" s="166"/>
      <c r="I104" s="166">
        <f t="shared" si="24"/>
        <v>250475.49</v>
      </c>
      <c r="J104" s="167">
        <f t="shared" si="25"/>
        <v>3.3938824443857873E-2</v>
      </c>
      <c r="K104" s="458"/>
      <c r="L104" s="163"/>
      <c r="M104" s="163"/>
      <c r="O104" s="329">
        <f t="shared" si="26"/>
        <v>7.8405900582232517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'[89]Sch C'!D93</f>
        <v>29015.66</v>
      </c>
      <c r="D105" s="480">
        <f>'[89]Sch C'!F93</f>
        <v>0</v>
      </c>
      <c r="E105" s="480">
        <f>+'[89]Sch C'!H93</f>
        <v>0</v>
      </c>
      <c r="F105" s="166">
        <f t="shared" si="23"/>
        <v>29015.66</v>
      </c>
      <c r="G105" s="626"/>
      <c r="H105" s="166"/>
      <c r="I105" s="166">
        <f t="shared" si="24"/>
        <v>29015.66</v>
      </c>
      <c r="J105" s="167">
        <f t="shared" si="25"/>
        <v>3.93155190898187E-3</v>
      </c>
      <c r="K105" s="458"/>
      <c r="L105" s="163"/>
      <c r="M105" s="163"/>
      <c r="O105" s="329">
        <f t="shared" si="26"/>
        <v>0.90827208414198957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'[89]Sch C'!D94</f>
        <v>1885.33</v>
      </c>
      <c r="D106" s="480">
        <f>'[89]Sch C'!F94</f>
        <v>0</v>
      </c>
      <c r="E106" s="480">
        <f>+'[89]Sch C'!H94</f>
        <v>0</v>
      </c>
      <c r="F106" s="166">
        <f t="shared" si="23"/>
        <v>1885.33</v>
      </c>
      <c r="G106" s="626"/>
      <c r="H106" s="166"/>
      <c r="I106" s="166">
        <f t="shared" si="24"/>
        <v>1885.33</v>
      </c>
      <c r="J106" s="167">
        <f t="shared" si="25"/>
        <v>2.5545766529387197E-4</v>
      </c>
      <c r="K106" s="457"/>
      <c r="L106" s="163"/>
      <c r="M106" s="163"/>
      <c r="O106" s="329">
        <f t="shared" si="26"/>
        <v>5.9016152256933574E-2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587273.97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587273.97</v>
      </c>
      <c r="G107" s="166">
        <f t="shared" si="28"/>
        <v>0</v>
      </c>
      <c r="H107" s="166">
        <f t="shared" si="28"/>
        <v>0</v>
      </c>
      <c r="I107" s="166">
        <f t="shared" si="28"/>
        <v>587273.97</v>
      </c>
      <c r="J107" s="167">
        <f t="shared" si="25"/>
        <v>7.9574205716804694E-2</v>
      </c>
      <c r="K107" s="458"/>
      <c r="L107" s="163"/>
      <c r="M107" s="163"/>
      <c r="O107" s="329">
        <f>I107/I$233</f>
        <v>18.383333437676079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'[89]Sch C'!D98</f>
        <v>31080.799999999999</v>
      </c>
      <c r="D110" s="480">
        <f>'[89]Sch C'!F98</f>
        <v>0</v>
      </c>
      <c r="E110" s="480">
        <f>+'[89]Sch C'!H98</f>
        <v>0</v>
      </c>
      <c r="F110" s="166">
        <f t="shared" ref="F110:F115" si="29">C110+D110+E110</f>
        <v>31080.799999999999</v>
      </c>
      <c r="G110" s="626"/>
      <c r="H110" s="166"/>
      <c r="I110" s="166">
        <f t="shared" ref="I110:I115" si="30">F110+G110+H110</f>
        <v>31080.799999999999</v>
      </c>
      <c r="J110" s="167">
        <f t="shared" ref="J110:J116" si="31">IF($I$213=0,0,I110/$I$213)</f>
        <v>4.2113733953556007E-3</v>
      </c>
      <c r="K110" s="458"/>
      <c r="L110" s="176">
        <v>3139</v>
      </c>
      <c r="M110" s="176">
        <v>3383</v>
      </c>
      <c r="O110" s="329">
        <f t="shared" ref="O110:O115" si="32">I110/I$233</f>
        <v>0.97291679709509793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'[89]Sch C'!D99</f>
        <v>-740.02</v>
      </c>
      <c r="D111" s="480">
        <f>'[89]Sch C'!F99</f>
        <v>0</v>
      </c>
      <c r="E111" s="480">
        <f>+'[89]Sch C'!H99</f>
        <v>0</v>
      </c>
      <c r="F111" s="166">
        <f t="shared" si="29"/>
        <v>-740.02</v>
      </c>
      <c r="G111" s="626"/>
      <c r="H111" s="166"/>
      <c r="I111" s="166">
        <f t="shared" si="30"/>
        <v>-740.02</v>
      </c>
      <c r="J111" s="167">
        <f t="shared" si="31"/>
        <v>-1.0027092417283506E-4</v>
      </c>
      <c r="K111" s="457"/>
      <c r="L111" s="163"/>
      <c r="M111" s="163"/>
      <c r="O111" s="329">
        <f t="shared" si="32"/>
        <v>-2.3164715457334249E-2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'[89]Sch C'!D100</f>
        <v>10112.5</v>
      </c>
      <c r="D112" s="480">
        <f>'[89]Sch C'!F100</f>
        <v>0</v>
      </c>
      <c r="E112" s="480">
        <f>+'[89]Sch C'!H100</f>
        <v>0</v>
      </c>
      <c r="F112" s="166">
        <f t="shared" si="29"/>
        <v>10112.5</v>
      </c>
      <c r="G112" s="626"/>
      <c r="H112" s="166"/>
      <c r="I112" s="166">
        <f t="shared" si="30"/>
        <v>10112.5</v>
      </c>
      <c r="J112" s="167">
        <f t="shared" si="31"/>
        <v>1.3702193463660368E-3</v>
      </c>
      <c r="K112" s="458"/>
      <c r="L112" s="163"/>
      <c r="M112" s="163"/>
      <c r="O112" s="329">
        <f t="shared" si="32"/>
        <v>0.31654980279221184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'[89]Sch C'!D101</f>
        <v>0</v>
      </c>
      <c r="D113" s="480">
        <f>'[89]Sch C'!F101</f>
        <v>0</v>
      </c>
      <c r="E113" s="480">
        <f>+'[89]Sch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'[89]Sch C'!D102</f>
        <v>0</v>
      </c>
      <c r="D114" s="480">
        <f>'[89]Sch C'!F102</f>
        <v>0</v>
      </c>
      <c r="E114" s="480">
        <f>+'[89]Sch C'!H102</f>
        <v>0</v>
      </c>
      <c r="F114" s="166">
        <f t="shared" si="29"/>
        <v>0</v>
      </c>
      <c r="G114" s="626"/>
      <c r="H114" s="166"/>
      <c r="I114" s="166">
        <f t="shared" si="30"/>
        <v>0</v>
      </c>
      <c r="J114" s="167">
        <f t="shared" si="31"/>
        <v>0</v>
      </c>
      <c r="K114" s="458"/>
      <c r="L114" s="163"/>
      <c r="M114" s="163"/>
      <c r="O114" s="329">
        <f t="shared" si="32"/>
        <v>0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'[89]Sch C'!D103</f>
        <v>56.2</v>
      </c>
      <c r="D115" s="480">
        <f>'[89]Sch C'!F103</f>
        <v>0</v>
      </c>
      <c r="E115" s="480">
        <f>+'[89]Sch C'!H103</f>
        <v>0</v>
      </c>
      <c r="F115" s="166">
        <f t="shared" si="29"/>
        <v>56.2</v>
      </c>
      <c r="G115" s="626"/>
      <c r="H115" s="166"/>
      <c r="I115" s="166">
        <f t="shared" si="30"/>
        <v>56.2</v>
      </c>
      <c r="J115" s="167">
        <f t="shared" si="31"/>
        <v>7.6149643773321409E-6</v>
      </c>
      <c r="K115" s="458"/>
      <c r="L115" s="163"/>
      <c r="M115" s="163"/>
      <c r="O115" s="329">
        <f t="shared" si="32"/>
        <v>1.7592186815250737E-3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40509.479999999996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40509.479999999996</v>
      </c>
      <c r="G116" s="166">
        <f t="shared" si="34"/>
        <v>0</v>
      </c>
      <c r="H116" s="166">
        <f t="shared" si="34"/>
        <v>0</v>
      </c>
      <c r="I116" s="166">
        <f t="shared" si="34"/>
        <v>40509.479999999996</v>
      </c>
      <c r="J116" s="167">
        <f t="shared" si="31"/>
        <v>5.4889367819261348E-3</v>
      </c>
      <c r="K116" s="458"/>
      <c r="L116" s="163"/>
      <c r="M116" s="163"/>
      <c r="O116" s="329">
        <f>I116/I$233</f>
        <v>1.2680611031115006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'[89]Sch C'!D115</f>
        <v>165519.93</v>
      </c>
      <c r="D119" s="480">
        <f>'[89]Sch C'!F115</f>
        <v>0</v>
      </c>
      <c r="E119" s="480">
        <f>+'[89]Sch C'!H115</f>
        <v>0</v>
      </c>
      <c r="F119" s="166">
        <f t="shared" ref="F119:F123" si="35">C119+D119+E119</f>
        <v>165519.93</v>
      </c>
      <c r="G119" s="626"/>
      <c r="H119" s="166"/>
      <c r="I119" s="166">
        <f t="shared" ref="I119:I123" si="36">F119+G119+H119</f>
        <v>165519.93</v>
      </c>
      <c r="J119" s="167">
        <f t="shared" ref="J119:J124" si="37">IF($I$213=0,0,I119/$I$213)</f>
        <v>2.2427551079866714E-2</v>
      </c>
      <c r="K119" s="458"/>
      <c r="L119" s="176">
        <v>12773</v>
      </c>
      <c r="M119" s="176">
        <v>14401</v>
      </c>
      <c r="O119" s="329">
        <f t="shared" ref="O119:O124" si="38">I119/I$233</f>
        <v>5.1812411569523569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'[89]Sch C'!D116</f>
        <v>12234.79</v>
      </c>
      <c r="D120" s="480">
        <f>'[89]Sch C'!F116</f>
        <v>0</v>
      </c>
      <c r="E120" s="480">
        <f>+'[89]Sch C'!H116</f>
        <v>0</v>
      </c>
      <c r="F120" s="166">
        <f t="shared" si="35"/>
        <v>12234.79</v>
      </c>
      <c r="G120" s="626"/>
      <c r="H120" s="166"/>
      <c r="I120" s="166">
        <f t="shared" si="36"/>
        <v>12234.79</v>
      </c>
      <c r="J120" s="167">
        <f t="shared" si="37"/>
        <v>1.6577845198245463E-3</v>
      </c>
      <c r="K120" s="457"/>
      <c r="L120" s="163"/>
      <c r="M120" s="163"/>
      <c r="O120" s="329">
        <f t="shared" si="38"/>
        <v>0.38298347210918426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'[89]Sch C'!D117</f>
        <v>16890.22</v>
      </c>
      <c r="D121" s="480">
        <f>'[89]Sch C'!F117</f>
        <v>0</v>
      </c>
      <c r="E121" s="480">
        <f>+'[89]Sch C'!H117</f>
        <v>0</v>
      </c>
      <c r="F121" s="166">
        <f t="shared" si="35"/>
        <v>16890.22</v>
      </c>
      <c r="G121" s="626"/>
      <c r="H121" s="166"/>
      <c r="I121" s="166">
        <f t="shared" si="36"/>
        <v>16890.22</v>
      </c>
      <c r="J121" s="167">
        <f t="shared" si="37"/>
        <v>2.288584050272293E-3</v>
      </c>
      <c r="K121" s="458"/>
      <c r="L121" s="163"/>
      <c r="M121" s="163"/>
      <c r="O121" s="329">
        <f t="shared" si="38"/>
        <v>0.52871157578413575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'[89]Sch C'!D118</f>
        <v>0</v>
      </c>
      <c r="D122" s="480">
        <f>'[89]Sch C'!F118</f>
        <v>0</v>
      </c>
      <c r="E122" s="480">
        <f>+'[89]Sch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'[89]Sch C'!D119</f>
        <v>608.66999999999996</v>
      </c>
      <c r="D123" s="480">
        <f>'[89]Sch C'!F119</f>
        <v>0</v>
      </c>
      <c r="E123" s="480">
        <f>+'[89]Sch C'!H119</f>
        <v>0</v>
      </c>
      <c r="F123" s="166">
        <f t="shared" si="35"/>
        <v>608.66999999999996</v>
      </c>
      <c r="G123" s="626"/>
      <c r="H123" s="166"/>
      <c r="I123" s="166">
        <f t="shared" si="36"/>
        <v>608.66999999999996</v>
      </c>
      <c r="J123" s="167">
        <f t="shared" si="37"/>
        <v>8.2473316148589914E-5</v>
      </c>
      <c r="K123" s="458"/>
      <c r="L123" s="163"/>
      <c r="M123" s="163"/>
      <c r="O123" s="329">
        <f t="shared" si="38"/>
        <v>1.9053089588680898E-2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195253.61000000002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195253.61000000002</v>
      </c>
      <c r="G124" s="166">
        <f t="shared" si="40"/>
        <v>0</v>
      </c>
      <c r="H124" s="166">
        <f t="shared" si="40"/>
        <v>0</v>
      </c>
      <c r="I124" s="166">
        <f t="shared" si="40"/>
        <v>195253.61000000002</v>
      </c>
      <c r="J124" s="167">
        <f t="shared" si="37"/>
        <v>2.6456392966112147E-2</v>
      </c>
      <c r="K124" s="458"/>
      <c r="L124" s="163"/>
      <c r="M124" s="163"/>
      <c r="O124" s="329">
        <f t="shared" si="38"/>
        <v>6.1119892944343581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'[89]Sch C'!D124</f>
        <v>0</v>
      </c>
      <c r="D128" s="480">
        <f>'[89]Sch C'!F124</f>
        <v>0</v>
      </c>
      <c r="E128" s="480">
        <f>+'[89]Sch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7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'[89]Sch C'!D125</f>
        <v>215190.83</v>
      </c>
      <c r="D129" s="480">
        <f>'[89]Sch C'!F125</f>
        <v>0</v>
      </c>
      <c r="E129" s="480">
        <f>+'[89]Sch C'!H125</f>
        <v>0</v>
      </c>
      <c r="F129" s="166">
        <f t="shared" si="41"/>
        <v>215190.83</v>
      </c>
      <c r="G129" s="626"/>
      <c r="H129" s="166"/>
      <c r="I129" s="166">
        <f t="shared" si="42"/>
        <v>215190.83</v>
      </c>
      <c r="J129" s="167">
        <f>IF($I$213=0,0,I129/$I$213)</f>
        <v>2.9157838163319152E-2</v>
      </c>
      <c r="K129" s="458"/>
      <c r="L129" s="176">
        <v>7128</v>
      </c>
      <c r="M129" s="176">
        <v>7903</v>
      </c>
      <c r="O129" s="329">
        <f t="shared" si="43"/>
        <v>6.736080573467726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'[89]Sch C'!D126</f>
        <v>0</v>
      </c>
      <c r="D130" s="480">
        <f>'[89]Sch C'!F126</f>
        <v>0</v>
      </c>
      <c r="E130" s="480">
        <f>+'[89]Sch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1336</v>
      </c>
      <c r="M130" s="176">
        <v>1336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'[89]Sch C'!D127</f>
        <v>1409.8</v>
      </c>
      <c r="D131" s="480">
        <f>'[89]Sch C'!F127</f>
        <v>0</v>
      </c>
      <c r="E131" s="480">
        <f>+'[89]Sch C'!H127</f>
        <v>0</v>
      </c>
      <c r="F131" s="166">
        <f t="shared" si="41"/>
        <v>1409.8</v>
      </c>
      <c r="G131" s="626"/>
      <c r="H131" s="166"/>
      <c r="I131" s="166">
        <f t="shared" si="42"/>
        <v>1409.8</v>
      </c>
      <c r="J131" s="167">
        <f>IF($I$213=0,0,I131/$I$213)</f>
        <v>1.910244978498728E-4</v>
      </c>
      <c r="K131" s="458"/>
      <c r="L131" s="176">
        <v>1735</v>
      </c>
      <c r="M131" s="176">
        <v>1896</v>
      </c>
      <c r="O131" s="329">
        <f t="shared" si="43"/>
        <v>4.4130720590997305E-2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'[89]Sch C'!D128</f>
        <v>59104.1</v>
      </c>
      <c r="D132" s="480">
        <f>'[89]Sch C'!F128</f>
        <v>0</v>
      </c>
      <c r="E132" s="480">
        <f>+'[89]Sch C'!H128</f>
        <v>0</v>
      </c>
      <c r="F132" s="166">
        <f t="shared" si="41"/>
        <v>59104.1</v>
      </c>
      <c r="G132" s="626"/>
      <c r="H132" s="166"/>
      <c r="I132" s="166">
        <f t="shared" si="42"/>
        <v>59104.1</v>
      </c>
      <c r="J132" s="167">
        <f>IF($I$213=0,0,I132/$I$213)</f>
        <v>8.0084629191152414E-3</v>
      </c>
      <c r="K132" s="458"/>
      <c r="L132" s="176">
        <v>0</v>
      </c>
      <c r="M132" s="176">
        <v>0</v>
      </c>
      <c r="O132" s="329">
        <f t="shared" si="43"/>
        <v>1.8501252112940587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'[89]Sch C'!D130</f>
        <v>0</v>
      </c>
      <c r="D134" s="480">
        <f>'[89]Sch C'!F130</f>
        <v>0</v>
      </c>
      <c r="E134" s="480">
        <f>+'[89]Sch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'[89]Sch C'!D131</f>
        <v>21664.28</v>
      </c>
      <c r="D135" s="480">
        <f>'[89]Sch C'!F131</f>
        <v>0</v>
      </c>
      <c r="E135" s="480">
        <f>+'[89]Sch C'!H131</f>
        <v>0</v>
      </c>
      <c r="F135" s="166">
        <f t="shared" si="44"/>
        <v>21664.28</v>
      </c>
      <c r="G135" s="626"/>
      <c r="H135" s="166"/>
      <c r="I135" s="166">
        <f t="shared" si="45"/>
        <v>21664.28</v>
      </c>
      <c r="J135" s="167">
        <f>IF($I$213=0,0,I135/$I$213)</f>
        <v>2.9354576594403758E-3</v>
      </c>
      <c r="K135" s="457"/>
      <c r="L135" s="196"/>
      <c r="M135" s="196"/>
      <c r="O135" s="329">
        <f t="shared" si="43"/>
        <v>0.67815313341263384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'[89]Sch C'!D132</f>
        <v>0</v>
      </c>
      <c r="D136" s="480">
        <f>'[89]Sch C'!F132</f>
        <v>0</v>
      </c>
      <c r="E136" s="480">
        <f>+'[89]Sch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'[89]Sch C'!D133</f>
        <v>0</v>
      </c>
      <c r="D137" s="480">
        <f>'[89]Sch C'!F133</f>
        <v>0</v>
      </c>
      <c r="E137" s="480">
        <f>+'[89]Sch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'[89]Sch C'!D134</f>
        <v>0</v>
      </c>
      <c r="D138" s="480">
        <f>'[89]Sch C'!F134</f>
        <v>0</v>
      </c>
      <c r="E138" s="480">
        <f>+'[89]Sch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7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'[89]Sch C'!D136</f>
        <v>603386.80000000005</v>
      </c>
      <c r="D140" s="480">
        <f>'[89]Sch C'!F136</f>
        <v>0</v>
      </c>
      <c r="E140" s="480">
        <f>+'[89]Sch C'!H136</f>
        <v>0</v>
      </c>
      <c r="F140" s="166">
        <f t="shared" ref="F140:F143" si="46">C140+D140+E140</f>
        <v>603386.80000000005</v>
      </c>
      <c r="G140" s="626"/>
      <c r="H140" s="166"/>
      <c r="I140" s="166">
        <f t="shared" ref="I140:I143" si="47">F140+G140+H140</f>
        <v>603386.80000000005</v>
      </c>
      <c r="J140" s="167">
        <f>IF($I$213=0,0,I140/$I$213)</f>
        <v>8.1757455298085993E-2</v>
      </c>
      <c r="K140" s="457"/>
      <c r="L140" s="176">
        <v>30759</v>
      </c>
      <c r="M140" s="176">
        <v>33182</v>
      </c>
      <c r="O140" s="329">
        <f t="shared" si="43"/>
        <v>18.887710511488137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'[89]Sch C'!D137</f>
        <v>392631.56</v>
      </c>
      <c r="D141" s="480">
        <f>'[89]Sch C'!F137</f>
        <v>0</v>
      </c>
      <c r="E141" s="480">
        <f>+'[89]Sch C'!H137</f>
        <v>0</v>
      </c>
      <c r="F141" s="166">
        <f t="shared" si="46"/>
        <v>392631.56</v>
      </c>
      <c r="G141" s="626"/>
      <c r="H141" s="166"/>
      <c r="I141" s="166">
        <f t="shared" si="47"/>
        <v>392631.56</v>
      </c>
      <c r="J141" s="167">
        <f>IF($I$213=0,0,I141/$I$213)</f>
        <v>5.3200628875735706E-2</v>
      </c>
      <c r="K141" s="457"/>
      <c r="L141" s="176">
        <v>15343</v>
      </c>
      <c r="M141" s="176">
        <v>16151</v>
      </c>
      <c r="O141" s="329">
        <f t="shared" si="43"/>
        <v>12.290476428973893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'[89]Sch C'!D138</f>
        <v>982351.31</v>
      </c>
      <c r="D142" s="480">
        <f>'[89]Sch C'!F138</f>
        <v>0</v>
      </c>
      <c r="E142" s="480">
        <f>+'[89]Sch C'!H138</f>
        <v>0</v>
      </c>
      <c r="F142" s="166">
        <f t="shared" si="46"/>
        <v>982351.31</v>
      </c>
      <c r="G142" s="626"/>
      <c r="H142" s="166"/>
      <c r="I142" s="166">
        <f t="shared" si="47"/>
        <v>982351.31</v>
      </c>
      <c r="J142" s="167">
        <f>IF($I$213=0,0,I142/$I$213)</f>
        <v>0.13310623188034809</v>
      </c>
      <c r="K142" s="457"/>
      <c r="L142" s="176">
        <v>85199</v>
      </c>
      <c r="M142" s="176">
        <v>88225</v>
      </c>
      <c r="O142" s="329">
        <f t="shared" si="43"/>
        <v>30.75036968634571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'[89]Sch C'!D139</f>
        <v>0</v>
      </c>
      <c r="D143" s="480">
        <f>'[89]Sch C'!F139</f>
        <v>0</v>
      </c>
      <c r="E143" s="480">
        <f>+'[89]Sch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9131</v>
      </c>
      <c r="M143" s="176">
        <v>9350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7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'[89]Sch C'!D141</f>
        <v>174377.67</v>
      </c>
      <c r="D145" s="480">
        <f>'[89]Sch C'!F141</f>
        <v>0</v>
      </c>
      <c r="E145" s="480">
        <f>+'[89]Sch C'!H141</f>
        <v>0</v>
      </c>
      <c r="F145" s="166">
        <f t="shared" ref="F145:F148" si="48">C145+D145+E145</f>
        <v>174377.67</v>
      </c>
      <c r="G145" s="626">
        <f>-34607-86587</f>
        <v>-121194</v>
      </c>
      <c r="H145" s="166"/>
      <c r="I145" s="166">
        <f t="shared" ref="I145:I148" si="49">F145+G145+H145</f>
        <v>53183.670000000013</v>
      </c>
      <c r="J145" s="167">
        <f>IF($I$213=0,0,I145/$I$213)</f>
        <v>7.2062589413841305E-3</v>
      </c>
      <c r="K145" s="162" t="s">
        <v>640</v>
      </c>
      <c r="L145" s="163"/>
      <c r="M145" s="163"/>
      <c r="O145" s="329">
        <f t="shared" si="43"/>
        <v>1.6647990358730362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'[89]Sch C'!D142</f>
        <v>0</v>
      </c>
      <c r="D146" s="480">
        <f>'[89]Sch C'!F142</f>
        <v>0</v>
      </c>
      <c r="E146" s="480">
        <f>+'[89]Sch C'!H142</f>
        <v>0</v>
      </c>
      <c r="F146" s="166">
        <f t="shared" si="48"/>
        <v>0</v>
      </c>
      <c r="G146" s="626">
        <f>34607</f>
        <v>34607</v>
      </c>
      <c r="H146" s="166"/>
      <c r="I146" s="166">
        <f t="shared" si="49"/>
        <v>34607</v>
      </c>
      <c r="J146" s="167">
        <f>IF($I$213=0,0,I146/$I$213)</f>
        <v>4.6891649858778178E-3</v>
      </c>
      <c r="K146" s="162" t="s">
        <v>640</v>
      </c>
      <c r="L146" s="163"/>
      <c r="M146" s="163"/>
      <c r="O146" s="329">
        <f t="shared" si="43"/>
        <v>1.0832968133725662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'[89]Sch C'!D143</f>
        <v>0</v>
      </c>
      <c r="D147" s="480">
        <f>'[89]Sch C'!F143</f>
        <v>0</v>
      </c>
      <c r="E147" s="480">
        <f>+'[89]Sch C'!H143</f>
        <v>0</v>
      </c>
      <c r="F147" s="166">
        <f t="shared" si="48"/>
        <v>0</v>
      </c>
      <c r="G147" s="626">
        <f>86587</f>
        <v>86587</v>
      </c>
      <c r="H147" s="166"/>
      <c r="I147" s="166">
        <f t="shared" si="49"/>
        <v>86587</v>
      </c>
      <c r="J147" s="167">
        <f>IF($I$213=0,0,I147/$I$213)</f>
        <v>1.1732329546976122E-2</v>
      </c>
      <c r="K147" s="162" t="s">
        <v>640</v>
      </c>
      <c r="L147" s="163"/>
      <c r="M147" s="163"/>
      <c r="O147" s="329">
        <f t="shared" si="43"/>
        <v>2.7104175796656858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'[89]Sch C'!D144</f>
        <v>0</v>
      </c>
      <c r="D148" s="480">
        <f>'[89]Sch C'!F144</f>
        <v>0</v>
      </c>
      <c r="E148" s="480">
        <f>+'[89]Sch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'[89]Sch C'!D146</f>
        <v>55500</v>
      </c>
      <c r="D150" s="480">
        <f>'[89]Sch C'!F146</f>
        <v>0</v>
      </c>
      <c r="E150" s="480">
        <f>+'[89]Sch C'!H146</f>
        <v>0</v>
      </c>
      <c r="F150" s="166">
        <f t="shared" ref="F150:F158" si="50">C150+D150+E150</f>
        <v>55500</v>
      </c>
      <c r="G150" s="626"/>
      <c r="H150" s="166"/>
      <c r="I150" s="166">
        <f t="shared" ref="I150:I158" si="51">F150+G150+H150</f>
        <v>55500</v>
      </c>
      <c r="J150" s="167">
        <f t="shared" ref="J150:J158" si="52">IF($I$213=0,0,I150/$I$213)</f>
        <v>7.5201160665824517E-3</v>
      </c>
      <c r="K150" s="457"/>
      <c r="L150" s="176">
        <v>0</v>
      </c>
      <c r="M150" s="176">
        <v>0</v>
      </c>
      <c r="O150" s="329">
        <f t="shared" si="43"/>
        <v>1.7373067050647968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'[89]Sch C'!D147</f>
        <v>0</v>
      </c>
      <c r="D151" s="480">
        <f>'[89]Sch C'!F147</f>
        <v>0</v>
      </c>
      <c r="E151" s="480">
        <f>+'[89]Sch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'[89]Sch C'!D148</f>
        <v>0</v>
      </c>
      <c r="D152" s="480">
        <f>'[89]Sch C'!F148</f>
        <v>0</v>
      </c>
      <c r="E152" s="480">
        <f>+'[89]Sch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'[89]Sch C'!D149</f>
        <v>0</v>
      </c>
      <c r="D153" s="480">
        <f>'[89]Sch C'!F149</f>
        <v>0</v>
      </c>
      <c r="E153" s="480">
        <f>+'[89]Sch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'[89]Sch C'!D150</f>
        <v>0</v>
      </c>
      <c r="D154" s="480">
        <f>'[89]Sch C'!F150</f>
        <v>0</v>
      </c>
      <c r="E154" s="480">
        <f>+'[89]Sch C'!H150</f>
        <v>0</v>
      </c>
      <c r="F154" s="166">
        <f t="shared" si="50"/>
        <v>0</v>
      </c>
      <c r="G154" s="626"/>
      <c r="H154" s="166"/>
      <c r="I154" s="166">
        <f t="shared" si="51"/>
        <v>0</v>
      </c>
      <c r="J154" s="167">
        <f t="shared" si="52"/>
        <v>0</v>
      </c>
      <c r="K154" s="458"/>
      <c r="L154" s="176">
        <v>0</v>
      </c>
      <c r="M154" s="176">
        <v>0</v>
      </c>
      <c r="O154" s="329">
        <f t="shared" si="43"/>
        <v>0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'[89]Sch C'!D151</f>
        <v>67054.19</v>
      </c>
      <c r="D155" s="480">
        <f>'[89]Sch C'!F151</f>
        <v>0</v>
      </c>
      <c r="E155" s="480">
        <f>+'[89]Sch C'!H151</f>
        <v>0</v>
      </c>
      <c r="F155" s="166">
        <f t="shared" si="50"/>
        <v>67054.19</v>
      </c>
      <c r="G155" s="626"/>
      <c r="H155" s="166"/>
      <c r="I155" s="166">
        <f t="shared" si="51"/>
        <v>67054.19</v>
      </c>
      <c r="J155" s="167">
        <f t="shared" si="52"/>
        <v>9.0856809288409439E-3</v>
      </c>
      <c r="K155" s="458"/>
      <c r="L155" s="163"/>
      <c r="M155" s="163"/>
      <c r="O155" s="329">
        <f t="shared" si="43"/>
        <v>2.0989854754898891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'[89]Sch C'!D152</f>
        <v>536.59</v>
      </c>
      <c r="D156" s="480">
        <f>'[89]Sch C'!F152</f>
        <v>0</v>
      </c>
      <c r="E156" s="480">
        <f>+'[89]Sch C'!H152</f>
        <v>0</v>
      </c>
      <c r="F156" s="166">
        <f t="shared" si="50"/>
        <v>536.59</v>
      </c>
      <c r="G156" s="626"/>
      <c r="H156" s="166"/>
      <c r="I156" s="166">
        <f t="shared" si="51"/>
        <v>536.59</v>
      </c>
      <c r="J156" s="167">
        <f t="shared" si="52"/>
        <v>7.2706650093107714E-5</v>
      </c>
      <c r="K156" s="458"/>
      <c r="L156" s="163"/>
      <c r="M156" s="163"/>
      <c r="O156" s="329">
        <f t="shared" si="43"/>
        <v>1.679678206974269E-2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'[89]Sch C'!D153</f>
        <v>1661.1</v>
      </c>
      <c r="D157" s="480">
        <f>'[89]Sch C'!F153</f>
        <v>0</v>
      </c>
      <c r="E157" s="480">
        <f>+'[89]Sch C'!H153</f>
        <v>0</v>
      </c>
      <c r="F157" s="166">
        <f t="shared" si="50"/>
        <v>1661.1</v>
      </c>
      <c r="G157" s="626"/>
      <c r="H157" s="166"/>
      <c r="I157" s="166">
        <f t="shared" si="51"/>
        <v>1661.1</v>
      </c>
      <c r="J157" s="167">
        <f t="shared" si="52"/>
        <v>2.2507504140901099E-4</v>
      </c>
      <c r="K157" s="458"/>
      <c r="L157" s="163"/>
      <c r="M157" s="163"/>
      <c r="O157" s="329">
        <f t="shared" si="43"/>
        <v>5.199712014023665E-2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'[89]Sch C'!D154</f>
        <v>0</v>
      </c>
      <c r="D158" s="480">
        <f>'[89]Sch C'!F154</f>
        <v>0</v>
      </c>
      <c r="E158" s="480">
        <f>+'[89]Sch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'[89]Sch C'!D156</f>
        <v>0</v>
      </c>
      <c r="D160" s="480">
        <f>'[89]Sch C'!F156</f>
        <v>0</v>
      </c>
      <c r="E160" s="480">
        <f>+'[89]Sch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'[89]Sch C'!D157</f>
        <v>0</v>
      </c>
      <c r="D161" s="480">
        <f>'[89]Sch C'!F157</f>
        <v>0</v>
      </c>
      <c r="E161" s="480">
        <f>+'[89]Sch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'[89]Sch C'!D158</f>
        <v>0</v>
      </c>
      <c r="D162" s="480">
        <f>'[89]Sch C'!F158</f>
        <v>0</v>
      </c>
      <c r="E162" s="480">
        <f>+'[89]Sch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'[89]Sch C'!D159</f>
        <v>0</v>
      </c>
      <c r="D163" s="480">
        <f>'[89]Sch C'!F159</f>
        <v>0</v>
      </c>
      <c r="E163" s="480">
        <f>+'[89]Sch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'[89]Sch C'!D160</f>
        <v>0</v>
      </c>
      <c r="D164" s="480">
        <f>'[89]Sch C'!F160</f>
        <v>0</v>
      </c>
      <c r="E164" s="480">
        <f>+'[89]Sch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'[89]Sch C'!D161</f>
        <v>169.5</v>
      </c>
      <c r="D165" s="480">
        <f>'[89]Sch C'!F161</f>
        <v>0</v>
      </c>
      <c r="E165" s="480">
        <f>+'[89]Sch C'!H161</f>
        <v>0</v>
      </c>
      <c r="F165" s="166">
        <f t="shared" si="53"/>
        <v>169.5</v>
      </c>
      <c r="G165" s="626"/>
      <c r="H165" s="166"/>
      <c r="I165" s="166">
        <f t="shared" si="54"/>
        <v>169.5</v>
      </c>
      <c r="J165" s="167">
        <f t="shared" si="55"/>
        <v>2.2966840960103163E-5</v>
      </c>
      <c r="K165" s="458"/>
      <c r="L165" s="163"/>
      <c r="M165" s="163"/>
      <c r="O165" s="329">
        <f t="shared" si="43"/>
        <v>5.3058285857384337E-3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2575037.73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2575037.73</v>
      </c>
      <c r="G166" s="166">
        <f t="shared" si="57"/>
        <v>0</v>
      </c>
      <c r="H166" s="166">
        <f t="shared" si="57"/>
        <v>0</v>
      </c>
      <c r="I166" s="166">
        <f t="shared" si="57"/>
        <v>2575037.73</v>
      </c>
      <c r="J166" s="167">
        <f t="shared" si="55"/>
        <v>0.34891139829601808</v>
      </c>
      <c r="K166" s="458"/>
      <c r="L166" s="163"/>
      <c r="M166" s="163"/>
      <c r="O166" s="329">
        <f>I166/I$233</f>
        <v>80.605951605834846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'[89]Sch C'!D175</f>
        <v>0</v>
      </c>
      <c r="D169" s="480">
        <f>'[89]Sch C'!F175</f>
        <v>0</v>
      </c>
      <c r="E169" s="480">
        <f>+'[89]Sch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'[89]Sch C'!D176</f>
        <v>0</v>
      </c>
      <c r="D170" s="480">
        <f>'[89]Sch C'!F176</f>
        <v>0</v>
      </c>
      <c r="E170" s="480">
        <f>+'[89]Sch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437"/>
      <c r="M170" s="437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'[89]Sch C'!D177</f>
        <v>0</v>
      </c>
      <c r="D171" s="480">
        <f>'[89]Sch C'!F177</f>
        <v>0</v>
      </c>
      <c r="E171" s="480">
        <f>+'[89]Sch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'[89]Sch C'!D178</f>
        <v>0</v>
      </c>
      <c r="D172" s="480">
        <f>'[89]Sch C'!F178</f>
        <v>0</v>
      </c>
      <c r="E172" s="480">
        <f>+'[89]Sch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437"/>
      <c r="M172" s="437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'[89]Sch C'!D179</f>
        <v>0</v>
      </c>
      <c r="D173" s="480">
        <f>'[89]Sch C'!F179</f>
        <v>0</v>
      </c>
      <c r="E173" s="480">
        <f>+'[89]Sch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'[89]Sch C'!D180</f>
        <v>0</v>
      </c>
      <c r="D174" s="480">
        <f>'[89]Sch C'!F180</f>
        <v>0</v>
      </c>
      <c r="E174" s="480">
        <f>+'[89]Sch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437"/>
      <c r="M174" s="437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'[89]Sch C'!D181</f>
        <v>0</v>
      </c>
      <c r="D175" s="480">
        <f>'[89]Sch C'!F181</f>
        <v>0</v>
      </c>
      <c r="E175" s="480">
        <f>+'[89]Sch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'[89]Sch C'!D182</f>
        <v>0</v>
      </c>
      <c r="D176" s="480">
        <f>'[89]Sch C'!F182</f>
        <v>0</v>
      </c>
      <c r="E176" s="480">
        <f>+'[89]Sch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437"/>
      <c r="M176" s="437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'[89]Sch C'!D183</f>
        <v>0</v>
      </c>
      <c r="D177" s="480">
        <f>'[89]Sch C'!F183</f>
        <v>0</v>
      </c>
      <c r="E177" s="480">
        <f>+'[89]Sch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'[89]Sch C'!D184</f>
        <v>0</v>
      </c>
      <c r="D178" s="480">
        <f>'[89]Sch C'!F184</f>
        <v>0</v>
      </c>
      <c r="E178" s="480">
        <f>+'[89]Sch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437"/>
      <c r="M178" s="437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'[89]Sch C'!D185</f>
        <v>0</v>
      </c>
      <c r="D179" s="480">
        <f>'[89]Sch C'!F185</f>
        <v>0</v>
      </c>
      <c r="E179" s="480">
        <f>+'[89]Sch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'[89]Sch C'!D186</f>
        <v>0</v>
      </c>
      <c r="D180" s="480">
        <f>'[89]Sch C'!F186</f>
        <v>0</v>
      </c>
      <c r="E180" s="480">
        <f>+'[89]Sch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'[89]Sch C'!D187</f>
        <v>0</v>
      </c>
      <c r="D181" s="480">
        <f>'[89]Sch C'!F187</f>
        <v>0</v>
      </c>
      <c r="E181" s="480">
        <f>+'[89]Sch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'[89]Sch C'!D188</f>
        <v>73.92</v>
      </c>
      <c r="D182" s="480">
        <f>'[89]Sch C'!F188</f>
        <v>0</v>
      </c>
      <c r="E182" s="480">
        <f>+'[89]Sch C'!H188</f>
        <v>0</v>
      </c>
      <c r="F182" s="166">
        <f t="shared" si="58"/>
        <v>73.92</v>
      </c>
      <c r="G182" s="626"/>
      <c r="H182" s="166"/>
      <c r="I182" s="166">
        <f t="shared" si="59"/>
        <v>73.92</v>
      </c>
      <c r="J182" s="167">
        <f t="shared" si="60"/>
        <v>1.0015981615167114E-5</v>
      </c>
      <c r="K182" s="458"/>
      <c r="L182" s="213"/>
      <c r="M182" s="208"/>
      <c r="N182" s="210"/>
      <c r="O182" s="329">
        <f t="shared" si="61"/>
        <v>2.3139047142052213E-3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'[89]Sch C'!D189</f>
        <v>0</v>
      </c>
      <c r="D183" s="480">
        <f>'[89]Sch C'!F189</f>
        <v>0</v>
      </c>
      <c r="E183" s="480">
        <f>+'[89]Sch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'[89]Sch C'!D190</f>
        <v>0</v>
      </c>
      <c r="D184" s="480">
        <f>'[89]Sch C'!F190</f>
        <v>0</v>
      </c>
      <c r="E184" s="480">
        <f>+'[89]Sch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'[89]Sch C'!D191</f>
        <v>0</v>
      </c>
      <c r="D185" s="480">
        <f>'[89]Sch C'!F191</f>
        <v>0</v>
      </c>
      <c r="E185" s="480">
        <f>+'[89]Sch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'[89]Sch C'!D192</f>
        <v>0</v>
      </c>
      <c r="D186" s="480">
        <f>'[89]Sch C'!F192</f>
        <v>0</v>
      </c>
      <c r="E186" s="480">
        <f>+'[89]Sch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'[89]Sch C'!D193</f>
        <v>501.2</v>
      </c>
      <c r="D187" s="480">
        <f>'[89]Sch C'!F193</f>
        <v>0</v>
      </c>
      <c r="E187" s="480">
        <f>+'[89]Sch C'!H193</f>
        <v>0</v>
      </c>
      <c r="F187" s="166">
        <f t="shared" si="58"/>
        <v>501.2</v>
      </c>
      <c r="G187" s="626"/>
      <c r="H187" s="166"/>
      <c r="I187" s="166">
        <f t="shared" si="59"/>
        <v>501.2</v>
      </c>
      <c r="J187" s="167">
        <f t="shared" si="60"/>
        <v>6.7911390496777025E-5</v>
      </c>
      <c r="K187" s="458"/>
      <c r="L187" s="213"/>
      <c r="M187" s="208"/>
      <c r="N187" s="210"/>
      <c r="O187" s="329">
        <f t="shared" si="61"/>
        <v>1.5688975145558129E-2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'[89]Sch C'!D194</f>
        <v>480234.93</v>
      </c>
      <c r="D188" s="480">
        <f>'[89]Sch C'!F194</f>
        <v>0</v>
      </c>
      <c r="E188" s="480">
        <f>+'[89]Sch C'!H194</f>
        <v>0</v>
      </c>
      <c r="F188" s="166">
        <f t="shared" si="58"/>
        <v>480234.93</v>
      </c>
      <c r="G188" s="626"/>
      <c r="H188" s="166"/>
      <c r="I188" s="166">
        <f t="shared" si="59"/>
        <v>480234.93</v>
      </c>
      <c r="J188" s="167">
        <f t="shared" si="60"/>
        <v>6.5070674104992773E-2</v>
      </c>
      <c r="K188" s="458"/>
      <c r="L188" s="213"/>
      <c r="M188" s="208"/>
      <c r="O188" s="329">
        <f t="shared" si="61"/>
        <v>15.032709259375196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'[89]Sch C'!D195</f>
        <v>0</v>
      </c>
      <c r="D189" s="480">
        <f>'[89]Sch C'!F195</f>
        <v>0</v>
      </c>
      <c r="E189" s="480">
        <f>+'[89]Sch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'[89]Sch C'!D196</f>
        <v>0</v>
      </c>
      <c r="D190" s="480">
        <f>'[89]Sch C'!F196</f>
        <v>0</v>
      </c>
      <c r="E190" s="480">
        <f>+'[89]Sch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'[89]Sch C'!D197</f>
        <v>0</v>
      </c>
      <c r="D191" s="480">
        <f>'[89]Sch C'!F197</f>
        <v>0</v>
      </c>
      <c r="E191" s="480">
        <f>+'[89]Sch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'[89]Sch C'!D198</f>
        <v>38511.480000000003</v>
      </c>
      <c r="D192" s="480">
        <f>'[89]Sch C'!F198</f>
        <v>0</v>
      </c>
      <c r="E192" s="480">
        <f>+'[89]Sch C'!H198</f>
        <v>0</v>
      </c>
      <c r="F192" s="166">
        <f t="shared" si="58"/>
        <v>38511.480000000003</v>
      </c>
      <c r="G192" s="626"/>
      <c r="H192" s="166"/>
      <c r="I192" s="166">
        <f t="shared" si="59"/>
        <v>38511.480000000003</v>
      </c>
      <c r="J192" s="167">
        <f t="shared" si="60"/>
        <v>5.2182126035291675E-3</v>
      </c>
      <c r="K192" s="458"/>
      <c r="L192" s="213"/>
      <c r="M192" s="208"/>
      <c r="O192" s="329">
        <f t="shared" si="61"/>
        <v>1.2055180617291681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'[89]Sch C'!D199</f>
        <v>0</v>
      </c>
      <c r="D193" s="480">
        <f>'[89]Sch C'!F199</f>
        <v>0</v>
      </c>
      <c r="E193" s="480">
        <f>+'[89]Sch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'[89]Sch C'!D200</f>
        <v>0</v>
      </c>
      <c r="D194" s="480">
        <f>'[89]Sch C'!F200</f>
        <v>0</v>
      </c>
      <c r="E194" s="480">
        <f>+'[89]Sch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'[89]Sch C'!D201</f>
        <v>0</v>
      </c>
      <c r="D195" s="480">
        <f>'[89]Sch C'!F201</f>
        <v>0</v>
      </c>
      <c r="E195" s="480">
        <f>+'[89]Sch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'[89]Sch C'!D202</f>
        <v>0</v>
      </c>
      <c r="D196" s="480">
        <f>'[89]Sch C'!F202</f>
        <v>0</v>
      </c>
      <c r="E196" s="480">
        <f>+'[89]Sch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'[89]Sch C'!D203</f>
        <v>21085.66</v>
      </c>
      <c r="D197" s="480">
        <f>'[89]Sch C'!F203</f>
        <v>0</v>
      </c>
      <c r="E197" s="480">
        <f>+'[89]Sch C'!H203</f>
        <v>0</v>
      </c>
      <c r="F197" s="166">
        <f t="shared" si="58"/>
        <v>21085.66</v>
      </c>
      <c r="G197" s="626"/>
      <c r="H197" s="166"/>
      <c r="I197" s="166">
        <f t="shared" si="59"/>
        <v>21085.66</v>
      </c>
      <c r="J197" s="167">
        <f t="shared" si="60"/>
        <v>2.8570560457746837E-3</v>
      </c>
      <c r="K197" s="458"/>
      <c r="L197" s="213"/>
      <c r="M197" s="208"/>
      <c r="O197" s="329">
        <f t="shared" si="61"/>
        <v>0.66004069367056906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'[89]Sch C'!D204</f>
        <v>0</v>
      </c>
      <c r="D198" s="480">
        <f>'[89]Sch C'!F204</f>
        <v>0</v>
      </c>
      <c r="E198" s="480">
        <f>+'[89]Sch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'[89]Sch C'!D205</f>
        <v>286390.26</v>
      </c>
      <c r="D199" s="480">
        <f>'[89]Sch C'!F205</f>
        <v>0</v>
      </c>
      <c r="E199" s="480">
        <f>+'[89]Sch C'!H205</f>
        <v>0</v>
      </c>
      <c r="F199" s="166">
        <f t="shared" si="58"/>
        <v>286390.26</v>
      </c>
      <c r="G199" s="626"/>
      <c r="H199" s="166"/>
      <c r="I199" s="166">
        <f t="shared" si="59"/>
        <v>286390.26</v>
      </c>
      <c r="J199" s="167">
        <f t="shared" si="60"/>
        <v>3.8805189108805871E-2</v>
      </c>
      <c r="K199" s="458"/>
      <c r="L199" s="213"/>
      <c r="M199" s="208"/>
      <c r="O199" s="329">
        <f t="shared" si="61"/>
        <v>8.9648237651036133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'[89]Sch C'!D206</f>
        <v>21409.3</v>
      </c>
      <c r="D200" s="480">
        <f>'[89]Sch C'!F206</f>
        <v>0</v>
      </c>
      <c r="E200" s="480">
        <f>+'[89]Sch C'!H206</f>
        <v>0</v>
      </c>
      <c r="F200" s="166">
        <f t="shared" si="58"/>
        <v>21409.3</v>
      </c>
      <c r="G200" s="626"/>
      <c r="H200" s="166"/>
      <c r="I200" s="166">
        <f t="shared" si="59"/>
        <v>21409.3</v>
      </c>
      <c r="J200" s="167">
        <f t="shared" si="60"/>
        <v>2.900908484761868E-3</v>
      </c>
      <c r="K200" s="458"/>
      <c r="L200" s="213"/>
      <c r="M200" s="208"/>
      <c r="O200" s="329">
        <f t="shared" si="61"/>
        <v>0.67017153947286046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'[89]Sch C'!D207</f>
        <v>29666.92</v>
      </c>
      <c r="D201" s="480">
        <f>'[89]Sch C'!F207</f>
        <v>0</v>
      </c>
      <c r="E201" s="480">
        <f>+'[89]Sch C'!H207</f>
        <v>0</v>
      </c>
      <c r="F201" s="166">
        <f t="shared" si="58"/>
        <v>29666.92</v>
      </c>
      <c r="G201" s="626"/>
      <c r="H201" s="166"/>
      <c r="I201" s="166">
        <f t="shared" si="59"/>
        <v>29666.92</v>
      </c>
      <c r="J201" s="167">
        <f t="shared" si="60"/>
        <v>4.0197960673516442E-3</v>
      </c>
      <c r="K201" s="458"/>
      <c r="L201" s="213"/>
      <c r="M201" s="208"/>
      <c r="O201" s="329">
        <f t="shared" si="61"/>
        <v>0.92865836098416077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877873.67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877873.67</v>
      </c>
      <c r="G202" s="166">
        <f t="shared" si="63"/>
        <v>0</v>
      </c>
      <c r="H202" s="166">
        <f t="shared" si="63"/>
        <v>0</v>
      </c>
      <c r="I202" s="166">
        <f t="shared" si="63"/>
        <v>877873.67</v>
      </c>
      <c r="J202" s="167">
        <f>IF($I$213=0,0,I202/$I$213)</f>
        <v>0.11894976378732795</v>
      </c>
      <c r="K202" s="458"/>
      <c r="L202" s="163"/>
      <c r="M202" s="163"/>
      <c r="O202" s="329">
        <f>I202/I$233</f>
        <v>27.479924560195332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'[89]Sch C'!D211</f>
        <v>186904.3</v>
      </c>
      <c r="D205" s="480">
        <f>'[89]Sch C'!F211</f>
        <v>0</v>
      </c>
      <c r="E205" s="480">
        <f>+'[89]Sch C'!H211</f>
        <v>0</v>
      </c>
      <c r="F205" s="166">
        <f t="shared" ref="F205:F210" si="64">C205+D205+E205</f>
        <v>186904.3</v>
      </c>
      <c r="G205" s="626"/>
      <c r="H205" s="166"/>
      <c r="I205" s="166">
        <f t="shared" ref="I205:I210" si="65">F205+G205+H205</f>
        <v>186904.3</v>
      </c>
      <c r="J205" s="167">
        <f t="shared" ref="J205:J211" si="66">IF($I$213=0,0,I205/$I$213)</f>
        <v>2.5325081609790027E-2</v>
      </c>
      <c r="K205" s="458"/>
      <c r="L205" s="176">
        <v>10997</v>
      </c>
      <c r="M205" s="176">
        <v>11822</v>
      </c>
      <c r="O205" s="329">
        <f t="shared" ref="O205:O210" si="67">I205/I$233</f>
        <v>5.8506323170349965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'[89]Sch C'!D212</f>
        <v>19917.34</v>
      </c>
      <c r="D206" s="480">
        <f>'[89]Sch C'!F212</f>
        <v>0</v>
      </c>
      <c r="E206" s="480">
        <f>+'[89]Sch C'!H212</f>
        <v>0</v>
      </c>
      <c r="F206" s="166">
        <f t="shared" si="64"/>
        <v>19917.34</v>
      </c>
      <c r="G206" s="626"/>
      <c r="H206" s="166"/>
      <c r="I206" s="166">
        <f t="shared" si="65"/>
        <v>19917.34</v>
      </c>
      <c r="J206" s="167">
        <f t="shared" si="66"/>
        <v>2.6987515051817177E-3</v>
      </c>
      <c r="K206" s="458"/>
      <c r="L206" s="163"/>
      <c r="M206" s="163"/>
      <c r="O206" s="329">
        <f t="shared" si="67"/>
        <v>0.62346897890189701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'[89]Sch C'!D213</f>
        <v>2171.2800000000002</v>
      </c>
      <c r="D207" s="480">
        <f>'[89]Sch C'!F213</f>
        <v>0</v>
      </c>
      <c r="E207" s="480">
        <f>+'[89]Sch C'!H213</f>
        <v>0</v>
      </c>
      <c r="F207" s="166">
        <f t="shared" si="64"/>
        <v>2171.2800000000002</v>
      </c>
      <c r="G207" s="626"/>
      <c r="H207" s="166"/>
      <c r="I207" s="166">
        <f t="shared" si="65"/>
        <v>2171.2800000000002</v>
      </c>
      <c r="J207" s="167">
        <f t="shared" si="66"/>
        <v>2.9420320023511976E-4</v>
      </c>
      <c r="K207" s="458"/>
      <c r="L207" s="163"/>
      <c r="M207" s="163"/>
      <c r="O207" s="329">
        <f t="shared" si="67"/>
        <v>6.7967194640956616E-2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'[89]Sch C'!D214</f>
        <v>3167</v>
      </c>
      <c r="D208" s="480">
        <f>'[89]Sch C'!F214</f>
        <v>0</v>
      </c>
      <c r="E208" s="480">
        <f>+'[89]Sch C'!H214</f>
        <v>0</v>
      </c>
      <c r="F208" s="166">
        <f t="shared" si="64"/>
        <v>3167</v>
      </c>
      <c r="G208" s="626"/>
      <c r="H208" s="166"/>
      <c r="I208" s="166">
        <f t="shared" si="65"/>
        <v>3167</v>
      </c>
      <c r="J208" s="167">
        <f t="shared" si="66"/>
        <v>4.2912085734894819E-4</v>
      </c>
      <c r="K208" s="458"/>
      <c r="L208" s="163"/>
      <c r="M208" s="163"/>
      <c r="O208" s="329">
        <f t="shared" si="67"/>
        <v>9.9136042070994801E-2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'[89]Sch C'!D215</f>
        <v>0</v>
      </c>
      <c r="D209" s="480">
        <f>'[89]Sch C'!F215</f>
        <v>0</v>
      </c>
      <c r="E209" s="480">
        <f>+'[89]Sch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'[89]Sch C'!D216</f>
        <v>1573.41</v>
      </c>
      <c r="D210" s="480">
        <f>'[89]Sch C'!F216</f>
        <v>0</v>
      </c>
      <c r="E210" s="480">
        <f>+'[89]Sch C'!H216</f>
        <v>0</v>
      </c>
      <c r="F210" s="166">
        <f t="shared" si="64"/>
        <v>1573.41</v>
      </c>
      <c r="G210" s="626"/>
      <c r="H210" s="166"/>
      <c r="I210" s="166">
        <f t="shared" si="65"/>
        <v>1573.41</v>
      </c>
      <c r="J210" s="167">
        <f t="shared" si="66"/>
        <v>2.1319325802381074E-4</v>
      </c>
      <c r="K210" s="458"/>
      <c r="L210" s="163"/>
      <c r="M210" s="163"/>
      <c r="O210" s="329">
        <f t="shared" si="67"/>
        <v>4.9252175546234275E-2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213733.33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213733.33</v>
      </c>
      <c r="G211" s="166">
        <f t="shared" si="69"/>
        <v>0</v>
      </c>
      <c r="H211" s="166">
        <f t="shared" si="69"/>
        <v>0</v>
      </c>
      <c r="I211" s="166">
        <f t="shared" si="69"/>
        <v>213733.33</v>
      </c>
      <c r="J211" s="167">
        <f t="shared" si="66"/>
        <v>2.8960350430579623E-2</v>
      </c>
      <c r="K211" s="458"/>
      <c r="L211" s="163"/>
      <c r="M211" s="163"/>
      <c r="O211" s="329">
        <f>I211/I$233</f>
        <v>6.6904567081950788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7601935.870000001</v>
      </c>
      <c r="D213" s="480">
        <f t="shared" si="70"/>
        <v>-191962.64</v>
      </c>
      <c r="E213" s="480">
        <f t="shared" si="70"/>
        <v>0</v>
      </c>
      <c r="F213" s="166">
        <f t="shared" ref="F213:I213" si="71">SUM(F30:F211)/2</f>
        <v>7409973.2300000004</v>
      </c>
      <c r="G213" s="166">
        <f t="shared" si="71"/>
        <v>-29767.990000000005</v>
      </c>
      <c r="H213" s="166">
        <f t="shared" si="71"/>
        <v>0</v>
      </c>
      <c r="I213" s="166">
        <f t="shared" si="71"/>
        <v>7380205.2400000002</v>
      </c>
      <c r="J213" s="167">
        <f>IF($I$213=0,0,I213/$I$213)</f>
        <v>1</v>
      </c>
      <c r="K213" s="458"/>
      <c r="L213" s="176">
        <f>SUM(L30:L205)</f>
        <v>214844</v>
      </c>
      <c r="M213" s="176">
        <f>SUM(M30:M205)</f>
        <v>227347</v>
      </c>
      <c r="O213" s="329">
        <f>I213/I$233</f>
        <v>231.02126212984413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'[89]Sch C'!D221</f>
        <v>7601935.6299999999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0.24000000115483999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-735652.16000000108</v>
      </c>
      <c r="D220" s="480">
        <f t="shared" si="72"/>
        <v>191962.64</v>
      </c>
      <c r="E220" s="480">
        <f t="shared" si="72"/>
        <v>0</v>
      </c>
      <c r="F220" s="166">
        <f t="shared" ref="F220:I220" si="73">F26-F213</f>
        <v>-543689.52000000048</v>
      </c>
      <c r="G220" s="166">
        <f t="shared" si="73"/>
        <v>29767.990000000005</v>
      </c>
      <c r="H220" s="166">
        <f t="shared" si="73"/>
        <v>0</v>
      </c>
      <c r="I220" s="166">
        <f t="shared" si="73"/>
        <v>-513921.53000000026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'[89]Sch D'!C9</f>
        <v>19894</v>
      </c>
      <c r="D224" s="480"/>
      <c r="E224" s="480"/>
      <c r="F224" s="224">
        <f>C224+D224+E224</f>
        <v>19894</v>
      </c>
      <c r="G224" s="627"/>
      <c r="H224" s="223"/>
      <c r="I224" s="224">
        <f>F224+G224+H224</f>
        <v>19894</v>
      </c>
      <c r="J224" s="167">
        <f t="shared" ref="J224:J233" si="74">IF($I$233=0,0,I224/$I$233)</f>
        <v>0.62273837100106433</v>
      </c>
      <c r="K224" s="458"/>
      <c r="L224" s="163"/>
      <c r="M224" s="163"/>
    </row>
    <row r="225" spans="1:13">
      <c r="A225" s="158"/>
      <c r="B225" s="165" t="s">
        <v>201</v>
      </c>
      <c r="C225" s="504">
        <f>'[89]Sch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'[89]Sch D'!E9</f>
        <v>1614</v>
      </c>
      <c r="D226" s="480"/>
      <c r="E226" s="480"/>
      <c r="F226" s="224">
        <f t="shared" si="75"/>
        <v>1614</v>
      </c>
      <c r="G226" s="627"/>
      <c r="H226" s="223"/>
      <c r="I226" s="224">
        <f t="shared" si="76"/>
        <v>1614</v>
      </c>
      <c r="J226" s="167">
        <f t="shared" si="74"/>
        <v>5.052275715269517E-2</v>
      </c>
      <c r="K226" s="458"/>
      <c r="L226" s="163"/>
      <c r="M226" s="163"/>
    </row>
    <row r="227" spans="1:13">
      <c r="A227" s="158"/>
      <c r="B227" s="194" t="s">
        <v>315</v>
      </c>
      <c r="C227" s="504">
        <f>'[89]Sch D'!F9</f>
        <v>2983</v>
      </c>
      <c r="D227" s="480"/>
      <c r="E227" s="480"/>
      <c r="F227" s="224">
        <f t="shared" si="75"/>
        <v>2983</v>
      </c>
      <c r="G227" s="627"/>
      <c r="H227" s="223"/>
      <c r="I227" s="224">
        <f t="shared" si="76"/>
        <v>2983</v>
      </c>
      <c r="J227" s="167">
        <f t="shared" si="74"/>
        <v>9.3376322544293497E-2</v>
      </c>
      <c r="K227" s="458"/>
      <c r="L227" s="163"/>
      <c r="M227" s="163"/>
    </row>
    <row r="228" spans="1:13">
      <c r="A228" s="158"/>
      <c r="B228" s="165" t="s">
        <v>65</v>
      </c>
      <c r="C228" s="504">
        <f>'[89]Sch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'[89]Sch D'!H9</f>
        <v>4467</v>
      </c>
      <c r="D229" s="480"/>
      <c r="E229" s="480"/>
      <c r="F229" s="224">
        <f t="shared" si="75"/>
        <v>4467</v>
      </c>
      <c r="G229" s="627"/>
      <c r="H229" s="223"/>
      <c r="I229" s="224">
        <f t="shared" si="76"/>
        <v>4467</v>
      </c>
      <c r="J229" s="167">
        <f t="shared" si="74"/>
        <v>0.13982971264008012</v>
      </c>
      <c r="K229" s="458"/>
      <c r="L229" s="163"/>
      <c r="M229" s="163"/>
    </row>
    <row r="230" spans="1:13">
      <c r="A230" s="158"/>
      <c r="B230" s="165" t="s">
        <v>219</v>
      </c>
      <c r="C230" s="504">
        <f>'[89]Sch D'!I9</f>
        <v>1654</v>
      </c>
      <c r="D230" s="480"/>
      <c r="E230" s="480"/>
      <c r="F230" s="224">
        <f t="shared" si="75"/>
        <v>1654</v>
      </c>
      <c r="G230" s="627"/>
      <c r="H230" s="223"/>
      <c r="I230" s="224">
        <f t="shared" si="76"/>
        <v>1654</v>
      </c>
      <c r="J230" s="167">
        <f t="shared" si="74"/>
        <v>5.1774870093282417E-2</v>
      </c>
      <c r="K230" s="458"/>
      <c r="L230" s="163"/>
      <c r="M230" s="163"/>
    </row>
    <row r="231" spans="1:13">
      <c r="A231" s="158"/>
      <c r="B231" s="165" t="s">
        <v>218</v>
      </c>
      <c r="C231" s="504">
        <f>'[89]Sch D'!J9</f>
        <v>1334</v>
      </c>
      <c r="D231" s="480"/>
      <c r="E231" s="480"/>
      <c r="F231" s="224">
        <f t="shared" si="75"/>
        <v>1334</v>
      </c>
      <c r="G231" s="627"/>
      <c r="H231" s="223"/>
      <c r="I231" s="224">
        <f t="shared" si="76"/>
        <v>1334</v>
      </c>
      <c r="J231" s="167">
        <f>IF($I$233=0,0,I231/$I$233)</f>
        <v>4.1757966568584486E-2</v>
      </c>
      <c r="K231" s="458"/>
      <c r="L231" s="163"/>
      <c r="M231" s="163"/>
    </row>
    <row r="232" spans="1:13">
      <c r="A232" s="158"/>
      <c r="B232" s="165" t="s">
        <v>170</v>
      </c>
      <c r="C232" s="504">
        <f>'[89]Sch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31946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31946</v>
      </c>
      <c r="G233" s="226">
        <f t="shared" si="78"/>
        <v>0</v>
      </c>
      <c r="H233" s="226">
        <f t="shared" si="78"/>
        <v>0</v>
      </c>
      <c r="I233" s="226">
        <f t="shared" si="78"/>
        <v>31946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L235" s="163"/>
      <c r="M235" s="163"/>
    </row>
    <row r="236" spans="1:13">
      <c r="A236" s="158"/>
      <c r="B236" s="194" t="s">
        <v>203</v>
      </c>
      <c r="C236" s="504">
        <f>'[89]Sch D'!N22</f>
        <v>172</v>
      </c>
      <c r="D236" s="480"/>
      <c r="E236" s="480"/>
      <c r="F236" s="224">
        <f>C236+E236</f>
        <v>172</v>
      </c>
      <c r="G236" s="627"/>
      <c r="H236" s="224"/>
      <c r="I236" s="224">
        <f>F236+G236+H236</f>
        <v>172</v>
      </c>
      <c r="J236" s="162"/>
      <c r="L236" s="163"/>
      <c r="M236" s="163"/>
    </row>
    <row r="237" spans="1:13">
      <c r="A237" s="158"/>
      <c r="B237" s="194" t="s">
        <v>271</v>
      </c>
      <c r="C237" s="504">
        <f>'[89]Sch D'!N24</f>
        <v>172</v>
      </c>
      <c r="D237" s="480"/>
      <c r="E237" s="480"/>
      <c r="F237" s="224">
        <f>C237+E237</f>
        <v>172</v>
      </c>
      <c r="G237" s="627"/>
      <c r="H237" s="224"/>
      <c r="I237" s="224">
        <f>F237+G237+H237</f>
        <v>172</v>
      </c>
      <c r="J237" s="162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L239" s="163"/>
      <c r="M239" s="163"/>
    </row>
    <row r="240" spans="1:13" ht="26.5">
      <c r="A240" s="158"/>
      <c r="B240" s="231" t="s">
        <v>316</v>
      </c>
      <c r="C240" s="504">
        <f>'[89]Sch D'!N28</f>
        <v>62780</v>
      </c>
      <c r="D240" s="427"/>
      <c r="E240" s="427"/>
      <c r="F240" s="223">
        <f>F236*F238</f>
        <v>62780</v>
      </c>
      <c r="G240"/>
      <c r="H240" s="228"/>
      <c r="I240" s="223">
        <f>I236*I238</f>
        <v>62780</v>
      </c>
      <c r="J240" s="162"/>
      <c r="L240" s="163"/>
      <c r="M240" s="163"/>
    </row>
    <row r="241" spans="1:13" ht="26.5">
      <c r="A241" s="158"/>
      <c r="B241" s="231" t="s">
        <v>317</v>
      </c>
      <c r="C241" s="505">
        <f>'[89]Sch D'!N30</f>
        <v>0.50885632366995859</v>
      </c>
      <c r="D241" s="228"/>
      <c r="E241" s="228"/>
      <c r="F241" s="232">
        <f>F233/F240</f>
        <v>0.50885632366995859</v>
      </c>
      <c r="G241"/>
      <c r="H241" s="233"/>
      <c r="I241" s="232">
        <f>I233/I240</f>
        <v>0.50885632366995859</v>
      </c>
      <c r="J241" s="162"/>
      <c r="L241" s="163"/>
      <c r="M241" s="163"/>
    </row>
    <row r="242" spans="1:13" ht="26.5">
      <c r="A242" s="158"/>
      <c r="B242" s="231" t="s">
        <v>318</v>
      </c>
      <c r="C242" s="505">
        <f>'[89]Sch D'!N32</f>
        <v>0.31688435807582033</v>
      </c>
      <c r="D242" s="228"/>
      <c r="E242" s="228"/>
      <c r="F242" s="232">
        <f>(F224+F225)/F240</f>
        <v>0.31688435807582033</v>
      </c>
      <c r="G242"/>
      <c r="H242" s="233"/>
      <c r="I242" s="232">
        <f>(I224+I225)/I240</f>
        <v>0.31688435807582033</v>
      </c>
      <c r="J242" s="162"/>
      <c r="L242" s="163"/>
      <c r="M242" s="163"/>
    </row>
    <row r="243" spans="1:13" ht="26.5">
      <c r="A243" s="158"/>
      <c r="B243" s="231" t="s">
        <v>319</v>
      </c>
      <c r="C243" s="505">
        <f>'[89]Sch D'!N34</f>
        <v>0.62273837100106433</v>
      </c>
      <c r="D243" s="228"/>
      <c r="E243" s="228"/>
      <c r="F243" s="232">
        <f>(F242/F241)</f>
        <v>0.62273837100106433</v>
      </c>
      <c r="G243"/>
      <c r="H243" s="233"/>
      <c r="I243" s="232">
        <f>(I242/I241)</f>
        <v>0.62273837100106433</v>
      </c>
      <c r="J243" s="162"/>
      <c r="L243" s="163"/>
      <c r="M243" s="163"/>
    </row>
    <row r="246" spans="1:13">
      <c r="B246" s="145" t="s">
        <v>320</v>
      </c>
      <c r="H246" s="140" t="s">
        <v>321</v>
      </c>
      <c r="I246" s="480">
        <f>'[89]Sch B'!C90</f>
        <v>180.80508474576271</v>
      </c>
    </row>
    <row r="247" spans="1:13">
      <c r="B247" s="456"/>
      <c r="H247" s="140" t="s">
        <v>322</v>
      </c>
      <c r="I247" s="480">
        <f>'[89]Sch B'!E90</f>
        <v>168.73200757575756</v>
      </c>
    </row>
    <row r="248" spans="1:13">
      <c r="B248" s="544"/>
      <c r="H248" s="140" t="s">
        <v>323</v>
      </c>
      <c r="I248" s="480">
        <f>'[89]Sch B'!G90</f>
        <v>166.00868878357031</v>
      </c>
    </row>
    <row r="249" spans="1:13">
      <c r="B249" s="411"/>
      <c r="H249" s="140" t="s">
        <v>324</v>
      </c>
      <c r="I249" s="480">
        <f>'[89]Sch B'!I90</f>
        <v>200.1781652767248</v>
      </c>
    </row>
    <row r="250" spans="1:13">
      <c r="B250" s="442"/>
      <c r="H250" s="140"/>
    </row>
    <row r="251" spans="1:13">
      <c r="B251" s="411"/>
    </row>
    <row r="252" spans="1:13">
      <c r="B252" s="411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">
    <tabColor rgb="FFE28CAB"/>
  </sheetPr>
  <dimension ref="A1:Q277"/>
  <sheetViews>
    <sheetView showGridLines="0" topLeftCell="A3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4.2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352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'[90]Sch A Pg 1'!B39</f>
        <v>42917</v>
      </c>
      <c r="D3" s="620"/>
      <c r="E3" s="142"/>
      <c r="F3" s="144"/>
      <c r="G3" s="144"/>
    </row>
    <row r="4" spans="1:16" ht="15.5">
      <c r="A4" s="143"/>
      <c r="B4" s="145" t="s">
        <v>72</v>
      </c>
      <c r="C4" s="557">
        <f>'[90]Sch A Pg 1'!G39</f>
        <v>43281</v>
      </c>
      <c r="D4" s="620"/>
      <c r="E4"/>
      <c r="F4" s="146"/>
      <c r="G4" s="146"/>
      <c r="I4" s="147"/>
    </row>
    <row r="5" spans="1:16" ht="15.5">
      <c r="A5" s="143"/>
      <c r="B5" s="145"/>
      <c r="C5" s="148"/>
      <c r="D5" s="148"/>
      <c r="E5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 ht="15.5">
      <c r="A10" s="158" t="s">
        <v>228</v>
      </c>
      <c r="B10" s="159" t="s">
        <v>229</v>
      </c>
      <c r="C10" s="160"/>
      <c r="D10" s="160"/>
      <c r="E10"/>
      <c r="F10"/>
      <c r="G10"/>
      <c r="H10"/>
      <c r="I10"/>
      <c r="J10"/>
      <c r="K10" s="463"/>
      <c r="L10" s="163"/>
      <c r="M10" s="163"/>
    </row>
    <row r="11" spans="1:16" s="162" customFormat="1" ht="15.5">
      <c r="A11" s="158"/>
      <c r="B11" s="615" t="s">
        <v>511</v>
      </c>
      <c r="C11" s="160"/>
      <c r="D11" s="160"/>
      <c r="E11"/>
      <c r="F11"/>
      <c r="G11"/>
      <c r="H11"/>
      <c r="I11"/>
      <c r="J1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'[90]Sch B'!E10</f>
        <v>1740823</v>
      </c>
      <c r="D12" s="480">
        <f>'[90]Sch B'!G10</f>
        <v>0</v>
      </c>
      <c r="E12" s="480"/>
      <c r="F12" s="166">
        <f>C12+D12+E12</f>
        <v>1740823</v>
      </c>
      <c r="G12" s="626">
        <v>321700</v>
      </c>
      <c r="H12" s="607"/>
      <c r="I12" s="166">
        <f>F12+G12+H12</f>
        <v>2062523</v>
      </c>
      <c r="J12" s="167">
        <f>IF($I$26=0,0,I12/$I$26)</f>
        <v>0.29477997296486891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'[90]Sch B'!E12</f>
        <v>2077429</v>
      </c>
      <c r="D13" s="480">
        <f>'[90]Sch B'!G12</f>
        <v>0</v>
      </c>
      <c r="E13" s="480"/>
      <c r="F13" s="166">
        <f t="shared" ref="F13:F25" si="0">C13+D13+E13</f>
        <v>2077429</v>
      </c>
      <c r="G13" s="626">
        <v>568019</v>
      </c>
      <c r="H13" s="607"/>
      <c r="I13" s="166">
        <f t="shared" ref="I13:I25" si="1">F13+G13+H13</f>
        <v>2645448</v>
      </c>
      <c r="J13" s="167">
        <f>IF($I$26=0,0,I13/$I$26)</f>
        <v>0.37809279698697495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'[90]Sch B'!E13</f>
        <v>84813</v>
      </c>
      <c r="D14" s="480">
        <f>'[90]Sch B'!G13</f>
        <v>0</v>
      </c>
      <c r="E14" s="480"/>
      <c r="F14" s="166">
        <f t="shared" si="0"/>
        <v>84813</v>
      </c>
      <c r="G14" s="626"/>
      <c r="H14" s="607"/>
      <c r="I14" s="166">
        <f t="shared" si="1"/>
        <v>84813</v>
      </c>
      <c r="J14" s="167">
        <f>IF($I$26=0,0,I14/$I$26)</f>
        <v>1.2121646084465204E-2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'[90]Sch B'!E14</f>
        <v>0</v>
      </c>
      <c r="D15" s="480">
        <f>'[90]Sch B'!G14</f>
        <v>0</v>
      </c>
      <c r="E15" s="480"/>
      <c r="F15" s="166">
        <f t="shared" si="0"/>
        <v>0</v>
      </c>
      <c r="G15" s="626">
        <v>65060</v>
      </c>
      <c r="H15" s="607"/>
      <c r="I15" s="166">
        <f t="shared" si="1"/>
        <v>65060</v>
      </c>
      <c r="J15" s="167">
        <f>IF($I$26=0,0,I15/$I$26)</f>
        <v>9.2985072365711179E-3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'[90]Sch B'!E15</f>
        <v>3903065</v>
      </c>
      <c r="D16" s="480">
        <f>'[90]Sch B'!G15</f>
        <v>0</v>
      </c>
      <c r="E16" s="480"/>
      <c r="F16" s="166">
        <f t="shared" si="0"/>
        <v>3903065</v>
      </c>
      <c r="G16" s="626"/>
      <c r="H16" s="607"/>
      <c r="I16" s="166">
        <f>SUM(I12:I15)</f>
        <v>4857844</v>
      </c>
      <c r="J16" s="167">
        <f t="shared" ref="J16:J26" si="2">IF($I$26=0,0,I16/$I$26)</f>
        <v>0.69429292327288017</v>
      </c>
      <c r="K16" s="458"/>
      <c r="L16" s="333" t="s">
        <v>325</v>
      </c>
      <c r="M16" s="334">
        <f>I26</f>
        <v>6996822</v>
      </c>
      <c r="O16" s="324">
        <f>IFERROR(I16/I224,0)</f>
        <v>417.77124183006538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'[90]Sch B'!E20</f>
        <v>0</v>
      </c>
      <c r="D17" s="480">
        <f>'[90]Sch B'!G20</f>
        <v>0</v>
      </c>
      <c r="E17" s="480"/>
      <c r="F17" s="166">
        <f t="shared" si="0"/>
        <v>0</v>
      </c>
      <c r="G17" s="626"/>
      <c r="H17" s="607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6498943.5999999996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'[90]Sch B'!E26</f>
        <v>1039232</v>
      </c>
      <c r="D18" s="480">
        <f>'[90]Sch B'!G26</f>
        <v>0</v>
      </c>
      <c r="E18" s="480"/>
      <c r="F18" s="166">
        <f t="shared" si="0"/>
        <v>1039232</v>
      </c>
      <c r="G18" s="626"/>
      <c r="H18" s="607"/>
      <c r="I18" s="166">
        <f t="shared" si="1"/>
        <v>1039232</v>
      </c>
      <c r="J18" s="167">
        <f t="shared" si="2"/>
        <v>0.14852914651823357</v>
      </c>
      <c r="K18" s="458"/>
      <c r="L18" s="335" t="s">
        <v>327</v>
      </c>
      <c r="M18" s="336">
        <f>I233</f>
        <v>17931</v>
      </c>
      <c r="O18" s="324">
        <f t="shared" si="3"/>
        <v>463.73583221775993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'[90]Sch B'!E32</f>
        <v>440906</v>
      </c>
      <c r="D19" s="480">
        <f>'[90]Sch B'!G32</f>
        <v>0</v>
      </c>
      <c r="E19" s="480"/>
      <c r="F19" s="166">
        <f t="shared" si="0"/>
        <v>440906</v>
      </c>
      <c r="G19" s="626"/>
      <c r="H19" s="607"/>
      <c r="I19" s="166">
        <f t="shared" si="1"/>
        <v>440906</v>
      </c>
      <c r="J19" s="170">
        <f t="shared" si="2"/>
        <v>6.3015180320436903E-2</v>
      </c>
      <c r="K19" s="464"/>
      <c r="L19" s="335" t="s">
        <v>328</v>
      </c>
      <c r="M19" s="336">
        <f>I236</f>
        <v>90</v>
      </c>
      <c r="O19" s="324">
        <f t="shared" si="3"/>
        <v>548.39054726368158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'[90]Sch B'!E37</f>
        <v>0</v>
      </c>
      <c r="D20" s="480">
        <f>'[90]Sch B'!G37</f>
        <v>0</v>
      </c>
      <c r="E20" s="480"/>
      <c r="F20" s="166">
        <f t="shared" si="0"/>
        <v>0</v>
      </c>
      <c r="G20" s="626"/>
      <c r="H20" s="607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32850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'[90]Sch B'!E42</f>
        <v>648601</v>
      </c>
      <c r="D21" s="480">
        <f>'[90]Sch B'!G42</f>
        <v>0</v>
      </c>
      <c r="E21" s="480"/>
      <c r="F21" s="166">
        <f t="shared" si="0"/>
        <v>648601</v>
      </c>
      <c r="G21" s="626"/>
      <c r="H21" s="607"/>
      <c r="I21" s="166">
        <f t="shared" si="1"/>
        <v>648601</v>
      </c>
      <c r="J21" s="167">
        <f t="shared" si="2"/>
        <v>9.2699371228823602E-2</v>
      </c>
      <c r="K21" s="458"/>
      <c r="L21" s="337"/>
      <c r="M21" s="336"/>
      <c r="O21" s="324">
        <f t="shared" si="3"/>
        <v>199.63096337334565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'[90]Sch B'!E47</f>
        <v>0</v>
      </c>
      <c r="D22" s="480">
        <f>'[90]Sch B'!G47</f>
        <v>0</v>
      </c>
      <c r="E22" s="480"/>
      <c r="F22" s="166">
        <f t="shared" si="0"/>
        <v>0</v>
      </c>
      <c r="G22" s="626"/>
      <c r="H22" s="607"/>
      <c r="I22" s="166">
        <f t="shared" si="1"/>
        <v>0</v>
      </c>
      <c r="J22" s="167">
        <f t="shared" si="2"/>
        <v>0</v>
      </c>
      <c r="K22" s="458"/>
      <c r="L22" s="335" t="s">
        <v>148</v>
      </c>
      <c r="M22" s="336">
        <f>L213</f>
        <v>134645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'[90]Sch B'!E52</f>
        <v>0</v>
      </c>
      <c r="D23" s="480">
        <f>'[90]Sch B'!G52</f>
        <v>0</v>
      </c>
      <c r="E23" s="480"/>
      <c r="F23" s="166">
        <f t="shared" si="0"/>
        <v>0</v>
      </c>
      <c r="G23" s="626"/>
      <c r="H23" s="607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139265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'[90]Sch B'!E57</f>
        <v>0</v>
      </c>
      <c r="D24" s="480">
        <f>'[90]Sch B'!G57</f>
        <v>0</v>
      </c>
      <c r="E24" s="480"/>
      <c r="F24" s="166">
        <f t="shared" si="0"/>
        <v>0</v>
      </c>
      <c r="G24" s="626"/>
      <c r="H24" s="607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'[90]Sch B'!E72</f>
        <v>75299</v>
      </c>
      <c r="D25" s="480">
        <f>'[90]Sch B'!G72</f>
        <v>0</v>
      </c>
      <c r="E25" s="480"/>
      <c r="F25" s="166">
        <f t="shared" si="0"/>
        <v>75299</v>
      </c>
      <c r="G25" s="626">
        <v>-65060</v>
      </c>
      <c r="H25" s="607"/>
      <c r="I25" s="166">
        <f t="shared" si="1"/>
        <v>10239</v>
      </c>
      <c r="J25" s="167">
        <f t="shared" si="2"/>
        <v>1.4633786596257559E-3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6107103</v>
      </c>
      <c r="D26" s="480">
        <f t="shared" ref="D26:F26" si="4">SUM(D16:D25)</f>
        <v>0</v>
      </c>
      <c r="E26" s="480">
        <f t="shared" si="4"/>
        <v>0</v>
      </c>
      <c r="F26" s="166">
        <f t="shared" si="4"/>
        <v>6107103</v>
      </c>
      <c r="G26" s="166">
        <f>SUM(G12:G25)</f>
        <v>889719</v>
      </c>
      <c r="H26" s="166">
        <f>SUM(H12:H25)</f>
        <v>0</v>
      </c>
      <c r="I26" s="166">
        <f>SUM(I16:I25)</f>
        <v>6996822</v>
      </c>
      <c r="J26" s="167">
        <f t="shared" si="2"/>
        <v>1</v>
      </c>
      <c r="K26" s="458"/>
      <c r="L26" s="163"/>
      <c r="M26" s="163"/>
      <c r="O26" s="324">
        <f>IFERROR(I26/I233,0)</f>
        <v>390.20813116948301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'[90]Sch C'!D10</f>
        <v>106029</v>
      </c>
      <c r="D30" s="480">
        <f>'[90]Sch C'!F10</f>
        <v>0</v>
      </c>
      <c r="E30" s="480">
        <f>+'[90]Sch C'!H10</f>
        <v>0</v>
      </c>
      <c r="F30" s="166">
        <f t="shared" ref="F30:F65" si="5">C30+D30+E30</f>
        <v>106029</v>
      </c>
      <c r="G30" s="626"/>
      <c r="H30" s="607"/>
      <c r="I30" s="166">
        <f t="shared" ref="I30:I65" si="6">F30+G30+H30</f>
        <v>106029</v>
      </c>
      <c r="J30" s="167">
        <f>IF($I$213=0,0,I30/$I$213)</f>
        <v>1.6314805378523367E-2</v>
      </c>
      <c r="K30" s="458"/>
      <c r="L30" s="176">
        <v>1924</v>
      </c>
      <c r="M30" s="176">
        <v>2080</v>
      </c>
      <c r="O30" s="324">
        <f>I30/I$233</f>
        <v>5.9131671407060402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'[90]Sch C'!D11</f>
        <v>0</v>
      </c>
      <c r="D31" s="480">
        <f>'[90]Sch C'!F11</f>
        <v>0</v>
      </c>
      <c r="E31" s="480">
        <f>+'[90]Sch C'!H11</f>
        <v>0</v>
      </c>
      <c r="F31" s="166">
        <f t="shared" si="5"/>
        <v>0</v>
      </c>
      <c r="G31" s="626"/>
      <c r="H31" s="607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'[90]Sch C'!D12</f>
        <v>107131</v>
      </c>
      <c r="D32" s="480">
        <f>'[90]Sch C'!F12</f>
        <v>0</v>
      </c>
      <c r="E32" s="480">
        <f>+'[90]Sch C'!H12</f>
        <v>0</v>
      </c>
      <c r="F32" s="166">
        <f t="shared" si="5"/>
        <v>107131</v>
      </c>
      <c r="G32" s="626"/>
      <c r="H32" s="607"/>
      <c r="I32" s="166">
        <f t="shared" si="6"/>
        <v>107131</v>
      </c>
      <c r="J32" s="167">
        <f t="shared" si="7"/>
        <v>1.6484371398453129E-2</v>
      </c>
      <c r="K32" s="458"/>
      <c r="L32" s="176">
        <v>3934</v>
      </c>
      <c r="M32" s="176">
        <v>4215</v>
      </c>
      <c r="O32" s="324">
        <f t="shared" si="8"/>
        <v>5.9746249512018288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'[90]Sch C'!D13</f>
        <v>65237</v>
      </c>
      <c r="D33" s="480">
        <f>'[90]Sch C'!F13</f>
        <v>0</v>
      </c>
      <c r="E33" s="480">
        <f>+'[90]Sch C'!H13</f>
        <v>0</v>
      </c>
      <c r="F33" s="166">
        <f t="shared" si="5"/>
        <v>65237</v>
      </c>
      <c r="G33" s="626"/>
      <c r="H33" s="607"/>
      <c r="I33" s="166">
        <f t="shared" si="6"/>
        <v>65237</v>
      </c>
      <c r="J33" s="167">
        <f t="shared" si="7"/>
        <v>1.0038092960215874E-2</v>
      </c>
      <c r="K33" s="458"/>
      <c r="L33" s="163"/>
      <c r="M33" s="163"/>
      <c r="O33" s="324">
        <f t="shared" si="8"/>
        <v>3.6382243042775082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'[90]Sch C'!D14</f>
        <v>0</v>
      </c>
      <c r="D34" s="480">
        <f>'[90]Sch C'!F14</f>
        <v>0</v>
      </c>
      <c r="E34" s="480">
        <f>+'[90]Sch C'!H14</f>
        <v>0</v>
      </c>
      <c r="F34" s="166">
        <f t="shared" si="5"/>
        <v>0</v>
      </c>
      <c r="G34" s="626"/>
      <c r="H34" s="607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'[90]Sch C'!D15</f>
        <v>263561</v>
      </c>
      <c r="D35" s="480">
        <f>'[90]Sch C'!F15</f>
        <v>0</v>
      </c>
      <c r="E35" s="480">
        <f>+'[90]Sch C'!H15</f>
        <v>0</v>
      </c>
      <c r="F35" s="166">
        <f t="shared" si="5"/>
        <v>263561</v>
      </c>
      <c r="G35" s="626"/>
      <c r="H35" s="607">
        <v>-263561</v>
      </c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'[90]Sch C'!D16</f>
        <v>0</v>
      </c>
      <c r="D36" s="480">
        <f>'[90]Sch C'!F16</f>
        <v>0</v>
      </c>
      <c r="E36" s="480">
        <f>+'[90]Sch C'!H16</f>
        <v>0</v>
      </c>
      <c r="F36" s="166">
        <f t="shared" si="5"/>
        <v>0</v>
      </c>
      <c r="G36" s="626"/>
      <c r="H36" s="607">
        <v>500442</v>
      </c>
      <c r="I36" s="166">
        <f t="shared" si="6"/>
        <v>500442</v>
      </c>
      <c r="J36" s="167">
        <f t="shared" si="7"/>
        <v>7.7003591783747757E-2</v>
      </c>
      <c r="K36" s="458"/>
      <c r="L36" s="163"/>
      <c r="M36" s="163"/>
      <c r="O36" s="324">
        <f t="shared" si="8"/>
        <v>27.909319056382802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'[90]Sch C'!D17</f>
        <v>1892</v>
      </c>
      <c r="D37" s="480">
        <f>'[90]Sch C'!F17</f>
        <v>-1892</v>
      </c>
      <c r="E37" s="480">
        <f>+'[90]Sch C'!H17</f>
        <v>0</v>
      </c>
      <c r="F37" s="166">
        <f t="shared" si="5"/>
        <v>0</v>
      </c>
      <c r="G37" s="626"/>
      <c r="H37" s="607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'[90]Sch C'!D18</f>
        <v>14979</v>
      </c>
      <c r="D38" s="480">
        <f>'[90]Sch C'!F18</f>
        <v>0</v>
      </c>
      <c r="E38" s="480">
        <f>+'[90]Sch C'!H18</f>
        <v>0</v>
      </c>
      <c r="F38" s="166">
        <f t="shared" si="5"/>
        <v>14979</v>
      </c>
      <c r="G38" s="626"/>
      <c r="H38" s="607"/>
      <c r="I38" s="166">
        <f t="shared" si="6"/>
        <v>14979</v>
      </c>
      <c r="J38" s="167">
        <f t="shared" si="7"/>
        <v>2.3048361275207867E-3</v>
      </c>
      <c r="K38" s="458"/>
      <c r="L38" s="163"/>
      <c r="M38" s="163"/>
      <c r="O38" s="324">
        <f t="shared" si="8"/>
        <v>0.8353689141709888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'[90]Sch C'!D19</f>
        <v>10326</v>
      </c>
      <c r="D39" s="480">
        <f>'[90]Sch C'!F19</f>
        <v>0</v>
      </c>
      <c r="E39" s="480">
        <f>+'[90]Sch C'!H19</f>
        <v>0</v>
      </c>
      <c r="F39" s="166">
        <f t="shared" si="5"/>
        <v>10326</v>
      </c>
      <c r="G39" s="626"/>
      <c r="H39" s="607"/>
      <c r="I39" s="166">
        <f t="shared" si="6"/>
        <v>10326</v>
      </c>
      <c r="J39" s="167">
        <f t="shared" si="7"/>
        <v>1.5888736132438511E-3</v>
      </c>
      <c r="K39" s="458"/>
      <c r="L39" s="163"/>
      <c r="M39" s="163"/>
      <c r="O39" s="324">
        <f t="shared" si="8"/>
        <v>0.57587418437343152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'[90]Sch C'!D20</f>
        <v>28562</v>
      </c>
      <c r="D40" s="480">
        <f>'[90]Sch C'!F20</f>
        <v>0</v>
      </c>
      <c r="E40" s="480">
        <f>+'[90]Sch C'!H20</f>
        <v>0</v>
      </c>
      <c r="F40" s="166">
        <f t="shared" si="5"/>
        <v>28562</v>
      </c>
      <c r="G40" s="626"/>
      <c r="H40" s="607"/>
      <c r="I40" s="166">
        <f t="shared" si="6"/>
        <v>28562</v>
      </c>
      <c r="J40" s="167">
        <f t="shared" si="7"/>
        <v>4.394868113642347E-3</v>
      </c>
      <c r="K40" s="458"/>
      <c r="L40" s="163"/>
      <c r="M40" s="163"/>
      <c r="O40" s="324">
        <f t="shared" si="8"/>
        <v>1.5928838324689085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'[90]Sch C'!D21</f>
        <v>0</v>
      </c>
      <c r="D41" s="480">
        <f>'[90]Sch C'!F21</f>
        <v>0</v>
      </c>
      <c r="E41" s="480">
        <f>+'[90]Sch C'!H21</f>
        <v>0</v>
      </c>
      <c r="F41" s="166">
        <f t="shared" si="5"/>
        <v>0</v>
      </c>
      <c r="G41" s="626">
        <v>334</v>
      </c>
      <c r="H41" s="607"/>
      <c r="I41" s="166">
        <f t="shared" si="6"/>
        <v>334</v>
      </c>
      <c r="J41" s="167">
        <f t="shared" si="7"/>
        <v>5.1392967927895236E-5</v>
      </c>
      <c r="K41" s="458"/>
      <c r="L41" s="163"/>
      <c r="M41" s="163"/>
      <c r="O41" s="324">
        <f t="shared" si="8"/>
        <v>1.862695889799788E-2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'[90]Sch C'!D22</f>
        <v>0</v>
      </c>
      <c r="D42" s="480">
        <f>'[90]Sch C'!F22</f>
        <v>0</v>
      </c>
      <c r="E42" s="480">
        <f>+'[90]Sch C'!H22</f>
        <v>0</v>
      </c>
      <c r="F42" s="166">
        <f t="shared" si="5"/>
        <v>0</v>
      </c>
      <c r="G42" s="626"/>
      <c r="H42" s="607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'[90]Sch C'!D23</f>
        <v>16626</v>
      </c>
      <c r="D43" s="480">
        <f>'[90]Sch C'!F23</f>
        <v>0</v>
      </c>
      <c r="E43" s="480">
        <f>+'[90]Sch C'!H23</f>
        <v>0</v>
      </c>
      <c r="F43" s="166">
        <f t="shared" si="5"/>
        <v>16626</v>
      </c>
      <c r="G43" s="626"/>
      <c r="H43" s="607"/>
      <c r="I43" s="166">
        <f t="shared" si="6"/>
        <v>16626</v>
      </c>
      <c r="J43" s="167">
        <f t="shared" si="7"/>
        <v>2.5582619304466655E-3</v>
      </c>
      <c r="K43" s="458"/>
      <c r="L43" s="163"/>
      <c r="M43" s="163"/>
      <c r="O43" s="324">
        <f t="shared" si="8"/>
        <v>0.92722101388656519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'[90]Sch C'!D24</f>
        <v>0</v>
      </c>
      <c r="D44" s="480">
        <f>'[90]Sch C'!F24</f>
        <v>0</v>
      </c>
      <c r="E44" s="480">
        <f>+'[90]Sch C'!H24</f>
        <v>0</v>
      </c>
      <c r="F44" s="166">
        <f t="shared" si="5"/>
        <v>0</v>
      </c>
      <c r="G44" s="626"/>
      <c r="H44" s="607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'[90]Sch C'!D25</f>
        <v>0</v>
      </c>
      <c r="D45" s="480">
        <f>'[90]Sch C'!F25</f>
        <v>0</v>
      </c>
      <c r="E45" s="480">
        <f>+'[90]Sch C'!H25</f>
        <v>0</v>
      </c>
      <c r="F45" s="166">
        <f t="shared" si="5"/>
        <v>0</v>
      </c>
      <c r="G45" s="626"/>
      <c r="H45" s="607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'[90]Sch C'!D26</f>
        <v>0</v>
      </c>
      <c r="D46" s="480">
        <f>'[90]Sch C'!F26</f>
        <v>0</v>
      </c>
      <c r="E46" s="480">
        <f>+'[90]Sch C'!H26</f>
        <v>0</v>
      </c>
      <c r="F46" s="166">
        <f t="shared" si="5"/>
        <v>0</v>
      </c>
      <c r="G46" s="626">
        <v>321700</v>
      </c>
      <c r="H46" s="607"/>
      <c r="I46" s="166">
        <f t="shared" si="6"/>
        <v>321700</v>
      </c>
      <c r="J46" s="167">
        <f t="shared" si="7"/>
        <v>4.9500352641927842E-2</v>
      </c>
      <c r="K46" s="458"/>
      <c r="L46" s="163"/>
      <c r="M46" s="163"/>
      <c r="O46" s="324">
        <f t="shared" si="8"/>
        <v>17.940996040377001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'[90]Sch C'!D27</f>
        <v>0</v>
      </c>
      <c r="D47" s="480">
        <f>'[90]Sch C'!F27</f>
        <v>0</v>
      </c>
      <c r="E47" s="480">
        <f>+'[90]Sch C'!H27</f>
        <v>0</v>
      </c>
      <c r="F47" s="166">
        <f t="shared" si="5"/>
        <v>0</v>
      </c>
      <c r="G47" s="626"/>
      <c r="H47" s="607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'[90]Sch C'!D28</f>
        <v>0</v>
      </c>
      <c r="D48" s="480">
        <f>'[90]Sch C'!F28</f>
        <v>0</v>
      </c>
      <c r="E48" s="480">
        <f>+'[90]Sch C'!H28</f>
        <v>0</v>
      </c>
      <c r="F48" s="166">
        <f t="shared" si="5"/>
        <v>0</v>
      </c>
      <c r="G48" s="626"/>
      <c r="H48" s="607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'[90]Sch C'!D29</f>
        <v>8943</v>
      </c>
      <c r="D49" s="480">
        <f>'[90]Sch C'!F29</f>
        <v>-8943</v>
      </c>
      <c r="E49" s="480">
        <f>+'[90]Sch C'!H29</f>
        <v>0</v>
      </c>
      <c r="F49" s="166">
        <f t="shared" si="5"/>
        <v>0</v>
      </c>
      <c r="G49" s="626"/>
      <c r="H49" s="607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'[90]Sch C'!D30</f>
        <v>0</v>
      </c>
      <c r="D50" s="480">
        <f>'[90]Sch C'!F30</f>
        <v>0</v>
      </c>
      <c r="E50" s="480">
        <f>+'[90]Sch C'!H30</f>
        <v>0</v>
      </c>
      <c r="F50" s="166">
        <f t="shared" si="5"/>
        <v>0</v>
      </c>
      <c r="G50" s="626"/>
      <c r="H50" s="607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'[90]Sch C'!D31</f>
        <v>0</v>
      </c>
      <c r="D51" s="480">
        <f>'[90]Sch C'!F31</f>
        <v>0</v>
      </c>
      <c r="E51" s="480">
        <f>+'[90]Sch C'!H31</f>
        <v>0</v>
      </c>
      <c r="F51" s="166">
        <f t="shared" si="5"/>
        <v>0</v>
      </c>
      <c r="G51" s="626">
        <v>29372</v>
      </c>
      <c r="H51" s="607"/>
      <c r="I51" s="166">
        <f t="shared" si="6"/>
        <v>29372</v>
      </c>
      <c r="J51" s="167">
        <f t="shared" si="7"/>
        <v>4.5195037544255657E-3</v>
      </c>
      <c r="K51" s="458"/>
      <c r="L51" s="163"/>
      <c r="M51" s="163"/>
      <c r="O51" s="324">
        <f t="shared" si="8"/>
        <v>1.6380569962634544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'[90]Sch C'!D32</f>
        <v>39971</v>
      </c>
      <c r="D52" s="480">
        <f>'[90]Sch C'!F32</f>
        <v>0</v>
      </c>
      <c r="E52" s="480">
        <f>+'[90]Sch C'!H32</f>
        <v>0</v>
      </c>
      <c r="F52" s="166">
        <f t="shared" si="5"/>
        <v>39971</v>
      </c>
      <c r="G52" s="626"/>
      <c r="H52" s="607"/>
      <c r="I52" s="166">
        <f t="shared" si="6"/>
        <v>39971</v>
      </c>
      <c r="J52" s="167">
        <f t="shared" si="7"/>
        <v>6.1503841947482055E-3</v>
      </c>
      <c r="K52" s="458"/>
      <c r="L52" s="163"/>
      <c r="M52" s="163"/>
      <c r="O52" s="324">
        <f t="shared" si="8"/>
        <v>2.2291562099157884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'[90]Sch C'!D33</f>
        <v>0</v>
      </c>
      <c r="D53" s="480">
        <f>'[90]Sch C'!F33</f>
        <v>0</v>
      </c>
      <c r="E53" s="480">
        <f>+'[90]Sch C'!H33</f>
        <v>0</v>
      </c>
      <c r="F53" s="166">
        <f t="shared" si="5"/>
        <v>0</v>
      </c>
      <c r="G53" s="626"/>
      <c r="H53" s="607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'[90]Sch C'!D34</f>
        <v>0</v>
      </c>
      <c r="D54" s="480">
        <f>'[90]Sch C'!F34</f>
        <v>0</v>
      </c>
      <c r="E54" s="480">
        <f>+'[90]Sch C'!H34</f>
        <v>0</v>
      </c>
      <c r="F54" s="166">
        <f t="shared" si="5"/>
        <v>0</v>
      </c>
      <c r="G54" s="626"/>
      <c r="H54" s="607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'[90]Sch C'!D35</f>
        <v>0</v>
      </c>
      <c r="D55" s="480">
        <f>'[90]Sch C'!F35</f>
        <v>0</v>
      </c>
      <c r="E55" s="480">
        <f>+'[90]Sch C'!H35</f>
        <v>0</v>
      </c>
      <c r="F55" s="166">
        <f t="shared" si="5"/>
        <v>0</v>
      </c>
      <c r="G55" s="626"/>
      <c r="H55" s="607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'[90]Sch C'!D36</f>
        <v>0</v>
      </c>
      <c r="D56" s="480">
        <f>'[90]Sch C'!F36</f>
        <v>0</v>
      </c>
      <c r="E56" s="480">
        <f>+'[90]Sch C'!H36</f>
        <v>0</v>
      </c>
      <c r="F56" s="166">
        <f t="shared" si="5"/>
        <v>0</v>
      </c>
      <c r="G56" s="626">
        <v>31316</v>
      </c>
      <c r="H56" s="607"/>
      <c r="I56" s="166">
        <f t="shared" si="6"/>
        <v>31316</v>
      </c>
      <c r="J56" s="167">
        <f t="shared" si="7"/>
        <v>4.8186292923052916E-3</v>
      </c>
      <c r="K56" s="458"/>
      <c r="L56" s="176">
        <v>0</v>
      </c>
      <c r="M56" s="176">
        <v>0</v>
      </c>
      <c r="O56" s="324">
        <f t="shared" si="8"/>
        <v>1.7464725893703641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'[90]Sch C'!D37</f>
        <v>0</v>
      </c>
      <c r="D57" s="480">
        <f>'[90]Sch C'!F37</f>
        <v>0</v>
      </c>
      <c r="E57" s="480">
        <f>+'[90]Sch C'!H37</f>
        <v>0</v>
      </c>
      <c r="F57" s="166">
        <f t="shared" si="5"/>
        <v>0</v>
      </c>
      <c r="G57" s="626">
        <v>8217</v>
      </c>
      <c r="H57" s="607"/>
      <c r="I57" s="166">
        <f t="shared" si="6"/>
        <v>8217</v>
      </c>
      <c r="J57" s="167">
        <f t="shared" si="7"/>
        <v>1.2643593337230993E-3</v>
      </c>
      <c r="K57" s="458"/>
      <c r="L57" s="163"/>
      <c r="M57" s="163"/>
      <c r="O57" s="324">
        <f t="shared" si="8"/>
        <v>0.45825665049355863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'[90]Sch C'!D38</f>
        <v>0</v>
      </c>
      <c r="D58" s="480">
        <f>'[90]Sch C'!F38</f>
        <v>0</v>
      </c>
      <c r="E58" s="480">
        <f>+'[90]Sch C'!H38</f>
        <v>0</v>
      </c>
      <c r="F58" s="166">
        <f t="shared" si="5"/>
        <v>0</v>
      </c>
      <c r="G58" s="626"/>
      <c r="H58" s="607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'[90]Sch C'!D39</f>
        <v>0</v>
      </c>
      <c r="D59" s="480">
        <f>'[90]Sch C'!F39</f>
        <v>0</v>
      </c>
      <c r="E59" s="480">
        <f>+'[90]Sch C'!H39</f>
        <v>0</v>
      </c>
      <c r="F59" s="166">
        <f t="shared" si="5"/>
        <v>0</v>
      </c>
      <c r="G59" s="626"/>
      <c r="H59" s="607"/>
      <c r="I59" s="166">
        <f t="shared" si="6"/>
        <v>0</v>
      </c>
      <c r="J59" s="167">
        <f t="shared" si="7"/>
        <v>0</v>
      </c>
      <c r="K59" s="458"/>
      <c r="L59" s="163"/>
      <c r="M59" s="163"/>
      <c r="O59" s="324">
        <f t="shared" si="8"/>
        <v>0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'[90]Sch C'!D40</f>
        <v>0</v>
      </c>
      <c r="D60" s="480">
        <f>'[90]Sch C'!F40</f>
        <v>0</v>
      </c>
      <c r="E60" s="480">
        <f>+'[90]Sch C'!H40</f>
        <v>0</v>
      </c>
      <c r="F60" s="166">
        <f t="shared" si="5"/>
        <v>0</v>
      </c>
      <c r="G60" s="626"/>
      <c r="H60" s="607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'[90]Sch C'!D41</f>
        <v>96119</v>
      </c>
      <c r="D61" s="480">
        <f>'[90]Sch C'!F41</f>
        <v>0</v>
      </c>
      <c r="E61" s="480">
        <f>+'[90]Sch C'!H41</f>
        <v>0</v>
      </c>
      <c r="F61" s="166">
        <f t="shared" si="5"/>
        <v>96119</v>
      </c>
      <c r="G61" s="626"/>
      <c r="H61" s="607">
        <v>-37069</v>
      </c>
      <c r="I61" s="166">
        <f t="shared" si="6"/>
        <v>59050</v>
      </c>
      <c r="J61" s="167">
        <f t="shared" si="7"/>
        <v>9.0860920842581253E-3</v>
      </c>
      <c r="K61" s="458"/>
      <c r="L61" s="163"/>
      <c r="M61" s="163"/>
      <c r="O61" s="324">
        <f t="shared" si="8"/>
        <v>3.2931794099604037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'[90]Sch C'!D42</f>
        <v>299</v>
      </c>
      <c r="D62" s="480">
        <f>'[90]Sch C'!F42</f>
        <v>0</v>
      </c>
      <c r="E62" s="480">
        <f>+'[90]Sch C'!H42</f>
        <v>0</v>
      </c>
      <c r="F62" s="166">
        <f t="shared" si="5"/>
        <v>299</v>
      </c>
      <c r="G62" s="626"/>
      <c r="H62" s="607"/>
      <c r="I62" s="166">
        <f t="shared" si="6"/>
        <v>299</v>
      </c>
      <c r="J62" s="167">
        <f t="shared" si="7"/>
        <v>4.600747727676849E-5</v>
      </c>
      <c r="K62" s="458"/>
      <c r="L62" s="163"/>
      <c r="M62" s="163"/>
      <c r="O62" s="324">
        <f t="shared" si="8"/>
        <v>1.6675032067369359E-2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'[90]Sch C'!D43</f>
        <v>9636</v>
      </c>
      <c r="D63" s="480">
        <f>'[90]Sch C'!F43</f>
        <v>-9636</v>
      </c>
      <c r="E63" s="480">
        <f>+'[90]Sch C'!H43</f>
        <v>0</v>
      </c>
      <c r="F63" s="166">
        <f t="shared" si="5"/>
        <v>0</v>
      </c>
      <c r="G63" s="626"/>
      <c r="H63" s="607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'[90]Sch C'!D44</f>
        <v>0</v>
      </c>
      <c r="D64" s="480">
        <f>'[90]Sch C'!F44</f>
        <v>0</v>
      </c>
      <c r="E64" s="480">
        <f>+'[90]Sch C'!H44</f>
        <v>0</v>
      </c>
      <c r="F64" s="166">
        <f t="shared" si="5"/>
        <v>0</v>
      </c>
      <c r="G64" s="626"/>
      <c r="H64" s="607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'[90]Sch C'!D45</f>
        <v>536933</v>
      </c>
      <c r="D65" s="480">
        <f>'[90]Sch C'!F45</f>
        <v>0</v>
      </c>
      <c r="E65" s="480">
        <f>+'[90]Sch C'!H45</f>
        <v>0</v>
      </c>
      <c r="F65" s="166">
        <f t="shared" si="5"/>
        <v>536933</v>
      </c>
      <c r="G65" s="626">
        <v>-536933</v>
      </c>
      <c r="H65" s="607"/>
      <c r="I65" s="166">
        <f t="shared" si="6"/>
        <v>0</v>
      </c>
      <c r="J65" s="167">
        <f t="shared" si="7"/>
        <v>0</v>
      </c>
      <c r="K65" s="458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1306244</v>
      </c>
      <c r="D66" s="480">
        <f t="shared" si="9"/>
        <v>-20471</v>
      </c>
      <c r="E66" s="480">
        <f t="shared" si="9"/>
        <v>0</v>
      </c>
      <c r="F66" s="166">
        <f t="shared" ref="F66:I66" si="10">SUM(F30:F65)</f>
        <v>1285773</v>
      </c>
      <c r="G66" s="166">
        <f t="shared" si="10"/>
        <v>-145994</v>
      </c>
      <c r="H66" s="166">
        <f t="shared" si="10"/>
        <v>199812</v>
      </c>
      <c r="I66" s="166">
        <f t="shared" si="10"/>
        <v>1339591</v>
      </c>
      <c r="J66" s="178">
        <f t="shared" si="7"/>
        <v>0.20612442305238657</v>
      </c>
      <c r="K66" s="465"/>
      <c r="L66" s="163"/>
      <c r="M66" s="163"/>
      <c r="O66" s="329">
        <f>I66/I$233</f>
        <v>74.708103284814015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'[90]Sch C'!D57</f>
        <v>788400</v>
      </c>
      <c r="D69" s="480">
        <f>'[90]Sch C'!F57</f>
        <v>0</v>
      </c>
      <c r="E69" s="480">
        <f>+'[90]Sch C'!H57</f>
        <v>0</v>
      </c>
      <c r="F69" s="166">
        <f>C69+D69+E69</f>
        <v>788400</v>
      </c>
      <c r="G69" s="626"/>
      <c r="H69" s="607">
        <v>-788400</v>
      </c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'[90]Sch C'!D58</f>
        <v>0</v>
      </c>
      <c r="D70" s="480">
        <f>'[90]Sch C'!F58</f>
        <v>0</v>
      </c>
      <c r="E70" s="480">
        <f>+'[90]Sch C'!H58</f>
        <v>0</v>
      </c>
      <c r="F70" s="166">
        <f t="shared" ref="F70:F83" si="13">C70+D70+E70</f>
        <v>0</v>
      </c>
      <c r="G70" s="626"/>
      <c r="H70" s="607">
        <v>646501</v>
      </c>
      <c r="I70" s="166">
        <f t="shared" ref="I70:I83" si="14">F70+G70+H70</f>
        <v>646501</v>
      </c>
      <c r="J70" s="167">
        <f t="shared" si="11"/>
        <v>9.9477859755545503E-2</v>
      </c>
      <c r="K70" s="458"/>
      <c r="L70" s="182"/>
      <c r="M70" s="163"/>
      <c r="O70" s="324">
        <f t="shared" si="12"/>
        <v>36.054932797947686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'[90]Sch C'!D59</f>
        <v>0</v>
      </c>
      <c r="D71" s="480">
        <f>'[90]Sch C'!F59</f>
        <v>0</v>
      </c>
      <c r="E71" s="480">
        <f>+'[90]Sch C'!H59</f>
        <v>0</v>
      </c>
      <c r="F71" s="166">
        <f t="shared" si="13"/>
        <v>0</v>
      </c>
      <c r="G71" s="626"/>
      <c r="H71" s="607">
        <v>470878</v>
      </c>
      <c r="I71" s="166">
        <f t="shared" si="14"/>
        <v>470878</v>
      </c>
      <c r="J71" s="167">
        <f t="shared" si="11"/>
        <v>7.2454544766321724E-2</v>
      </c>
      <c r="K71" s="458"/>
      <c r="L71" s="182"/>
      <c r="M71" s="163"/>
      <c r="O71" s="324">
        <f t="shared" si="12"/>
        <v>26.260554347219898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'[90]Sch C'!D60</f>
        <v>0</v>
      </c>
      <c r="D72" s="480">
        <f>'[90]Sch C'!F60</f>
        <v>0</v>
      </c>
      <c r="E72" s="480">
        <f>+'[90]Sch C'!H60</f>
        <v>0</v>
      </c>
      <c r="F72" s="166">
        <f t="shared" si="13"/>
        <v>0</v>
      </c>
      <c r="G72" s="626"/>
      <c r="H72" s="607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'[90]Sch C'!D61</f>
        <v>0</v>
      </c>
      <c r="D73" s="480">
        <f>'[90]Sch C'!F61</f>
        <v>0</v>
      </c>
      <c r="E73" s="480">
        <f>+'[90]Sch C'!H61</f>
        <v>0</v>
      </c>
      <c r="F73" s="166">
        <f t="shared" si="13"/>
        <v>0</v>
      </c>
      <c r="G73" s="626"/>
      <c r="H73" s="607"/>
      <c r="I73" s="166">
        <f t="shared" si="14"/>
        <v>0</v>
      </c>
      <c r="J73" s="167">
        <f t="shared" si="11"/>
        <v>0</v>
      </c>
      <c r="K73" s="458"/>
      <c r="L73" s="185"/>
      <c r="M73" s="163"/>
      <c r="O73" s="324">
        <f t="shared" si="12"/>
        <v>0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'[90]Sch C'!D62</f>
        <v>0</v>
      </c>
      <c r="D74" s="480">
        <f>'[90]Sch C'!F62</f>
        <v>0</v>
      </c>
      <c r="E74" s="480">
        <f>+'[90]Sch C'!H62</f>
        <v>0</v>
      </c>
      <c r="F74" s="166">
        <f t="shared" si="13"/>
        <v>0</v>
      </c>
      <c r="G74" s="626"/>
      <c r="H74" s="607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'[90]Sch C'!D63</f>
        <v>0</v>
      </c>
      <c r="D75" s="480">
        <f>'[90]Sch C'!F63</f>
        <v>0</v>
      </c>
      <c r="E75" s="480">
        <f>+'[90]Sch C'!H63</f>
        <v>0</v>
      </c>
      <c r="F75" s="166">
        <f t="shared" si="13"/>
        <v>0</v>
      </c>
      <c r="G75" s="626"/>
      <c r="H75" s="607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'[90]Sch C'!D64</f>
        <v>0</v>
      </c>
      <c r="D76" s="480">
        <f>'[90]Sch C'!F64</f>
        <v>0</v>
      </c>
      <c r="E76" s="480">
        <f>+'[90]Sch C'!H64</f>
        <v>0</v>
      </c>
      <c r="F76" s="166">
        <f t="shared" si="13"/>
        <v>0</v>
      </c>
      <c r="G76" s="626"/>
      <c r="H76" s="607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'[90]Sch C'!D65</f>
        <v>0</v>
      </c>
      <c r="D77" s="480">
        <f>'[90]Sch C'!F65</f>
        <v>0</v>
      </c>
      <c r="E77" s="480">
        <f>+'[90]Sch C'!H65</f>
        <v>0</v>
      </c>
      <c r="F77" s="166">
        <f t="shared" si="13"/>
        <v>0</v>
      </c>
      <c r="G77" s="626"/>
      <c r="H77" s="607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'[90]Sch C'!D66</f>
        <v>0</v>
      </c>
      <c r="D78" s="480">
        <f>'[90]Sch C'!F66</f>
        <v>0</v>
      </c>
      <c r="E78" s="480">
        <f>+'[90]Sch C'!H66</f>
        <v>0</v>
      </c>
      <c r="F78" s="166">
        <f t="shared" si="13"/>
        <v>0</v>
      </c>
      <c r="G78" s="626"/>
      <c r="H78" s="607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'[90]Sch C'!D67</f>
        <v>0</v>
      </c>
      <c r="D79" s="480">
        <f>'[90]Sch C'!F67</f>
        <v>0</v>
      </c>
      <c r="E79" s="480">
        <f>+'[90]Sch C'!H67</f>
        <v>0</v>
      </c>
      <c r="F79" s="166">
        <f t="shared" si="13"/>
        <v>0</v>
      </c>
      <c r="G79" s="626"/>
      <c r="H79" s="607">
        <v>69620</v>
      </c>
      <c r="I79" s="166">
        <f t="shared" si="14"/>
        <v>69620</v>
      </c>
      <c r="J79" s="167">
        <f t="shared" si="11"/>
        <v>1.0712510260898403E-2</v>
      </c>
      <c r="K79" s="458"/>
      <c r="L79" s="187"/>
      <c r="M79" s="163"/>
      <c r="O79" s="324">
        <f t="shared" si="12"/>
        <v>3.882661312810217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'[90]Sch C'!D68</f>
        <v>0</v>
      </c>
      <c r="D80" s="480">
        <f>'[90]Sch C'!F68</f>
        <v>0</v>
      </c>
      <c r="E80" s="480">
        <f>+'[90]Sch C'!H68</f>
        <v>0</v>
      </c>
      <c r="F80" s="166">
        <f t="shared" si="13"/>
        <v>0</v>
      </c>
      <c r="G80" s="626"/>
      <c r="H80" s="607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'[90]Sch C'!D69</f>
        <v>0</v>
      </c>
      <c r="D81" s="480">
        <f>'[90]Sch C'!F69</f>
        <v>0</v>
      </c>
      <c r="E81" s="480">
        <f>+'[90]Sch C'!H69</f>
        <v>0</v>
      </c>
      <c r="F81" s="166">
        <f t="shared" si="13"/>
        <v>0</v>
      </c>
      <c r="G81" s="626"/>
      <c r="H81" s="607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'[90]Sch C'!D70</f>
        <v>0</v>
      </c>
      <c r="D82" s="480">
        <f>'[90]Sch C'!F70</f>
        <v>0</v>
      </c>
      <c r="E82" s="480">
        <f>+'[90]Sch C'!H70</f>
        <v>0</v>
      </c>
      <c r="F82" s="166">
        <f t="shared" si="13"/>
        <v>0</v>
      </c>
      <c r="G82" s="626"/>
      <c r="H82" s="607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'[90]Sch C'!D71</f>
        <v>0</v>
      </c>
      <c r="D83" s="480">
        <f>'[90]Sch C'!F71</f>
        <v>0</v>
      </c>
      <c r="E83" s="480">
        <f>+'[90]Sch C'!H71</f>
        <v>0</v>
      </c>
      <c r="F83" s="166">
        <f t="shared" si="13"/>
        <v>0</v>
      </c>
      <c r="G83" s="626"/>
      <c r="H83" s="607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788400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788400</v>
      </c>
      <c r="G84" s="166">
        <f t="shared" si="16"/>
        <v>0</v>
      </c>
      <c r="H84" s="166">
        <f t="shared" si="16"/>
        <v>398599</v>
      </c>
      <c r="I84" s="166">
        <f t="shared" si="16"/>
        <v>1186999</v>
      </c>
      <c r="J84" s="167">
        <f t="shared" si="11"/>
        <v>0.18264491478276562</v>
      </c>
      <c r="K84" s="458"/>
      <c r="L84" s="187"/>
      <c r="M84" s="163"/>
      <c r="O84" s="324">
        <f t="shared" si="12"/>
        <v>66.198148457977808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'[90]Sch C'!D75</f>
        <v>29209</v>
      </c>
      <c r="D87" s="480">
        <f>'[90]Sch C'!F75</f>
        <v>0</v>
      </c>
      <c r="E87" s="480">
        <f>+'[90]Sch C'!H75</f>
        <v>0</v>
      </c>
      <c r="F87" s="166">
        <f t="shared" ref="F87:F97" si="17">C87+D87+E87</f>
        <v>29209</v>
      </c>
      <c r="G87" s="626"/>
      <c r="H87" s="607"/>
      <c r="I87" s="166">
        <f t="shared" ref="I87:I97" si="18">F87+G87+H87</f>
        <v>29209</v>
      </c>
      <c r="J87" s="167">
        <f t="shared" ref="J87:J98" si="19">IF($I$213=0,0,I87/$I$213)</f>
        <v>4.4944227551074615E-3</v>
      </c>
      <c r="K87" s="458"/>
      <c r="L87" s="176">
        <v>1626</v>
      </c>
      <c r="M87" s="176">
        <v>1748</v>
      </c>
      <c r="O87" s="324">
        <f t="shared" ref="O87:O97" si="20">I87/I$233</f>
        <v>1.6289665941665272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'[90]Sch C'!D76</f>
        <v>19498</v>
      </c>
      <c r="D88" s="480">
        <f>'[90]Sch C'!F76</f>
        <v>0</v>
      </c>
      <c r="E88" s="480">
        <f>+'[90]Sch C'!H76</f>
        <v>0</v>
      </c>
      <c r="F88" s="166">
        <f t="shared" si="17"/>
        <v>19498</v>
      </c>
      <c r="G88" s="626"/>
      <c r="H88" s="607"/>
      <c r="I88" s="166">
        <f t="shared" si="18"/>
        <v>19498</v>
      </c>
      <c r="J88" s="167">
        <f t="shared" si="19"/>
        <v>3.00017990616198E-3</v>
      </c>
      <c r="K88" s="458"/>
      <c r="L88" s="163"/>
      <c r="M88" s="163"/>
      <c r="O88" s="324">
        <f t="shared" si="20"/>
        <v>1.0873905526741399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'[90]Sch C'!D77</f>
        <v>5655</v>
      </c>
      <c r="D89" s="480">
        <f>'[90]Sch C'!F77</f>
        <v>0</v>
      </c>
      <c r="E89" s="480">
        <f>+'[90]Sch C'!H77</f>
        <v>0</v>
      </c>
      <c r="F89" s="166">
        <f t="shared" si="17"/>
        <v>5655</v>
      </c>
      <c r="G89" s="626"/>
      <c r="H89" s="607"/>
      <c r="I89" s="166">
        <f t="shared" si="18"/>
        <v>5655</v>
      </c>
      <c r="J89" s="167">
        <f t="shared" si="19"/>
        <v>8.7014141806062144E-4</v>
      </c>
      <c r="K89" s="458"/>
      <c r="L89" s="163"/>
      <c r="M89" s="163"/>
      <c r="O89" s="324">
        <f t="shared" si="20"/>
        <v>0.31537560649155094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'[90]Sch C'!D78</f>
        <v>0</v>
      </c>
      <c r="D90" s="480">
        <f>'[90]Sch C'!F78</f>
        <v>0</v>
      </c>
      <c r="E90" s="480">
        <f>+'[90]Sch C'!H78</f>
        <v>0</v>
      </c>
      <c r="F90" s="166">
        <f t="shared" si="17"/>
        <v>0</v>
      </c>
      <c r="G90" s="626"/>
      <c r="H90" s="607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'[90]Sch C'!D79</f>
        <v>829</v>
      </c>
      <c r="D91" s="480">
        <f>'[90]Sch C'!F79</f>
        <v>0</v>
      </c>
      <c r="E91" s="480">
        <f>+'[90]Sch C'!H79</f>
        <v>0</v>
      </c>
      <c r="F91" s="166">
        <f t="shared" si="17"/>
        <v>829</v>
      </c>
      <c r="G91" s="626"/>
      <c r="H91" s="607"/>
      <c r="I91" s="166">
        <f t="shared" si="18"/>
        <v>829</v>
      </c>
      <c r="J91" s="167">
        <f t="shared" si="19"/>
        <v>1.2755919285097352E-4</v>
      </c>
      <c r="K91" s="458"/>
      <c r="L91" s="163"/>
      <c r="M91" s="163"/>
      <c r="O91" s="324">
        <f t="shared" si="20"/>
        <v>4.6232781216886953E-2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'[90]Sch C'!D80</f>
        <v>2358</v>
      </c>
      <c r="D92" s="480">
        <f>'[90]Sch C'!F80</f>
        <v>0</v>
      </c>
      <c r="E92" s="480">
        <f>+'[90]Sch C'!H80</f>
        <v>0</v>
      </c>
      <c r="F92" s="166">
        <f t="shared" si="17"/>
        <v>2358</v>
      </c>
      <c r="G92" s="626"/>
      <c r="H92" s="607"/>
      <c r="I92" s="166">
        <f t="shared" si="18"/>
        <v>2358</v>
      </c>
      <c r="J92" s="167">
        <f t="shared" si="19"/>
        <v>3.6282819872448196E-4</v>
      </c>
      <c r="K92" s="458"/>
      <c r="L92" s="163"/>
      <c r="M92" s="163"/>
      <c r="O92" s="324">
        <f t="shared" si="20"/>
        <v>0.13150409904634433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'[90]Sch C'!D81</f>
        <v>53495</v>
      </c>
      <c r="D93" s="480">
        <f>'[90]Sch C'!F81</f>
        <v>0</v>
      </c>
      <c r="E93" s="480">
        <f>+'[90]Sch C'!H81</f>
        <v>0</v>
      </c>
      <c r="F93" s="166">
        <f t="shared" si="17"/>
        <v>53495</v>
      </c>
      <c r="G93" s="626">
        <v>-2833</v>
      </c>
      <c r="H93" s="607"/>
      <c r="I93" s="166">
        <f t="shared" si="18"/>
        <v>50662</v>
      </c>
      <c r="J93" s="167">
        <f t="shared" si="19"/>
        <v>7.7954207819252355E-3</v>
      </c>
      <c r="K93" s="458"/>
      <c r="L93" s="163"/>
      <c r="M93" s="163"/>
      <c r="O93" s="324">
        <f t="shared" si="20"/>
        <v>2.8253862026657743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'[90]Sch C'!D82</f>
        <v>0</v>
      </c>
      <c r="D94" s="480">
        <f>'[90]Sch C'!F82</f>
        <v>0</v>
      </c>
      <c r="E94" s="480">
        <f>+'[90]Sch C'!H82</f>
        <v>0</v>
      </c>
      <c r="F94" s="166">
        <f t="shared" si="17"/>
        <v>0</v>
      </c>
      <c r="G94" s="626"/>
      <c r="H94" s="607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'[90]Sch C'!D83</f>
        <v>2436</v>
      </c>
      <c r="D95" s="480">
        <f>'[90]Sch C'!F83</f>
        <v>0</v>
      </c>
      <c r="E95" s="480">
        <f>+'[90]Sch C'!H83</f>
        <v>0</v>
      </c>
      <c r="F95" s="166">
        <f t="shared" si="17"/>
        <v>2436</v>
      </c>
      <c r="G95" s="626"/>
      <c r="H95" s="607"/>
      <c r="I95" s="166">
        <f t="shared" si="18"/>
        <v>2436</v>
      </c>
      <c r="J95" s="167">
        <f t="shared" si="19"/>
        <v>3.7483014931842155E-4</v>
      </c>
      <c r="K95" s="458"/>
      <c r="L95" s="163"/>
      <c r="M95" s="163"/>
      <c r="O95" s="324">
        <f t="shared" si="20"/>
        <v>0.13585410741174503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'[90]Sch C'!D84</f>
        <v>110152</v>
      </c>
      <c r="D96" s="480">
        <f>'[90]Sch C'!F84</f>
        <v>0</v>
      </c>
      <c r="E96" s="480">
        <f>+'[90]Sch C'!H84</f>
        <v>0</v>
      </c>
      <c r="F96" s="166">
        <f t="shared" si="17"/>
        <v>110152</v>
      </c>
      <c r="G96" s="626"/>
      <c r="H96" s="607"/>
      <c r="I96" s="166">
        <f t="shared" si="18"/>
        <v>110152</v>
      </c>
      <c r="J96" s="167">
        <f t="shared" si="19"/>
        <v>1.6949216177226098E-2</v>
      </c>
      <c r="K96" s="458"/>
      <c r="L96" s="163"/>
      <c r="M96" s="163"/>
      <c r="O96" s="324">
        <f t="shared" si="20"/>
        <v>6.1431041213540798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'[90]Sch C'!D85</f>
        <v>0</v>
      </c>
      <c r="D97" s="480">
        <f>'[90]Sch C'!F85</f>
        <v>0</v>
      </c>
      <c r="E97" s="480">
        <f>+'[90]Sch C'!H85</f>
        <v>0</v>
      </c>
      <c r="F97" s="166">
        <f t="shared" si="17"/>
        <v>0</v>
      </c>
      <c r="G97" s="626"/>
      <c r="H97" s="607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223632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223632</v>
      </c>
      <c r="G98" s="166">
        <f t="shared" si="22"/>
        <v>-2833</v>
      </c>
      <c r="H98" s="166">
        <f t="shared" si="22"/>
        <v>0</v>
      </c>
      <c r="I98" s="166">
        <f t="shared" si="22"/>
        <v>220799</v>
      </c>
      <c r="J98" s="167">
        <f t="shared" si="19"/>
        <v>3.3974598579375272E-2</v>
      </c>
      <c r="K98" s="458"/>
      <c r="L98" s="163"/>
      <c r="M98" s="163"/>
      <c r="O98" s="329">
        <f>I98/I$233</f>
        <v>12.313814065027048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'[90]Sch C'!D89</f>
        <v>218580</v>
      </c>
      <c r="D101" s="480">
        <f>'[90]Sch C'!F89</f>
        <v>0</v>
      </c>
      <c r="E101" s="480">
        <f>+'[90]Sch C'!H89</f>
        <v>0</v>
      </c>
      <c r="F101" s="166">
        <f t="shared" ref="F101:F106" si="23">C101+D101+E101</f>
        <v>218580</v>
      </c>
      <c r="G101" s="626"/>
      <c r="H101" s="607"/>
      <c r="I101" s="166">
        <f t="shared" ref="I101:I106" si="24">F101+G101+H101</f>
        <v>218580</v>
      </c>
      <c r="J101" s="167">
        <f t="shared" ref="J101:J107" si="25">IF($I$213=0,0,I101/$I$213)</f>
        <v>3.3633158472093833E-2</v>
      </c>
      <c r="K101" s="458"/>
      <c r="L101" s="176">
        <v>17009</v>
      </c>
      <c r="M101" s="176">
        <v>17426</v>
      </c>
      <c r="O101" s="329">
        <f t="shared" ref="O101:O106" si="26">I101/I$233</f>
        <v>12.1900619039652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'[90]Sch C'!D90</f>
        <v>49390</v>
      </c>
      <c r="D102" s="480">
        <f>'[90]Sch C'!F90</f>
        <v>0</v>
      </c>
      <c r="E102" s="480">
        <f>+'[90]Sch C'!H90</f>
        <v>0</v>
      </c>
      <c r="F102" s="166">
        <f t="shared" si="23"/>
        <v>49390</v>
      </c>
      <c r="G102" s="626"/>
      <c r="H102" s="607"/>
      <c r="I102" s="166">
        <f t="shared" si="24"/>
        <v>49390</v>
      </c>
      <c r="J102" s="167">
        <f t="shared" si="25"/>
        <v>7.5996966645471434E-3</v>
      </c>
      <c r="K102" s="458"/>
      <c r="L102" s="163"/>
      <c r="M102" s="163"/>
      <c r="O102" s="329">
        <f t="shared" si="26"/>
        <v>2.754447604706932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'[90]Sch C'!D91</f>
        <v>7050</v>
      </c>
      <c r="D103" s="480">
        <f>'[90]Sch C'!F91</f>
        <v>0</v>
      </c>
      <c r="E103" s="480">
        <f>+'[90]Sch C'!H91</f>
        <v>0</v>
      </c>
      <c r="F103" s="166">
        <f t="shared" si="23"/>
        <v>7050</v>
      </c>
      <c r="G103" s="626"/>
      <c r="H103" s="607"/>
      <c r="I103" s="166">
        <f t="shared" si="24"/>
        <v>7050</v>
      </c>
      <c r="J103" s="167">
        <f t="shared" si="25"/>
        <v>1.0847916882983876E-3</v>
      </c>
      <c r="K103" s="458"/>
      <c r="L103" s="163"/>
      <c r="M103" s="163"/>
      <c r="O103" s="329">
        <f t="shared" si="26"/>
        <v>0.39317383302660197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'[90]Sch C'!D92</f>
        <v>152137</v>
      </c>
      <c r="D104" s="480">
        <f>'[90]Sch C'!F92</f>
        <v>0</v>
      </c>
      <c r="E104" s="480">
        <f>+'[90]Sch C'!H92</f>
        <v>0</v>
      </c>
      <c r="F104" s="166">
        <f t="shared" si="23"/>
        <v>152137</v>
      </c>
      <c r="G104" s="626"/>
      <c r="H104" s="607"/>
      <c r="I104" s="166">
        <f t="shared" si="24"/>
        <v>152137</v>
      </c>
      <c r="J104" s="167">
        <f t="shared" si="25"/>
        <v>2.3409496891156283E-2</v>
      </c>
      <c r="K104" s="458"/>
      <c r="L104" s="163"/>
      <c r="M104" s="163"/>
      <c r="O104" s="329">
        <f t="shared" si="26"/>
        <v>8.4845797780380341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'[90]Sch C'!D93</f>
        <v>19701</v>
      </c>
      <c r="D105" s="480">
        <f>'[90]Sch C'!F93</f>
        <v>0</v>
      </c>
      <c r="E105" s="480">
        <f>+'[90]Sch C'!H93</f>
        <v>0</v>
      </c>
      <c r="F105" s="166">
        <f t="shared" si="23"/>
        <v>19701</v>
      </c>
      <c r="G105" s="626"/>
      <c r="H105" s="607"/>
      <c r="I105" s="166">
        <f t="shared" si="24"/>
        <v>19701</v>
      </c>
      <c r="J105" s="167">
        <f t="shared" si="25"/>
        <v>3.0314157519385153E-3</v>
      </c>
      <c r="K105" s="458"/>
      <c r="L105" s="163"/>
      <c r="M105" s="163"/>
      <c r="O105" s="329">
        <f t="shared" si="26"/>
        <v>1.0987117282917851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'[90]Sch C'!D94</f>
        <v>0</v>
      </c>
      <c r="D106" s="480">
        <f>'[90]Sch C'!F94</f>
        <v>0</v>
      </c>
      <c r="E106" s="480">
        <f>+'[90]Sch C'!H94</f>
        <v>0</v>
      </c>
      <c r="F106" s="166">
        <f t="shared" si="23"/>
        <v>0</v>
      </c>
      <c r="G106" s="626"/>
      <c r="H106" s="607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446858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446858</v>
      </c>
      <c r="G107" s="166">
        <f t="shared" si="28"/>
        <v>0</v>
      </c>
      <c r="H107" s="166">
        <f t="shared" si="28"/>
        <v>0</v>
      </c>
      <c r="I107" s="166">
        <f t="shared" si="28"/>
        <v>446858</v>
      </c>
      <c r="J107" s="167">
        <f t="shared" si="25"/>
        <v>6.8758559468034164E-2</v>
      </c>
      <c r="K107" s="458"/>
      <c r="L107" s="163"/>
      <c r="M107" s="163"/>
      <c r="O107" s="329">
        <f>I107/I$233</f>
        <v>24.920974848028553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'[90]Sch C'!D98</f>
        <v>55200</v>
      </c>
      <c r="D110" s="480">
        <f>'[90]Sch C'!F98</f>
        <v>0</v>
      </c>
      <c r="E110" s="480">
        <f>+'[90]Sch C'!H98</f>
        <v>0</v>
      </c>
      <c r="F110" s="166">
        <f t="shared" ref="F110:F115" si="29">C110+D110+E110</f>
        <v>55200</v>
      </c>
      <c r="G110" s="626"/>
      <c r="H110" s="607"/>
      <c r="I110" s="166">
        <f t="shared" ref="I110:I115" si="30">F110+G110+H110</f>
        <v>55200</v>
      </c>
      <c r="J110" s="167">
        <f t="shared" ref="J110:J116" si="31">IF($I$213=0,0,I110/$I$213)</f>
        <v>8.4936881126341825E-3</v>
      </c>
      <c r="K110" s="458"/>
      <c r="L110" s="176">
        <v>3883</v>
      </c>
      <c r="M110" s="176">
        <v>4110</v>
      </c>
      <c r="O110" s="329">
        <f t="shared" ref="O110:O115" si="32">I110/I$233</f>
        <v>3.0784674585912666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'[90]Sch C'!D99</f>
        <v>20882</v>
      </c>
      <c r="D111" s="480">
        <f>'[90]Sch C'!F99</f>
        <v>0</v>
      </c>
      <c r="E111" s="480">
        <f>+'[90]Sch C'!H99</f>
        <v>0</v>
      </c>
      <c r="F111" s="166">
        <f t="shared" si="29"/>
        <v>20882</v>
      </c>
      <c r="G111" s="626"/>
      <c r="H111" s="607"/>
      <c r="I111" s="166">
        <f t="shared" si="30"/>
        <v>20882</v>
      </c>
      <c r="J111" s="167">
        <f t="shared" si="31"/>
        <v>3.2131375936236776E-3</v>
      </c>
      <c r="K111" s="458"/>
      <c r="L111" s="163"/>
      <c r="M111" s="163"/>
      <c r="O111" s="329">
        <f t="shared" si="32"/>
        <v>1.1645753164909933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'[90]Sch C'!D100</f>
        <v>7108</v>
      </c>
      <c r="D112" s="480">
        <f>'[90]Sch C'!F100</f>
        <v>0</v>
      </c>
      <c r="E112" s="480">
        <f>+'[90]Sch C'!H100</f>
        <v>0</v>
      </c>
      <c r="F112" s="166">
        <f t="shared" si="29"/>
        <v>7108</v>
      </c>
      <c r="G112" s="626"/>
      <c r="H112" s="607"/>
      <c r="I112" s="166">
        <f t="shared" si="30"/>
        <v>7108</v>
      </c>
      <c r="J112" s="167">
        <f t="shared" si="31"/>
        <v>1.0937162156631119E-3</v>
      </c>
      <c r="K112" s="458"/>
      <c r="L112" s="163"/>
      <c r="M112" s="163"/>
      <c r="O112" s="329">
        <f t="shared" si="32"/>
        <v>0.39640845463164354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'[90]Sch C'!D101</f>
        <v>0</v>
      </c>
      <c r="D113" s="480">
        <f>'[90]Sch C'!F101</f>
        <v>0</v>
      </c>
      <c r="E113" s="480">
        <f>+'[90]Sch C'!H101</f>
        <v>0</v>
      </c>
      <c r="F113" s="166">
        <f t="shared" si="29"/>
        <v>0</v>
      </c>
      <c r="G113" s="626"/>
      <c r="H113" s="607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'[90]Sch C'!D102</f>
        <v>6762</v>
      </c>
      <c r="D114" s="480">
        <f>'[90]Sch C'!F102</f>
        <v>0</v>
      </c>
      <c r="E114" s="480">
        <f>+'[90]Sch C'!H102</f>
        <v>0</v>
      </c>
      <c r="F114" s="166">
        <f t="shared" si="29"/>
        <v>6762</v>
      </c>
      <c r="G114" s="626"/>
      <c r="H114" s="607"/>
      <c r="I114" s="166">
        <f t="shared" si="30"/>
        <v>6762</v>
      </c>
      <c r="J114" s="167">
        <f t="shared" si="31"/>
        <v>1.0404767937976873E-3</v>
      </c>
      <c r="K114" s="458"/>
      <c r="L114" s="163"/>
      <c r="M114" s="163"/>
      <c r="O114" s="329">
        <f t="shared" si="32"/>
        <v>0.37711226367743017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'[90]Sch C'!D103</f>
        <v>0</v>
      </c>
      <c r="D115" s="480">
        <f>'[90]Sch C'!F103</f>
        <v>0</v>
      </c>
      <c r="E115" s="480">
        <f>+'[90]Sch C'!H103</f>
        <v>0</v>
      </c>
      <c r="F115" s="166">
        <f t="shared" si="29"/>
        <v>0</v>
      </c>
      <c r="G115" s="626"/>
      <c r="H115" s="607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89952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89952</v>
      </c>
      <c r="G116" s="166">
        <f t="shared" si="34"/>
        <v>0</v>
      </c>
      <c r="H116" s="166">
        <f t="shared" si="34"/>
        <v>0</v>
      </c>
      <c r="I116" s="166">
        <f t="shared" si="34"/>
        <v>89952</v>
      </c>
      <c r="J116" s="167">
        <f t="shared" si="31"/>
        <v>1.384101871571866E-2</v>
      </c>
      <c r="K116" s="458"/>
      <c r="L116" s="163"/>
      <c r="M116" s="163"/>
      <c r="O116" s="329">
        <f>I116/I$233</f>
        <v>5.0165634933913337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'[90]Sch C'!D115</f>
        <v>142099</v>
      </c>
      <c r="D119" s="480">
        <f>'[90]Sch C'!F115</f>
        <v>0</v>
      </c>
      <c r="E119" s="480">
        <f>+'[90]Sch C'!H115</f>
        <v>0</v>
      </c>
      <c r="F119" s="166">
        <f t="shared" ref="F119:F123" si="35">C119+D119+E119</f>
        <v>142099</v>
      </c>
      <c r="G119" s="626"/>
      <c r="H119" s="607"/>
      <c r="I119" s="166">
        <f t="shared" ref="I119:I123" si="36">F119+G119+H119</f>
        <v>142099</v>
      </c>
      <c r="J119" s="167">
        <f t="shared" ref="J119:J124" si="37">IF($I$213=0,0,I119/$I$213)</f>
        <v>2.1864938172413129E-2</v>
      </c>
      <c r="K119" s="458"/>
      <c r="L119" s="176">
        <v>10452</v>
      </c>
      <c r="M119" s="176">
        <v>11177</v>
      </c>
      <c r="O119" s="329">
        <f t="shared" ref="O119:O124" si="38">I119/I$233</f>
        <v>7.924767163013775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'[90]Sch C'!D116</f>
        <v>66880</v>
      </c>
      <c r="D120" s="480">
        <f>'[90]Sch C'!F116</f>
        <v>0</v>
      </c>
      <c r="E120" s="480">
        <f>+'[90]Sch C'!H116</f>
        <v>0</v>
      </c>
      <c r="F120" s="166">
        <f t="shared" si="35"/>
        <v>66880</v>
      </c>
      <c r="G120" s="626"/>
      <c r="H120" s="607"/>
      <c r="I120" s="166">
        <f t="shared" si="36"/>
        <v>66880</v>
      </c>
      <c r="J120" s="167">
        <f t="shared" si="37"/>
        <v>1.0290903278495909E-2</v>
      </c>
      <c r="K120" s="458"/>
      <c r="L120" s="163"/>
      <c r="M120" s="163"/>
      <c r="O120" s="329">
        <f t="shared" si="38"/>
        <v>3.7298533266410128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'[90]Sch C'!D117</f>
        <v>17366</v>
      </c>
      <c r="D121" s="480">
        <f>'[90]Sch C'!F117</f>
        <v>0</v>
      </c>
      <c r="E121" s="480">
        <f>+'[90]Sch C'!H117</f>
        <v>0</v>
      </c>
      <c r="F121" s="166">
        <f t="shared" si="35"/>
        <v>17366</v>
      </c>
      <c r="G121" s="626"/>
      <c r="H121" s="607"/>
      <c r="I121" s="166">
        <f t="shared" si="36"/>
        <v>17366</v>
      </c>
      <c r="J121" s="167">
        <f t="shared" si="37"/>
        <v>2.672126589927631E-3</v>
      </c>
      <c r="K121" s="458"/>
      <c r="L121" s="163"/>
      <c r="M121" s="163"/>
      <c r="O121" s="329">
        <f t="shared" si="38"/>
        <v>0.96849032401985391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'[90]Sch C'!D118</f>
        <v>0</v>
      </c>
      <c r="D122" s="480">
        <f>'[90]Sch C'!F118</f>
        <v>0</v>
      </c>
      <c r="E122" s="480">
        <f>+'[90]Sch C'!H118</f>
        <v>0</v>
      </c>
      <c r="F122" s="166">
        <f t="shared" si="35"/>
        <v>0</v>
      </c>
      <c r="G122" s="626"/>
      <c r="H122" s="607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'[90]Sch C'!D119</f>
        <v>0</v>
      </c>
      <c r="D123" s="480">
        <f>'[90]Sch C'!F119</f>
        <v>0</v>
      </c>
      <c r="E123" s="480">
        <f>+'[90]Sch C'!H119</f>
        <v>0</v>
      </c>
      <c r="F123" s="166">
        <f t="shared" si="35"/>
        <v>0</v>
      </c>
      <c r="G123" s="626"/>
      <c r="H123" s="607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226345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226345</v>
      </c>
      <c r="G124" s="166">
        <f t="shared" si="40"/>
        <v>0</v>
      </c>
      <c r="H124" s="166">
        <f t="shared" si="40"/>
        <v>0</v>
      </c>
      <c r="I124" s="166">
        <f t="shared" si="40"/>
        <v>226345</v>
      </c>
      <c r="J124" s="167">
        <f t="shared" si="37"/>
        <v>3.4827968040836668E-2</v>
      </c>
      <c r="K124" s="458"/>
      <c r="L124" s="163"/>
      <c r="M124" s="163"/>
      <c r="O124" s="329">
        <f t="shared" si="38"/>
        <v>12.623110813674641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'[90]Sch C'!D124</f>
        <v>0</v>
      </c>
      <c r="D128" s="480">
        <f>'[90]Sch C'!F124</f>
        <v>0</v>
      </c>
      <c r="E128" s="480">
        <f>+'[90]Sch C'!H124</f>
        <v>0</v>
      </c>
      <c r="F128" s="166">
        <f t="shared" ref="F128:F132" si="41">C128+D128+E128</f>
        <v>0</v>
      </c>
      <c r="G128" s="626"/>
      <c r="H128" s="607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'[90]Sch C'!D125</f>
        <v>168957</v>
      </c>
      <c r="D129" s="480">
        <f>'[90]Sch C'!F125</f>
        <v>-2796</v>
      </c>
      <c r="E129" s="480">
        <f>+'[90]Sch C'!H125</f>
        <v>0</v>
      </c>
      <c r="F129" s="166">
        <f t="shared" si="41"/>
        <v>166161</v>
      </c>
      <c r="G129" s="626"/>
      <c r="H129" s="607"/>
      <c r="I129" s="166">
        <f t="shared" si="42"/>
        <v>166161</v>
      </c>
      <c r="J129" s="167">
        <f>IF($I$213=0,0,I129/$I$213)</f>
        <v>2.5567386059482038E-2</v>
      </c>
      <c r="K129" s="458"/>
      <c r="L129" s="176">
        <v>2415</v>
      </c>
      <c r="M129" s="176">
        <v>2576</v>
      </c>
      <c r="O129" s="329">
        <f t="shared" si="43"/>
        <v>9.2666889744018732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'[90]Sch C'!D126</f>
        <v>0</v>
      </c>
      <c r="D130" s="480">
        <f>'[90]Sch C'!F126</f>
        <v>0</v>
      </c>
      <c r="E130" s="480">
        <f>+'[90]Sch C'!H126</f>
        <v>0</v>
      </c>
      <c r="F130" s="166">
        <f t="shared" si="41"/>
        <v>0</v>
      </c>
      <c r="G130" s="626"/>
      <c r="H130" s="607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'[90]Sch C'!D127</f>
        <v>0</v>
      </c>
      <c r="D131" s="480">
        <f>'[90]Sch C'!F127</f>
        <v>2796</v>
      </c>
      <c r="E131" s="480">
        <f>+'[90]Sch C'!H127</f>
        <v>0</v>
      </c>
      <c r="F131" s="166">
        <f t="shared" si="41"/>
        <v>2796</v>
      </c>
      <c r="G131" s="626"/>
      <c r="H131" s="607"/>
      <c r="I131" s="166">
        <f t="shared" si="42"/>
        <v>2796</v>
      </c>
      <c r="J131" s="167">
        <f>IF($I$213=0,0,I131/$I$213)</f>
        <v>4.3022376744429667E-4</v>
      </c>
      <c r="K131" s="458"/>
      <c r="L131" s="176">
        <v>159</v>
      </c>
      <c r="M131" s="176">
        <v>202</v>
      </c>
      <c r="O131" s="329">
        <f t="shared" si="43"/>
        <v>0.15593106909820981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'[90]Sch C'!D128</f>
        <v>52263</v>
      </c>
      <c r="D132" s="480">
        <f>'[90]Sch C'!F128</f>
        <v>0</v>
      </c>
      <c r="E132" s="480">
        <f>+'[90]Sch C'!H128</f>
        <v>0</v>
      </c>
      <c r="F132" s="166">
        <f t="shared" si="41"/>
        <v>52263</v>
      </c>
      <c r="G132" s="626"/>
      <c r="H132" s="607"/>
      <c r="I132" s="166">
        <f t="shared" si="42"/>
        <v>52263</v>
      </c>
      <c r="J132" s="167">
        <f>IF($I$213=0,0,I132/$I$213)</f>
        <v>8.0417685114239183E-3</v>
      </c>
      <c r="K132" s="458"/>
      <c r="L132" s="176">
        <v>2112</v>
      </c>
      <c r="M132" s="176">
        <v>2189</v>
      </c>
      <c r="O132" s="329">
        <f t="shared" si="43"/>
        <v>2.9146729128325246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'[90]Sch C'!D130</f>
        <v>0</v>
      </c>
      <c r="D134" s="480">
        <f>'[90]Sch C'!F130</f>
        <v>0</v>
      </c>
      <c r="E134" s="480">
        <f>+'[90]Sch C'!H130</f>
        <v>0</v>
      </c>
      <c r="F134" s="166">
        <f t="shared" ref="F134:F138" si="44">C134+D134+E134</f>
        <v>0</v>
      </c>
      <c r="G134" s="626"/>
      <c r="H134" s="607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'[90]Sch C'!D131</f>
        <v>359141</v>
      </c>
      <c r="D135" s="480">
        <f>'[90]Sch C'!F131</f>
        <v>-315542</v>
      </c>
      <c r="E135" s="480">
        <f>+'[90]Sch C'!H131</f>
        <v>0</v>
      </c>
      <c r="F135" s="166">
        <f t="shared" si="44"/>
        <v>43599</v>
      </c>
      <c r="G135" s="626"/>
      <c r="H135" s="607"/>
      <c r="I135" s="166">
        <f t="shared" si="45"/>
        <v>43599</v>
      </c>
      <c r="J135" s="167">
        <f>IF($I$213=0,0,I135/$I$213)</f>
        <v>6.708628768527858E-3</v>
      </c>
      <c r="K135" s="571" t="s">
        <v>426</v>
      </c>
      <c r="L135" s="196"/>
      <c r="M135" s="196"/>
      <c r="O135" s="329">
        <f t="shared" si="43"/>
        <v>2.4314873682449387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'[90]Sch C'!D132</f>
        <v>0</v>
      </c>
      <c r="D136" s="480">
        <f>'[90]Sch C'!F132</f>
        <v>0</v>
      </c>
      <c r="E136" s="480">
        <f>+'[90]Sch C'!H132</f>
        <v>0</v>
      </c>
      <c r="F136" s="166">
        <f t="shared" si="44"/>
        <v>0</v>
      </c>
      <c r="G136" s="626"/>
      <c r="H136" s="607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'[90]Sch C'!D133</f>
        <v>0</v>
      </c>
      <c r="D137" s="480">
        <f>'[90]Sch C'!F133</f>
        <v>734</v>
      </c>
      <c r="E137" s="480">
        <f>+'[90]Sch C'!H133</f>
        <v>0</v>
      </c>
      <c r="F137" s="166">
        <f t="shared" si="44"/>
        <v>734</v>
      </c>
      <c r="G137" s="626"/>
      <c r="H137" s="607"/>
      <c r="I137" s="166">
        <f t="shared" si="45"/>
        <v>734</v>
      </c>
      <c r="J137" s="167">
        <f>IF($I$213=0,0,I137/$I$213)</f>
        <v>1.1294143251220091E-4</v>
      </c>
      <c r="K137" s="458"/>
      <c r="L137" s="163"/>
      <c r="M137" s="163"/>
      <c r="O137" s="329">
        <f t="shared" si="43"/>
        <v>4.0934694105180969E-2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'[90]Sch C'!D134</f>
        <v>19993</v>
      </c>
      <c r="D138" s="480">
        <f>'[90]Sch C'!F134</f>
        <v>0</v>
      </c>
      <c r="E138" s="480">
        <f>+'[90]Sch C'!H134</f>
        <v>0</v>
      </c>
      <c r="F138" s="166">
        <f t="shared" si="44"/>
        <v>19993</v>
      </c>
      <c r="G138" s="626"/>
      <c r="H138" s="607"/>
      <c r="I138" s="166">
        <f t="shared" si="45"/>
        <v>19993</v>
      </c>
      <c r="J138" s="167">
        <f>IF($I$213=0,0,I138/$I$213)</f>
        <v>3.0763461310850584E-3</v>
      </c>
      <c r="K138" s="458"/>
      <c r="L138" s="163"/>
      <c r="M138" s="163"/>
      <c r="O138" s="329">
        <f t="shared" si="43"/>
        <v>1.1149963749930287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'[90]Sch C'!D136</f>
        <v>271071</v>
      </c>
      <c r="D140" s="480">
        <f>'[90]Sch C'!F136</f>
        <v>0</v>
      </c>
      <c r="E140" s="480">
        <f>+'[90]Sch C'!H136</f>
        <v>0</v>
      </c>
      <c r="F140" s="166">
        <f t="shared" ref="F140:F143" si="46">C140+D140+E140</f>
        <v>271071</v>
      </c>
      <c r="G140" s="626"/>
      <c r="H140" s="607"/>
      <c r="I140" s="166">
        <f t="shared" ref="I140:I143" si="47">F140+G140+H140</f>
        <v>271071</v>
      </c>
      <c r="J140" s="167">
        <f>IF($I$213=0,0,I140/$I$213)</f>
        <v>4.1710009608330809E-2</v>
      </c>
      <c r="K140" s="458"/>
      <c r="L140" s="176">
        <v>8154</v>
      </c>
      <c r="M140" s="176">
        <v>8389</v>
      </c>
      <c r="O140" s="329">
        <f t="shared" si="43"/>
        <v>15.117450225865818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'[90]Sch C'!D137</f>
        <v>302993</v>
      </c>
      <c r="D141" s="480">
        <f>'[90]Sch C'!F137</f>
        <v>0</v>
      </c>
      <c r="E141" s="480">
        <f>+'[90]Sch C'!H137</f>
        <v>0</v>
      </c>
      <c r="F141" s="166">
        <f t="shared" si="46"/>
        <v>302993</v>
      </c>
      <c r="G141" s="626"/>
      <c r="H141" s="607"/>
      <c r="I141" s="166">
        <f t="shared" si="47"/>
        <v>302993</v>
      </c>
      <c r="J141" s="167">
        <f>IF($I$213=0,0,I141/$I$213)</f>
        <v>4.6621884824481326E-2</v>
      </c>
      <c r="K141" s="458"/>
      <c r="L141" s="176">
        <v>19643</v>
      </c>
      <c r="M141" s="176">
        <v>20141</v>
      </c>
      <c r="O141" s="329">
        <f t="shared" si="43"/>
        <v>16.897719034075067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'[90]Sch C'!D138</f>
        <v>625712</v>
      </c>
      <c r="D142" s="480">
        <f>'[90]Sch C'!F138</f>
        <v>0</v>
      </c>
      <c r="E142" s="480">
        <f>+'[90]Sch C'!H138</f>
        <v>0</v>
      </c>
      <c r="F142" s="166">
        <f t="shared" si="46"/>
        <v>625712</v>
      </c>
      <c r="G142" s="626">
        <v>-31316</v>
      </c>
      <c r="H142" s="607"/>
      <c r="I142" s="166">
        <f t="shared" si="47"/>
        <v>594396</v>
      </c>
      <c r="J142" s="167">
        <f>IF($I$213=0,0,I142/$I$213)</f>
        <v>9.1460402887632394E-2</v>
      </c>
      <c r="K142" s="458"/>
      <c r="L142" s="176">
        <v>42554</v>
      </c>
      <c r="M142" s="176">
        <v>43660</v>
      </c>
      <c r="O142" s="329">
        <f t="shared" si="43"/>
        <v>33.149071440522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'[90]Sch C'!D139</f>
        <v>0</v>
      </c>
      <c r="D143" s="480">
        <f>'[90]Sch C'!F139</f>
        <v>0</v>
      </c>
      <c r="E143" s="480">
        <f>+'[90]Sch C'!H139</f>
        <v>0</v>
      </c>
      <c r="F143" s="166">
        <f t="shared" si="46"/>
        <v>0</v>
      </c>
      <c r="G143" s="626"/>
      <c r="H143" s="607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'[90]Sch C'!D141</f>
        <v>0</v>
      </c>
      <c r="D145" s="480">
        <f>'[90]Sch C'!F141</f>
        <v>71126</v>
      </c>
      <c r="E145" s="480">
        <f>+'[90]Sch C'!H141</f>
        <v>0</v>
      </c>
      <c r="F145" s="166">
        <f t="shared" ref="F145:F148" si="48">C145+D145+E145</f>
        <v>71126</v>
      </c>
      <c r="G145" s="626"/>
      <c r="H145" s="607"/>
      <c r="I145" s="166">
        <f t="shared" ref="I145:I148" si="49">F145+G145+H145</f>
        <v>71126</v>
      </c>
      <c r="J145" s="167">
        <f>IF($I$213=0,0,I145/$I$213)</f>
        <v>1.0944240230058314E-2</v>
      </c>
      <c r="K145" s="571" t="s">
        <v>426</v>
      </c>
      <c r="L145" s="446"/>
      <c r="M145" s="163"/>
      <c r="O145" s="329">
        <f t="shared" si="43"/>
        <v>3.9666499358652612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'[90]Sch C'!D142</f>
        <v>0</v>
      </c>
      <c r="D146" s="480">
        <f>'[90]Sch C'!F142</f>
        <v>79502</v>
      </c>
      <c r="E146" s="480">
        <f>+'[90]Sch C'!H142</f>
        <v>0</v>
      </c>
      <c r="F146" s="166">
        <f t="shared" si="48"/>
        <v>79502</v>
      </c>
      <c r="G146" s="626"/>
      <c r="H146" s="607"/>
      <c r="I146" s="166">
        <f t="shared" si="49"/>
        <v>79502</v>
      </c>
      <c r="J146" s="167">
        <f>IF($I$213=0,0,I146/$I$213)</f>
        <v>1.2233065078453674E-2</v>
      </c>
      <c r="K146" s="571" t="s">
        <v>426</v>
      </c>
      <c r="L146" s="163"/>
      <c r="M146" s="163"/>
      <c r="O146" s="329">
        <f t="shared" si="43"/>
        <v>4.4337739111036756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'[90]Sch C'!D143</f>
        <v>0</v>
      </c>
      <c r="D147" s="480">
        <f>'[90]Sch C'!F143</f>
        <v>164180</v>
      </c>
      <c r="E147" s="480">
        <f>+'[90]Sch C'!H143</f>
        <v>0</v>
      </c>
      <c r="F147" s="166">
        <f t="shared" si="48"/>
        <v>164180</v>
      </c>
      <c r="G147" s="626">
        <v>-8217</v>
      </c>
      <c r="H147" s="607"/>
      <c r="I147" s="166">
        <f t="shared" si="49"/>
        <v>155963</v>
      </c>
      <c r="J147" s="167">
        <f>IF($I$213=0,0,I147/$I$213)</f>
        <v>2.3998207954905166E-2</v>
      </c>
      <c r="K147" s="571" t="s">
        <v>426</v>
      </c>
      <c r="L147" s="163"/>
      <c r="M147" s="163"/>
      <c r="O147" s="329">
        <f t="shared" si="43"/>
        <v>8.6979532652947409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'[90]Sch C'!D144</f>
        <v>0</v>
      </c>
      <c r="D148" s="480">
        <f>'[90]Sch C'!F144</f>
        <v>0</v>
      </c>
      <c r="E148" s="480">
        <f>+'[90]Sch C'!H144</f>
        <v>0</v>
      </c>
      <c r="F148" s="166">
        <f t="shared" si="48"/>
        <v>0</v>
      </c>
      <c r="G148" s="626"/>
      <c r="H148" s="607"/>
      <c r="I148" s="166">
        <f t="shared" si="49"/>
        <v>0</v>
      </c>
      <c r="J148" s="167">
        <f>IF($I$213=0,0,I148/$I$213)</f>
        <v>0</v>
      </c>
      <c r="K148" s="571" t="s">
        <v>426</v>
      </c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'[90]Sch C'!D146</f>
        <v>24439</v>
      </c>
      <c r="D150" s="480">
        <f>'[90]Sch C'!F146</f>
        <v>0</v>
      </c>
      <c r="E150" s="480">
        <f>+'[90]Sch C'!H146</f>
        <v>0</v>
      </c>
      <c r="F150" s="166">
        <f t="shared" ref="F150:F158" si="50">C150+D150+E150</f>
        <v>24439</v>
      </c>
      <c r="G150" s="626"/>
      <c r="H150" s="607"/>
      <c r="I150" s="166">
        <f t="shared" ref="I150:I158" si="51">F150+G150+H150</f>
        <v>24439</v>
      </c>
      <c r="J150" s="167">
        <f t="shared" ref="J150:J158" si="52">IF($I$213=0,0,I150/$I$213)</f>
        <v>3.7604573149396161E-3</v>
      </c>
      <c r="K150" s="458"/>
      <c r="L150" s="176">
        <v>192</v>
      </c>
      <c r="M150" s="176">
        <v>192</v>
      </c>
      <c r="O150" s="329">
        <f t="shared" si="43"/>
        <v>1.3629468518208689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'[90]Sch C'!D147</f>
        <v>0</v>
      </c>
      <c r="D151" s="480">
        <f>'[90]Sch C'!F147</f>
        <v>0</v>
      </c>
      <c r="E151" s="480">
        <f>+'[90]Sch C'!H147</f>
        <v>0</v>
      </c>
      <c r="F151" s="166">
        <f t="shared" si="50"/>
        <v>0</v>
      </c>
      <c r="G151" s="626"/>
      <c r="H151" s="607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'[90]Sch C'!D148</f>
        <v>0</v>
      </c>
      <c r="D152" s="480">
        <f>'[90]Sch C'!F148</f>
        <v>0</v>
      </c>
      <c r="E152" s="480">
        <f>+'[90]Sch C'!H148</f>
        <v>0</v>
      </c>
      <c r="F152" s="166">
        <f t="shared" si="50"/>
        <v>0</v>
      </c>
      <c r="G152" s="626"/>
      <c r="H152" s="607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'[90]Sch C'!D149</f>
        <v>0</v>
      </c>
      <c r="D153" s="480">
        <f>'[90]Sch C'!F149</f>
        <v>0</v>
      </c>
      <c r="E153" s="480">
        <f>+'[90]Sch C'!H149</f>
        <v>0</v>
      </c>
      <c r="F153" s="166">
        <f t="shared" si="50"/>
        <v>0</v>
      </c>
      <c r="G153" s="626"/>
      <c r="H153" s="607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'[90]Sch C'!D150</f>
        <v>433189.6</v>
      </c>
      <c r="D154" s="480">
        <f>'[90]Sch C'!F150</f>
        <v>0</v>
      </c>
      <c r="E154" s="480">
        <f>+'[90]Sch C'!H150</f>
        <v>0</v>
      </c>
      <c r="F154" s="166">
        <f t="shared" si="50"/>
        <v>433189.6</v>
      </c>
      <c r="G154" s="626"/>
      <c r="H154" s="607"/>
      <c r="I154" s="166">
        <f t="shared" si="51"/>
        <v>433189.6</v>
      </c>
      <c r="J154" s="167">
        <f t="shared" si="52"/>
        <v>6.6655386884723847E-2</v>
      </c>
      <c r="K154" s="458"/>
      <c r="L154" s="176">
        <v>8993</v>
      </c>
      <c r="M154" s="176">
        <v>8993</v>
      </c>
      <c r="O154" s="329">
        <f t="shared" si="43"/>
        <v>24.1586972282639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'[90]Sch C'!D151</f>
        <v>97855</v>
      </c>
      <c r="D155" s="480">
        <f>'[90]Sch C'!F151</f>
        <v>0</v>
      </c>
      <c r="E155" s="480">
        <f>+'[90]Sch C'!H151</f>
        <v>0</v>
      </c>
      <c r="F155" s="166">
        <f t="shared" si="50"/>
        <v>97855</v>
      </c>
      <c r="G155" s="626"/>
      <c r="H155" s="607"/>
      <c r="I155" s="166">
        <f t="shared" si="51"/>
        <v>97855</v>
      </c>
      <c r="J155" s="167">
        <f t="shared" si="52"/>
        <v>1.505706250474308E-2</v>
      </c>
      <c r="K155" s="458"/>
      <c r="L155" s="163"/>
      <c r="M155" s="163"/>
      <c r="O155" s="329">
        <f t="shared" si="43"/>
        <v>5.4573085717472534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'[90]Sch C'!D152</f>
        <v>6869</v>
      </c>
      <c r="D156" s="480">
        <f>'[90]Sch C'!F152</f>
        <v>0</v>
      </c>
      <c r="E156" s="480">
        <f>+'[90]Sch C'!H152</f>
        <v>0</v>
      </c>
      <c r="F156" s="166">
        <f t="shared" si="50"/>
        <v>6869</v>
      </c>
      <c r="G156" s="626"/>
      <c r="H156" s="607"/>
      <c r="I156" s="166">
        <f t="shared" si="51"/>
        <v>6869</v>
      </c>
      <c r="J156" s="167">
        <f t="shared" si="52"/>
        <v>1.0569410080739892E-3</v>
      </c>
      <c r="K156" s="458"/>
      <c r="L156" s="163"/>
      <c r="M156" s="163"/>
      <c r="O156" s="329">
        <f t="shared" si="43"/>
        <v>0.38307958284535165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'[90]Sch C'!D153</f>
        <v>0</v>
      </c>
      <c r="D157" s="480">
        <f>'[90]Sch C'!F153</f>
        <v>0</v>
      </c>
      <c r="E157" s="480">
        <f>+'[90]Sch C'!H153</f>
        <v>0</v>
      </c>
      <c r="F157" s="166">
        <f t="shared" si="50"/>
        <v>0</v>
      </c>
      <c r="G157" s="626"/>
      <c r="H157" s="607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'[90]Sch C'!D154</f>
        <v>0</v>
      </c>
      <c r="D158" s="480">
        <f>'[90]Sch C'!F154</f>
        <v>0</v>
      </c>
      <c r="E158" s="480">
        <f>+'[90]Sch C'!H154</f>
        <v>0</v>
      </c>
      <c r="F158" s="166">
        <f t="shared" si="50"/>
        <v>0</v>
      </c>
      <c r="G158" s="626"/>
      <c r="H158" s="607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'[90]Sch C'!D156</f>
        <v>0</v>
      </c>
      <c r="D160" s="480">
        <f>'[90]Sch C'!F156</f>
        <v>0</v>
      </c>
      <c r="E160" s="480">
        <f>+'[90]Sch C'!H156</f>
        <v>0</v>
      </c>
      <c r="F160" s="166">
        <f t="shared" ref="F160:F165" si="53">C160+D160+E160</f>
        <v>0</v>
      </c>
      <c r="G160" s="626"/>
      <c r="H160" s="607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'[90]Sch C'!D157</f>
        <v>0</v>
      </c>
      <c r="D161" s="480">
        <f>'[90]Sch C'!F157</f>
        <v>0</v>
      </c>
      <c r="E161" s="480">
        <f>+'[90]Sch C'!H157</f>
        <v>0</v>
      </c>
      <c r="F161" s="166">
        <f t="shared" si="53"/>
        <v>0</v>
      </c>
      <c r="G161" s="626"/>
      <c r="H161" s="607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'[90]Sch C'!D158</f>
        <v>0</v>
      </c>
      <c r="D162" s="480">
        <f>'[90]Sch C'!F158</f>
        <v>0</v>
      </c>
      <c r="E162" s="480">
        <f>+'[90]Sch C'!H158</f>
        <v>0</v>
      </c>
      <c r="F162" s="166">
        <f t="shared" si="53"/>
        <v>0</v>
      </c>
      <c r="G162" s="626"/>
      <c r="H162" s="607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'[90]Sch C'!D159</f>
        <v>0</v>
      </c>
      <c r="D163" s="480">
        <f>'[90]Sch C'!F159</f>
        <v>0</v>
      </c>
      <c r="E163" s="480">
        <f>+'[90]Sch C'!H159</f>
        <v>0</v>
      </c>
      <c r="F163" s="166">
        <f t="shared" si="53"/>
        <v>0</v>
      </c>
      <c r="G163" s="626"/>
      <c r="H163" s="607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'[90]Sch C'!D160</f>
        <v>0</v>
      </c>
      <c r="D164" s="480">
        <f>'[90]Sch C'!F160</f>
        <v>0</v>
      </c>
      <c r="E164" s="480">
        <f>+'[90]Sch C'!H160</f>
        <v>0</v>
      </c>
      <c r="F164" s="166">
        <f t="shared" si="53"/>
        <v>0</v>
      </c>
      <c r="G164" s="626"/>
      <c r="H164" s="607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'[90]Sch C'!D161</f>
        <v>0</v>
      </c>
      <c r="D165" s="480">
        <f>'[90]Sch C'!F161</f>
        <v>0</v>
      </c>
      <c r="E165" s="480">
        <f>+'[90]Sch C'!H161</f>
        <v>0</v>
      </c>
      <c r="F165" s="166">
        <f t="shared" si="53"/>
        <v>0</v>
      </c>
      <c r="G165" s="626"/>
      <c r="H165" s="607"/>
      <c r="I165" s="166">
        <f t="shared" si="54"/>
        <v>0</v>
      </c>
      <c r="J165" s="167">
        <f t="shared" si="55"/>
        <v>0</v>
      </c>
      <c r="K165" s="458"/>
      <c r="L165" s="163"/>
      <c r="M165" s="163"/>
      <c r="O165" s="329">
        <f t="shared" si="43"/>
        <v>0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2362482.6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2362482.6</v>
      </c>
      <c r="G166" s="166">
        <f t="shared" si="57"/>
        <v>-39533</v>
      </c>
      <c r="H166" s="166">
        <f t="shared" si="57"/>
        <v>0</v>
      </c>
      <c r="I166" s="166">
        <f t="shared" si="57"/>
        <v>2322949.6</v>
      </c>
      <c r="J166" s="167">
        <f t="shared" si="55"/>
        <v>0.3574349529668176</v>
      </c>
      <c r="K166" s="458"/>
      <c r="L166" s="163"/>
      <c r="M166" s="163"/>
      <c r="O166" s="329">
        <f>I166/I$233</f>
        <v>129.5493614410797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'[90]Sch C'!D175</f>
        <v>57849</v>
      </c>
      <c r="D169" s="480">
        <f>'[90]Sch C'!F175</f>
        <v>-57849</v>
      </c>
      <c r="E169" s="480">
        <f>+'[90]Sch C'!H175</f>
        <v>0</v>
      </c>
      <c r="F169" s="166">
        <f t="shared" ref="F169:F201" si="58">C169+D169+E169</f>
        <v>0</v>
      </c>
      <c r="G169" s="626"/>
      <c r="H169" s="607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'[90]Sch C'!D176</f>
        <v>0</v>
      </c>
      <c r="D170" s="480">
        <f>'[90]Sch C'!F176</f>
        <v>0</v>
      </c>
      <c r="E170" s="480">
        <f>+'[90]Sch C'!H176</f>
        <v>0</v>
      </c>
      <c r="F170" s="166">
        <f t="shared" si="58"/>
        <v>0</v>
      </c>
      <c r="G170" s="626"/>
      <c r="H170" s="607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'[90]Sch C'!D177</f>
        <v>154061</v>
      </c>
      <c r="D171" s="480">
        <f>'[90]Sch C'!F177</f>
        <v>-3915</v>
      </c>
      <c r="E171" s="480">
        <f>+'[90]Sch C'!H177</f>
        <v>0</v>
      </c>
      <c r="F171" s="166">
        <f t="shared" si="58"/>
        <v>150146</v>
      </c>
      <c r="G171" s="626"/>
      <c r="H171" s="607"/>
      <c r="I171" s="166">
        <f t="shared" si="59"/>
        <v>150146</v>
      </c>
      <c r="J171" s="167">
        <f t="shared" si="60"/>
        <v>2.3103139408687901E-2</v>
      </c>
      <c r="K171" s="468"/>
      <c r="L171" s="176">
        <v>3870</v>
      </c>
      <c r="M171" s="176">
        <v>4023</v>
      </c>
      <c r="N171" s="208"/>
      <c r="O171" s="329">
        <f t="shared" si="61"/>
        <v>8.3735430260442811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'[90]Sch C'!D178</f>
        <v>71777</v>
      </c>
      <c r="D172" s="480">
        <f>'[90]Sch C'!F178</f>
        <v>-20921</v>
      </c>
      <c r="E172" s="480">
        <f>+'[90]Sch C'!H178</f>
        <v>0</v>
      </c>
      <c r="F172" s="166">
        <f t="shared" si="58"/>
        <v>50856</v>
      </c>
      <c r="G172" s="626"/>
      <c r="H172" s="607"/>
      <c r="I172" s="166">
        <f t="shared" si="59"/>
        <v>50856</v>
      </c>
      <c r="J172" s="167">
        <f t="shared" si="60"/>
        <v>7.8252717872486239E-3</v>
      </c>
      <c r="K172" s="469"/>
      <c r="L172" s="212"/>
      <c r="M172" s="212"/>
      <c r="N172" s="208"/>
      <c r="O172" s="329">
        <f t="shared" si="61"/>
        <v>2.836205454241258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'[90]Sch C'!D179</f>
        <v>0</v>
      </c>
      <c r="D173" s="480">
        <f>'[90]Sch C'!F179</f>
        <v>5431</v>
      </c>
      <c r="E173" s="480">
        <f>+'[90]Sch C'!H179</f>
        <v>0</v>
      </c>
      <c r="F173" s="166">
        <f t="shared" si="58"/>
        <v>5431</v>
      </c>
      <c r="G173" s="626"/>
      <c r="H173" s="607"/>
      <c r="I173" s="166">
        <f t="shared" si="59"/>
        <v>5431</v>
      </c>
      <c r="J173" s="167">
        <f t="shared" si="60"/>
        <v>8.3567427789341033E-4</v>
      </c>
      <c r="K173" s="468"/>
      <c r="L173" s="176">
        <v>140</v>
      </c>
      <c r="M173" s="176">
        <v>146</v>
      </c>
      <c r="N173" s="208"/>
      <c r="O173" s="329">
        <f t="shared" si="61"/>
        <v>0.3028832747755284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'[90]Sch C'!D180</f>
        <v>0</v>
      </c>
      <c r="D174" s="480">
        <f>'[90]Sch C'!F180</f>
        <v>1840</v>
      </c>
      <c r="E174" s="480">
        <f>+'[90]Sch C'!H180</f>
        <v>0</v>
      </c>
      <c r="F174" s="166">
        <f t="shared" si="58"/>
        <v>1840</v>
      </c>
      <c r="G174" s="626"/>
      <c r="H174" s="607"/>
      <c r="I174" s="166">
        <f t="shared" si="59"/>
        <v>1840</v>
      </c>
      <c r="J174" s="167">
        <f t="shared" si="60"/>
        <v>2.8312293708780608E-4</v>
      </c>
      <c r="K174" s="469"/>
      <c r="L174" s="212"/>
      <c r="M174" s="212"/>
      <c r="N174" s="208"/>
      <c r="O174" s="329">
        <f t="shared" si="61"/>
        <v>0.10261558195304221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'[90]Sch C'!D181</f>
        <v>0</v>
      </c>
      <c r="D175" s="480">
        <f>'[90]Sch C'!F181</f>
        <v>0</v>
      </c>
      <c r="E175" s="480">
        <f>+'[90]Sch C'!H181</f>
        <v>0</v>
      </c>
      <c r="F175" s="166">
        <f t="shared" si="58"/>
        <v>0</v>
      </c>
      <c r="G175" s="626"/>
      <c r="H175" s="607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'[90]Sch C'!D182</f>
        <v>0</v>
      </c>
      <c r="D176" s="480">
        <f>'[90]Sch C'!F182</f>
        <v>0</v>
      </c>
      <c r="E176" s="480">
        <f>+'[90]Sch C'!H182</f>
        <v>0</v>
      </c>
      <c r="F176" s="166">
        <f t="shared" si="58"/>
        <v>0</v>
      </c>
      <c r="G176" s="626"/>
      <c r="H176" s="607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'[90]Sch C'!D183</f>
        <v>0</v>
      </c>
      <c r="D177" s="480">
        <f>'[90]Sch C'!F183</f>
        <v>56333</v>
      </c>
      <c r="E177" s="480">
        <f>+'[90]Sch C'!H183</f>
        <v>0</v>
      </c>
      <c r="F177" s="166">
        <f t="shared" si="58"/>
        <v>56333</v>
      </c>
      <c r="G177" s="626"/>
      <c r="H177" s="607"/>
      <c r="I177" s="166">
        <f t="shared" si="59"/>
        <v>56333</v>
      </c>
      <c r="J177" s="167">
        <f t="shared" si="60"/>
        <v>8.6680241385692289E-3</v>
      </c>
      <c r="K177" s="468"/>
      <c r="L177" s="176">
        <v>1663</v>
      </c>
      <c r="M177" s="176">
        <v>1681</v>
      </c>
      <c r="N177" s="208"/>
      <c r="O177" s="329">
        <f t="shared" si="61"/>
        <v>3.1416541185656128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'[90]Sch C'!D184</f>
        <v>0</v>
      </c>
      <c r="D178" s="480">
        <f>'[90]Sch C'!F184</f>
        <v>19081</v>
      </c>
      <c r="E178" s="480">
        <f>+'[90]Sch C'!H184</f>
        <v>0</v>
      </c>
      <c r="F178" s="166">
        <f t="shared" si="58"/>
        <v>19081</v>
      </c>
      <c r="G178" s="626"/>
      <c r="H178" s="607"/>
      <c r="I178" s="166">
        <f t="shared" si="59"/>
        <v>19081</v>
      </c>
      <c r="J178" s="167">
        <f t="shared" si="60"/>
        <v>2.9360156318328414E-3</v>
      </c>
      <c r="K178" s="469"/>
      <c r="L178" s="212"/>
      <c r="M178" s="212"/>
      <c r="N178" s="208"/>
      <c r="O178" s="329">
        <f t="shared" si="61"/>
        <v>1.0641347387206515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'[90]Sch C'!D185</f>
        <v>0</v>
      </c>
      <c r="D179" s="480">
        <f>'[90]Sch C'!F185</f>
        <v>0</v>
      </c>
      <c r="E179" s="480">
        <f>+'[90]Sch C'!H185</f>
        <v>0</v>
      </c>
      <c r="F179" s="166">
        <f t="shared" si="58"/>
        <v>0</v>
      </c>
      <c r="G179" s="626"/>
      <c r="H179" s="607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'[90]Sch C'!D186</f>
        <v>0</v>
      </c>
      <c r="D180" s="480">
        <f>'[90]Sch C'!F186</f>
        <v>0</v>
      </c>
      <c r="E180" s="480">
        <f>+'[90]Sch C'!H186</f>
        <v>0</v>
      </c>
      <c r="F180" s="166">
        <f t="shared" si="58"/>
        <v>0</v>
      </c>
      <c r="G180" s="626"/>
      <c r="H180" s="607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'[90]Sch C'!D187</f>
        <v>0</v>
      </c>
      <c r="D181" s="480">
        <f>'[90]Sch C'!F187</f>
        <v>0</v>
      </c>
      <c r="E181" s="480">
        <f>+'[90]Sch C'!H187</f>
        <v>0</v>
      </c>
      <c r="F181" s="166">
        <f t="shared" si="58"/>
        <v>0</v>
      </c>
      <c r="G181" s="626"/>
      <c r="H181" s="607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'[90]Sch C'!D188</f>
        <v>0</v>
      </c>
      <c r="D182" s="480">
        <f>'[90]Sch C'!F188</f>
        <v>0</v>
      </c>
      <c r="E182" s="480">
        <f>+'[90]Sch C'!H188</f>
        <v>0</v>
      </c>
      <c r="F182" s="166">
        <f t="shared" si="58"/>
        <v>0</v>
      </c>
      <c r="G182" s="626"/>
      <c r="H182" s="607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'[90]Sch C'!D189</f>
        <v>0</v>
      </c>
      <c r="D183" s="480">
        <f>'[90]Sch C'!F189</f>
        <v>0</v>
      </c>
      <c r="E183" s="480">
        <f>+'[90]Sch C'!H189</f>
        <v>0</v>
      </c>
      <c r="F183" s="166">
        <f t="shared" si="58"/>
        <v>0</v>
      </c>
      <c r="G183" s="626"/>
      <c r="H183" s="607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'[90]Sch C'!D190</f>
        <v>0</v>
      </c>
      <c r="D184" s="480">
        <f>'[90]Sch C'!F190</f>
        <v>0</v>
      </c>
      <c r="E184" s="480">
        <f>+'[90]Sch C'!H190</f>
        <v>0</v>
      </c>
      <c r="F184" s="166">
        <f t="shared" si="58"/>
        <v>0</v>
      </c>
      <c r="G184" s="626"/>
      <c r="H184" s="607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'[90]Sch C'!D191</f>
        <v>0</v>
      </c>
      <c r="D185" s="480">
        <f>'[90]Sch C'!F191</f>
        <v>0</v>
      </c>
      <c r="E185" s="480">
        <f>+'[90]Sch C'!H191</f>
        <v>0</v>
      </c>
      <c r="F185" s="166">
        <f t="shared" si="58"/>
        <v>0</v>
      </c>
      <c r="G185" s="626"/>
      <c r="H185" s="607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'[90]Sch C'!D192</f>
        <v>0</v>
      </c>
      <c r="D186" s="480">
        <f>'[90]Sch C'!F192</f>
        <v>0</v>
      </c>
      <c r="E186" s="480">
        <f>+'[90]Sch C'!H192</f>
        <v>0</v>
      </c>
      <c r="F186" s="166">
        <f t="shared" si="58"/>
        <v>0</v>
      </c>
      <c r="G186" s="626"/>
      <c r="H186" s="607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'[90]Sch C'!D193</f>
        <v>0</v>
      </c>
      <c r="D187" s="480">
        <f>'[90]Sch C'!F193</f>
        <v>0</v>
      </c>
      <c r="E187" s="480">
        <f>+'[90]Sch C'!H193</f>
        <v>0</v>
      </c>
      <c r="F187" s="166">
        <f t="shared" si="58"/>
        <v>0</v>
      </c>
      <c r="G187" s="626"/>
      <c r="H187" s="607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'[90]Sch C'!D194</f>
        <v>0</v>
      </c>
      <c r="D188" s="480">
        <f>'[90]Sch C'!F194</f>
        <v>0</v>
      </c>
      <c r="E188" s="480">
        <f>+'[90]Sch C'!H194</f>
        <v>0</v>
      </c>
      <c r="F188" s="166">
        <f t="shared" si="58"/>
        <v>0</v>
      </c>
      <c r="G188" s="626"/>
      <c r="H188" s="607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'[90]Sch C'!D195</f>
        <v>0</v>
      </c>
      <c r="D189" s="480">
        <f>'[90]Sch C'!F195</f>
        <v>0</v>
      </c>
      <c r="E189" s="480">
        <f>+'[90]Sch C'!H195</f>
        <v>0</v>
      </c>
      <c r="F189" s="166">
        <f t="shared" si="58"/>
        <v>0</v>
      </c>
      <c r="G189" s="626"/>
      <c r="H189" s="607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'[90]Sch C'!D196</f>
        <v>0</v>
      </c>
      <c r="D190" s="480">
        <f>'[90]Sch C'!F196</f>
        <v>0</v>
      </c>
      <c r="E190" s="480">
        <f>+'[90]Sch C'!H196</f>
        <v>0</v>
      </c>
      <c r="F190" s="166">
        <f t="shared" si="58"/>
        <v>0</v>
      </c>
      <c r="G190" s="626"/>
      <c r="H190" s="607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'[90]Sch C'!D197</f>
        <v>0</v>
      </c>
      <c r="D191" s="480">
        <f>'[90]Sch C'!F197</f>
        <v>0</v>
      </c>
      <c r="E191" s="480">
        <f>+'[90]Sch C'!H197</f>
        <v>0</v>
      </c>
      <c r="F191" s="166">
        <f t="shared" si="58"/>
        <v>0</v>
      </c>
      <c r="G191" s="626"/>
      <c r="H191" s="607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'[90]Sch C'!D198</f>
        <v>17995</v>
      </c>
      <c r="D192" s="480">
        <f>'[90]Sch C'!F198</f>
        <v>0</v>
      </c>
      <c r="E192" s="480">
        <f>+'[90]Sch C'!H198</f>
        <v>0</v>
      </c>
      <c r="F192" s="166">
        <f t="shared" si="58"/>
        <v>17995</v>
      </c>
      <c r="G192" s="626"/>
      <c r="H192" s="607"/>
      <c r="I192" s="166">
        <f t="shared" si="59"/>
        <v>17995</v>
      </c>
      <c r="J192" s="167">
        <f t="shared" si="60"/>
        <v>2.7689115504864513E-3</v>
      </c>
      <c r="K192" s="458"/>
      <c r="L192" s="213"/>
      <c r="M192" s="208"/>
      <c r="O192" s="329">
        <f t="shared" si="61"/>
        <v>1.0035692376331493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'[90]Sch C'!D199</f>
        <v>0</v>
      </c>
      <c r="D193" s="480">
        <f>'[90]Sch C'!F199</f>
        <v>0</v>
      </c>
      <c r="E193" s="480">
        <f>+'[90]Sch C'!H199</f>
        <v>0</v>
      </c>
      <c r="F193" s="166">
        <f t="shared" si="58"/>
        <v>0</v>
      </c>
      <c r="G193" s="626"/>
      <c r="H193" s="607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'[90]Sch C'!D200</f>
        <v>0</v>
      </c>
      <c r="D194" s="480">
        <f>'[90]Sch C'!F200</f>
        <v>0</v>
      </c>
      <c r="E194" s="480">
        <f>+'[90]Sch C'!H200</f>
        <v>0</v>
      </c>
      <c r="F194" s="166">
        <f t="shared" si="58"/>
        <v>0</v>
      </c>
      <c r="G194" s="626"/>
      <c r="H194" s="607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'[90]Sch C'!D201</f>
        <v>0</v>
      </c>
      <c r="D195" s="480">
        <f>'[90]Sch C'!F201</f>
        <v>0</v>
      </c>
      <c r="E195" s="480">
        <f>+'[90]Sch C'!H201</f>
        <v>0</v>
      </c>
      <c r="F195" s="166">
        <f t="shared" si="58"/>
        <v>0</v>
      </c>
      <c r="G195" s="626"/>
      <c r="H195" s="607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'[90]Sch C'!D202</f>
        <v>0</v>
      </c>
      <c r="D196" s="480">
        <f>'[90]Sch C'!F202</f>
        <v>0</v>
      </c>
      <c r="E196" s="480">
        <f>+'[90]Sch C'!H202</f>
        <v>0</v>
      </c>
      <c r="F196" s="166">
        <f t="shared" si="58"/>
        <v>0</v>
      </c>
      <c r="G196" s="626"/>
      <c r="H196" s="607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'[90]Sch C'!D203</f>
        <v>0</v>
      </c>
      <c r="D197" s="480">
        <f>'[90]Sch C'!F203</f>
        <v>0</v>
      </c>
      <c r="E197" s="480">
        <f>+'[90]Sch C'!H203</f>
        <v>0</v>
      </c>
      <c r="F197" s="166">
        <f t="shared" si="58"/>
        <v>0</v>
      </c>
      <c r="G197" s="626"/>
      <c r="H197" s="607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'[90]Sch C'!D204</f>
        <v>0</v>
      </c>
      <c r="D198" s="480">
        <f>'[90]Sch C'!F204</f>
        <v>0</v>
      </c>
      <c r="E198" s="480">
        <f>+'[90]Sch C'!H204</f>
        <v>0</v>
      </c>
      <c r="F198" s="166">
        <f t="shared" si="58"/>
        <v>0</v>
      </c>
      <c r="G198" s="626"/>
      <c r="H198" s="607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'[90]Sch C'!D205</f>
        <v>146450</v>
      </c>
      <c r="D199" s="480">
        <f>'[90]Sch C'!F205</f>
        <v>0</v>
      </c>
      <c r="E199" s="480">
        <f>+'[90]Sch C'!H205</f>
        <v>0</v>
      </c>
      <c r="F199" s="166">
        <f t="shared" si="58"/>
        <v>146450</v>
      </c>
      <c r="G199" s="626"/>
      <c r="H199" s="607"/>
      <c r="I199" s="166">
        <f t="shared" si="59"/>
        <v>146450</v>
      </c>
      <c r="J199" s="167">
        <f t="shared" si="60"/>
        <v>2.2534431595928914E-2</v>
      </c>
      <c r="K199" s="458"/>
      <c r="L199" s="213"/>
      <c r="M199" s="208"/>
      <c r="O199" s="329">
        <f t="shared" si="61"/>
        <v>8.1674195527299087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'[90]Sch C'!D206</f>
        <v>19251</v>
      </c>
      <c r="D200" s="480">
        <f>'[90]Sch C'!F206</f>
        <v>0</v>
      </c>
      <c r="E200" s="480">
        <f>+'[90]Sch C'!H206</f>
        <v>0</v>
      </c>
      <c r="F200" s="166">
        <f t="shared" si="58"/>
        <v>19251</v>
      </c>
      <c r="G200" s="626"/>
      <c r="H200" s="607"/>
      <c r="I200" s="166">
        <f t="shared" si="59"/>
        <v>19251</v>
      </c>
      <c r="J200" s="167">
        <f t="shared" si="60"/>
        <v>2.9621737292811713E-3</v>
      </c>
      <c r="K200" s="458"/>
      <c r="L200" s="213"/>
      <c r="M200" s="208"/>
      <c r="O200" s="329">
        <f t="shared" si="61"/>
        <v>1.0736155261837041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'[90]Sch C'!D207</f>
        <v>0</v>
      </c>
      <c r="D201" s="480">
        <f>'[90]Sch C'!F207</f>
        <v>0</v>
      </c>
      <c r="E201" s="480">
        <f>+'[90]Sch C'!H207</f>
        <v>0</v>
      </c>
      <c r="F201" s="166">
        <f t="shared" si="58"/>
        <v>0</v>
      </c>
      <c r="G201" s="626"/>
      <c r="H201" s="607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467383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467383</v>
      </c>
      <c r="G202" s="166">
        <f t="shared" si="63"/>
        <v>0</v>
      </c>
      <c r="H202" s="166">
        <f t="shared" si="63"/>
        <v>0</v>
      </c>
      <c r="I202" s="166">
        <f t="shared" si="63"/>
        <v>467383</v>
      </c>
      <c r="J202" s="167">
        <f>IF($I$213=0,0,I202/$I$213)</f>
        <v>7.1916765057016344E-2</v>
      </c>
      <c r="K202" s="458"/>
      <c r="L202" s="163"/>
      <c r="M202" s="163"/>
      <c r="O202" s="329">
        <f>I202/I$233</f>
        <v>26.065640510847135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'[90]Sch C'!D211</f>
        <v>120386</v>
      </c>
      <c r="D205" s="480">
        <f>'[90]Sch C'!F211</f>
        <v>0</v>
      </c>
      <c r="E205" s="480">
        <f>+'[90]Sch C'!H211</f>
        <v>0</v>
      </c>
      <c r="F205" s="166">
        <f t="shared" ref="F205:F210" si="64">C205+D205+E205</f>
        <v>120386</v>
      </c>
      <c r="G205" s="626"/>
      <c r="H205" s="607"/>
      <c r="I205" s="166">
        <f t="shared" ref="I205:I210" si="65">F205+G205+H205</f>
        <v>120386</v>
      </c>
      <c r="J205" s="167">
        <f t="shared" ref="J205:J211" si="66">IF($I$213=0,0,I205/$I$213)</f>
        <v>1.8523933643615556E-2</v>
      </c>
      <c r="K205" s="458"/>
      <c r="L205" s="176">
        <v>5922</v>
      </c>
      <c r="M205" s="176">
        <v>6317</v>
      </c>
      <c r="O205" s="329">
        <f t="shared" ref="O205:O210" si="67">I205/I$233</f>
        <v>6.7138475266298592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'[90]Sch C'!D212</f>
        <v>60942</v>
      </c>
      <c r="D206" s="480">
        <f>'[90]Sch C'!F212</f>
        <v>0</v>
      </c>
      <c r="E206" s="480">
        <f>+'[90]Sch C'!H212</f>
        <v>0</v>
      </c>
      <c r="F206" s="166">
        <f t="shared" si="64"/>
        <v>60942</v>
      </c>
      <c r="G206" s="626"/>
      <c r="H206" s="607"/>
      <c r="I206" s="166">
        <f t="shared" si="65"/>
        <v>60942</v>
      </c>
      <c r="J206" s="167">
        <f t="shared" si="66"/>
        <v>9.3772163217418908E-3</v>
      </c>
      <c r="K206" s="458"/>
      <c r="L206" s="163"/>
      <c r="M206" s="163"/>
      <c r="O206" s="329">
        <f t="shared" si="67"/>
        <v>3.39869499749038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'[90]Sch C'!D213</f>
        <v>11476</v>
      </c>
      <c r="D207" s="480">
        <f>'[90]Sch C'!F213</f>
        <v>0</v>
      </c>
      <c r="E207" s="480">
        <f>+'[90]Sch C'!H213</f>
        <v>0</v>
      </c>
      <c r="F207" s="166">
        <f t="shared" si="64"/>
        <v>11476</v>
      </c>
      <c r="G207" s="626">
        <v>-334</v>
      </c>
      <c r="H207" s="607"/>
      <c r="I207" s="166">
        <f t="shared" si="65"/>
        <v>11142</v>
      </c>
      <c r="J207" s="167">
        <f t="shared" si="66"/>
        <v>1.7144324809958346E-3</v>
      </c>
      <c r="K207" s="458"/>
      <c r="L207" s="163"/>
      <c r="M207" s="163"/>
      <c r="O207" s="329">
        <f t="shared" si="67"/>
        <v>0.62138196419608505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'[90]Sch C'!D214</f>
        <v>0</v>
      </c>
      <c r="D208" s="480">
        <f>'[90]Sch C'!F214</f>
        <v>0</v>
      </c>
      <c r="E208" s="480">
        <f>+'[90]Sch C'!H214</f>
        <v>0</v>
      </c>
      <c r="F208" s="166">
        <f t="shared" si="64"/>
        <v>0</v>
      </c>
      <c r="G208" s="626"/>
      <c r="H208" s="607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'[90]Sch C'!D215</f>
        <v>0</v>
      </c>
      <c r="D209" s="480">
        <f>'[90]Sch C'!F215</f>
        <v>0</v>
      </c>
      <c r="E209" s="480">
        <f>+'[90]Sch C'!H215</f>
        <v>0</v>
      </c>
      <c r="F209" s="166">
        <f t="shared" si="64"/>
        <v>0</v>
      </c>
      <c r="G209" s="626"/>
      <c r="H209" s="607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'[90]Sch C'!D216</f>
        <v>5597</v>
      </c>
      <c r="D210" s="480">
        <f>'[90]Sch C'!F216</f>
        <v>0</v>
      </c>
      <c r="E210" s="480">
        <f>+'[90]Sch C'!H216</f>
        <v>0</v>
      </c>
      <c r="F210" s="166">
        <f t="shared" si="64"/>
        <v>5597</v>
      </c>
      <c r="G210" s="626"/>
      <c r="H210" s="607"/>
      <c r="I210" s="166">
        <f t="shared" si="65"/>
        <v>5597</v>
      </c>
      <c r="J210" s="167">
        <f t="shared" si="66"/>
        <v>8.6121689069589718E-4</v>
      </c>
      <c r="K210" s="458"/>
      <c r="L210" s="163"/>
      <c r="M210" s="163"/>
      <c r="O210" s="329">
        <f t="shared" si="67"/>
        <v>0.31214098488650938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198401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198401</v>
      </c>
      <c r="G211" s="166">
        <f t="shared" si="69"/>
        <v>-334</v>
      </c>
      <c r="H211" s="166">
        <f t="shared" si="69"/>
        <v>0</v>
      </c>
      <c r="I211" s="166">
        <f t="shared" si="69"/>
        <v>198067</v>
      </c>
      <c r="J211" s="167">
        <f t="shared" si="66"/>
        <v>3.0476799337049179E-2</v>
      </c>
      <c r="K211" s="458"/>
      <c r="L211" s="163"/>
      <c r="M211" s="163"/>
      <c r="O211" s="329">
        <f>I211/I$233</f>
        <v>11.046065473202834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6109697.5999999996</v>
      </c>
      <c r="D213" s="480">
        <f t="shared" si="70"/>
        <v>-20471</v>
      </c>
      <c r="E213" s="480">
        <f t="shared" si="70"/>
        <v>0</v>
      </c>
      <c r="F213" s="166">
        <f t="shared" ref="F213:I213" si="71">SUM(F30:F211)/2</f>
        <v>6089226.5999999996</v>
      </c>
      <c r="G213" s="166">
        <f t="shared" si="71"/>
        <v>-188694</v>
      </c>
      <c r="H213" s="166">
        <f t="shared" si="71"/>
        <v>598411</v>
      </c>
      <c r="I213" s="166">
        <f t="shared" si="71"/>
        <v>6498943.5999999996</v>
      </c>
      <c r="J213" s="167">
        <f>IF($I$213=0,0,I213/$I$213)</f>
        <v>1</v>
      </c>
      <c r="K213" s="458"/>
      <c r="L213" s="176">
        <f>SUM(L30:L205)</f>
        <v>134645</v>
      </c>
      <c r="M213" s="176">
        <f>SUM(M30:M205)</f>
        <v>139265</v>
      </c>
      <c r="O213" s="329">
        <f>I213/I$233</f>
        <v>362.44178238804301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'[90]Sch C'!D221</f>
        <v>6109698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-0.40000000037252903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-2594.5999999996275</v>
      </c>
      <c r="D220" s="480">
        <f t="shared" si="72"/>
        <v>20471</v>
      </c>
      <c r="E220" s="480">
        <f t="shared" si="72"/>
        <v>0</v>
      </c>
      <c r="F220" s="166">
        <f t="shared" ref="F220:I220" si="73">F26-F213</f>
        <v>17876.400000000373</v>
      </c>
      <c r="G220" s="166">
        <f t="shared" si="73"/>
        <v>1078413</v>
      </c>
      <c r="H220" s="166">
        <f t="shared" si="73"/>
        <v>-598411</v>
      </c>
      <c r="I220" s="166">
        <f t="shared" si="73"/>
        <v>497878.40000000037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'[90]Sch D'!C9</f>
        <v>11628</v>
      </c>
      <c r="D224" s="480"/>
      <c r="E224" s="480"/>
      <c r="F224" s="224">
        <f>C224+D224+E224</f>
        <v>11628</v>
      </c>
      <c r="G224" s="627"/>
      <c r="H224" s="223"/>
      <c r="I224" s="224">
        <f>F224+G224+H224</f>
        <v>11628</v>
      </c>
      <c r="J224" s="167">
        <f t="shared" ref="J224:J233" si="74">IF($I$233=0,0,I224/$I$233)</f>
        <v>0.64848586247281248</v>
      </c>
      <c r="K224" s="458"/>
      <c r="L224" s="163"/>
      <c r="M224" s="163"/>
    </row>
    <row r="225" spans="1:13">
      <c r="A225" s="158"/>
      <c r="B225" s="165" t="s">
        <v>201</v>
      </c>
      <c r="C225" s="504">
        <f>'[90]Sch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'[90]Sch D'!E9</f>
        <v>2241</v>
      </c>
      <c r="D226" s="480"/>
      <c r="E226" s="480"/>
      <c r="F226" s="224">
        <f t="shared" si="75"/>
        <v>2241</v>
      </c>
      <c r="G226" s="627"/>
      <c r="H226" s="223"/>
      <c r="I226" s="224">
        <f t="shared" si="76"/>
        <v>2241</v>
      </c>
      <c r="J226" s="167">
        <f t="shared" si="74"/>
        <v>0.12497908649824327</v>
      </c>
      <c r="K226" s="458"/>
      <c r="L226" s="163"/>
      <c r="M226" s="163"/>
    </row>
    <row r="227" spans="1:13">
      <c r="A227" s="158"/>
      <c r="B227" s="194" t="s">
        <v>315</v>
      </c>
      <c r="C227" s="504">
        <f>'[90]Sch D'!F9</f>
        <v>804</v>
      </c>
      <c r="D227" s="480"/>
      <c r="E227" s="480"/>
      <c r="F227" s="224">
        <f t="shared" si="75"/>
        <v>804</v>
      </c>
      <c r="G227" s="627"/>
      <c r="H227" s="223"/>
      <c r="I227" s="224">
        <f t="shared" si="76"/>
        <v>804</v>
      </c>
      <c r="J227" s="167">
        <f t="shared" si="74"/>
        <v>4.483854776643801E-2</v>
      </c>
      <c r="K227" s="458"/>
      <c r="L227" s="163"/>
      <c r="M227" s="163"/>
    </row>
    <row r="228" spans="1:13">
      <c r="A228" s="158"/>
      <c r="B228" s="165" t="s">
        <v>65</v>
      </c>
      <c r="C228" s="504">
        <f>'[90]Sch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'[90]Sch D'!H9</f>
        <v>3249</v>
      </c>
      <c r="D229" s="480"/>
      <c r="E229" s="480"/>
      <c r="F229" s="224">
        <f t="shared" si="75"/>
        <v>3249</v>
      </c>
      <c r="G229" s="627"/>
      <c r="H229" s="223"/>
      <c r="I229" s="224">
        <f t="shared" si="76"/>
        <v>3249</v>
      </c>
      <c r="J229" s="167">
        <f t="shared" si="74"/>
        <v>0.18119457922034465</v>
      </c>
      <c r="K229" s="458"/>
      <c r="L229" s="163"/>
      <c r="M229" s="163"/>
    </row>
    <row r="230" spans="1:13">
      <c r="A230" s="158"/>
      <c r="B230" s="165" t="s">
        <v>219</v>
      </c>
      <c r="C230" s="504">
        <f>'[90]Sch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458"/>
      <c r="L230" s="163"/>
      <c r="M230" s="163"/>
    </row>
    <row r="231" spans="1:13">
      <c r="A231" s="158"/>
      <c r="B231" s="165" t="s">
        <v>218</v>
      </c>
      <c r="C231" s="504">
        <f>'[90]Sch D'!J9</f>
        <v>4</v>
      </c>
      <c r="D231" s="480"/>
      <c r="E231" s="480"/>
      <c r="F231" s="224">
        <f t="shared" si="75"/>
        <v>4</v>
      </c>
      <c r="G231" s="627"/>
      <c r="H231" s="223"/>
      <c r="I231" s="224">
        <f t="shared" si="76"/>
        <v>4</v>
      </c>
      <c r="J231" s="167">
        <f>IF($I$233=0,0,I231/$I$233)</f>
        <v>2.2307735207183091E-4</v>
      </c>
      <c r="K231" s="458"/>
      <c r="L231" s="163"/>
      <c r="M231" s="163"/>
    </row>
    <row r="232" spans="1:13">
      <c r="A232" s="158"/>
      <c r="B232" s="165" t="s">
        <v>170</v>
      </c>
      <c r="C232" s="504">
        <f>'[90]Sch D'!K9</f>
        <v>5</v>
      </c>
      <c r="D232" s="480"/>
      <c r="E232" s="480"/>
      <c r="F232" s="224">
        <f t="shared" si="75"/>
        <v>5</v>
      </c>
      <c r="G232" s="627"/>
      <c r="H232" s="223"/>
      <c r="I232" s="224">
        <f t="shared" si="76"/>
        <v>5</v>
      </c>
      <c r="J232" s="167">
        <f t="shared" si="74"/>
        <v>2.7884669008978861E-4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17931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17931</v>
      </c>
      <c r="G233" s="226">
        <f t="shared" si="78"/>
        <v>0</v>
      </c>
      <c r="H233" s="226">
        <f t="shared" si="78"/>
        <v>0</v>
      </c>
      <c r="I233" s="226">
        <f t="shared" si="78"/>
        <v>17931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'[90]Sch D'!N22</f>
        <v>90</v>
      </c>
      <c r="D236" s="480"/>
      <c r="E236" s="480"/>
      <c r="F236" s="224">
        <f>C236+E236</f>
        <v>90</v>
      </c>
      <c r="G236" s="627"/>
      <c r="H236" s="224"/>
      <c r="I236" s="224">
        <f>F236+G236+H236</f>
        <v>90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'[90]Sch D'!N24</f>
        <v>90</v>
      </c>
      <c r="D237" s="480"/>
      <c r="E237" s="480"/>
      <c r="F237" s="224">
        <f>C237+E237</f>
        <v>90</v>
      </c>
      <c r="G237" s="627"/>
      <c r="H237" s="224"/>
      <c r="I237" s="224">
        <f>F237+G237+H237</f>
        <v>90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'[90]Sch D'!N28</f>
        <v>32850</v>
      </c>
      <c r="D240" s="427"/>
      <c r="E240" s="427"/>
      <c r="F240" s="223">
        <f>F236*F238</f>
        <v>32850</v>
      </c>
      <c r="G240"/>
      <c r="H240" s="228"/>
      <c r="I240" s="223">
        <f>I236*I238</f>
        <v>32850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'[90]Sch D'!N30</f>
        <v>0.54584474885844747</v>
      </c>
      <c r="D241" s="228"/>
      <c r="E241" s="228"/>
      <c r="F241" s="232">
        <f>F233/F240</f>
        <v>0.54584474885844747</v>
      </c>
      <c r="G241"/>
      <c r="H241" s="233"/>
      <c r="I241" s="232">
        <f>I233/I240</f>
        <v>0.54584474885844747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'[90]Sch D'!N32</f>
        <v>0.35397260273972603</v>
      </c>
      <c r="D242" s="228"/>
      <c r="E242" s="228"/>
      <c r="F242" s="232">
        <f>(F224+F225)/F240</f>
        <v>0.35397260273972603</v>
      </c>
      <c r="G242"/>
      <c r="H242" s="233"/>
      <c r="I242" s="232">
        <f>(I224+I225)/I240</f>
        <v>0.35397260273972603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'[90]Sch D'!N34</f>
        <v>0.64848586247281248</v>
      </c>
      <c r="D243" s="228"/>
      <c r="E243" s="228"/>
      <c r="F243" s="232">
        <f>(F242/F241)</f>
        <v>0.64848586247281248</v>
      </c>
      <c r="G243"/>
      <c r="H243" s="233"/>
      <c r="I243" s="232">
        <f>(I242/I241)</f>
        <v>0.64848586247281248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'[90]Sch B'!C90</f>
        <v>208.15601965601965</v>
      </c>
      <c r="K246" s="460"/>
    </row>
    <row r="247" spans="1:13">
      <c r="H247" s="140" t="s">
        <v>322</v>
      </c>
      <c r="I247" s="480">
        <f>'[90]Sch B'!E90</f>
        <v>178.73786407766991</v>
      </c>
      <c r="K247" s="460"/>
    </row>
    <row r="248" spans="1:13">
      <c r="H248" s="140" t="s">
        <v>323</v>
      </c>
      <c r="I248" s="480">
        <f>'[90]Sch B'!G90</f>
        <v>203.29365079365078</v>
      </c>
      <c r="K248" s="460"/>
    </row>
    <row r="249" spans="1:13">
      <c r="H249" s="140" t="s">
        <v>324</v>
      </c>
      <c r="I249" s="480">
        <f>'[90]Sch B'!I90</f>
        <v>205.22129436325679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127">
      <selection activeCell="F131" sqref="F131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0">
    <tabColor rgb="FFE28CAB"/>
  </sheetPr>
  <dimension ref="A1:Q277"/>
  <sheetViews>
    <sheetView showGridLines="0" topLeftCell="B9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8203125" style="138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</row>
    <row r="2" spans="1:16" ht="23">
      <c r="B2" s="141" t="s">
        <v>178</v>
      </c>
      <c r="C2" s="234" t="s">
        <v>341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'[91]Sch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'[91]Sch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519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519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519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520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520"/>
      <c r="L11" s="163"/>
      <c r="M11" s="163"/>
    </row>
    <row r="12" spans="1:16" s="162" customFormat="1">
      <c r="A12" s="158"/>
      <c r="B12" s="160" t="s">
        <v>512</v>
      </c>
      <c r="C12" s="480">
        <f>'[91]Sch B'!E10</f>
        <v>2784812.1500000004</v>
      </c>
      <c r="D12" s="480">
        <f>'[91]Sch B'!G10</f>
        <v>0</v>
      </c>
      <c r="E12" s="480"/>
      <c r="F12" s="166">
        <f>C12+D12+E12</f>
        <v>2784812.1500000004</v>
      </c>
      <c r="G12" s="626"/>
      <c r="H12" s="626"/>
      <c r="I12" s="166">
        <f>F12+G12+H12</f>
        <v>2784812.1500000004</v>
      </c>
      <c r="J12" s="167">
        <f>IF($I$26=0,0,I12/$I$26)</f>
        <v>0.37897124955351358</v>
      </c>
      <c r="K12" s="520"/>
      <c r="L12" s="163"/>
      <c r="M12" s="163"/>
    </row>
    <row r="13" spans="1:16" s="162" customFormat="1">
      <c r="A13" s="158"/>
      <c r="B13" s="160" t="s">
        <v>513</v>
      </c>
      <c r="C13" s="480">
        <f>'[91]Sch B'!E12</f>
        <v>1268552.05</v>
      </c>
      <c r="D13" s="480">
        <f>'[91]Sch B'!G12</f>
        <v>-353382.73</v>
      </c>
      <c r="E13" s="480"/>
      <c r="F13" s="166">
        <f t="shared" ref="F13:F25" si="0">C13+D13+E13</f>
        <v>915169.32000000007</v>
      </c>
      <c r="G13" s="626">
        <f>271476+33799+319584</f>
        <v>624859</v>
      </c>
      <c r="H13" s="626"/>
      <c r="I13" s="166">
        <f t="shared" ref="I13:I25" si="1">F13+G13+H13</f>
        <v>1540028.32</v>
      </c>
      <c r="J13" s="167">
        <f>IF($I$26=0,0,I13/$I$26)</f>
        <v>0.20957480265884296</v>
      </c>
      <c r="K13" s="520"/>
      <c r="L13" s="163"/>
      <c r="M13" s="163"/>
    </row>
    <row r="14" spans="1:16" s="162" customFormat="1">
      <c r="A14" s="158"/>
      <c r="B14" s="160" t="s">
        <v>514</v>
      </c>
      <c r="C14" s="480">
        <f>'[91]Sch B'!E13</f>
        <v>0</v>
      </c>
      <c r="D14" s="480">
        <f>'[91]Sch B'!G13</f>
        <v>0</v>
      </c>
      <c r="E14" s="480"/>
      <c r="F14" s="166">
        <f t="shared" si="0"/>
        <v>0</v>
      </c>
      <c r="G14" s="626"/>
      <c r="H14" s="626"/>
      <c r="I14" s="166">
        <f t="shared" si="1"/>
        <v>0</v>
      </c>
      <c r="J14" s="167">
        <f>IF($I$26=0,0,I14/$I$26)</f>
        <v>0</v>
      </c>
      <c r="K14" s="520"/>
      <c r="L14" s="163"/>
      <c r="M14" s="163"/>
    </row>
    <row r="15" spans="1:16" s="162" customFormat="1" ht="13.5" thickBot="1">
      <c r="A15" s="158"/>
      <c r="B15" s="160" t="s">
        <v>515</v>
      </c>
      <c r="C15" s="480">
        <f>'[91]Sch B'!E14</f>
        <v>19986.21</v>
      </c>
      <c r="D15" s="480">
        <f>'[91]Sch B'!G14</f>
        <v>0</v>
      </c>
      <c r="E15" s="480"/>
      <c r="F15" s="166">
        <f t="shared" si="0"/>
        <v>19986.21</v>
      </c>
      <c r="G15" s="626"/>
      <c r="H15" s="626"/>
      <c r="I15" s="166">
        <f t="shared" si="1"/>
        <v>19986.21</v>
      </c>
      <c r="J15" s="167">
        <f>IF($I$26=0,0,I15/$I$26)</f>
        <v>2.71982402028048E-3</v>
      </c>
      <c r="K15" s="520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'[91]Sch B'!E15</f>
        <v>4073350.41</v>
      </c>
      <c r="D16" s="480">
        <f>'[91]Sch B'!G15</f>
        <v>-353382.73</v>
      </c>
      <c r="E16" s="480"/>
      <c r="F16" s="166">
        <f t="shared" si="0"/>
        <v>3719967.68</v>
      </c>
      <c r="G16" s="626"/>
      <c r="H16" s="626"/>
      <c r="I16" s="166">
        <f>SUM(I12:I15)</f>
        <v>4344826.6800000006</v>
      </c>
      <c r="J16" s="167">
        <f t="shared" ref="J16:J26" si="2">IF($I$26=0,0,I16/$I$26)</f>
        <v>0.59126587623263704</v>
      </c>
      <c r="K16" s="520"/>
      <c r="L16" s="333" t="s">
        <v>325</v>
      </c>
      <c r="M16" s="334">
        <f>I26</f>
        <v>7348346.75</v>
      </c>
      <c r="O16" s="324">
        <f>IFERROR(I16/I224,0)</f>
        <v>284.25428066732093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'[91]Sch B'!E20</f>
        <v>0</v>
      </c>
      <c r="D17" s="480">
        <f>'[91]Sch B'!G20</f>
        <v>0</v>
      </c>
      <c r="E17" s="480"/>
      <c r="F17" s="166">
        <f t="shared" si="0"/>
        <v>0</v>
      </c>
      <c r="G17" s="626"/>
      <c r="H17" s="626"/>
      <c r="I17" s="166">
        <f t="shared" si="1"/>
        <v>0</v>
      </c>
      <c r="J17" s="167">
        <f t="shared" si="2"/>
        <v>0</v>
      </c>
      <c r="K17" s="520"/>
      <c r="L17" s="335" t="s">
        <v>326</v>
      </c>
      <c r="M17" s="336">
        <f>I213</f>
        <v>7163909.7599999988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'[91]Sch B'!E26</f>
        <v>992762.15999999992</v>
      </c>
      <c r="D18" s="480">
        <f>'[91]Sch B'!G26</f>
        <v>0</v>
      </c>
      <c r="E18" s="480"/>
      <c r="F18" s="166">
        <f t="shared" si="0"/>
        <v>992762.15999999992</v>
      </c>
      <c r="G18" s="626">
        <v>-34153</v>
      </c>
      <c r="H18" s="626"/>
      <c r="I18" s="166">
        <f t="shared" si="1"/>
        <v>958609.15999999992</v>
      </c>
      <c r="J18" s="167">
        <f t="shared" si="2"/>
        <v>0.13045235787219756</v>
      </c>
      <c r="K18" s="520"/>
      <c r="L18" s="335" t="s">
        <v>327</v>
      </c>
      <c r="M18" s="336">
        <f>I233</f>
        <v>22468</v>
      </c>
      <c r="O18" s="324">
        <f t="shared" si="3"/>
        <v>459.98520153550862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'[91]Sch B'!E32</f>
        <v>14226.630000000001</v>
      </c>
      <c r="D19" s="480">
        <f>'[91]Sch B'!G32</f>
        <v>0</v>
      </c>
      <c r="E19" s="480"/>
      <c r="F19" s="166">
        <f t="shared" si="0"/>
        <v>14226.630000000001</v>
      </c>
      <c r="G19" s="626"/>
      <c r="H19" s="626"/>
      <c r="I19" s="166">
        <f t="shared" si="1"/>
        <v>14226.630000000001</v>
      </c>
      <c r="J19" s="170">
        <f t="shared" si="2"/>
        <v>1.9360313937281199E-3</v>
      </c>
      <c r="K19" s="520"/>
      <c r="L19" s="335" t="s">
        <v>328</v>
      </c>
      <c r="M19" s="336">
        <f>I236</f>
        <v>110</v>
      </c>
      <c r="O19" s="324">
        <f t="shared" si="3"/>
        <v>316.14733333333334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'[91]Sch B'!E37</f>
        <v>0</v>
      </c>
      <c r="D20" s="480">
        <f>'[91]Sch B'!G37</f>
        <v>0</v>
      </c>
      <c r="E20" s="480"/>
      <c r="F20" s="166">
        <f t="shared" si="0"/>
        <v>0</v>
      </c>
      <c r="G20" s="626"/>
      <c r="H20" s="626"/>
      <c r="I20" s="166">
        <f t="shared" si="1"/>
        <v>0</v>
      </c>
      <c r="J20" s="167">
        <f t="shared" si="2"/>
        <v>0</v>
      </c>
      <c r="K20" s="520"/>
      <c r="L20" s="335" t="s">
        <v>329</v>
      </c>
      <c r="M20" s="336">
        <f>I240</f>
        <v>40150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'[91]Sch B'!E42</f>
        <v>973931.42</v>
      </c>
      <c r="D21" s="480">
        <f>'[91]Sch B'!G42</f>
        <v>0</v>
      </c>
      <c r="E21" s="480"/>
      <c r="F21" s="166">
        <f t="shared" si="0"/>
        <v>973931.42</v>
      </c>
      <c r="G21" s="626"/>
      <c r="H21" s="626"/>
      <c r="I21" s="166">
        <f t="shared" si="1"/>
        <v>973931.42</v>
      </c>
      <c r="J21" s="167">
        <f t="shared" si="2"/>
        <v>0.13253748810914509</v>
      </c>
      <c r="K21" s="520"/>
      <c r="L21" s="337"/>
      <c r="M21" s="336"/>
      <c r="O21" s="324">
        <f t="shared" si="3"/>
        <v>192.70506925207758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'[91]Sch B'!E47</f>
        <v>0</v>
      </c>
      <c r="D22" s="480">
        <f>'[91]Sch B'!G47</f>
        <v>0</v>
      </c>
      <c r="E22" s="480"/>
      <c r="F22" s="166">
        <f t="shared" si="0"/>
        <v>0</v>
      </c>
      <c r="G22" s="626"/>
      <c r="H22" s="626"/>
      <c r="I22" s="166">
        <f t="shared" si="1"/>
        <v>0</v>
      </c>
      <c r="J22" s="167">
        <f t="shared" si="2"/>
        <v>0</v>
      </c>
      <c r="K22" s="571"/>
      <c r="L22" s="335" t="s">
        <v>148</v>
      </c>
      <c r="M22" s="336">
        <f>L213</f>
        <v>178789.47000000003</v>
      </c>
      <c r="O22" s="324">
        <f t="shared" si="3"/>
        <v>0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'[91]Sch B'!E52</f>
        <v>0</v>
      </c>
      <c r="D23" s="480">
        <f>'[91]Sch B'!G52</f>
        <v>0</v>
      </c>
      <c r="E23" s="480"/>
      <c r="F23" s="166">
        <f t="shared" si="0"/>
        <v>0</v>
      </c>
      <c r="G23" s="626"/>
      <c r="H23" s="626"/>
      <c r="I23" s="166">
        <f t="shared" si="1"/>
        <v>0</v>
      </c>
      <c r="J23" s="167">
        <f t="shared" si="2"/>
        <v>0</v>
      </c>
      <c r="K23" s="571"/>
      <c r="L23" s="338" t="s">
        <v>233</v>
      </c>
      <c r="M23" s="339">
        <f>M213</f>
        <v>192745.49000000005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'[91]Sch B'!E57</f>
        <v>0</v>
      </c>
      <c r="D24" s="480">
        <f>'[91]Sch B'!G57</f>
        <v>0</v>
      </c>
      <c r="E24" s="480"/>
      <c r="F24" s="166">
        <f t="shared" si="0"/>
        <v>0</v>
      </c>
      <c r="G24" s="626"/>
      <c r="H24" s="626"/>
      <c r="I24" s="166">
        <f t="shared" si="1"/>
        <v>0</v>
      </c>
      <c r="J24" s="167">
        <f t="shared" si="2"/>
        <v>0</v>
      </c>
      <c r="K24" s="520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'[91]Sch B'!E72</f>
        <v>1022599.86</v>
      </c>
      <c r="D25" s="480">
        <f>'[91]Sch B'!G72</f>
        <v>0</v>
      </c>
      <c r="E25" s="480"/>
      <c r="F25" s="166">
        <f t="shared" si="0"/>
        <v>1022599.86</v>
      </c>
      <c r="G25" s="626">
        <v>34153</v>
      </c>
      <c r="H25" s="626"/>
      <c r="I25" s="166">
        <f t="shared" si="1"/>
        <v>1056752.8599999999</v>
      </c>
      <c r="J25" s="167">
        <f t="shared" si="2"/>
        <v>0.14380824639229223</v>
      </c>
      <c r="K25" s="520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7076870.4800000004</v>
      </c>
      <c r="D26" s="480">
        <f t="shared" ref="D26:F26" si="4">SUM(D16:D25)</f>
        <v>-353382.73</v>
      </c>
      <c r="E26" s="480">
        <f t="shared" si="4"/>
        <v>0</v>
      </c>
      <c r="F26" s="166">
        <f t="shared" si="4"/>
        <v>6723487.75</v>
      </c>
      <c r="G26" s="166">
        <f>SUM(G12:G25)</f>
        <v>624859</v>
      </c>
      <c r="H26" s="166">
        <f>SUM(H12:H25)</f>
        <v>0</v>
      </c>
      <c r="I26" s="166">
        <f>SUM(I16:I25)</f>
        <v>7348346.75</v>
      </c>
      <c r="J26" s="167">
        <f t="shared" si="2"/>
        <v>1</v>
      </c>
      <c r="K26" s="520"/>
      <c r="L26" s="163"/>
      <c r="M26" s="163"/>
      <c r="O26" s="324">
        <f>IFERROR(I26/I233,0)</f>
        <v>327.05833852590348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519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519"/>
      <c r="O28" s="328"/>
      <c r="P28" s="328"/>
    </row>
    <row r="29" spans="1:16">
      <c r="A29" s="175" t="s">
        <v>153</v>
      </c>
      <c r="B29" s="145" t="s">
        <v>8</v>
      </c>
      <c r="K29" s="519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'[91]Sch C'!D10</f>
        <v>121879.65</v>
      </c>
      <c r="D30" s="480">
        <f>'[91]Sch C'!F10</f>
        <v>0</v>
      </c>
      <c r="E30" s="480">
        <f>+'[91]Sch C'!H10</f>
        <v>0</v>
      </c>
      <c r="F30" s="166">
        <f t="shared" ref="F30:F65" si="5">C30+D30+E30</f>
        <v>121879.65</v>
      </c>
      <c r="G30" s="626"/>
      <c r="H30" s="626"/>
      <c r="I30" s="166">
        <f t="shared" ref="I30:I65" si="6">F30+G30+H30</f>
        <v>121879.65</v>
      </c>
      <c r="J30" s="167">
        <f>IF($I$213=0,0,I30/$I$213)</f>
        <v>1.7013007433527474E-2</v>
      </c>
      <c r="K30" s="520"/>
      <c r="L30" s="176">
        <v>2064.42</v>
      </c>
      <c r="M30" s="176">
        <v>2624.3</v>
      </c>
      <c r="O30" s="324">
        <f>I30/I$233</f>
        <v>5.4245883033647848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'[91]Sch C'!D11</f>
        <v>0</v>
      </c>
      <c r="D31" s="480">
        <f>'[91]Sch C'!F11</f>
        <v>0</v>
      </c>
      <c r="E31" s="480">
        <f>+'[91]Sch C'!H11</f>
        <v>0</v>
      </c>
      <c r="F31" s="166">
        <f t="shared" si="5"/>
        <v>0</v>
      </c>
      <c r="G31" s="626"/>
      <c r="H31" s="626"/>
      <c r="I31" s="166">
        <f t="shared" si="6"/>
        <v>0</v>
      </c>
      <c r="J31" s="177">
        <f t="shared" ref="J31:J66" si="7">IF($I$213=0,0,I31/$I$213)</f>
        <v>0</v>
      </c>
      <c r="K31" s="520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'[91]Sch C'!D12</f>
        <v>113476.26</v>
      </c>
      <c r="D32" s="480">
        <f>'[91]Sch C'!F12</f>
        <v>0</v>
      </c>
      <c r="E32" s="480">
        <f>+'[91]Sch C'!H12</f>
        <v>0</v>
      </c>
      <c r="F32" s="166">
        <f t="shared" si="5"/>
        <v>113476.26</v>
      </c>
      <c r="G32" s="626"/>
      <c r="H32" s="626"/>
      <c r="I32" s="166">
        <f t="shared" si="6"/>
        <v>113476.26</v>
      </c>
      <c r="J32" s="167">
        <f t="shared" si="7"/>
        <v>1.5839990145269503E-2</v>
      </c>
      <c r="K32" s="520"/>
      <c r="L32" s="176">
        <v>4721.1000000000004</v>
      </c>
      <c r="M32" s="176">
        <v>5085.8900000000003</v>
      </c>
      <c r="O32" s="324">
        <f t="shared" si="8"/>
        <v>5.0505723695923086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'[91]Sch C'!D13</f>
        <v>1978358.41</v>
      </c>
      <c r="D33" s="480">
        <f>'[91]Sch C'!F13</f>
        <v>-1844661.9200000002</v>
      </c>
      <c r="E33" s="480">
        <f>+'[91]Sch C'!H13</f>
        <v>0</v>
      </c>
      <c r="F33" s="166">
        <f t="shared" si="5"/>
        <v>133696.48999999976</v>
      </c>
      <c r="G33" s="626"/>
      <c r="H33" s="626"/>
      <c r="I33" s="166">
        <f t="shared" si="6"/>
        <v>133696.48999999976</v>
      </c>
      <c r="J33" s="167">
        <f t="shared" si="7"/>
        <v>1.8662503364643132E-2</v>
      </c>
      <c r="K33" s="520"/>
      <c r="L33" s="163"/>
      <c r="M33" s="163"/>
      <c r="O33" s="324">
        <f t="shared" si="8"/>
        <v>5.9505291970802814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'[91]Sch C'!D14</f>
        <v>0</v>
      </c>
      <c r="D34" s="480">
        <f>'[91]Sch C'!F14</f>
        <v>0</v>
      </c>
      <c r="E34" s="480">
        <f>+'[91]Sch C'!H14</f>
        <v>0</v>
      </c>
      <c r="F34" s="166">
        <f t="shared" si="5"/>
        <v>0</v>
      </c>
      <c r="G34" s="626"/>
      <c r="H34" s="626"/>
      <c r="I34" s="166">
        <f t="shared" si="6"/>
        <v>0</v>
      </c>
      <c r="J34" s="167">
        <f t="shared" si="7"/>
        <v>0</v>
      </c>
      <c r="K34" s="520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'[91]Sch C'!D15</f>
        <v>0</v>
      </c>
      <c r="D35" s="480">
        <f>'[91]Sch C'!F15</f>
        <v>0</v>
      </c>
      <c r="E35" s="480">
        <f>+'[91]Sch C'!H15</f>
        <v>0</v>
      </c>
      <c r="F35" s="166">
        <f t="shared" si="5"/>
        <v>0</v>
      </c>
      <c r="G35" s="626"/>
      <c r="H35" s="626"/>
      <c r="I35" s="166">
        <f t="shared" si="6"/>
        <v>0</v>
      </c>
      <c r="J35" s="167">
        <f t="shared" si="7"/>
        <v>0</v>
      </c>
      <c r="K35" s="520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'[91]Sch C'!D16</f>
        <v>0</v>
      </c>
      <c r="D36" s="480">
        <f>'[91]Sch C'!F16</f>
        <v>0</v>
      </c>
      <c r="E36" s="480">
        <f>+'[91]Sch C'!H16</f>
        <v>0</v>
      </c>
      <c r="F36" s="166">
        <f t="shared" si="5"/>
        <v>0</v>
      </c>
      <c r="G36" s="626"/>
      <c r="H36" s="626"/>
      <c r="I36" s="166">
        <f t="shared" si="6"/>
        <v>0</v>
      </c>
      <c r="J36" s="167">
        <f t="shared" si="7"/>
        <v>0</v>
      </c>
      <c r="K36" s="520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'[91]Sch C'!D17</f>
        <v>0</v>
      </c>
      <c r="D37" s="480">
        <f>'[91]Sch C'!F17</f>
        <v>0</v>
      </c>
      <c r="E37" s="480">
        <f>+'[91]Sch C'!H17</f>
        <v>0</v>
      </c>
      <c r="F37" s="166">
        <f t="shared" si="5"/>
        <v>0</v>
      </c>
      <c r="G37" s="626"/>
      <c r="H37" s="626"/>
      <c r="I37" s="166">
        <f t="shared" si="6"/>
        <v>0</v>
      </c>
      <c r="J37" s="167">
        <f t="shared" si="7"/>
        <v>0</v>
      </c>
      <c r="K37" s="520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'[91]Sch C'!D18</f>
        <v>21348.11</v>
      </c>
      <c r="D38" s="480">
        <f>'[91]Sch C'!F18</f>
        <v>0</v>
      </c>
      <c r="E38" s="480">
        <f>+'[91]Sch C'!H18</f>
        <v>0</v>
      </c>
      <c r="F38" s="166">
        <f t="shared" si="5"/>
        <v>21348.11</v>
      </c>
      <c r="G38" s="626"/>
      <c r="H38" s="626"/>
      <c r="I38" s="166">
        <f t="shared" si="6"/>
        <v>21348.11</v>
      </c>
      <c r="J38" s="167">
        <f t="shared" si="7"/>
        <v>2.9799523884566637E-3</v>
      </c>
      <c r="K38" s="520"/>
      <c r="L38" s="163"/>
      <c r="M38" s="163"/>
      <c r="O38" s="324">
        <f t="shared" si="8"/>
        <v>0.95015622218265983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'[91]Sch C'!D19</f>
        <v>11707.51</v>
      </c>
      <c r="D39" s="480">
        <f>'[91]Sch C'!F19</f>
        <v>0</v>
      </c>
      <c r="E39" s="480">
        <f>+'[91]Sch C'!H19</f>
        <v>0</v>
      </c>
      <c r="F39" s="166">
        <f t="shared" si="5"/>
        <v>11707.51</v>
      </c>
      <c r="G39" s="626"/>
      <c r="H39" s="626"/>
      <c r="I39" s="166">
        <f t="shared" si="6"/>
        <v>11707.51</v>
      </c>
      <c r="J39" s="167">
        <f t="shared" si="7"/>
        <v>1.6342347115215481E-3</v>
      </c>
      <c r="K39" s="520"/>
      <c r="L39" s="163"/>
      <c r="M39" s="163"/>
      <c r="O39" s="324">
        <f t="shared" si="8"/>
        <v>0.52107486202599251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'[91]Sch C'!D20</f>
        <v>9474.16</v>
      </c>
      <c r="D40" s="480">
        <f>'[91]Sch C'!F20</f>
        <v>0</v>
      </c>
      <c r="E40" s="480">
        <f>+'[91]Sch C'!H20</f>
        <v>0</v>
      </c>
      <c r="F40" s="166">
        <f t="shared" si="5"/>
        <v>9474.16</v>
      </c>
      <c r="G40" s="626"/>
      <c r="H40" s="626"/>
      <c r="I40" s="166">
        <f t="shared" si="6"/>
        <v>9474.16</v>
      </c>
      <c r="J40" s="167">
        <f t="shared" si="7"/>
        <v>1.3224845534626055E-3</v>
      </c>
      <c r="K40" s="520"/>
      <c r="L40" s="163"/>
      <c r="M40" s="163"/>
      <c r="O40" s="324">
        <f t="shared" si="8"/>
        <v>0.42167349118746661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'[91]Sch C'!D21</f>
        <v>27751.89</v>
      </c>
      <c r="D41" s="480">
        <f>'[91]Sch C'!F21</f>
        <v>0</v>
      </c>
      <c r="E41" s="480">
        <f>+'[91]Sch C'!H21</f>
        <v>0</v>
      </c>
      <c r="F41" s="166">
        <f t="shared" si="5"/>
        <v>27751.89</v>
      </c>
      <c r="G41" s="626"/>
      <c r="H41" s="626"/>
      <c r="I41" s="166">
        <f t="shared" si="6"/>
        <v>27751.89</v>
      </c>
      <c r="J41" s="167">
        <f t="shared" si="7"/>
        <v>3.8738469536500702E-3</v>
      </c>
      <c r="K41" s="520"/>
      <c r="L41" s="163"/>
      <c r="M41" s="163"/>
      <c r="O41" s="324">
        <f t="shared" si="8"/>
        <v>1.2351740252803987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'[91]Sch C'!D22</f>
        <v>0</v>
      </c>
      <c r="D42" s="480">
        <f>'[91]Sch C'!F22</f>
        <v>0</v>
      </c>
      <c r="E42" s="480">
        <f>+'[91]Sch C'!H22</f>
        <v>0</v>
      </c>
      <c r="F42" s="166">
        <f t="shared" si="5"/>
        <v>0</v>
      </c>
      <c r="G42" s="626"/>
      <c r="H42" s="626"/>
      <c r="I42" s="166">
        <f t="shared" si="6"/>
        <v>0</v>
      </c>
      <c r="J42" s="167">
        <f t="shared" si="7"/>
        <v>0</v>
      </c>
      <c r="K42" s="520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'[91]Sch C'!D23</f>
        <v>16418.79</v>
      </c>
      <c r="D43" s="480">
        <f>'[91]Sch C'!F23</f>
        <v>0</v>
      </c>
      <c r="E43" s="480">
        <f>+'[91]Sch C'!H23</f>
        <v>0</v>
      </c>
      <c r="F43" s="166">
        <f t="shared" si="5"/>
        <v>16418.79</v>
      </c>
      <c r="G43" s="626"/>
      <c r="H43" s="626"/>
      <c r="I43" s="166">
        <f t="shared" si="6"/>
        <v>16418.79</v>
      </c>
      <c r="J43" s="167">
        <f t="shared" si="7"/>
        <v>2.2918756028551656E-3</v>
      </c>
      <c r="K43" s="520" t="s">
        <v>494</v>
      </c>
      <c r="L43" s="163"/>
      <c r="M43" s="163"/>
      <c r="O43" s="324">
        <f t="shared" si="8"/>
        <v>0.73076330781555998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'[91]Sch C'!D24</f>
        <v>24046.16</v>
      </c>
      <c r="D44" s="480">
        <f>'[91]Sch C'!F24</f>
        <v>0</v>
      </c>
      <c r="E44" s="480">
        <f>+'[91]Sch C'!H24</f>
        <v>0</v>
      </c>
      <c r="F44" s="166">
        <f t="shared" si="5"/>
        <v>24046.16</v>
      </c>
      <c r="G44" s="626"/>
      <c r="H44" s="626"/>
      <c r="I44" s="166">
        <f t="shared" si="6"/>
        <v>24046.16</v>
      </c>
      <c r="J44" s="167">
        <f t="shared" si="7"/>
        <v>3.3565693602483353E-3</v>
      </c>
      <c r="K44" s="520" t="s">
        <v>494</v>
      </c>
      <c r="L44" s="163"/>
      <c r="M44" s="163"/>
      <c r="O44" s="324">
        <f t="shared" si="8"/>
        <v>1.0702403418194766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'[91]Sch C'!D25</f>
        <v>0</v>
      </c>
      <c r="D45" s="480">
        <f>'[91]Sch C'!F25</f>
        <v>0</v>
      </c>
      <c r="E45" s="480">
        <f>+'[91]Sch C'!H25</f>
        <v>0</v>
      </c>
      <c r="F45" s="166">
        <f t="shared" si="5"/>
        <v>0</v>
      </c>
      <c r="G45" s="626"/>
      <c r="H45" s="626"/>
      <c r="I45" s="166">
        <f t="shared" si="6"/>
        <v>0</v>
      </c>
      <c r="J45" s="167">
        <f t="shared" si="7"/>
        <v>0</v>
      </c>
      <c r="K45" s="520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'[91]Sch C'!D26</f>
        <v>392619.72</v>
      </c>
      <c r="D46" s="480">
        <f>'[91]Sch C'!F26</f>
        <v>0</v>
      </c>
      <c r="E46" s="480">
        <f>+'[91]Sch C'!H26</f>
        <v>0</v>
      </c>
      <c r="F46" s="166">
        <f t="shared" si="5"/>
        <v>392619.72</v>
      </c>
      <c r="G46" s="626">
        <v>33799</v>
      </c>
      <c r="H46" s="626"/>
      <c r="I46" s="166">
        <f t="shared" si="6"/>
        <v>426418.72</v>
      </c>
      <c r="J46" s="167">
        <f t="shared" si="7"/>
        <v>5.9523184166965282E-2</v>
      </c>
      <c r="K46" s="520"/>
      <c r="L46" s="163"/>
      <c r="M46" s="163"/>
      <c r="O46" s="324">
        <f t="shared" si="8"/>
        <v>18.978935374755206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'[91]Sch C'!D27</f>
        <v>187.83</v>
      </c>
      <c r="D47" s="480">
        <f>'[91]Sch C'!F27</f>
        <v>0</v>
      </c>
      <c r="E47" s="480">
        <f>+'[91]Sch C'!H27</f>
        <v>0</v>
      </c>
      <c r="F47" s="166">
        <f t="shared" si="5"/>
        <v>187.83</v>
      </c>
      <c r="G47" s="626"/>
      <c r="H47" s="626"/>
      <c r="I47" s="166">
        <f t="shared" si="6"/>
        <v>187.83</v>
      </c>
      <c r="J47" s="167">
        <f t="shared" si="7"/>
        <v>2.6218923226637635E-5</v>
      </c>
      <c r="K47" s="520"/>
      <c r="L47" s="163"/>
      <c r="M47" s="163"/>
      <c r="O47" s="324">
        <f t="shared" si="8"/>
        <v>8.3598896207940192E-3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'[91]Sch C'!D28</f>
        <v>0</v>
      </c>
      <c r="D48" s="480">
        <f>'[91]Sch C'!F28</f>
        <v>0</v>
      </c>
      <c r="E48" s="480">
        <f>+'[91]Sch C'!H28</f>
        <v>0</v>
      </c>
      <c r="F48" s="166">
        <f t="shared" si="5"/>
        <v>0</v>
      </c>
      <c r="G48" s="626"/>
      <c r="H48" s="626"/>
      <c r="I48" s="166">
        <f t="shared" si="6"/>
        <v>0</v>
      </c>
      <c r="J48" s="167">
        <f t="shared" si="7"/>
        <v>0</v>
      </c>
      <c r="K48" s="520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'[91]Sch C'!D29</f>
        <v>14297.56</v>
      </c>
      <c r="D49" s="480">
        <f>'[91]Sch C'!F29</f>
        <v>-14297.56</v>
      </c>
      <c r="E49" s="480">
        <f>+'[91]Sch C'!H29</f>
        <v>0</v>
      </c>
      <c r="F49" s="166">
        <f t="shared" si="5"/>
        <v>0</v>
      </c>
      <c r="G49" s="626"/>
      <c r="H49" s="626"/>
      <c r="I49" s="166">
        <f t="shared" si="6"/>
        <v>0</v>
      </c>
      <c r="J49" s="167">
        <f t="shared" si="7"/>
        <v>0</v>
      </c>
      <c r="K49" s="520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'[91]Sch C'!D30</f>
        <v>0</v>
      </c>
      <c r="D50" s="480">
        <f>'[91]Sch C'!F30</f>
        <v>0</v>
      </c>
      <c r="E50" s="480">
        <f>+'[91]Sch C'!H30</f>
        <v>0</v>
      </c>
      <c r="F50" s="166">
        <f t="shared" si="5"/>
        <v>0</v>
      </c>
      <c r="G50" s="626"/>
      <c r="H50" s="626"/>
      <c r="I50" s="166">
        <f t="shared" si="6"/>
        <v>0</v>
      </c>
      <c r="J50" s="167">
        <f t="shared" si="7"/>
        <v>0</v>
      </c>
      <c r="K50" s="520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'[91]Sch C'!D31</f>
        <v>60186.01</v>
      </c>
      <c r="D51" s="480">
        <f>'[91]Sch C'!F31</f>
        <v>0</v>
      </c>
      <c r="E51" s="480">
        <f>+'[91]Sch C'!H31</f>
        <v>0</v>
      </c>
      <c r="F51" s="166">
        <f t="shared" si="5"/>
        <v>60186.01</v>
      </c>
      <c r="G51" s="626"/>
      <c r="H51" s="626"/>
      <c r="I51" s="166">
        <f t="shared" si="6"/>
        <v>60186.01</v>
      </c>
      <c r="J51" s="167">
        <f t="shared" si="7"/>
        <v>8.4012797503468292E-3</v>
      </c>
      <c r="K51" s="520"/>
      <c r="L51" s="163"/>
      <c r="M51" s="163"/>
      <c r="O51" s="324">
        <f t="shared" si="8"/>
        <v>2.6787435463770697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'[91]Sch C'!D32</f>
        <v>23774.3</v>
      </c>
      <c r="D52" s="480">
        <f>'[91]Sch C'!F32</f>
        <v>0</v>
      </c>
      <c r="E52" s="480">
        <f>+'[91]Sch C'!H32</f>
        <v>0</v>
      </c>
      <c r="F52" s="166">
        <f t="shared" si="5"/>
        <v>23774.3</v>
      </c>
      <c r="G52" s="626"/>
      <c r="H52" s="626"/>
      <c r="I52" s="166">
        <f t="shared" si="6"/>
        <v>23774.3</v>
      </c>
      <c r="J52" s="167">
        <f t="shared" si="7"/>
        <v>3.3186208085345848E-3</v>
      </c>
      <c r="K52" s="520"/>
      <c r="L52" s="163"/>
      <c r="M52" s="163"/>
      <c r="O52" s="324">
        <f t="shared" si="8"/>
        <v>1.0581404664411607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'[91]Sch C'!D33</f>
        <v>0</v>
      </c>
      <c r="D53" s="480">
        <f>'[91]Sch C'!F33</f>
        <v>0</v>
      </c>
      <c r="E53" s="480">
        <f>+'[91]Sch C'!H33</f>
        <v>0</v>
      </c>
      <c r="F53" s="166">
        <f t="shared" si="5"/>
        <v>0</v>
      </c>
      <c r="G53" s="626"/>
      <c r="H53" s="626"/>
      <c r="I53" s="166">
        <f t="shared" si="6"/>
        <v>0</v>
      </c>
      <c r="J53" s="167">
        <f t="shared" si="7"/>
        <v>0</v>
      </c>
      <c r="K53" s="520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'[91]Sch C'!D34</f>
        <v>0</v>
      </c>
      <c r="D54" s="480">
        <f>'[91]Sch C'!F34</f>
        <v>0</v>
      </c>
      <c r="E54" s="480">
        <f>+'[91]Sch C'!H34</f>
        <v>0</v>
      </c>
      <c r="F54" s="166">
        <f t="shared" si="5"/>
        <v>0</v>
      </c>
      <c r="G54" s="626"/>
      <c r="H54" s="626"/>
      <c r="I54" s="166">
        <f t="shared" si="6"/>
        <v>0</v>
      </c>
      <c r="J54" s="167">
        <f t="shared" si="7"/>
        <v>0</v>
      </c>
      <c r="K54" s="520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'[91]Sch C'!D35</f>
        <v>56940</v>
      </c>
      <c r="D55" s="480">
        <f>'[91]Sch C'!F35</f>
        <v>-56940</v>
      </c>
      <c r="E55" s="480">
        <f>+'[91]Sch C'!H35</f>
        <v>0</v>
      </c>
      <c r="F55" s="166">
        <f t="shared" si="5"/>
        <v>0</v>
      </c>
      <c r="G55" s="626"/>
      <c r="H55" s="626"/>
      <c r="I55" s="166">
        <f t="shared" si="6"/>
        <v>0</v>
      </c>
      <c r="J55" s="167">
        <f t="shared" si="7"/>
        <v>0</v>
      </c>
      <c r="K55" s="520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'[91]Sch C'!D36</f>
        <v>0</v>
      </c>
      <c r="D56" s="480">
        <f>'[91]Sch C'!F36</f>
        <v>0</v>
      </c>
      <c r="E56" s="480">
        <f>+'[91]Sch C'!H36</f>
        <v>0</v>
      </c>
      <c r="F56" s="166">
        <f t="shared" si="5"/>
        <v>0</v>
      </c>
      <c r="G56" s="626"/>
      <c r="H56" s="626"/>
      <c r="I56" s="166">
        <f t="shared" si="6"/>
        <v>0</v>
      </c>
      <c r="J56" s="167">
        <f t="shared" si="7"/>
        <v>0</v>
      </c>
      <c r="K56" s="520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'[91]Sch C'!D37</f>
        <v>0</v>
      </c>
      <c r="D57" s="480">
        <f>'[91]Sch C'!F37</f>
        <v>0</v>
      </c>
      <c r="E57" s="480">
        <f>+'[91]Sch C'!H37</f>
        <v>0</v>
      </c>
      <c r="F57" s="166">
        <f t="shared" si="5"/>
        <v>0</v>
      </c>
      <c r="G57" s="626"/>
      <c r="H57" s="626"/>
      <c r="I57" s="166">
        <f t="shared" si="6"/>
        <v>0</v>
      </c>
      <c r="J57" s="167">
        <f t="shared" si="7"/>
        <v>0</v>
      </c>
      <c r="K57" s="520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'[91]Sch C'!D38</f>
        <v>0</v>
      </c>
      <c r="D58" s="480">
        <f>'[91]Sch C'!F38</f>
        <v>0</v>
      </c>
      <c r="E58" s="480">
        <f>+'[91]Sch C'!H38</f>
        <v>0</v>
      </c>
      <c r="F58" s="166">
        <f t="shared" si="5"/>
        <v>0</v>
      </c>
      <c r="G58" s="626"/>
      <c r="H58" s="626"/>
      <c r="I58" s="166">
        <f t="shared" si="6"/>
        <v>0</v>
      </c>
      <c r="J58" s="167">
        <f t="shared" si="7"/>
        <v>0</v>
      </c>
      <c r="K58" s="520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'[91]Sch C'!D39</f>
        <v>7842.64</v>
      </c>
      <c r="D59" s="480">
        <f>'[91]Sch C'!F39</f>
        <v>0</v>
      </c>
      <c r="E59" s="480">
        <f>+'[91]Sch C'!H39</f>
        <v>0</v>
      </c>
      <c r="F59" s="166">
        <f t="shared" si="5"/>
        <v>7842.64</v>
      </c>
      <c r="G59" s="626"/>
      <c r="H59" s="626"/>
      <c r="I59" s="166">
        <f t="shared" si="6"/>
        <v>7842.64</v>
      </c>
      <c r="J59" s="167">
        <f t="shared" si="7"/>
        <v>1.094742991290834E-3</v>
      </c>
      <c r="K59" s="520"/>
      <c r="L59" s="163"/>
      <c r="M59" s="163"/>
      <c r="O59" s="324">
        <f t="shared" si="8"/>
        <v>0.34905821612960658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'[91]Sch C'!D40</f>
        <v>10542.11</v>
      </c>
      <c r="D60" s="480">
        <f>'[91]Sch C'!F40</f>
        <v>-10542</v>
      </c>
      <c r="E60" s="480">
        <f>+'[91]Sch C'!H40</f>
        <v>0</v>
      </c>
      <c r="F60" s="166">
        <f t="shared" si="5"/>
        <v>0.11000000000058208</v>
      </c>
      <c r="G60" s="626"/>
      <c r="H60" s="626"/>
      <c r="I60" s="166">
        <f t="shared" si="6"/>
        <v>0.11000000000058208</v>
      </c>
      <c r="J60" s="167">
        <f t="shared" si="7"/>
        <v>1.5354743943701226E-8</v>
      </c>
      <c r="K60" s="520"/>
      <c r="L60" s="163"/>
      <c r="M60" s="163"/>
      <c r="O60" s="324">
        <f t="shared" si="8"/>
        <v>4.8958518782527183E-6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'[91]Sch C'!D41</f>
        <v>0</v>
      </c>
      <c r="D61" s="480">
        <f>'[91]Sch C'!F41</f>
        <v>0</v>
      </c>
      <c r="E61" s="480">
        <f>+'[91]Sch C'!H41</f>
        <v>0</v>
      </c>
      <c r="F61" s="166">
        <f t="shared" si="5"/>
        <v>0</v>
      </c>
      <c r="G61" s="626"/>
      <c r="H61" s="626"/>
      <c r="I61" s="166">
        <f t="shared" si="6"/>
        <v>0</v>
      </c>
      <c r="J61" s="167">
        <f t="shared" si="7"/>
        <v>0</v>
      </c>
      <c r="K61" s="520"/>
      <c r="L61" s="163"/>
      <c r="M61" s="163"/>
      <c r="O61" s="324">
        <f t="shared" si="8"/>
        <v>0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'[91]Sch C'!D42</f>
        <v>0</v>
      </c>
      <c r="D62" s="480">
        <f>'[91]Sch C'!F42</f>
        <v>0</v>
      </c>
      <c r="E62" s="480">
        <f>+'[91]Sch C'!H42</f>
        <v>0</v>
      </c>
      <c r="F62" s="166">
        <f t="shared" si="5"/>
        <v>0</v>
      </c>
      <c r="G62" s="626"/>
      <c r="H62" s="626"/>
      <c r="I62" s="166">
        <f t="shared" si="6"/>
        <v>0</v>
      </c>
      <c r="J62" s="167">
        <f t="shared" si="7"/>
        <v>0</v>
      </c>
      <c r="K62" s="520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'[91]Sch C'!D43</f>
        <v>9739.32</v>
      </c>
      <c r="D63" s="480">
        <f>'[91]Sch C'!F43</f>
        <v>0</v>
      </c>
      <c r="E63" s="480">
        <f>+'[91]Sch C'!H43</f>
        <v>0</v>
      </c>
      <c r="F63" s="166">
        <f t="shared" si="5"/>
        <v>9739.32</v>
      </c>
      <c r="G63" s="626">
        <v>-9739</v>
      </c>
      <c r="H63" s="626"/>
      <c r="I63" s="166">
        <f t="shared" si="6"/>
        <v>0.31999999999970896</v>
      </c>
      <c r="J63" s="167">
        <f t="shared" si="7"/>
        <v>4.4668346017762934E-8</v>
      </c>
      <c r="K63" s="572" t="s">
        <v>664</v>
      </c>
      <c r="L63" s="163"/>
      <c r="M63" s="163"/>
      <c r="O63" s="324">
        <f t="shared" si="8"/>
        <v>1.4242478191192317E-5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'[91]Sch C'!D44</f>
        <v>0</v>
      </c>
      <c r="D64" s="480">
        <f>'[91]Sch C'!F44</f>
        <v>0</v>
      </c>
      <c r="E64" s="480">
        <f>+'[91]Sch C'!H44</f>
        <v>0</v>
      </c>
      <c r="F64" s="166">
        <f t="shared" si="5"/>
        <v>0</v>
      </c>
      <c r="G64" s="626"/>
      <c r="H64" s="626"/>
      <c r="I64" s="166">
        <f t="shared" si="6"/>
        <v>0</v>
      </c>
      <c r="J64" s="167">
        <f t="shared" si="7"/>
        <v>0</v>
      </c>
      <c r="K64" s="520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'[91]Sch C'!D45</f>
        <v>353382.73</v>
      </c>
      <c r="D65" s="480">
        <f>'[91]Sch C'!F45</f>
        <v>-353382.73</v>
      </c>
      <c r="E65" s="480">
        <f>+'[91]Sch C'!H45</f>
        <v>0</v>
      </c>
      <c r="F65" s="166">
        <f t="shared" si="5"/>
        <v>0</v>
      </c>
      <c r="G65" s="626"/>
      <c r="H65" s="626"/>
      <c r="I65" s="166">
        <f t="shared" si="6"/>
        <v>0</v>
      </c>
      <c r="J65" s="167">
        <f t="shared" si="7"/>
        <v>0</v>
      </c>
      <c r="K65" s="520"/>
      <c r="L65" s="163"/>
      <c r="M65" s="163"/>
      <c r="O65" s="324">
        <f t="shared" si="8"/>
        <v>0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3253973.1599999997</v>
      </c>
      <c r="D66" s="480">
        <f t="shared" si="9"/>
        <v>-2279824.21</v>
      </c>
      <c r="E66" s="480">
        <f t="shared" si="9"/>
        <v>0</v>
      </c>
      <c r="F66" s="166">
        <f t="shared" ref="F66:I66" si="10">SUM(F30:F65)</f>
        <v>974148.9499999996</v>
      </c>
      <c r="G66" s="166">
        <f t="shared" si="10"/>
        <v>24060</v>
      </c>
      <c r="H66" s="166">
        <f t="shared" si="10"/>
        <v>0</v>
      </c>
      <c r="I66" s="166">
        <f t="shared" si="10"/>
        <v>998208.9499999996</v>
      </c>
      <c r="J66" s="178">
        <f t="shared" si="7"/>
        <v>0.13933857117708862</v>
      </c>
      <c r="K66" s="520"/>
      <c r="L66" s="163"/>
      <c r="M66" s="163"/>
      <c r="O66" s="329">
        <f>I66/I$233</f>
        <v>44.428028752002831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520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520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'[91]Sch C'!D57</f>
        <v>0</v>
      </c>
      <c r="D69" s="480">
        <f>'[91]Sch C'!F57</f>
        <v>0</v>
      </c>
      <c r="E69" s="480">
        <f>+'[91]Sch C'!H57</f>
        <v>0</v>
      </c>
      <c r="F69" s="166">
        <f>C69+D69+E69</f>
        <v>0</v>
      </c>
      <c r="G69" s="626"/>
      <c r="H69" s="626"/>
      <c r="I69" s="166">
        <f>F69+G69+H69</f>
        <v>0</v>
      </c>
      <c r="J69" s="167">
        <f t="shared" ref="J69:J84" si="11">IF($I$213=0,0,I69/$I$213)</f>
        <v>0</v>
      </c>
      <c r="K69" s="520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'[91]Sch C'!D58</f>
        <v>197104.34</v>
      </c>
      <c r="D70" s="480">
        <f>'[91]Sch C'!F58</f>
        <v>0</v>
      </c>
      <c r="E70" s="480">
        <f>+'[91]Sch C'!H58</f>
        <v>0</v>
      </c>
      <c r="F70" s="166">
        <f t="shared" ref="F70:F83" si="13">C70+D70+E70</f>
        <v>197104.34</v>
      </c>
      <c r="G70" s="626"/>
      <c r="H70" s="626"/>
      <c r="I70" s="166">
        <f t="shared" ref="I70:I83" si="14">F70+G70+H70</f>
        <v>197104.34</v>
      </c>
      <c r="J70" s="167">
        <f t="shared" si="11"/>
        <v>2.7513515189783747E-2</v>
      </c>
      <c r="K70" s="520"/>
      <c r="L70" s="182"/>
      <c r="M70" s="163"/>
      <c r="O70" s="324">
        <f t="shared" si="12"/>
        <v>8.7726695745059633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'[91]Sch C'!D59</f>
        <v>0</v>
      </c>
      <c r="D71" s="480">
        <f>'[91]Sch C'!F59</f>
        <v>0</v>
      </c>
      <c r="E71" s="480">
        <f>+'[91]Sch C'!H59</f>
        <v>0</v>
      </c>
      <c r="F71" s="166">
        <f t="shared" si="13"/>
        <v>0</v>
      </c>
      <c r="G71" s="626"/>
      <c r="H71" s="626"/>
      <c r="I71" s="166">
        <f t="shared" si="14"/>
        <v>0</v>
      </c>
      <c r="J71" s="167">
        <f t="shared" si="11"/>
        <v>0</v>
      </c>
      <c r="K71" s="520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'[91]Sch C'!D60</f>
        <v>0</v>
      </c>
      <c r="D72" s="480">
        <f>'[91]Sch C'!F60</f>
        <v>0</v>
      </c>
      <c r="E72" s="480">
        <f>+'[91]Sch C'!H60</f>
        <v>0</v>
      </c>
      <c r="F72" s="166">
        <f t="shared" si="13"/>
        <v>0</v>
      </c>
      <c r="G72" s="626"/>
      <c r="H72" s="626"/>
      <c r="I72" s="166">
        <f t="shared" si="14"/>
        <v>0</v>
      </c>
      <c r="J72" s="167">
        <f t="shared" si="11"/>
        <v>0</v>
      </c>
      <c r="K72" s="520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'[91]Sch C'!D61</f>
        <v>11725.6</v>
      </c>
      <c r="D73" s="480">
        <f>'[91]Sch C'!F61</f>
        <v>0</v>
      </c>
      <c r="E73" s="480">
        <f>+'[91]Sch C'!H61</f>
        <v>0</v>
      </c>
      <c r="F73" s="166">
        <f t="shared" si="13"/>
        <v>11725.6</v>
      </c>
      <c r="G73" s="626"/>
      <c r="H73" s="626"/>
      <c r="I73" s="166">
        <f t="shared" si="14"/>
        <v>11725.6</v>
      </c>
      <c r="J73" s="167">
        <f t="shared" si="11"/>
        <v>1.636759868957367E-3</v>
      </c>
      <c r="K73" s="520"/>
      <c r="L73" s="185"/>
      <c r="M73" s="163"/>
      <c r="O73" s="324">
        <f t="shared" si="12"/>
        <v>0.52188000712123916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'[91]Sch C'!D62</f>
        <v>1000</v>
      </c>
      <c r="D74" s="480">
        <f>'[91]Sch C'!F62</f>
        <v>0</v>
      </c>
      <c r="E74" s="480">
        <f>+'[91]Sch C'!H62</f>
        <v>0</v>
      </c>
      <c r="F74" s="166">
        <f t="shared" si="13"/>
        <v>1000</v>
      </c>
      <c r="G74" s="626"/>
      <c r="H74" s="626"/>
      <c r="I74" s="166">
        <f t="shared" si="14"/>
        <v>1000</v>
      </c>
      <c r="J74" s="167">
        <f t="shared" si="11"/>
        <v>1.3958858130563612E-4</v>
      </c>
      <c r="K74" s="520"/>
      <c r="L74" s="187"/>
      <c r="M74" s="163"/>
      <c r="O74" s="324">
        <f t="shared" si="12"/>
        <v>4.4507744347516469E-2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'[91]Sch C'!D63</f>
        <v>0</v>
      </c>
      <c r="D75" s="480">
        <f>'[91]Sch C'!F63</f>
        <v>0</v>
      </c>
      <c r="E75" s="480">
        <f>+'[91]Sch C'!H63</f>
        <v>0</v>
      </c>
      <c r="F75" s="166">
        <f t="shared" si="13"/>
        <v>0</v>
      </c>
      <c r="G75" s="626"/>
      <c r="H75" s="626"/>
      <c r="I75" s="166">
        <f t="shared" si="14"/>
        <v>0</v>
      </c>
      <c r="J75" s="167">
        <f t="shared" si="11"/>
        <v>0</v>
      </c>
      <c r="K75" s="520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'[91]Sch C'!D64</f>
        <v>0</v>
      </c>
      <c r="D76" s="480">
        <f>'[91]Sch C'!F64</f>
        <v>0</v>
      </c>
      <c r="E76" s="480">
        <f>+'[91]Sch C'!H64</f>
        <v>0</v>
      </c>
      <c r="F76" s="166">
        <f t="shared" si="13"/>
        <v>0</v>
      </c>
      <c r="G76" s="626"/>
      <c r="H76" s="626"/>
      <c r="I76" s="166">
        <f t="shared" si="14"/>
        <v>0</v>
      </c>
      <c r="J76" s="167">
        <f t="shared" si="11"/>
        <v>0</v>
      </c>
      <c r="K76" s="520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'[91]Sch C'!D65</f>
        <v>2116.96</v>
      </c>
      <c r="D77" s="480">
        <f>'[91]Sch C'!F65</f>
        <v>0</v>
      </c>
      <c r="E77" s="480">
        <f>+'[91]Sch C'!H65</f>
        <v>0</v>
      </c>
      <c r="F77" s="166">
        <f t="shared" si="13"/>
        <v>2116.96</v>
      </c>
      <c r="G77" s="626"/>
      <c r="H77" s="626"/>
      <c r="I77" s="166">
        <f t="shared" si="14"/>
        <v>2116.96</v>
      </c>
      <c r="J77" s="167">
        <f t="shared" si="11"/>
        <v>2.9550344308077944E-4</v>
      </c>
      <c r="K77" s="520"/>
      <c r="L77" s="187"/>
      <c r="M77" s="163"/>
      <c r="O77" s="324">
        <f t="shared" si="12"/>
        <v>9.4221114473918469E-2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'[91]Sch C'!D66</f>
        <v>0</v>
      </c>
      <c r="D78" s="480">
        <f>'[91]Sch C'!F66</f>
        <v>0</v>
      </c>
      <c r="E78" s="480">
        <f>+'[91]Sch C'!H66</f>
        <v>0</v>
      </c>
      <c r="F78" s="166">
        <f t="shared" si="13"/>
        <v>0</v>
      </c>
      <c r="G78" s="626"/>
      <c r="H78" s="626"/>
      <c r="I78" s="166">
        <f t="shared" si="14"/>
        <v>0</v>
      </c>
      <c r="J78" s="167">
        <f t="shared" si="11"/>
        <v>0</v>
      </c>
      <c r="K78" s="520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'[91]Sch C'!D67</f>
        <v>16962.52</v>
      </c>
      <c r="D79" s="480">
        <f>'[91]Sch C'!F67</f>
        <v>0</v>
      </c>
      <c r="E79" s="480">
        <f>+'[91]Sch C'!H67</f>
        <v>0</v>
      </c>
      <c r="F79" s="166">
        <f t="shared" si="13"/>
        <v>16962.52</v>
      </c>
      <c r="G79" s="626">
        <v>380</v>
      </c>
      <c r="H79" s="626"/>
      <c r="I79" s="166">
        <f t="shared" si="14"/>
        <v>17342.52</v>
      </c>
      <c r="J79" s="167">
        <f t="shared" si="11"/>
        <v>2.4208177630646206E-3</v>
      </c>
      <c r="K79" s="520"/>
      <c r="L79" s="187"/>
      <c r="M79" s="163"/>
      <c r="O79" s="324">
        <f t="shared" si="12"/>
        <v>0.77187644650169129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'[91]Sch C'!D68</f>
        <v>0</v>
      </c>
      <c r="D80" s="480">
        <f>'[91]Sch C'!F68</f>
        <v>0</v>
      </c>
      <c r="E80" s="480">
        <f>+'[91]Sch C'!H68</f>
        <v>0</v>
      </c>
      <c r="F80" s="166">
        <f t="shared" si="13"/>
        <v>0</v>
      </c>
      <c r="G80" s="626"/>
      <c r="H80" s="626"/>
      <c r="I80" s="166">
        <f t="shared" si="14"/>
        <v>0</v>
      </c>
      <c r="J80" s="167">
        <f t="shared" si="11"/>
        <v>0</v>
      </c>
      <c r="K80" s="520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'[91]Sch C'!D69</f>
        <v>0</v>
      </c>
      <c r="D81" s="480">
        <f>'[91]Sch C'!F69</f>
        <v>0</v>
      </c>
      <c r="E81" s="480">
        <f>+'[91]Sch C'!H69</f>
        <v>0</v>
      </c>
      <c r="F81" s="166">
        <f t="shared" si="13"/>
        <v>0</v>
      </c>
      <c r="G81" s="626"/>
      <c r="H81" s="626"/>
      <c r="I81" s="166">
        <f t="shared" si="14"/>
        <v>0</v>
      </c>
      <c r="J81" s="167">
        <f t="shared" si="11"/>
        <v>0</v>
      </c>
      <c r="K81" s="520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'[91]Sch C'!D70</f>
        <v>0</v>
      </c>
      <c r="D82" s="480">
        <f>'[91]Sch C'!F70</f>
        <v>0</v>
      </c>
      <c r="E82" s="480">
        <f>+'[91]Sch C'!H70</f>
        <v>0</v>
      </c>
      <c r="F82" s="166">
        <f t="shared" si="13"/>
        <v>0</v>
      </c>
      <c r="G82" s="626"/>
      <c r="H82" s="626"/>
      <c r="I82" s="166">
        <f t="shared" si="14"/>
        <v>0</v>
      </c>
      <c r="J82" s="167">
        <f t="shared" si="11"/>
        <v>0</v>
      </c>
      <c r="K82" s="520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'[91]Sch C'!D71</f>
        <v>0</v>
      </c>
      <c r="D83" s="480">
        <f>'[91]Sch C'!F71</f>
        <v>0</v>
      </c>
      <c r="E83" s="480">
        <f>+'[91]Sch C'!H71</f>
        <v>0</v>
      </c>
      <c r="F83" s="166">
        <f t="shared" si="13"/>
        <v>0</v>
      </c>
      <c r="G83" s="626"/>
      <c r="H83" s="626"/>
      <c r="I83" s="166">
        <f t="shared" si="14"/>
        <v>0</v>
      </c>
      <c r="J83" s="167">
        <f t="shared" si="11"/>
        <v>0</v>
      </c>
      <c r="K83" s="520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228909.41999999998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228909.41999999998</v>
      </c>
      <c r="G84" s="166">
        <f t="shared" si="16"/>
        <v>380</v>
      </c>
      <c r="H84" s="166">
        <f t="shared" si="16"/>
        <v>0</v>
      </c>
      <c r="I84" s="166">
        <f t="shared" si="16"/>
        <v>229289.41999999998</v>
      </c>
      <c r="J84" s="167">
        <f t="shared" si="11"/>
        <v>3.2006184846192144E-2</v>
      </c>
      <c r="K84" s="520"/>
      <c r="L84" s="187"/>
      <c r="M84" s="163"/>
      <c r="O84" s="324">
        <f t="shared" si="12"/>
        <v>10.205154886950329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520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52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'[91]Sch C'!D75</f>
        <v>136876.94</v>
      </c>
      <c r="D87" s="480">
        <f>'[91]Sch C'!F75</f>
        <v>0</v>
      </c>
      <c r="E87" s="480">
        <f>+'[91]Sch C'!H75</f>
        <v>0</v>
      </c>
      <c r="F87" s="166">
        <f t="shared" ref="F87:F97" si="17">C87+D87+E87</f>
        <v>136876.94</v>
      </c>
      <c r="G87" s="626"/>
      <c r="H87" s="626"/>
      <c r="I87" s="166">
        <f t="shared" ref="I87:I97" si="18">F87+G87+H87</f>
        <v>136876.94</v>
      </c>
      <c r="J87" s="167">
        <f t="shared" ref="J87:J98" si="19">IF($I$213=0,0,I87/$I$213)</f>
        <v>1.9106457868056679E-2</v>
      </c>
      <c r="K87" s="520"/>
      <c r="L87" s="176">
        <v>5272.51</v>
      </c>
      <c r="M87" s="176">
        <v>5978.99</v>
      </c>
      <c r="O87" s="324">
        <f t="shared" ref="O87:O97" si="20">I87/I$233</f>
        <v>6.0920838525903509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'[91]Sch C'!D76</f>
        <v>0</v>
      </c>
      <c r="D88" s="480">
        <f>'[91]Sch C'!F76</f>
        <v>77536.72</v>
      </c>
      <c r="E88" s="480">
        <f>+'[91]Sch C'!H76</f>
        <v>0</v>
      </c>
      <c r="F88" s="166">
        <f t="shared" si="17"/>
        <v>77536.72</v>
      </c>
      <c r="G88" s="626"/>
      <c r="H88" s="626"/>
      <c r="I88" s="166">
        <f t="shared" si="18"/>
        <v>77536.72</v>
      </c>
      <c r="J88" s="167">
        <f t="shared" si="19"/>
        <v>1.0823240743892343E-2</v>
      </c>
      <c r="K88" s="520"/>
      <c r="L88" s="163"/>
      <c r="M88" s="163"/>
      <c r="O88" s="324">
        <f t="shared" si="20"/>
        <v>3.4509845113049673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'[91]Sch C'!D77</f>
        <v>3659.67</v>
      </c>
      <c r="D89" s="480">
        <f>'[91]Sch C'!F77</f>
        <v>0</v>
      </c>
      <c r="E89" s="480">
        <f>+'[91]Sch C'!H77</f>
        <v>0</v>
      </c>
      <c r="F89" s="166">
        <f t="shared" si="17"/>
        <v>3659.67</v>
      </c>
      <c r="G89" s="626"/>
      <c r="H89" s="626"/>
      <c r="I89" s="166">
        <f t="shared" si="18"/>
        <v>3659.67</v>
      </c>
      <c r="J89" s="167">
        <f t="shared" si="19"/>
        <v>5.1084814334679738E-4</v>
      </c>
      <c r="K89" s="520"/>
      <c r="L89" s="163"/>
      <c r="M89" s="163"/>
      <c r="O89" s="324">
        <f t="shared" si="20"/>
        <v>0.16288365675627559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'[91]Sch C'!D78</f>
        <v>773.81</v>
      </c>
      <c r="D90" s="480">
        <f>'[91]Sch C'!F78</f>
        <v>0</v>
      </c>
      <c r="E90" s="480">
        <f>+'[91]Sch C'!H78</f>
        <v>0</v>
      </c>
      <c r="F90" s="166">
        <f t="shared" si="17"/>
        <v>773.81</v>
      </c>
      <c r="G90" s="626"/>
      <c r="H90" s="626"/>
      <c r="I90" s="166">
        <f t="shared" si="18"/>
        <v>773.81</v>
      </c>
      <c r="J90" s="167">
        <f t="shared" si="19"/>
        <v>1.0801504010011428E-4</v>
      </c>
      <c r="K90" s="520"/>
      <c r="L90" s="163"/>
      <c r="M90" s="163"/>
      <c r="O90" s="324">
        <f t="shared" si="20"/>
        <v>3.4440537653551713E-2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'[91]Sch C'!D79</f>
        <v>-4632.24</v>
      </c>
      <c r="D91" s="480">
        <f>'[91]Sch C'!F79</f>
        <v>0</v>
      </c>
      <c r="E91" s="480">
        <f>+'[91]Sch C'!H79</f>
        <v>0</v>
      </c>
      <c r="F91" s="166">
        <f t="shared" si="17"/>
        <v>-4632.24</v>
      </c>
      <c r="G91" s="626">
        <v>8586</v>
      </c>
      <c r="H91" s="626"/>
      <c r="I91" s="166">
        <f t="shared" si="18"/>
        <v>3953.76</v>
      </c>
      <c r="J91" s="167">
        <f t="shared" si="19"/>
        <v>5.5189974922297187E-4</v>
      </c>
      <c r="K91" s="520" t="s">
        <v>494</v>
      </c>
      <c r="L91" s="163"/>
      <c r="M91" s="163"/>
      <c r="O91" s="324">
        <f t="shared" si="20"/>
        <v>0.17597293929143673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'[91]Sch C'!D80</f>
        <v>21626.32</v>
      </c>
      <c r="D92" s="480">
        <f>'[91]Sch C'!F80</f>
        <v>0</v>
      </c>
      <c r="E92" s="480">
        <f>+'[91]Sch C'!H80</f>
        <v>0</v>
      </c>
      <c r="F92" s="166">
        <f t="shared" si="17"/>
        <v>21626.32</v>
      </c>
      <c r="G92" s="626"/>
      <c r="H92" s="626"/>
      <c r="I92" s="166">
        <f t="shared" si="18"/>
        <v>21626.32</v>
      </c>
      <c r="J92" s="167">
        <f t="shared" si="19"/>
        <v>3.0187873276617044E-3</v>
      </c>
      <c r="K92" s="520"/>
      <c r="L92" s="163"/>
      <c r="M92" s="163"/>
      <c r="O92" s="324">
        <f t="shared" si="20"/>
        <v>0.96253872173758237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'[91]Sch C'!D81</f>
        <v>18756.669999999998</v>
      </c>
      <c r="D93" s="480">
        <f>'[91]Sch C'!F81</f>
        <v>0</v>
      </c>
      <c r="E93" s="480">
        <f>+'[91]Sch C'!H81</f>
        <v>0</v>
      </c>
      <c r="F93" s="166">
        <f t="shared" si="17"/>
        <v>18756.669999999998</v>
      </c>
      <c r="G93" s="626"/>
      <c r="H93" s="626"/>
      <c r="I93" s="166">
        <f t="shared" si="18"/>
        <v>18756.669999999998</v>
      </c>
      <c r="J93" s="167">
        <f t="shared" si="19"/>
        <v>2.6182169553179858E-3</v>
      </c>
      <c r="K93" s="520"/>
      <c r="L93" s="163"/>
      <c r="M93" s="163"/>
      <c r="O93" s="324">
        <f t="shared" si="20"/>
        <v>0.83481707317073162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'[91]Sch C'!D82</f>
        <v>17460.7</v>
      </c>
      <c r="D94" s="480">
        <f>'[91]Sch C'!F82</f>
        <v>0</v>
      </c>
      <c r="E94" s="480">
        <f>+'[91]Sch C'!H82</f>
        <v>0</v>
      </c>
      <c r="F94" s="166">
        <f t="shared" si="17"/>
        <v>17460.7</v>
      </c>
      <c r="G94" s="626"/>
      <c r="H94" s="626"/>
      <c r="I94" s="166">
        <f t="shared" si="18"/>
        <v>17460.7</v>
      </c>
      <c r="J94" s="167">
        <f t="shared" si="19"/>
        <v>2.4373143416033206E-3</v>
      </c>
      <c r="K94" s="520" t="s">
        <v>494</v>
      </c>
      <c r="L94" s="163"/>
      <c r="M94" s="163"/>
      <c r="O94" s="324">
        <f t="shared" si="20"/>
        <v>0.77713637172868077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'[91]Sch C'!D83</f>
        <v>3223.21</v>
      </c>
      <c r="D95" s="480">
        <f>'[91]Sch C'!F83</f>
        <v>0</v>
      </c>
      <c r="E95" s="480">
        <f>+'[91]Sch C'!H83</f>
        <v>0</v>
      </c>
      <c r="F95" s="166">
        <f t="shared" si="17"/>
        <v>3223.21</v>
      </c>
      <c r="G95" s="626"/>
      <c r="H95" s="626"/>
      <c r="I95" s="166">
        <f t="shared" si="18"/>
        <v>3223.21</v>
      </c>
      <c r="J95" s="167">
        <f t="shared" si="19"/>
        <v>4.4992331115013942E-4</v>
      </c>
      <c r="K95" s="520"/>
      <c r="L95" s="163"/>
      <c r="M95" s="163"/>
      <c r="O95" s="324">
        <f t="shared" si="20"/>
        <v>0.14345780665835856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'[91]Sch C'!D84</f>
        <v>168342.64</v>
      </c>
      <c r="D96" s="480">
        <f>'[91]Sch C'!F84</f>
        <v>0</v>
      </c>
      <c r="E96" s="480">
        <f>+'[91]Sch C'!H84</f>
        <v>0</v>
      </c>
      <c r="F96" s="166">
        <f t="shared" si="17"/>
        <v>168342.64</v>
      </c>
      <c r="G96" s="626"/>
      <c r="H96" s="626"/>
      <c r="I96" s="166">
        <f t="shared" si="18"/>
        <v>168342.64</v>
      </c>
      <c r="J96" s="167">
        <f t="shared" si="19"/>
        <v>2.3498710290845434E-2</v>
      </c>
      <c r="K96" s="520"/>
      <c r="L96" s="163"/>
      <c r="M96" s="163"/>
      <c r="O96" s="324">
        <f t="shared" si="20"/>
        <v>7.4925511839060004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'[91]Sch C'!D85</f>
        <v>714.74</v>
      </c>
      <c r="D97" s="480">
        <f>'[91]Sch C'!F85</f>
        <v>0</v>
      </c>
      <c r="E97" s="480">
        <f>+'[91]Sch C'!H85</f>
        <v>0</v>
      </c>
      <c r="F97" s="166">
        <f t="shared" si="17"/>
        <v>714.74</v>
      </c>
      <c r="G97" s="626"/>
      <c r="H97" s="626"/>
      <c r="I97" s="166">
        <f t="shared" si="18"/>
        <v>714.74</v>
      </c>
      <c r="J97" s="167">
        <f t="shared" si="19"/>
        <v>9.976954260239036E-5</v>
      </c>
      <c r="K97" s="520"/>
      <c r="L97" s="163"/>
      <c r="M97" s="163"/>
      <c r="O97" s="324">
        <f t="shared" si="20"/>
        <v>3.1811465194943919E-2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366802.46000000008</v>
      </c>
      <c r="D98" s="480">
        <f t="shared" si="21"/>
        <v>77536.72</v>
      </c>
      <c r="E98" s="480">
        <f t="shared" si="21"/>
        <v>0</v>
      </c>
      <c r="F98" s="166">
        <f t="shared" ref="F98:I98" si="22">SUM(F87:F97)</f>
        <v>444339.18000000005</v>
      </c>
      <c r="G98" s="166">
        <f t="shared" si="22"/>
        <v>8586</v>
      </c>
      <c r="H98" s="166">
        <f t="shared" si="22"/>
        <v>0</v>
      </c>
      <c r="I98" s="166">
        <f t="shared" si="22"/>
        <v>452925.18000000005</v>
      </c>
      <c r="J98" s="167">
        <f t="shared" si="19"/>
        <v>6.3223183313799877E-2</v>
      </c>
      <c r="K98" s="520"/>
      <c r="L98" s="163"/>
      <c r="M98" s="163"/>
      <c r="O98" s="329">
        <f>I98/I$233</f>
        <v>20.158678119992882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52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52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'[91]Sch C'!D89</f>
        <v>236762.15</v>
      </c>
      <c r="D101" s="480">
        <f>'[91]Sch C'!F89</f>
        <v>0</v>
      </c>
      <c r="E101" s="480">
        <f>+'[91]Sch C'!H89</f>
        <v>0</v>
      </c>
      <c r="F101" s="166">
        <f t="shared" ref="F101:F106" si="23">C101+D101+E101</f>
        <v>236762.15</v>
      </c>
      <c r="G101" s="626"/>
      <c r="H101" s="626"/>
      <c r="I101" s="166">
        <f t="shared" ref="I101:I106" si="24">F101+G101+H101</f>
        <v>236762.15</v>
      </c>
      <c r="J101" s="167">
        <f t="shared" ref="J101:J107" si="25">IF($I$213=0,0,I101/$I$213)</f>
        <v>3.3049292625372213E-2</v>
      </c>
      <c r="K101" s="520"/>
      <c r="L101" s="176">
        <v>17838.63</v>
      </c>
      <c r="M101" s="176">
        <v>18768.080000000002</v>
      </c>
      <c r="O101" s="329">
        <f t="shared" ref="O101:O106" si="26">I101/I$233</f>
        <v>10.537749243368346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'[91]Sch C'!D90</f>
        <v>0</v>
      </c>
      <c r="D102" s="480">
        <f>'[91]Sch C'!F90</f>
        <v>134106.88</v>
      </c>
      <c r="E102" s="480">
        <f>+'[91]Sch C'!H90</f>
        <v>0</v>
      </c>
      <c r="F102" s="166">
        <f t="shared" si="23"/>
        <v>134106.88</v>
      </c>
      <c r="G102" s="626"/>
      <c r="H102" s="626"/>
      <c r="I102" s="166">
        <f t="shared" si="24"/>
        <v>134106.88</v>
      </c>
      <c r="J102" s="167">
        <f t="shared" si="25"/>
        <v>1.8719789122525188E-2</v>
      </c>
      <c r="K102" s="520"/>
      <c r="L102" s="163"/>
      <c r="M102" s="163"/>
      <c r="O102" s="329">
        <f t="shared" si="26"/>
        <v>5.9687947302830695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'[91]Sch C'!D91</f>
        <v>6866.31</v>
      </c>
      <c r="D103" s="480">
        <f>'[91]Sch C'!F91</f>
        <v>0</v>
      </c>
      <c r="E103" s="480">
        <f>+'[91]Sch C'!H91</f>
        <v>0</v>
      </c>
      <c r="F103" s="166">
        <f t="shared" si="23"/>
        <v>6866.31</v>
      </c>
      <c r="G103" s="626"/>
      <c r="H103" s="626"/>
      <c r="I103" s="166">
        <f t="shared" si="24"/>
        <v>6866.31</v>
      </c>
      <c r="J103" s="167">
        <f t="shared" si="25"/>
        <v>9.5845847170470246E-4</v>
      </c>
      <c r="K103" s="520"/>
      <c r="L103" s="163"/>
      <c r="M103" s="163"/>
      <c r="O103" s="329">
        <f t="shared" si="26"/>
        <v>0.30560397009079582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'[91]Sch C'!D92</f>
        <v>201081.65</v>
      </c>
      <c r="D104" s="480">
        <f>'[91]Sch C'!F92</f>
        <v>0</v>
      </c>
      <c r="E104" s="480">
        <f>+'[91]Sch C'!H92</f>
        <v>0</v>
      </c>
      <c r="F104" s="166">
        <f t="shared" si="23"/>
        <v>201081.65</v>
      </c>
      <c r="G104" s="626"/>
      <c r="H104" s="626"/>
      <c r="I104" s="166">
        <f t="shared" si="24"/>
        <v>201081.65</v>
      </c>
      <c r="J104" s="167">
        <f t="shared" si="25"/>
        <v>2.8068702250096465E-2</v>
      </c>
      <c r="K104" s="520"/>
      <c r="L104" s="163"/>
      <c r="M104" s="163"/>
      <c r="O104" s="329">
        <f t="shared" si="26"/>
        <v>8.9496906711767839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'[91]Sch C'!D93</f>
        <v>42513.120000000003</v>
      </c>
      <c r="D105" s="480">
        <f>'[91]Sch C'!F93</f>
        <v>0</v>
      </c>
      <c r="E105" s="480">
        <f>+'[91]Sch C'!H93</f>
        <v>0</v>
      </c>
      <c r="F105" s="166">
        <f t="shared" si="23"/>
        <v>42513.120000000003</v>
      </c>
      <c r="G105" s="626">
        <f>-8586-7600</f>
        <v>-16186</v>
      </c>
      <c r="H105" s="626"/>
      <c r="I105" s="166">
        <f t="shared" si="24"/>
        <v>26327.120000000003</v>
      </c>
      <c r="J105" s="167">
        <f t="shared" si="25"/>
        <v>3.6749653306632391E-3</v>
      </c>
      <c r="K105" s="520"/>
      <c r="L105" s="163"/>
      <c r="M105" s="163"/>
      <c r="O105" s="329">
        <f t="shared" si="26"/>
        <v>1.1717607263663878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'[91]Sch C'!D94</f>
        <v>56.63</v>
      </c>
      <c r="D106" s="480">
        <f>'[91]Sch C'!F94</f>
        <v>0</v>
      </c>
      <c r="E106" s="480">
        <f>+'[91]Sch C'!H94</f>
        <v>0</v>
      </c>
      <c r="F106" s="166">
        <f t="shared" si="23"/>
        <v>56.63</v>
      </c>
      <c r="G106" s="626"/>
      <c r="H106" s="626"/>
      <c r="I106" s="166">
        <f t="shared" si="24"/>
        <v>56.63</v>
      </c>
      <c r="J106" s="167">
        <f t="shared" si="25"/>
        <v>7.9049013593381735E-6</v>
      </c>
      <c r="K106" s="520"/>
      <c r="L106" s="163"/>
      <c r="M106" s="163"/>
      <c r="O106" s="329">
        <f t="shared" si="26"/>
        <v>2.5204735623998577E-3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487279.86</v>
      </c>
      <c r="D107" s="480">
        <f t="shared" si="27"/>
        <v>134106.88</v>
      </c>
      <c r="E107" s="480">
        <f t="shared" si="27"/>
        <v>0</v>
      </c>
      <c r="F107" s="166">
        <f t="shared" ref="F107:I107" si="28">SUM(F101:F106)</f>
        <v>621386.74</v>
      </c>
      <c r="G107" s="166">
        <f t="shared" si="28"/>
        <v>-16186</v>
      </c>
      <c r="H107" s="166">
        <f t="shared" si="28"/>
        <v>0</v>
      </c>
      <c r="I107" s="166">
        <f t="shared" si="28"/>
        <v>605200.74</v>
      </c>
      <c r="J107" s="167">
        <f t="shared" si="25"/>
        <v>8.4479112701721149E-2</v>
      </c>
      <c r="K107" s="520"/>
      <c r="L107" s="163"/>
      <c r="M107" s="163"/>
      <c r="O107" s="329">
        <f>I107/I$233</f>
        <v>26.936119814847782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52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52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'[91]Sch C'!D98</f>
        <v>23220.46</v>
      </c>
      <c r="D110" s="480">
        <f>'[91]Sch C'!F98</f>
        <v>0</v>
      </c>
      <c r="E110" s="480">
        <f>+'[91]Sch C'!H98</f>
        <v>0</v>
      </c>
      <c r="F110" s="166">
        <f t="shared" ref="F110:F115" si="29">C110+D110+E110</f>
        <v>23220.46</v>
      </c>
      <c r="G110" s="626"/>
      <c r="H110" s="626"/>
      <c r="I110" s="166">
        <f t="shared" ref="I110:I115" si="30">F110+G110+H110</f>
        <v>23220.46</v>
      </c>
      <c r="J110" s="167">
        <f t="shared" ref="J110:J116" si="31">IF($I$213=0,0,I110/$I$213)</f>
        <v>3.2413110686642711E-3</v>
      </c>
      <c r="K110" s="520"/>
      <c r="L110" s="176">
        <v>1796.58</v>
      </c>
      <c r="M110" s="176">
        <v>1931.18</v>
      </c>
      <c r="O110" s="329">
        <f t="shared" ref="O110:O115" si="32">I110/I$233</f>
        <v>1.0334902973117321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'[91]Sch C'!D99</f>
        <v>0</v>
      </c>
      <c r="D111" s="480">
        <f>'[91]Sch C'!F99</f>
        <v>13252.45</v>
      </c>
      <c r="E111" s="480">
        <f>+'[91]Sch C'!H99</f>
        <v>0</v>
      </c>
      <c r="F111" s="166">
        <f t="shared" si="29"/>
        <v>13252.45</v>
      </c>
      <c r="G111" s="626"/>
      <c r="H111" s="626"/>
      <c r="I111" s="166">
        <f t="shared" si="30"/>
        <v>13252.45</v>
      </c>
      <c r="J111" s="167">
        <f t="shared" si="31"/>
        <v>1.8498906943238776E-3</v>
      </c>
      <c r="K111" s="520"/>
      <c r="L111" s="163"/>
      <c r="M111" s="163"/>
      <c r="O111" s="329">
        <f t="shared" si="32"/>
        <v>0.58983665657824469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'[91]Sch C'!D100</f>
        <v>535.58000000000004</v>
      </c>
      <c r="D112" s="480">
        <f>'[91]Sch C'!F100</f>
        <v>0</v>
      </c>
      <c r="E112" s="480">
        <f>+'[91]Sch C'!H100</f>
        <v>0</v>
      </c>
      <c r="F112" s="166">
        <f t="shared" si="29"/>
        <v>535.58000000000004</v>
      </c>
      <c r="G112" s="626"/>
      <c r="H112" s="626"/>
      <c r="I112" s="166">
        <f t="shared" si="30"/>
        <v>535.58000000000004</v>
      </c>
      <c r="J112" s="167">
        <f t="shared" si="31"/>
        <v>7.4760852375672603E-5</v>
      </c>
      <c r="K112" s="520"/>
      <c r="L112" s="163"/>
      <c r="M112" s="163"/>
      <c r="O112" s="329">
        <f t="shared" si="32"/>
        <v>2.3837457717642872E-2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'[91]Sch C'!D101</f>
        <v>0</v>
      </c>
      <c r="D113" s="480">
        <f>'[91]Sch C'!F101</f>
        <v>0</v>
      </c>
      <c r="E113" s="480">
        <f>+'[91]Sch C'!H101</f>
        <v>0</v>
      </c>
      <c r="F113" s="166">
        <f t="shared" si="29"/>
        <v>0</v>
      </c>
      <c r="G113" s="626"/>
      <c r="H113" s="626"/>
      <c r="I113" s="166">
        <f t="shared" si="30"/>
        <v>0</v>
      </c>
      <c r="J113" s="167">
        <f t="shared" si="31"/>
        <v>0</v>
      </c>
      <c r="K113" s="520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'[91]Sch C'!D102</f>
        <v>3094.8</v>
      </c>
      <c r="D114" s="480">
        <f>'[91]Sch C'!F102</f>
        <v>0</v>
      </c>
      <c r="E114" s="480">
        <f>+'[91]Sch C'!H102</f>
        <v>0</v>
      </c>
      <c r="F114" s="166">
        <f t="shared" si="29"/>
        <v>3094.8</v>
      </c>
      <c r="G114" s="626"/>
      <c r="H114" s="626"/>
      <c r="I114" s="166">
        <f t="shared" si="30"/>
        <v>3094.8</v>
      </c>
      <c r="J114" s="167">
        <f t="shared" si="31"/>
        <v>4.3199874142468272E-4</v>
      </c>
      <c r="K114" s="520"/>
      <c r="L114" s="163"/>
      <c r="M114" s="163"/>
      <c r="O114" s="329">
        <f t="shared" si="32"/>
        <v>0.13774256720669398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'[91]Sch C'!D103</f>
        <v>0</v>
      </c>
      <c r="D115" s="480">
        <f>'[91]Sch C'!F103</f>
        <v>0</v>
      </c>
      <c r="E115" s="480">
        <f>+'[91]Sch C'!H103</f>
        <v>0</v>
      </c>
      <c r="F115" s="166">
        <f t="shared" si="29"/>
        <v>0</v>
      </c>
      <c r="G115" s="626"/>
      <c r="H115" s="626"/>
      <c r="I115" s="166">
        <f t="shared" si="30"/>
        <v>0</v>
      </c>
      <c r="J115" s="167">
        <f t="shared" si="31"/>
        <v>0</v>
      </c>
      <c r="K115" s="520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26850.84</v>
      </c>
      <c r="D116" s="480">
        <f t="shared" si="33"/>
        <v>13252.45</v>
      </c>
      <c r="E116" s="480">
        <f t="shared" si="33"/>
        <v>0</v>
      </c>
      <c r="F116" s="166">
        <f t="shared" ref="F116:I116" si="34">SUM(F110:F115)</f>
        <v>40103.290000000008</v>
      </c>
      <c r="G116" s="166">
        <f t="shared" si="34"/>
        <v>0</v>
      </c>
      <c r="H116" s="166">
        <f t="shared" si="34"/>
        <v>0</v>
      </c>
      <c r="I116" s="166">
        <f t="shared" si="34"/>
        <v>40103.290000000008</v>
      </c>
      <c r="J116" s="167">
        <f t="shared" si="31"/>
        <v>5.5979613567885052E-3</v>
      </c>
      <c r="K116" s="520"/>
      <c r="L116" s="163"/>
      <c r="M116" s="163"/>
      <c r="O116" s="329">
        <f>I116/I$233</f>
        <v>1.7849069788143141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52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52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'[91]Sch C'!D115</f>
        <v>195819.14</v>
      </c>
      <c r="D119" s="480">
        <f>'[91]Sch C'!F115</f>
        <v>0</v>
      </c>
      <c r="E119" s="480">
        <f>+'[91]Sch C'!H115</f>
        <v>0</v>
      </c>
      <c r="F119" s="166">
        <f t="shared" ref="F119:F123" si="35">C119+D119+E119</f>
        <v>195819.14</v>
      </c>
      <c r="G119" s="626"/>
      <c r="H119" s="626"/>
      <c r="I119" s="166">
        <f t="shared" ref="I119:I123" si="36">F119+G119+H119</f>
        <v>195819.14</v>
      </c>
      <c r="J119" s="167">
        <f t="shared" ref="J119:J124" si="37">IF($I$213=0,0,I119/$I$213)</f>
        <v>2.7334115945089745E-2</v>
      </c>
      <c r="K119" s="520"/>
      <c r="L119" s="176">
        <v>14596.17</v>
      </c>
      <c r="M119" s="176">
        <v>15679.33</v>
      </c>
      <c r="O119" s="329">
        <f t="shared" ref="O119:O124" si="38">I119/I$233</f>
        <v>8.7154682214705357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'[91]Sch C'!D116</f>
        <v>0</v>
      </c>
      <c r="D120" s="480">
        <f>'[91]Sch C'!F116</f>
        <v>110964.54</v>
      </c>
      <c r="E120" s="480">
        <f>+'[91]Sch C'!H116</f>
        <v>0</v>
      </c>
      <c r="F120" s="166">
        <f t="shared" si="35"/>
        <v>110964.54</v>
      </c>
      <c r="G120" s="626"/>
      <c r="H120" s="626"/>
      <c r="I120" s="166">
        <f t="shared" si="36"/>
        <v>110964.54</v>
      </c>
      <c r="J120" s="167">
        <f t="shared" si="37"/>
        <v>1.5489382713832512E-2</v>
      </c>
      <c r="K120" s="520"/>
      <c r="L120" s="163"/>
      <c r="M120" s="163"/>
      <c r="O120" s="329">
        <f t="shared" si="38"/>
        <v>4.9387813779597645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'[91]Sch C'!D117</f>
        <v>48977.65</v>
      </c>
      <c r="D121" s="480">
        <f>'[91]Sch C'!F117</f>
        <v>0</v>
      </c>
      <c r="E121" s="480">
        <f>+'[91]Sch C'!H117</f>
        <v>0</v>
      </c>
      <c r="F121" s="166">
        <f t="shared" si="35"/>
        <v>48977.65</v>
      </c>
      <c r="G121" s="626"/>
      <c r="H121" s="626"/>
      <c r="I121" s="166">
        <f t="shared" si="36"/>
        <v>48977.65</v>
      </c>
      <c r="J121" s="167">
        <f t="shared" si="37"/>
        <v>6.8367206791839896E-3</v>
      </c>
      <c r="K121" s="520"/>
      <c r="L121" s="163"/>
      <c r="M121" s="163"/>
      <c r="O121" s="329">
        <f t="shared" si="38"/>
        <v>2.17988472494214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'[91]Sch C'!D118</f>
        <v>20.41</v>
      </c>
      <c r="D122" s="480">
        <f>'[91]Sch C'!F118</f>
        <v>0</v>
      </c>
      <c r="E122" s="480">
        <f>+'[91]Sch C'!H118</f>
        <v>0</v>
      </c>
      <c r="F122" s="166">
        <f t="shared" si="35"/>
        <v>20.41</v>
      </c>
      <c r="G122" s="626"/>
      <c r="H122" s="626"/>
      <c r="I122" s="166">
        <f t="shared" si="36"/>
        <v>20.41</v>
      </c>
      <c r="J122" s="167">
        <f t="shared" si="37"/>
        <v>2.8490029444480333E-6</v>
      </c>
      <c r="K122" s="520"/>
      <c r="L122" s="163"/>
      <c r="M122" s="163"/>
      <c r="O122" s="329">
        <f t="shared" si="38"/>
        <v>9.0840306213281117E-4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'[91]Sch C'!D119</f>
        <v>41.39</v>
      </c>
      <c r="D123" s="480">
        <f>'[91]Sch C'!F119</f>
        <v>0</v>
      </c>
      <c r="E123" s="480">
        <f>+'[91]Sch C'!H119</f>
        <v>0</v>
      </c>
      <c r="F123" s="166">
        <f t="shared" si="35"/>
        <v>41.39</v>
      </c>
      <c r="G123" s="626"/>
      <c r="H123" s="626"/>
      <c r="I123" s="166">
        <f t="shared" si="36"/>
        <v>41.39</v>
      </c>
      <c r="J123" s="167">
        <f t="shared" si="37"/>
        <v>5.777571380240279E-6</v>
      </c>
      <c r="K123" s="520"/>
      <c r="L123" s="163"/>
      <c r="M123" s="163"/>
      <c r="O123" s="329">
        <f t="shared" si="38"/>
        <v>1.8421755385437065E-3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244858.59000000003</v>
      </c>
      <c r="D124" s="480">
        <f t="shared" si="39"/>
        <v>110964.54</v>
      </c>
      <c r="E124" s="480">
        <f t="shared" si="39"/>
        <v>0</v>
      </c>
      <c r="F124" s="166">
        <f t="shared" ref="F124:I124" si="40">SUM(F119:F123)</f>
        <v>355823.13</v>
      </c>
      <c r="G124" s="166">
        <f t="shared" si="40"/>
        <v>0</v>
      </c>
      <c r="H124" s="166">
        <f t="shared" si="40"/>
        <v>0</v>
      </c>
      <c r="I124" s="166">
        <f t="shared" si="40"/>
        <v>355823.13</v>
      </c>
      <c r="J124" s="167">
        <f t="shared" si="37"/>
        <v>4.9668845912430933E-2</v>
      </c>
      <c r="K124" s="520"/>
      <c r="L124" s="163"/>
      <c r="M124" s="163"/>
      <c r="O124" s="329">
        <f t="shared" si="38"/>
        <v>15.836884902973118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520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52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52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'[91]Sch C'!D124</f>
        <v>0</v>
      </c>
      <c r="D128" s="480">
        <f>'[91]Sch C'!F124</f>
        <v>0</v>
      </c>
      <c r="E128" s="480">
        <f>+'[91]Sch C'!H124</f>
        <v>0</v>
      </c>
      <c r="F128" s="166">
        <f t="shared" ref="F128:F132" si="41">C128+D128+E128</f>
        <v>0</v>
      </c>
      <c r="G128" s="626"/>
      <c r="H128" s="626"/>
      <c r="I128" s="166">
        <f t="shared" ref="I128:I132" si="42">F128+G128+H128</f>
        <v>0</v>
      </c>
      <c r="J128" s="167">
        <f>IF($I$213=0,0,I128/$I$213)</f>
        <v>0</v>
      </c>
      <c r="K128" s="520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'[91]Sch C'!D125</f>
        <v>191670</v>
      </c>
      <c r="D129" s="480">
        <f>'[91]Sch C'!F125</f>
        <v>0</v>
      </c>
      <c r="E129" s="480">
        <f>+'[91]Sch C'!H125</f>
        <v>0</v>
      </c>
      <c r="F129" s="166">
        <f t="shared" si="41"/>
        <v>191670</v>
      </c>
      <c r="G129" s="626"/>
      <c r="H129" s="626"/>
      <c r="I129" s="166">
        <f t="shared" si="42"/>
        <v>191670</v>
      </c>
      <c r="J129" s="167">
        <f>IF($I$213=0,0,I129/$I$213)</f>
        <v>2.6754943378851277E-2</v>
      </c>
      <c r="K129" s="520"/>
      <c r="L129" s="176">
        <v>5387.21</v>
      </c>
      <c r="M129" s="176">
        <v>5951.07</v>
      </c>
      <c r="O129" s="329">
        <f t="shared" si="43"/>
        <v>8.5307993590884816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'[91]Sch C'!D126</f>
        <v>0</v>
      </c>
      <c r="D130" s="480">
        <f>'[91]Sch C'!F126</f>
        <v>0</v>
      </c>
      <c r="E130" s="480">
        <f>+'[91]Sch C'!H126</f>
        <v>0</v>
      </c>
      <c r="F130" s="166">
        <f t="shared" si="41"/>
        <v>0</v>
      </c>
      <c r="G130" s="626"/>
      <c r="H130" s="626"/>
      <c r="I130" s="166">
        <f t="shared" si="42"/>
        <v>0</v>
      </c>
      <c r="J130" s="167">
        <f>IF($I$213=0,0,I130/$I$213)</f>
        <v>0</v>
      </c>
      <c r="K130" s="520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'[91]Sch C'!D127</f>
        <v>0</v>
      </c>
      <c r="D131" s="480">
        <f>'[91]Sch C'!F127</f>
        <v>0</v>
      </c>
      <c r="E131" s="480">
        <f>+'[91]Sch C'!H127</f>
        <v>0</v>
      </c>
      <c r="F131" s="166">
        <f t="shared" si="41"/>
        <v>0</v>
      </c>
      <c r="G131" s="626"/>
      <c r="H131" s="626"/>
      <c r="I131" s="166">
        <f t="shared" si="42"/>
        <v>0</v>
      </c>
      <c r="J131" s="167">
        <f>IF($I$213=0,0,I131/$I$213)</f>
        <v>0</v>
      </c>
      <c r="K131" s="520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'[91]Sch C'!D128</f>
        <v>72076.08</v>
      </c>
      <c r="D132" s="480">
        <f>'[91]Sch C'!F128</f>
        <v>0</v>
      </c>
      <c r="E132" s="480">
        <f>+'[91]Sch C'!H128</f>
        <v>0</v>
      </c>
      <c r="F132" s="166">
        <f t="shared" si="41"/>
        <v>72076.08</v>
      </c>
      <c r="G132" s="626"/>
      <c r="H132" s="626"/>
      <c r="I132" s="166">
        <f t="shared" si="42"/>
        <v>72076.08</v>
      </c>
      <c r="J132" s="167">
        <f>IF($I$213=0,0,I132/$I$213)</f>
        <v>1.0060997753271534E-2</v>
      </c>
      <c r="K132" s="520"/>
      <c r="L132" s="176">
        <v>3471.28</v>
      </c>
      <c r="M132" s="176">
        <v>3808.7700000000004</v>
      </c>
      <c r="O132" s="329">
        <f t="shared" si="43"/>
        <v>3.2079437422111448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573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'[91]Sch C'!D130</f>
        <v>0</v>
      </c>
      <c r="D134" s="480">
        <f>'[91]Sch C'!F130</f>
        <v>0</v>
      </c>
      <c r="E134" s="480">
        <f>+'[91]Sch C'!H130</f>
        <v>0</v>
      </c>
      <c r="F134" s="166">
        <f t="shared" ref="F134:F138" si="44">C134+D134+E134</f>
        <v>0</v>
      </c>
      <c r="G134" s="626"/>
      <c r="H134" s="626"/>
      <c r="I134" s="166">
        <f t="shared" ref="I134:I138" si="45">F134+G134+H134</f>
        <v>0</v>
      </c>
      <c r="J134" s="167">
        <f>IF($I$213=0,0,I134/$I$213)</f>
        <v>0</v>
      </c>
      <c r="K134" s="520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'[91]Sch C'!D131</f>
        <v>0</v>
      </c>
      <c r="D135" s="480">
        <f>'[91]Sch C'!F131</f>
        <v>108590.97</v>
      </c>
      <c r="E135" s="480">
        <f>+'[91]Sch C'!H131</f>
        <v>0</v>
      </c>
      <c r="F135" s="166">
        <f t="shared" si="44"/>
        <v>108590.97</v>
      </c>
      <c r="G135" s="626"/>
      <c r="H135" s="626"/>
      <c r="I135" s="166">
        <f t="shared" si="45"/>
        <v>108590.97</v>
      </c>
      <c r="J135" s="167">
        <f>IF($I$213=0,0,I135/$I$213)</f>
        <v>1.5158059444902894E-2</v>
      </c>
      <c r="K135" s="520"/>
      <c r="L135" s="196"/>
      <c r="M135" s="196"/>
      <c r="O135" s="329">
        <f t="shared" si="43"/>
        <v>4.8331391312088305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'[91]Sch C'!D132</f>
        <v>0</v>
      </c>
      <c r="D136" s="480">
        <f>'[91]Sch C'!F132</f>
        <v>0</v>
      </c>
      <c r="E136" s="480">
        <f>+'[91]Sch C'!H132</f>
        <v>0</v>
      </c>
      <c r="F136" s="166">
        <f t="shared" si="44"/>
        <v>0</v>
      </c>
      <c r="G136" s="626"/>
      <c r="H136" s="626"/>
      <c r="I136" s="166">
        <f t="shared" si="45"/>
        <v>0</v>
      </c>
      <c r="J136" s="167">
        <f>IF($I$213=0,0,I136/$I$213)</f>
        <v>0</v>
      </c>
      <c r="K136" s="520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'[91]Sch C'!D133</f>
        <v>0</v>
      </c>
      <c r="D137" s="480">
        <f>'[91]Sch C'!F133</f>
        <v>0</v>
      </c>
      <c r="E137" s="480">
        <f>+'[91]Sch C'!H133</f>
        <v>0</v>
      </c>
      <c r="F137" s="166">
        <f t="shared" si="44"/>
        <v>0</v>
      </c>
      <c r="G137" s="626"/>
      <c r="H137" s="626"/>
      <c r="I137" s="166">
        <f t="shared" si="45"/>
        <v>0</v>
      </c>
      <c r="J137" s="167">
        <f>IF($I$213=0,0,I137/$I$213)</f>
        <v>0</v>
      </c>
      <c r="K137" s="520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'[91]Sch C'!D134</f>
        <v>0</v>
      </c>
      <c r="D138" s="480">
        <f>'[91]Sch C'!F134</f>
        <v>40746.339999999997</v>
      </c>
      <c r="E138" s="480">
        <f>+'[91]Sch C'!H134</f>
        <v>0</v>
      </c>
      <c r="F138" s="166">
        <f t="shared" si="44"/>
        <v>40746.339999999997</v>
      </c>
      <c r="G138" s="626"/>
      <c r="H138" s="626"/>
      <c r="I138" s="166">
        <f t="shared" si="45"/>
        <v>40746.339999999997</v>
      </c>
      <c r="J138" s="167">
        <f>IF($I$213=0,0,I138/$I$213)</f>
        <v>5.6877237939970925E-3</v>
      </c>
      <c r="K138" s="520"/>
      <c r="L138" s="163"/>
      <c r="M138" s="163"/>
      <c r="O138" s="329">
        <f t="shared" si="43"/>
        <v>1.813527683816984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574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'[91]Sch C'!D136</f>
        <v>540838.80000000005</v>
      </c>
      <c r="D140" s="480">
        <f>'[91]Sch C'!F136</f>
        <v>0</v>
      </c>
      <c r="E140" s="480">
        <f>+'[91]Sch C'!H136</f>
        <v>0</v>
      </c>
      <c r="F140" s="166">
        <f t="shared" ref="F140:F143" si="46">C140+D140+E140</f>
        <v>540838.80000000005</v>
      </c>
      <c r="G140" s="626"/>
      <c r="H140" s="626"/>
      <c r="I140" s="166">
        <f t="shared" ref="I140:I143" si="47">F140+G140+H140</f>
        <v>540838.80000000005</v>
      </c>
      <c r="J140" s="167">
        <f>IF($I$213=0,0,I140/$I$213)</f>
        <v>7.5494920807042676E-2</v>
      </c>
      <c r="K140" s="520"/>
      <c r="L140" s="176">
        <v>18422.45</v>
      </c>
      <c r="M140" s="176">
        <v>20081.400000000001</v>
      </c>
      <c r="O140" s="329">
        <f t="shared" si="43"/>
        <v>24.071515043617591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'[91]Sch C'!D137</f>
        <v>381049.32</v>
      </c>
      <c r="D141" s="480">
        <f>'[91]Sch C'!F137</f>
        <v>0</v>
      </c>
      <c r="E141" s="480">
        <f>+'[91]Sch C'!H137</f>
        <v>0</v>
      </c>
      <c r="F141" s="166">
        <f t="shared" si="46"/>
        <v>381049.32</v>
      </c>
      <c r="G141" s="626"/>
      <c r="H141" s="626"/>
      <c r="I141" s="166">
        <f t="shared" si="47"/>
        <v>381049.32</v>
      </c>
      <c r="J141" s="167">
        <f>IF($I$213=0,0,I141/$I$213)</f>
        <v>5.3190133986277359E-2</v>
      </c>
      <c r="K141" s="520"/>
      <c r="L141" s="176">
        <v>17304.66</v>
      </c>
      <c r="M141" s="176">
        <v>18455</v>
      </c>
      <c r="O141" s="329">
        <f t="shared" si="43"/>
        <v>16.959645718354995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'[91]Sch C'!D138</f>
        <v>1053732.3</v>
      </c>
      <c r="D142" s="480">
        <f>'[91]Sch C'!F138</f>
        <v>0</v>
      </c>
      <c r="E142" s="480">
        <f>+'[91]Sch C'!H138</f>
        <v>0</v>
      </c>
      <c r="F142" s="166">
        <f t="shared" si="46"/>
        <v>1053732.3</v>
      </c>
      <c r="G142" s="626"/>
      <c r="H142" s="626"/>
      <c r="I142" s="166">
        <f t="shared" si="47"/>
        <v>1053732.3</v>
      </c>
      <c r="J142" s="167">
        <f>IF($I$213=0,0,I142/$I$213)</f>
        <v>0.14708899683292495</v>
      </c>
      <c r="K142" s="520"/>
      <c r="L142" s="176">
        <v>69636.820000000007</v>
      </c>
      <c r="M142" s="176">
        <v>74375.45</v>
      </c>
      <c r="O142" s="329">
        <f t="shared" si="43"/>
        <v>46.899247819120532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'[91]Sch C'!D139</f>
        <v>0</v>
      </c>
      <c r="D143" s="480">
        <f>'[91]Sch C'!F139</f>
        <v>0</v>
      </c>
      <c r="E143" s="480">
        <f>+'[91]Sch C'!H139</f>
        <v>0</v>
      </c>
      <c r="F143" s="166">
        <f t="shared" si="46"/>
        <v>0</v>
      </c>
      <c r="G143" s="626"/>
      <c r="H143" s="626"/>
      <c r="I143" s="166">
        <f t="shared" si="47"/>
        <v>0</v>
      </c>
      <c r="J143" s="167">
        <f>IF($I$213=0,0,I143/$I$213)</f>
        <v>0</v>
      </c>
      <c r="K143" s="520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574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'[91]Sch C'!D141</f>
        <v>0</v>
      </c>
      <c r="D145" s="480">
        <f>'[91]Sch C'!F141</f>
        <v>306388.73</v>
      </c>
      <c r="E145" s="480">
        <f>+'[91]Sch C'!H141</f>
        <v>0</v>
      </c>
      <c r="F145" s="166">
        <f t="shared" ref="F145:F148" si="48">C145+D145+E145</f>
        <v>306388.73</v>
      </c>
      <c r="G145" s="626"/>
      <c r="H145" s="626"/>
      <c r="I145" s="166">
        <f t="shared" ref="I145:I148" si="49">F145+G145+H145</f>
        <v>306388.73</v>
      </c>
      <c r="J145" s="167">
        <f>IF($I$213=0,0,I145/$I$213)</f>
        <v>4.2768368148735587E-2</v>
      </c>
      <c r="K145" s="520"/>
      <c r="L145" s="163"/>
      <c r="M145" s="163"/>
      <c r="O145" s="329">
        <f t="shared" si="43"/>
        <v>13.636671265800249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'[91]Sch C'!D142</f>
        <v>0</v>
      </c>
      <c r="D146" s="480">
        <f>'[91]Sch C'!F142</f>
        <v>215995.16</v>
      </c>
      <c r="E146" s="480">
        <f>+'[91]Sch C'!H142</f>
        <v>0</v>
      </c>
      <c r="F146" s="166">
        <f t="shared" si="48"/>
        <v>215995.16</v>
      </c>
      <c r="G146" s="626"/>
      <c r="H146" s="626"/>
      <c r="I146" s="166">
        <f t="shared" si="49"/>
        <v>215995.16</v>
      </c>
      <c r="J146" s="167">
        <f>IF($I$213=0,0,I146/$I$213)</f>
        <v>3.0150457953283884E-2</v>
      </c>
      <c r="K146" s="520"/>
      <c r="L146" s="163"/>
      <c r="M146" s="163"/>
      <c r="O146" s="329">
        <f t="shared" si="43"/>
        <v>9.6134573615809149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'[91]Sch C'!D143</f>
        <v>0</v>
      </c>
      <c r="D147" s="480">
        <f>'[91]Sch C'!F143</f>
        <v>597151.43999999994</v>
      </c>
      <c r="E147" s="480">
        <f>+'[91]Sch C'!H143</f>
        <v>0</v>
      </c>
      <c r="F147" s="166">
        <f t="shared" si="48"/>
        <v>597151.43999999994</v>
      </c>
      <c r="G147" s="626"/>
      <c r="H147" s="626"/>
      <c r="I147" s="166">
        <f t="shared" si="49"/>
        <v>597151.43999999994</v>
      </c>
      <c r="J147" s="167">
        <f>IF($I$213=0,0,I147/$I$213)</f>
        <v>8.3355522334217683E-2</v>
      </c>
      <c r="K147" s="520"/>
      <c r="L147" s="163"/>
      <c r="M147" s="163"/>
      <c r="O147" s="329">
        <f t="shared" si="43"/>
        <v>26.577863628271317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'[91]Sch C'!D144</f>
        <v>0</v>
      </c>
      <c r="D148" s="480">
        <f>'[91]Sch C'!F144</f>
        <v>0</v>
      </c>
      <c r="E148" s="480">
        <f>+'[91]Sch C'!H144</f>
        <v>0</v>
      </c>
      <c r="F148" s="166">
        <f t="shared" si="48"/>
        <v>0</v>
      </c>
      <c r="G148" s="626"/>
      <c r="H148" s="626"/>
      <c r="I148" s="166">
        <f t="shared" si="49"/>
        <v>0</v>
      </c>
      <c r="J148" s="167">
        <f>IF($I$213=0,0,I148/$I$213)</f>
        <v>0</v>
      </c>
      <c r="K148" s="520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574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'[91]Sch C'!D146</f>
        <v>17400</v>
      </c>
      <c r="D150" s="480">
        <f>'[91]Sch C'!F146</f>
        <v>0</v>
      </c>
      <c r="E150" s="480">
        <f>+'[91]Sch C'!H146</f>
        <v>0</v>
      </c>
      <c r="F150" s="166">
        <f t="shared" ref="F150:F158" si="50">C150+D150+E150</f>
        <v>17400</v>
      </c>
      <c r="G150" s="626"/>
      <c r="H150" s="626"/>
      <c r="I150" s="166">
        <f t="shared" ref="I150:I158" si="51">F150+G150+H150</f>
        <v>17400</v>
      </c>
      <c r="J150" s="167">
        <f t="shared" ref="J150:J158" si="52">IF($I$213=0,0,I150/$I$213)</f>
        <v>2.4288413147180686E-3</v>
      </c>
      <c r="K150" s="520"/>
      <c r="L150" s="176">
        <v>0</v>
      </c>
      <c r="M150" s="176">
        <v>0</v>
      </c>
      <c r="O150" s="329">
        <f t="shared" si="43"/>
        <v>0.77443475164678655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'[91]Sch C'!D147</f>
        <v>0</v>
      </c>
      <c r="D151" s="480">
        <f>'[91]Sch C'!F147</f>
        <v>0</v>
      </c>
      <c r="E151" s="480">
        <f>+'[91]Sch C'!H147</f>
        <v>0</v>
      </c>
      <c r="F151" s="166">
        <f t="shared" si="50"/>
        <v>0</v>
      </c>
      <c r="G151" s="626"/>
      <c r="H151" s="626"/>
      <c r="I151" s="166">
        <f t="shared" si="51"/>
        <v>0</v>
      </c>
      <c r="J151" s="167">
        <f t="shared" si="52"/>
        <v>0</v>
      </c>
      <c r="K151" s="520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'[91]Sch C'!D148</f>
        <v>0</v>
      </c>
      <c r="D152" s="480">
        <f>'[91]Sch C'!F148</f>
        <v>0</v>
      </c>
      <c r="E152" s="480">
        <f>+'[91]Sch C'!H148</f>
        <v>0</v>
      </c>
      <c r="F152" s="166">
        <f t="shared" si="50"/>
        <v>0</v>
      </c>
      <c r="G152" s="626"/>
      <c r="H152" s="626"/>
      <c r="I152" s="166">
        <f t="shared" si="51"/>
        <v>0</v>
      </c>
      <c r="J152" s="167">
        <f t="shared" si="52"/>
        <v>0</v>
      </c>
      <c r="K152" s="520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'[91]Sch C'!D149</f>
        <v>0</v>
      </c>
      <c r="D153" s="480">
        <f>'[91]Sch C'!F149</f>
        <v>0</v>
      </c>
      <c r="E153" s="480">
        <f>+'[91]Sch C'!H149</f>
        <v>0</v>
      </c>
      <c r="F153" s="166">
        <f t="shared" si="50"/>
        <v>0</v>
      </c>
      <c r="G153" s="626"/>
      <c r="H153" s="626"/>
      <c r="I153" s="166">
        <f t="shared" si="51"/>
        <v>0</v>
      </c>
      <c r="J153" s="167">
        <f t="shared" si="52"/>
        <v>0</v>
      </c>
      <c r="K153" s="520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'[91]Sch C'!D150</f>
        <v>4285.55</v>
      </c>
      <c r="D154" s="480">
        <f>'[91]Sch C'!F150</f>
        <v>0</v>
      </c>
      <c r="E154" s="480">
        <f>+'[91]Sch C'!H150</f>
        <v>0</v>
      </c>
      <c r="F154" s="166">
        <f t="shared" si="50"/>
        <v>4285.55</v>
      </c>
      <c r="G154" s="626"/>
      <c r="H154" s="626"/>
      <c r="I154" s="166">
        <f t="shared" si="51"/>
        <v>4285.55</v>
      </c>
      <c r="J154" s="167">
        <f t="shared" si="52"/>
        <v>5.982138446143689E-4</v>
      </c>
      <c r="K154" s="520"/>
      <c r="L154" s="176">
        <v>0</v>
      </c>
      <c r="M154" s="176">
        <v>0</v>
      </c>
      <c r="O154" s="329">
        <f t="shared" si="43"/>
        <v>0.1907401637884992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'[91]Sch C'!D151</f>
        <v>147569.14000000001</v>
      </c>
      <c r="D155" s="480">
        <f>'[91]Sch C'!F151</f>
        <v>0</v>
      </c>
      <c r="E155" s="480">
        <f>+'[91]Sch C'!H151</f>
        <v>0</v>
      </c>
      <c r="F155" s="166">
        <f t="shared" si="50"/>
        <v>147569.14000000001</v>
      </c>
      <c r="G155" s="626">
        <v>-150</v>
      </c>
      <c r="H155" s="626"/>
      <c r="I155" s="166">
        <f t="shared" si="51"/>
        <v>147419.14000000001</v>
      </c>
      <c r="J155" s="167">
        <f t="shared" si="52"/>
        <v>2.0578028609896958E-2</v>
      </c>
      <c r="K155" s="571" t="s">
        <v>494</v>
      </c>
      <c r="L155" s="163"/>
      <c r="M155" s="163"/>
      <c r="O155" s="329">
        <f t="shared" si="43"/>
        <v>6.5612933950507397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'[91]Sch C'!D152</f>
        <v>312.76</v>
      </c>
      <c r="D156" s="480">
        <f>'[91]Sch C'!F152</f>
        <v>0</v>
      </c>
      <c r="E156" s="480">
        <f>+'[91]Sch C'!H152</f>
        <v>0</v>
      </c>
      <c r="F156" s="166">
        <f t="shared" si="50"/>
        <v>312.76</v>
      </c>
      <c r="G156" s="626"/>
      <c r="H156" s="626"/>
      <c r="I156" s="166">
        <f t="shared" si="51"/>
        <v>312.76</v>
      </c>
      <c r="J156" s="167">
        <f t="shared" si="52"/>
        <v>4.3657724689150755E-5</v>
      </c>
      <c r="K156" s="520"/>
      <c r="L156" s="163"/>
      <c r="M156" s="163"/>
      <c r="O156" s="329">
        <f t="shared" si="43"/>
        <v>1.392024212212925E-2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'[91]Sch C'!D153</f>
        <v>3824.18</v>
      </c>
      <c r="D157" s="480">
        <f>'[91]Sch C'!F153</f>
        <v>0</v>
      </c>
      <c r="E157" s="480">
        <f>+'[91]Sch C'!H153</f>
        <v>0</v>
      </c>
      <c r="F157" s="166">
        <f t="shared" si="50"/>
        <v>3824.18</v>
      </c>
      <c r="G157" s="626"/>
      <c r="H157" s="626"/>
      <c r="I157" s="166">
        <f t="shared" si="51"/>
        <v>3824.18</v>
      </c>
      <c r="J157" s="167">
        <f t="shared" si="52"/>
        <v>5.3381186085738757E-4</v>
      </c>
      <c r="K157" s="520"/>
      <c r="L157" s="163"/>
      <c r="M157" s="163"/>
      <c r="O157" s="329">
        <f t="shared" si="43"/>
        <v>0.17020562577888551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'[91]Sch C'!D154</f>
        <v>0</v>
      </c>
      <c r="D158" s="480">
        <f>'[91]Sch C'!F154</f>
        <v>0</v>
      </c>
      <c r="E158" s="480">
        <f>+'[91]Sch C'!H154</f>
        <v>0</v>
      </c>
      <c r="F158" s="166">
        <f t="shared" si="50"/>
        <v>0</v>
      </c>
      <c r="G158" s="626"/>
      <c r="H158" s="626"/>
      <c r="I158" s="166">
        <f t="shared" si="51"/>
        <v>0</v>
      </c>
      <c r="J158" s="167">
        <f t="shared" si="52"/>
        <v>0</v>
      </c>
      <c r="K158" s="520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520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'[91]Sch C'!D156</f>
        <v>0</v>
      </c>
      <c r="D160" s="480">
        <f>'[91]Sch C'!F156</f>
        <v>0</v>
      </c>
      <c r="E160" s="480">
        <f>+'[91]Sch C'!H156</f>
        <v>0</v>
      </c>
      <c r="F160" s="166">
        <f t="shared" ref="F160:F165" si="53">C160+D160+E160</f>
        <v>0</v>
      </c>
      <c r="G160" s="626"/>
      <c r="H160" s="626"/>
      <c r="I160" s="166">
        <f t="shared" ref="I160:I165" si="54">F160+G160+H160</f>
        <v>0</v>
      </c>
      <c r="J160" s="167">
        <f t="shared" ref="J160:J166" si="55">IF($I$213=0,0,I160/$I$213)</f>
        <v>0</v>
      </c>
      <c r="K160" s="520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'[91]Sch C'!D157</f>
        <v>0</v>
      </c>
      <c r="D161" s="480">
        <f>'[91]Sch C'!F157</f>
        <v>0</v>
      </c>
      <c r="E161" s="480">
        <f>+'[91]Sch C'!H157</f>
        <v>0</v>
      </c>
      <c r="F161" s="166">
        <f t="shared" si="53"/>
        <v>0</v>
      </c>
      <c r="G161" s="626"/>
      <c r="H161" s="626"/>
      <c r="I161" s="166">
        <f t="shared" si="54"/>
        <v>0</v>
      </c>
      <c r="J161" s="167">
        <f t="shared" si="55"/>
        <v>0</v>
      </c>
      <c r="K161" s="520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'[91]Sch C'!D158</f>
        <v>0</v>
      </c>
      <c r="D162" s="480">
        <f>'[91]Sch C'!F158</f>
        <v>0</v>
      </c>
      <c r="E162" s="480">
        <f>+'[91]Sch C'!H158</f>
        <v>0</v>
      </c>
      <c r="F162" s="166">
        <f t="shared" si="53"/>
        <v>0</v>
      </c>
      <c r="G162" s="626"/>
      <c r="H162" s="626"/>
      <c r="I162" s="166">
        <f t="shared" si="54"/>
        <v>0</v>
      </c>
      <c r="J162" s="167">
        <f t="shared" si="55"/>
        <v>0</v>
      </c>
      <c r="K162" s="520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'[91]Sch C'!D159</f>
        <v>90</v>
      </c>
      <c r="D163" s="480">
        <f>'[91]Sch C'!F159</f>
        <v>0</v>
      </c>
      <c r="E163" s="480">
        <f>+'[91]Sch C'!H159</f>
        <v>0</v>
      </c>
      <c r="F163" s="166">
        <f t="shared" si="53"/>
        <v>90</v>
      </c>
      <c r="G163" s="626"/>
      <c r="H163" s="626"/>
      <c r="I163" s="166">
        <f t="shared" si="54"/>
        <v>90</v>
      </c>
      <c r="J163" s="167">
        <f t="shared" si="55"/>
        <v>1.2562972317507251E-5</v>
      </c>
      <c r="K163" s="520"/>
      <c r="L163" s="163"/>
      <c r="M163" s="163"/>
      <c r="O163" s="329">
        <f t="shared" si="43"/>
        <v>4.0056969912764823E-3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'[91]Sch C'!D160</f>
        <v>0</v>
      </c>
      <c r="D164" s="480">
        <f>'[91]Sch C'!F160</f>
        <v>0</v>
      </c>
      <c r="E164" s="480">
        <f>+'[91]Sch C'!H160</f>
        <v>0</v>
      </c>
      <c r="F164" s="166">
        <f t="shared" si="53"/>
        <v>0</v>
      </c>
      <c r="G164" s="626"/>
      <c r="H164" s="626"/>
      <c r="I164" s="166">
        <f t="shared" si="54"/>
        <v>0</v>
      </c>
      <c r="J164" s="167">
        <f>IF($I$213=0,0,I164/$I$213)</f>
        <v>0</v>
      </c>
      <c r="K164" s="520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'[91]Sch C'!D161</f>
        <v>606</v>
      </c>
      <c r="D165" s="480">
        <f>'[91]Sch C'!F161</f>
        <v>0</v>
      </c>
      <c r="E165" s="480">
        <f>+'[91]Sch C'!H161</f>
        <v>0</v>
      </c>
      <c r="F165" s="166">
        <f t="shared" si="53"/>
        <v>606</v>
      </c>
      <c r="G165" s="626"/>
      <c r="H165" s="626"/>
      <c r="I165" s="166">
        <f t="shared" si="54"/>
        <v>606</v>
      </c>
      <c r="J165" s="167">
        <f t="shared" si="55"/>
        <v>8.4590680271215486E-5</v>
      </c>
      <c r="K165" s="520"/>
      <c r="L165" s="163"/>
      <c r="M165" s="163"/>
      <c r="O165" s="329">
        <f t="shared" si="43"/>
        <v>2.6971693074594981E-2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2413454.13</v>
      </c>
      <c r="D166" s="480">
        <f t="shared" si="56"/>
        <v>1268872.6399999999</v>
      </c>
      <c r="E166" s="480">
        <f t="shared" si="56"/>
        <v>0</v>
      </c>
      <c r="F166" s="166">
        <f t="shared" ref="F166:I166" si="57">SUM(F128:F165)</f>
        <v>3682326.77</v>
      </c>
      <c r="G166" s="166">
        <f t="shared" si="57"/>
        <v>-150</v>
      </c>
      <c r="H166" s="166">
        <f t="shared" si="57"/>
        <v>0</v>
      </c>
      <c r="I166" s="166">
        <f t="shared" si="57"/>
        <v>3682176.77</v>
      </c>
      <c r="J166" s="167">
        <f t="shared" si="55"/>
        <v>0.51398983144086963</v>
      </c>
      <c r="K166" s="520"/>
      <c r="L166" s="163"/>
      <c r="M166" s="163"/>
      <c r="O166" s="329">
        <f>I166/I$233</f>
        <v>163.88538232152393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520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520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'[91]Sch C'!D175</f>
        <v>0</v>
      </c>
      <c r="D169" s="480">
        <f>'[91]Sch C'!F175</f>
        <v>0</v>
      </c>
      <c r="E169" s="480">
        <f>+'[91]Sch C'!H175</f>
        <v>0</v>
      </c>
      <c r="F169" s="166">
        <f t="shared" ref="F169:F201" si="58">C169+D169+E169</f>
        <v>0</v>
      </c>
      <c r="G169" s="626"/>
      <c r="H169" s="626"/>
      <c r="I169" s="166">
        <f t="shared" ref="I169:I201" si="59">F169+G169+H169</f>
        <v>0</v>
      </c>
      <c r="J169" s="167">
        <f t="shared" ref="J169:J201" si="60">IF($I$213=0,0,I169/$I$213)</f>
        <v>0</v>
      </c>
      <c r="K169" s="575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'[91]Sch C'!D176</f>
        <v>0</v>
      </c>
      <c r="D170" s="480">
        <f>'[91]Sch C'!F176</f>
        <v>0</v>
      </c>
      <c r="E170" s="480">
        <f>+'[91]Sch C'!H176</f>
        <v>0</v>
      </c>
      <c r="F170" s="166">
        <f t="shared" si="58"/>
        <v>0</v>
      </c>
      <c r="G170" s="626"/>
      <c r="H170" s="626"/>
      <c r="I170" s="166">
        <f t="shared" si="59"/>
        <v>0</v>
      </c>
      <c r="J170" s="167">
        <f t="shared" si="60"/>
        <v>0</v>
      </c>
      <c r="K170" s="576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'[91]Sch C'!D177</f>
        <v>147767.73000000001</v>
      </c>
      <c r="D171" s="480">
        <f>'[91]Sch C'!F177</f>
        <v>0</v>
      </c>
      <c r="E171" s="480">
        <f>+'[91]Sch C'!H177</f>
        <v>0</v>
      </c>
      <c r="F171" s="166">
        <f t="shared" si="58"/>
        <v>147767.73000000001</v>
      </c>
      <c r="G171" s="626"/>
      <c r="H171" s="626"/>
      <c r="I171" s="166">
        <f t="shared" si="59"/>
        <v>147767.73000000001</v>
      </c>
      <c r="J171" s="167">
        <f t="shared" si="60"/>
        <v>2.0626687793454286E-2</v>
      </c>
      <c r="K171" s="575"/>
      <c r="L171" s="176">
        <v>4910.5200000000004</v>
      </c>
      <c r="M171" s="176">
        <v>5411.41</v>
      </c>
      <c r="N171" s="208"/>
      <c r="O171" s="329">
        <f t="shared" si="61"/>
        <v>6.5768083496528398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'[91]Sch C'!D178</f>
        <v>0</v>
      </c>
      <c r="D172" s="480">
        <f>'[91]Sch C'!F178</f>
        <v>83668.45</v>
      </c>
      <c r="E172" s="480">
        <f>+'[91]Sch C'!H178</f>
        <v>0</v>
      </c>
      <c r="F172" s="166">
        <f t="shared" si="58"/>
        <v>83668.45</v>
      </c>
      <c r="G172" s="626"/>
      <c r="H172" s="626"/>
      <c r="I172" s="166">
        <f t="shared" si="59"/>
        <v>83668.45</v>
      </c>
      <c r="J172" s="167">
        <f t="shared" si="60"/>
        <v>1.1679160235541551E-2</v>
      </c>
      <c r="K172" s="576"/>
      <c r="L172" s="212"/>
      <c r="M172" s="212"/>
      <c r="N172" s="208"/>
      <c r="O172" s="329">
        <f t="shared" si="61"/>
        <v>3.7238939825529642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'[91]Sch C'!D179</f>
        <v>0</v>
      </c>
      <c r="D173" s="480">
        <f>'[91]Sch C'!F179</f>
        <v>0</v>
      </c>
      <c r="E173" s="480">
        <f>+'[91]Sch C'!H179</f>
        <v>0</v>
      </c>
      <c r="F173" s="166">
        <f t="shared" si="58"/>
        <v>0</v>
      </c>
      <c r="G173" s="626"/>
      <c r="H173" s="626"/>
      <c r="I173" s="166">
        <f t="shared" si="59"/>
        <v>0</v>
      </c>
      <c r="J173" s="167">
        <f t="shared" si="60"/>
        <v>0</v>
      </c>
      <c r="K173" s="575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'[91]Sch C'!D180</f>
        <v>0</v>
      </c>
      <c r="D174" s="480">
        <f>'[91]Sch C'!F180</f>
        <v>0</v>
      </c>
      <c r="E174" s="480">
        <f>+'[91]Sch C'!H180</f>
        <v>0</v>
      </c>
      <c r="F174" s="166">
        <f t="shared" si="58"/>
        <v>0</v>
      </c>
      <c r="G174" s="626"/>
      <c r="H174" s="626"/>
      <c r="I174" s="166">
        <f t="shared" si="59"/>
        <v>0</v>
      </c>
      <c r="J174" s="167">
        <f t="shared" si="60"/>
        <v>0</v>
      </c>
      <c r="K174" s="576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'[91]Sch C'!D181</f>
        <v>0</v>
      </c>
      <c r="D175" s="480">
        <f>'[91]Sch C'!F181</f>
        <v>0</v>
      </c>
      <c r="E175" s="480">
        <f>+'[91]Sch C'!H181</f>
        <v>0</v>
      </c>
      <c r="F175" s="166">
        <f t="shared" si="58"/>
        <v>0</v>
      </c>
      <c r="G175" s="626"/>
      <c r="H175" s="626"/>
      <c r="I175" s="166">
        <f t="shared" si="59"/>
        <v>0</v>
      </c>
      <c r="J175" s="167">
        <f t="shared" si="60"/>
        <v>0</v>
      </c>
      <c r="K175" s="575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'[91]Sch C'!D182</f>
        <v>0</v>
      </c>
      <c r="D176" s="480">
        <f>'[91]Sch C'!F182</f>
        <v>0</v>
      </c>
      <c r="E176" s="480">
        <f>+'[91]Sch C'!H182</f>
        <v>0</v>
      </c>
      <c r="F176" s="166">
        <f t="shared" si="58"/>
        <v>0</v>
      </c>
      <c r="G176" s="626"/>
      <c r="H176" s="626"/>
      <c r="I176" s="166">
        <f t="shared" si="59"/>
        <v>0</v>
      </c>
      <c r="J176" s="167">
        <f t="shared" si="60"/>
        <v>0</v>
      </c>
      <c r="K176" s="576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'[91]Sch C'!D183</f>
        <v>107422.15</v>
      </c>
      <c r="D177" s="480">
        <f>'[91]Sch C'!F183</f>
        <v>0</v>
      </c>
      <c r="E177" s="480">
        <f>+'[91]Sch C'!H183</f>
        <v>0</v>
      </c>
      <c r="F177" s="166">
        <f t="shared" si="58"/>
        <v>107422.15</v>
      </c>
      <c r="G177" s="626"/>
      <c r="H177" s="626"/>
      <c r="I177" s="166">
        <f t="shared" si="59"/>
        <v>107422.15</v>
      </c>
      <c r="J177" s="167">
        <f t="shared" si="60"/>
        <v>1.4994905519301239E-2</v>
      </c>
      <c r="K177" s="575"/>
      <c r="L177" s="176">
        <v>3587.51</v>
      </c>
      <c r="M177" s="176">
        <v>3790.51</v>
      </c>
      <c r="N177" s="208"/>
      <c r="O177" s="329">
        <f t="shared" si="61"/>
        <v>4.7811175894605658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'[91]Sch C'!D184</f>
        <v>0</v>
      </c>
      <c r="D178" s="480">
        <f>'[91]Sch C'!F184</f>
        <v>60921.71</v>
      </c>
      <c r="E178" s="480">
        <f>+'[91]Sch C'!H184</f>
        <v>0</v>
      </c>
      <c r="F178" s="166">
        <f t="shared" si="58"/>
        <v>60921.71</v>
      </c>
      <c r="G178" s="626"/>
      <c r="H178" s="626"/>
      <c r="I178" s="166">
        <f t="shared" si="59"/>
        <v>60921.71</v>
      </c>
      <c r="J178" s="167">
        <f t="shared" si="60"/>
        <v>8.5039750696133849E-3</v>
      </c>
      <c r="K178" s="576"/>
      <c r="L178" s="212"/>
      <c r="M178" s="212"/>
      <c r="N178" s="208"/>
      <c r="O178" s="329">
        <f t="shared" si="61"/>
        <v>2.7114878938935374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'[91]Sch C'!D185</f>
        <v>0</v>
      </c>
      <c r="D179" s="480">
        <f>'[91]Sch C'!F185</f>
        <v>0</v>
      </c>
      <c r="E179" s="480">
        <f>+'[91]Sch C'!H185</f>
        <v>0</v>
      </c>
      <c r="F179" s="166">
        <f t="shared" si="58"/>
        <v>0</v>
      </c>
      <c r="G179" s="626"/>
      <c r="H179" s="626"/>
      <c r="I179" s="166">
        <f t="shared" si="59"/>
        <v>0</v>
      </c>
      <c r="J179" s="167">
        <f t="shared" si="60"/>
        <v>0</v>
      </c>
      <c r="K179" s="575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'[91]Sch C'!D186</f>
        <v>0</v>
      </c>
      <c r="D180" s="480">
        <f>'[91]Sch C'!F186</f>
        <v>0</v>
      </c>
      <c r="E180" s="480">
        <f>+'[91]Sch C'!H186</f>
        <v>0</v>
      </c>
      <c r="F180" s="166">
        <f t="shared" si="58"/>
        <v>0</v>
      </c>
      <c r="G180" s="626"/>
      <c r="H180" s="626"/>
      <c r="I180" s="166">
        <f t="shared" si="59"/>
        <v>0</v>
      </c>
      <c r="J180" s="167">
        <f t="shared" si="60"/>
        <v>0</v>
      </c>
      <c r="K180" s="577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'[91]Sch C'!D187</f>
        <v>0</v>
      </c>
      <c r="D181" s="480">
        <f>'[91]Sch C'!F187</f>
        <v>0</v>
      </c>
      <c r="E181" s="480">
        <f>+'[91]Sch C'!H187</f>
        <v>0</v>
      </c>
      <c r="F181" s="166">
        <f t="shared" si="58"/>
        <v>0</v>
      </c>
      <c r="G181" s="626"/>
      <c r="H181" s="626"/>
      <c r="I181" s="166">
        <f t="shared" si="59"/>
        <v>0</v>
      </c>
      <c r="J181" s="167">
        <f t="shared" si="60"/>
        <v>0</v>
      </c>
      <c r="K181" s="577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'[91]Sch C'!D188</f>
        <v>389.42</v>
      </c>
      <c r="D182" s="480">
        <f>'[91]Sch C'!F188</f>
        <v>0</v>
      </c>
      <c r="E182" s="480">
        <f>+'[91]Sch C'!H188</f>
        <v>0</v>
      </c>
      <c r="F182" s="166">
        <f t="shared" si="58"/>
        <v>389.42</v>
      </c>
      <c r="G182" s="626"/>
      <c r="H182" s="626"/>
      <c r="I182" s="166">
        <f t="shared" si="59"/>
        <v>389.42</v>
      </c>
      <c r="J182" s="167">
        <f t="shared" si="60"/>
        <v>5.4358585332040822E-5</v>
      </c>
      <c r="K182" s="577"/>
      <c r="L182" s="213"/>
      <c r="M182" s="208"/>
      <c r="N182" s="210"/>
      <c r="O182" s="329">
        <f t="shared" si="61"/>
        <v>1.7332205803809862E-2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'[91]Sch C'!D189</f>
        <v>0</v>
      </c>
      <c r="D183" s="480">
        <f>'[91]Sch C'!F189</f>
        <v>0</v>
      </c>
      <c r="E183" s="480">
        <f>+'[91]Sch C'!H189</f>
        <v>0</v>
      </c>
      <c r="F183" s="166">
        <f t="shared" si="58"/>
        <v>0</v>
      </c>
      <c r="G183" s="626"/>
      <c r="H183" s="626"/>
      <c r="I183" s="166">
        <f t="shared" si="59"/>
        <v>0</v>
      </c>
      <c r="J183" s="167">
        <f t="shared" si="60"/>
        <v>0</v>
      </c>
      <c r="K183" s="577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'[91]Sch C'!D190</f>
        <v>0</v>
      </c>
      <c r="D184" s="480">
        <f>'[91]Sch C'!F190</f>
        <v>0</v>
      </c>
      <c r="E184" s="480">
        <f>+'[91]Sch C'!H190</f>
        <v>0</v>
      </c>
      <c r="F184" s="166">
        <f t="shared" si="58"/>
        <v>0</v>
      </c>
      <c r="G184" s="626"/>
      <c r="H184" s="626"/>
      <c r="I184" s="166">
        <f t="shared" si="59"/>
        <v>0</v>
      </c>
      <c r="J184" s="167">
        <f t="shared" si="60"/>
        <v>0</v>
      </c>
      <c r="K184" s="577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'[91]Sch C'!D191</f>
        <v>0</v>
      </c>
      <c r="D185" s="480">
        <f>'[91]Sch C'!F191</f>
        <v>0</v>
      </c>
      <c r="E185" s="480">
        <f>+'[91]Sch C'!H191</f>
        <v>0</v>
      </c>
      <c r="F185" s="166">
        <f t="shared" si="58"/>
        <v>0</v>
      </c>
      <c r="G185" s="626"/>
      <c r="H185" s="626"/>
      <c r="I185" s="166">
        <f t="shared" si="59"/>
        <v>0</v>
      </c>
      <c r="J185" s="167">
        <f t="shared" si="60"/>
        <v>0</v>
      </c>
      <c r="K185" s="577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'[91]Sch C'!D192</f>
        <v>0</v>
      </c>
      <c r="D186" s="480">
        <f>'[91]Sch C'!F192</f>
        <v>0</v>
      </c>
      <c r="E186" s="480">
        <f>+'[91]Sch C'!H192</f>
        <v>0</v>
      </c>
      <c r="F186" s="166">
        <f t="shared" si="58"/>
        <v>0</v>
      </c>
      <c r="G186" s="626"/>
      <c r="H186" s="626"/>
      <c r="I186" s="166">
        <f t="shared" si="59"/>
        <v>0</v>
      </c>
      <c r="J186" s="167">
        <f t="shared" si="60"/>
        <v>0</v>
      </c>
      <c r="K186" s="577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'[91]Sch C'!D193</f>
        <v>106.68</v>
      </c>
      <c r="D187" s="480">
        <f>'[91]Sch C'!F193</f>
        <v>0</v>
      </c>
      <c r="E187" s="480">
        <f>+'[91]Sch C'!H193</f>
        <v>0</v>
      </c>
      <c r="F187" s="166">
        <f t="shared" si="58"/>
        <v>106.68</v>
      </c>
      <c r="G187" s="626"/>
      <c r="H187" s="626"/>
      <c r="I187" s="166">
        <f t="shared" si="59"/>
        <v>106.68</v>
      </c>
      <c r="J187" s="167">
        <f t="shared" si="60"/>
        <v>1.4891309853685263E-5</v>
      </c>
      <c r="K187" s="577"/>
      <c r="L187" s="213"/>
      <c r="M187" s="208"/>
      <c r="N187" s="210"/>
      <c r="O187" s="329">
        <f t="shared" si="61"/>
        <v>4.7480861669930569E-3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'[91]Sch C'!D194</f>
        <v>0</v>
      </c>
      <c r="D188" s="480">
        <f>'[91]Sch C'!F194</f>
        <v>0</v>
      </c>
      <c r="E188" s="480">
        <f>+'[91]Sch C'!H194</f>
        <v>0</v>
      </c>
      <c r="F188" s="166">
        <f t="shared" si="58"/>
        <v>0</v>
      </c>
      <c r="G188" s="626"/>
      <c r="H188" s="626"/>
      <c r="I188" s="166">
        <f t="shared" si="59"/>
        <v>0</v>
      </c>
      <c r="J188" s="167">
        <f t="shared" si="60"/>
        <v>0</v>
      </c>
      <c r="K188" s="577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'[91]Sch C'!D195</f>
        <v>2125</v>
      </c>
      <c r="D189" s="480">
        <f>'[91]Sch C'!F195</f>
        <v>0</v>
      </c>
      <c r="E189" s="480">
        <f>+'[91]Sch C'!H195</f>
        <v>0</v>
      </c>
      <c r="F189" s="166">
        <f t="shared" si="58"/>
        <v>2125</v>
      </c>
      <c r="G189" s="626"/>
      <c r="H189" s="626"/>
      <c r="I189" s="166">
        <f t="shared" si="59"/>
        <v>2125</v>
      </c>
      <c r="J189" s="167">
        <f t="shared" si="60"/>
        <v>2.9662573527447673E-4</v>
      </c>
      <c r="K189" s="577"/>
      <c r="L189" s="213"/>
      <c r="M189" s="208"/>
      <c r="O189" s="329">
        <f t="shared" si="61"/>
        <v>9.4578956738472497E-2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'[91]Sch C'!D196</f>
        <v>0</v>
      </c>
      <c r="D190" s="480">
        <f>'[91]Sch C'!F196</f>
        <v>0</v>
      </c>
      <c r="E190" s="480">
        <f>+'[91]Sch C'!H196</f>
        <v>0</v>
      </c>
      <c r="F190" s="166">
        <f t="shared" si="58"/>
        <v>0</v>
      </c>
      <c r="G190" s="626"/>
      <c r="H190" s="626"/>
      <c r="I190" s="166">
        <f t="shared" si="59"/>
        <v>0</v>
      </c>
      <c r="J190" s="167">
        <f t="shared" si="60"/>
        <v>0</v>
      </c>
      <c r="K190" s="577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'[91]Sch C'!D197</f>
        <v>0</v>
      </c>
      <c r="D191" s="480">
        <f>'[91]Sch C'!F197</f>
        <v>0</v>
      </c>
      <c r="E191" s="480">
        <f>+'[91]Sch C'!H197</f>
        <v>0</v>
      </c>
      <c r="F191" s="166">
        <f t="shared" si="58"/>
        <v>0</v>
      </c>
      <c r="G191" s="626"/>
      <c r="H191" s="626"/>
      <c r="I191" s="166">
        <f t="shared" si="59"/>
        <v>0</v>
      </c>
      <c r="J191" s="167">
        <f t="shared" si="60"/>
        <v>0</v>
      </c>
      <c r="K191" s="577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'[91]Sch C'!D198</f>
        <v>5844.53</v>
      </c>
      <c r="D192" s="480">
        <f>'[91]Sch C'!F198</f>
        <v>0</v>
      </c>
      <c r="E192" s="480">
        <f>+'[91]Sch C'!H198</f>
        <v>0</v>
      </c>
      <c r="F192" s="166">
        <f t="shared" si="58"/>
        <v>5844.53</v>
      </c>
      <c r="G192" s="626"/>
      <c r="H192" s="626"/>
      <c r="I192" s="166">
        <f t="shared" si="59"/>
        <v>5844.53</v>
      </c>
      <c r="J192" s="167">
        <f t="shared" si="60"/>
        <v>8.1582965109822949E-4</v>
      </c>
      <c r="K192" s="577"/>
      <c r="L192" s="213"/>
      <c r="M192" s="208"/>
      <c r="O192" s="329">
        <f t="shared" si="61"/>
        <v>0.26012684707139039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'[91]Sch C'!D199</f>
        <v>0</v>
      </c>
      <c r="D193" s="480">
        <f>'[91]Sch C'!F199</f>
        <v>0</v>
      </c>
      <c r="E193" s="480">
        <f>+'[91]Sch C'!H199</f>
        <v>0</v>
      </c>
      <c r="F193" s="166">
        <f t="shared" si="58"/>
        <v>0</v>
      </c>
      <c r="G193" s="626"/>
      <c r="H193" s="626"/>
      <c r="I193" s="166">
        <f t="shared" si="59"/>
        <v>0</v>
      </c>
      <c r="J193" s="167">
        <f t="shared" si="60"/>
        <v>0</v>
      </c>
      <c r="K193" s="577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'[91]Sch C'!D200</f>
        <v>0</v>
      </c>
      <c r="D194" s="480">
        <f>'[91]Sch C'!F200</f>
        <v>0</v>
      </c>
      <c r="E194" s="480">
        <f>+'[91]Sch C'!H200</f>
        <v>0</v>
      </c>
      <c r="F194" s="166">
        <f t="shared" si="58"/>
        <v>0</v>
      </c>
      <c r="G194" s="626"/>
      <c r="H194" s="626"/>
      <c r="I194" s="166">
        <f t="shared" si="59"/>
        <v>0</v>
      </c>
      <c r="J194" s="167">
        <f t="shared" si="60"/>
        <v>0</v>
      </c>
      <c r="K194" s="577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'[91]Sch C'!D201</f>
        <v>0</v>
      </c>
      <c r="D195" s="480">
        <f>'[91]Sch C'!F201</f>
        <v>0</v>
      </c>
      <c r="E195" s="480">
        <f>+'[91]Sch C'!H201</f>
        <v>0</v>
      </c>
      <c r="F195" s="166">
        <f t="shared" si="58"/>
        <v>0</v>
      </c>
      <c r="G195" s="626"/>
      <c r="H195" s="626"/>
      <c r="I195" s="166">
        <f t="shared" si="59"/>
        <v>0</v>
      </c>
      <c r="J195" s="167">
        <f t="shared" si="60"/>
        <v>0</v>
      </c>
      <c r="K195" s="577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'[91]Sch C'!D202</f>
        <v>0</v>
      </c>
      <c r="D196" s="480">
        <f>'[91]Sch C'!F202</f>
        <v>0</v>
      </c>
      <c r="E196" s="480">
        <f>+'[91]Sch C'!H202</f>
        <v>0</v>
      </c>
      <c r="F196" s="166">
        <f t="shared" si="58"/>
        <v>0</v>
      </c>
      <c r="G196" s="626"/>
      <c r="H196" s="626"/>
      <c r="I196" s="166">
        <f t="shared" si="59"/>
        <v>0</v>
      </c>
      <c r="J196" s="167">
        <f t="shared" si="60"/>
        <v>0</v>
      </c>
      <c r="K196" s="577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'[91]Sch C'!D203</f>
        <v>0</v>
      </c>
      <c r="D197" s="480">
        <f>'[91]Sch C'!F203</f>
        <v>0</v>
      </c>
      <c r="E197" s="480">
        <f>+'[91]Sch C'!H203</f>
        <v>0</v>
      </c>
      <c r="F197" s="166">
        <f t="shared" si="58"/>
        <v>0</v>
      </c>
      <c r="G197" s="626"/>
      <c r="H197" s="626"/>
      <c r="I197" s="166">
        <f t="shared" si="59"/>
        <v>0</v>
      </c>
      <c r="J197" s="167">
        <f t="shared" si="60"/>
        <v>0</v>
      </c>
      <c r="K197" s="577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'[91]Sch C'!D204</f>
        <v>0</v>
      </c>
      <c r="D198" s="480">
        <f>'[91]Sch C'!F204</f>
        <v>0</v>
      </c>
      <c r="E198" s="480">
        <f>+'[91]Sch C'!H204</f>
        <v>0</v>
      </c>
      <c r="F198" s="166">
        <f t="shared" si="58"/>
        <v>0</v>
      </c>
      <c r="G198" s="626"/>
      <c r="H198" s="626"/>
      <c r="I198" s="166">
        <f t="shared" si="59"/>
        <v>0</v>
      </c>
      <c r="J198" s="167">
        <f t="shared" si="60"/>
        <v>0</v>
      </c>
      <c r="K198" s="577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'[91]Sch C'!D205</f>
        <v>110906.93</v>
      </c>
      <c r="D199" s="480">
        <f>'[91]Sch C'!F205</f>
        <v>0</v>
      </c>
      <c r="E199" s="480">
        <f>+'[91]Sch C'!H205</f>
        <v>0</v>
      </c>
      <c r="F199" s="166">
        <f t="shared" si="58"/>
        <v>110906.93</v>
      </c>
      <c r="G199" s="626"/>
      <c r="H199" s="626"/>
      <c r="I199" s="166">
        <f t="shared" si="59"/>
        <v>110906.93</v>
      </c>
      <c r="J199" s="167">
        <f t="shared" si="60"/>
        <v>1.5481341015663492E-2</v>
      </c>
      <c r="K199" s="577"/>
      <c r="L199" s="213"/>
      <c r="M199" s="208"/>
      <c r="O199" s="329">
        <f t="shared" si="61"/>
        <v>4.9362172868079046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'[91]Sch C'!D206</f>
        <v>3215.6</v>
      </c>
      <c r="D200" s="480">
        <f>'[91]Sch C'!F206</f>
        <v>0</v>
      </c>
      <c r="E200" s="480">
        <f>+'[91]Sch C'!H206</f>
        <v>0</v>
      </c>
      <c r="F200" s="166">
        <f t="shared" si="58"/>
        <v>3215.6</v>
      </c>
      <c r="G200" s="626"/>
      <c r="H200" s="626"/>
      <c r="I200" s="166">
        <f t="shared" si="59"/>
        <v>3215.6</v>
      </c>
      <c r="J200" s="167">
        <f t="shared" si="60"/>
        <v>4.4886104204640352E-4</v>
      </c>
      <c r="K200" s="577"/>
      <c r="L200" s="213"/>
      <c r="M200" s="208"/>
      <c r="O200" s="329">
        <f t="shared" si="61"/>
        <v>0.14311910272387396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'[91]Sch C'!D207</f>
        <v>0</v>
      </c>
      <c r="D201" s="480">
        <f>'[91]Sch C'!F207</f>
        <v>0</v>
      </c>
      <c r="E201" s="480">
        <f>+'[91]Sch C'!H207</f>
        <v>0</v>
      </c>
      <c r="F201" s="166">
        <f t="shared" si="58"/>
        <v>0</v>
      </c>
      <c r="G201" s="626"/>
      <c r="H201" s="626"/>
      <c r="I201" s="166">
        <f t="shared" si="59"/>
        <v>0</v>
      </c>
      <c r="J201" s="167">
        <f t="shared" si="60"/>
        <v>0</v>
      </c>
      <c r="K201" s="577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377778.04</v>
      </c>
      <c r="D202" s="480">
        <f t="shared" si="62"/>
        <v>144590.16</v>
      </c>
      <c r="E202" s="480">
        <f t="shared" si="62"/>
        <v>0</v>
      </c>
      <c r="F202" s="166">
        <f t="shared" ref="F202:I202" si="63">SUM(F169:F201)</f>
        <v>522368.19999999995</v>
      </c>
      <c r="G202" s="166">
        <f t="shared" si="63"/>
        <v>0</v>
      </c>
      <c r="H202" s="166">
        <f t="shared" si="63"/>
        <v>0</v>
      </c>
      <c r="I202" s="166">
        <f t="shared" si="63"/>
        <v>522368.19999999995</v>
      </c>
      <c r="J202" s="167">
        <f>IF($I$213=0,0,I202/$I$213)</f>
        <v>7.2916635957178788E-2</v>
      </c>
      <c r="K202" s="520"/>
      <c r="L202" s="163"/>
      <c r="M202" s="163"/>
      <c r="O202" s="329">
        <f>I202/I$233</f>
        <v>23.249430300872351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52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52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'[91]Sch C'!D211</f>
        <v>168341.56</v>
      </c>
      <c r="D205" s="480">
        <f>'[91]Sch C'!F211</f>
        <v>0</v>
      </c>
      <c r="E205" s="480">
        <f>+'[91]Sch C'!H211</f>
        <v>0</v>
      </c>
      <c r="F205" s="166">
        <f t="shared" ref="F205:F210" si="64">C205+D205+E205</f>
        <v>168341.56</v>
      </c>
      <c r="G205" s="626"/>
      <c r="H205" s="626"/>
      <c r="I205" s="166">
        <f t="shared" ref="I205:I210" si="65">F205+G205+H205</f>
        <v>168341.56</v>
      </c>
      <c r="J205" s="167">
        <f t="shared" ref="J205:J211" si="66">IF($I$213=0,0,I205/$I$213)</f>
        <v>2.349855953517762E-2</v>
      </c>
      <c r="K205" s="520"/>
      <c r="L205" s="176">
        <v>9779.61</v>
      </c>
      <c r="M205" s="176">
        <v>10804.11</v>
      </c>
      <c r="O205" s="329">
        <f t="shared" ref="O205:O210" si="67">I205/I$233</f>
        <v>7.492503115542104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'[91]Sch C'!D212</f>
        <v>0</v>
      </c>
      <c r="D206" s="480">
        <f>'[91]Sch C'!F212</f>
        <v>95338.52</v>
      </c>
      <c r="E206" s="480">
        <f>+'[91]Sch C'!H212</f>
        <v>0</v>
      </c>
      <c r="F206" s="166">
        <f t="shared" si="64"/>
        <v>95338.52</v>
      </c>
      <c r="G206" s="626"/>
      <c r="H206" s="626"/>
      <c r="I206" s="166">
        <f t="shared" si="65"/>
        <v>95338.52</v>
      </c>
      <c r="J206" s="167">
        <f t="shared" si="66"/>
        <v>1.3308168750579016E-2</v>
      </c>
      <c r="K206" s="520"/>
      <c r="L206" s="163"/>
      <c r="M206" s="163"/>
      <c r="O206" s="329">
        <f t="shared" si="67"/>
        <v>4.2433024746305863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'[91]Sch C'!D213</f>
        <v>13984</v>
      </c>
      <c r="D207" s="480">
        <f>'[91]Sch C'!F213</f>
        <v>0</v>
      </c>
      <c r="E207" s="480">
        <f>+'[91]Sch C'!H213</f>
        <v>0</v>
      </c>
      <c r="F207" s="166">
        <f t="shared" si="64"/>
        <v>13984</v>
      </c>
      <c r="G207" s="626"/>
      <c r="H207" s="626"/>
      <c r="I207" s="166">
        <f t="shared" si="65"/>
        <v>13984</v>
      </c>
      <c r="J207" s="167">
        <f t="shared" si="66"/>
        <v>1.9520067209780156E-3</v>
      </c>
      <c r="K207" s="520"/>
      <c r="L207" s="163"/>
      <c r="M207" s="163"/>
      <c r="O207" s="329">
        <f t="shared" si="67"/>
        <v>0.62239629695567034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'[91]Sch C'!D214</f>
        <v>0</v>
      </c>
      <c r="D208" s="480">
        <f>'[91]Sch C'!F214</f>
        <v>0</v>
      </c>
      <c r="E208" s="480">
        <f>+'[91]Sch C'!H214</f>
        <v>0</v>
      </c>
      <c r="F208" s="166">
        <f t="shared" si="64"/>
        <v>0</v>
      </c>
      <c r="G208" s="626"/>
      <c r="H208" s="626"/>
      <c r="I208" s="166">
        <f t="shared" si="65"/>
        <v>0</v>
      </c>
      <c r="J208" s="167">
        <f t="shared" si="66"/>
        <v>0</v>
      </c>
      <c r="K208" s="520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'[91]Sch C'!D215</f>
        <v>0</v>
      </c>
      <c r="D209" s="480">
        <f>'[91]Sch C'!F215</f>
        <v>0</v>
      </c>
      <c r="E209" s="480">
        <f>+'[91]Sch C'!H215</f>
        <v>0</v>
      </c>
      <c r="F209" s="166">
        <f t="shared" si="64"/>
        <v>0</v>
      </c>
      <c r="G209" s="626"/>
      <c r="H209" s="626"/>
      <c r="I209" s="166">
        <f t="shared" si="65"/>
        <v>0</v>
      </c>
      <c r="J209" s="167">
        <f t="shared" si="66"/>
        <v>0</v>
      </c>
      <c r="K209" s="520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'[91]Sch C'!D216</f>
        <v>0</v>
      </c>
      <c r="D210" s="480">
        <f>'[91]Sch C'!F216</f>
        <v>0</v>
      </c>
      <c r="E210" s="480">
        <f>+'[91]Sch C'!H216</f>
        <v>0</v>
      </c>
      <c r="F210" s="166">
        <f t="shared" si="64"/>
        <v>0</v>
      </c>
      <c r="G210" s="626">
        <v>150</v>
      </c>
      <c r="H210" s="626"/>
      <c r="I210" s="166">
        <f t="shared" si="65"/>
        <v>150</v>
      </c>
      <c r="J210" s="167">
        <f t="shared" si="66"/>
        <v>2.0938287195845419E-5</v>
      </c>
      <c r="K210" s="571"/>
      <c r="L210" s="163"/>
      <c r="M210" s="163"/>
      <c r="O210" s="329">
        <f t="shared" si="67"/>
        <v>6.67616165212747E-3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182325.56</v>
      </c>
      <c r="D211" s="480">
        <f t="shared" si="68"/>
        <v>95338.52</v>
      </c>
      <c r="E211" s="480">
        <f t="shared" si="68"/>
        <v>0</v>
      </c>
      <c r="F211" s="166">
        <f t="shared" ref="F211:I211" si="69">SUM(F205:F210)</f>
        <v>277664.08</v>
      </c>
      <c r="G211" s="166">
        <f t="shared" si="69"/>
        <v>150</v>
      </c>
      <c r="H211" s="166">
        <f t="shared" si="69"/>
        <v>0</v>
      </c>
      <c r="I211" s="166">
        <f t="shared" si="69"/>
        <v>277814.08</v>
      </c>
      <c r="J211" s="167">
        <f t="shared" si="66"/>
        <v>3.8779673293930499E-2</v>
      </c>
      <c r="K211" s="520"/>
      <c r="L211" s="163"/>
      <c r="M211" s="163"/>
      <c r="O211" s="329">
        <f>I211/I$233</f>
        <v>12.364878048780488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52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7582232.0600000024</v>
      </c>
      <c r="D213" s="480">
        <f t="shared" si="70"/>
        <v>-435162.30000000016</v>
      </c>
      <c r="E213" s="480">
        <f t="shared" si="70"/>
        <v>0</v>
      </c>
      <c r="F213" s="166">
        <f t="shared" ref="F213:I213" si="71">SUM(F30:F211)/2</f>
        <v>7147069.7599999988</v>
      </c>
      <c r="G213" s="166">
        <f t="shared" si="71"/>
        <v>16840</v>
      </c>
      <c r="H213" s="166">
        <f t="shared" si="71"/>
        <v>0</v>
      </c>
      <c r="I213" s="166">
        <f t="shared" si="71"/>
        <v>7163909.7599999988</v>
      </c>
      <c r="J213" s="167">
        <f>IF($I$213=0,0,I213/$I$213)</f>
        <v>1</v>
      </c>
      <c r="K213" s="520"/>
      <c r="L213" s="176">
        <f>SUM(L30:L205)</f>
        <v>178789.47000000003</v>
      </c>
      <c r="M213" s="176">
        <f>SUM(M30:M205)</f>
        <v>192745.49000000005</v>
      </c>
      <c r="O213" s="329">
        <f>I213/I$233</f>
        <v>318.84946412675799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52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520"/>
      <c r="L215" s="163"/>
      <c r="M215" s="163"/>
    </row>
    <row r="216" spans="1:16" s="162" customFormat="1" ht="15.5">
      <c r="A216" s="158"/>
      <c r="B216" s="218" t="s">
        <v>172</v>
      </c>
      <c r="C216" s="480">
        <f>'[91]Sch C'!D221</f>
        <v>7582232.0099999998</v>
      </c>
      <c r="D216" s="188"/>
      <c r="E216" s="188"/>
      <c r="F216" s="160"/>
      <c r="G216" s="160"/>
      <c r="H216"/>
      <c r="I216"/>
      <c r="K216" s="52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5.0000002607703209E-2</v>
      </c>
      <c r="D217" s="219"/>
      <c r="E217" s="219"/>
      <c r="F217" s="160"/>
      <c r="G217" s="160"/>
      <c r="H217"/>
      <c r="I217"/>
      <c r="K217" s="52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520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52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-505361.58000000194</v>
      </c>
      <c r="D220" s="480">
        <f t="shared" si="72"/>
        <v>81779.570000000182</v>
      </c>
      <c r="E220" s="480">
        <f t="shared" si="72"/>
        <v>0</v>
      </c>
      <c r="F220" s="166">
        <f t="shared" ref="F220:I220" si="73">F26-F213</f>
        <v>-423582.00999999885</v>
      </c>
      <c r="G220" s="166">
        <f t="shared" si="73"/>
        <v>608019</v>
      </c>
      <c r="H220" s="166">
        <f t="shared" si="73"/>
        <v>0</v>
      </c>
      <c r="I220" s="166">
        <f t="shared" si="73"/>
        <v>184436.99000000115</v>
      </c>
      <c r="K220" s="52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52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52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520"/>
      <c r="L223" s="163"/>
      <c r="M223" s="163"/>
    </row>
    <row r="224" spans="1:16">
      <c r="A224" s="158"/>
      <c r="B224" s="165" t="s">
        <v>202</v>
      </c>
      <c r="C224" s="504">
        <f>'[91]Sch D'!C9</f>
        <v>15285</v>
      </c>
      <c r="D224" s="480"/>
      <c r="E224" s="480"/>
      <c r="F224" s="224">
        <f>C224+D224+E224</f>
        <v>15285</v>
      </c>
      <c r="G224" s="627"/>
      <c r="H224" s="223"/>
      <c r="I224" s="224">
        <f>F224+G224+H224</f>
        <v>15285</v>
      </c>
      <c r="J224" s="167">
        <f t="shared" ref="J224:J233" si="74">IF($I$233=0,0,I224/$I$233)</f>
        <v>0.68030087235178927</v>
      </c>
      <c r="K224" s="520"/>
      <c r="L224" s="163"/>
      <c r="M224" s="163"/>
    </row>
    <row r="225" spans="1:13">
      <c r="A225" s="158"/>
      <c r="B225" s="165" t="s">
        <v>201</v>
      </c>
      <c r="C225" s="504">
        <f>'[91]Sch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520"/>
      <c r="L225" s="163"/>
      <c r="M225" s="163"/>
    </row>
    <row r="226" spans="1:13">
      <c r="A226" s="158"/>
      <c r="B226" s="165" t="s">
        <v>64</v>
      </c>
      <c r="C226" s="504">
        <f>'[91]Sch D'!E9</f>
        <v>2084</v>
      </c>
      <c r="D226" s="480"/>
      <c r="E226" s="480"/>
      <c r="F226" s="224">
        <f t="shared" si="75"/>
        <v>2084</v>
      </c>
      <c r="G226" s="627"/>
      <c r="H226" s="223"/>
      <c r="I226" s="224">
        <f t="shared" si="76"/>
        <v>2084</v>
      </c>
      <c r="J226" s="167">
        <f t="shared" si="74"/>
        <v>9.2754139220224324E-2</v>
      </c>
      <c r="K226" s="520"/>
      <c r="L226" s="163"/>
      <c r="M226" s="163"/>
    </row>
    <row r="227" spans="1:13">
      <c r="A227" s="158"/>
      <c r="B227" s="194" t="s">
        <v>315</v>
      </c>
      <c r="C227" s="504">
        <f>'[91]Sch D'!F9</f>
        <v>45</v>
      </c>
      <c r="D227" s="480"/>
      <c r="E227" s="480"/>
      <c r="F227" s="224">
        <f t="shared" si="75"/>
        <v>45</v>
      </c>
      <c r="G227" s="627"/>
      <c r="H227" s="223"/>
      <c r="I227" s="224">
        <f t="shared" si="76"/>
        <v>45</v>
      </c>
      <c r="J227" s="167">
        <f t="shared" si="74"/>
        <v>2.0028484956382412E-3</v>
      </c>
      <c r="K227" s="520"/>
      <c r="L227" s="163"/>
      <c r="M227" s="163"/>
    </row>
    <row r="228" spans="1:13">
      <c r="A228" s="158"/>
      <c r="B228" s="165" t="s">
        <v>65</v>
      </c>
      <c r="C228" s="504">
        <f>'[91]Sch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520"/>
      <c r="L228" s="163"/>
      <c r="M228" s="163"/>
    </row>
    <row r="229" spans="1:13">
      <c r="A229" s="158"/>
      <c r="B229" s="165" t="s">
        <v>66</v>
      </c>
      <c r="C229" s="504">
        <f>'[91]Sch D'!H9</f>
        <v>5054</v>
      </c>
      <c r="D229" s="480"/>
      <c r="E229" s="480"/>
      <c r="F229" s="224">
        <f t="shared" si="75"/>
        <v>5054</v>
      </c>
      <c r="G229" s="627"/>
      <c r="H229" s="223"/>
      <c r="I229" s="224">
        <f t="shared" si="76"/>
        <v>5054</v>
      </c>
      <c r="J229" s="167">
        <f t="shared" si="74"/>
        <v>0.22494213993234824</v>
      </c>
      <c r="K229" s="571"/>
      <c r="L229" s="163"/>
      <c r="M229" s="163"/>
    </row>
    <row r="230" spans="1:13">
      <c r="A230" s="158"/>
      <c r="B230" s="165" t="s">
        <v>219</v>
      </c>
      <c r="C230" s="504">
        <f>'[91]Sch D'!I9</f>
        <v>0</v>
      </c>
      <c r="D230" s="480"/>
      <c r="E230" s="480"/>
      <c r="F230" s="224">
        <f t="shared" si="75"/>
        <v>0</v>
      </c>
      <c r="G230" s="627"/>
      <c r="H230" s="223"/>
      <c r="I230" s="224">
        <f t="shared" si="76"/>
        <v>0</v>
      </c>
      <c r="J230" s="167">
        <f t="shared" si="74"/>
        <v>0</v>
      </c>
      <c r="K230" s="520"/>
      <c r="L230" s="163"/>
      <c r="M230" s="163"/>
    </row>
    <row r="231" spans="1:13">
      <c r="A231" s="158"/>
      <c r="B231" s="165" t="s">
        <v>218</v>
      </c>
      <c r="C231" s="504">
        <f>'[91]Sch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571"/>
      <c r="L231" s="163"/>
      <c r="M231" s="163"/>
    </row>
    <row r="232" spans="1:13">
      <c r="A232" s="158"/>
      <c r="B232" s="165" t="s">
        <v>170</v>
      </c>
      <c r="C232" s="504">
        <f>'[91]Sch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520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22468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22468</v>
      </c>
      <c r="G233" s="226">
        <f t="shared" si="78"/>
        <v>0</v>
      </c>
      <c r="H233" s="226">
        <f t="shared" si="78"/>
        <v>0</v>
      </c>
      <c r="I233" s="226">
        <f t="shared" si="78"/>
        <v>22468</v>
      </c>
      <c r="J233" s="167">
        <f t="shared" si="74"/>
        <v>1</v>
      </c>
      <c r="K233" s="520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52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520"/>
      <c r="L235" s="163"/>
      <c r="M235" s="163"/>
    </row>
    <row r="236" spans="1:13">
      <c r="A236" s="158"/>
      <c r="B236" s="194" t="s">
        <v>203</v>
      </c>
      <c r="C236" s="504">
        <f>'[91]Sch D'!N22</f>
        <v>110</v>
      </c>
      <c r="D236" s="480"/>
      <c r="E236" s="480"/>
      <c r="F236" s="224">
        <f>C236+E236</f>
        <v>110</v>
      </c>
      <c r="G236" s="627"/>
      <c r="H236" s="224"/>
      <c r="I236" s="224">
        <f>F236+G236+H236</f>
        <v>110</v>
      </c>
      <c r="J236" s="162"/>
      <c r="K236" s="520"/>
      <c r="L236" s="163"/>
      <c r="M236" s="163"/>
    </row>
    <row r="237" spans="1:13">
      <c r="A237" s="158"/>
      <c r="B237" s="194" t="s">
        <v>271</v>
      </c>
      <c r="C237" s="504">
        <f>'[91]Sch D'!N24</f>
        <v>110</v>
      </c>
      <c r="D237" s="480"/>
      <c r="E237" s="480"/>
      <c r="F237" s="224">
        <f>C237+E237</f>
        <v>110</v>
      </c>
      <c r="G237" s="627"/>
      <c r="H237" s="224"/>
      <c r="I237" s="224">
        <f>F237+G237+H237</f>
        <v>110</v>
      </c>
      <c r="J237" s="162"/>
      <c r="K237" s="52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52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520"/>
      <c r="L239" s="163"/>
      <c r="M239" s="163"/>
    </row>
    <row r="240" spans="1:13" ht="26.5">
      <c r="A240" s="158"/>
      <c r="B240" s="231" t="s">
        <v>316</v>
      </c>
      <c r="C240" s="504">
        <f>'[91]Sch D'!N28</f>
        <v>40150</v>
      </c>
      <c r="D240" s="427"/>
      <c r="E240" s="427"/>
      <c r="F240" s="223">
        <f>F236*F238</f>
        <v>40150</v>
      </c>
      <c r="G240"/>
      <c r="H240" s="228"/>
      <c r="I240" s="223">
        <f>I236*I238</f>
        <v>40150</v>
      </c>
      <c r="J240" s="162"/>
      <c r="K240" s="520"/>
      <c r="L240" s="163"/>
      <c r="M240" s="163"/>
    </row>
    <row r="241" spans="1:13" ht="26.5">
      <c r="A241" s="158"/>
      <c r="B241" s="231" t="s">
        <v>317</v>
      </c>
      <c r="C241" s="505">
        <f>'[91]Sch D'!N30</f>
        <v>0.55960149439601492</v>
      </c>
      <c r="D241" s="228"/>
      <c r="E241" s="228"/>
      <c r="F241" s="232">
        <f>F233/F240</f>
        <v>0.55960149439601492</v>
      </c>
      <c r="G241"/>
      <c r="H241" s="233"/>
      <c r="I241" s="232">
        <f>I233/I240</f>
        <v>0.55960149439601492</v>
      </c>
      <c r="J241" s="162"/>
      <c r="K241" s="520"/>
      <c r="L241" s="163"/>
      <c r="M241" s="163"/>
    </row>
    <row r="242" spans="1:13" ht="26.5">
      <c r="A242" s="158"/>
      <c r="B242" s="231" t="s">
        <v>318</v>
      </c>
      <c r="C242" s="505">
        <f>'[91]Sch D'!N32</f>
        <v>0.38069738480697385</v>
      </c>
      <c r="D242" s="228"/>
      <c r="E242" s="228"/>
      <c r="F242" s="232">
        <f>(F224+F225)/F240</f>
        <v>0.38069738480697385</v>
      </c>
      <c r="G242"/>
      <c r="H242" s="233"/>
      <c r="I242" s="232">
        <f>(I224+I225)/I240</f>
        <v>0.38069738480697385</v>
      </c>
      <c r="J242" s="162"/>
      <c r="K242" s="520"/>
      <c r="L242" s="163"/>
      <c r="M242" s="163"/>
    </row>
    <row r="243" spans="1:13" ht="26.5">
      <c r="A243" s="158"/>
      <c r="B243" s="231" t="s">
        <v>319</v>
      </c>
      <c r="C243" s="505">
        <f>'[91]Sch D'!N34</f>
        <v>0.68030087235178927</v>
      </c>
      <c r="D243" s="228"/>
      <c r="E243" s="228"/>
      <c r="F243" s="232">
        <f>(F242/F241)</f>
        <v>0.68030087235178927</v>
      </c>
      <c r="G243"/>
      <c r="H243" s="233"/>
      <c r="I243" s="232">
        <f>(I242/I241)</f>
        <v>0.68030087235178927</v>
      </c>
      <c r="J243" s="162"/>
      <c r="K243" s="520"/>
      <c r="L243" s="163"/>
      <c r="M243" s="163"/>
    </row>
    <row r="244" spans="1:13">
      <c r="K244" s="519"/>
    </row>
    <row r="245" spans="1:13">
      <c r="K245" s="519"/>
    </row>
    <row r="246" spans="1:13">
      <c r="B246" s="145" t="s">
        <v>320</v>
      </c>
      <c r="H246" s="140" t="s">
        <v>321</v>
      </c>
      <c r="I246" s="480">
        <f>'[91]Sch B'!C90</f>
        <v>197.30436997319035</v>
      </c>
      <c r="K246" s="519"/>
    </row>
    <row r="247" spans="1:13">
      <c r="H247" s="140" t="s">
        <v>322</v>
      </c>
      <c r="I247" s="480">
        <f>'[91]Sch B'!E90</f>
        <v>183.87865198237887</v>
      </c>
      <c r="K247" s="519"/>
    </row>
    <row r="248" spans="1:13" ht="15.5">
      <c r="B248"/>
      <c r="H248" s="140" t="s">
        <v>323</v>
      </c>
      <c r="I248" s="480">
        <f>'[91]Sch B'!G90</f>
        <v>192.02068559556787</v>
      </c>
      <c r="K248" s="519"/>
    </row>
    <row r="249" spans="1:13" ht="15.5">
      <c r="B249"/>
      <c r="H249" s="140" t="s">
        <v>324</v>
      </c>
      <c r="I249" s="480">
        <f>'[91]Sch B'!I90</f>
        <v>197.02632005899704</v>
      </c>
      <c r="K249" s="519"/>
    </row>
    <row r="250" spans="1:13" ht="15.5">
      <c r="B250"/>
      <c r="H250" s="140"/>
      <c r="K250" s="519"/>
    </row>
    <row r="251" spans="1:13" ht="15">
      <c r="B251" s="409"/>
      <c r="K251" s="519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E28CAB"/>
  </sheetPr>
  <dimension ref="A1:Q277"/>
  <sheetViews>
    <sheetView topLeftCell="C6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653" t="s">
        <v>453</v>
      </c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366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'[92]Sch A Pg 1'!B39</f>
        <v>42917</v>
      </c>
      <c r="D3" s="620"/>
      <c r="F3" s="144"/>
      <c r="G3" s="144"/>
    </row>
    <row r="4" spans="1:16">
      <c r="A4" s="143"/>
      <c r="B4" s="145" t="s">
        <v>72</v>
      </c>
      <c r="C4" s="557">
        <f>'[92]Sch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696" t="s">
        <v>739</v>
      </c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'[92]Sch B'!E10</f>
        <v>169346</v>
      </c>
      <c r="D12" s="480">
        <f>'[92]Sch B'!G10</f>
        <v>0</v>
      </c>
      <c r="E12" s="480"/>
      <c r="F12" s="166">
        <f>C12+D12+E12</f>
        <v>169346</v>
      </c>
      <c r="G12" s="626"/>
      <c r="H12" s="166"/>
      <c r="I12" s="166">
        <f>F12+G12+H12</f>
        <v>169346</v>
      </c>
      <c r="J12" s="167">
        <f>IF($I$26=0,0,I12/$I$26)</f>
        <v>2.2263874757717701E-2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'[92]Sch B'!E12</f>
        <v>0</v>
      </c>
      <c r="D13" s="480">
        <f>'[92]Sch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'[92]Sch B'!E13</f>
        <v>0</v>
      </c>
      <c r="D14" s="480">
        <f>'[92]Sch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'[92]Sch B'!E14</f>
        <v>0</v>
      </c>
      <c r="D15" s="480">
        <f>'[92]Sch B'!G14</f>
        <v>0</v>
      </c>
      <c r="E15" s="480"/>
      <c r="F15" s="166">
        <f t="shared" si="0"/>
        <v>0</v>
      </c>
      <c r="G15" s="626">
        <v>2941.6</v>
      </c>
      <c r="H15" s="166"/>
      <c r="I15" s="166">
        <f t="shared" si="1"/>
        <v>2941.6</v>
      </c>
      <c r="J15" s="167">
        <f>IF($I$26=0,0,I15/$I$26)</f>
        <v>3.8673139009662104E-4</v>
      </c>
      <c r="K15" s="697" t="s">
        <v>744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'[92]Sch B'!E15</f>
        <v>169346</v>
      </c>
      <c r="D16" s="480">
        <f>'[92]Sch B'!G15</f>
        <v>0</v>
      </c>
      <c r="E16" s="480"/>
      <c r="F16" s="166">
        <f t="shared" si="0"/>
        <v>169346</v>
      </c>
      <c r="G16" s="626"/>
      <c r="H16" s="166"/>
      <c r="I16" s="166">
        <f>SUM(I12:I15)</f>
        <v>172287.6</v>
      </c>
      <c r="J16" s="167">
        <f t="shared" ref="J16:J26" si="2">IF($I$26=0,0,I16/$I$26)</f>
        <v>2.2650606147814323E-2</v>
      </c>
      <c r="K16" s="458"/>
      <c r="L16" s="333" t="s">
        <v>325</v>
      </c>
      <c r="M16" s="334">
        <f>I26</f>
        <v>7606313</v>
      </c>
      <c r="O16" s="324">
        <f>IFERROR(I16/I224,0)</f>
        <v>186.86290672451193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'[92]Sch B'!E20</f>
        <v>0</v>
      </c>
      <c r="D17" s="480">
        <f>'[92]Sch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6739332.9900000002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'[92]Sch B'!E26</f>
        <v>572867</v>
      </c>
      <c r="D18" s="480">
        <f>'[92]Sch B'!G26</f>
        <v>0</v>
      </c>
      <c r="E18" s="480"/>
      <c r="F18" s="166">
        <f t="shared" si="0"/>
        <v>572867</v>
      </c>
      <c r="G18" s="626"/>
      <c r="H18" s="166"/>
      <c r="I18" s="166">
        <f t="shared" si="1"/>
        <v>572867</v>
      </c>
      <c r="J18" s="167">
        <f t="shared" si="2"/>
        <v>7.5314676111803439E-2</v>
      </c>
      <c r="K18" s="458"/>
      <c r="L18" s="335" t="s">
        <v>327</v>
      </c>
      <c r="M18" s="336">
        <f>I233</f>
        <v>28612</v>
      </c>
      <c r="O18" s="324">
        <f t="shared" si="3"/>
        <v>635.10753880266077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'[92]Sch B'!E32</f>
        <v>8077</v>
      </c>
      <c r="D19" s="480">
        <f>'[92]Sch B'!G32</f>
        <v>0</v>
      </c>
      <c r="E19" s="480"/>
      <c r="F19" s="166">
        <f t="shared" si="0"/>
        <v>8077</v>
      </c>
      <c r="G19" s="626"/>
      <c r="H19" s="166"/>
      <c r="I19" s="166">
        <f t="shared" si="1"/>
        <v>8077</v>
      </c>
      <c r="J19" s="170">
        <f t="shared" si="2"/>
        <v>1.06188109797743E-3</v>
      </c>
      <c r="K19" s="464"/>
      <c r="L19" s="335" t="s">
        <v>328</v>
      </c>
      <c r="M19" s="336">
        <f>I236</f>
        <v>81</v>
      </c>
      <c r="O19" s="324">
        <f t="shared" si="3"/>
        <v>807.7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'[92]Sch B'!E37</f>
        <v>5558752</v>
      </c>
      <c r="D20" s="480">
        <f>'[92]Sch B'!G37</f>
        <v>-2211492</v>
      </c>
      <c r="E20" s="480"/>
      <c r="F20" s="166">
        <f t="shared" si="0"/>
        <v>3347260</v>
      </c>
      <c r="G20" s="626"/>
      <c r="H20" s="166"/>
      <c r="I20" s="166">
        <f t="shared" si="1"/>
        <v>3347260</v>
      </c>
      <c r="J20" s="167">
        <f t="shared" si="2"/>
        <v>0.44006340522668475</v>
      </c>
      <c r="K20" s="458"/>
      <c r="L20" s="335" t="s">
        <v>329</v>
      </c>
      <c r="M20" s="336">
        <f>I240</f>
        <v>29565</v>
      </c>
      <c r="O20" s="324">
        <f t="shared" si="3"/>
        <v>408.40165934602243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'[92]Sch B'!E42</f>
        <v>1246988</v>
      </c>
      <c r="D21" s="480">
        <f>'[92]Sch B'!G42</f>
        <v>2210206</v>
      </c>
      <c r="E21" s="480"/>
      <c r="F21" s="166">
        <f t="shared" si="0"/>
        <v>3457194</v>
      </c>
      <c r="G21" s="626"/>
      <c r="H21" s="166"/>
      <c r="I21" s="166">
        <f t="shared" si="1"/>
        <v>3457194</v>
      </c>
      <c r="J21" s="167">
        <f t="shared" si="2"/>
        <v>0.4545163997326957</v>
      </c>
      <c r="K21" s="458"/>
      <c r="L21" s="337"/>
      <c r="M21" s="336"/>
      <c r="O21" s="324">
        <f t="shared" si="3"/>
        <v>188.37214624312102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'[92]Sch B'!E47</f>
        <v>42875</v>
      </c>
      <c r="D22" s="480">
        <f>'[92]Sch B'!G47</f>
        <v>0</v>
      </c>
      <c r="E22" s="480"/>
      <c r="F22" s="166">
        <f t="shared" si="0"/>
        <v>42875</v>
      </c>
      <c r="G22" s="626"/>
      <c r="H22" s="166"/>
      <c r="I22" s="166">
        <f t="shared" si="1"/>
        <v>42875</v>
      </c>
      <c r="J22" s="167">
        <f t="shared" si="2"/>
        <v>5.6367651449526204E-3</v>
      </c>
      <c r="K22" s="458"/>
      <c r="L22" s="335" t="s">
        <v>148</v>
      </c>
      <c r="M22" s="336">
        <f>L213</f>
        <v>206938</v>
      </c>
      <c r="O22" s="324">
        <f t="shared" si="3"/>
        <v>187.22707423580786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'[92]Sch B'!E52</f>
        <v>0</v>
      </c>
      <c r="D23" s="480">
        <f>'[92]Sch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218454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'[92]Sch B'!E57</f>
        <v>-1286</v>
      </c>
      <c r="D24" s="480">
        <f>'[92]Sch B'!G57</f>
        <v>1286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'[92]Sch B'!E72</f>
        <v>31233</v>
      </c>
      <c r="D25" s="480">
        <f>'[92]Sch B'!G72</f>
        <v>-22539</v>
      </c>
      <c r="E25" s="480"/>
      <c r="F25" s="166">
        <f t="shared" si="0"/>
        <v>8694</v>
      </c>
      <c r="G25" s="626">
        <v>-2941.6</v>
      </c>
      <c r="H25" s="166"/>
      <c r="I25" s="166">
        <f t="shared" si="1"/>
        <v>5752.4</v>
      </c>
      <c r="J25" s="167">
        <f t="shared" si="2"/>
        <v>7.5626653807173063E-4</v>
      </c>
      <c r="K25" s="457" t="s">
        <v>744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7628852</v>
      </c>
      <c r="D26" s="480">
        <f t="shared" ref="D26:F26" si="4">SUM(D16:D25)</f>
        <v>-22539</v>
      </c>
      <c r="E26" s="480">
        <f t="shared" si="4"/>
        <v>0</v>
      </c>
      <c r="F26" s="166">
        <f t="shared" si="4"/>
        <v>7606313</v>
      </c>
      <c r="G26" s="166">
        <f>SUM(G12:G25)</f>
        <v>0</v>
      </c>
      <c r="H26" s="166">
        <f>SUM(H12:H25)</f>
        <v>0</v>
      </c>
      <c r="I26" s="166">
        <f>SUM(I16:I25)</f>
        <v>7606313</v>
      </c>
      <c r="J26" s="167">
        <f t="shared" si="2"/>
        <v>1</v>
      </c>
      <c r="K26" s="458"/>
      <c r="L26" s="163"/>
      <c r="M26" s="163"/>
      <c r="O26" s="324">
        <f>IFERROR(I26/I233,0)</f>
        <v>265.84345729064728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'[92]Sch C'!D10</f>
        <v>0</v>
      </c>
      <c r="D30" s="480">
        <f>'[92]Sch C'!F10</f>
        <v>115076</v>
      </c>
      <c r="E30" s="480">
        <f>+'[92]Sch C'!H10</f>
        <v>0</v>
      </c>
      <c r="F30" s="166">
        <f t="shared" ref="F30:F65" si="5">C30+D30+E30</f>
        <v>115076</v>
      </c>
      <c r="G30" s="626"/>
      <c r="H30" s="166"/>
      <c r="I30" s="166">
        <f t="shared" ref="I30:I65" si="6">F30+G30+H30</f>
        <v>115076</v>
      </c>
      <c r="J30" s="167">
        <f>IF($I$213=0,0,I30/$I$213)</f>
        <v>1.7075280323847003E-2</v>
      </c>
      <c r="K30" s="458"/>
      <c r="L30" s="176">
        <v>1808</v>
      </c>
      <c r="M30" s="176">
        <v>2080</v>
      </c>
      <c r="O30" s="324">
        <f>I30/I$233</f>
        <v>4.0219488326576265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'[92]Sch C'!D11</f>
        <v>0</v>
      </c>
      <c r="D31" s="480">
        <f>'[92]Sch C'!F11</f>
        <v>0</v>
      </c>
      <c r="E31" s="480">
        <f>+'[92]Sch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'[92]Sch C'!D12</f>
        <v>287510</v>
      </c>
      <c r="D32" s="480">
        <f>'[92]Sch C'!F12</f>
        <v>-115210</v>
      </c>
      <c r="E32" s="480">
        <f>+'[92]Sch C'!H12</f>
        <v>0</v>
      </c>
      <c r="F32" s="166">
        <f t="shared" si="5"/>
        <v>172300</v>
      </c>
      <c r="G32" s="626"/>
      <c r="H32" s="166"/>
      <c r="I32" s="166">
        <f t="shared" si="6"/>
        <v>172300</v>
      </c>
      <c r="J32" s="167">
        <f t="shared" si="7"/>
        <v>2.5566328337784064E-2</v>
      </c>
      <c r="K32" s="458"/>
      <c r="L32" s="176">
        <v>9668</v>
      </c>
      <c r="M32" s="176">
        <v>10495</v>
      </c>
      <c r="O32" s="324">
        <f t="shared" si="8"/>
        <v>6.0219488326576265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'[92]Sch C'!D13</f>
        <v>81100</v>
      </c>
      <c r="D33" s="480">
        <f>'[92]Sch C'!F13</f>
        <v>-4533</v>
      </c>
      <c r="E33" s="480">
        <f>+'[92]Sch C'!H13</f>
        <v>0</v>
      </c>
      <c r="F33" s="166">
        <f t="shared" si="5"/>
        <v>76567</v>
      </c>
      <c r="G33" s="626"/>
      <c r="H33" s="166"/>
      <c r="I33" s="166">
        <f t="shared" si="6"/>
        <v>76567</v>
      </c>
      <c r="J33" s="167">
        <f t="shared" si="7"/>
        <v>1.1361213359484111E-2</v>
      </c>
      <c r="K33" s="458"/>
      <c r="L33" s="163"/>
      <c r="M33" s="163"/>
      <c r="O33" s="324">
        <f t="shared" si="8"/>
        <v>2.6760450160771705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'[92]Sch C'!D14</f>
        <v>0</v>
      </c>
      <c r="D34" s="480">
        <f>'[92]Sch C'!F14</f>
        <v>0</v>
      </c>
      <c r="E34" s="480">
        <f>+'[92]Sch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'[92]Sch C'!D15</f>
        <v>0</v>
      </c>
      <c r="D35" s="480">
        <f>'[92]Sch C'!F15</f>
        <v>457450</v>
      </c>
      <c r="E35" s="480">
        <f>+'[92]Sch C'!H15</f>
        <v>0</v>
      </c>
      <c r="F35" s="166">
        <f t="shared" si="5"/>
        <v>457450</v>
      </c>
      <c r="G35" s="626"/>
      <c r="H35" s="166"/>
      <c r="I35" s="166">
        <f t="shared" si="6"/>
        <v>457450</v>
      </c>
      <c r="J35" s="167">
        <f t="shared" si="7"/>
        <v>6.7877637249676839E-2</v>
      </c>
      <c r="K35" s="458"/>
      <c r="L35" s="163"/>
      <c r="M35" s="163"/>
      <c r="O35" s="324">
        <f t="shared" si="8"/>
        <v>15.988046973297918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'[92]Sch C'!D16</f>
        <v>457450</v>
      </c>
      <c r="D36" s="480">
        <f>'[92]Sch C'!F16</f>
        <v>-457450</v>
      </c>
      <c r="E36" s="480">
        <f>+'[92]Sch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'[92]Sch C'!D17</f>
        <v>2849</v>
      </c>
      <c r="D37" s="480">
        <f>'[92]Sch C'!F17</f>
        <v>-2849</v>
      </c>
      <c r="E37" s="480">
        <f>+'[92]Sch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'[92]Sch C'!D18</f>
        <v>44020</v>
      </c>
      <c r="D38" s="480">
        <f>'[92]Sch C'!F18</f>
        <v>0</v>
      </c>
      <c r="E38" s="480">
        <f>+'[92]Sch C'!H18</f>
        <v>0</v>
      </c>
      <c r="F38" s="166">
        <f t="shared" si="5"/>
        <v>44020</v>
      </c>
      <c r="G38" s="626"/>
      <c r="H38" s="166"/>
      <c r="I38" s="166">
        <f t="shared" si="6"/>
        <v>44020</v>
      </c>
      <c r="J38" s="167">
        <f t="shared" si="7"/>
        <v>6.5318036763160441E-3</v>
      </c>
      <c r="K38" s="458"/>
      <c r="L38" s="163"/>
      <c r="M38" s="163"/>
      <c r="O38" s="324">
        <f t="shared" si="8"/>
        <v>1.5385153082622676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'[92]Sch C'!D19</f>
        <v>14367</v>
      </c>
      <c r="D39" s="480">
        <f>'[92]Sch C'!F19</f>
        <v>0</v>
      </c>
      <c r="E39" s="480">
        <f>+'[92]Sch C'!H19</f>
        <v>0</v>
      </c>
      <c r="F39" s="166">
        <f t="shared" si="5"/>
        <v>14367</v>
      </c>
      <c r="G39" s="626"/>
      <c r="H39" s="166"/>
      <c r="I39" s="166">
        <f t="shared" si="6"/>
        <v>14367</v>
      </c>
      <c r="J39" s="167">
        <f t="shared" si="7"/>
        <v>2.1318133443351344E-3</v>
      </c>
      <c r="K39" s="458"/>
      <c r="L39" s="163"/>
      <c r="M39" s="163"/>
      <c r="O39" s="324">
        <f t="shared" si="8"/>
        <v>0.50213197259890952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'[92]Sch C'!D20</f>
        <v>13324</v>
      </c>
      <c r="D40" s="480">
        <f>'[92]Sch C'!F20</f>
        <v>0</v>
      </c>
      <c r="E40" s="480">
        <f>+'[92]Sch C'!H20</f>
        <v>0</v>
      </c>
      <c r="F40" s="166">
        <f t="shared" si="5"/>
        <v>13324</v>
      </c>
      <c r="G40" s="626"/>
      <c r="H40" s="166"/>
      <c r="I40" s="166">
        <f t="shared" si="6"/>
        <v>13324</v>
      </c>
      <c r="J40" s="167">
        <f t="shared" si="7"/>
        <v>1.9770502540489543E-3</v>
      </c>
      <c r="K40" s="458"/>
      <c r="L40" s="163"/>
      <c r="M40" s="163"/>
      <c r="O40" s="324">
        <f t="shared" si="8"/>
        <v>0.46567873619460365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'[92]Sch C'!D21</f>
        <v>4984</v>
      </c>
      <c r="D41" s="480">
        <f>'[92]Sch C'!F21</f>
        <v>0</v>
      </c>
      <c r="E41" s="480">
        <f>+'[92]Sch C'!H21</f>
        <v>0</v>
      </c>
      <c r="F41" s="166">
        <f t="shared" si="5"/>
        <v>4984</v>
      </c>
      <c r="G41" s="626"/>
      <c r="H41" s="166"/>
      <c r="I41" s="166">
        <f t="shared" si="6"/>
        <v>4984</v>
      </c>
      <c r="J41" s="167">
        <f t="shared" si="7"/>
        <v>7.3953906230711411E-4</v>
      </c>
      <c r="K41" s="458"/>
      <c r="L41" s="163"/>
      <c r="M41" s="163"/>
      <c r="O41" s="324">
        <f t="shared" si="8"/>
        <v>0.17419264644205229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'[92]Sch C'!D22</f>
        <v>0</v>
      </c>
      <c r="D42" s="480">
        <f>'[92]Sch C'!F22</f>
        <v>0</v>
      </c>
      <c r="E42" s="480">
        <f>+'[92]Sch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'[92]Sch C'!D23</f>
        <v>8812</v>
      </c>
      <c r="D43" s="480">
        <f>'[92]Sch C'!F23</f>
        <v>0</v>
      </c>
      <c r="E43" s="480">
        <f>+'[92]Sch C'!H23</f>
        <v>0</v>
      </c>
      <c r="F43" s="166">
        <f t="shared" si="5"/>
        <v>8812</v>
      </c>
      <c r="G43" s="626"/>
      <c r="H43" s="166"/>
      <c r="I43" s="166">
        <f t="shared" si="6"/>
        <v>8812</v>
      </c>
      <c r="J43" s="167">
        <f t="shared" si="7"/>
        <v>1.3075477963584048E-3</v>
      </c>
      <c r="K43" s="458"/>
      <c r="L43" s="163"/>
      <c r="M43" s="163"/>
      <c r="O43" s="324">
        <f t="shared" si="8"/>
        <v>0.30798266461624491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'[92]Sch C'!D24</f>
        <v>33927</v>
      </c>
      <c r="D44" s="480">
        <f>'[92]Sch C'!F24</f>
        <v>0</v>
      </c>
      <c r="E44" s="480">
        <f>+'[92]Sch C'!H24</f>
        <v>0</v>
      </c>
      <c r="F44" s="166">
        <f t="shared" si="5"/>
        <v>33927</v>
      </c>
      <c r="G44" s="626"/>
      <c r="H44" s="166"/>
      <c r="I44" s="166">
        <f t="shared" si="6"/>
        <v>33927</v>
      </c>
      <c r="J44" s="167">
        <f t="shared" si="7"/>
        <v>5.0341777220893787E-3</v>
      </c>
      <c r="K44" s="458"/>
      <c r="L44" s="163"/>
      <c r="M44" s="163"/>
      <c r="O44" s="324">
        <f t="shared" si="8"/>
        <v>1.1857612190689222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'[92]Sch C'!D25</f>
        <v>0</v>
      </c>
      <c r="D45" s="480">
        <f>'[92]Sch C'!F25</f>
        <v>0</v>
      </c>
      <c r="E45" s="480">
        <f>+'[92]Sch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'[92]Sch C'!D26</f>
        <v>0</v>
      </c>
      <c r="D46" s="480">
        <f>'[92]Sch C'!F26</f>
        <v>0</v>
      </c>
      <c r="E46" s="480">
        <f>+'[92]Sch C'!H26</f>
        <v>0</v>
      </c>
      <c r="F46" s="166">
        <f t="shared" si="5"/>
        <v>0</v>
      </c>
      <c r="G46" s="626"/>
      <c r="H46" s="166"/>
      <c r="I46" s="166">
        <f t="shared" si="6"/>
        <v>0</v>
      </c>
      <c r="J46" s="167">
        <f t="shared" si="7"/>
        <v>0</v>
      </c>
      <c r="K46" s="458"/>
      <c r="L46" s="163"/>
      <c r="M46" s="163"/>
      <c r="O46" s="324">
        <f t="shared" si="8"/>
        <v>0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'[92]Sch C'!D27</f>
        <v>0</v>
      </c>
      <c r="D47" s="480">
        <f>'[92]Sch C'!F27</f>
        <v>0</v>
      </c>
      <c r="E47" s="480">
        <f>+'[92]Sch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'[92]Sch C'!D28</f>
        <v>0</v>
      </c>
      <c r="D48" s="480">
        <f>'[92]Sch C'!F28</f>
        <v>0</v>
      </c>
      <c r="E48" s="480">
        <f>+'[92]Sch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'[92]Sch C'!D29</f>
        <v>-892</v>
      </c>
      <c r="D49" s="480">
        <f>'[92]Sch C'!F29</f>
        <v>892</v>
      </c>
      <c r="E49" s="480">
        <f>+'[92]Sch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'[92]Sch C'!D30</f>
        <v>0</v>
      </c>
      <c r="D50" s="480">
        <f>'[92]Sch C'!F30</f>
        <v>0</v>
      </c>
      <c r="E50" s="480">
        <f>+'[92]Sch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'[92]Sch C'!D31</f>
        <v>0</v>
      </c>
      <c r="D51" s="480">
        <f>'[92]Sch C'!F31</f>
        <v>0</v>
      </c>
      <c r="E51" s="480">
        <f>+'[92]Sch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'[92]Sch C'!D32</f>
        <v>61560</v>
      </c>
      <c r="D52" s="480">
        <f>'[92]Sch C'!F32</f>
        <v>0</v>
      </c>
      <c r="E52" s="480">
        <f>+'[92]Sch C'!H32</f>
        <v>0</v>
      </c>
      <c r="F52" s="166">
        <f t="shared" si="5"/>
        <v>61560</v>
      </c>
      <c r="G52" s="626"/>
      <c r="H52" s="166"/>
      <c r="I52" s="166">
        <f t="shared" si="6"/>
        <v>61560</v>
      </c>
      <c r="J52" s="167">
        <f t="shared" si="7"/>
        <v>9.1344351275332962E-3</v>
      </c>
      <c r="K52" s="458"/>
      <c r="L52" s="163"/>
      <c r="M52" s="163"/>
      <c r="O52" s="324">
        <f t="shared" si="8"/>
        <v>2.1515448063749476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'[92]Sch C'!D33</f>
        <v>0</v>
      </c>
      <c r="D53" s="480">
        <f>'[92]Sch C'!F33</f>
        <v>0</v>
      </c>
      <c r="E53" s="480">
        <f>+'[92]Sch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'[92]Sch C'!D34</f>
        <v>1571</v>
      </c>
      <c r="D54" s="480">
        <f>'[92]Sch C'!F34</f>
        <v>0</v>
      </c>
      <c r="E54" s="480">
        <f>+'[92]Sch C'!H34</f>
        <v>0</v>
      </c>
      <c r="F54" s="166">
        <f t="shared" si="5"/>
        <v>1571</v>
      </c>
      <c r="G54" s="626"/>
      <c r="H54" s="166"/>
      <c r="I54" s="166">
        <f t="shared" si="6"/>
        <v>1571</v>
      </c>
      <c r="J54" s="167">
        <f t="shared" si="7"/>
        <v>2.3310912256911643E-4</v>
      </c>
      <c r="K54" s="458"/>
      <c r="L54" s="163"/>
      <c r="M54" s="163"/>
      <c r="O54" s="324">
        <f t="shared" si="8"/>
        <v>5.4907032014539357E-2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'[92]Sch C'!D35</f>
        <v>0</v>
      </c>
      <c r="D55" s="480">
        <f>'[92]Sch C'!F35</f>
        <v>0</v>
      </c>
      <c r="E55" s="480">
        <f>+'[92]Sch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'[92]Sch C'!D36</f>
        <v>23555</v>
      </c>
      <c r="D56" s="480">
        <f>'[92]Sch C'!F36</f>
        <v>0</v>
      </c>
      <c r="E56" s="480">
        <f>+'[92]Sch C'!H36</f>
        <v>0</v>
      </c>
      <c r="F56" s="166">
        <f t="shared" si="5"/>
        <v>23555</v>
      </c>
      <c r="G56" s="626"/>
      <c r="H56" s="166"/>
      <c r="I56" s="166">
        <f t="shared" si="6"/>
        <v>23555</v>
      </c>
      <c r="J56" s="167">
        <f t="shared" si="7"/>
        <v>3.4951530121677516E-3</v>
      </c>
      <c r="K56" s="458"/>
      <c r="L56" s="176">
        <v>1369</v>
      </c>
      <c r="M56" s="176">
        <v>1385</v>
      </c>
      <c r="O56" s="324">
        <f t="shared" si="8"/>
        <v>0.82325597651335103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'[92]Sch C'!D37</f>
        <v>2853</v>
      </c>
      <c r="D57" s="480">
        <f>'[92]Sch C'!F37</f>
        <v>0</v>
      </c>
      <c r="E57" s="480">
        <f>+'[92]Sch C'!H37</f>
        <v>0</v>
      </c>
      <c r="F57" s="166">
        <f t="shared" si="5"/>
        <v>2853</v>
      </c>
      <c r="G57" s="626"/>
      <c r="H57" s="166"/>
      <c r="I57" s="166">
        <f t="shared" si="6"/>
        <v>2853</v>
      </c>
      <c r="J57" s="167">
        <f t="shared" si="7"/>
        <v>4.2333566307427702E-4</v>
      </c>
      <c r="K57" s="458"/>
      <c r="L57" s="163"/>
      <c r="M57" s="163"/>
      <c r="O57" s="324">
        <f t="shared" si="8"/>
        <v>9.9713406962113796E-2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'[92]Sch C'!D38</f>
        <v>4053</v>
      </c>
      <c r="D58" s="480">
        <f>'[92]Sch C'!F38</f>
        <v>-4053</v>
      </c>
      <c r="E58" s="480">
        <f>+'[92]Sch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'[92]Sch C'!D39</f>
        <v>10187</v>
      </c>
      <c r="D59" s="480">
        <f>'[92]Sch C'!F39</f>
        <v>0</v>
      </c>
      <c r="E59" s="480">
        <f>+'[92]Sch C'!H39</f>
        <v>0</v>
      </c>
      <c r="F59" s="166">
        <f t="shared" si="5"/>
        <v>10187</v>
      </c>
      <c r="G59" s="626"/>
      <c r="H59" s="166"/>
      <c r="I59" s="166">
        <f t="shared" si="6"/>
        <v>10187</v>
      </c>
      <c r="J59" s="167">
        <f t="shared" si="7"/>
        <v>1.511573922095219E-3</v>
      </c>
      <c r="K59" s="458"/>
      <c r="L59" s="163"/>
      <c r="M59" s="163"/>
      <c r="O59" s="324">
        <f t="shared" si="8"/>
        <v>0.35603942401789457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'[92]Sch C'!D40</f>
        <v>8902</v>
      </c>
      <c r="D60" s="480">
        <f>'[92]Sch C'!F40</f>
        <v>-8902</v>
      </c>
      <c r="E60" s="480">
        <f>+'[92]Sch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'[92]Sch C'!D41</f>
        <v>32534</v>
      </c>
      <c r="D61" s="480">
        <f>'[92]Sch C'!F41</f>
        <v>-9614</v>
      </c>
      <c r="E61" s="480">
        <f>+'[92]Sch C'!H41</f>
        <v>0</v>
      </c>
      <c r="F61" s="166">
        <f t="shared" si="5"/>
        <v>22920</v>
      </c>
      <c r="G61" s="626"/>
      <c r="H61" s="166"/>
      <c r="I61" s="166">
        <f t="shared" si="6"/>
        <v>22920</v>
      </c>
      <c r="J61" s="167">
        <f t="shared" si="7"/>
        <v>3.4009300377365681E-3</v>
      </c>
      <c r="K61" s="458"/>
      <c r="L61" s="163"/>
      <c r="M61" s="163"/>
      <c r="O61" s="324">
        <f t="shared" si="8"/>
        <v>0.80106249126240736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'[92]Sch C'!D42</f>
        <v>0</v>
      </c>
      <c r="D62" s="480">
        <f>'[92]Sch C'!F42</f>
        <v>0</v>
      </c>
      <c r="E62" s="480">
        <f>+'[92]Sch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'[92]Sch C'!D43</f>
        <v>14959</v>
      </c>
      <c r="D63" s="480">
        <f>'[92]Sch C'!F43</f>
        <v>-14959</v>
      </c>
      <c r="E63" s="480">
        <f>+'[92]Sch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'[92]Sch C'!D44</f>
        <v>0</v>
      </c>
      <c r="D64" s="480">
        <f>'[92]Sch C'!F44</f>
        <v>0</v>
      </c>
      <c r="E64" s="480">
        <f>+'[92]Sch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'[92]Sch C'!D45</f>
        <v>300027</v>
      </c>
      <c r="D65" s="480">
        <f>'[92]Sch C'!F45</f>
        <v>-292072</v>
      </c>
      <c r="E65" s="480">
        <f>+'[92]Sch C'!H45</f>
        <v>0</v>
      </c>
      <c r="F65" s="166">
        <f t="shared" si="5"/>
        <v>7955</v>
      </c>
      <c r="G65" s="626">
        <f>-4510.9-692.11</f>
        <v>-5203.0099999999993</v>
      </c>
      <c r="H65" s="166"/>
      <c r="I65" s="166">
        <f t="shared" si="6"/>
        <v>2751.9900000000007</v>
      </c>
      <c r="J65" s="167">
        <f t="shared" si="7"/>
        <v>4.083475329210585E-4</v>
      </c>
      <c r="K65" s="458" t="s">
        <v>588</v>
      </c>
      <c r="L65" s="163"/>
      <c r="M65" s="163"/>
      <c r="O65" s="324">
        <f t="shared" si="8"/>
        <v>9.6183070040542454E-2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1407652</v>
      </c>
      <c r="D66" s="480">
        <f t="shared" si="9"/>
        <v>-336224</v>
      </c>
      <c r="E66" s="480">
        <f t="shared" si="9"/>
        <v>0</v>
      </c>
      <c r="F66" s="166">
        <f t="shared" ref="F66:I66" si="10">SUM(F30:F65)</f>
        <v>1071428</v>
      </c>
      <c r="G66" s="166">
        <f t="shared" si="10"/>
        <v>-5203.0099999999993</v>
      </c>
      <c r="H66" s="166">
        <f t="shared" si="10"/>
        <v>0</v>
      </c>
      <c r="I66" s="166">
        <f t="shared" si="10"/>
        <v>1066224.99</v>
      </c>
      <c r="J66" s="178">
        <f t="shared" si="7"/>
        <v>0.15820927554434433</v>
      </c>
      <c r="K66" s="465"/>
      <c r="L66" s="163" t="s">
        <v>589</v>
      </c>
      <c r="M66" s="163"/>
      <c r="O66" s="329">
        <f>I66/I$233</f>
        <v>37.264958409059133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'[92]Sch C'!D57</f>
        <v>0</v>
      </c>
      <c r="D69" s="480">
        <f>'[92]Sch C'!F57</f>
        <v>0</v>
      </c>
      <c r="E69" s="480">
        <f>+'[92]Sch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'[92]Sch C'!D58</f>
        <v>727</v>
      </c>
      <c r="D70" s="480">
        <f>'[92]Sch C'!F58</f>
        <v>0</v>
      </c>
      <c r="E70" s="480">
        <f>+'[92]Sch C'!H58</f>
        <v>0</v>
      </c>
      <c r="F70" s="166">
        <f t="shared" ref="F70:F83" si="13">C70+D70+E70</f>
        <v>727</v>
      </c>
      <c r="G70" s="626"/>
      <c r="H70" s="166"/>
      <c r="I70" s="166">
        <f t="shared" ref="I70:I83" si="14">F70+G70+H70</f>
        <v>727</v>
      </c>
      <c r="J70" s="167">
        <f t="shared" si="11"/>
        <v>1.078741770259374E-4</v>
      </c>
      <c r="K70" s="458"/>
      <c r="L70" s="182"/>
      <c r="M70" s="163"/>
      <c r="O70" s="324">
        <f t="shared" si="12"/>
        <v>2.5408919334544946E-2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'[92]Sch C'!D59</f>
        <v>0</v>
      </c>
      <c r="D71" s="480">
        <f>'[92]Sch C'!F59</f>
        <v>0</v>
      </c>
      <c r="E71" s="480">
        <f>+'[92]Sch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'[92]Sch C'!D60</f>
        <v>0</v>
      </c>
      <c r="D72" s="480">
        <f>'[92]Sch C'!F60</f>
        <v>0</v>
      </c>
      <c r="E72" s="480">
        <f>+'[92]Sch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'[92]Sch C'!D61</f>
        <v>16946</v>
      </c>
      <c r="D73" s="480">
        <f>'[92]Sch C'!F61</f>
        <v>0</v>
      </c>
      <c r="E73" s="480">
        <f>+'[92]Sch C'!H61</f>
        <v>0</v>
      </c>
      <c r="F73" s="166">
        <f t="shared" si="13"/>
        <v>16946</v>
      </c>
      <c r="G73" s="626"/>
      <c r="H73" s="166"/>
      <c r="I73" s="166">
        <f t="shared" si="14"/>
        <v>16946</v>
      </c>
      <c r="J73" s="167">
        <f t="shared" si="11"/>
        <v>2.5144921648989479E-3</v>
      </c>
      <c r="K73" s="458"/>
      <c r="L73" s="185"/>
      <c r="M73" s="163"/>
      <c r="O73" s="324">
        <f t="shared" si="12"/>
        <v>0.59226897805116729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'[92]Sch C'!D62</f>
        <v>0</v>
      </c>
      <c r="D74" s="480">
        <f>'[92]Sch C'!F62</f>
        <v>0</v>
      </c>
      <c r="E74" s="480">
        <f>+'[92]Sch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'[92]Sch C'!D63</f>
        <v>0</v>
      </c>
      <c r="D75" s="480">
        <f>'[92]Sch C'!F63</f>
        <v>0</v>
      </c>
      <c r="E75" s="480">
        <f>+'[92]Sch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'[92]Sch C'!D64</f>
        <v>0</v>
      </c>
      <c r="D76" s="480">
        <f>'[92]Sch C'!F64</f>
        <v>0</v>
      </c>
      <c r="E76" s="480">
        <f>+'[92]Sch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'[92]Sch C'!D65</f>
        <v>7340</v>
      </c>
      <c r="D77" s="480">
        <f>'[92]Sch C'!F65</f>
        <v>0</v>
      </c>
      <c r="E77" s="480">
        <f>+'[92]Sch C'!H65</f>
        <v>0</v>
      </c>
      <c r="F77" s="166">
        <f t="shared" si="13"/>
        <v>7340</v>
      </c>
      <c r="G77" s="626"/>
      <c r="H77" s="166"/>
      <c r="I77" s="166">
        <f t="shared" si="14"/>
        <v>7340</v>
      </c>
      <c r="J77" s="167">
        <f t="shared" si="11"/>
        <v>1.0891285548423391E-3</v>
      </c>
      <c r="K77" s="458"/>
      <c r="L77" s="187"/>
      <c r="M77" s="163"/>
      <c r="O77" s="324">
        <f t="shared" si="12"/>
        <v>0.25653571927862434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'[92]Sch C'!D66</f>
        <v>43635</v>
      </c>
      <c r="D78" s="480">
        <f>'[92]Sch C'!F66</f>
        <v>0</v>
      </c>
      <c r="E78" s="480">
        <f>+'[92]Sch C'!H66</f>
        <v>0</v>
      </c>
      <c r="F78" s="166">
        <f t="shared" si="13"/>
        <v>43635</v>
      </c>
      <c r="G78" s="626"/>
      <c r="H78" s="166"/>
      <c r="I78" s="166">
        <f t="shared" si="14"/>
        <v>43635</v>
      </c>
      <c r="J78" s="167">
        <f t="shared" si="11"/>
        <v>6.4746763611097363E-3</v>
      </c>
      <c r="K78" s="458"/>
      <c r="L78" s="187"/>
      <c r="M78" s="163"/>
      <c r="O78" s="324">
        <f t="shared" si="12"/>
        <v>1.5250594156298056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'[92]Sch C'!D67</f>
        <v>17607</v>
      </c>
      <c r="D79" s="480">
        <f>'[92]Sch C'!F67</f>
        <v>0</v>
      </c>
      <c r="E79" s="480">
        <f>+'[92]Sch C'!H67</f>
        <v>0</v>
      </c>
      <c r="F79" s="166">
        <f t="shared" si="13"/>
        <v>17607</v>
      </c>
      <c r="G79" s="626"/>
      <c r="H79" s="166"/>
      <c r="I79" s="166">
        <f t="shared" si="14"/>
        <v>17607</v>
      </c>
      <c r="J79" s="167">
        <f t="shared" si="11"/>
        <v>2.6125730878895181E-3</v>
      </c>
      <c r="K79" s="458"/>
      <c r="L79" s="187"/>
      <c r="M79" s="163"/>
      <c r="O79" s="324">
        <f t="shared" si="12"/>
        <v>0.61537117293443311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'[92]Sch C'!D68</f>
        <v>0</v>
      </c>
      <c r="D80" s="480">
        <f>'[92]Sch C'!F68</f>
        <v>0</v>
      </c>
      <c r="E80" s="480">
        <f>+'[92]Sch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'[92]Sch C'!D69</f>
        <v>0</v>
      </c>
      <c r="D81" s="480">
        <f>'[92]Sch C'!F69</f>
        <v>0</v>
      </c>
      <c r="E81" s="480">
        <f>+'[92]Sch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'[92]Sch C'!D70</f>
        <v>0</v>
      </c>
      <c r="D82" s="480">
        <f>'[92]Sch C'!F70</f>
        <v>0</v>
      </c>
      <c r="E82" s="480">
        <f>+'[92]Sch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'[92]Sch C'!D71</f>
        <v>0</v>
      </c>
      <c r="D83" s="480">
        <f>'[92]Sch C'!F71</f>
        <v>0</v>
      </c>
      <c r="E83" s="480">
        <f>+'[92]Sch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86255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86255</v>
      </c>
      <c r="G84" s="166">
        <f t="shared" si="16"/>
        <v>0</v>
      </c>
      <c r="H84" s="166">
        <f t="shared" si="16"/>
        <v>0</v>
      </c>
      <c r="I84" s="166">
        <f t="shared" si="16"/>
        <v>86255</v>
      </c>
      <c r="J84" s="167">
        <f t="shared" si="11"/>
        <v>1.2798744345766479E-2</v>
      </c>
      <c r="K84" s="458"/>
      <c r="L84" s="187"/>
      <c r="M84" s="163"/>
      <c r="O84" s="324">
        <f t="shared" si="12"/>
        <v>3.0146442052285756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'[92]Sch C'!D75</f>
        <v>87435</v>
      </c>
      <c r="D87" s="480">
        <f>'[92]Sch C'!F75</f>
        <v>0</v>
      </c>
      <c r="E87" s="480">
        <f>+'[92]Sch C'!H75</f>
        <v>0</v>
      </c>
      <c r="F87" s="166">
        <f t="shared" ref="F87:F97" si="17">C87+D87+E87</f>
        <v>87435</v>
      </c>
      <c r="G87" s="626"/>
      <c r="H87" s="166"/>
      <c r="I87" s="166">
        <f t="shared" ref="I87:I97" si="18">F87+G87+H87</f>
        <v>87435</v>
      </c>
      <c r="J87" s="167">
        <f t="shared" ref="J87:J98" si="19">IF($I$213=0,0,I87/$I$213)</f>
        <v>1.2973835857307891E-2</v>
      </c>
      <c r="K87" s="458"/>
      <c r="L87" s="176">
        <v>3995</v>
      </c>
      <c r="M87" s="176">
        <v>4399</v>
      </c>
      <c r="O87" s="324">
        <f t="shared" ref="O87:O97" si="20">I87/I$233</f>
        <v>3.0558856423878091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'[92]Sch C'!D76</f>
        <v>21667</v>
      </c>
      <c r="D88" s="480">
        <f>'[92]Sch C'!F76</f>
        <v>0</v>
      </c>
      <c r="E88" s="480">
        <f>+'[92]Sch C'!H76</f>
        <v>0</v>
      </c>
      <c r="F88" s="166">
        <f t="shared" si="17"/>
        <v>21667</v>
      </c>
      <c r="G88" s="626"/>
      <c r="H88" s="166"/>
      <c r="I88" s="166">
        <f t="shared" si="18"/>
        <v>21667</v>
      </c>
      <c r="J88" s="167">
        <f t="shared" si="19"/>
        <v>3.2150065937014932E-3</v>
      </c>
      <c r="K88" s="458"/>
      <c r="L88" s="163"/>
      <c r="M88" s="163"/>
      <c r="O88" s="324">
        <f t="shared" si="20"/>
        <v>0.75726967705857684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'[92]Sch C'!D77</f>
        <v>6453</v>
      </c>
      <c r="D89" s="480">
        <f>'[92]Sch C'!F77</f>
        <v>0</v>
      </c>
      <c r="E89" s="480">
        <f>+'[92]Sch C'!H77</f>
        <v>0</v>
      </c>
      <c r="F89" s="166">
        <f t="shared" si="17"/>
        <v>6453</v>
      </c>
      <c r="G89" s="626"/>
      <c r="H89" s="166"/>
      <c r="I89" s="166">
        <f t="shared" si="18"/>
        <v>6453</v>
      </c>
      <c r="J89" s="167">
        <f t="shared" si="19"/>
        <v>9.575131559124815E-4</v>
      </c>
      <c r="K89" s="458"/>
      <c r="L89" s="163"/>
      <c r="M89" s="163"/>
      <c r="O89" s="324">
        <f t="shared" si="20"/>
        <v>0.22553474066825108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'[92]Sch C'!D78</f>
        <v>0</v>
      </c>
      <c r="D90" s="480">
        <f>'[92]Sch C'!F78</f>
        <v>0</v>
      </c>
      <c r="E90" s="480">
        <f>+'[92]Sch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'[92]Sch C'!D79</f>
        <v>1164</v>
      </c>
      <c r="D91" s="480">
        <f>'[92]Sch C'!F79</f>
        <v>0</v>
      </c>
      <c r="E91" s="480">
        <f>+'[92]Sch C'!H79</f>
        <v>0</v>
      </c>
      <c r="F91" s="166">
        <f t="shared" si="17"/>
        <v>1164</v>
      </c>
      <c r="G91" s="626"/>
      <c r="H91" s="166"/>
      <c r="I91" s="166">
        <f t="shared" si="18"/>
        <v>1164</v>
      </c>
      <c r="J91" s="167">
        <f t="shared" si="19"/>
        <v>1.7271738935101944E-4</v>
      </c>
      <c r="K91" s="458"/>
      <c r="L91" s="163"/>
      <c r="M91" s="163"/>
      <c r="O91" s="324">
        <f t="shared" si="20"/>
        <v>4.0682231231651059E-2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'[92]Sch C'!D80</f>
        <v>19414</v>
      </c>
      <c r="D92" s="480">
        <f>'[92]Sch C'!F80</f>
        <v>0</v>
      </c>
      <c r="E92" s="480">
        <f>+'[92]Sch C'!H80</f>
        <v>0</v>
      </c>
      <c r="F92" s="166">
        <f t="shared" si="17"/>
        <v>19414</v>
      </c>
      <c r="G92" s="626"/>
      <c r="H92" s="166"/>
      <c r="I92" s="166">
        <f t="shared" si="18"/>
        <v>19414</v>
      </c>
      <c r="J92" s="167">
        <f t="shared" si="19"/>
        <v>2.880700512766917E-3</v>
      </c>
      <c r="K92" s="458"/>
      <c r="L92" s="163"/>
      <c r="M92" s="163"/>
      <c r="O92" s="324">
        <f t="shared" si="20"/>
        <v>0.67852649238081919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'[92]Sch C'!D81</f>
        <v>21812</v>
      </c>
      <c r="D93" s="480">
        <f>'[92]Sch C'!F81</f>
        <v>0</v>
      </c>
      <c r="E93" s="480">
        <f>+'[92]Sch C'!H81</f>
        <v>0</v>
      </c>
      <c r="F93" s="166">
        <f t="shared" si="17"/>
        <v>21812</v>
      </c>
      <c r="G93" s="626"/>
      <c r="H93" s="166"/>
      <c r="I93" s="166">
        <f t="shared" si="18"/>
        <v>21812</v>
      </c>
      <c r="J93" s="167">
        <f t="shared" si="19"/>
        <v>3.2365220760519208E-3</v>
      </c>
      <c r="K93" s="458"/>
      <c r="L93" s="163"/>
      <c r="M93" s="163"/>
      <c r="O93" s="324">
        <f t="shared" si="20"/>
        <v>0.76233748077729624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'[92]Sch C'!D82</f>
        <v>12697</v>
      </c>
      <c r="D94" s="480">
        <f>'[92]Sch C'!F82</f>
        <v>0</v>
      </c>
      <c r="E94" s="480">
        <f>+'[92]Sch C'!H82</f>
        <v>0</v>
      </c>
      <c r="F94" s="166">
        <f t="shared" si="17"/>
        <v>12697</v>
      </c>
      <c r="G94" s="626"/>
      <c r="H94" s="166"/>
      <c r="I94" s="166">
        <f t="shared" si="18"/>
        <v>12697</v>
      </c>
      <c r="J94" s="167">
        <f t="shared" si="19"/>
        <v>1.8840143407129672E-3</v>
      </c>
      <c r="K94" s="458"/>
      <c r="L94" s="163"/>
      <c r="M94" s="163"/>
      <c r="O94" s="324">
        <f t="shared" si="20"/>
        <v>0.44376485390745141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'[92]Sch C'!D83</f>
        <v>60</v>
      </c>
      <c r="D95" s="480">
        <f>'[92]Sch C'!F83</f>
        <v>0</v>
      </c>
      <c r="E95" s="480">
        <f>+'[92]Sch C'!H83</f>
        <v>0</v>
      </c>
      <c r="F95" s="166">
        <f t="shared" si="17"/>
        <v>60</v>
      </c>
      <c r="G95" s="626"/>
      <c r="H95" s="166"/>
      <c r="I95" s="166">
        <f t="shared" si="18"/>
        <v>60</v>
      </c>
      <c r="J95" s="167">
        <f t="shared" si="19"/>
        <v>8.9029582139700747E-6</v>
      </c>
      <c r="K95" s="458"/>
      <c r="L95" s="163"/>
      <c r="M95" s="163"/>
      <c r="O95" s="324">
        <f t="shared" si="20"/>
        <v>2.0970222284356216E-3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'[92]Sch C'!D84</f>
        <v>132200</v>
      </c>
      <c r="D96" s="480">
        <f>'[92]Sch C'!F84</f>
        <v>0</v>
      </c>
      <c r="E96" s="480">
        <f>+'[92]Sch C'!H84</f>
        <v>0</v>
      </c>
      <c r="F96" s="166">
        <f t="shared" si="17"/>
        <v>132200</v>
      </c>
      <c r="G96" s="626"/>
      <c r="H96" s="166"/>
      <c r="I96" s="166">
        <f t="shared" si="18"/>
        <v>132200</v>
      </c>
      <c r="J96" s="167">
        <f t="shared" si="19"/>
        <v>1.9616184598114064E-2</v>
      </c>
      <c r="K96" s="458"/>
      <c r="L96" s="163"/>
      <c r="M96" s="163"/>
      <c r="O96" s="324">
        <f t="shared" si="20"/>
        <v>4.6204389766531522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'[92]Sch C'!D85</f>
        <v>0</v>
      </c>
      <c r="D97" s="480">
        <f>'[92]Sch C'!F85</f>
        <v>0</v>
      </c>
      <c r="E97" s="480">
        <f>+'[92]Sch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302902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302902</v>
      </c>
      <c r="G98" s="166">
        <f t="shared" si="22"/>
        <v>0</v>
      </c>
      <c r="H98" s="166">
        <f t="shared" si="22"/>
        <v>0</v>
      </c>
      <c r="I98" s="166">
        <f t="shared" si="22"/>
        <v>302902</v>
      </c>
      <c r="J98" s="167">
        <f t="shared" si="19"/>
        <v>4.4945397482132721E-2</v>
      </c>
      <c r="K98" s="458"/>
      <c r="L98" s="163"/>
      <c r="M98" s="163"/>
      <c r="O98" s="329">
        <f>I98/I$233</f>
        <v>10.586537117293444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'[92]Sch C'!D89</f>
        <v>352772</v>
      </c>
      <c r="D101" s="480">
        <f>'[92]Sch C'!F89</f>
        <v>0</v>
      </c>
      <c r="E101" s="480">
        <f>+'[92]Sch C'!H89</f>
        <v>0</v>
      </c>
      <c r="F101" s="166">
        <f t="shared" ref="F101:F106" si="23">C101+D101+E101</f>
        <v>352772</v>
      </c>
      <c r="G101" s="626"/>
      <c r="H101" s="166"/>
      <c r="I101" s="166">
        <f t="shared" ref="I101:I106" si="24">F101+G101+H101</f>
        <v>352772</v>
      </c>
      <c r="J101" s="167">
        <f t="shared" ref="J101:J107" si="25">IF($I$213=0,0,I101/$I$213)</f>
        <v>5.2345239584310851E-2</v>
      </c>
      <c r="K101" s="458"/>
      <c r="L101" s="176">
        <v>25152</v>
      </c>
      <c r="M101" s="176">
        <v>26923</v>
      </c>
      <c r="O101" s="329">
        <f t="shared" ref="O101:O106" si="26">I101/I$233</f>
        <v>12.329512092828184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'[92]Sch C'!D90</f>
        <v>80757</v>
      </c>
      <c r="D102" s="480">
        <f>'[92]Sch C'!F90</f>
        <v>0</v>
      </c>
      <c r="E102" s="480">
        <f>+'[92]Sch C'!H90</f>
        <v>0</v>
      </c>
      <c r="F102" s="166">
        <f t="shared" si="23"/>
        <v>80757</v>
      </c>
      <c r="G102" s="626"/>
      <c r="H102" s="166"/>
      <c r="I102" s="166">
        <f t="shared" si="24"/>
        <v>80757</v>
      </c>
      <c r="J102" s="167">
        <f t="shared" si="25"/>
        <v>1.1982936608093022E-2</v>
      </c>
      <c r="K102" s="458"/>
      <c r="L102" s="163"/>
      <c r="M102" s="163"/>
      <c r="O102" s="329">
        <f t="shared" si="26"/>
        <v>2.8224870683629248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'[92]Sch C'!D91</f>
        <v>11008</v>
      </c>
      <c r="D103" s="480">
        <f>'[92]Sch C'!F91</f>
        <v>0</v>
      </c>
      <c r="E103" s="480">
        <f>+'[92]Sch C'!H91</f>
        <v>0</v>
      </c>
      <c r="F103" s="166">
        <f t="shared" si="23"/>
        <v>11008</v>
      </c>
      <c r="G103" s="626"/>
      <c r="H103" s="166"/>
      <c r="I103" s="166">
        <f t="shared" si="24"/>
        <v>11008</v>
      </c>
      <c r="J103" s="167">
        <f t="shared" si="25"/>
        <v>1.6333960669897096E-3</v>
      </c>
      <c r="K103" s="458"/>
      <c r="L103" s="163"/>
      <c r="M103" s="163"/>
      <c r="O103" s="329">
        <f t="shared" si="26"/>
        <v>0.38473367817698867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'[92]Sch C'!D92</f>
        <v>318865</v>
      </c>
      <c r="D104" s="480">
        <f>'[92]Sch C'!F92</f>
        <v>-4666</v>
      </c>
      <c r="E104" s="480">
        <f>+'[92]Sch C'!H92</f>
        <v>0</v>
      </c>
      <c r="F104" s="166">
        <f t="shared" si="23"/>
        <v>314199</v>
      </c>
      <c r="G104" s="626"/>
      <c r="H104" s="166"/>
      <c r="I104" s="166">
        <f t="shared" si="24"/>
        <v>314199</v>
      </c>
      <c r="J104" s="167">
        <f t="shared" si="25"/>
        <v>4.6621676131186389E-2</v>
      </c>
      <c r="K104" s="458"/>
      <c r="L104" s="163"/>
      <c r="M104" s="163"/>
      <c r="O104" s="329">
        <f t="shared" si="26"/>
        <v>10.981371452537397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'[92]Sch C'!D93</f>
        <v>20119</v>
      </c>
      <c r="D105" s="480">
        <f>'[92]Sch C'!F93</f>
        <v>0</v>
      </c>
      <c r="E105" s="480">
        <f>+'[92]Sch C'!H93</f>
        <v>0</v>
      </c>
      <c r="F105" s="166">
        <f t="shared" si="23"/>
        <v>20119</v>
      </c>
      <c r="G105" s="626"/>
      <c r="H105" s="166"/>
      <c r="I105" s="166">
        <f t="shared" si="24"/>
        <v>20119</v>
      </c>
      <c r="J105" s="167">
        <f t="shared" si="25"/>
        <v>2.9853102717810652E-3</v>
      </c>
      <c r="K105" s="458"/>
      <c r="L105" s="163"/>
      <c r="M105" s="163"/>
      <c r="O105" s="329">
        <f t="shared" si="26"/>
        <v>0.70316650356493782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'[92]Sch C'!D94</f>
        <v>0</v>
      </c>
      <c r="D106" s="480">
        <f>'[92]Sch C'!F94</f>
        <v>0</v>
      </c>
      <c r="E106" s="480">
        <f>+'[92]Sch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783521</v>
      </c>
      <c r="D107" s="480">
        <f t="shared" si="27"/>
        <v>-4666</v>
      </c>
      <c r="E107" s="480">
        <f t="shared" si="27"/>
        <v>0</v>
      </c>
      <c r="F107" s="166">
        <f t="shared" ref="F107:I107" si="28">SUM(F101:F106)</f>
        <v>778855</v>
      </c>
      <c r="G107" s="166">
        <f t="shared" si="28"/>
        <v>0</v>
      </c>
      <c r="H107" s="166">
        <f t="shared" si="28"/>
        <v>0</v>
      </c>
      <c r="I107" s="166">
        <f t="shared" si="28"/>
        <v>778855</v>
      </c>
      <c r="J107" s="167">
        <f t="shared" si="25"/>
        <v>0.11556855866236103</v>
      </c>
      <c r="K107" s="458"/>
      <c r="L107" s="163"/>
      <c r="M107" s="163"/>
      <c r="O107" s="329">
        <f>I107/I$233</f>
        <v>27.221270795470431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'[92]Sch C'!D98</f>
        <v>70969</v>
      </c>
      <c r="D110" s="480">
        <f>'[92]Sch C'!F98</f>
        <v>0</v>
      </c>
      <c r="E110" s="480">
        <f>+'[92]Sch C'!H98</f>
        <v>0</v>
      </c>
      <c r="F110" s="166">
        <f t="shared" ref="F110:F115" si="29">C110+D110+E110</f>
        <v>70969</v>
      </c>
      <c r="G110" s="626"/>
      <c r="H110" s="166"/>
      <c r="I110" s="166">
        <f t="shared" ref="I110:I115" si="30">F110+G110+H110</f>
        <v>70969</v>
      </c>
      <c r="J110" s="167">
        <f t="shared" ref="J110:J116" si="31">IF($I$213=0,0,I110/$I$213)</f>
        <v>1.0530567358120703E-2</v>
      </c>
      <c r="K110" s="458"/>
      <c r="L110" s="176">
        <v>6233</v>
      </c>
      <c r="M110" s="176">
        <v>6503</v>
      </c>
      <c r="O110" s="329">
        <f t="shared" ref="O110:O115" si="32">I110/I$233</f>
        <v>2.480392842164127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'[92]Sch C'!D99</f>
        <v>19279</v>
      </c>
      <c r="D111" s="480">
        <f>'[92]Sch C'!F99</f>
        <v>0</v>
      </c>
      <c r="E111" s="480">
        <f>+'[92]Sch C'!H99</f>
        <v>0</v>
      </c>
      <c r="F111" s="166">
        <f t="shared" si="29"/>
        <v>19279</v>
      </c>
      <c r="G111" s="626"/>
      <c r="H111" s="166"/>
      <c r="I111" s="166">
        <f t="shared" si="30"/>
        <v>19279</v>
      </c>
      <c r="J111" s="167">
        <f t="shared" si="31"/>
        <v>2.8606688567854844E-3</v>
      </c>
      <c r="K111" s="458"/>
      <c r="L111" s="163"/>
      <c r="M111" s="163"/>
      <c r="O111" s="329">
        <f t="shared" si="32"/>
        <v>0.67380819236683909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'[92]Sch C'!D100</f>
        <v>7792</v>
      </c>
      <c r="D112" s="480">
        <f>'[92]Sch C'!F100</f>
        <v>0</v>
      </c>
      <c r="E112" s="480">
        <f>+'[92]Sch C'!H100</f>
        <v>0</v>
      </c>
      <c r="F112" s="166">
        <f t="shared" si="29"/>
        <v>7792</v>
      </c>
      <c r="G112" s="626"/>
      <c r="H112" s="166"/>
      <c r="I112" s="166">
        <f t="shared" si="30"/>
        <v>7792</v>
      </c>
      <c r="J112" s="167">
        <f t="shared" si="31"/>
        <v>1.1561975067209136E-3</v>
      </c>
      <c r="K112" s="458"/>
      <c r="L112" s="163"/>
      <c r="M112" s="163"/>
      <c r="O112" s="329">
        <f t="shared" si="32"/>
        <v>0.27233328673283935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'[92]Sch C'!D101</f>
        <v>0</v>
      </c>
      <c r="D113" s="480">
        <f>'[92]Sch C'!F101</f>
        <v>0</v>
      </c>
      <c r="E113" s="480">
        <f>+'[92]Sch C'!H101</f>
        <v>0</v>
      </c>
      <c r="F113" s="166">
        <f t="shared" si="29"/>
        <v>0</v>
      </c>
      <c r="G113" s="626"/>
      <c r="H113" s="166"/>
      <c r="I113" s="166">
        <f t="shared" si="30"/>
        <v>0</v>
      </c>
      <c r="J113" s="167">
        <f t="shared" si="31"/>
        <v>0</v>
      </c>
      <c r="K113" s="458"/>
      <c r="L113" s="163"/>
      <c r="M113" s="163"/>
      <c r="O113" s="329">
        <f t="shared" si="32"/>
        <v>0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'[92]Sch C'!D102</f>
        <v>8044</v>
      </c>
      <c r="D114" s="480">
        <f>'[92]Sch C'!F102</f>
        <v>0</v>
      </c>
      <c r="E114" s="480">
        <f>+'[92]Sch C'!H102</f>
        <v>0</v>
      </c>
      <c r="F114" s="166">
        <f t="shared" si="29"/>
        <v>8044</v>
      </c>
      <c r="G114" s="626"/>
      <c r="H114" s="166"/>
      <c r="I114" s="166">
        <f t="shared" si="30"/>
        <v>8044</v>
      </c>
      <c r="J114" s="167">
        <f t="shared" si="31"/>
        <v>1.1935899312195879E-3</v>
      </c>
      <c r="K114" s="458"/>
      <c r="L114" s="163"/>
      <c r="M114" s="163"/>
      <c r="O114" s="329">
        <f t="shared" si="32"/>
        <v>0.281140780092269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'[92]Sch C'!D103</f>
        <v>0</v>
      </c>
      <c r="D115" s="480">
        <f>'[92]Sch C'!F103</f>
        <v>0</v>
      </c>
      <c r="E115" s="480">
        <f>+'[92]Sch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106084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106084</v>
      </c>
      <c r="G116" s="166">
        <f t="shared" si="34"/>
        <v>0</v>
      </c>
      <c r="H116" s="166">
        <f t="shared" si="34"/>
        <v>0</v>
      </c>
      <c r="I116" s="166">
        <f t="shared" si="34"/>
        <v>106084</v>
      </c>
      <c r="J116" s="167">
        <f t="shared" si="31"/>
        <v>1.574102365284669E-2</v>
      </c>
      <c r="K116" s="458"/>
      <c r="L116" s="163"/>
      <c r="M116" s="163"/>
      <c r="O116" s="329">
        <f>I116/I$233</f>
        <v>3.7076751013560743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'[92]Sch C'!D115</f>
        <v>169722</v>
      </c>
      <c r="D119" s="480">
        <f>'[92]Sch C'!F115</f>
        <v>0</v>
      </c>
      <c r="E119" s="480">
        <f>+'[92]Sch C'!H115</f>
        <v>0</v>
      </c>
      <c r="F119" s="166">
        <f t="shared" ref="F119:F123" si="35">C119+D119+E119</f>
        <v>169722</v>
      </c>
      <c r="G119" s="626"/>
      <c r="H119" s="166"/>
      <c r="I119" s="166">
        <f t="shared" ref="I119:I123" si="36">F119+G119+H119</f>
        <v>169722</v>
      </c>
      <c r="J119" s="167">
        <f t="shared" ref="J119:J124" si="37">IF($I$213=0,0,I119/$I$213)</f>
        <v>2.5183797899857148E-2</v>
      </c>
      <c r="K119" s="458"/>
      <c r="L119" s="176">
        <v>13420</v>
      </c>
      <c r="M119" s="176">
        <v>14262</v>
      </c>
      <c r="O119" s="329">
        <f t="shared" ref="O119:O124" si="38">I119/I$233</f>
        <v>5.9318467775758421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'[92]Sch C'!D116</f>
        <v>29129</v>
      </c>
      <c r="D120" s="480">
        <f>'[92]Sch C'!F116</f>
        <v>0</v>
      </c>
      <c r="E120" s="480">
        <f>+'[92]Sch C'!H116</f>
        <v>0</v>
      </c>
      <c r="F120" s="166">
        <f t="shared" si="35"/>
        <v>29129</v>
      </c>
      <c r="G120" s="626"/>
      <c r="H120" s="166"/>
      <c r="I120" s="166">
        <f t="shared" si="36"/>
        <v>29129</v>
      </c>
      <c r="J120" s="167">
        <f t="shared" si="37"/>
        <v>4.3222378302455716E-3</v>
      </c>
      <c r="K120" s="458"/>
      <c r="L120" s="163"/>
      <c r="M120" s="163"/>
      <c r="O120" s="329">
        <f t="shared" si="38"/>
        <v>1.0180693415350204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'[92]Sch C'!D117</f>
        <v>38109</v>
      </c>
      <c r="D121" s="480">
        <f>'[92]Sch C'!F117</f>
        <v>0</v>
      </c>
      <c r="E121" s="480">
        <f>+'[92]Sch C'!H117</f>
        <v>0</v>
      </c>
      <c r="F121" s="166">
        <f t="shared" si="35"/>
        <v>38109</v>
      </c>
      <c r="G121" s="626"/>
      <c r="H121" s="166"/>
      <c r="I121" s="166">
        <f t="shared" si="36"/>
        <v>38109</v>
      </c>
      <c r="J121" s="167">
        <f t="shared" si="37"/>
        <v>5.6547139096030921E-3</v>
      </c>
      <c r="K121" s="458"/>
      <c r="L121" s="163"/>
      <c r="M121" s="163"/>
      <c r="O121" s="329">
        <f t="shared" si="38"/>
        <v>1.3319236683908851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'[92]Sch C'!D118</f>
        <v>0</v>
      </c>
      <c r="D122" s="480">
        <f>'[92]Sch C'!F118</f>
        <v>0</v>
      </c>
      <c r="E122" s="480">
        <f>+'[92]Sch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'[92]Sch C'!D119</f>
        <v>198</v>
      </c>
      <c r="D123" s="480">
        <f>'[92]Sch C'!F119</f>
        <v>0</v>
      </c>
      <c r="E123" s="480">
        <f>+'[92]Sch C'!H119</f>
        <v>0</v>
      </c>
      <c r="F123" s="166">
        <f t="shared" si="35"/>
        <v>198</v>
      </c>
      <c r="G123" s="626"/>
      <c r="H123" s="166"/>
      <c r="I123" s="166">
        <f t="shared" si="36"/>
        <v>198</v>
      </c>
      <c r="J123" s="167">
        <f t="shared" si="37"/>
        <v>2.9379762106101243E-5</v>
      </c>
      <c r="K123" s="458"/>
      <c r="L123" s="163"/>
      <c r="M123" s="163"/>
      <c r="O123" s="329">
        <f t="shared" si="38"/>
        <v>6.9201733538375504E-3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237158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237158</v>
      </c>
      <c r="G124" s="166">
        <f t="shared" si="40"/>
        <v>0</v>
      </c>
      <c r="H124" s="166">
        <f t="shared" si="40"/>
        <v>0</v>
      </c>
      <c r="I124" s="166">
        <f t="shared" si="40"/>
        <v>237158</v>
      </c>
      <c r="J124" s="167">
        <f t="shared" si="37"/>
        <v>3.5190129401811911E-2</v>
      </c>
      <c r="K124" s="458"/>
      <c r="L124" s="163"/>
      <c r="M124" s="163"/>
      <c r="O124" s="329">
        <f t="shared" si="38"/>
        <v>8.2887599608555842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'[92]Sch C'!D124</f>
        <v>0</v>
      </c>
      <c r="D128" s="480">
        <f>'[92]Sch C'!F124</f>
        <v>0</v>
      </c>
      <c r="E128" s="480">
        <f>+'[92]Sch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'[92]Sch C'!D125</f>
        <v>346830</v>
      </c>
      <c r="D129" s="480">
        <f>'[92]Sch C'!F125</f>
        <v>0</v>
      </c>
      <c r="E129" s="480">
        <f>+'[92]Sch C'!H125</f>
        <v>0</v>
      </c>
      <c r="F129" s="166">
        <f t="shared" si="41"/>
        <v>346830</v>
      </c>
      <c r="G129" s="626"/>
      <c r="H129" s="166"/>
      <c r="I129" s="166">
        <f t="shared" si="42"/>
        <v>346830</v>
      </c>
      <c r="J129" s="167">
        <f>IF($I$213=0,0,I129/$I$213)</f>
        <v>5.1463549955854011E-2</v>
      </c>
      <c r="K129" s="458"/>
      <c r="L129" s="176">
        <v>9017</v>
      </c>
      <c r="M129" s="176">
        <v>9405</v>
      </c>
      <c r="O129" s="329">
        <f t="shared" si="43"/>
        <v>12.12183699147211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'[92]Sch C'!D126</f>
        <v>0</v>
      </c>
      <c r="D130" s="480">
        <f>'[92]Sch C'!F126</f>
        <v>0</v>
      </c>
      <c r="E130" s="480">
        <f>+'[92]Sch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'[92]Sch C'!D127</f>
        <v>0</v>
      </c>
      <c r="D131" s="480">
        <f>'[92]Sch C'!F127</f>
        <v>0</v>
      </c>
      <c r="E131" s="480">
        <f>+'[92]Sch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'[92]Sch C'!D128</f>
        <v>43161</v>
      </c>
      <c r="D132" s="480">
        <f>'[92]Sch C'!F128</f>
        <v>0</v>
      </c>
      <c r="E132" s="480">
        <f>+'[92]Sch C'!H128</f>
        <v>0</v>
      </c>
      <c r="F132" s="166">
        <f t="shared" si="41"/>
        <v>43161</v>
      </c>
      <c r="G132" s="626"/>
      <c r="H132" s="166"/>
      <c r="I132" s="166">
        <f t="shared" si="42"/>
        <v>43161</v>
      </c>
      <c r="J132" s="167">
        <f>IF($I$213=0,0,I132/$I$213)</f>
        <v>6.4043429912193726E-3</v>
      </c>
      <c r="K132" s="458"/>
      <c r="L132" s="176">
        <v>2349</v>
      </c>
      <c r="M132" s="176">
        <v>2690</v>
      </c>
      <c r="O132" s="329">
        <f t="shared" si="43"/>
        <v>1.5084929400251643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'[92]Sch C'!D130</f>
        <v>0</v>
      </c>
      <c r="D134" s="480">
        <f>'[92]Sch C'!F130</f>
        <v>0</v>
      </c>
      <c r="E134" s="480">
        <f>+'[92]Sch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'[92]Sch C'!D131</f>
        <v>86805</v>
      </c>
      <c r="D135" s="480">
        <f>'[92]Sch C'!F131</f>
        <v>0</v>
      </c>
      <c r="E135" s="480">
        <f>+'[92]Sch C'!H131</f>
        <v>0</v>
      </c>
      <c r="F135" s="166">
        <f t="shared" si="44"/>
        <v>86805</v>
      </c>
      <c r="G135" s="626"/>
      <c r="H135" s="166"/>
      <c r="I135" s="166">
        <f t="shared" si="45"/>
        <v>86805</v>
      </c>
      <c r="J135" s="167">
        <f>IF($I$213=0,0,I135/$I$213)</f>
        <v>1.2880354796061205E-2</v>
      </c>
      <c r="K135" s="458"/>
      <c r="L135" s="196"/>
      <c r="M135" s="196"/>
      <c r="O135" s="329">
        <f t="shared" si="43"/>
        <v>3.0338669089892352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'[92]Sch C'!D132</f>
        <v>0</v>
      </c>
      <c r="D136" s="480">
        <f>'[92]Sch C'!F132</f>
        <v>0</v>
      </c>
      <c r="E136" s="480">
        <f>+'[92]Sch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'[92]Sch C'!D133</f>
        <v>0</v>
      </c>
      <c r="D137" s="480">
        <f>'[92]Sch C'!F133</f>
        <v>0</v>
      </c>
      <c r="E137" s="480">
        <f>+'[92]Sch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'[92]Sch C'!D134</f>
        <v>5302</v>
      </c>
      <c r="D138" s="480">
        <f>'[92]Sch C'!F134</f>
        <v>0</v>
      </c>
      <c r="E138" s="480">
        <f>+'[92]Sch C'!H134</f>
        <v>0</v>
      </c>
      <c r="F138" s="166">
        <f t="shared" si="44"/>
        <v>5302</v>
      </c>
      <c r="G138" s="626"/>
      <c r="H138" s="166"/>
      <c r="I138" s="166">
        <f t="shared" si="45"/>
        <v>5302</v>
      </c>
      <c r="J138" s="167">
        <f>IF($I$213=0,0,I138/$I$213)</f>
        <v>7.867247408411555E-4</v>
      </c>
      <c r="K138" s="458"/>
      <c r="L138" s="163"/>
      <c r="M138" s="163"/>
      <c r="O138" s="329">
        <f t="shared" si="43"/>
        <v>0.18530686425276108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'[92]Sch C'!D136</f>
        <v>516582</v>
      </c>
      <c r="D140" s="480">
        <f>'[92]Sch C'!F136</f>
        <v>0</v>
      </c>
      <c r="E140" s="480">
        <f>+'[92]Sch C'!H136</f>
        <v>0</v>
      </c>
      <c r="F140" s="166">
        <f t="shared" ref="F140:F143" si="46">C140+D140+E140</f>
        <v>516582</v>
      </c>
      <c r="G140" s="626"/>
      <c r="H140" s="166"/>
      <c r="I140" s="166">
        <f t="shared" ref="I140:I143" si="47">F140+G140+H140</f>
        <v>516582</v>
      </c>
      <c r="J140" s="167">
        <f>IF($I$213=0,0,I140/$I$213)</f>
        <v>7.6651799334818152E-2</v>
      </c>
      <c r="K140" s="458"/>
      <c r="L140" s="176">
        <v>17038</v>
      </c>
      <c r="M140" s="176">
        <v>17630</v>
      </c>
      <c r="O140" s="329">
        <f t="shared" si="43"/>
        <v>18.05473228016217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'[92]Sch C'!D137</f>
        <v>474945</v>
      </c>
      <c r="D141" s="480">
        <f>'[92]Sch C'!F137</f>
        <v>0</v>
      </c>
      <c r="E141" s="480">
        <f>+'[92]Sch C'!H137</f>
        <v>0</v>
      </c>
      <c r="F141" s="166">
        <f t="shared" si="46"/>
        <v>474945</v>
      </c>
      <c r="G141" s="626"/>
      <c r="H141" s="166"/>
      <c r="I141" s="166">
        <f t="shared" si="47"/>
        <v>474945</v>
      </c>
      <c r="J141" s="167">
        <f>IF($I$213=0,0,I141/$I$213)</f>
        <v>7.0473591482233616E-2</v>
      </c>
      <c r="K141" s="458"/>
      <c r="L141" s="176">
        <v>19599</v>
      </c>
      <c r="M141" s="176">
        <v>20713</v>
      </c>
      <c r="O141" s="329">
        <f t="shared" si="43"/>
        <v>16.59950370473927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'[92]Sch C'!D138</f>
        <v>1020007</v>
      </c>
      <c r="D142" s="480">
        <f>'[92]Sch C'!F138</f>
        <v>249</v>
      </c>
      <c r="E142" s="480">
        <f>+'[92]Sch C'!H138</f>
        <v>0</v>
      </c>
      <c r="F142" s="166">
        <f t="shared" si="46"/>
        <v>1020256</v>
      </c>
      <c r="G142" s="626"/>
      <c r="H142" s="166"/>
      <c r="I142" s="166">
        <f t="shared" si="47"/>
        <v>1020256</v>
      </c>
      <c r="J142" s="167">
        <f>IF($I$213=0,0,I142/$I$213)</f>
        <v>0.15138827559253754</v>
      </c>
      <c r="K142" s="458"/>
      <c r="L142" s="176">
        <v>82287</v>
      </c>
      <c r="M142" s="176">
        <v>86036</v>
      </c>
      <c r="O142" s="329">
        <f t="shared" si="43"/>
        <v>35.658325178246891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'[92]Sch C'!D139</f>
        <v>249</v>
      </c>
      <c r="D143" s="480">
        <f>'[92]Sch C'!F139</f>
        <v>-249</v>
      </c>
      <c r="E143" s="480">
        <f>+'[92]Sch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'[92]Sch C'!D141</f>
        <v>366820</v>
      </c>
      <c r="D145" s="480">
        <f>'[92]Sch C'!F141</f>
        <v>-272629</v>
      </c>
      <c r="E145" s="480">
        <f>+'[92]Sch C'!H141</f>
        <v>0</v>
      </c>
      <c r="F145" s="166">
        <f t="shared" ref="F145:F148" si="48">C145+D145+E145</f>
        <v>94191</v>
      </c>
      <c r="G145" s="626"/>
      <c r="H145" s="166"/>
      <c r="I145" s="166">
        <f t="shared" ref="I145:I148" si="49">F145+G145+H145</f>
        <v>94191</v>
      </c>
      <c r="J145" s="167">
        <f>IF($I$213=0,0,I145/$I$213)</f>
        <v>1.397630895220092E-2</v>
      </c>
      <c r="K145" s="458"/>
      <c r="L145" s="163"/>
      <c r="M145" s="163"/>
      <c r="O145" s="329">
        <f t="shared" si="43"/>
        <v>3.2920103453096603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'[92]Sch C'!D142</f>
        <v>0</v>
      </c>
      <c r="D146" s="480">
        <f>'[92]Sch C'!F142</f>
        <v>86600</v>
      </c>
      <c r="E146" s="480">
        <f>+'[92]Sch C'!H142</f>
        <v>0</v>
      </c>
      <c r="F146" s="166">
        <f t="shared" si="48"/>
        <v>86600</v>
      </c>
      <c r="G146" s="626"/>
      <c r="H146" s="166"/>
      <c r="I146" s="166">
        <f t="shared" si="49"/>
        <v>86600</v>
      </c>
      <c r="J146" s="167">
        <f>IF($I$213=0,0,I146/$I$213)</f>
        <v>1.2849936355496807E-2</v>
      </c>
      <c r="K146" s="458"/>
      <c r="L146" s="163"/>
      <c r="M146" s="163"/>
      <c r="O146" s="329">
        <f t="shared" si="43"/>
        <v>3.0267020830420801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'[92]Sch C'!D143</f>
        <v>0</v>
      </c>
      <c r="D147" s="480">
        <f>'[92]Sch C'!F143</f>
        <v>186029</v>
      </c>
      <c r="E147" s="480">
        <f>+'[92]Sch C'!H143</f>
        <v>0</v>
      </c>
      <c r="F147" s="166">
        <f t="shared" si="48"/>
        <v>186029</v>
      </c>
      <c r="G147" s="626"/>
      <c r="H147" s="166"/>
      <c r="I147" s="166">
        <f t="shared" si="49"/>
        <v>186029</v>
      </c>
      <c r="J147" s="167">
        <f>IF($I$213=0,0,I147/$I$213)</f>
        <v>2.7603473559777315E-2</v>
      </c>
      <c r="K147" s="458"/>
      <c r="L147" s="163"/>
      <c r="M147" s="163"/>
      <c r="O147" s="329">
        <f t="shared" si="43"/>
        <v>6.5017824688941701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'[92]Sch C'!D144</f>
        <v>0</v>
      </c>
      <c r="D148" s="480">
        <f>'[92]Sch C'!F144</f>
        <v>0</v>
      </c>
      <c r="E148" s="480">
        <f>+'[92]Sch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'[92]Sch C'!D146</f>
        <v>48000</v>
      </c>
      <c r="D150" s="480">
        <f>'[92]Sch C'!F146</f>
        <v>0</v>
      </c>
      <c r="E150" s="480">
        <f>+'[92]Sch C'!H146</f>
        <v>0</v>
      </c>
      <c r="F150" s="166">
        <f t="shared" ref="F150:F158" si="50">C150+D150+E150</f>
        <v>48000</v>
      </c>
      <c r="G150" s="626"/>
      <c r="H150" s="166"/>
      <c r="I150" s="166">
        <f t="shared" ref="I150:I158" si="51">F150+G150+H150</f>
        <v>48000</v>
      </c>
      <c r="J150" s="167">
        <f t="shared" ref="J150:J158" si="52">IF($I$213=0,0,I150/$I$213)</f>
        <v>7.1223665711760593E-3</v>
      </c>
      <c r="K150" s="458"/>
      <c r="L150" s="176">
        <v>331</v>
      </c>
      <c r="M150" s="176">
        <v>331</v>
      </c>
      <c r="O150" s="329">
        <f t="shared" si="43"/>
        <v>1.677617782748497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'[92]Sch C'!D147</f>
        <v>0</v>
      </c>
      <c r="D151" s="480">
        <f>'[92]Sch C'!F147</f>
        <v>0</v>
      </c>
      <c r="E151" s="480">
        <f>+'[92]Sch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'[92]Sch C'!D148</f>
        <v>0</v>
      </c>
      <c r="D152" s="480">
        <f>'[92]Sch C'!F148</f>
        <v>0</v>
      </c>
      <c r="E152" s="480">
        <f>+'[92]Sch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'[92]Sch C'!D149</f>
        <v>778</v>
      </c>
      <c r="D153" s="480">
        <f>'[92]Sch C'!F149</f>
        <v>0</v>
      </c>
      <c r="E153" s="480">
        <f>+'[92]Sch C'!H149</f>
        <v>0</v>
      </c>
      <c r="F153" s="166">
        <f t="shared" si="50"/>
        <v>778</v>
      </c>
      <c r="G153" s="626"/>
      <c r="H153" s="166"/>
      <c r="I153" s="166">
        <f t="shared" si="51"/>
        <v>778</v>
      </c>
      <c r="J153" s="167">
        <f t="shared" si="52"/>
        <v>1.1544169150781196E-4</v>
      </c>
      <c r="K153" s="458"/>
      <c r="L153" s="176">
        <v>33</v>
      </c>
      <c r="M153" s="176">
        <v>33</v>
      </c>
      <c r="O153" s="329">
        <f t="shared" si="43"/>
        <v>2.7191388228715224E-2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'[92]Sch C'!D150</f>
        <v>1304</v>
      </c>
      <c r="D154" s="480">
        <f>'[92]Sch C'!F150</f>
        <v>0</v>
      </c>
      <c r="E154" s="480">
        <f>+'[92]Sch C'!H150</f>
        <v>0</v>
      </c>
      <c r="F154" s="166">
        <f t="shared" si="50"/>
        <v>1304</v>
      </c>
      <c r="G154" s="626"/>
      <c r="H154" s="166"/>
      <c r="I154" s="166">
        <f t="shared" si="51"/>
        <v>1304</v>
      </c>
      <c r="J154" s="167">
        <f t="shared" si="52"/>
        <v>1.9349095851694961E-4</v>
      </c>
      <c r="K154" s="458"/>
      <c r="L154" s="176">
        <v>0</v>
      </c>
      <c r="M154" s="176">
        <v>0</v>
      </c>
      <c r="O154" s="329">
        <f t="shared" si="43"/>
        <v>4.5575283098000838E-2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'[92]Sch C'!D151</f>
        <v>89844</v>
      </c>
      <c r="D155" s="480">
        <f>'[92]Sch C'!F151</f>
        <v>0</v>
      </c>
      <c r="E155" s="480">
        <f>+'[92]Sch C'!H151</f>
        <v>0</v>
      </c>
      <c r="F155" s="166">
        <f t="shared" si="50"/>
        <v>89844</v>
      </c>
      <c r="G155" s="626"/>
      <c r="H155" s="166"/>
      <c r="I155" s="166">
        <f t="shared" si="51"/>
        <v>89844</v>
      </c>
      <c r="J155" s="167">
        <f t="shared" si="52"/>
        <v>1.3331289629598789E-2</v>
      </c>
      <c r="K155" s="458"/>
      <c r="L155" s="163"/>
      <c r="M155" s="163"/>
      <c r="O155" s="329">
        <f t="shared" si="43"/>
        <v>3.1400810848594993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'[92]Sch C'!D152</f>
        <v>12123</v>
      </c>
      <c r="D156" s="480">
        <f>'[92]Sch C'!F152</f>
        <v>0</v>
      </c>
      <c r="E156" s="480">
        <f>+'[92]Sch C'!H152</f>
        <v>0</v>
      </c>
      <c r="F156" s="166">
        <f t="shared" si="50"/>
        <v>12123</v>
      </c>
      <c r="G156" s="626"/>
      <c r="H156" s="166"/>
      <c r="I156" s="166">
        <f t="shared" si="51"/>
        <v>12123</v>
      </c>
      <c r="J156" s="167">
        <f t="shared" si="52"/>
        <v>1.7988427071326534E-3</v>
      </c>
      <c r="K156" s="458"/>
      <c r="L156" s="163"/>
      <c r="M156" s="163"/>
      <c r="O156" s="329">
        <f t="shared" si="43"/>
        <v>0.42370334125541731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'[92]Sch C'!D153</f>
        <v>0</v>
      </c>
      <c r="D157" s="480">
        <f>'[92]Sch C'!F153</f>
        <v>0</v>
      </c>
      <c r="E157" s="480">
        <f>+'[92]Sch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'[92]Sch C'!D154</f>
        <v>0</v>
      </c>
      <c r="D158" s="480">
        <f>'[92]Sch C'!F154</f>
        <v>0</v>
      </c>
      <c r="E158" s="480">
        <f>+'[92]Sch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'[92]Sch C'!D156</f>
        <v>0</v>
      </c>
      <c r="D160" s="480">
        <f>'[92]Sch C'!F156</f>
        <v>0</v>
      </c>
      <c r="E160" s="480">
        <f>+'[92]Sch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'[92]Sch C'!D157</f>
        <v>0</v>
      </c>
      <c r="D161" s="480">
        <f>'[92]Sch C'!F157</f>
        <v>0</v>
      </c>
      <c r="E161" s="480">
        <f>+'[92]Sch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'[92]Sch C'!D158</f>
        <v>0</v>
      </c>
      <c r="D162" s="480">
        <f>'[92]Sch C'!F158</f>
        <v>0</v>
      </c>
      <c r="E162" s="480">
        <f>+'[92]Sch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'[92]Sch C'!D159</f>
        <v>0</v>
      </c>
      <c r="D163" s="480">
        <f>'[92]Sch C'!F159</f>
        <v>0</v>
      </c>
      <c r="E163" s="480">
        <f>+'[92]Sch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'[92]Sch C'!D160</f>
        <v>75</v>
      </c>
      <c r="D164" s="480">
        <f>'[92]Sch C'!F160</f>
        <v>0</v>
      </c>
      <c r="E164" s="480">
        <f>+'[92]Sch C'!H160</f>
        <v>0</v>
      </c>
      <c r="F164" s="166">
        <f t="shared" si="53"/>
        <v>75</v>
      </c>
      <c r="G164" s="626"/>
      <c r="H164" s="166"/>
      <c r="I164" s="166">
        <f t="shared" si="54"/>
        <v>75</v>
      </c>
      <c r="J164" s="167">
        <f>IF($I$213=0,0,I164/$I$213)</f>
        <v>1.1128697767462592E-5</v>
      </c>
      <c r="K164" s="458"/>
      <c r="L164" s="163"/>
      <c r="M164" s="163"/>
      <c r="O164" s="329">
        <f t="shared" si="43"/>
        <v>2.621277785544527E-3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'[92]Sch C'!D161</f>
        <v>14637</v>
      </c>
      <c r="D165" s="480">
        <f>'[92]Sch C'!F161</f>
        <v>0</v>
      </c>
      <c r="E165" s="480">
        <f>+'[92]Sch C'!H161</f>
        <v>0</v>
      </c>
      <c r="F165" s="166">
        <f t="shared" si="53"/>
        <v>14637</v>
      </c>
      <c r="G165" s="626"/>
      <c r="H165" s="166"/>
      <c r="I165" s="166">
        <f t="shared" si="54"/>
        <v>14637</v>
      </c>
      <c r="J165" s="167">
        <f t="shared" si="55"/>
        <v>2.1718766562979996E-3</v>
      </c>
      <c r="K165" s="458"/>
      <c r="L165" s="163"/>
      <c r="M165" s="163"/>
      <c r="O165" s="329">
        <f t="shared" si="43"/>
        <v>0.51156857262686983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3027462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3027462</v>
      </c>
      <c r="G166" s="166">
        <f t="shared" si="57"/>
        <v>0</v>
      </c>
      <c r="H166" s="166">
        <f t="shared" si="57"/>
        <v>0</v>
      </c>
      <c r="I166" s="166">
        <f t="shared" si="57"/>
        <v>3027462</v>
      </c>
      <c r="J166" s="167">
        <f t="shared" si="55"/>
        <v>0.44922279467303777</v>
      </c>
      <c r="K166" s="458"/>
      <c r="L166" s="163"/>
      <c r="M166" s="163"/>
      <c r="O166" s="329">
        <f>I166/I$233</f>
        <v>105.81091849573606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'[92]Sch C'!D175</f>
        <v>0</v>
      </c>
      <c r="D169" s="480">
        <f>'[92]Sch C'!F175</f>
        <v>0</v>
      </c>
      <c r="E169" s="480">
        <f>+'[92]Sch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'[92]Sch C'!D176</f>
        <v>0</v>
      </c>
      <c r="D170" s="480">
        <f>'[92]Sch C'!F176</f>
        <v>0</v>
      </c>
      <c r="E170" s="480">
        <f>+'[92]Sch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'[92]Sch C'!D177</f>
        <v>0</v>
      </c>
      <c r="D171" s="480">
        <f>'[92]Sch C'!F177</f>
        <v>0</v>
      </c>
      <c r="E171" s="480">
        <f>+'[92]Sch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'[92]Sch C'!D178</f>
        <v>0</v>
      </c>
      <c r="D172" s="480">
        <f>'[92]Sch C'!F178</f>
        <v>0</v>
      </c>
      <c r="E172" s="480">
        <f>+'[92]Sch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'[92]Sch C'!D179</f>
        <v>0</v>
      </c>
      <c r="D173" s="480">
        <f>'[92]Sch C'!F179</f>
        <v>0</v>
      </c>
      <c r="E173" s="480">
        <f>+'[92]Sch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'[92]Sch C'!D180</f>
        <v>0</v>
      </c>
      <c r="D174" s="480">
        <f>'[92]Sch C'!F180</f>
        <v>0</v>
      </c>
      <c r="E174" s="480">
        <f>+'[92]Sch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'[92]Sch C'!D181</f>
        <v>0</v>
      </c>
      <c r="D175" s="480">
        <f>'[92]Sch C'!F181</f>
        <v>0</v>
      </c>
      <c r="E175" s="480">
        <f>+'[92]Sch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'[92]Sch C'!D182</f>
        <v>0</v>
      </c>
      <c r="D176" s="480">
        <f>'[92]Sch C'!F182</f>
        <v>0</v>
      </c>
      <c r="E176" s="480">
        <f>+'[92]Sch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'[92]Sch C'!D183</f>
        <v>0</v>
      </c>
      <c r="D177" s="480">
        <f>'[92]Sch C'!F183</f>
        <v>0</v>
      </c>
      <c r="E177" s="480">
        <f>+'[92]Sch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'[92]Sch C'!D184</f>
        <v>0</v>
      </c>
      <c r="D178" s="480">
        <f>'[92]Sch C'!F184</f>
        <v>0</v>
      </c>
      <c r="E178" s="480">
        <f>+'[92]Sch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'[92]Sch C'!D185</f>
        <v>0</v>
      </c>
      <c r="D179" s="480">
        <f>'[92]Sch C'!F185</f>
        <v>0</v>
      </c>
      <c r="E179" s="480">
        <f>+'[92]Sch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'[92]Sch C'!D186</f>
        <v>0</v>
      </c>
      <c r="D180" s="480">
        <f>'[92]Sch C'!F186</f>
        <v>0</v>
      </c>
      <c r="E180" s="480">
        <f>+'[92]Sch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'[92]Sch C'!D187</f>
        <v>0</v>
      </c>
      <c r="D181" s="480">
        <f>'[92]Sch C'!F187</f>
        <v>0</v>
      </c>
      <c r="E181" s="480">
        <f>+'[92]Sch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'[92]Sch C'!D188</f>
        <v>0</v>
      </c>
      <c r="D182" s="480">
        <f>'[92]Sch C'!F188</f>
        <v>0</v>
      </c>
      <c r="E182" s="480">
        <f>+'[92]Sch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'[92]Sch C'!D189</f>
        <v>0</v>
      </c>
      <c r="D183" s="480">
        <f>'[92]Sch C'!F189</f>
        <v>0</v>
      </c>
      <c r="E183" s="480">
        <f>+'[92]Sch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'[92]Sch C'!D190</f>
        <v>0</v>
      </c>
      <c r="D184" s="480">
        <f>'[92]Sch C'!F190</f>
        <v>0</v>
      </c>
      <c r="E184" s="480">
        <f>+'[92]Sch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'[92]Sch C'!D191</f>
        <v>0</v>
      </c>
      <c r="D185" s="480">
        <f>'[92]Sch C'!F191</f>
        <v>0</v>
      </c>
      <c r="E185" s="480">
        <f>+'[92]Sch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'[92]Sch C'!D192</f>
        <v>0</v>
      </c>
      <c r="D186" s="480">
        <f>'[92]Sch C'!F192</f>
        <v>0</v>
      </c>
      <c r="E186" s="480">
        <f>+'[92]Sch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'[92]Sch C'!D193</f>
        <v>21597</v>
      </c>
      <c r="D187" s="480">
        <f>'[92]Sch C'!F193</f>
        <v>0</v>
      </c>
      <c r="E187" s="480">
        <f>+'[92]Sch C'!H193</f>
        <v>0</v>
      </c>
      <c r="F187" s="166">
        <f t="shared" si="58"/>
        <v>21597</v>
      </c>
      <c r="G187" s="626"/>
      <c r="H187" s="166"/>
      <c r="I187" s="166">
        <f t="shared" si="59"/>
        <v>21597</v>
      </c>
      <c r="J187" s="167">
        <f t="shared" si="60"/>
        <v>3.204619809118528E-3</v>
      </c>
      <c r="K187" s="458"/>
      <c r="L187" s="213"/>
      <c r="M187" s="208"/>
      <c r="N187" s="210"/>
      <c r="O187" s="329">
        <f t="shared" si="61"/>
        <v>0.75482315112540188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'[92]Sch C'!D194</f>
        <v>252228</v>
      </c>
      <c r="D188" s="480">
        <f>'[92]Sch C'!F194</f>
        <v>0</v>
      </c>
      <c r="E188" s="480">
        <f>+'[92]Sch C'!H194</f>
        <v>0</v>
      </c>
      <c r="F188" s="166">
        <f t="shared" si="58"/>
        <v>252228</v>
      </c>
      <c r="G188" s="626"/>
      <c r="H188" s="166"/>
      <c r="I188" s="166">
        <f t="shared" si="59"/>
        <v>252228</v>
      </c>
      <c r="J188" s="167">
        <f t="shared" si="60"/>
        <v>3.74262557398874E-2</v>
      </c>
      <c r="K188" s="458"/>
      <c r="L188" s="213"/>
      <c r="M188" s="208"/>
      <c r="O188" s="329">
        <f t="shared" si="61"/>
        <v>8.8154620438976661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'[92]Sch C'!D195</f>
        <v>156453</v>
      </c>
      <c r="D189" s="480">
        <f>'[92]Sch C'!F195</f>
        <v>0</v>
      </c>
      <c r="E189" s="480">
        <f>+'[92]Sch C'!H195</f>
        <v>0</v>
      </c>
      <c r="F189" s="166">
        <f t="shared" si="58"/>
        <v>156453</v>
      </c>
      <c r="G189" s="626"/>
      <c r="H189" s="166"/>
      <c r="I189" s="166">
        <f t="shared" si="59"/>
        <v>156453</v>
      </c>
      <c r="J189" s="167">
        <f t="shared" si="60"/>
        <v>2.3214908690837668E-2</v>
      </c>
      <c r="K189" s="458"/>
      <c r="L189" s="213"/>
      <c r="M189" s="208"/>
      <c r="O189" s="329">
        <f t="shared" si="61"/>
        <v>5.4680903117573045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'[92]Sch C'!D196</f>
        <v>0</v>
      </c>
      <c r="D190" s="480">
        <f>'[92]Sch C'!F196</f>
        <v>0</v>
      </c>
      <c r="E190" s="480">
        <f>+'[92]Sch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'[92]Sch C'!D197</f>
        <v>123136</v>
      </c>
      <c r="D191" s="480">
        <f>'[92]Sch C'!F197</f>
        <v>0</v>
      </c>
      <c r="E191" s="480">
        <f>+'[92]Sch C'!H197</f>
        <v>0</v>
      </c>
      <c r="F191" s="166">
        <f t="shared" si="58"/>
        <v>123136</v>
      </c>
      <c r="G191" s="626"/>
      <c r="H191" s="166"/>
      <c r="I191" s="166">
        <f t="shared" si="59"/>
        <v>123136</v>
      </c>
      <c r="J191" s="167">
        <f t="shared" si="60"/>
        <v>1.8271244377256985E-2</v>
      </c>
      <c r="K191" s="458"/>
      <c r="L191" s="213"/>
      <c r="M191" s="208"/>
      <c r="O191" s="329">
        <f t="shared" si="61"/>
        <v>4.3036488186774777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'[92]Sch C'!D198</f>
        <v>29855</v>
      </c>
      <c r="D192" s="480">
        <f>'[92]Sch C'!F198</f>
        <v>0</v>
      </c>
      <c r="E192" s="480">
        <f>+'[92]Sch C'!H198</f>
        <v>0</v>
      </c>
      <c r="F192" s="166">
        <f t="shared" si="58"/>
        <v>29855</v>
      </c>
      <c r="G192" s="626"/>
      <c r="H192" s="166"/>
      <c r="I192" s="166">
        <f t="shared" si="59"/>
        <v>29855</v>
      </c>
      <c r="J192" s="167">
        <f t="shared" si="60"/>
        <v>4.4299636246346091E-3</v>
      </c>
      <c r="K192" s="458"/>
      <c r="L192" s="213"/>
      <c r="M192" s="208"/>
      <c r="O192" s="329">
        <f t="shared" si="61"/>
        <v>1.0434433104990912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'[92]Sch C'!D199</f>
        <v>0</v>
      </c>
      <c r="D193" s="480">
        <f>'[92]Sch C'!F199</f>
        <v>0</v>
      </c>
      <c r="E193" s="480">
        <f>+'[92]Sch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'[92]Sch C'!D200</f>
        <v>0</v>
      </c>
      <c r="D194" s="480">
        <f>'[92]Sch C'!F200</f>
        <v>0</v>
      </c>
      <c r="E194" s="480">
        <f>+'[92]Sch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'[92]Sch C'!D201</f>
        <v>0</v>
      </c>
      <c r="D195" s="480">
        <f>'[92]Sch C'!F201</f>
        <v>0</v>
      </c>
      <c r="E195" s="480">
        <f>+'[92]Sch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'[92]Sch C'!D202</f>
        <v>0</v>
      </c>
      <c r="D196" s="480">
        <f>'[92]Sch C'!F202</f>
        <v>0</v>
      </c>
      <c r="E196" s="480">
        <f>+'[92]Sch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'[92]Sch C'!D203</f>
        <v>0</v>
      </c>
      <c r="D197" s="480">
        <f>'[92]Sch C'!F203</f>
        <v>0</v>
      </c>
      <c r="E197" s="480">
        <f>+'[92]Sch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'[92]Sch C'!D204</f>
        <v>0</v>
      </c>
      <c r="D198" s="480">
        <f>'[92]Sch C'!F204</f>
        <v>0</v>
      </c>
      <c r="E198" s="480">
        <f>+'[92]Sch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'[92]Sch C'!D205</f>
        <v>193415</v>
      </c>
      <c r="D199" s="480">
        <f>'[92]Sch C'!F205</f>
        <v>0</v>
      </c>
      <c r="E199" s="480">
        <f>+'[92]Sch C'!H205</f>
        <v>0</v>
      </c>
      <c r="F199" s="166">
        <f t="shared" si="58"/>
        <v>193415</v>
      </c>
      <c r="G199" s="626"/>
      <c r="H199" s="166"/>
      <c r="I199" s="166">
        <f t="shared" si="59"/>
        <v>193415</v>
      </c>
      <c r="J199" s="167">
        <f t="shared" si="60"/>
        <v>2.869942771591703E-2</v>
      </c>
      <c r="K199" s="458"/>
      <c r="L199" s="213"/>
      <c r="M199" s="208"/>
      <c r="O199" s="329">
        <f t="shared" si="61"/>
        <v>6.7599259052145957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'[92]Sch C'!D206</f>
        <v>12025</v>
      </c>
      <c r="D200" s="480">
        <f>'[92]Sch C'!F206</f>
        <v>0</v>
      </c>
      <c r="E200" s="480">
        <f>+'[92]Sch C'!H206</f>
        <v>0</v>
      </c>
      <c r="F200" s="166">
        <f t="shared" si="58"/>
        <v>12025</v>
      </c>
      <c r="G200" s="626"/>
      <c r="H200" s="166"/>
      <c r="I200" s="166">
        <f t="shared" si="59"/>
        <v>12025</v>
      </c>
      <c r="J200" s="167">
        <f t="shared" si="60"/>
        <v>1.7843012087165023E-3</v>
      </c>
      <c r="K200" s="458"/>
      <c r="L200" s="213"/>
      <c r="M200" s="208"/>
      <c r="O200" s="329">
        <f t="shared" si="61"/>
        <v>0.42027820494897244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'[92]Sch C'!D207</f>
        <v>0</v>
      </c>
      <c r="D201" s="480">
        <f>'[92]Sch C'!F207</f>
        <v>0</v>
      </c>
      <c r="E201" s="480">
        <f>+'[92]Sch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788709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788709</v>
      </c>
      <c r="G202" s="166">
        <f t="shared" si="63"/>
        <v>0</v>
      </c>
      <c r="H202" s="166">
        <f t="shared" si="63"/>
        <v>0</v>
      </c>
      <c r="I202" s="166">
        <f t="shared" si="63"/>
        <v>788709</v>
      </c>
      <c r="J202" s="167">
        <f>IF($I$213=0,0,I202/$I$213)</f>
        <v>0.11703072116636871</v>
      </c>
      <c r="K202" s="458"/>
      <c r="L202" s="163"/>
      <c r="M202" s="163"/>
      <c r="O202" s="329">
        <f>I202/I$233</f>
        <v>27.565671746120508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'[92]Sch C'!D211</f>
        <v>263183</v>
      </c>
      <c r="D205" s="480">
        <f>'[92]Sch C'!F211</f>
        <v>0</v>
      </c>
      <c r="E205" s="480">
        <f>+'[92]Sch C'!H211</f>
        <v>0</v>
      </c>
      <c r="F205" s="166">
        <f t="shared" ref="F205:F210" si="64">C205+D205+E205</f>
        <v>263183</v>
      </c>
      <c r="G205" s="626"/>
      <c r="H205" s="166"/>
      <c r="I205" s="166">
        <f t="shared" ref="I205:I210" si="65">F205+G205+H205</f>
        <v>263183</v>
      </c>
      <c r="J205" s="167">
        <f t="shared" ref="J205:J211" si="66">IF($I$213=0,0,I205/$I$213)</f>
        <v>3.9051787527121434E-2</v>
      </c>
      <c r="K205" s="458"/>
      <c r="L205" s="176">
        <v>14639</v>
      </c>
      <c r="M205" s="176">
        <v>15569</v>
      </c>
      <c r="O205" s="329">
        <f t="shared" ref="O205:O210" si="67">I205/I$233</f>
        <v>9.1983433524395366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'[92]Sch C'!D212</f>
        <v>46515</v>
      </c>
      <c r="D206" s="480">
        <f>'[92]Sch C'!F212</f>
        <v>0</v>
      </c>
      <c r="E206" s="480">
        <f>+'[92]Sch C'!H212</f>
        <v>0</v>
      </c>
      <c r="F206" s="166">
        <f t="shared" si="64"/>
        <v>46515</v>
      </c>
      <c r="G206" s="626"/>
      <c r="H206" s="166"/>
      <c r="I206" s="166">
        <f t="shared" si="65"/>
        <v>46515</v>
      </c>
      <c r="J206" s="167">
        <f t="shared" si="66"/>
        <v>6.9020183553803001E-3</v>
      </c>
      <c r="K206" s="458"/>
      <c r="L206" s="163"/>
      <c r="M206" s="163"/>
      <c r="O206" s="329">
        <f t="shared" si="67"/>
        <v>1.6257164825947155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'[92]Sch C'!D213</f>
        <v>26300</v>
      </c>
      <c r="D207" s="480">
        <f>'[92]Sch C'!F213</f>
        <v>0</v>
      </c>
      <c r="E207" s="480">
        <f>+'[92]Sch C'!H213</f>
        <v>0</v>
      </c>
      <c r="F207" s="166">
        <f t="shared" si="64"/>
        <v>26300</v>
      </c>
      <c r="G207" s="626"/>
      <c r="H207" s="166"/>
      <c r="I207" s="166">
        <f t="shared" si="65"/>
        <v>26300</v>
      </c>
      <c r="J207" s="167">
        <f t="shared" si="66"/>
        <v>3.9024633504568824E-3</v>
      </c>
      <c r="K207" s="458"/>
      <c r="L207" s="163"/>
      <c r="M207" s="163"/>
      <c r="O207" s="329">
        <f t="shared" si="67"/>
        <v>0.91919474346428076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'[92]Sch C'!D214</f>
        <v>0</v>
      </c>
      <c r="D208" s="480">
        <f>'[92]Sch C'!F214</f>
        <v>0</v>
      </c>
      <c r="E208" s="480">
        <f>+'[92]Sch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'[92]Sch C'!D215</f>
        <v>0</v>
      </c>
      <c r="D209" s="480">
        <f>'[92]Sch C'!F215</f>
        <v>0</v>
      </c>
      <c r="E209" s="480">
        <f>+'[92]Sch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'[92]Sch C'!D216</f>
        <v>9685</v>
      </c>
      <c r="D210" s="480">
        <f>'[92]Sch C'!F216</f>
        <v>0</v>
      </c>
      <c r="E210" s="480">
        <f>+'[92]Sch C'!H216</f>
        <v>0</v>
      </c>
      <c r="F210" s="166">
        <f t="shared" si="64"/>
        <v>9685</v>
      </c>
      <c r="G210" s="626"/>
      <c r="H210" s="166"/>
      <c r="I210" s="166">
        <f t="shared" si="65"/>
        <v>9685</v>
      </c>
      <c r="J210" s="167">
        <f t="shared" si="66"/>
        <v>1.4370858383716695E-3</v>
      </c>
      <c r="K210" s="458"/>
      <c r="L210" s="163"/>
      <c r="M210" s="163"/>
      <c r="O210" s="329">
        <f t="shared" si="67"/>
        <v>0.33849433803998324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345683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345683</v>
      </c>
      <c r="G211" s="166">
        <f t="shared" si="69"/>
        <v>0</v>
      </c>
      <c r="H211" s="166">
        <f t="shared" si="69"/>
        <v>0</v>
      </c>
      <c r="I211" s="166">
        <f t="shared" si="69"/>
        <v>345683</v>
      </c>
      <c r="J211" s="167">
        <f t="shared" si="66"/>
        <v>5.1293355071330288E-2</v>
      </c>
      <c r="K211" s="458"/>
      <c r="L211" s="163"/>
      <c r="M211" s="163"/>
      <c r="O211" s="329">
        <f>I211/I$233</f>
        <v>12.081748916538515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7085426</v>
      </c>
      <c r="D213" s="480">
        <f t="shared" si="70"/>
        <v>-340890</v>
      </c>
      <c r="E213" s="480">
        <f t="shared" si="70"/>
        <v>0</v>
      </c>
      <c r="F213" s="166">
        <f t="shared" ref="F213:I213" si="71">SUM(F30:F211)/2</f>
        <v>6744536</v>
      </c>
      <c r="G213" s="166">
        <f t="shared" si="71"/>
        <v>-5203.0099999999993</v>
      </c>
      <c r="H213" s="166">
        <f t="shared" si="71"/>
        <v>0</v>
      </c>
      <c r="I213" s="166">
        <f t="shared" si="71"/>
        <v>6739332.9900000002</v>
      </c>
      <c r="J213" s="167">
        <f>IF($I$213=0,0,I213/$I$213)</f>
        <v>1</v>
      </c>
      <c r="K213" s="458"/>
      <c r="L213" s="176">
        <f>SUM(L30:L205)</f>
        <v>206938</v>
      </c>
      <c r="M213" s="176">
        <f>SUM(M30:M205)</f>
        <v>218454</v>
      </c>
      <c r="O213" s="329">
        <f>I213/I$233</f>
        <v>235.54218474765833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'[92]Sch C'!D221</f>
        <v>7085426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543426</v>
      </c>
      <c r="D220" s="480">
        <f t="shared" si="72"/>
        <v>318351</v>
      </c>
      <c r="E220" s="480">
        <f t="shared" si="72"/>
        <v>0</v>
      </c>
      <c r="F220" s="166">
        <f t="shared" ref="F220:I220" si="73">F26-F213</f>
        <v>861777</v>
      </c>
      <c r="G220" s="166">
        <f t="shared" si="73"/>
        <v>5203.0099999999993</v>
      </c>
      <c r="H220" s="166">
        <f t="shared" si="73"/>
        <v>0</v>
      </c>
      <c r="I220" s="166">
        <f t="shared" si="73"/>
        <v>866980.00999999978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'[92]Sch D'!C9</f>
        <v>922</v>
      </c>
      <c r="D224" s="480"/>
      <c r="E224" s="480"/>
      <c r="F224" s="224">
        <f>C224+D224+E224</f>
        <v>922</v>
      </c>
      <c r="G224" s="627"/>
      <c r="H224" s="223"/>
      <c r="I224" s="224">
        <f>F224+G224+H224</f>
        <v>922</v>
      </c>
      <c r="J224" s="167">
        <f t="shared" ref="J224:J233" si="74">IF($I$233=0,0,I224/$I$233)</f>
        <v>3.2224241576960716E-2</v>
      </c>
      <c r="K224" s="458"/>
      <c r="L224" s="163"/>
      <c r="M224" s="163"/>
    </row>
    <row r="225" spans="1:13">
      <c r="A225" s="158"/>
      <c r="B225" s="165" t="s">
        <v>201</v>
      </c>
      <c r="C225" s="504">
        <f>'[92]Sch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'[92]Sch D'!E9</f>
        <v>902</v>
      </c>
      <c r="D226" s="480"/>
      <c r="E226" s="480"/>
      <c r="F226" s="224">
        <f t="shared" si="75"/>
        <v>902</v>
      </c>
      <c r="G226" s="627"/>
      <c r="H226" s="223"/>
      <c r="I226" s="224">
        <f t="shared" si="76"/>
        <v>902</v>
      </c>
      <c r="J226" s="167">
        <f t="shared" si="74"/>
        <v>3.1525234167482173E-2</v>
      </c>
      <c r="K226" s="458"/>
      <c r="L226" s="163"/>
      <c r="M226" s="163"/>
    </row>
    <row r="227" spans="1:13">
      <c r="A227" s="158"/>
      <c r="B227" s="194" t="s">
        <v>315</v>
      </c>
      <c r="C227" s="504">
        <f>'[92]Sch D'!F9</f>
        <v>10</v>
      </c>
      <c r="D227" s="480"/>
      <c r="E227" s="480"/>
      <c r="F227" s="224">
        <f t="shared" si="75"/>
        <v>10</v>
      </c>
      <c r="G227" s="627"/>
      <c r="H227" s="223"/>
      <c r="I227" s="224">
        <f t="shared" si="76"/>
        <v>10</v>
      </c>
      <c r="J227" s="167">
        <f t="shared" si="74"/>
        <v>3.4950370473927023E-4</v>
      </c>
      <c r="K227" s="458"/>
      <c r="L227" s="163"/>
      <c r="M227" s="163"/>
    </row>
    <row r="228" spans="1:13">
      <c r="A228" s="158"/>
      <c r="B228" s="165" t="s">
        <v>65</v>
      </c>
      <c r="C228" s="504">
        <f>'[92]Sch D'!G9</f>
        <v>8196</v>
      </c>
      <c r="D228" s="480"/>
      <c r="E228" s="480"/>
      <c r="F228" s="224">
        <f t="shared" si="75"/>
        <v>8196</v>
      </c>
      <c r="G228" s="627"/>
      <c r="H228" s="223"/>
      <c r="I228" s="224">
        <f t="shared" si="76"/>
        <v>8196</v>
      </c>
      <c r="J228" s="167">
        <f t="shared" si="74"/>
        <v>0.28645323640430587</v>
      </c>
      <c r="K228" s="458"/>
      <c r="L228" s="163"/>
      <c r="M228" s="163"/>
    </row>
    <row r="229" spans="1:13">
      <c r="A229" s="158"/>
      <c r="B229" s="165" t="s">
        <v>66</v>
      </c>
      <c r="C229" s="504">
        <f>'[92]Sch D'!H9</f>
        <v>18353</v>
      </c>
      <c r="D229" s="480"/>
      <c r="E229" s="480"/>
      <c r="F229" s="224">
        <f t="shared" si="75"/>
        <v>18353</v>
      </c>
      <c r="G229" s="627"/>
      <c r="H229" s="223"/>
      <c r="I229" s="224">
        <f t="shared" si="76"/>
        <v>18353</v>
      </c>
      <c r="J229" s="167">
        <f t="shared" si="74"/>
        <v>0.64144414930798266</v>
      </c>
      <c r="K229" s="458"/>
      <c r="L229" s="163" t="s">
        <v>182</v>
      </c>
      <c r="M229" s="163"/>
    </row>
    <row r="230" spans="1:13">
      <c r="A230" s="158"/>
      <c r="B230" s="165" t="s">
        <v>219</v>
      </c>
      <c r="C230" s="504">
        <f>'[92]Sch D'!I9</f>
        <v>229</v>
      </c>
      <c r="D230" s="480"/>
      <c r="E230" s="480"/>
      <c r="F230" s="224">
        <f t="shared" si="75"/>
        <v>229</v>
      </c>
      <c r="G230" s="627"/>
      <c r="H230" s="223"/>
      <c r="I230" s="224">
        <f t="shared" si="76"/>
        <v>229</v>
      </c>
      <c r="J230" s="167">
        <f t="shared" si="74"/>
        <v>8.0036348385292885E-3</v>
      </c>
      <c r="K230" s="458"/>
      <c r="L230" s="163"/>
      <c r="M230" s="163"/>
    </row>
    <row r="231" spans="1:13">
      <c r="A231" s="158"/>
      <c r="B231" s="165" t="s">
        <v>218</v>
      </c>
      <c r="C231" s="504">
        <f>'[92]Sch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'[92]Sch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28612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28612</v>
      </c>
      <c r="G233" s="226">
        <f t="shared" si="78"/>
        <v>0</v>
      </c>
      <c r="H233" s="226">
        <f t="shared" si="78"/>
        <v>0</v>
      </c>
      <c r="I233" s="226">
        <f t="shared" si="78"/>
        <v>28612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'[92]Sch D'!N22</f>
        <v>81</v>
      </c>
      <c r="D236" s="480"/>
      <c r="E236" s="480"/>
      <c r="F236" s="224">
        <f>C236+E236</f>
        <v>81</v>
      </c>
      <c r="G236" s="627"/>
      <c r="H236" s="224"/>
      <c r="I236" s="224">
        <f>F236+G236+H236</f>
        <v>81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'[92]Sch D'!N24</f>
        <v>5</v>
      </c>
      <c r="D237" s="480"/>
      <c r="E237" s="480"/>
      <c r="F237" s="224">
        <f>C237+E237</f>
        <v>5</v>
      </c>
      <c r="G237" s="627"/>
      <c r="H237" s="542"/>
      <c r="I237" s="224">
        <f>F237+G237+H237</f>
        <v>5</v>
      </c>
      <c r="J237" s="44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'[92]Sch D'!N28</f>
        <v>29565</v>
      </c>
      <c r="D240" s="427"/>
      <c r="E240" s="427"/>
      <c r="F240" s="223">
        <f>F236*F238</f>
        <v>29565</v>
      </c>
      <c r="G240"/>
      <c r="H240" s="228"/>
      <c r="I240" s="223">
        <f>I236*I238</f>
        <v>29565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'[92]Sch D'!N30</f>
        <v>0.96776593945543721</v>
      </c>
      <c r="D241" s="228"/>
      <c r="E241" s="228"/>
      <c r="F241" s="232">
        <f>F233/F240</f>
        <v>0.96776593945543721</v>
      </c>
      <c r="G241"/>
      <c r="H241" s="233"/>
      <c r="I241" s="232">
        <f>I233/I240</f>
        <v>0.96776593945543721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'[92]Sch D'!N32</f>
        <v>3.1185523422966346E-2</v>
      </c>
      <c r="D242" s="228"/>
      <c r="E242" s="228"/>
      <c r="F242" s="232">
        <f>(F224+F225)/F240</f>
        <v>3.1185523422966346E-2</v>
      </c>
      <c r="G242"/>
      <c r="H242" s="233"/>
      <c r="I242" s="232">
        <f>(I224+I225)/I240</f>
        <v>3.1185523422966346E-2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'[92]Sch D'!N34</f>
        <v>3.2224241576960716E-2</v>
      </c>
      <c r="D243" s="228"/>
      <c r="E243" s="228"/>
      <c r="F243" s="232">
        <f>(F242/F241)</f>
        <v>3.2224241576960716E-2</v>
      </c>
      <c r="G243"/>
      <c r="H243" s="233"/>
      <c r="I243" s="232">
        <f>(I242/I241)</f>
        <v>3.2224241576960716E-2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'[92]Sch B'!C90</f>
        <v>188.37208374875374</v>
      </c>
      <c r="K246" s="460"/>
    </row>
    <row r="247" spans="1:13">
      <c r="H247" s="140" t="s">
        <v>322</v>
      </c>
      <c r="I247" s="480">
        <f>'[92]Sch B'!E90</f>
        <v>188.37223560324063</v>
      </c>
      <c r="K247" s="460"/>
    </row>
    <row r="248" spans="1:13">
      <c r="H248" s="140" t="s">
        <v>323</v>
      </c>
      <c r="I248" s="480">
        <f>'[92]Sch B'!G90</f>
        <v>188.37222222222223</v>
      </c>
      <c r="K248" s="460"/>
    </row>
    <row r="249" spans="1:13">
      <c r="H249" s="140" t="s">
        <v>324</v>
      </c>
      <c r="I249" s="480">
        <f>'[92]Sch B'!I90</f>
        <v>188.37205122444394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3">
    <tabColor rgb="FFE28CAB"/>
  </sheetPr>
  <dimension ref="A1:Q277"/>
  <sheetViews>
    <sheetView showGridLines="0" topLeftCell="A2" zoomScaleNormal="100" workbookViewId="0">
      <pane xSplit="2" topLeftCell="C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353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'[93]Sch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'[93]Sch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508" t="s">
        <v>540</v>
      </c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48"/>
      <c r="D10" s="148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48"/>
      <c r="D11" s="148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'[93]Sch B'!E10</f>
        <v>3031348.43</v>
      </c>
      <c r="D12" s="480">
        <f>'[93]Sch B'!G10</f>
        <v>-117998.95999999999</v>
      </c>
      <c r="E12" s="480"/>
      <c r="F12" s="166">
        <f>C12+D12+E12</f>
        <v>2913349.47</v>
      </c>
      <c r="G12" s="626"/>
      <c r="H12" s="166"/>
      <c r="I12" s="166">
        <f>F12+G12+H12</f>
        <v>2913349.47</v>
      </c>
      <c r="J12" s="167">
        <f>IF($I$26=0,0,I12/$I$26)</f>
        <v>0.69363368797690883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'[93]Sch B'!E12</f>
        <v>0</v>
      </c>
      <c r="D13" s="480">
        <f>'[93]Sch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'[93]Sch B'!E13</f>
        <v>0</v>
      </c>
      <c r="D14" s="480">
        <f>'[93]Sch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'[93]Sch B'!E14</f>
        <v>0</v>
      </c>
      <c r="D15" s="480">
        <f>'[93]Sch B'!G14</f>
        <v>47757.16</v>
      </c>
      <c r="E15" s="480"/>
      <c r="F15" s="166">
        <f t="shared" si="0"/>
        <v>47757.16</v>
      </c>
      <c r="G15" s="626"/>
      <c r="H15" s="166"/>
      <c r="I15" s="166">
        <f t="shared" si="1"/>
        <v>47757.16</v>
      </c>
      <c r="J15" s="167">
        <f>IF($I$26=0,0,I15/$I$26)</f>
        <v>1.1370408994600746E-2</v>
      </c>
      <c r="K15" s="463"/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'[93]Sch B'!E15</f>
        <v>3031348.43</v>
      </c>
      <c r="D16" s="480">
        <f>'[93]Sch B'!G15</f>
        <v>-70241.799999999988</v>
      </c>
      <c r="E16" s="480"/>
      <c r="F16" s="166">
        <f t="shared" si="0"/>
        <v>2961106.6300000004</v>
      </c>
      <c r="G16" s="626"/>
      <c r="H16" s="166"/>
      <c r="I16" s="166">
        <f>SUM(I12:I15)</f>
        <v>2961106.6300000004</v>
      </c>
      <c r="J16" s="167">
        <f t="shared" ref="J16:J26" si="2">IF($I$26=0,0,I16/$I$26)</f>
        <v>0.70500409697150968</v>
      </c>
      <c r="K16" s="458"/>
      <c r="L16" s="333" t="s">
        <v>325</v>
      </c>
      <c r="M16" s="334">
        <f>I26</f>
        <v>4200126.84</v>
      </c>
      <c r="O16" s="324">
        <f t="shared" ref="O16:O24" si="3">IFERROR(I16/I224,0)</f>
        <v>189.87538505931391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'[93]Sch B'!E20</f>
        <v>0</v>
      </c>
      <c r="D17" s="480">
        <f>'[93]Sch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5325006.9399999985</v>
      </c>
      <c r="O17" s="324">
        <f t="shared" si="3"/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'[93]Sch B'!E26</f>
        <v>968249.92</v>
      </c>
      <c r="D18" s="480">
        <f>'[93]Sch B'!G26</f>
        <v>0</v>
      </c>
      <c r="E18" s="480"/>
      <c r="F18" s="166">
        <f t="shared" si="0"/>
        <v>968249.92</v>
      </c>
      <c r="G18" s="626"/>
      <c r="H18" s="166"/>
      <c r="I18" s="166">
        <f t="shared" si="1"/>
        <v>968249.92</v>
      </c>
      <c r="J18" s="167">
        <f t="shared" si="2"/>
        <v>0.23052873327035051</v>
      </c>
      <c r="K18" s="458"/>
      <c r="L18" s="335" t="s">
        <v>327</v>
      </c>
      <c r="M18" s="336">
        <f>I233</f>
        <v>18293</v>
      </c>
      <c r="O18" s="324">
        <f t="shared" si="3"/>
        <v>607.81539234149409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'[93]Sch B'!E32</f>
        <v>70052.2</v>
      </c>
      <c r="D19" s="480">
        <f>'[93]Sch B'!G32</f>
        <v>0</v>
      </c>
      <c r="E19" s="480"/>
      <c r="F19" s="166">
        <f t="shared" si="0"/>
        <v>70052.2</v>
      </c>
      <c r="G19" s="626"/>
      <c r="H19" s="166"/>
      <c r="I19" s="166">
        <f t="shared" si="1"/>
        <v>70052.2</v>
      </c>
      <c r="J19" s="170">
        <f t="shared" si="2"/>
        <v>1.667859154463059E-2</v>
      </c>
      <c r="K19" s="464"/>
      <c r="L19" s="335" t="s">
        <v>328</v>
      </c>
      <c r="M19" s="336">
        <f>I236</f>
        <v>120</v>
      </c>
      <c r="O19" s="324">
        <f t="shared" si="3"/>
        <v>500.37285714285713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'[93]Sch B'!E37</f>
        <v>0</v>
      </c>
      <c r="D20" s="480">
        <f>'[93]Sch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43800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'[93]Sch B'!E42</f>
        <v>49320.04</v>
      </c>
      <c r="D21" s="480">
        <f>'[93]Sch B'!G42</f>
        <v>-6085.45</v>
      </c>
      <c r="E21" s="480"/>
      <c r="F21" s="166">
        <f t="shared" si="0"/>
        <v>43234.590000000004</v>
      </c>
      <c r="G21" s="626"/>
      <c r="H21" s="166"/>
      <c r="I21" s="166">
        <f t="shared" si="1"/>
        <v>43234.590000000004</v>
      </c>
      <c r="J21" s="167">
        <f t="shared" si="2"/>
        <v>1.0293639132098211E-2</v>
      </c>
      <c r="K21" s="458"/>
      <c r="L21" s="337"/>
      <c r="M21" s="336"/>
      <c r="O21" s="324">
        <f t="shared" si="3"/>
        <v>308.81850000000003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'[93]Sch B'!E47</f>
        <v>0</v>
      </c>
      <c r="D22" s="480">
        <f>'[93]Sch B'!G47</f>
        <v>117998.95999999999</v>
      </c>
      <c r="E22" s="480"/>
      <c r="F22" s="166">
        <f t="shared" si="0"/>
        <v>117998.95999999999</v>
      </c>
      <c r="G22" s="626"/>
      <c r="H22" s="166"/>
      <c r="I22" s="166">
        <f t="shared" si="1"/>
        <v>117998.95999999999</v>
      </c>
      <c r="J22" s="167">
        <f t="shared" si="2"/>
        <v>2.8094142033101076E-2</v>
      </c>
      <c r="K22" s="458"/>
      <c r="L22" s="335" t="s">
        <v>148</v>
      </c>
      <c r="M22" s="336">
        <f>L213</f>
        <v>76441.399999999994</v>
      </c>
      <c r="O22" s="324">
        <f t="shared" si="3"/>
        <v>171.51011627906976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'[93]Sch B'!E52</f>
        <v>0</v>
      </c>
      <c r="D23" s="480">
        <f>'[93]Sch B'!G52</f>
        <v>17823.61</v>
      </c>
      <c r="E23" s="480"/>
      <c r="F23" s="166">
        <f t="shared" si="0"/>
        <v>17823.61</v>
      </c>
      <c r="G23" s="626"/>
      <c r="H23" s="166"/>
      <c r="I23" s="166">
        <f t="shared" si="1"/>
        <v>17823.61</v>
      </c>
      <c r="J23" s="167">
        <f t="shared" si="2"/>
        <v>4.2435885102936558E-3</v>
      </c>
      <c r="K23" s="458"/>
      <c r="L23" s="338" t="s">
        <v>233</v>
      </c>
      <c r="M23" s="339">
        <f>M213</f>
        <v>84936.35</v>
      </c>
      <c r="O23" s="324">
        <f t="shared" si="3"/>
        <v>187.61694736842105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'[93]Sch B'!E57</f>
        <v>33399.090000000004</v>
      </c>
      <c r="D24" s="480">
        <f>'[93]Sch B'!G57</f>
        <v>-11738.16</v>
      </c>
      <c r="E24" s="480"/>
      <c r="F24" s="166">
        <f t="shared" si="0"/>
        <v>21660.930000000004</v>
      </c>
      <c r="G24" s="626"/>
      <c r="H24" s="166"/>
      <c r="I24" s="166">
        <f t="shared" si="1"/>
        <v>21660.930000000004</v>
      </c>
      <c r="J24" s="167">
        <f t="shared" si="2"/>
        <v>5.1572085380164386E-3</v>
      </c>
      <c r="K24" s="458"/>
      <c r="L24" s="163"/>
      <c r="M24" s="163"/>
      <c r="O24" s="324">
        <f t="shared" si="3"/>
        <v>515.73642857142863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'[93]Sch B'!E72</f>
        <v>48378.14</v>
      </c>
      <c r="D25" s="480">
        <f>'[93]Sch B'!G72</f>
        <v>-48378.14</v>
      </c>
      <c r="E25" s="480"/>
      <c r="F25" s="166">
        <f t="shared" si="0"/>
        <v>0</v>
      </c>
      <c r="G25" s="626"/>
      <c r="H25" s="166"/>
      <c r="I25" s="166">
        <f t="shared" si="1"/>
        <v>0</v>
      </c>
      <c r="J25" s="167">
        <f t="shared" si="2"/>
        <v>0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4200747.82</v>
      </c>
      <c r="D26" s="480">
        <f t="shared" ref="D26:F26" si="4">SUM(D16:D25)</f>
        <v>-620.97999999999593</v>
      </c>
      <c r="E26" s="480">
        <f t="shared" si="4"/>
        <v>0</v>
      </c>
      <c r="F26" s="166">
        <f t="shared" si="4"/>
        <v>4200126.84</v>
      </c>
      <c r="G26" s="166">
        <f>SUM(G12:G25)</f>
        <v>0</v>
      </c>
      <c r="H26" s="166">
        <f>SUM(H12:H25)</f>
        <v>0</v>
      </c>
      <c r="I26" s="166">
        <f>SUM(I16:I25)</f>
        <v>4200126.84</v>
      </c>
      <c r="J26" s="167">
        <f t="shared" si="2"/>
        <v>1</v>
      </c>
      <c r="K26" s="458"/>
      <c r="L26" s="163"/>
      <c r="M26" s="163"/>
      <c r="O26" s="324">
        <f>IFERROR(I26/I233,0)</f>
        <v>229.60295413546163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'[93]Sch C'!D10</f>
        <v>0</v>
      </c>
      <c r="D30" s="480">
        <f>'[93]Sch C'!F10</f>
        <v>90910.78</v>
      </c>
      <c r="E30" s="480">
        <f>+'[93]Sch C'!H10</f>
        <v>0</v>
      </c>
      <c r="F30" s="166">
        <f t="shared" ref="F30:F65" si="5">C30+D30+E30</f>
        <v>90910.78</v>
      </c>
      <c r="G30" s="626"/>
      <c r="H30" s="166"/>
      <c r="I30" s="166">
        <f t="shared" ref="I30:I65" si="6">F30+G30+H30</f>
        <v>90910.78</v>
      </c>
      <c r="J30" s="167">
        <f>IF($I$213=0,0,I30/$I$213)</f>
        <v>1.7072424698098145E-2</v>
      </c>
      <c r="K30" s="458"/>
      <c r="L30" s="176">
        <v>1816</v>
      </c>
      <c r="M30" s="176">
        <v>2080</v>
      </c>
      <c r="O30" s="324">
        <f>I30/I$233</f>
        <v>4.9697031651451375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'[93]Sch C'!D11</f>
        <v>0</v>
      </c>
      <c r="D31" s="480">
        <f>'[93]Sch C'!F11</f>
        <v>0</v>
      </c>
      <c r="E31" s="480">
        <f>+'[93]Sch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'[93]Sch C'!D12</f>
        <v>174676.41</v>
      </c>
      <c r="D32" s="480">
        <f>'[93]Sch C'!F12</f>
        <v>-90910.78</v>
      </c>
      <c r="E32" s="480">
        <f>+'[93]Sch C'!H12</f>
        <v>0</v>
      </c>
      <c r="F32" s="166">
        <f t="shared" si="5"/>
        <v>83765.63</v>
      </c>
      <c r="G32" s="626"/>
      <c r="H32" s="166"/>
      <c r="I32" s="166">
        <f t="shared" si="6"/>
        <v>83765.63</v>
      </c>
      <c r="J32" s="167">
        <f t="shared" si="7"/>
        <v>1.5730614240288675E-2</v>
      </c>
      <c r="K32" s="458"/>
      <c r="L32" s="176">
        <v>5206.8900000000003</v>
      </c>
      <c r="M32" s="176">
        <v>5567.19</v>
      </c>
      <c r="O32" s="324">
        <f t="shared" si="8"/>
        <v>4.5791084021210304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'[93]Sch C'!D13</f>
        <v>44457.56</v>
      </c>
      <c r="D33" s="480">
        <f>'[93]Sch C'!F13</f>
        <v>0</v>
      </c>
      <c r="E33" s="480">
        <f>+'[93]Sch C'!H13</f>
        <v>0</v>
      </c>
      <c r="F33" s="166">
        <f t="shared" si="5"/>
        <v>44457.56</v>
      </c>
      <c r="G33" s="626"/>
      <c r="H33" s="166"/>
      <c r="I33" s="166">
        <f t="shared" si="6"/>
        <v>44457.56</v>
      </c>
      <c r="J33" s="167">
        <f t="shared" si="7"/>
        <v>8.3488266777733081E-3</v>
      </c>
      <c r="K33" s="458"/>
      <c r="L33" s="163"/>
      <c r="M33" s="163"/>
      <c r="O33" s="324">
        <f t="shared" si="8"/>
        <v>2.4303044880555404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'[93]Sch C'!D14</f>
        <v>0</v>
      </c>
      <c r="D34" s="480">
        <f>'[93]Sch C'!F14</f>
        <v>0</v>
      </c>
      <c r="E34" s="480">
        <f>+'[93]Sch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'[93]Sch C'!D15</f>
        <v>183465.71</v>
      </c>
      <c r="D35" s="480">
        <f>'[93]Sch C'!F15</f>
        <v>-183465.71</v>
      </c>
      <c r="E35" s="480">
        <f>+'[93]Sch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'[93]Sch C'!D16</f>
        <v>0</v>
      </c>
      <c r="D36" s="480">
        <f>'[93]Sch C'!F16</f>
        <v>238351.53</v>
      </c>
      <c r="E36" s="480">
        <f>+'[93]Sch C'!H16</f>
        <v>0</v>
      </c>
      <c r="F36" s="166">
        <f t="shared" si="5"/>
        <v>238351.53</v>
      </c>
      <c r="G36" s="626"/>
      <c r="H36" s="166"/>
      <c r="I36" s="166">
        <f t="shared" si="6"/>
        <v>238351.53</v>
      </c>
      <c r="J36" s="167">
        <f t="shared" si="7"/>
        <v>4.4760792368094091E-2</v>
      </c>
      <c r="K36" s="458"/>
      <c r="L36" s="163"/>
      <c r="M36" s="163"/>
      <c r="O36" s="324">
        <f t="shared" si="8"/>
        <v>13.029657792598261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'[93]Sch C'!D17</f>
        <v>1099.98</v>
      </c>
      <c r="D37" s="480">
        <f>'[93]Sch C'!F17</f>
        <v>-1099.98</v>
      </c>
      <c r="E37" s="480">
        <f>+'[93]Sch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'[93]Sch C'!D18</f>
        <v>20473.41</v>
      </c>
      <c r="D38" s="480">
        <f>'[93]Sch C'!F18</f>
        <v>0</v>
      </c>
      <c r="E38" s="480">
        <f>+'[93]Sch C'!H18</f>
        <v>0</v>
      </c>
      <c r="F38" s="166">
        <f t="shared" si="5"/>
        <v>20473.41</v>
      </c>
      <c r="G38" s="626"/>
      <c r="H38" s="166"/>
      <c r="I38" s="166">
        <f t="shared" si="6"/>
        <v>20473.41</v>
      </c>
      <c r="J38" s="167">
        <f t="shared" si="7"/>
        <v>3.8447668201536662E-3</v>
      </c>
      <c r="K38" s="458"/>
      <c r="L38" s="163"/>
      <c r="M38" s="163"/>
      <c r="O38" s="324">
        <f t="shared" si="8"/>
        <v>1.1191936806428688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'[93]Sch C'!D19</f>
        <v>16197.81</v>
      </c>
      <c r="D39" s="480">
        <f>'[93]Sch C'!F19</f>
        <v>0</v>
      </c>
      <c r="E39" s="480">
        <f>+'[93]Sch C'!H19</f>
        <v>0</v>
      </c>
      <c r="F39" s="166">
        <f t="shared" si="5"/>
        <v>16197.81</v>
      </c>
      <c r="G39" s="626"/>
      <c r="H39" s="166"/>
      <c r="I39" s="166">
        <f t="shared" si="6"/>
        <v>16197.81</v>
      </c>
      <c r="J39" s="167">
        <f t="shared" si="7"/>
        <v>3.0418382891347E-3</v>
      </c>
      <c r="K39" s="458"/>
      <c r="L39" s="163"/>
      <c r="M39" s="163"/>
      <c r="O39" s="324">
        <f t="shared" si="8"/>
        <v>0.8854649319411797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'[93]Sch C'!D20</f>
        <v>6774.84</v>
      </c>
      <c r="D40" s="480">
        <f>'[93]Sch C'!F20</f>
        <v>0</v>
      </c>
      <c r="E40" s="480">
        <f>+'[93]Sch C'!H20</f>
        <v>0</v>
      </c>
      <c r="F40" s="166">
        <f t="shared" si="5"/>
        <v>6774.84</v>
      </c>
      <c r="G40" s="626"/>
      <c r="H40" s="166"/>
      <c r="I40" s="166">
        <f t="shared" si="6"/>
        <v>6774.84</v>
      </c>
      <c r="J40" s="167">
        <f t="shared" si="7"/>
        <v>1.2722687644046529E-3</v>
      </c>
      <c r="K40" s="458"/>
      <c r="L40" s="163"/>
      <c r="M40" s="163"/>
      <c r="O40" s="324">
        <f t="shared" si="8"/>
        <v>0.37035150057399008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'[93]Sch C'!D21</f>
        <v>0</v>
      </c>
      <c r="D41" s="480">
        <f>'[93]Sch C'!F21</f>
        <v>0</v>
      </c>
      <c r="E41" s="480">
        <f>+'[93]Sch C'!H21</f>
        <v>0</v>
      </c>
      <c r="F41" s="166">
        <f t="shared" si="5"/>
        <v>0</v>
      </c>
      <c r="G41" s="626"/>
      <c r="H41" s="166"/>
      <c r="I41" s="166">
        <f t="shared" si="6"/>
        <v>0</v>
      </c>
      <c r="J41" s="167">
        <f t="shared" si="7"/>
        <v>0</v>
      </c>
      <c r="K41" s="458"/>
      <c r="L41" s="163"/>
      <c r="M41" s="163"/>
      <c r="O41" s="324">
        <f t="shared" si="8"/>
        <v>0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'[93]Sch C'!D22</f>
        <v>0</v>
      </c>
      <c r="D42" s="480">
        <f>'[93]Sch C'!F22</f>
        <v>0</v>
      </c>
      <c r="E42" s="480">
        <f>+'[93]Sch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'[93]Sch C'!D23</f>
        <v>12128.15</v>
      </c>
      <c r="D43" s="480">
        <f>'[93]Sch C'!F23</f>
        <v>0</v>
      </c>
      <c r="E43" s="480">
        <f>+'[93]Sch C'!H23</f>
        <v>0</v>
      </c>
      <c r="F43" s="166">
        <f t="shared" si="5"/>
        <v>12128.15</v>
      </c>
      <c r="G43" s="626"/>
      <c r="H43" s="166"/>
      <c r="I43" s="166">
        <f t="shared" si="6"/>
        <v>12128.15</v>
      </c>
      <c r="J43" s="167">
        <f t="shared" si="7"/>
        <v>2.2775838861160249E-3</v>
      </c>
      <c r="K43" s="458"/>
      <c r="L43" s="163"/>
      <c r="M43" s="163"/>
      <c r="O43" s="324">
        <f t="shared" si="8"/>
        <v>0.66299404143661511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'[93]Sch C'!D24</f>
        <v>0</v>
      </c>
      <c r="D44" s="480">
        <f>'[93]Sch C'!F24</f>
        <v>0</v>
      </c>
      <c r="E44" s="480">
        <f>+'[93]Sch C'!H24</f>
        <v>0</v>
      </c>
      <c r="F44" s="166">
        <f t="shared" si="5"/>
        <v>0</v>
      </c>
      <c r="G44" s="626"/>
      <c r="H44" s="166"/>
      <c r="I44" s="166">
        <f t="shared" si="6"/>
        <v>0</v>
      </c>
      <c r="J44" s="167">
        <f t="shared" si="7"/>
        <v>0</v>
      </c>
      <c r="K44" s="458"/>
      <c r="L44" s="163"/>
      <c r="M44" s="163"/>
      <c r="O44" s="324">
        <f t="shared" si="8"/>
        <v>0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'[93]Sch C'!D25</f>
        <v>0</v>
      </c>
      <c r="D45" s="480">
        <f>'[93]Sch C'!F25</f>
        <v>0</v>
      </c>
      <c r="E45" s="480">
        <f>+'[93]Sch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'[93]Sch C'!D26</f>
        <v>332763.78000000003</v>
      </c>
      <c r="D46" s="480">
        <f>'[93]Sch C'!F26</f>
        <v>0</v>
      </c>
      <c r="E46" s="480">
        <f>+'[93]Sch C'!H26</f>
        <v>0</v>
      </c>
      <c r="F46" s="166">
        <f t="shared" si="5"/>
        <v>332763.78000000003</v>
      </c>
      <c r="G46" s="626"/>
      <c r="H46" s="166"/>
      <c r="I46" s="166">
        <f t="shared" si="6"/>
        <v>332763.78000000003</v>
      </c>
      <c r="J46" s="167">
        <f t="shared" si="7"/>
        <v>6.2490769260856609E-2</v>
      </c>
      <c r="K46" s="458"/>
      <c r="L46" s="163"/>
      <c r="M46" s="163"/>
      <c r="O46" s="324">
        <f t="shared" si="8"/>
        <v>18.19077133329689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'[93]Sch C'!D27</f>
        <v>0</v>
      </c>
      <c r="D47" s="480">
        <f>'[93]Sch C'!F27</f>
        <v>0</v>
      </c>
      <c r="E47" s="480">
        <f>+'[93]Sch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'[93]Sch C'!D28</f>
        <v>0</v>
      </c>
      <c r="D48" s="480">
        <f>'[93]Sch C'!F28</f>
        <v>0</v>
      </c>
      <c r="E48" s="480">
        <f>+'[93]Sch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'[93]Sch C'!D29</f>
        <v>58618.16</v>
      </c>
      <c r="D49" s="480">
        <f>'[93]Sch C'!F29</f>
        <v>-58618.16</v>
      </c>
      <c r="E49" s="480">
        <f>+'[93]Sch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'[93]Sch C'!D30</f>
        <v>1863.48</v>
      </c>
      <c r="D50" s="480">
        <f>'[93]Sch C'!F30</f>
        <v>-1863.48</v>
      </c>
      <c r="E50" s="480">
        <f>+'[93]Sch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'[93]Sch C'!D31</f>
        <v>29070.13</v>
      </c>
      <c r="D51" s="480">
        <f>'[93]Sch C'!F31</f>
        <v>2125</v>
      </c>
      <c r="E51" s="480">
        <f>+'[93]Sch C'!H31</f>
        <v>0</v>
      </c>
      <c r="F51" s="166">
        <f t="shared" si="5"/>
        <v>31195.13</v>
      </c>
      <c r="G51" s="626"/>
      <c r="H51" s="166"/>
      <c r="I51" s="166">
        <f t="shared" si="6"/>
        <v>31195.13</v>
      </c>
      <c r="J51" s="167">
        <f t="shared" si="7"/>
        <v>5.8582327406318854E-3</v>
      </c>
      <c r="K51" s="458"/>
      <c r="L51" s="163"/>
      <c r="M51" s="163"/>
      <c r="O51" s="324">
        <f t="shared" si="8"/>
        <v>1.7053042147269448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'[93]Sch C'!D32</f>
        <v>76100.100000000006</v>
      </c>
      <c r="D52" s="480">
        <f>'[93]Sch C'!F32</f>
        <v>19635.28</v>
      </c>
      <c r="E52" s="480">
        <f>+'[93]Sch C'!H32</f>
        <v>0</v>
      </c>
      <c r="F52" s="166">
        <f t="shared" si="5"/>
        <v>95735.38</v>
      </c>
      <c r="G52" s="626"/>
      <c r="H52" s="166"/>
      <c r="I52" s="166">
        <f t="shared" si="6"/>
        <v>95735.38</v>
      </c>
      <c r="J52" s="167">
        <f t="shared" si="7"/>
        <v>1.7978451686299593E-2</v>
      </c>
      <c r="K52" s="458"/>
      <c r="L52" s="163"/>
      <c r="M52" s="163"/>
      <c r="O52" s="324">
        <f t="shared" si="8"/>
        <v>5.2334433936478435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'[93]Sch C'!D33</f>
        <v>0</v>
      </c>
      <c r="D53" s="480">
        <f>'[93]Sch C'!F33</f>
        <v>0</v>
      </c>
      <c r="E53" s="480">
        <f>+'[93]Sch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'[93]Sch C'!D34</f>
        <v>1854.73</v>
      </c>
      <c r="D54" s="480">
        <f>'[93]Sch C'!F34</f>
        <v>0</v>
      </c>
      <c r="E54" s="480">
        <f>+'[93]Sch C'!H34</f>
        <v>0</v>
      </c>
      <c r="F54" s="166">
        <f t="shared" si="5"/>
        <v>1854.73</v>
      </c>
      <c r="G54" s="626"/>
      <c r="H54" s="166"/>
      <c r="I54" s="166">
        <f t="shared" si="6"/>
        <v>1854.73</v>
      </c>
      <c r="J54" s="167">
        <f t="shared" si="7"/>
        <v>3.4830564934437447E-4</v>
      </c>
      <c r="K54" s="458"/>
      <c r="L54" s="163"/>
      <c r="M54" s="163"/>
      <c r="O54" s="324">
        <f t="shared" si="8"/>
        <v>0.10139014923741321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'[93]Sch C'!D35</f>
        <v>7803.25</v>
      </c>
      <c r="D55" s="480">
        <f>'[93]Sch C'!F35</f>
        <v>-7803.25</v>
      </c>
      <c r="E55" s="480">
        <f>+'[93]Sch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'[93]Sch C'!D36</f>
        <v>0</v>
      </c>
      <c r="D56" s="480">
        <f>'[93]Sch C'!F36</f>
        <v>31905.93</v>
      </c>
      <c r="E56" s="480">
        <f>+'[93]Sch C'!H36</f>
        <v>0</v>
      </c>
      <c r="F56" s="166">
        <f t="shared" si="5"/>
        <v>31905.93</v>
      </c>
      <c r="G56" s="626"/>
      <c r="H56" s="166"/>
      <c r="I56" s="166">
        <f t="shared" si="6"/>
        <v>31905.93</v>
      </c>
      <c r="J56" s="167">
        <f t="shared" si="7"/>
        <v>5.9917161347399122E-3</v>
      </c>
      <c r="K56" s="458"/>
      <c r="L56" s="176">
        <v>2005.8</v>
      </c>
      <c r="M56" s="176">
        <v>2126.8000000000002</v>
      </c>
      <c r="O56" s="324">
        <f t="shared" si="8"/>
        <v>1.7441606078827967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'[93]Sch C'!D37</f>
        <v>0</v>
      </c>
      <c r="D57" s="480">
        <f>'[93]Sch C'!F37</f>
        <v>0</v>
      </c>
      <c r="E57" s="480">
        <f>+'[93]Sch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'[93]Sch C'!D38</f>
        <v>0</v>
      </c>
      <c r="D58" s="480">
        <f>'[93]Sch C'!F38</f>
        <v>0</v>
      </c>
      <c r="E58" s="480">
        <f>+'[93]Sch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'[93]Sch C'!D39</f>
        <v>3004.58</v>
      </c>
      <c r="D59" s="480">
        <f>'[93]Sch C'!F39</f>
        <v>0</v>
      </c>
      <c r="E59" s="480">
        <f>+'[93]Sch C'!H39</f>
        <v>0</v>
      </c>
      <c r="F59" s="166">
        <f t="shared" si="5"/>
        <v>3004.58</v>
      </c>
      <c r="G59" s="626"/>
      <c r="H59" s="166"/>
      <c r="I59" s="166">
        <f t="shared" si="6"/>
        <v>3004.58</v>
      </c>
      <c r="J59" s="167">
        <f t="shared" si="7"/>
        <v>5.6423964022101359E-4</v>
      </c>
      <c r="K59" s="458"/>
      <c r="L59" s="163"/>
      <c r="M59" s="163"/>
      <c r="O59" s="324">
        <f t="shared" si="8"/>
        <v>0.16424752637620949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'[93]Sch C'!D40</f>
        <v>8321.02</v>
      </c>
      <c r="D60" s="480">
        <f>'[93]Sch C'!F40</f>
        <v>-8321.02</v>
      </c>
      <c r="E60" s="480">
        <f>+'[93]Sch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'[93]Sch C'!D41</f>
        <v>15311.06</v>
      </c>
      <c r="D61" s="480">
        <f>'[93]Sch C'!F41</f>
        <v>-6616.34</v>
      </c>
      <c r="E61" s="480">
        <f>+'[93]Sch C'!H41</f>
        <v>0</v>
      </c>
      <c r="F61" s="166">
        <f t="shared" si="5"/>
        <v>8694.7199999999993</v>
      </c>
      <c r="G61" s="626"/>
      <c r="H61" s="166"/>
      <c r="I61" s="166">
        <f t="shared" si="6"/>
        <v>8694.7199999999993</v>
      </c>
      <c r="J61" s="167">
        <f t="shared" si="7"/>
        <v>1.6328091395877132E-3</v>
      </c>
      <c r="K61" s="458"/>
      <c r="L61" s="163"/>
      <c r="M61" s="163"/>
      <c r="O61" s="324">
        <f t="shared" si="8"/>
        <v>0.47530312141256215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'[93]Sch C'!D42</f>
        <v>1396.64</v>
      </c>
      <c r="D62" s="480">
        <f>'[93]Sch C'!F42</f>
        <v>0</v>
      </c>
      <c r="E62" s="480">
        <f>+'[93]Sch C'!H42</f>
        <v>0</v>
      </c>
      <c r="F62" s="166">
        <f t="shared" si="5"/>
        <v>1396.64</v>
      </c>
      <c r="G62" s="626"/>
      <c r="H62" s="166"/>
      <c r="I62" s="166">
        <f t="shared" si="6"/>
        <v>1396.64</v>
      </c>
      <c r="J62" s="167">
        <f t="shared" si="7"/>
        <v>2.6227947038131005E-4</v>
      </c>
      <c r="K62" s="458"/>
      <c r="L62" s="163"/>
      <c r="M62" s="163"/>
      <c r="O62" s="324">
        <f t="shared" si="8"/>
        <v>7.6348329962280664E-2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'[93]Sch C'!D43</f>
        <v>12321.45</v>
      </c>
      <c r="D63" s="480">
        <f>'[93]Sch C'!F43</f>
        <v>-12321.45</v>
      </c>
      <c r="E63" s="480">
        <f>+'[93]Sch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'[93]Sch C'!D44</f>
        <v>0</v>
      </c>
      <c r="D64" s="480">
        <f>'[93]Sch C'!F44</f>
        <v>0</v>
      </c>
      <c r="E64" s="480">
        <f>+'[93]Sch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'[93]Sch C'!D45</f>
        <v>33793.57</v>
      </c>
      <c r="D65" s="480">
        <f>'[93]Sch C'!F45</f>
        <v>-3475</v>
      </c>
      <c r="E65" s="480">
        <f>+'[93]Sch C'!H45</f>
        <v>0</v>
      </c>
      <c r="F65" s="166">
        <f t="shared" si="5"/>
        <v>30318.57</v>
      </c>
      <c r="G65" s="626"/>
      <c r="H65" s="166"/>
      <c r="I65" s="166">
        <f t="shared" si="6"/>
        <v>30318.57</v>
      </c>
      <c r="J65" s="167">
        <f t="shared" si="7"/>
        <v>5.6936207485956828E-3</v>
      </c>
      <c r="K65" s="458"/>
      <c r="L65" s="163"/>
      <c r="M65" s="163"/>
      <c r="O65" s="324">
        <f t="shared" si="8"/>
        <v>1.6573864319685125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1041495.82</v>
      </c>
      <c r="D66" s="480">
        <f t="shared" si="9"/>
        <v>8433.3500000000022</v>
      </c>
      <c r="E66" s="480">
        <f t="shared" si="9"/>
        <v>0</v>
      </c>
      <c r="F66" s="166">
        <f t="shared" ref="F66:I66" si="10">SUM(F30:F65)</f>
        <v>1049929.17</v>
      </c>
      <c r="G66" s="166">
        <f t="shared" si="10"/>
        <v>0</v>
      </c>
      <c r="H66" s="166">
        <f t="shared" si="10"/>
        <v>0</v>
      </c>
      <c r="I66" s="166">
        <f t="shared" si="10"/>
        <v>1049929.17</v>
      </c>
      <c r="J66" s="178">
        <f t="shared" si="7"/>
        <v>0.19716954021472133</v>
      </c>
      <c r="K66" s="465"/>
      <c r="L66" s="163"/>
      <c r="M66" s="163"/>
      <c r="O66" s="329">
        <f>I66/I$233</f>
        <v>57.39513311102607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'[93]Sch C'!D57</f>
        <v>721055.28</v>
      </c>
      <c r="D69" s="480">
        <f>'[93]Sch C'!F57</f>
        <v>-943.2</v>
      </c>
      <c r="E69" s="480">
        <f>+'[93]Sch C'!H57</f>
        <v>0</v>
      </c>
      <c r="F69" s="166">
        <f>C69+D69+E69</f>
        <v>720112.08000000007</v>
      </c>
      <c r="G69" s="626"/>
      <c r="H69" s="166"/>
      <c r="I69" s="166">
        <f>F69+G69+H69</f>
        <v>720112.08000000007</v>
      </c>
      <c r="J69" s="167">
        <f t="shared" ref="J69:J84" si="11">IF($I$213=0,0,I69/$I$213)</f>
        <v>0.1352321392467519</v>
      </c>
      <c r="K69" s="458"/>
      <c r="L69" s="182"/>
      <c r="M69" s="163"/>
      <c r="O69" s="324">
        <f t="shared" ref="O69:O84" si="12">I69/I$233</f>
        <v>39.365444705625109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'[93]Sch C'!D58</f>
        <v>128.96</v>
      </c>
      <c r="D70" s="480">
        <f>'[93]Sch C'!F58</f>
        <v>44323.040000000001</v>
      </c>
      <c r="E70" s="480">
        <f>+'[93]Sch C'!H58</f>
        <v>0</v>
      </c>
      <c r="F70" s="166">
        <f t="shared" ref="F70:F83" si="13">C70+D70+E70</f>
        <v>44452</v>
      </c>
      <c r="G70" s="626"/>
      <c r="H70" s="166"/>
      <c r="I70" s="166">
        <f t="shared" ref="I70:I83" si="14">F70+G70+H70</f>
        <v>44452</v>
      </c>
      <c r="J70" s="167">
        <f t="shared" si="11"/>
        <v>8.3477825476787094E-3</v>
      </c>
      <c r="K70" s="458"/>
      <c r="L70" s="182"/>
      <c r="M70" s="163"/>
      <c r="O70" s="324">
        <f t="shared" si="12"/>
        <v>2.4300005466571912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'[93]Sch C'!D59</f>
        <v>0</v>
      </c>
      <c r="D71" s="480">
        <f>'[93]Sch C'!F59</f>
        <v>0</v>
      </c>
      <c r="E71" s="480">
        <f>+'[93]Sch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'[93]Sch C'!D60</f>
        <v>27680.92</v>
      </c>
      <c r="D72" s="480">
        <f>'[93]Sch C'!F60</f>
        <v>0</v>
      </c>
      <c r="E72" s="480">
        <f>+'[93]Sch C'!H60</f>
        <v>0</v>
      </c>
      <c r="F72" s="166">
        <f t="shared" si="13"/>
        <v>27680.92</v>
      </c>
      <c r="G72" s="626"/>
      <c r="H72" s="166"/>
      <c r="I72" s="166">
        <f t="shared" si="14"/>
        <v>27680.92</v>
      </c>
      <c r="J72" s="167">
        <f t="shared" si="11"/>
        <v>5.1982880608226973E-3</v>
      </c>
      <c r="K72" s="458"/>
      <c r="L72" s="185"/>
      <c r="M72" s="163"/>
      <c r="O72" s="324">
        <f t="shared" si="12"/>
        <v>1.5131973979117694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'[93]Sch C'!D61</f>
        <v>3958.56</v>
      </c>
      <c r="D73" s="480">
        <f>'[93]Sch C'!F61</f>
        <v>993.19</v>
      </c>
      <c r="E73" s="480">
        <f>+'[93]Sch C'!H61</f>
        <v>0</v>
      </c>
      <c r="F73" s="166">
        <f t="shared" si="13"/>
        <v>4951.75</v>
      </c>
      <c r="G73" s="626"/>
      <c r="H73" s="166"/>
      <c r="I73" s="166">
        <f t="shared" si="14"/>
        <v>4951.75</v>
      </c>
      <c r="J73" s="167">
        <f t="shared" si="11"/>
        <v>9.2990489135400098E-4</v>
      </c>
      <c r="K73" s="458"/>
      <c r="L73" s="185"/>
      <c r="M73" s="163"/>
      <c r="O73" s="324">
        <f t="shared" si="12"/>
        <v>0.27069097468977205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'[93]Sch C'!D62</f>
        <v>1386.41</v>
      </c>
      <c r="D74" s="480">
        <f>'[93]Sch C'!F62</f>
        <v>-0.41</v>
      </c>
      <c r="E74" s="480">
        <f>+'[93]Sch C'!H62</f>
        <v>0</v>
      </c>
      <c r="F74" s="166">
        <f t="shared" si="13"/>
        <v>1386</v>
      </c>
      <c r="G74" s="626"/>
      <c r="H74" s="166"/>
      <c r="I74" s="166">
        <f t="shared" si="14"/>
        <v>1386</v>
      </c>
      <c r="J74" s="167">
        <f t="shared" si="11"/>
        <v>2.6028135091970422E-4</v>
      </c>
      <c r="K74" s="458"/>
      <c r="L74" s="187"/>
      <c r="M74" s="163"/>
      <c r="O74" s="324">
        <f t="shared" si="12"/>
        <v>7.5766686710763684E-2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'[93]Sch C'!D63</f>
        <v>0</v>
      </c>
      <c r="D75" s="480">
        <f>'[93]Sch C'!F63</f>
        <v>0</v>
      </c>
      <c r="E75" s="480">
        <f>+'[93]Sch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'[93]Sch C'!D64</f>
        <v>0</v>
      </c>
      <c r="D76" s="480">
        <f>'[93]Sch C'!F64</f>
        <v>0</v>
      </c>
      <c r="E76" s="480">
        <f>+'[93]Sch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'[93]Sch C'!D65</f>
        <v>4638.76</v>
      </c>
      <c r="D77" s="480">
        <f>'[93]Sch C'!F65</f>
        <v>-3136.49</v>
      </c>
      <c r="E77" s="480">
        <f>+'[93]Sch C'!H65</f>
        <v>0</v>
      </c>
      <c r="F77" s="166">
        <f t="shared" si="13"/>
        <v>1502.2700000000004</v>
      </c>
      <c r="G77" s="626"/>
      <c r="H77" s="166"/>
      <c r="I77" s="166">
        <f t="shared" si="14"/>
        <v>1502.2700000000004</v>
      </c>
      <c r="J77" s="167">
        <f t="shared" si="11"/>
        <v>2.8211606424685724E-4</v>
      </c>
      <c r="K77" s="458"/>
      <c r="L77" s="187"/>
      <c r="M77" s="163"/>
      <c r="O77" s="324">
        <f t="shared" si="12"/>
        <v>8.2122669873722215E-2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'[93]Sch C'!D66</f>
        <v>0</v>
      </c>
      <c r="D78" s="480">
        <f>'[93]Sch C'!F66</f>
        <v>0</v>
      </c>
      <c r="E78" s="480">
        <f>+'[93]Sch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'[93]Sch C'!D67</f>
        <v>62322.58</v>
      </c>
      <c r="D79" s="480">
        <f>'[93]Sch C'!F67</f>
        <v>-11313.57</v>
      </c>
      <c r="E79" s="480">
        <f>+'[93]Sch C'!H67</f>
        <v>0</v>
      </c>
      <c r="F79" s="166">
        <f t="shared" si="13"/>
        <v>51009.01</v>
      </c>
      <c r="G79" s="626"/>
      <c r="H79" s="166"/>
      <c r="I79" s="166">
        <f t="shared" si="14"/>
        <v>51009.01</v>
      </c>
      <c r="J79" s="167">
        <f t="shared" si="11"/>
        <v>9.579144323143364E-3</v>
      </c>
      <c r="K79" s="458"/>
      <c r="L79" s="187"/>
      <c r="M79" s="163"/>
      <c r="O79" s="324">
        <f t="shared" si="12"/>
        <v>2.7884442136336305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'[93]Sch C'!D68</f>
        <v>0</v>
      </c>
      <c r="D80" s="480">
        <f>'[93]Sch C'!F68</f>
        <v>0</v>
      </c>
      <c r="E80" s="480">
        <f>+'[93]Sch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'[93]Sch C'!D69</f>
        <v>4923.2</v>
      </c>
      <c r="D81" s="480">
        <f>'[93]Sch C'!F69</f>
        <v>0</v>
      </c>
      <c r="E81" s="480">
        <f>+'[93]Sch C'!H69</f>
        <v>0</v>
      </c>
      <c r="F81" s="166">
        <f t="shared" si="13"/>
        <v>4923.2</v>
      </c>
      <c r="G81" s="626"/>
      <c r="H81" s="166"/>
      <c r="I81" s="166">
        <f t="shared" si="14"/>
        <v>4923.2</v>
      </c>
      <c r="J81" s="167">
        <f t="shared" si="11"/>
        <v>9.2454339599414709E-4</v>
      </c>
      <c r="K81" s="458"/>
      <c r="L81" s="187"/>
      <c r="M81" s="163"/>
      <c r="O81" s="324">
        <f t="shared" si="12"/>
        <v>0.26913026840868093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'[93]Sch C'!D70</f>
        <v>0</v>
      </c>
      <c r="D82" s="480">
        <f>'[93]Sch C'!F70</f>
        <v>0</v>
      </c>
      <c r="E82" s="480">
        <f>+'[93]Sch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'[93]Sch C'!D71</f>
        <v>0</v>
      </c>
      <c r="D83" s="480">
        <f>'[93]Sch C'!F71</f>
        <v>0</v>
      </c>
      <c r="E83" s="480">
        <f>+'[93]Sch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826094.67</v>
      </c>
      <c r="D84" s="480">
        <f t="shared" si="15"/>
        <v>29922.560000000005</v>
      </c>
      <c r="E84" s="480">
        <f t="shared" si="15"/>
        <v>0</v>
      </c>
      <c r="F84" s="166">
        <f t="shared" ref="F84:I84" si="16">SUM(F69:F83)</f>
        <v>856017.2300000001</v>
      </c>
      <c r="G84" s="166">
        <f t="shared" si="16"/>
        <v>0</v>
      </c>
      <c r="H84" s="166">
        <f t="shared" si="16"/>
        <v>0</v>
      </c>
      <c r="I84" s="166">
        <f t="shared" si="16"/>
        <v>856017.2300000001</v>
      </c>
      <c r="J84" s="167">
        <f t="shared" si="11"/>
        <v>0.16075419988091139</v>
      </c>
      <c r="K84" s="458"/>
      <c r="L84" s="187"/>
      <c r="M84" s="163"/>
      <c r="O84" s="324">
        <f t="shared" si="12"/>
        <v>46.794797463510641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'[93]Sch C'!D75</f>
        <v>46004.959999999999</v>
      </c>
      <c r="D87" s="480">
        <f>'[93]Sch C'!F75</f>
        <v>0</v>
      </c>
      <c r="E87" s="480">
        <f>+'[93]Sch C'!H75</f>
        <v>0</v>
      </c>
      <c r="F87" s="166">
        <f t="shared" ref="F87:F97" si="17">C87+D87+E87</f>
        <v>46004.959999999999</v>
      </c>
      <c r="G87" s="626"/>
      <c r="H87" s="166"/>
      <c r="I87" s="166">
        <f t="shared" ref="I87:I97" si="18">F87+G87+H87</f>
        <v>46004.959999999999</v>
      </c>
      <c r="J87" s="167">
        <f t="shared" ref="J87:J98" si="19">IF($I$213=0,0,I87/$I$213)</f>
        <v>8.6394178483455673E-3</v>
      </c>
      <c r="K87" s="458"/>
      <c r="L87" s="176">
        <v>1897.43</v>
      </c>
      <c r="M87" s="176">
        <v>2104.9299999999998</v>
      </c>
      <c r="O87" s="324">
        <f t="shared" ref="O87:O97" si="20">I87/I$233</f>
        <v>2.514894221833488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'[93]Sch C'!D76</f>
        <v>7424.36</v>
      </c>
      <c r="D88" s="480">
        <f>'[93]Sch C'!F76</f>
        <v>0</v>
      </c>
      <c r="E88" s="480">
        <f>+'[93]Sch C'!H76</f>
        <v>0</v>
      </c>
      <c r="F88" s="166">
        <f t="shared" si="17"/>
        <v>7424.36</v>
      </c>
      <c r="G88" s="626"/>
      <c r="H88" s="166"/>
      <c r="I88" s="166">
        <f t="shared" si="18"/>
        <v>7424.36</v>
      </c>
      <c r="J88" s="167">
        <f t="shared" si="19"/>
        <v>1.3942441922901985E-3</v>
      </c>
      <c r="K88" s="458"/>
      <c r="L88" s="163"/>
      <c r="M88" s="163"/>
      <c r="O88" s="324">
        <f t="shared" si="20"/>
        <v>0.40585797846170663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'[93]Sch C'!D77</f>
        <v>3432.79</v>
      </c>
      <c r="D89" s="480">
        <f>'[93]Sch C'!F77</f>
        <v>0</v>
      </c>
      <c r="E89" s="480">
        <f>+'[93]Sch C'!H77</f>
        <v>0</v>
      </c>
      <c r="F89" s="166">
        <f t="shared" si="17"/>
        <v>3432.79</v>
      </c>
      <c r="G89" s="626"/>
      <c r="H89" s="166"/>
      <c r="I89" s="166">
        <f t="shared" si="18"/>
        <v>3432.79</v>
      </c>
      <c r="J89" s="167">
        <f t="shared" si="19"/>
        <v>6.4465455889152338E-4</v>
      </c>
      <c r="K89" s="458"/>
      <c r="L89" s="163"/>
      <c r="M89" s="163"/>
      <c r="O89" s="324">
        <f t="shared" si="20"/>
        <v>0.18765593396381131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'[93]Sch C'!D78</f>
        <v>5339.57</v>
      </c>
      <c r="D90" s="480">
        <f>'[93]Sch C'!F78</f>
        <v>0</v>
      </c>
      <c r="E90" s="480">
        <f>+'[93]Sch C'!H78</f>
        <v>0</v>
      </c>
      <c r="F90" s="166">
        <f t="shared" si="17"/>
        <v>5339.57</v>
      </c>
      <c r="G90" s="626"/>
      <c r="H90" s="166"/>
      <c r="I90" s="166">
        <f t="shared" si="18"/>
        <v>5339.57</v>
      </c>
      <c r="J90" s="167">
        <f t="shared" si="19"/>
        <v>1.0027348433840728E-3</v>
      </c>
      <c r="K90" s="458"/>
      <c r="L90" s="163"/>
      <c r="M90" s="163"/>
      <c r="O90" s="324">
        <f t="shared" si="20"/>
        <v>0.29189143388181271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'[93]Sch C'!D79</f>
        <v>0</v>
      </c>
      <c r="D91" s="480">
        <f>'[93]Sch C'!F79</f>
        <v>0</v>
      </c>
      <c r="E91" s="480">
        <f>+'[93]Sch C'!H79</f>
        <v>0</v>
      </c>
      <c r="F91" s="166">
        <f t="shared" si="17"/>
        <v>0</v>
      </c>
      <c r="G91" s="626"/>
      <c r="H91" s="166"/>
      <c r="I91" s="166">
        <f t="shared" si="18"/>
        <v>0</v>
      </c>
      <c r="J91" s="167">
        <f t="shared" si="19"/>
        <v>0</v>
      </c>
      <c r="K91" s="458"/>
      <c r="L91" s="163"/>
      <c r="M91" s="163"/>
      <c r="O91" s="324">
        <f t="shared" si="20"/>
        <v>0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'[93]Sch C'!D80</f>
        <v>18224.13</v>
      </c>
      <c r="D92" s="480">
        <f>'[93]Sch C'!F80</f>
        <v>0</v>
      </c>
      <c r="E92" s="480">
        <f>+'[93]Sch C'!H80</f>
        <v>0</v>
      </c>
      <c r="F92" s="166">
        <f t="shared" si="17"/>
        <v>18224.13</v>
      </c>
      <c r="G92" s="626"/>
      <c r="H92" s="166"/>
      <c r="I92" s="166">
        <f t="shared" si="18"/>
        <v>18224.13</v>
      </c>
      <c r="J92" s="167">
        <f t="shared" si="19"/>
        <v>3.4223673706611181E-3</v>
      </c>
      <c r="K92" s="458"/>
      <c r="L92" s="163"/>
      <c r="M92" s="163"/>
      <c r="O92" s="324">
        <f t="shared" si="20"/>
        <v>0.99623517192368671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'[93]Sch C'!D81</f>
        <v>6389.69</v>
      </c>
      <c r="D93" s="480">
        <f>'[93]Sch C'!F81</f>
        <v>0</v>
      </c>
      <c r="E93" s="480">
        <f>+'[93]Sch C'!H81</f>
        <v>0</v>
      </c>
      <c r="F93" s="166">
        <f t="shared" si="17"/>
        <v>6389.69</v>
      </c>
      <c r="G93" s="626"/>
      <c r="H93" s="166"/>
      <c r="I93" s="166">
        <f t="shared" si="18"/>
        <v>6389.69</v>
      </c>
      <c r="J93" s="167">
        <f t="shared" si="19"/>
        <v>1.1999402201718073E-3</v>
      </c>
      <c r="K93" s="458"/>
      <c r="L93" s="163"/>
      <c r="M93" s="163"/>
      <c r="O93" s="324">
        <f t="shared" si="20"/>
        <v>0.34929699885201987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'[93]Sch C'!D82</f>
        <v>0</v>
      </c>
      <c r="D94" s="480">
        <f>'[93]Sch C'!F82</f>
        <v>0</v>
      </c>
      <c r="E94" s="480">
        <f>+'[93]Sch C'!H82</f>
        <v>0</v>
      </c>
      <c r="F94" s="166">
        <f t="shared" si="17"/>
        <v>0</v>
      </c>
      <c r="G94" s="626"/>
      <c r="H94" s="166"/>
      <c r="I94" s="166">
        <f t="shared" si="18"/>
        <v>0</v>
      </c>
      <c r="J94" s="167">
        <f t="shared" si="19"/>
        <v>0</v>
      </c>
      <c r="K94" s="458"/>
      <c r="L94" s="163"/>
      <c r="M94" s="163"/>
      <c r="O94" s="324">
        <f t="shared" si="20"/>
        <v>0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'[93]Sch C'!D83</f>
        <v>19760.169999999998</v>
      </c>
      <c r="D95" s="480">
        <f>'[93]Sch C'!F83</f>
        <v>0</v>
      </c>
      <c r="E95" s="480">
        <f>+'[93]Sch C'!H83</f>
        <v>0</v>
      </c>
      <c r="F95" s="166">
        <f t="shared" si="17"/>
        <v>19760.169999999998</v>
      </c>
      <c r="G95" s="626"/>
      <c r="H95" s="166"/>
      <c r="I95" s="166">
        <f t="shared" si="18"/>
        <v>19760.169999999998</v>
      </c>
      <c r="J95" s="167">
        <f t="shared" si="19"/>
        <v>3.7108252106803834E-3</v>
      </c>
      <c r="K95" s="458"/>
      <c r="L95" s="163"/>
      <c r="M95" s="163"/>
      <c r="O95" s="324">
        <f t="shared" si="20"/>
        <v>1.0802039031323456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'[93]Sch C'!D84</f>
        <v>93219.21</v>
      </c>
      <c r="D96" s="480">
        <f>'[93]Sch C'!F84</f>
        <v>0</v>
      </c>
      <c r="E96" s="480">
        <f>+'[93]Sch C'!H84</f>
        <v>0</v>
      </c>
      <c r="F96" s="166">
        <f t="shared" si="17"/>
        <v>93219.21</v>
      </c>
      <c r="G96" s="626"/>
      <c r="H96" s="166"/>
      <c r="I96" s="166">
        <f t="shared" si="18"/>
        <v>93219.21</v>
      </c>
      <c r="J96" s="167">
        <f t="shared" si="19"/>
        <v>1.7505932114334488E-2</v>
      </c>
      <c r="K96" s="458"/>
      <c r="L96" s="163"/>
      <c r="M96" s="163"/>
      <c r="O96" s="324">
        <f t="shared" si="20"/>
        <v>5.0958951511507138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'[93]Sch C'!D85</f>
        <v>21644.639999999999</v>
      </c>
      <c r="D97" s="480">
        <f>'[93]Sch C'!F85</f>
        <v>1573</v>
      </c>
      <c r="E97" s="480">
        <f>+'[93]Sch C'!H85</f>
        <v>0</v>
      </c>
      <c r="F97" s="166">
        <f t="shared" si="17"/>
        <v>23217.64</v>
      </c>
      <c r="G97" s="626"/>
      <c r="H97" s="166"/>
      <c r="I97" s="166">
        <f t="shared" si="18"/>
        <v>23217.64</v>
      </c>
      <c r="J97" s="167">
        <f t="shared" si="19"/>
        <v>4.3601145053155568E-3</v>
      </c>
      <c r="K97" s="458"/>
      <c r="L97" s="163"/>
      <c r="M97" s="163"/>
      <c r="O97" s="324">
        <f t="shared" si="20"/>
        <v>1.2692089870442245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221439.52000000002</v>
      </c>
      <c r="D98" s="480">
        <f t="shared" si="21"/>
        <v>1573</v>
      </c>
      <c r="E98" s="480">
        <f t="shared" si="21"/>
        <v>0</v>
      </c>
      <c r="F98" s="166">
        <f t="shared" ref="F98:I98" si="22">SUM(F87:F97)</f>
        <v>223012.52000000002</v>
      </c>
      <c r="G98" s="166">
        <f t="shared" si="22"/>
        <v>0</v>
      </c>
      <c r="H98" s="166">
        <f t="shared" si="22"/>
        <v>0</v>
      </c>
      <c r="I98" s="166">
        <f t="shared" si="22"/>
        <v>223012.52000000002</v>
      </c>
      <c r="J98" s="167">
        <f t="shared" si="19"/>
        <v>4.1880230864074719E-2</v>
      </c>
      <c r="K98" s="458"/>
      <c r="L98" s="163"/>
      <c r="M98" s="163"/>
      <c r="O98" s="329">
        <f>I98/I$233</f>
        <v>12.191139780243811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'[93]Sch C'!D89</f>
        <v>-2069.0500000000002</v>
      </c>
      <c r="D101" s="480">
        <f>'[93]Sch C'!F89</f>
        <v>2069.0500000000002</v>
      </c>
      <c r="E101" s="480">
        <f>+'[93]Sch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'[93]Sch C'!D90</f>
        <v>-1.51</v>
      </c>
      <c r="D102" s="480">
        <f>'[93]Sch C'!F90</f>
        <v>1.51</v>
      </c>
      <c r="E102" s="480">
        <f>+'[93]Sch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'[93]Sch C'!D91</f>
        <v>269755.55</v>
      </c>
      <c r="D103" s="480">
        <f>'[93]Sch C'!F91</f>
        <v>0</v>
      </c>
      <c r="E103" s="480">
        <f>+'[93]Sch C'!H91</f>
        <v>0</v>
      </c>
      <c r="F103" s="166">
        <f t="shared" si="23"/>
        <v>269755.55</v>
      </c>
      <c r="G103" s="626"/>
      <c r="H103" s="166"/>
      <c r="I103" s="166">
        <f t="shared" si="24"/>
        <v>269755.55</v>
      </c>
      <c r="J103" s="167">
        <f t="shared" si="25"/>
        <v>5.0658253226614589E-2</v>
      </c>
      <c r="K103" s="458"/>
      <c r="L103" s="163"/>
      <c r="M103" s="163"/>
      <c r="O103" s="329">
        <f t="shared" si="26"/>
        <v>14.746381129393756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'[93]Sch C'!D92</f>
        <v>117434.88</v>
      </c>
      <c r="D104" s="480">
        <f>'[93]Sch C'!F92</f>
        <v>0</v>
      </c>
      <c r="E104" s="480">
        <f>+'[93]Sch C'!H92</f>
        <v>0</v>
      </c>
      <c r="F104" s="166">
        <f t="shared" si="23"/>
        <v>117434.88</v>
      </c>
      <c r="G104" s="626"/>
      <c r="H104" s="166"/>
      <c r="I104" s="166">
        <f t="shared" si="24"/>
        <v>117434.88</v>
      </c>
      <c r="J104" s="167">
        <f t="shared" si="25"/>
        <v>2.2053469849562305E-2</v>
      </c>
      <c r="K104" s="458"/>
      <c r="L104" s="163"/>
      <c r="M104" s="163"/>
      <c r="O104" s="329">
        <f t="shared" si="26"/>
        <v>6.419662165855792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'[93]Sch C'!D93</f>
        <v>0</v>
      </c>
      <c r="D105" s="480">
        <f>'[93]Sch C'!F93</f>
        <v>0</v>
      </c>
      <c r="E105" s="480">
        <f>+'[93]Sch C'!H93</f>
        <v>0</v>
      </c>
      <c r="F105" s="166">
        <f t="shared" si="23"/>
        <v>0</v>
      </c>
      <c r="G105" s="626"/>
      <c r="H105" s="166"/>
      <c r="I105" s="166">
        <f t="shared" si="24"/>
        <v>0</v>
      </c>
      <c r="J105" s="167">
        <f t="shared" si="25"/>
        <v>0</v>
      </c>
      <c r="K105" s="458"/>
      <c r="L105" s="163"/>
      <c r="M105" s="163"/>
      <c r="O105" s="329">
        <f t="shared" si="26"/>
        <v>0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'[93]Sch C'!D94</f>
        <v>12517.61</v>
      </c>
      <c r="D106" s="480">
        <f>'[93]Sch C'!F94</f>
        <v>0</v>
      </c>
      <c r="E106" s="480">
        <f>+'[93]Sch C'!H94</f>
        <v>0</v>
      </c>
      <c r="F106" s="166">
        <f t="shared" si="23"/>
        <v>12517.61</v>
      </c>
      <c r="G106" s="626"/>
      <c r="H106" s="166"/>
      <c r="I106" s="166">
        <f t="shared" si="24"/>
        <v>12517.61</v>
      </c>
      <c r="J106" s="167">
        <f t="shared" si="25"/>
        <v>2.3507218189653674E-3</v>
      </c>
      <c r="K106" s="458"/>
      <c r="L106" s="163"/>
      <c r="M106" s="163"/>
      <c r="O106" s="329">
        <f t="shared" si="26"/>
        <v>0.68428415240802498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397637.48</v>
      </c>
      <c r="D107" s="480">
        <f t="shared" si="27"/>
        <v>2070.5600000000004</v>
      </c>
      <c r="E107" s="480">
        <f t="shared" si="27"/>
        <v>0</v>
      </c>
      <c r="F107" s="166">
        <f t="shared" ref="F107:I107" si="28">SUM(F101:F106)</f>
        <v>399708.04</v>
      </c>
      <c r="G107" s="166">
        <f t="shared" si="28"/>
        <v>0</v>
      </c>
      <c r="H107" s="166">
        <f t="shared" si="28"/>
        <v>0</v>
      </c>
      <c r="I107" s="166">
        <f t="shared" si="28"/>
        <v>399708.04</v>
      </c>
      <c r="J107" s="167">
        <f t="shared" si="25"/>
        <v>7.5062444895142258E-2</v>
      </c>
      <c r="K107" s="458"/>
      <c r="L107" s="163"/>
      <c r="M107" s="163"/>
      <c r="O107" s="329">
        <f>I107/I$233</f>
        <v>21.850327447657573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'[93]Sch C'!D98</f>
        <v>0</v>
      </c>
      <c r="D110" s="480">
        <f>'[93]Sch C'!F98</f>
        <v>0</v>
      </c>
      <c r="E110" s="480">
        <f>+'[93]Sch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'[93]Sch C'!D99</f>
        <v>0</v>
      </c>
      <c r="D111" s="480">
        <f>'[93]Sch C'!F99</f>
        <v>0</v>
      </c>
      <c r="E111" s="480">
        <f>+'[93]Sch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'[93]Sch C'!D100</f>
        <v>2948.85</v>
      </c>
      <c r="D112" s="480">
        <f>'[93]Sch C'!F100</f>
        <v>0</v>
      </c>
      <c r="E112" s="480">
        <f>+'[93]Sch C'!H100</f>
        <v>0</v>
      </c>
      <c r="F112" s="166">
        <f t="shared" si="29"/>
        <v>2948.85</v>
      </c>
      <c r="G112" s="626"/>
      <c r="H112" s="166"/>
      <c r="I112" s="166">
        <f t="shared" si="30"/>
        <v>2948.85</v>
      </c>
      <c r="J112" s="167">
        <f t="shared" si="31"/>
        <v>5.5377392616130577E-4</v>
      </c>
      <c r="K112" s="458"/>
      <c r="L112" s="163"/>
      <c r="M112" s="163"/>
      <c r="O112" s="329">
        <f t="shared" si="32"/>
        <v>0.16120100584923194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'[93]Sch C'!D101</f>
        <v>46592.74</v>
      </c>
      <c r="D113" s="480">
        <f>'[93]Sch C'!F101</f>
        <v>0</v>
      </c>
      <c r="E113" s="480">
        <f>+'[93]Sch C'!H101</f>
        <v>0</v>
      </c>
      <c r="F113" s="166">
        <f t="shared" si="29"/>
        <v>46592.74</v>
      </c>
      <c r="G113" s="626"/>
      <c r="H113" s="166"/>
      <c r="I113" s="166">
        <f t="shared" si="30"/>
        <v>46592.74</v>
      </c>
      <c r="J113" s="167">
        <f t="shared" si="31"/>
        <v>8.7497989251446896E-3</v>
      </c>
      <c r="K113" s="458"/>
      <c r="L113" s="163"/>
      <c r="M113" s="163"/>
      <c r="O113" s="329">
        <f t="shared" si="32"/>
        <v>2.5470256382222707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'[93]Sch C'!D102</f>
        <v>4239.49</v>
      </c>
      <c r="D114" s="480">
        <f>'[93]Sch C'!F102</f>
        <v>0</v>
      </c>
      <c r="E114" s="480">
        <f>+'[93]Sch C'!H102</f>
        <v>0</v>
      </c>
      <c r="F114" s="166">
        <f t="shared" si="29"/>
        <v>4239.49</v>
      </c>
      <c r="G114" s="626"/>
      <c r="H114" s="166"/>
      <c r="I114" s="166">
        <f t="shared" si="30"/>
        <v>4239.49</v>
      </c>
      <c r="J114" s="167">
        <f t="shared" si="31"/>
        <v>7.9614731919955034E-4</v>
      </c>
      <c r="K114" s="458"/>
      <c r="L114" s="163"/>
      <c r="M114" s="163"/>
      <c r="O114" s="329">
        <f t="shared" si="32"/>
        <v>0.23175476958399385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'[93]Sch C'!D103</f>
        <v>0</v>
      </c>
      <c r="D115" s="480">
        <f>'[93]Sch C'!F103</f>
        <v>0</v>
      </c>
      <c r="E115" s="480">
        <f>+'[93]Sch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53781.079999999994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53781.079999999994</v>
      </c>
      <c r="G116" s="166">
        <f t="shared" si="34"/>
        <v>0</v>
      </c>
      <c r="H116" s="166">
        <f t="shared" si="34"/>
        <v>0</v>
      </c>
      <c r="I116" s="166">
        <f t="shared" si="34"/>
        <v>53781.079999999994</v>
      </c>
      <c r="J116" s="167">
        <f t="shared" si="31"/>
        <v>1.0099720170505545E-2</v>
      </c>
      <c r="K116" s="458"/>
      <c r="L116" s="163"/>
      <c r="M116" s="163"/>
      <c r="O116" s="329">
        <f>I116/I$233</f>
        <v>2.9399814136554965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'[93]Sch C'!D115</f>
        <v>0</v>
      </c>
      <c r="D119" s="480">
        <f>'[93]Sch C'!F115</f>
        <v>0</v>
      </c>
      <c r="E119" s="480">
        <f>+'[93]Sch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'[93]Sch C'!D116</f>
        <v>0</v>
      </c>
      <c r="D120" s="480">
        <f>'[93]Sch C'!F116</f>
        <v>0</v>
      </c>
      <c r="E120" s="480">
        <f>+'[93]Sch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'[93]Sch C'!D117</f>
        <v>8298.59</v>
      </c>
      <c r="D121" s="480">
        <f>'[93]Sch C'!F117</f>
        <v>0</v>
      </c>
      <c r="E121" s="480">
        <f>+'[93]Sch C'!H117</f>
        <v>0</v>
      </c>
      <c r="F121" s="166">
        <f t="shared" si="35"/>
        <v>8298.59</v>
      </c>
      <c r="G121" s="626"/>
      <c r="H121" s="166"/>
      <c r="I121" s="166">
        <f t="shared" si="36"/>
        <v>8298.59</v>
      </c>
      <c r="J121" s="167">
        <f t="shared" si="37"/>
        <v>1.5584186262112181E-3</v>
      </c>
      <c r="K121" s="458"/>
      <c r="L121" s="163"/>
      <c r="M121" s="163"/>
      <c r="O121" s="329">
        <f t="shared" si="38"/>
        <v>0.4536483900945717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'[93]Sch C'!D118</f>
        <v>70353.53</v>
      </c>
      <c r="D122" s="480">
        <f>'[93]Sch C'!F118</f>
        <v>0</v>
      </c>
      <c r="E122" s="480">
        <f>+'[93]Sch C'!H118</f>
        <v>0</v>
      </c>
      <c r="F122" s="166">
        <f t="shared" si="35"/>
        <v>70353.53</v>
      </c>
      <c r="G122" s="626"/>
      <c r="H122" s="166"/>
      <c r="I122" s="166">
        <f t="shared" si="36"/>
        <v>70353.53</v>
      </c>
      <c r="J122" s="167">
        <f t="shared" si="37"/>
        <v>1.3211913297525208E-2</v>
      </c>
      <c r="K122" s="458"/>
      <c r="L122" s="163"/>
      <c r="M122" s="163"/>
      <c r="O122" s="329">
        <f t="shared" si="38"/>
        <v>3.8459263106106159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'[93]Sch C'!D119</f>
        <v>0</v>
      </c>
      <c r="D123" s="480">
        <f>'[93]Sch C'!F119</f>
        <v>0</v>
      </c>
      <c r="E123" s="480">
        <f>+'[93]Sch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78652.12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78652.12</v>
      </c>
      <c r="G124" s="166">
        <f t="shared" si="40"/>
        <v>0</v>
      </c>
      <c r="H124" s="166">
        <f t="shared" si="40"/>
        <v>0</v>
      </c>
      <c r="I124" s="166">
        <f t="shared" si="40"/>
        <v>78652.12</v>
      </c>
      <c r="J124" s="167">
        <f t="shared" si="37"/>
        <v>1.4770331923736425E-2</v>
      </c>
      <c r="K124" s="458"/>
      <c r="L124" s="163"/>
      <c r="M124" s="163"/>
      <c r="O124" s="329">
        <f t="shared" si="38"/>
        <v>4.2995747007051879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'[93]Sch C'!D124</f>
        <v>0</v>
      </c>
      <c r="D128" s="480">
        <f>'[93]Sch C'!F124</f>
        <v>206619.81</v>
      </c>
      <c r="E128" s="480">
        <f>+'[93]Sch C'!H124</f>
        <v>0</v>
      </c>
      <c r="F128" s="166">
        <f t="shared" ref="F128:F132" si="41">C128+D128+E128</f>
        <v>206619.81</v>
      </c>
      <c r="G128" s="626"/>
      <c r="H128" s="166"/>
      <c r="I128" s="166">
        <f t="shared" ref="I128:I132" si="42">F128+G128+H128</f>
        <v>206619.81</v>
      </c>
      <c r="J128" s="167">
        <f>IF($I$213=0,0,I128/$I$213)</f>
        <v>3.8801791683674321E-2</v>
      </c>
      <c r="K128" s="458"/>
      <c r="L128" s="176">
        <v>4056.42</v>
      </c>
      <c r="M128" s="176">
        <v>4381.42</v>
      </c>
      <c r="O128" s="329">
        <f t="shared" ref="O128:O165" si="43">I128/I$233</f>
        <v>11.295020499644673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'[93]Sch C'!D125</f>
        <v>0</v>
      </c>
      <c r="D129" s="480">
        <f>'[93]Sch C'!F125</f>
        <v>0</v>
      </c>
      <c r="E129" s="480">
        <f>+'[93]Sch C'!H125</f>
        <v>0</v>
      </c>
      <c r="F129" s="166">
        <f t="shared" si="41"/>
        <v>0</v>
      </c>
      <c r="G129" s="626"/>
      <c r="H129" s="166"/>
      <c r="I129" s="166">
        <f t="shared" si="42"/>
        <v>0</v>
      </c>
      <c r="J129" s="167">
        <f>IF($I$213=0,0,I129/$I$213)</f>
        <v>0</v>
      </c>
      <c r="K129" s="458"/>
      <c r="L129" s="176">
        <v>0</v>
      </c>
      <c r="M129" s="176">
        <v>0</v>
      </c>
      <c r="O129" s="329">
        <f t="shared" si="43"/>
        <v>0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'[93]Sch C'!D126</f>
        <v>0</v>
      </c>
      <c r="D130" s="480">
        <f>'[93]Sch C'!F126</f>
        <v>0</v>
      </c>
      <c r="E130" s="480">
        <f>+'[93]Sch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'[93]Sch C'!D127</f>
        <v>0</v>
      </c>
      <c r="D131" s="480">
        <f>'[93]Sch C'!F127</f>
        <v>0</v>
      </c>
      <c r="E131" s="480">
        <f>+'[93]Sch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'[93]Sch C'!D128</f>
        <v>244160.23</v>
      </c>
      <c r="D132" s="480">
        <f>'[93]Sch C'!F128</f>
        <v>-206619.81</v>
      </c>
      <c r="E132" s="480">
        <f>+'[93]Sch C'!H128</f>
        <v>0</v>
      </c>
      <c r="F132" s="166">
        <f t="shared" si="41"/>
        <v>37540.420000000013</v>
      </c>
      <c r="G132" s="626"/>
      <c r="H132" s="166"/>
      <c r="I132" s="166">
        <f t="shared" si="42"/>
        <v>37540.420000000013</v>
      </c>
      <c r="J132" s="167">
        <f>IF($I$213=0,0,I132/$I$213)</f>
        <v>7.0498349435015048E-3</v>
      </c>
      <c r="K132" s="458"/>
      <c r="L132" s="176">
        <v>1605.1</v>
      </c>
      <c r="M132" s="176">
        <v>1760.85</v>
      </c>
      <c r="O132" s="329">
        <f t="shared" si="43"/>
        <v>2.0521740556497026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'[93]Sch C'!D130</f>
        <v>0</v>
      </c>
      <c r="D134" s="480">
        <f>'[93]Sch C'!F130</f>
        <v>0</v>
      </c>
      <c r="E134" s="480">
        <f>+'[93]Sch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'[93]Sch C'!D131</f>
        <v>0</v>
      </c>
      <c r="D135" s="480">
        <f>'[93]Sch C'!F131</f>
        <v>0</v>
      </c>
      <c r="E135" s="480">
        <f>+'[93]Sch C'!H131</f>
        <v>0</v>
      </c>
      <c r="F135" s="166">
        <f t="shared" si="44"/>
        <v>0</v>
      </c>
      <c r="G135" s="626"/>
      <c r="H135" s="166"/>
      <c r="I135" s="166">
        <f t="shared" si="45"/>
        <v>0</v>
      </c>
      <c r="J135" s="167">
        <f>IF($I$213=0,0,I135/$I$213)</f>
        <v>0</v>
      </c>
      <c r="K135" s="458"/>
      <c r="L135" s="196"/>
      <c r="M135" s="196"/>
      <c r="O135" s="329">
        <f t="shared" si="43"/>
        <v>0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'[93]Sch C'!D132</f>
        <v>0</v>
      </c>
      <c r="D136" s="480">
        <f>'[93]Sch C'!F132</f>
        <v>0</v>
      </c>
      <c r="E136" s="480">
        <f>+'[93]Sch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'[93]Sch C'!D133</f>
        <v>0</v>
      </c>
      <c r="D137" s="480">
        <f>'[93]Sch C'!F133</f>
        <v>0</v>
      </c>
      <c r="E137" s="480">
        <f>+'[93]Sch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'[93]Sch C'!D134</f>
        <v>31962.11</v>
      </c>
      <c r="D138" s="480">
        <f>'[93]Sch C'!F134</f>
        <v>0</v>
      </c>
      <c r="E138" s="480">
        <f>+'[93]Sch C'!H134</f>
        <v>0</v>
      </c>
      <c r="F138" s="166">
        <f t="shared" si="44"/>
        <v>31962.11</v>
      </c>
      <c r="G138" s="626"/>
      <c r="H138" s="166"/>
      <c r="I138" s="166">
        <f t="shared" si="45"/>
        <v>31962.11</v>
      </c>
      <c r="J138" s="167">
        <f>IF($I$213=0,0,I138/$I$213)</f>
        <v>6.0022663557317375E-3</v>
      </c>
      <c r="K138" s="458"/>
      <c r="L138" s="163"/>
      <c r="M138" s="163"/>
      <c r="O138" s="329">
        <f t="shared" si="43"/>
        <v>1.7472317279833816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'[93]Sch C'!D136</f>
        <v>378691.5</v>
      </c>
      <c r="D140" s="480">
        <f>'[93]Sch C'!F136</f>
        <v>0</v>
      </c>
      <c r="E140" s="480">
        <f>+'[93]Sch C'!H136</f>
        <v>0</v>
      </c>
      <c r="F140" s="166">
        <f t="shared" ref="F140:F143" si="46">C140+D140+E140</f>
        <v>378691.5</v>
      </c>
      <c r="G140" s="626"/>
      <c r="H140" s="166"/>
      <c r="I140" s="166">
        <f t="shared" ref="I140:I143" si="47">F140+G140+H140</f>
        <v>378691.5</v>
      </c>
      <c r="J140" s="167">
        <f>IF($I$213=0,0,I140/$I$213)</f>
        <v>7.1115681963787286E-2</v>
      </c>
      <c r="K140" s="458"/>
      <c r="L140" s="176">
        <v>10255.09</v>
      </c>
      <c r="M140" s="176">
        <v>11376.34</v>
      </c>
      <c r="O140" s="329">
        <f t="shared" si="43"/>
        <v>20.701443174984966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'[93]Sch C'!D137</f>
        <v>416656.74</v>
      </c>
      <c r="D141" s="480">
        <f>'[93]Sch C'!F137</f>
        <v>0</v>
      </c>
      <c r="E141" s="480">
        <f>+'[93]Sch C'!H137</f>
        <v>0</v>
      </c>
      <c r="F141" s="166">
        <f t="shared" si="46"/>
        <v>416656.74</v>
      </c>
      <c r="G141" s="626"/>
      <c r="H141" s="166"/>
      <c r="I141" s="166">
        <f t="shared" si="47"/>
        <v>416656.74</v>
      </c>
      <c r="J141" s="167">
        <f>IF($I$213=0,0,I141/$I$213)</f>
        <v>7.8245295207070673E-2</v>
      </c>
      <c r="K141" s="458"/>
      <c r="L141" s="176">
        <v>13278.86</v>
      </c>
      <c r="M141" s="176">
        <v>14808.17</v>
      </c>
      <c r="O141" s="329">
        <f t="shared" si="43"/>
        <v>22.776840321434427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'[93]Sch C'!D138</f>
        <v>511753.44</v>
      </c>
      <c r="D142" s="480">
        <f>'[93]Sch C'!F138</f>
        <v>0</v>
      </c>
      <c r="E142" s="480">
        <f>+'[93]Sch C'!H138</f>
        <v>0</v>
      </c>
      <c r="F142" s="166">
        <f t="shared" si="46"/>
        <v>511753.44</v>
      </c>
      <c r="G142" s="626"/>
      <c r="H142" s="166"/>
      <c r="I142" s="166">
        <f t="shared" si="47"/>
        <v>511753.44</v>
      </c>
      <c r="J142" s="167">
        <f>IF($I$213=0,0,I142/$I$213)</f>
        <v>9.6103807143582826E-2</v>
      </c>
      <c r="K142" s="458"/>
      <c r="L142" s="176">
        <v>35131.06</v>
      </c>
      <c r="M142" s="176">
        <v>39541.9</v>
      </c>
      <c r="O142" s="329">
        <f t="shared" si="43"/>
        <v>27.975369813589896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'[93]Sch C'!D139</f>
        <v>0</v>
      </c>
      <c r="D143" s="480">
        <f>'[93]Sch C'!F139</f>
        <v>0</v>
      </c>
      <c r="E143" s="480">
        <f>+'[93]Sch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'[93]Sch C'!D141</f>
        <v>41282.69</v>
      </c>
      <c r="D145" s="480">
        <f>'[93]Sch C'!F141</f>
        <v>0</v>
      </c>
      <c r="E145" s="480">
        <f>+'[93]Sch C'!H141</f>
        <v>0</v>
      </c>
      <c r="F145" s="166">
        <f t="shared" ref="F145:F148" si="48">C145+D145+E145</f>
        <v>41282.69</v>
      </c>
      <c r="G145" s="626"/>
      <c r="H145" s="166"/>
      <c r="I145" s="166">
        <f t="shared" ref="I145:I148" si="49">F145+G145+H145</f>
        <v>41282.69</v>
      </c>
      <c r="J145" s="167">
        <f>IF($I$213=0,0,I145/$I$213)</f>
        <v>7.7526077365074782E-3</v>
      </c>
      <c r="K145" s="458"/>
      <c r="L145" s="163"/>
      <c r="M145" s="163"/>
      <c r="O145" s="329">
        <f t="shared" si="43"/>
        <v>2.256747936369103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'[93]Sch C'!D142</f>
        <v>44467.21</v>
      </c>
      <c r="D146" s="480">
        <f>'[93]Sch C'!F142</f>
        <v>0</v>
      </c>
      <c r="E146" s="480">
        <f>+'[93]Sch C'!H142</f>
        <v>0</v>
      </c>
      <c r="F146" s="166">
        <f t="shared" si="48"/>
        <v>44467.21</v>
      </c>
      <c r="G146" s="626"/>
      <c r="H146" s="166"/>
      <c r="I146" s="166">
        <f t="shared" si="49"/>
        <v>44467.21</v>
      </c>
      <c r="J146" s="167">
        <f>IF($I$213=0,0,I146/$I$213)</f>
        <v>8.350638881984257E-3</v>
      </c>
      <c r="K146" s="458"/>
      <c r="L146" s="163"/>
      <c r="M146" s="163"/>
      <c r="O146" s="329">
        <f t="shared" si="43"/>
        <v>2.430832012245121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'[93]Sch C'!D143</f>
        <v>71881.62</v>
      </c>
      <c r="D147" s="480">
        <f>'[93]Sch C'!F143</f>
        <v>0</v>
      </c>
      <c r="E147" s="480">
        <f>+'[93]Sch C'!H143</f>
        <v>0</v>
      </c>
      <c r="F147" s="166">
        <f t="shared" si="48"/>
        <v>71881.62</v>
      </c>
      <c r="G147" s="626"/>
      <c r="H147" s="166"/>
      <c r="I147" s="166">
        <f t="shared" si="49"/>
        <v>71881.62</v>
      </c>
      <c r="J147" s="167">
        <f>IF($I$213=0,0,I147/$I$213)</f>
        <v>1.3498878181743744E-2</v>
      </c>
      <c r="K147" s="458"/>
      <c r="L147" s="163"/>
      <c r="M147" s="163"/>
      <c r="O147" s="329">
        <f t="shared" si="43"/>
        <v>3.9294604493522112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'[93]Sch C'!D144</f>
        <v>0</v>
      </c>
      <c r="D148" s="480">
        <f>'[93]Sch C'!F144</f>
        <v>0</v>
      </c>
      <c r="E148" s="480">
        <f>+'[93]Sch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'[93]Sch C'!D146</f>
        <v>29549.14</v>
      </c>
      <c r="D150" s="480">
        <f>'[93]Sch C'!F146</f>
        <v>0</v>
      </c>
      <c r="E150" s="480">
        <f>+'[93]Sch C'!H146</f>
        <v>0</v>
      </c>
      <c r="F150" s="166">
        <f t="shared" ref="F150:F158" si="50">C150+D150+E150</f>
        <v>29549.14</v>
      </c>
      <c r="G150" s="626"/>
      <c r="H150" s="166"/>
      <c r="I150" s="166">
        <f t="shared" ref="I150:I158" si="51">F150+G150+H150</f>
        <v>29549.14</v>
      </c>
      <c r="J150" s="167">
        <f t="shared" ref="J150:J158" si="52">IF($I$213=0,0,I150/$I$213)</f>
        <v>5.5491270401987506E-3</v>
      </c>
      <c r="K150" s="458"/>
      <c r="L150" s="176">
        <v>120</v>
      </c>
      <c r="M150" s="176">
        <v>120</v>
      </c>
      <c r="O150" s="329">
        <f t="shared" si="43"/>
        <v>1.6153249877002132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'[93]Sch C'!D147</f>
        <v>0</v>
      </c>
      <c r="D151" s="480">
        <f>'[93]Sch C'!F147</f>
        <v>0</v>
      </c>
      <c r="E151" s="480">
        <f>+'[93]Sch C'!H147</f>
        <v>0</v>
      </c>
      <c r="F151" s="166">
        <f t="shared" si="50"/>
        <v>0</v>
      </c>
      <c r="G151" s="626"/>
      <c r="H151" s="166"/>
      <c r="I151" s="166">
        <f t="shared" si="51"/>
        <v>0</v>
      </c>
      <c r="J151" s="167">
        <f t="shared" si="52"/>
        <v>0</v>
      </c>
      <c r="K151" s="458"/>
      <c r="L151" s="176">
        <v>0</v>
      </c>
      <c r="M151" s="176">
        <v>0</v>
      </c>
      <c r="O151" s="329">
        <f t="shared" si="43"/>
        <v>0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'[93]Sch C'!D148</f>
        <v>64903.73</v>
      </c>
      <c r="D152" s="480">
        <f>'[93]Sch C'!F148</f>
        <v>0</v>
      </c>
      <c r="E152" s="480">
        <f>+'[93]Sch C'!H148</f>
        <v>-2776.53</v>
      </c>
      <c r="F152" s="166">
        <f t="shared" si="50"/>
        <v>62127.200000000004</v>
      </c>
      <c r="G152" s="626"/>
      <c r="H152" s="166"/>
      <c r="I152" s="166">
        <f t="shared" si="51"/>
        <v>62127.200000000004</v>
      </c>
      <c r="J152" s="167">
        <f t="shared" si="52"/>
        <v>1.1667064606680122E-2</v>
      </c>
      <c r="K152" s="458"/>
      <c r="L152" s="176">
        <v>1068.75</v>
      </c>
      <c r="M152" s="176">
        <v>1068.75</v>
      </c>
      <c r="O152" s="329">
        <f t="shared" si="43"/>
        <v>3.3962280653802002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'[93]Sch C'!D149</f>
        <v>0</v>
      </c>
      <c r="D153" s="480">
        <f>'[93]Sch C'!F149</f>
        <v>0</v>
      </c>
      <c r="E153" s="480">
        <f>+'[93]Sch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'[93]Sch C'!D150</f>
        <v>4373.62</v>
      </c>
      <c r="D154" s="480">
        <f>'[93]Sch C'!F150</f>
        <v>0</v>
      </c>
      <c r="E154" s="480">
        <f>+'[93]Sch C'!H150</f>
        <v>0</v>
      </c>
      <c r="F154" s="166">
        <f t="shared" si="50"/>
        <v>4373.62</v>
      </c>
      <c r="G154" s="626"/>
      <c r="H154" s="166"/>
      <c r="I154" s="166">
        <f t="shared" si="51"/>
        <v>4373.62</v>
      </c>
      <c r="J154" s="167">
        <f t="shared" si="52"/>
        <v>8.2133601876582742E-4</v>
      </c>
      <c r="K154" s="458"/>
      <c r="L154" s="176">
        <v>0</v>
      </c>
      <c r="M154" s="176">
        <v>0</v>
      </c>
      <c r="O154" s="329">
        <f t="shared" si="43"/>
        <v>0.23908708249057015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'[93]Sch C'!D151</f>
        <v>53206.21</v>
      </c>
      <c r="D155" s="480">
        <f>'[93]Sch C'!F151</f>
        <v>0</v>
      </c>
      <c r="E155" s="480">
        <f>+'[93]Sch C'!H151</f>
        <v>0</v>
      </c>
      <c r="F155" s="166">
        <f t="shared" si="50"/>
        <v>53206.21</v>
      </c>
      <c r="G155" s="626"/>
      <c r="H155" s="166"/>
      <c r="I155" s="166">
        <f t="shared" si="51"/>
        <v>53206.21</v>
      </c>
      <c r="J155" s="167">
        <f t="shared" si="52"/>
        <v>9.9917635036922622E-3</v>
      </c>
      <c r="K155" s="458"/>
      <c r="L155" s="163"/>
      <c r="M155" s="163"/>
      <c r="O155" s="329">
        <f t="shared" si="43"/>
        <v>2.9085557317006505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'[93]Sch C'!D152</f>
        <v>43170.06</v>
      </c>
      <c r="D156" s="480">
        <f>'[93]Sch C'!F152</f>
        <v>0</v>
      </c>
      <c r="E156" s="480">
        <f>+'[93]Sch C'!H152</f>
        <v>0</v>
      </c>
      <c r="F156" s="166">
        <f t="shared" si="50"/>
        <v>43170.06</v>
      </c>
      <c r="G156" s="626"/>
      <c r="H156" s="166"/>
      <c r="I156" s="166">
        <f t="shared" si="51"/>
        <v>43170.06</v>
      </c>
      <c r="J156" s="167">
        <f t="shared" si="52"/>
        <v>8.1070429553280563E-3</v>
      </c>
      <c r="K156" s="458"/>
      <c r="L156" s="163"/>
      <c r="M156" s="163"/>
      <c r="O156" s="329">
        <f t="shared" si="43"/>
        <v>2.3599223746788387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'[93]Sch C'!D153</f>
        <v>0</v>
      </c>
      <c r="D157" s="480">
        <f>'[93]Sch C'!F153</f>
        <v>0</v>
      </c>
      <c r="E157" s="480">
        <f>+'[93]Sch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'[93]Sch C'!D154</f>
        <v>5303.01</v>
      </c>
      <c r="D158" s="480">
        <f>'[93]Sch C'!F154</f>
        <v>0</v>
      </c>
      <c r="E158" s="480">
        <f>+'[93]Sch C'!H154</f>
        <v>0</v>
      </c>
      <c r="F158" s="166">
        <f t="shared" si="50"/>
        <v>5303.01</v>
      </c>
      <c r="G158" s="626"/>
      <c r="H158" s="166"/>
      <c r="I158" s="166">
        <f t="shared" si="51"/>
        <v>5303.01</v>
      </c>
      <c r="J158" s="167">
        <f t="shared" si="52"/>
        <v>9.9586912463254032E-4</v>
      </c>
      <c r="K158" s="458"/>
      <c r="L158" s="163"/>
      <c r="M158" s="163"/>
      <c r="O158" s="329">
        <f t="shared" si="43"/>
        <v>0.28989285519051006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'[93]Sch C'!D156</f>
        <v>0</v>
      </c>
      <c r="D160" s="480">
        <f>'[93]Sch C'!F156</f>
        <v>0</v>
      </c>
      <c r="E160" s="480">
        <f>+'[93]Sch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'[93]Sch C'!D157</f>
        <v>0</v>
      </c>
      <c r="D161" s="480">
        <f>'[93]Sch C'!F157</f>
        <v>0</v>
      </c>
      <c r="E161" s="480">
        <f>+'[93]Sch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'[93]Sch C'!D158</f>
        <v>0</v>
      </c>
      <c r="D162" s="480">
        <f>'[93]Sch C'!F158</f>
        <v>0</v>
      </c>
      <c r="E162" s="480">
        <f>+'[93]Sch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'[93]Sch C'!D159</f>
        <v>0</v>
      </c>
      <c r="D163" s="480">
        <f>'[93]Sch C'!F159</f>
        <v>0</v>
      </c>
      <c r="E163" s="480">
        <f>+'[93]Sch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'[93]Sch C'!D160</f>
        <v>0</v>
      </c>
      <c r="D164" s="480">
        <f>'[93]Sch C'!F160</f>
        <v>0</v>
      </c>
      <c r="E164" s="480">
        <f>+'[93]Sch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'[93]Sch C'!D161</f>
        <v>9865.11</v>
      </c>
      <c r="D165" s="480">
        <f>'[93]Sch C'!F161</f>
        <v>0</v>
      </c>
      <c r="E165" s="480">
        <f>+'[93]Sch C'!H161</f>
        <v>0</v>
      </c>
      <c r="F165" s="166">
        <f t="shared" si="53"/>
        <v>9865.11</v>
      </c>
      <c r="G165" s="626"/>
      <c r="H165" s="166"/>
      <c r="I165" s="166">
        <f t="shared" si="54"/>
        <v>9865.11</v>
      </c>
      <c r="J165" s="167">
        <f t="shared" si="55"/>
        <v>1.8526004024325279E-3</v>
      </c>
      <c r="K165" s="458"/>
      <c r="L165" s="163"/>
      <c r="M165" s="163"/>
      <c r="O165" s="329">
        <f t="shared" si="43"/>
        <v>0.53928333242223803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1951226.4200000002</v>
      </c>
      <c r="D166" s="480">
        <f t="shared" si="56"/>
        <v>0</v>
      </c>
      <c r="E166" s="480">
        <f t="shared" si="56"/>
        <v>-2776.53</v>
      </c>
      <c r="F166" s="166">
        <f t="shared" ref="F166:I166" si="57">SUM(F128:F165)</f>
        <v>1948449.8900000001</v>
      </c>
      <c r="G166" s="166">
        <f t="shared" si="57"/>
        <v>0</v>
      </c>
      <c r="H166" s="166">
        <f t="shared" si="57"/>
        <v>0</v>
      </c>
      <c r="I166" s="166">
        <f t="shared" si="57"/>
        <v>1948449.8900000001</v>
      </c>
      <c r="J166" s="167">
        <f t="shared" si="55"/>
        <v>0.36590560574931397</v>
      </c>
      <c r="K166" s="458"/>
      <c r="L166" s="163"/>
      <c r="M166" s="163"/>
      <c r="O166" s="329">
        <f>I166/I$233</f>
        <v>106.51341442081672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'[93]Sch C'!D175</f>
        <v>0</v>
      </c>
      <c r="D169" s="480">
        <f>'[93]Sch C'!F175</f>
        <v>0</v>
      </c>
      <c r="E169" s="480">
        <f>+'[93]Sch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'[93]Sch C'!D176</f>
        <v>0</v>
      </c>
      <c r="D170" s="480">
        <f>'[93]Sch C'!F176</f>
        <v>0</v>
      </c>
      <c r="E170" s="480">
        <f>+'[93]Sch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'[93]Sch C'!D177</f>
        <v>0</v>
      </c>
      <c r="D171" s="480">
        <f>'[93]Sch C'!F177</f>
        <v>0</v>
      </c>
      <c r="E171" s="480">
        <f>+'[93]Sch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'[93]Sch C'!D178</f>
        <v>0</v>
      </c>
      <c r="D172" s="480">
        <f>'[93]Sch C'!F178</f>
        <v>0</v>
      </c>
      <c r="E172" s="480">
        <f>+'[93]Sch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'[93]Sch C'!D179</f>
        <v>0</v>
      </c>
      <c r="D173" s="480">
        <f>'[93]Sch C'!F179</f>
        <v>0</v>
      </c>
      <c r="E173" s="480">
        <f>+'[93]Sch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'[93]Sch C'!D180</f>
        <v>0</v>
      </c>
      <c r="D174" s="480">
        <f>'[93]Sch C'!F180</f>
        <v>0</v>
      </c>
      <c r="E174" s="480">
        <f>+'[93]Sch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'[93]Sch C'!D181</f>
        <v>0</v>
      </c>
      <c r="D175" s="480">
        <f>'[93]Sch C'!F181</f>
        <v>0</v>
      </c>
      <c r="E175" s="480">
        <f>+'[93]Sch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'[93]Sch C'!D182</f>
        <v>0</v>
      </c>
      <c r="D176" s="480">
        <f>'[93]Sch C'!F182</f>
        <v>0</v>
      </c>
      <c r="E176" s="480">
        <f>+'[93]Sch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'[93]Sch C'!D183</f>
        <v>0</v>
      </c>
      <c r="D177" s="480">
        <f>'[93]Sch C'!F183</f>
        <v>0</v>
      </c>
      <c r="E177" s="480">
        <f>+'[93]Sch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'[93]Sch C'!D184</f>
        <v>0</v>
      </c>
      <c r="D178" s="480">
        <f>'[93]Sch C'!F184</f>
        <v>0</v>
      </c>
      <c r="E178" s="480">
        <f>+'[93]Sch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'[93]Sch C'!D185</f>
        <v>0</v>
      </c>
      <c r="D179" s="480">
        <f>'[93]Sch C'!F185</f>
        <v>0</v>
      </c>
      <c r="E179" s="480">
        <f>+'[93]Sch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'[93]Sch C'!D186</f>
        <v>0</v>
      </c>
      <c r="D180" s="480">
        <f>'[93]Sch C'!F186</f>
        <v>0</v>
      </c>
      <c r="E180" s="480">
        <f>+'[93]Sch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'[93]Sch C'!D187</f>
        <v>0</v>
      </c>
      <c r="D181" s="480">
        <f>'[93]Sch C'!F187</f>
        <v>0</v>
      </c>
      <c r="E181" s="480">
        <f>+'[93]Sch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'[93]Sch C'!D188</f>
        <v>680.45</v>
      </c>
      <c r="D182" s="480">
        <f>'[93]Sch C'!F188</f>
        <v>0</v>
      </c>
      <c r="E182" s="480">
        <f>+'[93]Sch C'!H188</f>
        <v>0</v>
      </c>
      <c r="F182" s="166">
        <f t="shared" si="58"/>
        <v>680.45</v>
      </c>
      <c r="G182" s="626"/>
      <c r="H182" s="166"/>
      <c r="I182" s="166">
        <f t="shared" si="59"/>
        <v>680.45</v>
      </c>
      <c r="J182" s="167">
        <f t="shared" si="60"/>
        <v>1.2778387101970617E-4</v>
      </c>
      <c r="K182" s="458"/>
      <c r="L182" s="213"/>
      <c r="M182" s="208"/>
      <c r="N182" s="210"/>
      <c r="O182" s="329">
        <f t="shared" si="61"/>
        <v>3.7197288580331278E-2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'[93]Sch C'!D189</f>
        <v>203.07</v>
      </c>
      <c r="D183" s="480">
        <f>'[93]Sch C'!F189</f>
        <v>0</v>
      </c>
      <c r="E183" s="480">
        <f>+'[93]Sch C'!H189</f>
        <v>0</v>
      </c>
      <c r="F183" s="166">
        <f t="shared" si="58"/>
        <v>203.07</v>
      </c>
      <c r="G183" s="626"/>
      <c r="H183" s="166"/>
      <c r="I183" s="166">
        <f t="shared" si="59"/>
        <v>203.07</v>
      </c>
      <c r="J183" s="167">
        <f t="shared" si="60"/>
        <v>3.8135161566568785E-5</v>
      </c>
      <c r="K183" s="458"/>
      <c r="L183" s="213"/>
      <c r="M183" s="208"/>
      <c r="N183" s="210"/>
      <c r="O183" s="329">
        <f t="shared" si="61"/>
        <v>1.1100967583228557E-2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'[93]Sch C'!D190</f>
        <v>0</v>
      </c>
      <c r="D184" s="480">
        <f>'[93]Sch C'!F190</f>
        <v>0</v>
      </c>
      <c r="E184" s="480">
        <f>+'[93]Sch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'[93]Sch C'!D191</f>
        <v>0</v>
      </c>
      <c r="D185" s="480">
        <f>'[93]Sch C'!F191</f>
        <v>0</v>
      </c>
      <c r="E185" s="480">
        <f>+'[93]Sch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'[93]Sch C'!D192</f>
        <v>0</v>
      </c>
      <c r="D186" s="480">
        <f>'[93]Sch C'!F192</f>
        <v>0</v>
      </c>
      <c r="E186" s="480">
        <f>+'[93]Sch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'[93]Sch C'!D193</f>
        <v>0</v>
      </c>
      <c r="D187" s="480">
        <f>'[93]Sch C'!F193</f>
        <v>0</v>
      </c>
      <c r="E187" s="480">
        <f>+'[93]Sch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'[93]Sch C'!D194</f>
        <v>256203.96</v>
      </c>
      <c r="D188" s="480">
        <f>'[93]Sch C'!F194</f>
        <v>0</v>
      </c>
      <c r="E188" s="480">
        <f>+'[93]Sch C'!H194</f>
        <v>-5353.12</v>
      </c>
      <c r="F188" s="166">
        <f t="shared" si="58"/>
        <v>250850.84</v>
      </c>
      <c r="G188" s="626"/>
      <c r="H188" s="166"/>
      <c r="I188" s="166">
        <f t="shared" si="59"/>
        <v>250850.84</v>
      </c>
      <c r="J188" s="167">
        <f t="shared" si="60"/>
        <v>4.7108077571820041E-2</v>
      </c>
      <c r="K188" s="458"/>
      <c r="L188" s="213"/>
      <c r="M188" s="208"/>
      <c r="O188" s="329">
        <f t="shared" si="61"/>
        <v>13.712941562346252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'[93]Sch C'!D195</f>
        <v>51423.65</v>
      </c>
      <c r="D189" s="480">
        <f>'[93]Sch C'!F195</f>
        <v>0</v>
      </c>
      <c r="E189" s="480">
        <f>+'[93]Sch C'!H195</f>
        <v>-1074.44</v>
      </c>
      <c r="F189" s="166">
        <f t="shared" si="58"/>
        <v>50349.21</v>
      </c>
      <c r="G189" s="626"/>
      <c r="H189" s="166"/>
      <c r="I189" s="166">
        <f t="shared" si="59"/>
        <v>50349.21</v>
      </c>
      <c r="J189" s="167">
        <f t="shared" si="60"/>
        <v>9.4552383813419055E-3</v>
      </c>
      <c r="K189" s="458"/>
      <c r="L189" s="213"/>
      <c r="M189" s="208"/>
      <c r="O189" s="329">
        <f t="shared" si="61"/>
        <v>2.7523757721532824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'[93]Sch C'!D196</f>
        <v>0</v>
      </c>
      <c r="D190" s="480">
        <f>'[93]Sch C'!F196</f>
        <v>0</v>
      </c>
      <c r="E190" s="480">
        <f>+'[93]Sch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'[93]Sch C'!D197</f>
        <v>97409.3</v>
      </c>
      <c r="D191" s="480">
        <f>'[93]Sch C'!F197</f>
        <v>0</v>
      </c>
      <c r="E191" s="480">
        <f>+'[93]Sch C'!H197</f>
        <v>-2035.27</v>
      </c>
      <c r="F191" s="166">
        <f t="shared" si="58"/>
        <v>95374.03</v>
      </c>
      <c r="G191" s="626"/>
      <c r="H191" s="166"/>
      <c r="I191" s="166">
        <f t="shared" si="59"/>
        <v>95374.03</v>
      </c>
      <c r="J191" s="167">
        <f t="shared" si="60"/>
        <v>1.7910592619809811E-2</v>
      </c>
      <c r="K191" s="458"/>
      <c r="L191" s="213"/>
      <c r="M191" s="208"/>
      <c r="O191" s="329">
        <f t="shared" si="61"/>
        <v>5.2136899360411082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'[93]Sch C'!D198</f>
        <v>15188.27</v>
      </c>
      <c r="D192" s="480">
        <f>'[93]Sch C'!F198</f>
        <v>0</v>
      </c>
      <c r="E192" s="480">
        <f>+'[93]Sch C'!H198</f>
        <v>0</v>
      </c>
      <c r="F192" s="166">
        <f t="shared" si="58"/>
        <v>15188.27</v>
      </c>
      <c r="G192" s="626"/>
      <c r="H192" s="166"/>
      <c r="I192" s="166">
        <f t="shared" si="59"/>
        <v>15188.27</v>
      </c>
      <c r="J192" s="167">
        <f t="shared" si="60"/>
        <v>2.8522535596920751E-3</v>
      </c>
      <c r="K192" s="458"/>
      <c r="L192" s="213"/>
      <c r="M192" s="208"/>
      <c r="O192" s="329">
        <f t="shared" si="61"/>
        <v>0.83027770185316785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'[93]Sch C'!D199</f>
        <v>3101.11</v>
      </c>
      <c r="D193" s="480">
        <f>'[93]Sch C'!F199</f>
        <v>0</v>
      </c>
      <c r="E193" s="480">
        <f>+'[93]Sch C'!H199</f>
        <v>0</v>
      </c>
      <c r="F193" s="166">
        <f t="shared" si="58"/>
        <v>3101.11</v>
      </c>
      <c r="G193" s="626"/>
      <c r="H193" s="166"/>
      <c r="I193" s="166">
        <f t="shared" si="59"/>
        <v>3101.11</v>
      </c>
      <c r="J193" s="167">
        <f t="shared" si="60"/>
        <v>5.8236731612597693E-4</v>
      </c>
      <c r="K193" s="458"/>
      <c r="L193" s="213"/>
      <c r="M193" s="208"/>
      <c r="O193" s="329">
        <f t="shared" si="61"/>
        <v>0.16952440824359044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'[93]Sch C'!D200</f>
        <v>0</v>
      </c>
      <c r="D194" s="480">
        <f>'[93]Sch C'!F200</f>
        <v>0</v>
      </c>
      <c r="E194" s="480">
        <f>+'[93]Sch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'[93]Sch C'!D201</f>
        <v>0</v>
      </c>
      <c r="D195" s="480">
        <f>'[93]Sch C'!F201</f>
        <v>0</v>
      </c>
      <c r="E195" s="480">
        <f>+'[93]Sch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'[93]Sch C'!D202</f>
        <v>0</v>
      </c>
      <c r="D196" s="480">
        <f>'[93]Sch C'!F202</f>
        <v>0</v>
      </c>
      <c r="E196" s="480">
        <f>+'[93]Sch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'[93]Sch C'!D203</f>
        <v>2662.19</v>
      </c>
      <c r="D197" s="480">
        <f>'[93]Sch C'!F203</f>
        <v>0</v>
      </c>
      <c r="E197" s="480">
        <f>+'[93]Sch C'!H203</f>
        <v>0</v>
      </c>
      <c r="F197" s="166">
        <f t="shared" si="58"/>
        <v>2662.19</v>
      </c>
      <c r="G197" s="626"/>
      <c r="H197" s="166"/>
      <c r="I197" s="166">
        <f t="shared" si="59"/>
        <v>2662.19</v>
      </c>
      <c r="J197" s="167">
        <f t="shared" si="60"/>
        <v>4.9994113247108754E-4</v>
      </c>
      <c r="K197" s="458"/>
      <c r="L197" s="213"/>
      <c r="M197" s="208"/>
      <c r="O197" s="329">
        <f t="shared" si="61"/>
        <v>0.14553053080413272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'[93]Sch C'!D204</f>
        <v>0</v>
      </c>
      <c r="D198" s="480">
        <f>'[93]Sch C'!F204</f>
        <v>0</v>
      </c>
      <c r="E198" s="480">
        <f>+'[93]Sch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'[93]Sch C'!D205</f>
        <v>89395.28</v>
      </c>
      <c r="D199" s="480">
        <f>'[93]Sch C'!F205</f>
        <v>0</v>
      </c>
      <c r="E199" s="480">
        <f>+'[93]Sch C'!H205</f>
        <v>0</v>
      </c>
      <c r="F199" s="166">
        <f t="shared" si="58"/>
        <v>89395.28</v>
      </c>
      <c r="G199" s="626"/>
      <c r="H199" s="166"/>
      <c r="I199" s="166">
        <f t="shared" si="59"/>
        <v>89395.28</v>
      </c>
      <c r="J199" s="167">
        <f t="shared" si="60"/>
        <v>1.6787824130047053E-2</v>
      </c>
      <c r="K199" s="458"/>
      <c r="L199" s="213"/>
      <c r="M199" s="208"/>
      <c r="O199" s="329">
        <f t="shared" si="61"/>
        <v>4.8868572678073576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'[93]Sch C'!D206</f>
        <v>4586.24</v>
      </c>
      <c r="D200" s="480">
        <f>'[93]Sch C'!F206</f>
        <v>0</v>
      </c>
      <c r="E200" s="480">
        <f>+'[93]Sch C'!H206</f>
        <v>0</v>
      </c>
      <c r="F200" s="166">
        <f t="shared" si="58"/>
        <v>4586.24</v>
      </c>
      <c r="G200" s="626"/>
      <c r="H200" s="166"/>
      <c r="I200" s="166">
        <f t="shared" si="59"/>
        <v>4586.24</v>
      </c>
      <c r="J200" s="167">
        <f t="shared" si="60"/>
        <v>8.6126460522509686E-4</v>
      </c>
      <c r="K200" s="458"/>
      <c r="L200" s="213"/>
      <c r="M200" s="208"/>
      <c r="O200" s="329">
        <f t="shared" si="61"/>
        <v>0.25071010769146668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'[93]Sch C'!D207</f>
        <v>8186.5</v>
      </c>
      <c r="D201" s="480">
        <f>'[93]Sch C'!F207</f>
        <v>0</v>
      </c>
      <c r="E201" s="480">
        <f>+'[93]Sch C'!H207</f>
        <v>0</v>
      </c>
      <c r="F201" s="166">
        <f t="shared" si="58"/>
        <v>8186.5</v>
      </c>
      <c r="G201" s="626"/>
      <c r="H201" s="166"/>
      <c r="I201" s="166">
        <f t="shared" si="59"/>
        <v>8186.5</v>
      </c>
      <c r="J201" s="167">
        <f t="shared" si="60"/>
        <v>1.5373688883868388E-3</v>
      </c>
      <c r="K201" s="457"/>
      <c r="L201" s="213"/>
      <c r="M201" s="208"/>
      <c r="O201" s="329">
        <f t="shared" si="61"/>
        <v>0.4475209096375663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529040.02</v>
      </c>
      <c r="D202" s="480">
        <f t="shared" si="62"/>
        <v>0</v>
      </c>
      <c r="E202" s="480">
        <f t="shared" si="62"/>
        <v>-8462.83</v>
      </c>
      <c r="F202" s="166">
        <f t="shared" ref="F202:I202" si="63">SUM(F169:F201)</f>
        <v>520577.18999999994</v>
      </c>
      <c r="G202" s="166">
        <f t="shared" si="63"/>
        <v>0</v>
      </c>
      <c r="H202" s="166">
        <f t="shared" si="63"/>
        <v>0</v>
      </c>
      <c r="I202" s="166">
        <f t="shared" si="63"/>
        <v>520577.18999999994</v>
      </c>
      <c r="J202" s="167">
        <f>IF($I$213=0,0,I202/$I$213)</f>
        <v>9.7760847237506152E-2</v>
      </c>
      <c r="K202" s="458"/>
      <c r="L202" s="163"/>
      <c r="M202" s="163"/>
      <c r="O202" s="329">
        <f>I202/I$233</f>
        <v>28.457726452741483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'[93]Sch C'!D211</f>
        <v>170146.74</v>
      </c>
      <c r="D205" s="480">
        <f>'[93]Sch C'!F211</f>
        <v>-39080.46</v>
      </c>
      <c r="E205" s="480">
        <f>+'[93]Sch C'!H211</f>
        <v>0</v>
      </c>
      <c r="F205" s="166">
        <f t="shared" ref="F205:F210" si="64">C205+D205+E205</f>
        <v>131066.28</v>
      </c>
      <c r="G205" s="626"/>
      <c r="H205" s="166"/>
      <c r="I205" s="166">
        <f t="shared" ref="I205:I210" si="65">F205+G205+H205</f>
        <v>131066.28</v>
      </c>
      <c r="J205" s="167">
        <f t="shared" ref="J205:J211" si="66">IF($I$213=0,0,I205/$I$213)</f>
        <v>2.4613353837244018E-2</v>
      </c>
      <c r="K205" s="458"/>
      <c r="L205" s="176">
        <v>0</v>
      </c>
      <c r="M205" s="176">
        <v>0</v>
      </c>
      <c r="O205" s="329">
        <f t="shared" ref="O205:O210" si="67">I205/I$233</f>
        <v>7.1648324495708744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'[93]Sch C'!D212</f>
        <v>31506.6</v>
      </c>
      <c r="D206" s="480">
        <f>'[93]Sch C'!F212</f>
        <v>0</v>
      </c>
      <c r="E206" s="480">
        <f>+'[93]Sch C'!H212</f>
        <v>0</v>
      </c>
      <c r="F206" s="166">
        <f t="shared" si="64"/>
        <v>31506.6</v>
      </c>
      <c r="G206" s="626"/>
      <c r="H206" s="166"/>
      <c r="I206" s="166">
        <f t="shared" si="65"/>
        <v>31506.6</v>
      </c>
      <c r="J206" s="167">
        <f t="shared" si="66"/>
        <v>5.9167246831794756E-3</v>
      </c>
      <c r="K206" s="458"/>
      <c r="L206" s="163"/>
      <c r="M206" s="163"/>
      <c r="O206" s="329">
        <f t="shared" si="67"/>
        <v>1.7223309462635981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'[93]Sch C'!D213</f>
        <v>26732.46</v>
      </c>
      <c r="D207" s="480">
        <f>'[93]Sch C'!F213</f>
        <v>0</v>
      </c>
      <c r="E207" s="480">
        <f>+'[93]Sch C'!H213</f>
        <v>0</v>
      </c>
      <c r="F207" s="166">
        <f t="shared" si="64"/>
        <v>26732.46</v>
      </c>
      <c r="G207" s="626"/>
      <c r="H207" s="166"/>
      <c r="I207" s="166">
        <f t="shared" si="65"/>
        <v>26732.46</v>
      </c>
      <c r="J207" s="167">
        <f t="shared" si="66"/>
        <v>5.0201737389660578E-3</v>
      </c>
      <c r="K207" s="458"/>
      <c r="L207" s="163"/>
      <c r="M207" s="163"/>
      <c r="O207" s="329">
        <f t="shared" si="67"/>
        <v>1.4613491499480675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'[93]Sch C'!D214</f>
        <v>0</v>
      </c>
      <c r="D208" s="480">
        <f>'[93]Sch C'!F214</f>
        <v>0</v>
      </c>
      <c r="E208" s="480">
        <f>+'[93]Sch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'[93]Sch C'!D215</f>
        <v>0</v>
      </c>
      <c r="D209" s="480">
        <f>'[93]Sch C'!F215</f>
        <v>0</v>
      </c>
      <c r="E209" s="480">
        <f>+'[93]Sch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'[93]Sch C'!D216</f>
        <v>6991.46</v>
      </c>
      <c r="D210" s="480">
        <f>'[93]Sch C'!F216</f>
        <v>-1417.1</v>
      </c>
      <c r="E210" s="480">
        <f>+'[93]Sch C'!H216</f>
        <v>0</v>
      </c>
      <c r="F210" s="166">
        <f t="shared" si="64"/>
        <v>5574.3600000000006</v>
      </c>
      <c r="G210" s="626"/>
      <c r="H210" s="166"/>
      <c r="I210" s="166">
        <f t="shared" si="65"/>
        <v>5574.3600000000006</v>
      </c>
      <c r="J210" s="167">
        <f t="shared" si="66"/>
        <v>1.0468268046989629E-3</v>
      </c>
      <c r="K210" s="457"/>
      <c r="L210" s="163"/>
      <c r="M210" s="163"/>
      <c r="O210" s="329">
        <f t="shared" si="67"/>
        <v>0.30472639807576674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235377.25999999998</v>
      </c>
      <c r="D211" s="480">
        <f t="shared" si="68"/>
        <v>-40497.56</v>
      </c>
      <c r="E211" s="480">
        <f t="shared" si="68"/>
        <v>0</v>
      </c>
      <c r="F211" s="166">
        <f t="shared" ref="F211:I211" si="69">SUM(F205:F210)</f>
        <v>194879.7</v>
      </c>
      <c r="G211" s="166">
        <f t="shared" si="69"/>
        <v>0</v>
      </c>
      <c r="H211" s="166">
        <f t="shared" si="69"/>
        <v>0</v>
      </c>
      <c r="I211" s="166">
        <f t="shared" si="69"/>
        <v>194879.7</v>
      </c>
      <c r="J211" s="167">
        <f t="shared" si="66"/>
        <v>3.6597079064088517E-2</v>
      </c>
      <c r="K211" s="458"/>
      <c r="L211" s="163"/>
      <c r="M211" s="163"/>
      <c r="O211" s="329">
        <f>I211/I$233</f>
        <v>10.653238943858307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5334744.3900000015</v>
      </c>
      <c r="D213" s="480">
        <f t="shared" si="70"/>
        <v>1501.9100000000035</v>
      </c>
      <c r="E213" s="480">
        <f t="shared" si="70"/>
        <v>-11239.36</v>
      </c>
      <c r="F213" s="166">
        <f t="shared" ref="F213:I213" si="71">SUM(F30:F211)/2</f>
        <v>5325006.9399999985</v>
      </c>
      <c r="G213" s="166">
        <f t="shared" si="71"/>
        <v>0</v>
      </c>
      <c r="H213" s="166">
        <f t="shared" si="71"/>
        <v>0</v>
      </c>
      <c r="I213" s="166">
        <f t="shared" si="71"/>
        <v>5325006.9399999985</v>
      </c>
      <c r="J213" s="167">
        <f>IF($I$213=0,0,I213/$I$213)</f>
        <v>1</v>
      </c>
      <c r="K213" s="458"/>
      <c r="L213" s="176">
        <f>SUM(L30:L205)</f>
        <v>76441.399999999994</v>
      </c>
      <c r="M213" s="176">
        <f>SUM(M30:M205)</f>
        <v>84936.35</v>
      </c>
      <c r="O213" s="329">
        <f>I213/I$233</f>
        <v>291.09533373421522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'[93]Sch C'!D221</f>
        <v>5334744.43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-3.9999998174607754E-2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-1133996.5700000012</v>
      </c>
      <c r="D220" s="480">
        <f t="shared" si="72"/>
        <v>-2122.8899999999994</v>
      </c>
      <c r="E220" s="480">
        <f t="shared" si="72"/>
        <v>11239.36</v>
      </c>
      <c r="F220" s="166">
        <f t="shared" ref="F220:I220" si="73">F26-F213</f>
        <v>-1124880.0999999987</v>
      </c>
      <c r="G220" s="166">
        <f t="shared" si="73"/>
        <v>0</v>
      </c>
      <c r="H220" s="166">
        <f t="shared" si="73"/>
        <v>0</v>
      </c>
      <c r="I220" s="166">
        <f t="shared" si="73"/>
        <v>-1124880.0999999987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'[93]Sch D'!C9</f>
        <v>15595</v>
      </c>
      <c r="D224" s="480"/>
      <c r="E224" s="480"/>
      <c r="F224" s="224">
        <f>C224+D224+E224</f>
        <v>15595</v>
      </c>
      <c r="G224" s="627"/>
      <c r="H224" s="223"/>
      <c r="I224" s="224">
        <f>F224+G224+H224</f>
        <v>15595</v>
      </c>
      <c r="J224" s="167">
        <f t="shared" ref="J224:J233" si="74">IF($I$233=0,0,I224/$I$233)</f>
        <v>0.85251188979391024</v>
      </c>
      <c r="K224" s="458"/>
      <c r="L224" s="163"/>
      <c r="M224" s="163"/>
    </row>
    <row r="225" spans="1:13">
      <c r="A225" s="158"/>
      <c r="B225" s="165" t="s">
        <v>201</v>
      </c>
      <c r="C225" s="504">
        <f>'[93]Sch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'[93]Sch D'!E9</f>
        <v>1593</v>
      </c>
      <c r="D226" s="480"/>
      <c r="E226" s="480"/>
      <c r="F226" s="224">
        <f t="shared" si="75"/>
        <v>1593</v>
      </c>
      <c r="G226" s="627"/>
      <c r="H226" s="223"/>
      <c r="I226" s="224">
        <f t="shared" si="76"/>
        <v>1593</v>
      </c>
      <c r="J226" s="167">
        <f t="shared" si="74"/>
        <v>8.7082490570163457E-2</v>
      </c>
      <c r="K226" s="458"/>
      <c r="L226" s="163"/>
      <c r="M226" s="163"/>
    </row>
    <row r="227" spans="1:13">
      <c r="A227" s="158"/>
      <c r="B227" s="194" t="s">
        <v>315</v>
      </c>
      <c r="C227" s="504">
        <f>'[93]Sch D'!F9</f>
        <v>140</v>
      </c>
      <c r="D227" s="480"/>
      <c r="E227" s="480"/>
      <c r="F227" s="224">
        <f t="shared" si="75"/>
        <v>140</v>
      </c>
      <c r="G227" s="627"/>
      <c r="H227" s="223"/>
      <c r="I227" s="224">
        <f t="shared" si="76"/>
        <v>140</v>
      </c>
      <c r="J227" s="167">
        <f t="shared" si="74"/>
        <v>7.6532006778549169E-3</v>
      </c>
      <c r="K227" s="458"/>
      <c r="L227" s="163"/>
      <c r="M227" s="163"/>
    </row>
    <row r="228" spans="1:13">
      <c r="A228" s="158"/>
      <c r="B228" s="165" t="s">
        <v>65</v>
      </c>
      <c r="C228" s="504">
        <f>'[93]Sch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'[93]Sch D'!H9</f>
        <v>140</v>
      </c>
      <c r="D229" s="480"/>
      <c r="E229" s="480"/>
      <c r="F229" s="224">
        <f t="shared" si="75"/>
        <v>140</v>
      </c>
      <c r="G229" s="627"/>
      <c r="H229" s="223"/>
      <c r="I229" s="224">
        <f t="shared" si="76"/>
        <v>140</v>
      </c>
      <c r="J229" s="167">
        <f t="shared" si="74"/>
        <v>7.6532006778549169E-3</v>
      </c>
      <c r="K229" s="458"/>
      <c r="L229" s="163"/>
      <c r="M229" s="163"/>
    </row>
    <row r="230" spans="1:13">
      <c r="A230" s="158"/>
      <c r="B230" s="165" t="s">
        <v>219</v>
      </c>
      <c r="C230" s="504">
        <f>'[93]Sch D'!I9</f>
        <v>688</v>
      </c>
      <c r="D230" s="480"/>
      <c r="E230" s="480"/>
      <c r="F230" s="224">
        <f t="shared" si="75"/>
        <v>688</v>
      </c>
      <c r="G230" s="627"/>
      <c r="H230" s="223"/>
      <c r="I230" s="224">
        <f t="shared" si="76"/>
        <v>688</v>
      </c>
      <c r="J230" s="167">
        <f t="shared" si="74"/>
        <v>3.7610014759744168E-2</v>
      </c>
      <c r="K230" s="458"/>
      <c r="L230" s="163"/>
      <c r="M230" s="163"/>
    </row>
    <row r="231" spans="1:13">
      <c r="A231" s="158"/>
      <c r="B231" s="165" t="s">
        <v>218</v>
      </c>
      <c r="C231" s="504">
        <f>'[93]Sch D'!J9</f>
        <v>95</v>
      </c>
      <c r="D231" s="480"/>
      <c r="E231" s="480"/>
      <c r="F231" s="224">
        <f t="shared" si="75"/>
        <v>95</v>
      </c>
      <c r="G231" s="627"/>
      <c r="H231" s="223"/>
      <c r="I231" s="224">
        <f t="shared" si="76"/>
        <v>95</v>
      </c>
      <c r="J231" s="167">
        <f>IF($I$233=0,0,I231/$I$233)</f>
        <v>5.1932433171158364E-3</v>
      </c>
      <c r="K231" s="458"/>
      <c r="L231" s="163"/>
      <c r="M231" s="163"/>
    </row>
    <row r="232" spans="1:13">
      <c r="A232" s="158"/>
      <c r="B232" s="165" t="s">
        <v>170</v>
      </c>
      <c r="C232" s="504">
        <f>'[93]Sch D'!K9</f>
        <v>42</v>
      </c>
      <c r="D232" s="480"/>
      <c r="E232" s="480"/>
      <c r="F232" s="224">
        <f t="shared" si="75"/>
        <v>42</v>
      </c>
      <c r="G232" s="627"/>
      <c r="H232" s="223"/>
      <c r="I232" s="224">
        <f t="shared" si="76"/>
        <v>42</v>
      </c>
      <c r="J232" s="167">
        <f t="shared" si="74"/>
        <v>2.295960203356475E-3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18293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18293</v>
      </c>
      <c r="G233" s="226">
        <f t="shared" si="78"/>
        <v>0</v>
      </c>
      <c r="H233" s="226">
        <f t="shared" si="78"/>
        <v>0</v>
      </c>
      <c r="I233" s="226">
        <f t="shared" si="78"/>
        <v>18293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'[93]Sch D'!N22</f>
        <v>120</v>
      </c>
      <c r="D236" s="480"/>
      <c r="E236" s="480"/>
      <c r="F236" s="224">
        <f>C236+E236</f>
        <v>120</v>
      </c>
      <c r="G236" s="627"/>
      <c r="H236" s="224"/>
      <c r="I236" s="224">
        <f>F236+G236+H236</f>
        <v>120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'[93]Sch D'!N24</f>
        <v>120</v>
      </c>
      <c r="D237" s="480"/>
      <c r="E237" s="480"/>
      <c r="F237" s="224">
        <f>C237+E237</f>
        <v>120</v>
      </c>
      <c r="G237" s="627"/>
      <c r="H237" s="224"/>
      <c r="I237" s="224">
        <f>F237+G237+H237</f>
        <v>120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'[93]Sch D'!N28</f>
        <v>43800</v>
      </c>
      <c r="D240" s="427"/>
      <c r="E240" s="427"/>
      <c r="F240" s="223">
        <f>F236*F238</f>
        <v>43800</v>
      </c>
      <c r="G240"/>
      <c r="H240" s="228"/>
      <c r="I240" s="223">
        <f>I236*I238</f>
        <v>43800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'[93]Sch D'!N30</f>
        <v>0.41764840182648399</v>
      </c>
      <c r="D241" s="228"/>
      <c r="E241" s="228"/>
      <c r="F241" s="232">
        <f>F233/F240</f>
        <v>0.41764840182648399</v>
      </c>
      <c r="G241"/>
      <c r="H241" s="233"/>
      <c r="I241" s="232">
        <f>I233/I240</f>
        <v>0.41764840182648399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'[93]Sch D'!N32</f>
        <v>0.35605022831050226</v>
      </c>
      <c r="D242" s="228"/>
      <c r="E242" s="228"/>
      <c r="F242" s="232">
        <f>(F224+F225)/F240</f>
        <v>0.35605022831050226</v>
      </c>
      <c r="G242"/>
      <c r="H242" s="233"/>
      <c r="I242" s="232">
        <f>(I224+I225)/I240</f>
        <v>0.35605022831050226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'[93]Sch D'!N34</f>
        <v>0.85251188979391024</v>
      </c>
      <c r="D243" s="228"/>
      <c r="E243" s="228"/>
      <c r="F243" s="232">
        <f>(F242/F241)</f>
        <v>0.85251188979391024</v>
      </c>
      <c r="G243"/>
      <c r="H243" s="233"/>
      <c r="I243" s="232">
        <f>(I242/I241)</f>
        <v>0.85251188979391024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/>
      <c r="K246" s="460"/>
    </row>
    <row r="247" spans="1:13">
      <c r="H247" s="140" t="s">
        <v>322</v>
      </c>
      <c r="I247" s="480"/>
      <c r="K247" s="460"/>
    </row>
    <row r="248" spans="1:13">
      <c r="H248" s="140" t="s">
        <v>323</v>
      </c>
      <c r="I248" s="480"/>
      <c r="K248" s="460"/>
    </row>
    <row r="249" spans="1:13">
      <c r="H249" s="140" t="s">
        <v>324</v>
      </c>
      <c r="I249" s="480"/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2" sqref="F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28CAB"/>
  </sheetPr>
  <dimension ref="A1:Q277"/>
  <sheetViews>
    <sheetView showGridLines="0" topLeftCell="A9" zoomScaleNormal="100" workbookViewId="0">
      <pane xSplit="2" topLeftCell="D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5.832031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78"/>
      <c r="D1" s="478"/>
      <c r="E1" s="419"/>
      <c r="F1" s="419"/>
      <c r="G1" s="419"/>
      <c r="H1" s="419"/>
      <c r="I1" s="419"/>
      <c r="J1" s="419"/>
      <c r="K1" s="420"/>
      <c r="L1" s="493"/>
    </row>
    <row r="2" spans="1:16" ht="23">
      <c r="B2" s="141" t="s">
        <v>178</v>
      </c>
      <c r="C2" s="234" t="s">
        <v>344</v>
      </c>
      <c r="D2" s="234"/>
      <c r="E2" s="234"/>
      <c r="F2" s="493"/>
      <c r="G2" s="493"/>
    </row>
    <row r="3" spans="1:16">
      <c r="A3" s="143"/>
      <c r="B3" s="138" t="s">
        <v>71</v>
      </c>
      <c r="C3" s="557">
        <f>'[10]Sch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'[10]Sch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88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205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'[10]Sch B'!E10</f>
        <v>854243</v>
      </c>
      <c r="D12" s="480">
        <f>'[10]Sch B'!G10</f>
        <v>-3150</v>
      </c>
      <c r="E12" s="480"/>
      <c r="F12" s="166">
        <f>C12+D12+E12</f>
        <v>851093</v>
      </c>
      <c r="G12" s="626"/>
      <c r="H12" s="166"/>
      <c r="I12" s="166">
        <f>F12+G12+H12</f>
        <v>851093</v>
      </c>
      <c r="J12" s="167">
        <f>IF($I$26=0,0,I12/$I$26)</f>
        <v>0.31642532732128942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'[10]Sch B'!E12</f>
        <v>561213</v>
      </c>
      <c r="D13" s="480">
        <f>'[10]Sch B'!G12</f>
        <v>0</v>
      </c>
      <c r="E13" s="480"/>
      <c r="F13" s="166">
        <f t="shared" ref="F13:F25" si="0">C13+D13+E13</f>
        <v>561213</v>
      </c>
      <c r="G13" s="626">
        <v>24065</v>
      </c>
      <c r="H13" s="166"/>
      <c r="I13" s="166">
        <f t="shared" ref="I13:I25" si="1">F13+G13+H13</f>
        <v>585278</v>
      </c>
      <c r="J13" s="167">
        <f>IF($I$26=0,0,I13/$I$26)</f>
        <v>0.21759876150309029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'[10]Sch B'!E13</f>
        <v>0</v>
      </c>
      <c r="D14" s="480">
        <f>'[10]Sch B'!G13</f>
        <v>0</v>
      </c>
      <c r="E14" s="480"/>
      <c r="F14" s="166">
        <f t="shared" si="0"/>
        <v>0</v>
      </c>
      <c r="G14" s="626"/>
      <c r="H14" s="166"/>
      <c r="I14" s="166">
        <f t="shared" si="1"/>
        <v>0</v>
      </c>
      <c r="J14" s="167">
        <f>IF($I$26=0,0,I14/$I$26)</f>
        <v>0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'[10]Sch B'!E14</f>
        <v>0</v>
      </c>
      <c r="D15" s="480">
        <f>'[10]Sch B'!G14</f>
        <v>0</v>
      </c>
      <c r="E15" s="480"/>
      <c r="F15" s="166">
        <f t="shared" si="0"/>
        <v>0</v>
      </c>
      <c r="G15" s="626"/>
      <c r="H15" s="166"/>
      <c r="I15" s="166">
        <f t="shared" si="1"/>
        <v>0</v>
      </c>
      <c r="J15" s="167">
        <f>IF($I$26=0,0,I15/$I$26)</f>
        <v>0</v>
      </c>
      <c r="K15" s="463"/>
      <c r="L15" s="163"/>
      <c r="M15" s="163"/>
    </row>
    <row r="16" spans="1:16" s="162" customFormat="1">
      <c r="A16" s="164" t="s">
        <v>9</v>
      </c>
      <c r="B16" s="165" t="s">
        <v>382</v>
      </c>
      <c r="C16" s="480">
        <f>'[10]Sch B'!E15</f>
        <v>1415456</v>
      </c>
      <c r="D16" s="480">
        <f>'[10]Sch B'!G15</f>
        <v>-3150</v>
      </c>
      <c r="E16" s="480"/>
      <c r="F16" s="166">
        <f t="shared" si="0"/>
        <v>1412306</v>
      </c>
      <c r="G16" s="626"/>
      <c r="H16" s="166"/>
      <c r="I16" s="166">
        <f>SUM(I12:I15)</f>
        <v>1436371</v>
      </c>
      <c r="J16" s="167">
        <f t="shared" ref="J16:J26" si="2">IF($I$26=0,0,I16/$I$26)</f>
        <v>0.53402408882437968</v>
      </c>
      <c r="K16" s="602" t="s">
        <v>498</v>
      </c>
      <c r="L16" s="333" t="s">
        <v>325</v>
      </c>
      <c r="M16" s="334">
        <f>I26</f>
        <v>2689712</v>
      </c>
      <c r="O16" s="324">
        <f>IFERROR(I16/I224,0)</f>
        <v>254.17996814723057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'[10]Sch B'!E20</f>
        <v>0</v>
      </c>
      <c r="D17" s="480">
        <f>'[10]Sch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520"/>
      <c r="L17" s="335" t="s">
        <v>326</v>
      </c>
      <c r="M17" s="336">
        <f>I213</f>
        <v>3824332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'[10]Sch B'!E26</f>
        <v>0</v>
      </c>
      <c r="D18" s="480">
        <f>'[10]Sch B'!G26</f>
        <v>0</v>
      </c>
      <c r="E18" s="480"/>
      <c r="F18" s="166">
        <f t="shared" si="0"/>
        <v>0</v>
      </c>
      <c r="G18" s="626"/>
      <c r="H18" s="166"/>
      <c r="I18" s="166">
        <f t="shared" si="1"/>
        <v>0</v>
      </c>
      <c r="J18" s="167">
        <f t="shared" si="2"/>
        <v>0</v>
      </c>
      <c r="K18" s="520"/>
      <c r="L18" s="335" t="s">
        <v>327</v>
      </c>
      <c r="M18" s="336">
        <f>I233</f>
        <v>11253</v>
      </c>
      <c r="O18" s="324">
        <f t="shared" si="3"/>
        <v>0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'[10]Sch B'!E32</f>
        <v>0</v>
      </c>
      <c r="D19" s="480">
        <f>'[10]Sch B'!G32</f>
        <v>0</v>
      </c>
      <c r="E19" s="480"/>
      <c r="F19" s="166">
        <f t="shared" si="0"/>
        <v>0</v>
      </c>
      <c r="G19" s="626"/>
      <c r="H19" s="166"/>
      <c r="I19" s="166">
        <f t="shared" si="1"/>
        <v>0</v>
      </c>
      <c r="J19" s="170">
        <f t="shared" si="2"/>
        <v>0</v>
      </c>
      <c r="K19" s="520"/>
      <c r="L19" s="335" t="s">
        <v>328</v>
      </c>
      <c r="M19" s="336">
        <f>I236</f>
        <v>36</v>
      </c>
      <c r="O19" s="324">
        <f t="shared" si="3"/>
        <v>0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'[10]Sch B'!E37</f>
        <v>1737</v>
      </c>
      <c r="D20" s="480">
        <f>'[10]Sch B'!G37</f>
        <v>0</v>
      </c>
      <c r="E20" s="480"/>
      <c r="F20" s="166">
        <f t="shared" si="0"/>
        <v>1737</v>
      </c>
      <c r="G20" s="626"/>
      <c r="H20" s="166"/>
      <c r="I20" s="166">
        <f t="shared" si="1"/>
        <v>1737</v>
      </c>
      <c r="J20" s="167">
        <f t="shared" si="2"/>
        <v>6.4579404783857901E-4</v>
      </c>
      <c r="K20" s="520"/>
      <c r="L20" s="335" t="s">
        <v>329</v>
      </c>
      <c r="M20" s="336">
        <f>I240</f>
        <v>13140</v>
      </c>
      <c r="O20" s="324">
        <f t="shared" si="3"/>
        <v>193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'[10]Sch B'!E42</f>
        <v>1191612</v>
      </c>
      <c r="D21" s="480">
        <f>'[10]Sch B'!G42</f>
        <v>0</v>
      </c>
      <c r="E21" s="480"/>
      <c r="F21" s="166">
        <f t="shared" si="0"/>
        <v>1191612</v>
      </c>
      <c r="G21" s="626"/>
      <c r="H21" s="166"/>
      <c r="I21" s="166">
        <f t="shared" si="1"/>
        <v>1191612</v>
      </c>
      <c r="J21" s="167">
        <f t="shared" si="2"/>
        <v>0.44302587042776326</v>
      </c>
      <c r="K21" s="520"/>
      <c r="L21" s="337"/>
      <c r="M21" s="336"/>
      <c r="O21" s="324">
        <f t="shared" si="3"/>
        <v>227.36348025186032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381</v>
      </c>
      <c r="C22" s="480">
        <f>'[10]Sch B'!E47</f>
        <v>55986</v>
      </c>
      <c r="D22" s="480">
        <f>'[10]Sch B'!G47</f>
        <v>0</v>
      </c>
      <c r="E22" s="480"/>
      <c r="F22" s="166">
        <f t="shared" si="0"/>
        <v>55986</v>
      </c>
      <c r="G22" s="626"/>
      <c r="H22" s="166"/>
      <c r="I22" s="166">
        <f t="shared" si="1"/>
        <v>55986</v>
      </c>
      <c r="J22" s="167">
        <f t="shared" si="2"/>
        <v>2.0814867911508741E-2</v>
      </c>
      <c r="K22" s="594"/>
      <c r="L22" s="335" t="s">
        <v>148</v>
      </c>
      <c r="M22" s="336">
        <f>L213</f>
        <v>77926</v>
      </c>
      <c r="O22" s="324">
        <f t="shared" si="3"/>
        <v>159.05113636363637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380</v>
      </c>
      <c r="C23" s="480">
        <f>'[10]Sch B'!E52</f>
        <v>0</v>
      </c>
      <c r="D23" s="480">
        <f>'[10]Sch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594"/>
      <c r="L23" s="338" t="s">
        <v>233</v>
      </c>
      <c r="M23" s="339">
        <f>M213</f>
        <v>88666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'[10]Sch B'!E57</f>
        <v>0</v>
      </c>
      <c r="D24" s="480">
        <f>'[10]Sch B'!G57</f>
        <v>0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'[10]Sch B'!E72</f>
        <v>4006</v>
      </c>
      <c r="D25" s="480">
        <f>'[10]Sch B'!G72</f>
        <v>0</v>
      </c>
      <c r="E25" s="480"/>
      <c r="F25" s="166">
        <f t="shared" si="0"/>
        <v>4006</v>
      </c>
      <c r="G25" s="626"/>
      <c r="H25" s="166"/>
      <c r="I25" s="166">
        <f t="shared" si="1"/>
        <v>4006</v>
      </c>
      <c r="J25" s="167">
        <f t="shared" si="2"/>
        <v>1.4893787885096991E-3</v>
      </c>
      <c r="K25" s="458"/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2668797</v>
      </c>
      <c r="D26" s="480">
        <f t="shared" ref="D26:F26" si="4">SUM(D16:D25)</f>
        <v>-3150</v>
      </c>
      <c r="E26" s="480">
        <f t="shared" si="4"/>
        <v>0</v>
      </c>
      <c r="F26" s="166">
        <f t="shared" si="4"/>
        <v>2665647</v>
      </c>
      <c r="G26" s="166">
        <f>SUM(G12:G25)</f>
        <v>24065</v>
      </c>
      <c r="H26" s="166">
        <f>SUM(H12:H25)</f>
        <v>0</v>
      </c>
      <c r="I26" s="166">
        <f>SUM(I16:I25)</f>
        <v>2689712</v>
      </c>
      <c r="J26" s="167">
        <f t="shared" si="2"/>
        <v>1</v>
      </c>
      <c r="K26" s="458"/>
      <c r="L26" s="163"/>
      <c r="M26" s="163"/>
      <c r="O26" s="324">
        <f>IFERROR(I26/I233,0)</f>
        <v>239.02177197191861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'[10]Sch C'!D10</f>
        <v>121505</v>
      </c>
      <c r="D30" s="480">
        <f>'[10]Sch C'!F10</f>
        <v>0</v>
      </c>
      <c r="E30" s="480">
        <f>+'[10]Sch C'!H10</f>
        <v>0</v>
      </c>
      <c r="F30" s="166">
        <f t="shared" ref="F30:F65" si="5">C30+D30+E30</f>
        <v>121505</v>
      </c>
      <c r="G30" s="626"/>
      <c r="H30" s="166"/>
      <c r="I30" s="166">
        <f t="shared" ref="I30:I65" si="6">F30+G30+H30</f>
        <v>121505</v>
      </c>
      <c r="J30" s="167">
        <f>IF($I$213=0,0,I30/$I$213)</f>
        <v>3.1771561674038759E-2</v>
      </c>
      <c r="K30" s="458"/>
      <c r="L30" s="176">
        <v>2000</v>
      </c>
      <c r="M30" s="176">
        <v>2080</v>
      </c>
      <c r="O30" s="324">
        <f>I30/I$233</f>
        <v>10.797565093752777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'[10]Sch C'!D11</f>
        <v>0</v>
      </c>
      <c r="D31" s="480">
        <f>'[10]Sch C'!F11</f>
        <v>0</v>
      </c>
      <c r="E31" s="480">
        <f>+'[10]Sch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358</v>
      </c>
      <c r="C32" s="480">
        <f>'[10]Sch C'!D12</f>
        <v>160156</v>
      </c>
      <c r="D32" s="480">
        <f>'[10]Sch C'!F12</f>
        <v>0</v>
      </c>
      <c r="E32" s="480">
        <f>+'[10]Sch C'!H12</f>
        <v>0</v>
      </c>
      <c r="F32" s="166">
        <f t="shared" si="5"/>
        <v>160156</v>
      </c>
      <c r="G32" s="626"/>
      <c r="H32" s="166"/>
      <c r="I32" s="166">
        <f t="shared" si="6"/>
        <v>160156</v>
      </c>
      <c r="J32" s="167">
        <f t="shared" si="7"/>
        <v>4.1878163297537976E-2</v>
      </c>
      <c r="K32" s="458"/>
      <c r="L32" s="176">
        <v>4950</v>
      </c>
      <c r="M32" s="176">
        <v>6016</v>
      </c>
      <c r="O32" s="324">
        <f t="shared" si="8"/>
        <v>14.23229361059273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'[10]Sch C'!D13</f>
        <v>88619</v>
      </c>
      <c r="D33" s="480">
        <f>'[10]Sch C'!F13</f>
        <v>0</v>
      </c>
      <c r="E33" s="480">
        <f>+'[10]Sch C'!H13</f>
        <v>0</v>
      </c>
      <c r="F33" s="166">
        <f t="shared" si="5"/>
        <v>88619</v>
      </c>
      <c r="G33" s="626">
        <v>-6669</v>
      </c>
      <c r="H33" s="166"/>
      <c r="I33" s="166">
        <f t="shared" si="6"/>
        <v>81950</v>
      </c>
      <c r="J33" s="167">
        <f t="shared" si="7"/>
        <v>2.142857889953069E-2</v>
      </c>
      <c r="K33" s="458"/>
      <c r="L33" s="163"/>
      <c r="M33" s="163"/>
      <c r="O33" s="324">
        <f t="shared" si="8"/>
        <v>7.2825024437927661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'[10]Sch C'!D14</f>
        <v>0</v>
      </c>
      <c r="D34" s="480">
        <f>'[10]Sch C'!F14</f>
        <v>0</v>
      </c>
      <c r="E34" s="480">
        <f>+'[10]Sch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'[10]Sch C'!D15</f>
        <v>1912</v>
      </c>
      <c r="D35" s="480">
        <f>'[10]Sch C'!F15</f>
        <v>0</v>
      </c>
      <c r="E35" s="480">
        <f>+'[10]Sch C'!H15</f>
        <v>0</v>
      </c>
      <c r="F35" s="166">
        <f t="shared" si="5"/>
        <v>1912</v>
      </c>
      <c r="G35" s="626"/>
      <c r="H35" s="166"/>
      <c r="I35" s="166">
        <f t="shared" si="6"/>
        <v>1912</v>
      </c>
      <c r="J35" s="167">
        <f t="shared" si="7"/>
        <v>4.9995659372669527E-4</v>
      </c>
      <c r="K35" s="458"/>
      <c r="L35" s="163"/>
      <c r="M35" s="163"/>
      <c r="O35" s="324">
        <f t="shared" si="8"/>
        <v>0.16991024615658046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'[10]Sch C'!D16</f>
        <v>0</v>
      </c>
      <c r="D36" s="480">
        <f>'[10]Sch C'!F16</f>
        <v>0</v>
      </c>
      <c r="E36" s="480">
        <f>+'[10]Sch C'!H16</f>
        <v>0</v>
      </c>
      <c r="F36" s="166">
        <f t="shared" si="5"/>
        <v>0</v>
      </c>
      <c r="G36" s="626"/>
      <c r="H36" s="166"/>
      <c r="I36" s="166">
        <f t="shared" si="6"/>
        <v>0</v>
      </c>
      <c r="J36" s="167">
        <f t="shared" si="7"/>
        <v>0</v>
      </c>
      <c r="K36" s="458"/>
      <c r="L36" s="163"/>
      <c r="M36" s="163"/>
      <c r="O36" s="324">
        <f t="shared" si="8"/>
        <v>0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'[10]Sch C'!D17</f>
        <v>23732</v>
      </c>
      <c r="D37" s="480">
        <f>'[10]Sch C'!F17</f>
        <v>-8000</v>
      </c>
      <c r="E37" s="480">
        <f>+'[10]Sch C'!H17</f>
        <v>0</v>
      </c>
      <c r="F37" s="166">
        <f t="shared" si="5"/>
        <v>15732</v>
      </c>
      <c r="G37" s="626"/>
      <c r="H37" s="166"/>
      <c r="I37" s="166">
        <f t="shared" si="6"/>
        <v>15732</v>
      </c>
      <c r="J37" s="167">
        <f t="shared" si="7"/>
        <v>4.1136595881319923E-3</v>
      </c>
      <c r="K37" s="458"/>
      <c r="L37" s="163"/>
      <c r="M37" s="163"/>
      <c r="O37" s="324">
        <f t="shared" si="8"/>
        <v>1.3980271927486003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'[10]Sch C'!D18</f>
        <v>3921</v>
      </c>
      <c r="D38" s="480">
        <f>'[10]Sch C'!F18</f>
        <v>0</v>
      </c>
      <c r="E38" s="480">
        <f>+'[10]Sch C'!H18</f>
        <v>0</v>
      </c>
      <c r="F38" s="166">
        <f t="shared" si="5"/>
        <v>3921</v>
      </c>
      <c r="G38" s="626"/>
      <c r="H38" s="166"/>
      <c r="I38" s="166">
        <f t="shared" si="6"/>
        <v>3921</v>
      </c>
      <c r="J38" s="167">
        <f t="shared" si="7"/>
        <v>1.0252770941435001E-3</v>
      </c>
      <c r="K38" s="458"/>
      <c r="L38" s="163"/>
      <c r="M38" s="163"/>
      <c r="O38" s="324">
        <f t="shared" si="8"/>
        <v>0.34844041588909624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'[10]Sch C'!D19</f>
        <v>9491</v>
      </c>
      <c r="D39" s="480">
        <f>'[10]Sch C'!F19</f>
        <v>0</v>
      </c>
      <c r="E39" s="480">
        <f>+'[10]Sch C'!H19</f>
        <v>0</v>
      </c>
      <c r="F39" s="166">
        <f t="shared" si="5"/>
        <v>9491</v>
      </c>
      <c r="G39" s="626"/>
      <c r="H39" s="166"/>
      <c r="I39" s="166">
        <f t="shared" si="6"/>
        <v>9491</v>
      </c>
      <c r="J39" s="167">
        <f t="shared" si="7"/>
        <v>2.4817406020188624E-3</v>
      </c>
      <c r="K39" s="458"/>
      <c r="L39" s="163"/>
      <c r="M39" s="163"/>
      <c r="O39" s="324">
        <f t="shared" si="8"/>
        <v>0.84341953256909263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'[10]Sch C'!D20</f>
        <v>8357</v>
      </c>
      <c r="D40" s="480">
        <f>'[10]Sch C'!F20</f>
        <v>0</v>
      </c>
      <c r="E40" s="480">
        <f>+'[10]Sch C'!H20</f>
        <v>0</v>
      </c>
      <c r="F40" s="166">
        <f t="shared" si="5"/>
        <v>8357</v>
      </c>
      <c r="G40" s="626"/>
      <c r="H40" s="166"/>
      <c r="I40" s="166">
        <f t="shared" si="6"/>
        <v>8357</v>
      </c>
      <c r="J40" s="167">
        <f t="shared" si="7"/>
        <v>2.1852182289612931E-3</v>
      </c>
      <c r="K40" s="458"/>
      <c r="L40" s="163"/>
      <c r="M40" s="163"/>
      <c r="O40" s="324">
        <f t="shared" si="8"/>
        <v>0.74264640540300364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'[10]Sch C'!D21</f>
        <v>12734</v>
      </c>
      <c r="D41" s="480">
        <f>'[10]Sch C'!F21</f>
        <v>0</v>
      </c>
      <c r="E41" s="480">
        <f>+'[10]Sch C'!H21</f>
        <v>0</v>
      </c>
      <c r="F41" s="166">
        <f t="shared" si="5"/>
        <v>12734</v>
      </c>
      <c r="G41" s="626"/>
      <c r="H41" s="166"/>
      <c r="I41" s="166">
        <f t="shared" si="6"/>
        <v>12734</v>
      </c>
      <c r="J41" s="167">
        <f t="shared" si="7"/>
        <v>3.3297318329057204E-3</v>
      </c>
      <c r="K41" s="458"/>
      <c r="L41" s="163"/>
      <c r="M41" s="163"/>
      <c r="O41" s="324">
        <f t="shared" si="8"/>
        <v>1.1316093486181462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'[10]Sch C'!D22</f>
        <v>0</v>
      </c>
      <c r="D42" s="480">
        <f>'[10]Sch C'!F22</f>
        <v>0</v>
      </c>
      <c r="E42" s="480">
        <f>+'[10]Sch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'[10]Sch C'!D23</f>
        <v>7100</v>
      </c>
      <c r="D43" s="480">
        <f>'[10]Sch C'!F23</f>
        <v>0</v>
      </c>
      <c r="E43" s="480">
        <f>+'[10]Sch C'!H23</f>
        <v>0</v>
      </c>
      <c r="F43" s="166">
        <f t="shared" si="5"/>
        <v>7100</v>
      </c>
      <c r="G43" s="626"/>
      <c r="H43" s="166"/>
      <c r="I43" s="166">
        <f t="shared" si="6"/>
        <v>7100</v>
      </c>
      <c r="J43" s="167">
        <f t="shared" si="7"/>
        <v>1.8565333762863684E-3</v>
      </c>
      <c r="K43" s="458"/>
      <c r="L43" s="163"/>
      <c r="M43" s="163"/>
      <c r="O43" s="324">
        <f t="shared" si="8"/>
        <v>0.63094285968186259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'[10]Sch C'!D24</f>
        <v>4467</v>
      </c>
      <c r="D44" s="480">
        <f>'[10]Sch C'!F24</f>
        <v>0</v>
      </c>
      <c r="E44" s="480">
        <f>+'[10]Sch C'!H24</f>
        <v>0</v>
      </c>
      <c r="F44" s="166">
        <f t="shared" si="5"/>
        <v>4467</v>
      </c>
      <c r="G44" s="626"/>
      <c r="H44" s="166"/>
      <c r="I44" s="166">
        <f t="shared" si="6"/>
        <v>4467</v>
      </c>
      <c r="J44" s="167">
        <f t="shared" si="7"/>
        <v>1.168047125615663E-3</v>
      </c>
      <c r="K44" s="458"/>
      <c r="L44" s="163"/>
      <c r="M44" s="163"/>
      <c r="O44" s="324">
        <f t="shared" si="8"/>
        <v>0.39696081045054654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'[10]Sch C'!D25</f>
        <v>0</v>
      </c>
      <c r="D45" s="480">
        <f>'[10]Sch C'!F25</f>
        <v>0</v>
      </c>
      <c r="E45" s="480">
        <f>+'[10]Sch C'!H25</f>
        <v>0</v>
      </c>
      <c r="F45" s="166">
        <f t="shared" si="5"/>
        <v>0</v>
      </c>
      <c r="G45" s="626"/>
      <c r="H45" s="166"/>
      <c r="I45" s="166">
        <f t="shared" si="6"/>
        <v>0</v>
      </c>
      <c r="J45" s="167">
        <f t="shared" si="7"/>
        <v>0</v>
      </c>
      <c r="K45" s="458"/>
      <c r="L45" s="163"/>
      <c r="M45" s="163"/>
      <c r="O45" s="324">
        <f t="shared" si="8"/>
        <v>0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'[10]Sch C'!D26</f>
        <v>233613</v>
      </c>
      <c r="D46" s="480">
        <f>'[10]Sch C'!F26</f>
        <v>0</v>
      </c>
      <c r="E46" s="480">
        <f>+'[10]Sch C'!H26</f>
        <v>0</v>
      </c>
      <c r="F46" s="166">
        <f t="shared" si="5"/>
        <v>233613</v>
      </c>
      <c r="G46" s="626"/>
      <c r="H46" s="166"/>
      <c r="I46" s="166">
        <f t="shared" si="6"/>
        <v>233613</v>
      </c>
      <c r="J46" s="167">
        <f t="shared" si="7"/>
        <v>6.1085962202026396E-2</v>
      </c>
      <c r="K46" s="458"/>
      <c r="L46" s="163"/>
      <c r="M46" s="163"/>
      <c r="O46" s="324">
        <f t="shared" si="8"/>
        <v>20.760063982937883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'[10]Sch C'!D27</f>
        <v>0</v>
      </c>
      <c r="D47" s="480">
        <f>'[10]Sch C'!F27</f>
        <v>0</v>
      </c>
      <c r="E47" s="480">
        <f>+'[10]Sch C'!H27</f>
        <v>0</v>
      </c>
      <c r="F47" s="166">
        <f t="shared" si="5"/>
        <v>0</v>
      </c>
      <c r="G47" s="626"/>
      <c r="H47" s="166"/>
      <c r="I47" s="166">
        <f t="shared" si="6"/>
        <v>0</v>
      </c>
      <c r="J47" s="167">
        <f t="shared" si="7"/>
        <v>0</v>
      </c>
      <c r="K47" s="458"/>
      <c r="L47" s="163"/>
      <c r="M47" s="163"/>
      <c r="O47" s="324">
        <f t="shared" si="8"/>
        <v>0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'[10]Sch C'!D28</f>
        <v>0</v>
      </c>
      <c r="D48" s="480">
        <f>'[10]Sch C'!F28</f>
        <v>0</v>
      </c>
      <c r="E48" s="480">
        <f>+'[10]Sch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'[10]Sch C'!D29</f>
        <v>0</v>
      </c>
      <c r="D49" s="480">
        <f>'[10]Sch C'!F29</f>
        <v>0</v>
      </c>
      <c r="E49" s="480">
        <f>+'[10]Sch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'[10]Sch C'!D30</f>
        <v>0</v>
      </c>
      <c r="D50" s="480">
        <f>'[10]Sch C'!F30</f>
        <v>0</v>
      </c>
      <c r="E50" s="480">
        <f>+'[10]Sch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'[10]Sch C'!D31</f>
        <v>0</v>
      </c>
      <c r="D51" s="480">
        <f>'[10]Sch C'!F31</f>
        <v>0</v>
      </c>
      <c r="E51" s="480">
        <f>+'[10]Sch C'!H31</f>
        <v>0</v>
      </c>
      <c r="F51" s="166">
        <f t="shared" si="5"/>
        <v>0</v>
      </c>
      <c r="G51" s="626">
        <v>38440</v>
      </c>
      <c r="H51" s="166"/>
      <c r="I51" s="166">
        <f t="shared" si="6"/>
        <v>38440</v>
      </c>
      <c r="J51" s="167">
        <f t="shared" si="7"/>
        <v>1.0051428589358874E-2</v>
      </c>
      <c r="K51" s="458"/>
      <c r="L51" s="163"/>
      <c r="M51" s="163"/>
      <c r="O51" s="324">
        <f t="shared" si="8"/>
        <v>3.4159779614325068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'[10]Sch C'!D32</f>
        <v>16389</v>
      </c>
      <c r="D52" s="480">
        <f>'[10]Sch C'!F32</f>
        <v>0</v>
      </c>
      <c r="E52" s="480">
        <f>+'[10]Sch C'!H32</f>
        <v>0</v>
      </c>
      <c r="F52" s="166">
        <f t="shared" si="5"/>
        <v>16389</v>
      </c>
      <c r="G52" s="626"/>
      <c r="H52" s="166"/>
      <c r="I52" s="166">
        <f t="shared" si="6"/>
        <v>16389</v>
      </c>
      <c r="J52" s="167">
        <f t="shared" si="7"/>
        <v>4.2854542963320129E-3</v>
      </c>
      <c r="K52" s="458"/>
      <c r="L52" s="163"/>
      <c r="M52" s="163"/>
      <c r="O52" s="324">
        <f t="shared" si="8"/>
        <v>1.4564116235670488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'[10]Sch C'!D33</f>
        <v>0</v>
      </c>
      <c r="D53" s="480">
        <f>'[10]Sch C'!F33</f>
        <v>0</v>
      </c>
      <c r="E53" s="480">
        <f>+'[10]Sch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'[10]Sch C'!D34</f>
        <v>0</v>
      </c>
      <c r="D54" s="480">
        <f>'[10]Sch C'!F34</f>
        <v>0</v>
      </c>
      <c r="E54" s="480">
        <f>+'[10]Sch C'!H34</f>
        <v>0</v>
      </c>
      <c r="F54" s="166">
        <f t="shared" si="5"/>
        <v>0</v>
      </c>
      <c r="G54" s="626"/>
      <c r="H54" s="166"/>
      <c r="I54" s="166">
        <f t="shared" si="6"/>
        <v>0</v>
      </c>
      <c r="J54" s="167">
        <f t="shared" si="7"/>
        <v>0</v>
      </c>
      <c r="K54" s="458"/>
      <c r="L54" s="163"/>
      <c r="M54" s="163"/>
      <c r="O54" s="324">
        <f t="shared" si="8"/>
        <v>0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'[10]Sch C'!D35</f>
        <v>616</v>
      </c>
      <c r="D55" s="480">
        <f>'[10]Sch C'!F35</f>
        <v>-616</v>
      </c>
      <c r="E55" s="480">
        <f>+'[10]Sch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'[10]Sch C'!D36</f>
        <v>0</v>
      </c>
      <c r="D56" s="480">
        <f>'[10]Sch C'!F36</f>
        <v>0</v>
      </c>
      <c r="E56" s="480">
        <f>+'[10]Sch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'[10]Sch C'!D37</f>
        <v>0</v>
      </c>
      <c r="D57" s="480">
        <f>'[10]Sch C'!F37</f>
        <v>0</v>
      </c>
      <c r="E57" s="480">
        <f>+'[10]Sch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'[10]Sch C'!D38</f>
        <v>0</v>
      </c>
      <c r="D58" s="480">
        <f>'[10]Sch C'!F38</f>
        <v>0</v>
      </c>
      <c r="E58" s="480">
        <f>+'[10]Sch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'[10]Sch C'!D39</f>
        <v>-122</v>
      </c>
      <c r="D59" s="480">
        <f>'[10]Sch C'!F39</f>
        <v>0</v>
      </c>
      <c r="E59" s="480">
        <f>+'[10]Sch C'!H39</f>
        <v>0</v>
      </c>
      <c r="F59" s="166">
        <f t="shared" si="5"/>
        <v>-122</v>
      </c>
      <c r="G59" s="626"/>
      <c r="H59" s="166"/>
      <c r="I59" s="166">
        <f t="shared" si="6"/>
        <v>-122</v>
      </c>
      <c r="J59" s="167">
        <f t="shared" si="7"/>
        <v>-3.1900996043230557E-5</v>
      </c>
      <c r="K59" s="458"/>
      <c r="L59" s="163"/>
      <c r="M59" s="163"/>
      <c r="O59" s="324">
        <f t="shared" si="8"/>
        <v>-1.0841553363547498E-2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'[10]Sch C'!D40</f>
        <v>3071</v>
      </c>
      <c r="D60" s="480">
        <f>'[10]Sch C'!F40</f>
        <v>0</v>
      </c>
      <c r="E60" s="480">
        <f>+'[10]Sch C'!H40</f>
        <v>0</v>
      </c>
      <c r="F60" s="166">
        <f t="shared" si="5"/>
        <v>3071</v>
      </c>
      <c r="G60" s="626"/>
      <c r="H60" s="166"/>
      <c r="I60" s="166">
        <f t="shared" si="6"/>
        <v>3071</v>
      </c>
      <c r="J60" s="167">
        <f t="shared" si="7"/>
        <v>8.0301605613738558E-4</v>
      </c>
      <c r="K60" s="458"/>
      <c r="L60" s="163"/>
      <c r="M60" s="163"/>
      <c r="O60" s="324">
        <f t="shared" si="8"/>
        <v>0.27290500311028171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'[10]Sch C'!D41</f>
        <v>11527</v>
      </c>
      <c r="D61" s="480">
        <f>'[10]Sch C'!F41</f>
        <v>0</v>
      </c>
      <c r="E61" s="480">
        <f>+'[10]Sch C'!H41</f>
        <v>0</v>
      </c>
      <c r="F61" s="166">
        <f t="shared" si="5"/>
        <v>11527</v>
      </c>
      <c r="G61" s="626"/>
      <c r="H61" s="166"/>
      <c r="I61" s="166">
        <f t="shared" si="6"/>
        <v>11527</v>
      </c>
      <c r="J61" s="167">
        <f t="shared" si="7"/>
        <v>3.0141211589370378E-3</v>
      </c>
      <c r="K61" s="458"/>
      <c r="L61" s="163"/>
      <c r="M61" s="163"/>
      <c r="O61" s="324">
        <f t="shared" si="8"/>
        <v>1.0243490624722296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'[10]Sch C'!D42</f>
        <v>2473</v>
      </c>
      <c r="D62" s="480">
        <f>'[10]Sch C'!F42</f>
        <v>0</v>
      </c>
      <c r="E62" s="480">
        <f>+'[10]Sch C'!H42</f>
        <v>0</v>
      </c>
      <c r="F62" s="166">
        <f t="shared" si="5"/>
        <v>2473</v>
      </c>
      <c r="G62" s="626"/>
      <c r="H62" s="166"/>
      <c r="I62" s="166">
        <f t="shared" si="6"/>
        <v>2473</v>
      </c>
      <c r="J62" s="167">
        <f t="shared" si="7"/>
        <v>6.4664887881073089E-4</v>
      </c>
      <c r="K62" s="458"/>
      <c r="L62" s="163"/>
      <c r="M62" s="163"/>
      <c r="O62" s="324">
        <f t="shared" si="8"/>
        <v>0.21976361859059806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'[10]Sch C'!D43</f>
        <v>5507</v>
      </c>
      <c r="D63" s="480">
        <f>'[10]Sch C'!F43</f>
        <v>0</v>
      </c>
      <c r="E63" s="480">
        <f>+'[10]Sch C'!H43</f>
        <v>0</v>
      </c>
      <c r="F63" s="166">
        <f t="shared" si="5"/>
        <v>5507</v>
      </c>
      <c r="G63" s="626">
        <v>-5507</v>
      </c>
      <c r="H63" s="166"/>
      <c r="I63" s="166">
        <f t="shared" si="6"/>
        <v>0</v>
      </c>
      <c r="J63" s="167">
        <f t="shared" si="7"/>
        <v>0</v>
      </c>
      <c r="K63" s="458" t="s">
        <v>741</v>
      </c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'[10]Sch C'!D44</f>
        <v>0</v>
      </c>
      <c r="D64" s="480">
        <f>'[10]Sch C'!F44</f>
        <v>0</v>
      </c>
      <c r="E64" s="480">
        <f>+'[10]Sch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'[10]Sch C'!D45</f>
        <v>1746</v>
      </c>
      <c r="D65" s="480">
        <f>'[10]Sch C'!F45</f>
        <v>-1350</v>
      </c>
      <c r="E65" s="480">
        <f>+'[10]Sch C'!H45</f>
        <v>0</v>
      </c>
      <c r="F65" s="166">
        <f t="shared" si="5"/>
        <v>396</v>
      </c>
      <c r="G65" s="626"/>
      <c r="H65" s="166"/>
      <c r="I65" s="166">
        <f t="shared" si="6"/>
        <v>396</v>
      </c>
      <c r="J65" s="167">
        <f t="shared" si="7"/>
        <v>1.0354749535343689E-4</v>
      </c>
      <c r="K65" s="458"/>
      <c r="L65" s="163"/>
      <c r="M65" s="163"/>
      <c r="O65" s="324">
        <f t="shared" si="8"/>
        <v>3.519061583577713E-2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716814</v>
      </c>
      <c r="D66" s="480">
        <f t="shared" si="9"/>
        <v>-9966</v>
      </c>
      <c r="E66" s="480">
        <f t="shared" si="9"/>
        <v>0</v>
      </c>
      <c r="F66" s="166">
        <f t="shared" ref="F66:I66" si="10">SUM(F30:F65)</f>
        <v>706848</v>
      </c>
      <c r="G66" s="166">
        <f t="shared" si="10"/>
        <v>26264</v>
      </c>
      <c r="H66" s="166">
        <f t="shared" si="10"/>
        <v>0</v>
      </c>
      <c r="I66" s="166">
        <f t="shared" si="10"/>
        <v>733112</v>
      </c>
      <c r="J66" s="178">
        <f t="shared" si="7"/>
        <v>0.19169674599381015</v>
      </c>
      <c r="K66" s="465"/>
      <c r="L66" s="163"/>
      <c r="M66" s="163"/>
      <c r="O66" s="329">
        <f>I66/I$233</f>
        <v>65.148138274237979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'[10]Sch C'!D57</f>
        <v>0</v>
      </c>
      <c r="D69" s="480">
        <f>'[10]Sch C'!F57</f>
        <v>0</v>
      </c>
      <c r="E69" s="480">
        <f>+'[10]Sch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'[10]Sch C'!D58</f>
        <v>258786</v>
      </c>
      <c r="D70" s="480">
        <f>'[10]Sch C'!F58</f>
        <v>0</v>
      </c>
      <c r="E70" s="480">
        <f>+'[10]Sch C'!H58</f>
        <v>0</v>
      </c>
      <c r="F70" s="166">
        <f t="shared" ref="F70:F83" si="13">C70+D70+E70</f>
        <v>258786</v>
      </c>
      <c r="G70" s="626"/>
      <c r="H70" s="166"/>
      <c r="I70" s="166">
        <f t="shared" ref="I70:I83" si="14">F70+G70+H70</f>
        <v>258786</v>
      </c>
      <c r="J70" s="167">
        <f t="shared" si="11"/>
        <v>6.7668288213471012E-2</v>
      </c>
      <c r="K70" s="458" t="s">
        <v>494</v>
      </c>
      <c r="L70" s="182"/>
      <c r="M70" s="163"/>
      <c r="O70" s="324">
        <f t="shared" si="12"/>
        <v>22.997067448680351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'[10]Sch C'!D59</f>
        <v>82800</v>
      </c>
      <c r="D71" s="480">
        <f>'[10]Sch C'!F59</f>
        <v>0</v>
      </c>
      <c r="E71" s="480">
        <f>+'[10]Sch C'!H59</f>
        <v>0</v>
      </c>
      <c r="F71" s="166">
        <f t="shared" si="13"/>
        <v>82800</v>
      </c>
      <c r="G71" s="626"/>
      <c r="H71" s="166"/>
      <c r="I71" s="166">
        <f t="shared" si="14"/>
        <v>82800</v>
      </c>
      <c r="J71" s="167">
        <f t="shared" si="11"/>
        <v>2.1650839937536803E-2</v>
      </c>
      <c r="K71" s="458"/>
      <c r="L71" s="182"/>
      <c r="M71" s="163"/>
      <c r="O71" s="324">
        <f t="shared" si="12"/>
        <v>7.3580378565715812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'[10]Sch C'!D60</f>
        <v>0</v>
      </c>
      <c r="D72" s="480">
        <f>'[10]Sch C'!F60</f>
        <v>0</v>
      </c>
      <c r="E72" s="480">
        <f>+'[10]Sch C'!H60</f>
        <v>0</v>
      </c>
      <c r="F72" s="166">
        <f t="shared" si="13"/>
        <v>0</v>
      </c>
      <c r="G72" s="626"/>
      <c r="H72" s="166"/>
      <c r="I72" s="166">
        <f t="shared" si="14"/>
        <v>0</v>
      </c>
      <c r="J72" s="167">
        <f t="shared" si="11"/>
        <v>0</v>
      </c>
      <c r="K72" s="458"/>
      <c r="L72" s="185"/>
      <c r="M72" s="163"/>
      <c r="O72" s="324">
        <f t="shared" si="12"/>
        <v>0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'[10]Sch C'!D61</f>
        <v>6385</v>
      </c>
      <c r="D73" s="480">
        <f>'[10]Sch C'!F61</f>
        <v>0</v>
      </c>
      <c r="E73" s="480">
        <f>+'[10]Sch C'!H61</f>
        <v>0</v>
      </c>
      <c r="F73" s="166">
        <f t="shared" si="13"/>
        <v>6385</v>
      </c>
      <c r="G73" s="626"/>
      <c r="H73" s="166"/>
      <c r="I73" s="166">
        <f t="shared" si="14"/>
        <v>6385</v>
      </c>
      <c r="J73" s="167">
        <f t="shared" si="11"/>
        <v>1.6695726207871073E-3</v>
      </c>
      <c r="K73" s="458"/>
      <c r="L73" s="185"/>
      <c r="M73" s="163"/>
      <c r="O73" s="324">
        <f t="shared" si="12"/>
        <v>0.56740424775615395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'[10]Sch C'!D62</f>
        <v>0</v>
      </c>
      <c r="D74" s="480">
        <f>'[10]Sch C'!F62</f>
        <v>0</v>
      </c>
      <c r="E74" s="480">
        <f>+'[10]Sch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'[10]Sch C'!D63</f>
        <v>0</v>
      </c>
      <c r="D75" s="480">
        <f>'[10]Sch C'!F63</f>
        <v>0</v>
      </c>
      <c r="E75" s="480">
        <f>+'[10]Sch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'[10]Sch C'!D64</f>
        <v>0</v>
      </c>
      <c r="D76" s="480">
        <f>'[10]Sch C'!F64</f>
        <v>0</v>
      </c>
      <c r="E76" s="480">
        <f>+'[10]Sch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'[10]Sch C'!D65</f>
        <v>1652</v>
      </c>
      <c r="D77" s="480">
        <f>'[10]Sch C'!F65</f>
        <v>0</v>
      </c>
      <c r="E77" s="480">
        <f>+'[10]Sch C'!H65</f>
        <v>0</v>
      </c>
      <c r="F77" s="166">
        <f t="shared" si="13"/>
        <v>1652</v>
      </c>
      <c r="G77" s="626"/>
      <c r="H77" s="166"/>
      <c r="I77" s="166">
        <f t="shared" si="14"/>
        <v>1652</v>
      </c>
      <c r="J77" s="167">
        <f t="shared" si="11"/>
        <v>4.3197086445423671E-4</v>
      </c>
      <c r="K77" s="458"/>
      <c r="L77" s="187"/>
      <c r="M77" s="163"/>
      <c r="O77" s="324">
        <f t="shared" si="12"/>
        <v>0.14680529636541367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'[10]Sch C'!D66</f>
        <v>0</v>
      </c>
      <c r="D78" s="480">
        <f>'[10]Sch C'!F66</f>
        <v>0</v>
      </c>
      <c r="E78" s="480">
        <f>+'[10]Sch C'!H66</f>
        <v>0</v>
      </c>
      <c r="F78" s="166">
        <f t="shared" si="13"/>
        <v>0</v>
      </c>
      <c r="G78" s="626"/>
      <c r="H78" s="166"/>
      <c r="I78" s="166">
        <f t="shared" si="14"/>
        <v>0</v>
      </c>
      <c r="J78" s="167">
        <f t="shared" si="11"/>
        <v>0</v>
      </c>
      <c r="K78" s="458"/>
      <c r="L78" s="187"/>
      <c r="M78" s="163"/>
      <c r="O78" s="324">
        <f t="shared" si="12"/>
        <v>0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'[10]Sch C'!D67</f>
        <v>26317</v>
      </c>
      <c r="D79" s="480">
        <f>'[10]Sch C'!F67</f>
        <v>0</v>
      </c>
      <c r="E79" s="480">
        <f>+'[10]Sch C'!H67</f>
        <v>0</v>
      </c>
      <c r="F79" s="166">
        <f t="shared" si="13"/>
        <v>26317</v>
      </c>
      <c r="G79" s="626"/>
      <c r="H79" s="166"/>
      <c r="I79" s="166">
        <f t="shared" si="14"/>
        <v>26317</v>
      </c>
      <c r="J79" s="167">
        <f t="shared" si="11"/>
        <v>6.8814632202434311E-3</v>
      </c>
      <c r="K79" s="458"/>
      <c r="L79" s="187"/>
      <c r="M79" s="163"/>
      <c r="O79" s="324">
        <f t="shared" si="12"/>
        <v>2.3386652448236025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'[10]Sch C'!D68</f>
        <v>0</v>
      </c>
      <c r="D80" s="480">
        <f>'[10]Sch C'!F68</f>
        <v>0</v>
      </c>
      <c r="E80" s="480">
        <f>+'[10]Sch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'[10]Sch C'!D69</f>
        <v>0</v>
      </c>
      <c r="D81" s="480">
        <f>'[10]Sch C'!F69</f>
        <v>0</v>
      </c>
      <c r="E81" s="480">
        <f>+'[10]Sch C'!H69</f>
        <v>0</v>
      </c>
      <c r="F81" s="166">
        <f t="shared" si="13"/>
        <v>0</v>
      </c>
      <c r="G81" s="626"/>
      <c r="H81" s="166"/>
      <c r="I81" s="166">
        <f t="shared" si="14"/>
        <v>0</v>
      </c>
      <c r="J81" s="167">
        <f t="shared" si="11"/>
        <v>0</v>
      </c>
      <c r="K81" s="458"/>
      <c r="L81" s="187"/>
      <c r="M81" s="163"/>
      <c r="O81" s="324">
        <f t="shared" si="12"/>
        <v>0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'[10]Sch C'!D70</f>
        <v>0</v>
      </c>
      <c r="D82" s="480">
        <f>'[10]Sch C'!F70</f>
        <v>0</v>
      </c>
      <c r="E82" s="480">
        <f>+'[10]Sch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'[10]Sch C'!D71</f>
        <v>0</v>
      </c>
      <c r="D83" s="480">
        <f>'[10]Sch C'!F71</f>
        <v>0</v>
      </c>
      <c r="E83" s="480">
        <f>+'[10]Sch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375940</v>
      </c>
      <c r="D84" s="480">
        <f t="shared" si="15"/>
        <v>0</v>
      </c>
      <c r="E84" s="480">
        <f t="shared" si="15"/>
        <v>0</v>
      </c>
      <c r="F84" s="166">
        <f t="shared" ref="F84:I84" si="16">SUM(F69:F83)</f>
        <v>375940</v>
      </c>
      <c r="G84" s="166">
        <f t="shared" si="16"/>
        <v>0</v>
      </c>
      <c r="H84" s="166">
        <f t="shared" si="16"/>
        <v>0</v>
      </c>
      <c r="I84" s="166">
        <f t="shared" si="16"/>
        <v>375940</v>
      </c>
      <c r="J84" s="167">
        <f t="shared" si="11"/>
        <v>9.8302134856492585E-2</v>
      </c>
      <c r="K84" s="458"/>
      <c r="L84" s="187"/>
      <c r="M84" s="163"/>
      <c r="O84" s="324">
        <f t="shared" si="12"/>
        <v>33.4079800941971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'[10]Sch C'!D75</f>
        <v>0</v>
      </c>
      <c r="D87" s="480">
        <f>'[10]Sch C'!F75</f>
        <v>0</v>
      </c>
      <c r="E87" s="480">
        <f>+'[10]Sch C'!H75</f>
        <v>0</v>
      </c>
      <c r="F87" s="166">
        <f t="shared" ref="F87:F97" si="17">C87+D87+E87</f>
        <v>0</v>
      </c>
      <c r="G87" s="626"/>
      <c r="H87" s="166"/>
      <c r="I87" s="166">
        <f t="shared" ref="I87:I97" si="18">F87+G87+H87</f>
        <v>0</v>
      </c>
      <c r="J87" s="167">
        <f t="shared" ref="J87:J98" si="19">IF($I$213=0,0,I87/$I$213)</f>
        <v>0</v>
      </c>
      <c r="K87" s="458"/>
      <c r="L87" s="176">
        <v>0</v>
      </c>
      <c r="M87" s="176">
        <v>0</v>
      </c>
      <c r="O87" s="324">
        <f t="shared" ref="O87:O97" si="20">I87/I$233</f>
        <v>0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'[10]Sch C'!D76</f>
        <v>0</v>
      </c>
      <c r="D88" s="480">
        <f>'[10]Sch C'!F76</f>
        <v>0</v>
      </c>
      <c r="E88" s="480">
        <f>+'[10]Sch C'!H76</f>
        <v>0</v>
      </c>
      <c r="F88" s="166">
        <f t="shared" si="17"/>
        <v>0</v>
      </c>
      <c r="G88" s="626"/>
      <c r="H88" s="166"/>
      <c r="I88" s="166">
        <f t="shared" si="18"/>
        <v>0</v>
      </c>
      <c r="J88" s="167">
        <f t="shared" si="19"/>
        <v>0</v>
      </c>
      <c r="K88" s="458"/>
      <c r="L88" s="163"/>
      <c r="M88" s="163"/>
      <c r="O88" s="324">
        <f t="shared" si="20"/>
        <v>0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'[10]Sch C'!D77</f>
        <v>24266</v>
      </c>
      <c r="D89" s="480">
        <f>'[10]Sch C'!F77</f>
        <v>0</v>
      </c>
      <c r="E89" s="480">
        <f>+'[10]Sch C'!H77</f>
        <v>0</v>
      </c>
      <c r="F89" s="166">
        <f t="shared" si="17"/>
        <v>24266</v>
      </c>
      <c r="G89" s="626"/>
      <c r="H89" s="166"/>
      <c r="I89" s="166">
        <f t="shared" si="18"/>
        <v>24266</v>
      </c>
      <c r="J89" s="167">
        <f t="shared" si="19"/>
        <v>6.3451604097133829E-3</v>
      </c>
      <c r="K89" s="458" t="s">
        <v>496</v>
      </c>
      <c r="L89" s="163"/>
      <c r="M89" s="163"/>
      <c r="O89" s="324">
        <f t="shared" si="20"/>
        <v>2.1564027370478982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'[10]Sch C'!D78</f>
        <v>0</v>
      </c>
      <c r="D90" s="480">
        <f>'[10]Sch C'!F78</f>
        <v>0</v>
      </c>
      <c r="E90" s="480">
        <f>+'[10]Sch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'[10]Sch C'!D79</f>
        <v>4943</v>
      </c>
      <c r="D91" s="480">
        <f>'[10]Sch C'!F79</f>
        <v>0</v>
      </c>
      <c r="E91" s="480">
        <f>+'[10]Sch C'!H79</f>
        <v>0</v>
      </c>
      <c r="F91" s="166">
        <f t="shared" si="17"/>
        <v>4943</v>
      </c>
      <c r="G91" s="626"/>
      <c r="H91" s="166"/>
      <c r="I91" s="166">
        <f t="shared" si="18"/>
        <v>4943</v>
      </c>
      <c r="J91" s="167">
        <f t="shared" si="19"/>
        <v>1.2925133068990872E-3</v>
      </c>
      <c r="K91" s="458"/>
      <c r="L91" s="163"/>
      <c r="M91" s="163"/>
      <c r="O91" s="324">
        <f t="shared" si="20"/>
        <v>0.43926064160668266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'[10]Sch C'!D80</f>
        <v>0</v>
      </c>
      <c r="D92" s="480">
        <f>'[10]Sch C'!F80</f>
        <v>0</v>
      </c>
      <c r="E92" s="480">
        <f>+'[10]Sch C'!H80</f>
        <v>0</v>
      </c>
      <c r="F92" s="166">
        <f t="shared" si="17"/>
        <v>0</v>
      </c>
      <c r="G92" s="626"/>
      <c r="H92" s="166"/>
      <c r="I92" s="166">
        <f t="shared" si="18"/>
        <v>0</v>
      </c>
      <c r="J92" s="167">
        <f t="shared" si="19"/>
        <v>0</v>
      </c>
      <c r="K92" s="458"/>
      <c r="L92" s="163"/>
      <c r="M92" s="163"/>
      <c r="O92" s="324">
        <f t="shared" si="20"/>
        <v>0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'[10]Sch C'!D81</f>
        <v>38364</v>
      </c>
      <c r="D93" s="480">
        <f>'[10]Sch C'!F81</f>
        <v>0</v>
      </c>
      <c r="E93" s="480">
        <f>+'[10]Sch C'!H81</f>
        <v>0</v>
      </c>
      <c r="F93" s="166">
        <f t="shared" si="17"/>
        <v>38364</v>
      </c>
      <c r="G93" s="626"/>
      <c r="H93" s="166"/>
      <c r="I93" s="166">
        <f t="shared" si="18"/>
        <v>38364</v>
      </c>
      <c r="J93" s="167">
        <f t="shared" si="19"/>
        <v>1.0031555837725387E-2</v>
      </c>
      <c r="K93" s="458"/>
      <c r="L93" s="163"/>
      <c r="M93" s="163"/>
      <c r="O93" s="324">
        <f t="shared" si="20"/>
        <v>3.4092242068781657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'[10]Sch C'!D82</f>
        <v>9591</v>
      </c>
      <c r="D94" s="480">
        <f>'[10]Sch C'!F82</f>
        <v>0</v>
      </c>
      <c r="E94" s="480">
        <f>+'[10]Sch C'!H82</f>
        <v>0</v>
      </c>
      <c r="F94" s="166">
        <f t="shared" si="17"/>
        <v>9591</v>
      </c>
      <c r="G94" s="626"/>
      <c r="H94" s="166"/>
      <c r="I94" s="166">
        <f t="shared" si="18"/>
        <v>9591</v>
      </c>
      <c r="J94" s="167">
        <f t="shared" si="19"/>
        <v>2.5078889594313467E-3</v>
      </c>
      <c r="K94" s="458"/>
      <c r="L94" s="163"/>
      <c r="M94" s="163"/>
      <c r="O94" s="324">
        <f t="shared" si="20"/>
        <v>0.85230605171954144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'[10]Sch C'!D83</f>
        <v>0</v>
      </c>
      <c r="D95" s="480">
        <f>'[10]Sch C'!F83</f>
        <v>0</v>
      </c>
      <c r="E95" s="480">
        <f>+'[10]Sch C'!H83</f>
        <v>0</v>
      </c>
      <c r="F95" s="166">
        <f t="shared" si="17"/>
        <v>0</v>
      </c>
      <c r="G95" s="626"/>
      <c r="H95" s="166"/>
      <c r="I95" s="166">
        <f t="shared" si="18"/>
        <v>0</v>
      </c>
      <c r="J95" s="167">
        <f t="shared" si="19"/>
        <v>0</v>
      </c>
      <c r="K95" s="458"/>
      <c r="L95" s="163"/>
      <c r="M95" s="163"/>
      <c r="O95" s="324">
        <f t="shared" si="20"/>
        <v>0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'[10]Sch C'!D84</f>
        <v>75281</v>
      </c>
      <c r="D96" s="480">
        <f>'[10]Sch C'!F84</f>
        <v>0</v>
      </c>
      <c r="E96" s="480">
        <f>+'[10]Sch C'!H84</f>
        <v>0</v>
      </c>
      <c r="F96" s="166">
        <f t="shared" si="17"/>
        <v>75281</v>
      </c>
      <c r="G96" s="626"/>
      <c r="H96" s="166"/>
      <c r="I96" s="166">
        <f t="shared" si="18"/>
        <v>75281</v>
      </c>
      <c r="J96" s="167">
        <f t="shared" si="19"/>
        <v>1.9684744943692128E-2</v>
      </c>
      <c r="K96" s="458"/>
      <c r="L96" s="163"/>
      <c r="M96" s="163"/>
      <c r="O96" s="324">
        <f t="shared" si="20"/>
        <v>6.6898604816493377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'[10]Sch C'!D85</f>
        <v>0</v>
      </c>
      <c r="D97" s="480">
        <f>'[10]Sch C'!F85</f>
        <v>0</v>
      </c>
      <c r="E97" s="480">
        <f>+'[10]Sch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152445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152445</v>
      </c>
      <c r="G98" s="166">
        <f t="shared" si="22"/>
        <v>0</v>
      </c>
      <c r="H98" s="166">
        <f t="shared" si="22"/>
        <v>0</v>
      </c>
      <c r="I98" s="166">
        <f t="shared" si="22"/>
        <v>152445</v>
      </c>
      <c r="J98" s="167">
        <f t="shared" si="19"/>
        <v>3.986186345746133E-2</v>
      </c>
      <c r="K98" s="458"/>
      <c r="L98" s="163"/>
      <c r="M98" s="163"/>
      <c r="O98" s="329">
        <f>I98/I$233</f>
        <v>13.547054118901626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'[10]Sch C'!D89</f>
        <v>0</v>
      </c>
      <c r="D101" s="480">
        <f>'[10]Sch C'!F89</f>
        <v>0</v>
      </c>
      <c r="E101" s="480">
        <f>+'[10]Sch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'[10]Sch C'!D90</f>
        <v>0</v>
      </c>
      <c r="D102" s="480">
        <f>'[10]Sch C'!F90</f>
        <v>0</v>
      </c>
      <c r="E102" s="480">
        <f>+'[10]Sch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'[10]Sch C'!D91</f>
        <v>258135</v>
      </c>
      <c r="D103" s="480">
        <f>'[10]Sch C'!F91</f>
        <v>0</v>
      </c>
      <c r="E103" s="480">
        <f>+'[10]Sch C'!H91</f>
        <v>0</v>
      </c>
      <c r="F103" s="166">
        <f t="shared" si="23"/>
        <v>258135</v>
      </c>
      <c r="G103" s="626"/>
      <c r="H103" s="166"/>
      <c r="I103" s="166">
        <f t="shared" si="24"/>
        <v>258135</v>
      </c>
      <c r="J103" s="167">
        <f t="shared" si="25"/>
        <v>6.7498062406715728E-2</v>
      </c>
      <c r="K103" s="458"/>
      <c r="L103" s="163"/>
      <c r="M103" s="163"/>
      <c r="O103" s="329">
        <f t="shared" si="26"/>
        <v>22.93921620901093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'[10]Sch C'!D92</f>
        <v>27343</v>
      </c>
      <c r="D104" s="480">
        <f>'[10]Sch C'!F92</f>
        <v>0</v>
      </c>
      <c r="E104" s="480">
        <f>+'[10]Sch C'!H92</f>
        <v>0</v>
      </c>
      <c r="F104" s="166">
        <f t="shared" si="23"/>
        <v>27343</v>
      </c>
      <c r="G104" s="626"/>
      <c r="H104" s="166"/>
      <c r="I104" s="166">
        <f t="shared" si="24"/>
        <v>27343</v>
      </c>
      <c r="J104" s="167">
        <f t="shared" si="25"/>
        <v>7.1497453672955168E-3</v>
      </c>
      <c r="K104" s="458"/>
      <c r="L104" s="163"/>
      <c r="M104" s="163"/>
      <c r="O104" s="329">
        <f t="shared" si="26"/>
        <v>2.4298409313072069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'[10]Sch C'!D93</f>
        <v>0</v>
      </c>
      <c r="D105" s="480">
        <f>'[10]Sch C'!F93</f>
        <v>0</v>
      </c>
      <c r="E105" s="480">
        <f>+'[10]Sch C'!H93</f>
        <v>0</v>
      </c>
      <c r="F105" s="166">
        <f t="shared" si="23"/>
        <v>0</v>
      </c>
      <c r="G105" s="626"/>
      <c r="H105" s="166"/>
      <c r="I105" s="166">
        <f t="shared" si="24"/>
        <v>0</v>
      </c>
      <c r="J105" s="167">
        <f t="shared" si="25"/>
        <v>0</v>
      </c>
      <c r="K105" s="458"/>
      <c r="L105" s="163"/>
      <c r="M105" s="163"/>
      <c r="O105" s="329">
        <f t="shared" si="26"/>
        <v>0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'[10]Sch C'!D94</f>
        <v>0</v>
      </c>
      <c r="D106" s="480">
        <f>'[10]Sch C'!F94</f>
        <v>0</v>
      </c>
      <c r="E106" s="480">
        <f>+'[10]Sch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285478</v>
      </c>
      <c r="D107" s="480">
        <f t="shared" si="27"/>
        <v>0</v>
      </c>
      <c r="E107" s="480">
        <f t="shared" si="27"/>
        <v>0</v>
      </c>
      <c r="F107" s="166">
        <f t="shared" ref="F107:I107" si="28">SUM(F101:F106)</f>
        <v>285478</v>
      </c>
      <c r="G107" s="166">
        <f t="shared" si="28"/>
        <v>0</v>
      </c>
      <c r="H107" s="166">
        <f t="shared" si="28"/>
        <v>0</v>
      </c>
      <c r="I107" s="166">
        <f t="shared" si="28"/>
        <v>285478</v>
      </c>
      <c r="J107" s="167">
        <f t="shared" si="25"/>
        <v>7.4647807774011254E-2</v>
      </c>
      <c r="K107" s="458"/>
      <c r="L107" s="163"/>
      <c r="M107" s="163"/>
      <c r="O107" s="329">
        <f>I107/I$233</f>
        <v>25.369057140318137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'[10]Sch C'!D98</f>
        <v>0</v>
      </c>
      <c r="D110" s="480">
        <f>'[10]Sch C'!F98</f>
        <v>0</v>
      </c>
      <c r="E110" s="480">
        <f>+'[10]Sch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'[10]Sch C'!D99</f>
        <v>0</v>
      </c>
      <c r="D111" s="480">
        <f>'[10]Sch C'!F99</f>
        <v>0</v>
      </c>
      <c r="E111" s="480">
        <f>+'[10]Sch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'[10]Sch C'!D100</f>
        <v>0</v>
      </c>
      <c r="D112" s="480">
        <f>'[10]Sch C'!F100</f>
        <v>0</v>
      </c>
      <c r="E112" s="480">
        <f>+'[10]Sch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'[10]Sch C'!D101</f>
        <v>46548</v>
      </c>
      <c r="D113" s="480">
        <f>'[10]Sch C'!F101</f>
        <v>0</v>
      </c>
      <c r="E113" s="480">
        <f>+'[10]Sch C'!H101</f>
        <v>0</v>
      </c>
      <c r="F113" s="166">
        <f t="shared" si="29"/>
        <v>46548</v>
      </c>
      <c r="G113" s="626"/>
      <c r="H113" s="166"/>
      <c r="I113" s="166">
        <f t="shared" si="30"/>
        <v>46548</v>
      </c>
      <c r="J113" s="167">
        <f t="shared" si="31"/>
        <v>1.2171537408363081E-2</v>
      </c>
      <c r="K113" s="458"/>
      <c r="L113" s="163"/>
      <c r="M113" s="163"/>
      <c r="O113" s="329">
        <f t="shared" si="32"/>
        <v>4.1364969341508928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'[10]Sch C'!D102</f>
        <v>3216</v>
      </c>
      <c r="D114" s="480">
        <f>'[10]Sch C'!F102</f>
        <v>0</v>
      </c>
      <c r="E114" s="480">
        <f>+'[10]Sch C'!H102</f>
        <v>0</v>
      </c>
      <c r="F114" s="166">
        <f t="shared" si="29"/>
        <v>3216</v>
      </c>
      <c r="G114" s="626"/>
      <c r="H114" s="166"/>
      <c r="I114" s="166">
        <f t="shared" si="30"/>
        <v>3216</v>
      </c>
      <c r="J114" s="167">
        <f t="shared" si="31"/>
        <v>8.4093117438548744E-4</v>
      </c>
      <c r="K114" s="458"/>
      <c r="L114" s="163"/>
      <c r="M114" s="163"/>
      <c r="O114" s="329">
        <f t="shared" si="32"/>
        <v>0.28579045587843244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'[10]Sch C'!D103</f>
        <v>0</v>
      </c>
      <c r="D115" s="480">
        <f>'[10]Sch C'!F103</f>
        <v>0</v>
      </c>
      <c r="E115" s="480">
        <f>+'[10]Sch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49764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49764</v>
      </c>
      <c r="G116" s="166">
        <f t="shared" si="34"/>
        <v>0</v>
      </c>
      <c r="H116" s="166">
        <f t="shared" si="34"/>
        <v>0</v>
      </c>
      <c r="I116" s="166">
        <f t="shared" si="34"/>
        <v>49764</v>
      </c>
      <c r="J116" s="167">
        <f t="shared" si="31"/>
        <v>1.3012468582748569E-2</v>
      </c>
      <c r="K116" s="458"/>
      <c r="L116" s="163"/>
      <c r="M116" s="163"/>
      <c r="O116" s="329">
        <f>I116/I$233</f>
        <v>4.4222873900293251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'[10]Sch C'!D115</f>
        <v>128615</v>
      </c>
      <c r="D119" s="480">
        <f>'[10]Sch C'!F115</f>
        <v>0</v>
      </c>
      <c r="E119" s="480">
        <f>+'[10]Sch C'!H115</f>
        <v>0</v>
      </c>
      <c r="F119" s="166">
        <f t="shared" ref="F119:F123" si="35">C119+D119+E119</f>
        <v>128615</v>
      </c>
      <c r="G119" s="626"/>
      <c r="H119" s="166"/>
      <c r="I119" s="166">
        <f t="shared" ref="I119:I123" si="36">F119+G119+H119</f>
        <v>128615</v>
      </c>
      <c r="J119" s="167">
        <f t="shared" ref="J119:J124" si="37">IF($I$213=0,0,I119/$I$213)</f>
        <v>3.3630709886066375E-2</v>
      </c>
      <c r="K119" s="458"/>
      <c r="L119" s="176">
        <v>8217</v>
      </c>
      <c r="M119" s="176">
        <v>9262</v>
      </c>
      <c r="O119" s="329">
        <f t="shared" ref="O119:O124" si="38">I119/I$233</f>
        <v>11.429396605349684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'[10]Sch C'!D116</f>
        <v>29641</v>
      </c>
      <c r="D120" s="480">
        <f>'[10]Sch C'!F116</f>
        <v>0</v>
      </c>
      <c r="E120" s="480">
        <f>+'[10]Sch C'!H116</f>
        <v>0</v>
      </c>
      <c r="F120" s="166">
        <f t="shared" si="35"/>
        <v>29641</v>
      </c>
      <c r="G120" s="626">
        <v>-2231</v>
      </c>
      <c r="H120" s="166"/>
      <c r="I120" s="166">
        <f t="shared" si="36"/>
        <v>27410</v>
      </c>
      <c r="J120" s="167">
        <f t="shared" si="37"/>
        <v>7.1672647667618819E-3</v>
      </c>
      <c r="K120" s="458"/>
      <c r="L120" s="163"/>
      <c r="M120" s="163"/>
      <c r="O120" s="329">
        <f t="shared" si="38"/>
        <v>2.4357948991380076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'[10]Sch C'!D117</f>
        <v>32463</v>
      </c>
      <c r="D121" s="480">
        <f>'[10]Sch C'!F117</f>
        <v>0</v>
      </c>
      <c r="E121" s="480">
        <f>+'[10]Sch C'!H117</f>
        <v>0</v>
      </c>
      <c r="F121" s="166">
        <f t="shared" si="35"/>
        <v>32463</v>
      </c>
      <c r="G121" s="626"/>
      <c r="H121" s="166"/>
      <c r="I121" s="166">
        <f t="shared" si="36"/>
        <v>32463</v>
      </c>
      <c r="J121" s="167">
        <f t="shared" si="37"/>
        <v>8.488541266814701E-3</v>
      </c>
      <c r="K121" s="458"/>
      <c r="L121" s="163"/>
      <c r="M121" s="163"/>
      <c r="O121" s="329">
        <f t="shared" si="38"/>
        <v>2.8848307118101841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'[10]Sch C'!D118</f>
        <v>0</v>
      </c>
      <c r="D122" s="480">
        <f>'[10]Sch C'!F118</f>
        <v>0</v>
      </c>
      <c r="E122" s="480">
        <f>+'[10]Sch C'!H118</f>
        <v>0</v>
      </c>
      <c r="F122" s="166">
        <f t="shared" si="35"/>
        <v>0</v>
      </c>
      <c r="G122" s="626"/>
      <c r="H122" s="166"/>
      <c r="I122" s="166">
        <f t="shared" si="36"/>
        <v>0</v>
      </c>
      <c r="J122" s="167">
        <f t="shared" si="37"/>
        <v>0</v>
      </c>
      <c r="K122" s="458"/>
      <c r="L122" s="163"/>
      <c r="M122" s="163"/>
      <c r="O122" s="329">
        <f t="shared" si="38"/>
        <v>0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'[10]Sch C'!D119</f>
        <v>0</v>
      </c>
      <c r="D123" s="480">
        <f>'[10]Sch C'!F119</f>
        <v>0</v>
      </c>
      <c r="E123" s="480">
        <f>+'[10]Sch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357</v>
      </c>
      <c r="C124" s="480">
        <f t="shared" ref="C124:E124" si="39">SUM(C119:C123)</f>
        <v>190719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190719</v>
      </c>
      <c r="G124" s="166">
        <f t="shared" si="40"/>
        <v>-2231</v>
      </c>
      <c r="H124" s="166">
        <f t="shared" si="40"/>
        <v>0</v>
      </c>
      <c r="I124" s="166">
        <f t="shared" si="40"/>
        <v>188488</v>
      </c>
      <c r="J124" s="167">
        <f t="shared" si="37"/>
        <v>4.9286515919642962E-2</v>
      </c>
      <c r="K124" s="458"/>
      <c r="L124" s="163"/>
      <c r="M124" s="163"/>
      <c r="O124" s="329">
        <f t="shared" si="38"/>
        <v>16.750022216297875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 t="s">
        <v>477</v>
      </c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'[10]Sch C'!D124</f>
        <v>84018</v>
      </c>
      <c r="D128" s="480">
        <f>'[10]Sch C'!F124</f>
        <v>0</v>
      </c>
      <c r="E128" s="480">
        <f>+'[10]Sch C'!H124</f>
        <v>0</v>
      </c>
      <c r="F128" s="166">
        <f t="shared" ref="F128:F132" si="41">C128+D128+E128</f>
        <v>84018</v>
      </c>
      <c r="G128" s="626">
        <v>-84018</v>
      </c>
      <c r="H128" s="166"/>
      <c r="I128" s="166">
        <f t="shared" ref="I128:I132" si="42">F128+G128+H128</f>
        <v>0</v>
      </c>
      <c r="J128" s="167">
        <f>IF($I$213=0,0,I128/$I$213)</f>
        <v>0</v>
      </c>
      <c r="K128" s="458" t="s">
        <v>374</v>
      </c>
      <c r="L128" s="176">
        <v>1741</v>
      </c>
      <c r="M128" s="176">
        <v>2080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'[10]Sch C'!D125</f>
        <v>0</v>
      </c>
      <c r="D129" s="480">
        <f>'[10]Sch C'!F125</f>
        <v>0</v>
      </c>
      <c r="E129" s="480">
        <f>+'[10]Sch C'!H125</f>
        <v>0</v>
      </c>
      <c r="F129" s="166">
        <f t="shared" si="41"/>
        <v>0</v>
      </c>
      <c r="G129" s="626">
        <v>84018</v>
      </c>
      <c r="H129" s="166"/>
      <c r="I129" s="166">
        <f t="shared" si="42"/>
        <v>84018</v>
      </c>
      <c r="J129" s="167">
        <f>IF($I$213=0,0,I129/$I$213)</f>
        <v>2.1969326930820859E-2</v>
      </c>
      <c r="K129" s="458" t="s">
        <v>374</v>
      </c>
      <c r="L129" s="176">
        <v>0</v>
      </c>
      <c r="M129" s="176">
        <v>0</v>
      </c>
      <c r="O129" s="329">
        <f t="shared" si="43"/>
        <v>7.4662756598240465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'[10]Sch C'!D126</f>
        <v>0</v>
      </c>
      <c r="D130" s="480">
        <f>'[10]Sch C'!F126</f>
        <v>0</v>
      </c>
      <c r="E130" s="480">
        <f>+'[10]Sch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'[10]Sch C'!D127</f>
        <v>0</v>
      </c>
      <c r="D131" s="480">
        <f>'[10]Sch C'!F127</f>
        <v>0</v>
      </c>
      <c r="E131" s="480">
        <f>+'[10]Sch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'[10]Sch C'!D128</f>
        <v>0</v>
      </c>
      <c r="D132" s="480">
        <f>'[10]Sch C'!F128</f>
        <v>0</v>
      </c>
      <c r="E132" s="480">
        <f>+'[10]Sch C'!H128</f>
        <v>0</v>
      </c>
      <c r="F132" s="166">
        <f t="shared" si="41"/>
        <v>0</v>
      </c>
      <c r="G132" s="626"/>
      <c r="H132" s="166"/>
      <c r="I132" s="166">
        <f t="shared" si="42"/>
        <v>0</v>
      </c>
      <c r="J132" s="167">
        <f>IF($I$213=0,0,I132/$I$213)</f>
        <v>0</v>
      </c>
      <c r="K132" s="458"/>
      <c r="L132" s="176">
        <v>0</v>
      </c>
      <c r="M132" s="176">
        <v>0</v>
      </c>
      <c r="O132" s="329">
        <f t="shared" si="43"/>
        <v>0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'[10]Sch C'!D130</f>
        <v>23748</v>
      </c>
      <c r="D134" s="480">
        <f>'[10]Sch C'!F130</f>
        <v>0</v>
      </c>
      <c r="E134" s="480">
        <f>+'[10]Sch C'!H130</f>
        <v>0</v>
      </c>
      <c r="F134" s="166">
        <f t="shared" ref="F134:F138" si="44">C134+D134+E134</f>
        <v>23748</v>
      </c>
      <c r="G134" s="626">
        <v>-1787</v>
      </c>
      <c r="H134" s="166"/>
      <c r="I134" s="166">
        <f t="shared" ref="I134:I138" si="45">F134+G134+H134</f>
        <v>21961</v>
      </c>
      <c r="J134" s="167">
        <f>IF($I$213=0,0,I134/$I$213)</f>
        <v>5.7424407713556249E-3</v>
      </c>
      <c r="K134" s="458" t="s">
        <v>478</v>
      </c>
      <c r="L134" s="196"/>
      <c r="M134" s="196"/>
      <c r="O134" s="329">
        <f t="shared" si="43"/>
        <v>1.9515684706300542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'[10]Sch C'!D131</f>
        <v>0</v>
      </c>
      <c r="D135" s="480">
        <f>'[10]Sch C'!F131</f>
        <v>0</v>
      </c>
      <c r="E135" s="480">
        <f>+'[10]Sch C'!H131</f>
        <v>0</v>
      </c>
      <c r="F135" s="166">
        <f t="shared" si="44"/>
        <v>0</v>
      </c>
      <c r="G135" s="626">
        <v>1787</v>
      </c>
      <c r="H135" s="166"/>
      <c r="I135" s="166">
        <f t="shared" si="45"/>
        <v>1787</v>
      </c>
      <c r="J135" s="167">
        <f>IF($I$213=0,0,I135/$I$213)</f>
        <v>4.6727114696109022E-4</v>
      </c>
      <c r="K135" s="458" t="s">
        <v>377</v>
      </c>
      <c r="L135" s="196"/>
      <c r="M135" s="196"/>
      <c r="O135" s="329">
        <f t="shared" si="43"/>
        <v>0.15880209721851951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'[10]Sch C'!D132</f>
        <v>0</v>
      </c>
      <c r="D136" s="480">
        <f>'[10]Sch C'!F132</f>
        <v>0</v>
      </c>
      <c r="E136" s="480">
        <f>+'[10]Sch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'[10]Sch C'!D133</f>
        <v>0</v>
      </c>
      <c r="D137" s="480">
        <f>'[10]Sch C'!F133</f>
        <v>0</v>
      </c>
      <c r="E137" s="480">
        <f>+'[10]Sch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'[10]Sch C'!D134</f>
        <v>0</v>
      </c>
      <c r="D138" s="480">
        <f>'[10]Sch C'!F134</f>
        <v>0</v>
      </c>
      <c r="E138" s="480">
        <f>+'[10]Sch C'!H134</f>
        <v>0</v>
      </c>
      <c r="F138" s="166">
        <f t="shared" si="44"/>
        <v>0</v>
      </c>
      <c r="G138" s="626"/>
      <c r="H138" s="166"/>
      <c r="I138" s="166">
        <f t="shared" si="45"/>
        <v>0</v>
      </c>
      <c r="J138" s="167">
        <f>IF($I$213=0,0,I138/$I$213)</f>
        <v>0</v>
      </c>
      <c r="K138" s="458"/>
      <c r="L138" s="163"/>
      <c r="M138" s="163"/>
      <c r="O138" s="329">
        <f t="shared" si="43"/>
        <v>0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'[10]Sch C'!D136</f>
        <v>542594</v>
      </c>
      <c r="D140" s="480">
        <f>'[10]Sch C'!F136</f>
        <v>0</v>
      </c>
      <c r="E140" s="480">
        <f>+'[10]Sch C'!H136</f>
        <v>0</v>
      </c>
      <c r="F140" s="166">
        <f t="shared" ref="F140:F143" si="46">C140+D140+E140</f>
        <v>542594</v>
      </c>
      <c r="G140" s="626"/>
      <c r="H140" s="166"/>
      <c r="I140" s="166">
        <f t="shared" ref="I140:I143" si="47">F140+G140+H140</f>
        <v>542594</v>
      </c>
      <c r="J140" s="167">
        <f>IF($I$213=0,0,I140/$I$213)</f>
        <v>0.14187941841869378</v>
      </c>
      <c r="K140" s="458"/>
      <c r="L140" s="176">
        <v>16350</v>
      </c>
      <c r="M140" s="176">
        <v>18631</v>
      </c>
      <c r="O140" s="329">
        <f t="shared" si="43"/>
        <v>48.217719719185993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'[10]Sch C'!D137</f>
        <v>157740</v>
      </c>
      <c r="D141" s="480">
        <f>'[10]Sch C'!F137</f>
        <v>0</v>
      </c>
      <c r="E141" s="480">
        <f>+'[10]Sch C'!H137</f>
        <v>0</v>
      </c>
      <c r="F141" s="166">
        <f t="shared" si="46"/>
        <v>157740</v>
      </c>
      <c r="G141" s="626"/>
      <c r="H141" s="166"/>
      <c r="I141" s="166">
        <f t="shared" si="47"/>
        <v>157740</v>
      </c>
      <c r="J141" s="167">
        <f>IF($I$213=0,0,I141/$I$213)</f>
        <v>4.1246418982452362E-2</v>
      </c>
      <c r="K141" s="458"/>
      <c r="L141" s="176">
        <v>6210</v>
      </c>
      <c r="M141" s="176">
        <v>6915</v>
      </c>
      <c r="O141" s="329">
        <f t="shared" si="43"/>
        <v>14.017595307917889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'[10]Sch C'!D138</f>
        <v>692530</v>
      </c>
      <c r="D142" s="480">
        <f>'[10]Sch C'!F138</f>
        <v>0</v>
      </c>
      <c r="E142" s="480">
        <f>+'[10]Sch C'!H138</f>
        <v>0</v>
      </c>
      <c r="F142" s="166">
        <f t="shared" si="46"/>
        <v>692530</v>
      </c>
      <c r="G142" s="626"/>
      <c r="H142" s="166"/>
      <c r="I142" s="166">
        <f t="shared" si="47"/>
        <v>692530</v>
      </c>
      <c r="J142" s="167">
        <f>IF($I$213=0,0,I142/$I$213)</f>
        <v>0.18108521958867588</v>
      </c>
      <c r="K142" s="458"/>
      <c r="L142" s="176">
        <v>38381</v>
      </c>
      <c r="M142" s="176">
        <v>43605</v>
      </c>
      <c r="O142" s="329">
        <f t="shared" si="43"/>
        <v>61.541811072602862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'[10]Sch C'!D139</f>
        <v>0</v>
      </c>
      <c r="D143" s="480">
        <f>'[10]Sch C'!F139</f>
        <v>0</v>
      </c>
      <c r="E143" s="480">
        <f>+'[10]Sch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'[10]Sch C'!D141</f>
        <v>117068</v>
      </c>
      <c r="D145" s="480">
        <f>'[10]Sch C'!F141</f>
        <v>0</v>
      </c>
      <c r="E145" s="480">
        <f>+'[10]Sch C'!H141</f>
        <v>0</v>
      </c>
      <c r="F145" s="166">
        <f t="shared" ref="F145:F148" si="48">C145+D145+E145</f>
        <v>117068</v>
      </c>
      <c r="G145" s="626">
        <v>-8810</v>
      </c>
      <c r="H145" s="166"/>
      <c r="I145" s="166">
        <f t="shared" ref="I145:I148" si="49">F145+G145+H145</f>
        <v>108258</v>
      </c>
      <c r="J145" s="167">
        <f>IF($I$213=0,0,I145/$I$213)</f>
        <v>2.8307688767606996E-2</v>
      </c>
      <c r="K145" s="458"/>
      <c r="L145" s="163"/>
      <c r="M145" s="163"/>
      <c r="O145" s="329">
        <f t="shared" si="43"/>
        <v>9.6203679018928288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'[10]Sch C'!D142</f>
        <v>44410</v>
      </c>
      <c r="D146" s="480">
        <f>'[10]Sch C'!F142</f>
        <v>0</v>
      </c>
      <c r="E146" s="480">
        <f>+'[10]Sch C'!H142</f>
        <v>0</v>
      </c>
      <c r="F146" s="166">
        <f t="shared" si="48"/>
        <v>44410</v>
      </c>
      <c r="G146" s="626">
        <v>-3342</v>
      </c>
      <c r="H146" s="166"/>
      <c r="I146" s="166">
        <f t="shared" si="49"/>
        <v>41068</v>
      </c>
      <c r="J146" s="167">
        <f>IF($I$213=0,0,I146/$I$213)</f>
        <v>1.0738607422158954E-2</v>
      </c>
      <c r="K146" s="458"/>
      <c r="L146" s="163"/>
      <c r="M146" s="163"/>
      <c r="O146" s="329">
        <f t="shared" si="43"/>
        <v>3.6495156847063006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'[10]Sch C'!D143</f>
        <v>186137</v>
      </c>
      <c r="D147" s="480">
        <f>'[10]Sch C'!F143</f>
        <v>0</v>
      </c>
      <c r="E147" s="480">
        <f>+'[10]Sch C'!H143</f>
        <v>0</v>
      </c>
      <c r="F147" s="166">
        <f t="shared" si="48"/>
        <v>186137</v>
      </c>
      <c r="G147" s="626">
        <v>-14008</v>
      </c>
      <c r="H147" s="166"/>
      <c r="I147" s="166">
        <f t="shared" si="49"/>
        <v>172129</v>
      </c>
      <c r="J147" s="167">
        <f>IF($I$213=0,0,I147/$I$213)</f>
        <v>4.5008906130534695E-2</v>
      </c>
      <c r="K147" s="458"/>
      <c r="L147" s="163"/>
      <c r="M147" s="163"/>
      <c r="O147" s="329">
        <f t="shared" si="43"/>
        <v>15.296276548475962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'[10]Sch C'!D144</f>
        <v>0</v>
      </c>
      <c r="D148" s="480">
        <f>'[10]Sch C'!F144</f>
        <v>0</v>
      </c>
      <c r="E148" s="480">
        <f>+'[10]Sch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'[10]Sch C'!D146</f>
        <v>15000</v>
      </c>
      <c r="D150" s="480">
        <f>'[10]Sch C'!F146</f>
        <v>0</v>
      </c>
      <c r="E150" s="480">
        <f>+'[10]Sch C'!H146</f>
        <v>0</v>
      </c>
      <c r="F150" s="166">
        <f t="shared" ref="F150:F158" si="50">C150+D150+E150</f>
        <v>15000</v>
      </c>
      <c r="G150" s="626"/>
      <c r="H150" s="166"/>
      <c r="I150" s="166">
        <f t="shared" ref="I150:I158" si="51">F150+G150+H150</f>
        <v>15000</v>
      </c>
      <c r="J150" s="167">
        <f t="shared" ref="J150:J158" si="52">IF($I$213=0,0,I150/$I$213)</f>
        <v>3.9222536118726095E-3</v>
      </c>
      <c r="K150" s="458"/>
      <c r="L150" s="176">
        <v>24</v>
      </c>
      <c r="M150" s="176">
        <v>24</v>
      </c>
      <c r="O150" s="329">
        <f t="shared" si="43"/>
        <v>1.3329778725673154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'[10]Sch C'!D147</f>
        <v>4535</v>
      </c>
      <c r="D151" s="480">
        <f>'[10]Sch C'!F147</f>
        <v>0</v>
      </c>
      <c r="E151" s="480">
        <f>+'[10]Sch C'!H147</f>
        <v>0</v>
      </c>
      <c r="F151" s="166">
        <f t="shared" si="50"/>
        <v>4535</v>
      </c>
      <c r="G151" s="626"/>
      <c r="H151" s="166"/>
      <c r="I151" s="166">
        <f t="shared" si="51"/>
        <v>4535</v>
      </c>
      <c r="J151" s="167">
        <f t="shared" si="52"/>
        <v>1.1858280086561523E-3</v>
      </c>
      <c r="K151" s="458"/>
      <c r="L151" s="176">
        <v>53</v>
      </c>
      <c r="M151" s="176">
        <v>53</v>
      </c>
      <c r="O151" s="329">
        <f t="shared" si="43"/>
        <v>0.40300364347285167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'[10]Sch C'!D148</f>
        <v>0</v>
      </c>
      <c r="D152" s="480">
        <f>'[10]Sch C'!F148</f>
        <v>0</v>
      </c>
      <c r="E152" s="480">
        <f>+'[10]Sch C'!H148</f>
        <v>0</v>
      </c>
      <c r="F152" s="166">
        <f t="shared" si="50"/>
        <v>0</v>
      </c>
      <c r="G152" s="626"/>
      <c r="H152" s="166"/>
      <c r="I152" s="166">
        <f t="shared" si="51"/>
        <v>0</v>
      </c>
      <c r="J152" s="167">
        <f t="shared" si="52"/>
        <v>0</v>
      </c>
      <c r="K152" s="458"/>
      <c r="L152" s="176">
        <v>0</v>
      </c>
      <c r="M152" s="176">
        <v>0</v>
      </c>
      <c r="O152" s="329">
        <f t="shared" si="43"/>
        <v>0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'[10]Sch C'!D149</f>
        <v>0</v>
      </c>
      <c r="D153" s="480">
        <f>'[10]Sch C'!F149</f>
        <v>0</v>
      </c>
      <c r="E153" s="480">
        <f>+'[10]Sch C'!H149</f>
        <v>0</v>
      </c>
      <c r="F153" s="166">
        <f t="shared" si="50"/>
        <v>0</v>
      </c>
      <c r="G153" s="626"/>
      <c r="H153" s="166"/>
      <c r="I153" s="166">
        <f t="shared" si="51"/>
        <v>0</v>
      </c>
      <c r="J153" s="167">
        <f t="shared" si="52"/>
        <v>0</v>
      </c>
      <c r="K153" s="458"/>
      <c r="L153" s="176">
        <v>0</v>
      </c>
      <c r="M153" s="176">
        <v>0</v>
      </c>
      <c r="O153" s="329">
        <f t="shared" si="43"/>
        <v>0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'[10]Sch C'!D150</f>
        <v>0</v>
      </c>
      <c r="D154" s="480">
        <f>'[10]Sch C'!F150</f>
        <v>0</v>
      </c>
      <c r="E154" s="480">
        <f>+'[10]Sch C'!H150</f>
        <v>0</v>
      </c>
      <c r="F154" s="166">
        <f t="shared" si="50"/>
        <v>0</v>
      </c>
      <c r="G154" s="626"/>
      <c r="H154" s="166"/>
      <c r="I154" s="166">
        <f t="shared" si="51"/>
        <v>0</v>
      </c>
      <c r="J154" s="167">
        <f t="shared" si="52"/>
        <v>0</v>
      </c>
      <c r="K154" s="458"/>
      <c r="L154" s="176">
        <v>0</v>
      </c>
      <c r="M154" s="176">
        <v>0</v>
      </c>
      <c r="O154" s="329">
        <f t="shared" si="43"/>
        <v>0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'[10]Sch C'!D151</f>
        <v>71001</v>
      </c>
      <c r="D155" s="480">
        <f>'[10]Sch C'!F151</f>
        <v>0</v>
      </c>
      <c r="E155" s="480">
        <f>+'[10]Sch C'!H151</f>
        <v>0</v>
      </c>
      <c r="F155" s="166">
        <f t="shared" si="50"/>
        <v>71001</v>
      </c>
      <c r="G155" s="626"/>
      <c r="H155" s="166"/>
      <c r="I155" s="166">
        <f t="shared" si="51"/>
        <v>71001</v>
      </c>
      <c r="J155" s="167">
        <f t="shared" si="52"/>
        <v>1.8565595246437808E-2</v>
      </c>
      <c r="K155" s="458"/>
      <c r="L155" s="163"/>
      <c r="M155" s="163"/>
      <c r="O155" s="329">
        <f t="shared" si="43"/>
        <v>6.3095174620101302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'[10]Sch C'!D152</f>
        <v>12771</v>
      </c>
      <c r="D156" s="480">
        <f>'[10]Sch C'!F152</f>
        <v>0</v>
      </c>
      <c r="E156" s="480">
        <f>+'[10]Sch C'!H152</f>
        <v>0</v>
      </c>
      <c r="F156" s="166">
        <f t="shared" si="50"/>
        <v>12771</v>
      </c>
      <c r="G156" s="626"/>
      <c r="H156" s="166"/>
      <c r="I156" s="166">
        <f t="shared" si="51"/>
        <v>12771</v>
      </c>
      <c r="J156" s="167">
        <f t="shared" si="52"/>
        <v>3.3394067251483394E-3</v>
      </c>
      <c r="K156" s="458"/>
      <c r="L156" s="163"/>
      <c r="M156" s="163"/>
      <c r="O156" s="329">
        <f t="shared" si="43"/>
        <v>1.1348973607038124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'[10]Sch C'!D153</f>
        <v>0</v>
      </c>
      <c r="D157" s="480">
        <f>'[10]Sch C'!F153</f>
        <v>0</v>
      </c>
      <c r="E157" s="480">
        <f>+'[10]Sch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'[10]Sch C'!D154</f>
        <v>0</v>
      </c>
      <c r="D158" s="480">
        <f>'[10]Sch C'!F154</f>
        <v>0</v>
      </c>
      <c r="E158" s="480">
        <f>+'[10]Sch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'[10]Sch C'!D156</f>
        <v>0</v>
      </c>
      <c r="D160" s="480">
        <f>'[10]Sch C'!F156</f>
        <v>0</v>
      </c>
      <c r="E160" s="480">
        <f>+'[10]Sch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'[10]Sch C'!D157</f>
        <v>10545</v>
      </c>
      <c r="D161" s="480">
        <f>'[10]Sch C'!F157</f>
        <v>0</v>
      </c>
      <c r="E161" s="480">
        <f>+'[10]Sch C'!H157</f>
        <v>0</v>
      </c>
      <c r="F161" s="166">
        <f t="shared" si="53"/>
        <v>10545</v>
      </c>
      <c r="G161" s="626"/>
      <c r="H161" s="166"/>
      <c r="I161" s="166">
        <f t="shared" si="54"/>
        <v>10545</v>
      </c>
      <c r="J161" s="167">
        <f t="shared" si="55"/>
        <v>2.7573442891464443E-3</v>
      </c>
      <c r="K161" s="458"/>
      <c r="L161" s="163"/>
      <c r="M161" s="163"/>
      <c r="O161" s="329">
        <f t="shared" si="43"/>
        <v>0.93708344441482272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'[10]Sch C'!D158</f>
        <v>0</v>
      </c>
      <c r="D162" s="480">
        <f>'[10]Sch C'!F158</f>
        <v>0</v>
      </c>
      <c r="E162" s="480">
        <f>+'[10]Sch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'[10]Sch C'!D159</f>
        <v>0</v>
      </c>
      <c r="D163" s="480">
        <f>'[10]Sch C'!F159</f>
        <v>0</v>
      </c>
      <c r="E163" s="480">
        <f>+'[10]Sch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'[10]Sch C'!D160</f>
        <v>0</v>
      </c>
      <c r="D164" s="480">
        <f>'[10]Sch C'!F160</f>
        <v>0</v>
      </c>
      <c r="E164" s="480">
        <f>+'[10]Sch C'!H160</f>
        <v>0</v>
      </c>
      <c r="F164" s="166">
        <f t="shared" si="53"/>
        <v>0</v>
      </c>
      <c r="G164" s="626"/>
      <c r="H164" s="166"/>
      <c r="I164" s="166">
        <f t="shared" si="54"/>
        <v>0</v>
      </c>
      <c r="J164" s="167">
        <f>IF($I$213=0,0,I164/$I$213)</f>
        <v>0</v>
      </c>
      <c r="K164" s="458"/>
      <c r="L164" s="163"/>
      <c r="M164" s="163"/>
      <c r="O164" s="329">
        <f t="shared" si="43"/>
        <v>0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'[10]Sch C'!D161</f>
        <v>368</v>
      </c>
      <c r="D165" s="480">
        <f>'[10]Sch C'!F161</f>
        <v>0</v>
      </c>
      <c r="E165" s="480">
        <f>+'[10]Sch C'!H161</f>
        <v>0</v>
      </c>
      <c r="F165" s="166">
        <f t="shared" si="53"/>
        <v>368</v>
      </c>
      <c r="G165" s="626"/>
      <c r="H165" s="166"/>
      <c r="I165" s="166">
        <f t="shared" si="54"/>
        <v>368</v>
      </c>
      <c r="J165" s="167">
        <f t="shared" si="55"/>
        <v>9.6225955277941353E-5</v>
      </c>
      <c r="K165" s="458"/>
      <c r="L165" s="163"/>
      <c r="M165" s="163"/>
      <c r="O165" s="329">
        <f t="shared" si="43"/>
        <v>3.270239047365147E-2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1962465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1962465</v>
      </c>
      <c r="G166" s="166">
        <f t="shared" si="57"/>
        <v>-26160</v>
      </c>
      <c r="H166" s="166">
        <f t="shared" si="57"/>
        <v>0</v>
      </c>
      <c r="I166" s="166">
        <f t="shared" si="57"/>
        <v>1936305</v>
      </c>
      <c r="J166" s="167">
        <f t="shared" si="55"/>
        <v>0.50631195199579948</v>
      </c>
      <c r="K166" s="458"/>
      <c r="L166" s="163"/>
      <c r="M166" s="163"/>
      <c r="O166" s="329">
        <f>I166/I$233</f>
        <v>172.07011463609703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'[10]Sch C'!D175</f>
        <v>0</v>
      </c>
      <c r="D169" s="480">
        <f>'[10]Sch C'!F175</f>
        <v>0</v>
      </c>
      <c r="E169" s="480">
        <f>+'[10]Sch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'[10]Sch C'!D176</f>
        <v>0</v>
      </c>
      <c r="D170" s="480">
        <f>'[10]Sch C'!F176</f>
        <v>0</v>
      </c>
      <c r="E170" s="480">
        <f>+'[10]Sch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'[10]Sch C'!D177</f>
        <v>0</v>
      </c>
      <c r="D171" s="480">
        <f>'[10]Sch C'!F177</f>
        <v>0</v>
      </c>
      <c r="E171" s="480">
        <f>+'[10]Sch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'[10]Sch C'!D178</f>
        <v>0</v>
      </c>
      <c r="D172" s="480">
        <f>'[10]Sch C'!F178</f>
        <v>0</v>
      </c>
      <c r="E172" s="480">
        <f>+'[10]Sch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'[10]Sch C'!D179</f>
        <v>0</v>
      </c>
      <c r="D173" s="480">
        <f>'[10]Sch C'!F179</f>
        <v>0</v>
      </c>
      <c r="E173" s="480">
        <f>+'[10]Sch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'[10]Sch C'!D180</f>
        <v>0</v>
      </c>
      <c r="D174" s="480">
        <f>'[10]Sch C'!F180</f>
        <v>0</v>
      </c>
      <c r="E174" s="480">
        <f>+'[10]Sch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'[10]Sch C'!D181</f>
        <v>0</v>
      </c>
      <c r="D175" s="480">
        <f>'[10]Sch C'!F181</f>
        <v>0</v>
      </c>
      <c r="E175" s="480">
        <f>+'[10]Sch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'[10]Sch C'!D182</f>
        <v>0</v>
      </c>
      <c r="D176" s="480">
        <f>'[10]Sch C'!F182</f>
        <v>0</v>
      </c>
      <c r="E176" s="480">
        <f>+'[10]Sch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'[10]Sch C'!D183</f>
        <v>0</v>
      </c>
      <c r="D177" s="480">
        <f>'[10]Sch C'!F183</f>
        <v>0</v>
      </c>
      <c r="E177" s="480">
        <f>+'[10]Sch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'[10]Sch C'!D184</f>
        <v>0</v>
      </c>
      <c r="D178" s="480">
        <f>'[10]Sch C'!F184</f>
        <v>0</v>
      </c>
      <c r="E178" s="480">
        <f>+'[10]Sch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'[10]Sch C'!D185</f>
        <v>0</v>
      </c>
      <c r="D179" s="480">
        <f>'[10]Sch C'!F185</f>
        <v>0</v>
      </c>
      <c r="E179" s="480">
        <f>+'[10]Sch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'[10]Sch C'!D186</f>
        <v>0</v>
      </c>
      <c r="D180" s="480">
        <f>'[10]Sch C'!F186</f>
        <v>0</v>
      </c>
      <c r="E180" s="480">
        <f>+'[10]Sch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'[10]Sch C'!D187</f>
        <v>0</v>
      </c>
      <c r="D181" s="480">
        <f>'[10]Sch C'!F187</f>
        <v>0</v>
      </c>
      <c r="E181" s="480">
        <f>+'[10]Sch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'[10]Sch C'!D188</f>
        <v>0</v>
      </c>
      <c r="D182" s="480">
        <f>'[10]Sch C'!F188</f>
        <v>0</v>
      </c>
      <c r="E182" s="480">
        <f>+'[10]Sch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'[10]Sch C'!D189</f>
        <v>0</v>
      </c>
      <c r="D183" s="480">
        <f>'[10]Sch C'!F189</f>
        <v>0</v>
      </c>
      <c r="E183" s="480">
        <f>+'[10]Sch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'[10]Sch C'!D190</f>
        <v>0</v>
      </c>
      <c r="D184" s="480">
        <f>'[10]Sch C'!F190</f>
        <v>0</v>
      </c>
      <c r="E184" s="480">
        <f>+'[10]Sch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'[10]Sch C'!D191</f>
        <v>0</v>
      </c>
      <c r="D185" s="480">
        <f>'[10]Sch C'!F191</f>
        <v>0</v>
      </c>
      <c r="E185" s="480">
        <f>+'[10]Sch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'[10]Sch C'!D192</f>
        <v>1457</v>
      </c>
      <c r="D186" s="480">
        <f>'[10]Sch C'!F192</f>
        <v>0</v>
      </c>
      <c r="E186" s="480">
        <f>+'[10]Sch C'!H192</f>
        <v>0</v>
      </c>
      <c r="F186" s="166">
        <f t="shared" si="58"/>
        <v>1457</v>
      </c>
      <c r="G186" s="626"/>
      <c r="H186" s="166"/>
      <c r="I186" s="166">
        <f t="shared" si="59"/>
        <v>1457</v>
      </c>
      <c r="J186" s="167">
        <f t="shared" si="60"/>
        <v>3.809815674998928E-4</v>
      </c>
      <c r="K186" s="458"/>
      <c r="L186" s="213"/>
      <c r="M186" s="208"/>
      <c r="N186" s="210"/>
      <c r="O186" s="329">
        <f t="shared" si="61"/>
        <v>0.12947658402203857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'[10]Sch C'!D193</f>
        <v>0</v>
      </c>
      <c r="D187" s="480">
        <f>'[10]Sch C'!F193</f>
        <v>0</v>
      </c>
      <c r="E187" s="480">
        <f>+'[10]Sch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'[10]Sch C'!D194</f>
        <v>0</v>
      </c>
      <c r="D188" s="480">
        <f>'[10]Sch C'!F194</f>
        <v>0</v>
      </c>
      <c r="E188" s="480">
        <f>+'[10]Sch C'!H194</f>
        <v>0</v>
      </c>
      <c r="F188" s="166">
        <f t="shared" si="58"/>
        <v>0</v>
      </c>
      <c r="G188" s="626"/>
      <c r="H188" s="166"/>
      <c r="I188" s="166">
        <f t="shared" si="59"/>
        <v>0</v>
      </c>
      <c r="J188" s="167">
        <f t="shared" si="60"/>
        <v>0</v>
      </c>
      <c r="K188" s="458"/>
      <c r="L188" s="213"/>
      <c r="M188" s="208"/>
      <c r="O188" s="329">
        <f t="shared" si="61"/>
        <v>0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'[10]Sch C'!D195</f>
        <v>0</v>
      </c>
      <c r="D189" s="480">
        <f>'[10]Sch C'!F195</f>
        <v>0</v>
      </c>
      <c r="E189" s="480">
        <f>+'[10]Sch C'!H195</f>
        <v>0</v>
      </c>
      <c r="F189" s="166">
        <f t="shared" si="58"/>
        <v>0</v>
      </c>
      <c r="G189" s="626"/>
      <c r="H189" s="166"/>
      <c r="I189" s="166">
        <f t="shared" si="59"/>
        <v>0</v>
      </c>
      <c r="J189" s="167">
        <f t="shared" si="60"/>
        <v>0</v>
      </c>
      <c r="K189" s="458"/>
      <c r="L189" s="213"/>
      <c r="M189" s="208"/>
      <c r="O189" s="329">
        <f t="shared" si="61"/>
        <v>0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'[10]Sch C'!D196</f>
        <v>0</v>
      </c>
      <c r="D190" s="480">
        <f>'[10]Sch C'!F196</f>
        <v>0</v>
      </c>
      <c r="E190" s="480">
        <f>+'[10]Sch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'[10]Sch C'!D197</f>
        <v>0</v>
      </c>
      <c r="D191" s="480">
        <f>'[10]Sch C'!F197</f>
        <v>0</v>
      </c>
      <c r="E191" s="480">
        <f>+'[10]Sch C'!H197</f>
        <v>0</v>
      </c>
      <c r="F191" s="166">
        <f t="shared" si="58"/>
        <v>0</v>
      </c>
      <c r="G191" s="626"/>
      <c r="H191" s="166"/>
      <c r="I191" s="166">
        <f t="shared" si="59"/>
        <v>0</v>
      </c>
      <c r="J191" s="167">
        <f t="shared" si="60"/>
        <v>0</v>
      </c>
      <c r="K191" s="458"/>
      <c r="L191" s="213"/>
      <c r="M191" s="208"/>
      <c r="O191" s="329">
        <f t="shared" si="61"/>
        <v>0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'[10]Sch C'!D198</f>
        <v>0</v>
      </c>
      <c r="D192" s="480">
        <f>'[10]Sch C'!F198</f>
        <v>0</v>
      </c>
      <c r="E192" s="480">
        <f>+'[10]Sch C'!H198</f>
        <v>0</v>
      </c>
      <c r="F192" s="166">
        <f t="shared" si="58"/>
        <v>0</v>
      </c>
      <c r="G192" s="626"/>
      <c r="H192" s="166"/>
      <c r="I192" s="166">
        <f t="shared" si="59"/>
        <v>0</v>
      </c>
      <c r="J192" s="167">
        <f t="shared" si="60"/>
        <v>0</v>
      </c>
      <c r="K192" s="458"/>
      <c r="L192" s="213"/>
      <c r="M192" s="208"/>
      <c r="O192" s="329">
        <f t="shared" si="61"/>
        <v>0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'[10]Sch C'!D199</f>
        <v>0</v>
      </c>
      <c r="D193" s="480">
        <f>'[10]Sch C'!F199</f>
        <v>0</v>
      </c>
      <c r="E193" s="480">
        <f>+'[10]Sch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'[10]Sch C'!D200</f>
        <v>0</v>
      </c>
      <c r="D194" s="480">
        <f>'[10]Sch C'!F200</f>
        <v>0</v>
      </c>
      <c r="E194" s="480">
        <f>+'[10]Sch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'[10]Sch C'!D201</f>
        <v>0</v>
      </c>
      <c r="D195" s="480">
        <f>'[10]Sch C'!F201</f>
        <v>0</v>
      </c>
      <c r="E195" s="480">
        <f>+'[10]Sch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'[10]Sch C'!D202</f>
        <v>0</v>
      </c>
      <c r="D196" s="480">
        <f>'[10]Sch C'!F202</f>
        <v>0</v>
      </c>
      <c r="E196" s="480">
        <f>+'[10]Sch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'[10]Sch C'!D203</f>
        <v>0</v>
      </c>
      <c r="D197" s="480">
        <f>'[10]Sch C'!F203</f>
        <v>0</v>
      </c>
      <c r="E197" s="480">
        <f>+'[10]Sch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'[10]Sch C'!D204</f>
        <v>0</v>
      </c>
      <c r="D198" s="480">
        <f>'[10]Sch C'!F204</f>
        <v>0</v>
      </c>
      <c r="E198" s="480">
        <f>+'[10]Sch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'[10]Sch C'!D205</f>
        <v>465</v>
      </c>
      <c r="D199" s="480">
        <f>'[10]Sch C'!F205</f>
        <v>0</v>
      </c>
      <c r="E199" s="480">
        <f>+'[10]Sch C'!H205</f>
        <v>0</v>
      </c>
      <c r="F199" s="166">
        <f t="shared" si="58"/>
        <v>465</v>
      </c>
      <c r="G199" s="626"/>
      <c r="H199" s="166"/>
      <c r="I199" s="166">
        <f t="shared" si="59"/>
        <v>465</v>
      </c>
      <c r="J199" s="167">
        <f t="shared" si="60"/>
        <v>1.215898619680509E-4</v>
      </c>
      <c r="K199" s="458"/>
      <c r="L199" s="213"/>
      <c r="M199" s="208"/>
      <c r="O199" s="329">
        <f t="shared" si="61"/>
        <v>4.1322314049586778E-2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'[10]Sch C'!D206</f>
        <v>0</v>
      </c>
      <c r="D200" s="480">
        <f>'[10]Sch C'!F206</f>
        <v>0</v>
      </c>
      <c r="E200" s="480">
        <f>+'[10]Sch C'!H206</f>
        <v>0</v>
      </c>
      <c r="F200" s="166">
        <f t="shared" si="58"/>
        <v>0</v>
      </c>
      <c r="G200" s="626"/>
      <c r="H200" s="166"/>
      <c r="I200" s="166">
        <f t="shared" si="59"/>
        <v>0</v>
      </c>
      <c r="J200" s="167">
        <f t="shared" si="60"/>
        <v>0</v>
      </c>
      <c r="K200" s="458"/>
      <c r="L200" s="213"/>
      <c r="M200" s="208"/>
      <c r="O200" s="329">
        <f t="shared" si="61"/>
        <v>0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'[10]Sch C'!D207</f>
        <v>0</v>
      </c>
      <c r="D201" s="480">
        <f>'[10]Sch C'!F207</f>
        <v>0</v>
      </c>
      <c r="E201" s="480">
        <f>+'[10]Sch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1922</v>
      </c>
      <c r="D202" s="480">
        <f t="shared" si="62"/>
        <v>0</v>
      </c>
      <c r="E202" s="480">
        <f t="shared" si="62"/>
        <v>0</v>
      </c>
      <c r="F202" s="166">
        <f t="shared" ref="F202:I202" si="63">SUM(F169:F201)</f>
        <v>1922</v>
      </c>
      <c r="G202" s="166">
        <f t="shared" si="63"/>
        <v>0</v>
      </c>
      <c r="H202" s="166">
        <f t="shared" si="63"/>
        <v>0</v>
      </c>
      <c r="I202" s="166">
        <f t="shared" si="63"/>
        <v>1922</v>
      </c>
      <c r="J202" s="167">
        <f>IF($I$213=0,0,I202/$I$213)</f>
        <v>5.0257142946794368E-4</v>
      </c>
      <c r="K202" s="458"/>
      <c r="L202" s="163"/>
      <c r="M202" s="163"/>
      <c r="O202" s="329">
        <f>I202/I$233</f>
        <v>0.17079889807162535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'[10]Sch C'!D211</f>
        <v>67677</v>
      </c>
      <c r="D205" s="480">
        <f>'[10]Sch C'!F211</f>
        <v>0</v>
      </c>
      <c r="E205" s="480">
        <f>+'[10]Sch C'!H211</f>
        <v>0</v>
      </c>
      <c r="F205" s="166">
        <f t="shared" ref="F205:F210" si="64">C205+D205+E205</f>
        <v>67677</v>
      </c>
      <c r="G205" s="626"/>
      <c r="H205" s="166"/>
      <c r="I205" s="166">
        <f t="shared" ref="I205:I210" si="65">F205+G205+H205</f>
        <v>67677</v>
      </c>
      <c r="J205" s="167">
        <f t="shared" ref="J205:J211" si="66">IF($I$213=0,0,I205/$I$213)</f>
        <v>1.769642384604684E-2</v>
      </c>
      <c r="K205" s="458"/>
      <c r="L205" s="176">
        <v>0</v>
      </c>
      <c r="M205" s="176">
        <v>0</v>
      </c>
      <c r="O205" s="329">
        <f t="shared" ref="O205:O210" si="67">I205/I$233</f>
        <v>6.0141295654492133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'[10]Sch C'!D212</f>
        <v>21173</v>
      </c>
      <c r="D206" s="480">
        <f>'[10]Sch C'!F212</f>
        <v>0</v>
      </c>
      <c r="E206" s="480">
        <f>+'[10]Sch C'!H212</f>
        <v>0</v>
      </c>
      <c r="F206" s="166">
        <f t="shared" si="64"/>
        <v>21173</v>
      </c>
      <c r="G206" s="626">
        <v>-1593</v>
      </c>
      <c r="H206" s="166"/>
      <c r="I206" s="166">
        <f t="shared" si="65"/>
        <v>19580</v>
      </c>
      <c r="J206" s="167">
        <f t="shared" si="66"/>
        <v>5.1198483813643791E-3</v>
      </c>
      <c r="K206" s="458"/>
      <c r="L206" s="163"/>
      <c r="M206" s="163"/>
      <c r="O206" s="329">
        <f t="shared" si="67"/>
        <v>1.739980449657869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'[10]Sch C'!D213</f>
        <v>8054</v>
      </c>
      <c r="D207" s="480">
        <f>'[10]Sch C'!F213</f>
        <v>0</v>
      </c>
      <c r="E207" s="480">
        <f>+'[10]Sch C'!H213</f>
        <v>0</v>
      </c>
      <c r="F207" s="166">
        <f t="shared" si="64"/>
        <v>8054</v>
      </c>
      <c r="G207" s="626"/>
      <c r="H207" s="166"/>
      <c r="I207" s="166">
        <f t="shared" si="65"/>
        <v>8054</v>
      </c>
      <c r="J207" s="167">
        <f t="shared" si="66"/>
        <v>2.1059887060014665E-3</v>
      </c>
      <c r="K207" s="458"/>
      <c r="L207" s="163"/>
      <c r="M207" s="163"/>
      <c r="O207" s="329">
        <f t="shared" si="67"/>
        <v>0.71572025237714387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'[10]Sch C'!D214</f>
        <v>5568</v>
      </c>
      <c r="D208" s="480">
        <f>'[10]Sch C'!F214</f>
        <v>0</v>
      </c>
      <c r="E208" s="480">
        <f>+'[10]Sch C'!H214</f>
        <v>0</v>
      </c>
      <c r="F208" s="166">
        <f t="shared" si="64"/>
        <v>5568</v>
      </c>
      <c r="G208" s="626">
        <v>-3109</v>
      </c>
      <c r="H208" s="166"/>
      <c r="I208" s="166">
        <f t="shared" si="65"/>
        <v>2459</v>
      </c>
      <c r="J208" s="167">
        <f t="shared" si="66"/>
        <v>6.4298810877298307E-4</v>
      </c>
      <c r="K208" s="458"/>
      <c r="L208" s="163"/>
      <c r="M208" s="163"/>
      <c r="O208" s="329">
        <f t="shared" si="67"/>
        <v>0.21851950590953523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'[10]Sch C'!D215</f>
        <v>0</v>
      </c>
      <c r="D209" s="480">
        <f>'[10]Sch C'!F215</f>
        <v>0</v>
      </c>
      <c r="E209" s="480">
        <f>+'[10]Sch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'[10]Sch C'!D216</f>
        <v>-1</v>
      </c>
      <c r="D210" s="480">
        <f>'[10]Sch C'!F216</f>
        <v>0</v>
      </c>
      <c r="E210" s="480">
        <f>+'[10]Sch C'!H216</f>
        <v>0</v>
      </c>
      <c r="F210" s="166">
        <f t="shared" si="64"/>
        <v>-1</v>
      </c>
      <c r="G210" s="626">
        <v>3109</v>
      </c>
      <c r="H210" s="166"/>
      <c r="I210" s="166">
        <f t="shared" si="65"/>
        <v>3108</v>
      </c>
      <c r="J210" s="167">
        <f t="shared" si="66"/>
        <v>8.1269094838000466E-4</v>
      </c>
      <c r="K210" s="458"/>
      <c r="L210" s="163"/>
      <c r="M210" s="163"/>
      <c r="O210" s="329">
        <f t="shared" si="67"/>
        <v>0.27619301519594774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102471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102471</v>
      </c>
      <c r="G211" s="166">
        <f t="shared" si="69"/>
        <v>-1593</v>
      </c>
      <c r="H211" s="166">
        <f t="shared" si="69"/>
        <v>0</v>
      </c>
      <c r="I211" s="166">
        <f t="shared" si="69"/>
        <v>100878</v>
      </c>
      <c r="J211" s="167">
        <f t="shared" si="66"/>
        <v>2.6377939990565674E-2</v>
      </c>
      <c r="K211" s="458"/>
      <c r="L211" s="163"/>
      <c r="M211" s="163"/>
      <c r="O211" s="329">
        <f>I211/I$233</f>
        <v>8.9645427885897089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3838018</v>
      </c>
      <c r="D213" s="480">
        <f t="shared" si="70"/>
        <v>-9966</v>
      </c>
      <c r="E213" s="480">
        <f t="shared" si="70"/>
        <v>0</v>
      </c>
      <c r="F213" s="166">
        <f t="shared" ref="F213:I213" si="71">SUM(F30:F211)/2</f>
        <v>3828052</v>
      </c>
      <c r="G213" s="166">
        <f t="shared" si="71"/>
        <v>-3720</v>
      </c>
      <c r="H213" s="166">
        <f t="shared" si="71"/>
        <v>0</v>
      </c>
      <c r="I213" s="166">
        <f t="shared" si="71"/>
        <v>3824332</v>
      </c>
      <c r="J213" s="167">
        <f>IF($I$213=0,0,I213/$I$213)</f>
        <v>1</v>
      </c>
      <c r="K213" s="458"/>
      <c r="L213" s="176">
        <f>SUM(L30:L205)</f>
        <v>77926</v>
      </c>
      <c r="M213" s="176">
        <f>SUM(M30:M205)</f>
        <v>88666</v>
      </c>
      <c r="O213" s="329">
        <f>I213/I$233</f>
        <v>339.84999555674045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'[10]Sch C'!D221</f>
        <v>3838018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-1169221</v>
      </c>
      <c r="D220" s="480">
        <f t="shared" si="72"/>
        <v>6816</v>
      </c>
      <c r="E220" s="480">
        <f t="shared" si="72"/>
        <v>0</v>
      </c>
      <c r="F220" s="166">
        <f t="shared" ref="F220:I220" si="73">F26-F213</f>
        <v>-1162405</v>
      </c>
      <c r="G220" s="166">
        <f t="shared" si="73"/>
        <v>27785</v>
      </c>
      <c r="H220" s="166">
        <f t="shared" si="73"/>
        <v>0</v>
      </c>
      <c r="I220" s="166">
        <f t="shared" si="73"/>
        <v>-1134620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379</v>
      </c>
      <c r="C224" s="504">
        <f>'[10]Sch D'!C9</f>
        <v>5651</v>
      </c>
      <c r="D224" s="480"/>
      <c r="E224" s="480"/>
      <c r="F224" s="224">
        <f>C224+D224+E224</f>
        <v>5651</v>
      </c>
      <c r="G224" s="627"/>
      <c r="H224" s="223"/>
      <c r="I224" s="224">
        <f>F224+G224+H224</f>
        <v>5651</v>
      </c>
      <c r="J224" s="167">
        <f t="shared" ref="J224:J233" si="74">IF($I$233=0,0,I224/$I$233)</f>
        <v>0.50217719719185994</v>
      </c>
      <c r="K224" s="458"/>
      <c r="L224" s="163"/>
      <c r="M224" s="163"/>
    </row>
    <row r="225" spans="1:13">
      <c r="A225" s="158"/>
      <c r="B225" s="165" t="s">
        <v>201</v>
      </c>
      <c r="C225" s="504">
        <f>'[10]Sch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'[10]Sch D'!E9</f>
        <v>0</v>
      </c>
      <c r="D226" s="480"/>
      <c r="E226" s="480"/>
      <c r="F226" s="224">
        <f t="shared" si="75"/>
        <v>0</v>
      </c>
      <c r="G226" s="627"/>
      <c r="H226" s="223"/>
      <c r="I226" s="224">
        <f t="shared" si="76"/>
        <v>0</v>
      </c>
      <c r="J226" s="167">
        <f t="shared" si="74"/>
        <v>0</v>
      </c>
      <c r="K226" s="458"/>
      <c r="L226" s="163"/>
      <c r="M226" s="163"/>
    </row>
    <row r="227" spans="1:13">
      <c r="A227" s="158"/>
      <c r="B227" s="194" t="s">
        <v>315</v>
      </c>
      <c r="C227" s="504">
        <f>'[10]Sch D'!F9</f>
        <v>0</v>
      </c>
      <c r="D227" s="480"/>
      <c r="E227" s="480"/>
      <c r="F227" s="224">
        <f t="shared" si="75"/>
        <v>0</v>
      </c>
      <c r="G227" s="627"/>
      <c r="H227" s="223"/>
      <c r="I227" s="224">
        <f t="shared" si="76"/>
        <v>0</v>
      </c>
      <c r="J227" s="167">
        <f t="shared" si="74"/>
        <v>0</v>
      </c>
      <c r="K227" s="458"/>
      <c r="L227" s="163"/>
      <c r="M227" s="163"/>
    </row>
    <row r="228" spans="1:13">
      <c r="A228" s="158"/>
      <c r="B228" s="165" t="s">
        <v>65</v>
      </c>
      <c r="C228" s="504">
        <f>'[10]Sch D'!G9</f>
        <v>9</v>
      </c>
      <c r="D228" s="480"/>
      <c r="E228" s="480"/>
      <c r="F228" s="224">
        <f t="shared" si="75"/>
        <v>9</v>
      </c>
      <c r="G228" s="627"/>
      <c r="H228" s="223"/>
      <c r="I228" s="224">
        <f t="shared" si="76"/>
        <v>9</v>
      </c>
      <c r="J228" s="167">
        <f t="shared" si="74"/>
        <v>7.997867235403892E-4</v>
      </c>
      <c r="K228" s="458"/>
      <c r="L228" s="163"/>
      <c r="M228" s="163"/>
    </row>
    <row r="229" spans="1:13">
      <c r="A229" s="158"/>
      <c r="B229" s="165" t="s">
        <v>66</v>
      </c>
      <c r="C229" s="504">
        <f>'[10]Sch D'!H9</f>
        <v>5241</v>
      </c>
      <c r="D229" s="480"/>
      <c r="E229" s="480"/>
      <c r="F229" s="224">
        <f t="shared" si="75"/>
        <v>5241</v>
      </c>
      <c r="G229" s="627"/>
      <c r="H229" s="223"/>
      <c r="I229" s="224">
        <f t="shared" si="76"/>
        <v>5241</v>
      </c>
      <c r="J229" s="167">
        <f t="shared" si="74"/>
        <v>0.46574246867502</v>
      </c>
      <c r="K229" s="458"/>
      <c r="L229" s="163"/>
      <c r="M229" s="163"/>
    </row>
    <row r="230" spans="1:13">
      <c r="A230" s="158"/>
      <c r="B230" s="165" t="s">
        <v>219</v>
      </c>
      <c r="C230" s="504">
        <f>'[10]Sch D'!I9</f>
        <v>352</v>
      </c>
      <c r="D230" s="480"/>
      <c r="E230" s="480"/>
      <c r="F230" s="224">
        <f t="shared" si="75"/>
        <v>352</v>
      </c>
      <c r="G230" s="627"/>
      <c r="H230" s="223"/>
      <c r="I230" s="224">
        <f t="shared" si="76"/>
        <v>352</v>
      </c>
      <c r="J230" s="167">
        <f t="shared" si="74"/>
        <v>3.1280547409579668E-2</v>
      </c>
      <c r="K230" s="458"/>
      <c r="L230" s="163"/>
      <c r="M230" s="163"/>
    </row>
    <row r="231" spans="1:13">
      <c r="A231" s="158"/>
      <c r="B231" s="165" t="s">
        <v>378</v>
      </c>
      <c r="C231" s="504">
        <f>'[10]Sch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'[10]Sch D'!K9</f>
        <v>0</v>
      </c>
      <c r="D232" s="480"/>
      <c r="E232" s="480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11253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11253</v>
      </c>
      <c r="G233" s="226">
        <f t="shared" si="78"/>
        <v>0</v>
      </c>
      <c r="H233" s="226">
        <f t="shared" si="78"/>
        <v>0</v>
      </c>
      <c r="I233" s="226">
        <f t="shared" si="78"/>
        <v>11253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'[10]Sch D'!N22</f>
        <v>36</v>
      </c>
      <c r="D236" s="480"/>
      <c r="E236" s="480"/>
      <c r="F236" s="224">
        <f>C236+E236</f>
        <v>36</v>
      </c>
      <c r="G236" s="627"/>
      <c r="H236" s="224"/>
      <c r="I236" s="224">
        <f>F236+G236+H236</f>
        <v>36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'[10]Sch D'!N24</f>
        <v>36</v>
      </c>
      <c r="D237" s="480"/>
      <c r="E237" s="480"/>
      <c r="F237" s="224">
        <f>C237+E237</f>
        <v>36</v>
      </c>
      <c r="G237" s="627"/>
      <c r="H237" s="224"/>
      <c r="I237" s="224">
        <f>F237+G237+H237</f>
        <v>36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'[10]Sch D'!N28</f>
        <v>13140</v>
      </c>
      <c r="D240" s="427"/>
      <c r="E240" s="427"/>
      <c r="F240" s="223">
        <f>F236*F238</f>
        <v>13140</v>
      </c>
      <c r="G240"/>
      <c r="H240" s="228"/>
      <c r="I240" s="223">
        <f>I236*I238</f>
        <v>13140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'[10]Sch D'!N30</f>
        <v>0.85639269406392693</v>
      </c>
      <c r="D241" s="228"/>
      <c r="E241" s="228"/>
      <c r="F241" s="232">
        <f>F233/F240</f>
        <v>0.85639269406392693</v>
      </c>
      <c r="G241"/>
      <c r="H241" s="233"/>
      <c r="I241" s="232">
        <f>I233/I240</f>
        <v>0.85639269406392693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'[10]Sch D'!N32</f>
        <v>0.43006088280060883</v>
      </c>
      <c r="D242" s="228"/>
      <c r="E242" s="228"/>
      <c r="F242" s="232">
        <f>(F224+F225)/F240</f>
        <v>0.43006088280060883</v>
      </c>
      <c r="G242"/>
      <c r="H242" s="233"/>
      <c r="I242" s="232">
        <f>(I224+I225)/I240</f>
        <v>0.43006088280060883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'[10]Sch D'!N34</f>
        <v>0.50217719719185994</v>
      </c>
      <c r="D243" s="228"/>
      <c r="E243" s="228"/>
      <c r="F243" s="232">
        <f>(F242/F241)</f>
        <v>0.50217719719185994</v>
      </c>
      <c r="G243"/>
      <c r="H243" s="233"/>
      <c r="I243" s="232">
        <f>(I242/I241)</f>
        <v>0.50217719719185994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'[10]Sch B'!C90</f>
        <v>228.67291822955738</v>
      </c>
      <c r="K246" s="460"/>
    </row>
    <row r="247" spans="1:13">
      <c r="H247" s="140" t="s">
        <v>322</v>
      </c>
      <c r="I247" s="480">
        <f>'[10]Sch B'!E90</f>
        <v>230.18593371059015</v>
      </c>
      <c r="K247" s="460"/>
    </row>
    <row r="248" spans="1:13">
      <c r="H248" s="140" t="s">
        <v>323</v>
      </c>
      <c r="I248" s="480">
        <f>'[10]Sch B'!G90</f>
        <v>224.37136929460581</v>
      </c>
      <c r="K248" s="460"/>
    </row>
    <row r="249" spans="1:13">
      <c r="H249" s="140" t="s">
        <v>324</v>
      </c>
      <c r="I249" s="480">
        <f>'[10]Sch B'!I90</f>
        <v>226.6204081632653</v>
      </c>
      <c r="K249" s="460"/>
    </row>
    <row r="250" spans="1:13">
      <c r="H250" s="140"/>
      <c r="K250" s="460"/>
    </row>
    <row r="251" spans="1:13">
      <c r="B251" s="407" t="s">
        <v>356</v>
      </c>
      <c r="K251" s="460"/>
    </row>
    <row r="252" spans="1:13" ht="15.5">
      <c r="B252"/>
    </row>
    <row r="253" spans="1:13" ht="15.5">
      <c r="B253"/>
    </row>
    <row r="254" spans="1:13" ht="15.5">
      <c r="B254"/>
    </row>
    <row r="277" spans="2:2">
      <c r="B277" s="138">
        <v>0</v>
      </c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tabColor rgb="FFE28CAB"/>
  </sheetPr>
  <dimension ref="A1:Q277"/>
  <sheetViews>
    <sheetView showGridLines="0" topLeftCell="A207" zoomScaleNormal="100" workbookViewId="0">
      <pane xSplit="2" topLeftCell="E1" activePane="topRight" state="frozen"/>
      <selection activeCell="R1" sqref="R1:AF1048576"/>
      <selection pane="topRight"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370"/>
      <c r="D1" s="370"/>
      <c r="E1" s="419"/>
      <c r="F1" s="419"/>
      <c r="G1" s="419"/>
      <c r="H1" s="419"/>
      <c r="I1" s="419"/>
      <c r="J1" s="419"/>
      <c r="K1" s="420"/>
    </row>
    <row r="2" spans="1:16" ht="23">
      <c r="B2" s="141" t="s">
        <v>178</v>
      </c>
      <c r="C2" s="234" t="s">
        <v>354</v>
      </c>
      <c r="D2" s="234"/>
      <c r="E2" s="142"/>
      <c r="F2" s="142"/>
      <c r="G2" s="142"/>
    </row>
    <row r="3" spans="1:16">
      <c r="A3" s="143"/>
      <c r="B3" s="138" t="s">
        <v>71</v>
      </c>
      <c r="C3" s="557">
        <f>'[94]Sch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'[94]Sch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'[94]Sch B'!E10</f>
        <v>1995135</v>
      </c>
      <c r="D12" s="480">
        <f>'[94]Sch B'!G10</f>
        <v>0</v>
      </c>
      <c r="E12" s="480"/>
      <c r="F12" s="166">
        <f>C12+D12+E12</f>
        <v>1995135</v>
      </c>
      <c r="G12" s="626"/>
      <c r="H12" s="166"/>
      <c r="I12" s="166">
        <f>F12+G12+H12</f>
        <v>1995135</v>
      </c>
      <c r="J12" s="167">
        <f>IF($I$26=0,0,I12/$I$26)</f>
        <v>0.43658252755207344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'[94]Sch B'!E12</f>
        <v>0</v>
      </c>
      <c r="D13" s="480">
        <f>'[94]Sch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'[94]Sch B'!E13</f>
        <v>8926</v>
      </c>
      <c r="D14" s="480">
        <f>'[94]Sch B'!G13</f>
        <v>0</v>
      </c>
      <c r="E14" s="480"/>
      <c r="F14" s="166">
        <f t="shared" si="0"/>
        <v>8926</v>
      </c>
      <c r="G14" s="626"/>
      <c r="H14" s="166"/>
      <c r="I14" s="166">
        <f t="shared" si="1"/>
        <v>8926</v>
      </c>
      <c r="J14" s="167">
        <f>IF($I$26=0,0,I14/$I$26)</f>
        <v>1.9532190257450285E-3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'[94]Sch B'!E14</f>
        <v>0</v>
      </c>
      <c r="D15" s="480">
        <f>'[94]Sch B'!G14</f>
        <v>0</v>
      </c>
      <c r="E15" s="480"/>
      <c r="F15" s="166">
        <f t="shared" si="0"/>
        <v>0</v>
      </c>
      <c r="G15" s="626">
        <v>57230.39</v>
      </c>
      <c r="H15" s="166"/>
      <c r="I15" s="166">
        <f t="shared" si="1"/>
        <v>57230.39</v>
      </c>
      <c r="J15" s="167">
        <f>IF($I$26=0,0,I15/$I$26)</f>
        <v>1.2523357225947572E-2</v>
      </c>
      <c r="K15" s="458" t="s">
        <v>651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'[94]Sch B'!E15</f>
        <v>2004061</v>
      </c>
      <c r="D16" s="480">
        <f>'[94]Sch B'!G15</f>
        <v>0</v>
      </c>
      <c r="E16" s="480"/>
      <c r="F16" s="166">
        <f t="shared" si="0"/>
        <v>2004061</v>
      </c>
      <c r="G16" s="626"/>
      <c r="H16" s="166"/>
      <c r="I16" s="166">
        <f>SUM(I12:I15)</f>
        <v>2061291.39</v>
      </c>
      <c r="J16" s="167">
        <f t="shared" ref="J16:J26" si="2">IF($I$26=0,0,I16/$I$26)</f>
        <v>0.45105910380376601</v>
      </c>
      <c r="K16" s="458"/>
      <c r="L16" s="333" t="s">
        <v>325</v>
      </c>
      <c r="M16" s="334">
        <f>I26</f>
        <v>4569892</v>
      </c>
      <c r="O16" s="324">
        <f>IFERROR(I16/I224,0)</f>
        <v>204.08825643564356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'[94]Sch B'!E20</f>
        <v>0</v>
      </c>
      <c r="D17" s="480">
        <f>'[94]Sch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4274147.49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'[94]Sch B'!E26</f>
        <v>1027938</v>
      </c>
      <c r="D18" s="480">
        <f>'[94]Sch B'!G26</f>
        <v>0</v>
      </c>
      <c r="E18" s="480"/>
      <c r="F18" s="166">
        <f t="shared" si="0"/>
        <v>1027938</v>
      </c>
      <c r="G18" s="626"/>
      <c r="H18" s="166"/>
      <c r="I18" s="166">
        <f t="shared" si="1"/>
        <v>1027938</v>
      </c>
      <c r="J18" s="167">
        <f t="shared" si="2"/>
        <v>0.22493704446407048</v>
      </c>
      <c r="K18" s="458"/>
      <c r="L18" s="335" t="s">
        <v>327</v>
      </c>
      <c r="M18" s="336">
        <f>I233</f>
        <v>18006</v>
      </c>
      <c r="O18" s="324">
        <f t="shared" si="3"/>
        <v>569.17940199335544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'[94]Sch B'!E32</f>
        <v>462034</v>
      </c>
      <c r="D19" s="480">
        <f>'[94]Sch B'!G32</f>
        <v>0</v>
      </c>
      <c r="E19" s="480"/>
      <c r="F19" s="166">
        <f t="shared" si="0"/>
        <v>462034</v>
      </c>
      <c r="G19" s="626"/>
      <c r="H19" s="166"/>
      <c r="I19" s="166">
        <f t="shared" si="1"/>
        <v>462034</v>
      </c>
      <c r="J19" s="170">
        <f t="shared" si="2"/>
        <v>0.10110392105546477</v>
      </c>
      <c r="K19" s="464"/>
      <c r="L19" s="335" t="s">
        <v>328</v>
      </c>
      <c r="M19" s="336">
        <f>I236</f>
        <v>84</v>
      </c>
      <c r="O19" s="324">
        <f t="shared" si="3"/>
        <v>410.69688888888891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'[94]Sch B'!E37</f>
        <v>0</v>
      </c>
      <c r="D20" s="480">
        <f>'[94]Sch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30660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'[94]Sch B'!E42</f>
        <v>386467</v>
      </c>
      <c r="D21" s="480">
        <f>'[94]Sch B'!G42</f>
        <v>0</v>
      </c>
      <c r="E21" s="480"/>
      <c r="F21" s="166">
        <f t="shared" si="0"/>
        <v>386467</v>
      </c>
      <c r="G21" s="626"/>
      <c r="H21" s="166"/>
      <c r="I21" s="166">
        <f t="shared" si="1"/>
        <v>386467</v>
      </c>
      <c r="J21" s="167">
        <f t="shared" si="2"/>
        <v>8.4568081696460226E-2</v>
      </c>
      <c r="K21" s="458"/>
      <c r="L21" s="337"/>
      <c r="M21" s="336"/>
      <c r="O21" s="324">
        <f t="shared" si="3"/>
        <v>169.57744624835453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'[94]Sch B'!E47</f>
        <v>460429</v>
      </c>
      <c r="D22" s="480">
        <f>'[94]Sch B'!G47</f>
        <v>0</v>
      </c>
      <c r="E22" s="480"/>
      <c r="F22" s="166">
        <f t="shared" si="0"/>
        <v>460429</v>
      </c>
      <c r="G22" s="626"/>
      <c r="H22" s="166"/>
      <c r="I22" s="166">
        <f t="shared" si="1"/>
        <v>460429</v>
      </c>
      <c r="J22" s="167">
        <f t="shared" si="2"/>
        <v>0.10075270925439814</v>
      </c>
      <c r="K22" s="458"/>
      <c r="L22" s="335" t="s">
        <v>148</v>
      </c>
      <c r="M22" s="336">
        <f>L213</f>
        <v>88773</v>
      </c>
      <c r="O22" s="324">
        <f t="shared" si="3"/>
        <v>194.52006759611322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'[94]Sch B'!E52</f>
        <v>0</v>
      </c>
      <c r="D23" s="480">
        <f>'[94]Sch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93216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'[94]Sch B'!E57</f>
        <v>145933</v>
      </c>
      <c r="D24" s="480">
        <f>'[94]Sch B'!G57</f>
        <v>0</v>
      </c>
      <c r="E24" s="480"/>
      <c r="F24" s="166">
        <f t="shared" si="0"/>
        <v>145933</v>
      </c>
      <c r="G24" s="626"/>
      <c r="H24" s="166"/>
      <c r="I24" s="166">
        <f t="shared" si="1"/>
        <v>145933</v>
      </c>
      <c r="J24" s="167">
        <f t="shared" si="2"/>
        <v>3.1933577423711543E-2</v>
      </c>
      <c r="K24" s="458"/>
      <c r="L24" s="163"/>
      <c r="M24" s="163"/>
      <c r="O24" s="324">
        <f t="shared" si="3"/>
        <v>443.56534954407294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'[94]Sch B'!E72</f>
        <v>90412</v>
      </c>
      <c r="D25" s="480">
        <f>'[94]Sch B'!G72</f>
        <v>-7382</v>
      </c>
      <c r="E25" s="480"/>
      <c r="F25" s="166">
        <f t="shared" si="0"/>
        <v>83030</v>
      </c>
      <c r="G25" s="626">
        <v>-57230.39</v>
      </c>
      <c r="H25" s="166"/>
      <c r="I25" s="166">
        <f t="shared" si="1"/>
        <v>25799.61</v>
      </c>
      <c r="J25" s="167">
        <f t="shared" si="2"/>
        <v>5.6455623021288035E-3</v>
      </c>
      <c r="K25" s="458" t="s">
        <v>651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4577274</v>
      </c>
      <c r="D26" s="480">
        <f t="shared" ref="D26:F26" si="4">SUM(D16:D25)</f>
        <v>-7382</v>
      </c>
      <c r="E26" s="480">
        <f t="shared" si="4"/>
        <v>0</v>
      </c>
      <c r="F26" s="166">
        <f t="shared" si="4"/>
        <v>4569892</v>
      </c>
      <c r="G26" s="166">
        <f>SUM(G12:G25)</f>
        <v>0</v>
      </c>
      <c r="H26" s="166">
        <f>SUM(H12:H25)</f>
        <v>0</v>
      </c>
      <c r="I26" s="166">
        <f>SUM(I16:I25)</f>
        <v>4569892</v>
      </c>
      <c r="J26" s="167">
        <f t="shared" si="2"/>
        <v>1</v>
      </c>
      <c r="K26" s="458"/>
      <c r="L26" s="163"/>
      <c r="M26" s="163"/>
      <c r="O26" s="324">
        <f>IFERROR(I26/I233,0)</f>
        <v>253.7982894590692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'[94]Sch C'!D10</f>
        <v>0</v>
      </c>
      <c r="D30" s="480">
        <f>'[94]Sch C'!F10</f>
        <v>102709</v>
      </c>
      <c r="E30" s="480">
        <f>+'[94]Sch C'!H10</f>
        <v>0</v>
      </c>
      <c r="F30" s="166">
        <f t="shared" ref="F30:F65" si="5">C30+D30+E30</f>
        <v>102709</v>
      </c>
      <c r="G30" s="626"/>
      <c r="H30" s="166"/>
      <c r="I30" s="166">
        <f t="shared" ref="I30:I65" si="6">F30+G30+H30</f>
        <v>102709</v>
      </c>
      <c r="J30" s="167">
        <f>IF($I$213=0,0,I30/$I$213)</f>
        <v>2.4030289137261379E-2</v>
      </c>
      <c r="K30" s="458"/>
      <c r="L30" s="176">
        <v>2024</v>
      </c>
      <c r="M30" s="176">
        <v>2080</v>
      </c>
      <c r="O30" s="324">
        <f>I30/I$233</f>
        <v>5.704154170831945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'[94]Sch C'!D11</f>
        <v>0</v>
      </c>
      <c r="D31" s="480">
        <f>'[94]Sch C'!F11</f>
        <v>0</v>
      </c>
      <c r="E31" s="480">
        <f>+'[94]Sch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'[94]Sch C'!D12</f>
        <v>196084</v>
      </c>
      <c r="D32" s="480">
        <f>'[94]Sch C'!F12</f>
        <v>-102734</v>
      </c>
      <c r="E32" s="480">
        <f>+'[94]Sch C'!H12</f>
        <v>0</v>
      </c>
      <c r="F32" s="166">
        <f t="shared" si="5"/>
        <v>93350</v>
      </c>
      <c r="G32" s="626"/>
      <c r="H32" s="166"/>
      <c r="I32" s="166">
        <f t="shared" si="6"/>
        <v>93350</v>
      </c>
      <c r="J32" s="167">
        <f t="shared" si="7"/>
        <v>2.1840612711284794E-2</v>
      </c>
      <c r="K32" s="458"/>
      <c r="L32" s="176">
        <v>4079</v>
      </c>
      <c r="M32" s="176">
        <v>4298</v>
      </c>
      <c r="O32" s="324">
        <f t="shared" si="8"/>
        <v>5.1843829834499608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'[94]Sch C'!D13</f>
        <v>64512</v>
      </c>
      <c r="D33" s="480">
        <f>'[94]Sch C'!F13</f>
        <v>-3408</v>
      </c>
      <c r="E33" s="480">
        <f>+'[94]Sch C'!H13</f>
        <v>0</v>
      </c>
      <c r="F33" s="166">
        <f t="shared" si="5"/>
        <v>61104</v>
      </c>
      <c r="G33" s="626"/>
      <c r="H33" s="166"/>
      <c r="I33" s="166">
        <f t="shared" si="6"/>
        <v>61104</v>
      </c>
      <c r="J33" s="167">
        <f t="shared" si="7"/>
        <v>1.4296184243281693E-2</v>
      </c>
      <c r="K33" s="458"/>
      <c r="L33" s="163"/>
      <c r="M33" s="163"/>
      <c r="O33" s="324">
        <f t="shared" si="8"/>
        <v>3.3935354881706097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'[94]Sch C'!D14</f>
        <v>0</v>
      </c>
      <c r="D34" s="480">
        <f>'[94]Sch C'!F14</f>
        <v>0</v>
      </c>
      <c r="E34" s="480">
        <f>+'[94]Sch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'[94]Sch C'!D15</f>
        <v>0</v>
      </c>
      <c r="D35" s="480">
        <f>'[94]Sch C'!F15</f>
        <v>0</v>
      </c>
      <c r="E35" s="480">
        <f>+'[94]Sch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'[94]Sch C'!D16</f>
        <v>228860</v>
      </c>
      <c r="D36" s="480">
        <f>'[94]Sch C'!F16</f>
        <v>0</v>
      </c>
      <c r="E36" s="480">
        <f>+'[94]Sch C'!H16</f>
        <v>-16278</v>
      </c>
      <c r="F36" s="166">
        <f t="shared" si="5"/>
        <v>212582</v>
      </c>
      <c r="G36" s="626"/>
      <c r="H36" s="166"/>
      <c r="I36" s="166">
        <f t="shared" si="6"/>
        <v>212582</v>
      </c>
      <c r="J36" s="167">
        <f t="shared" si="7"/>
        <v>4.9736701996682849E-2</v>
      </c>
      <c r="K36" s="458"/>
      <c r="L36" s="163"/>
      <c r="M36" s="163"/>
      <c r="O36" s="324">
        <f t="shared" si="8"/>
        <v>11.80617571920471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'[94]Sch C'!D17</f>
        <v>366</v>
      </c>
      <c r="D37" s="480">
        <f>'[94]Sch C'!F17</f>
        <v>-366</v>
      </c>
      <c r="E37" s="480">
        <f>+'[94]Sch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'[94]Sch C'!D18</f>
        <v>20696</v>
      </c>
      <c r="D38" s="480">
        <f>'[94]Sch C'!F18</f>
        <v>0</v>
      </c>
      <c r="E38" s="480">
        <f>+'[94]Sch C'!H18</f>
        <v>0</v>
      </c>
      <c r="F38" s="166">
        <f t="shared" si="5"/>
        <v>20696</v>
      </c>
      <c r="G38" s="626"/>
      <c r="H38" s="166"/>
      <c r="I38" s="166">
        <f t="shared" si="6"/>
        <v>20696</v>
      </c>
      <c r="J38" s="167">
        <f t="shared" si="7"/>
        <v>4.842135197351367E-3</v>
      </c>
      <c r="K38" s="458"/>
      <c r="L38" s="163"/>
      <c r="M38" s="163"/>
      <c r="O38" s="324">
        <f t="shared" si="8"/>
        <v>1.1493946462290348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'[94]Sch C'!D19</f>
        <v>8332</v>
      </c>
      <c r="D39" s="480">
        <f>'[94]Sch C'!F19</f>
        <v>0</v>
      </c>
      <c r="E39" s="480">
        <f>+'[94]Sch C'!H19</f>
        <v>0</v>
      </c>
      <c r="F39" s="166">
        <f t="shared" si="5"/>
        <v>8332</v>
      </c>
      <c r="G39" s="626"/>
      <c r="H39" s="166"/>
      <c r="I39" s="166">
        <f t="shared" si="6"/>
        <v>8332</v>
      </c>
      <c r="J39" s="167">
        <f t="shared" si="7"/>
        <v>1.9493945914346535E-3</v>
      </c>
      <c r="K39" s="458"/>
      <c r="L39" s="163"/>
      <c r="M39" s="163"/>
      <c r="O39" s="324">
        <f t="shared" si="8"/>
        <v>0.46273464400755304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'[94]Sch C'!D20</f>
        <v>10566</v>
      </c>
      <c r="D40" s="480">
        <f>'[94]Sch C'!F20</f>
        <v>-15</v>
      </c>
      <c r="E40" s="480">
        <f>+'[94]Sch C'!H20</f>
        <v>0</v>
      </c>
      <c r="F40" s="166">
        <f t="shared" si="5"/>
        <v>10551</v>
      </c>
      <c r="G40" s="626"/>
      <c r="H40" s="166"/>
      <c r="I40" s="166">
        <f t="shared" si="6"/>
        <v>10551</v>
      </c>
      <c r="J40" s="167">
        <f t="shared" si="7"/>
        <v>2.4685624500992592E-3</v>
      </c>
      <c r="K40" s="458"/>
      <c r="L40" s="163"/>
      <c r="M40" s="163"/>
      <c r="O40" s="324">
        <f t="shared" si="8"/>
        <v>0.58597134288570474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'[94]Sch C'!D21</f>
        <v>9963</v>
      </c>
      <c r="D41" s="480">
        <f>'[94]Sch C'!F21</f>
        <v>-33</v>
      </c>
      <c r="E41" s="480">
        <f>+'[94]Sch C'!H21</f>
        <v>0</v>
      </c>
      <c r="F41" s="166">
        <f t="shared" si="5"/>
        <v>9930</v>
      </c>
      <c r="G41" s="626"/>
      <c r="H41" s="166"/>
      <c r="I41" s="166">
        <f t="shared" si="6"/>
        <v>9930</v>
      </c>
      <c r="J41" s="167">
        <f t="shared" si="7"/>
        <v>2.3232703184044778E-3</v>
      </c>
      <c r="K41" s="458"/>
      <c r="L41" s="163"/>
      <c r="M41" s="163"/>
      <c r="O41" s="324">
        <f t="shared" si="8"/>
        <v>0.55148283905364881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'[94]Sch C'!D22</f>
        <v>0</v>
      </c>
      <c r="D42" s="480">
        <f>'[94]Sch C'!F22</f>
        <v>0</v>
      </c>
      <c r="E42" s="480">
        <f>+'[94]Sch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'[94]Sch C'!D23</f>
        <v>9688</v>
      </c>
      <c r="D43" s="480">
        <f>'[94]Sch C'!F23</f>
        <v>0</v>
      </c>
      <c r="E43" s="480">
        <f>+'[94]Sch C'!H23</f>
        <v>0</v>
      </c>
      <c r="F43" s="166">
        <f t="shared" si="5"/>
        <v>9688</v>
      </c>
      <c r="G43" s="626"/>
      <c r="H43" s="166"/>
      <c r="I43" s="166">
        <f t="shared" si="6"/>
        <v>9688</v>
      </c>
      <c r="J43" s="167">
        <f t="shared" si="7"/>
        <v>2.2666508403527273E-3</v>
      </c>
      <c r="K43" s="458"/>
      <c r="L43" s="163"/>
      <c r="M43" s="163"/>
      <c r="O43" s="324">
        <f t="shared" si="8"/>
        <v>0.53804287459735645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'[94]Sch C'!D24</f>
        <v>21187</v>
      </c>
      <c r="D44" s="480">
        <f>'[94]Sch C'!F24</f>
        <v>0</v>
      </c>
      <c r="E44" s="480">
        <f>+'[94]Sch C'!H24</f>
        <v>0</v>
      </c>
      <c r="F44" s="166">
        <f t="shared" si="5"/>
        <v>21187</v>
      </c>
      <c r="G44" s="626"/>
      <c r="H44" s="166"/>
      <c r="I44" s="166">
        <f t="shared" si="6"/>
        <v>21187</v>
      </c>
      <c r="J44" s="167">
        <f t="shared" si="7"/>
        <v>4.9570119069522328E-3</v>
      </c>
      <c r="K44" s="458"/>
      <c r="L44" s="163"/>
      <c r="M44" s="163"/>
      <c r="O44" s="324">
        <f t="shared" si="8"/>
        <v>1.1766633344440742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'[94]Sch C'!D25</f>
        <v>9917</v>
      </c>
      <c r="D45" s="480">
        <f>'[94]Sch C'!F25</f>
        <v>0</v>
      </c>
      <c r="E45" s="480">
        <f>+'[94]Sch C'!H25</f>
        <v>0</v>
      </c>
      <c r="F45" s="166">
        <f t="shared" si="5"/>
        <v>9917</v>
      </c>
      <c r="G45" s="626"/>
      <c r="H45" s="166"/>
      <c r="I45" s="166">
        <f t="shared" si="6"/>
        <v>9917</v>
      </c>
      <c r="J45" s="167">
        <f t="shared" si="7"/>
        <v>2.3202287761950862E-3</v>
      </c>
      <c r="K45" s="458"/>
      <c r="L45" s="163"/>
      <c r="M45" s="163"/>
      <c r="O45" s="324">
        <f t="shared" si="8"/>
        <v>0.55076085749194714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'[94]Sch C'!D26</f>
        <v>314364</v>
      </c>
      <c r="D46" s="480">
        <f>'[94]Sch C'!F26</f>
        <v>0</v>
      </c>
      <c r="E46" s="480">
        <f>+'[94]Sch C'!H26</f>
        <v>0</v>
      </c>
      <c r="F46" s="166">
        <f t="shared" si="5"/>
        <v>314364</v>
      </c>
      <c r="G46" s="626"/>
      <c r="H46" s="166"/>
      <c r="I46" s="166">
        <f t="shared" si="6"/>
        <v>314364</v>
      </c>
      <c r="J46" s="167">
        <f t="shared" si="7"/>
        <v>7.3550105777936081E-2</v>
      </c>
      <c r="K46" s="458"/>
      <c r="L46" s="163"/>
      <c r="M46" s="163"/>
      <c r="O46" s="324">
        <f t="shared" si="8"/>
        <v>17.458847050983007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'[94]Sch C'!D27</f>
        <v>124751</v>
      </c>
      <c r="D47" s="480">
        <f>'[94]Sch C'!F27</f>
        <v>-110948</v>
      </c>
      <c r="E47" s="480">
        <f>+'[94]Sch C'!H27</f>
        <v>0</v>
      </c>
      <c r="F47" s="166">
        <f t="shared" si="5"/>
        <v>13803</v>
      </c>
      <c r="G47" s="626"/>
      <c r="H47" s="166"/>
      <c r="I47" s="166">
        <f t="shared" si="6"/>
        <v>13803</v>
      </c>
      <c r="J47" s="167">
        <f t="shared" si="7"/>
        <v>3.2294159320178256E-3</v>
      </c>
      <c r="K47" s="458"/>
      <c r="L47" s="163"/>
      <c r="M47" s="163"/>
      <c r="O47" s="324">
        <f t="shared" si="8"/>
        <v>0.76657780739753412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'[94]Sch C'!D28</f>
        <v>0</v>
      </c>
      <c r="D48" s="480">
        <f>'[94]Sch C'!F28</f>
        <v>0</v>
      </c>
      <c r="E48" s="480">
        <f>+'[94]Sch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'[94]Sch C'!D29</f>
        <v>75682</v>
      </c>
      <c r="D49" s="480">
        <f>'[94]Sch C'!F29</f>
        <v>-75682</v>
      </c>
      <c r="E49" s="480">
        <f>+'[94]Sch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'[94]Sch C'!D30</f>
        <v>0</v>
      </c>
      <c r="D50" s="480">
        <f>'[94]Sch C'!F30</f>
        <v>0</v>
      </c>
      <c r="E50" s="480">
        <f>+'[94]Sch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'[94]Sch C'!D31</f>
        <v>0</v>
      </c>
      <c r="D51" s="480">
        <f>'[94]Sch C'!F31</f>
        <v>0</v>
      </c>
      <c r="E51" s="480">
        <f>+'[94]Sch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'[94]Sch C'!D32</f>
        <v>48640</v>
      </c>
      <c r="D52" s="480">
        <f>'[94]Sch C'!F32</f>
        <v>0</v>
      </c>
      <c r="E52" s="480">
        <f>+'[94]Sch C'!H32</f>
        <v>0</v>
      </c>
      <c r="F52" s="166">
        <f t="shared" si="5"/>
        <v>48640</v>
      </c>
      <c r="G52" s="626"/>
      <c r="H52" s="166"/>
      <c r="I52" s="166">
        <f t="shared" si="6"/>
        <v>48640</v>
      </c>
      <c r="J52" s="167">
        <f t="shared" si="7"/>
        <v>1.1380047158831199E-2</v>
      </c>
      <c r="K52" s="458"/>
      <c r="L52" s="163"/>
      <c r="M52" s="163"/>
      <c r="O52" s="324">
        <f t="shared" si="8"/>
        <v>2.7013217816283461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'[94]Sch C'!D33</f>
        <v>0</v>
      </c>
      <c r="D53" s="480">
        <f>'[94]Sch C'!F33</f>
        <v>0</v>
      </c>
      <c r="E53" s="480">
        <f>+'[94]Sch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'[94]Sch C'!D34</f>
        <v>57</v>
      </c>
      <c r="D54" s="480">
        <f>'[94]Sch C'!F34</f>
        <v>0</v>
      </c>
      <c r="E54" s="480">
        <f>+'[94]Sch C'!H34</f>
        <v>0</v>
      </c>
      <c r="F54" s="166">
        <f t="shared" si="5"/>
        <v>57</v>
      </c>
      <c r="G54" s="626"/>
      <c r="H54" s="166"/>
      <c r="I54" s="166">
        <f t="shared" si="6"/>
        <v>57</v>
      </c>
      <c r="J54" s="167">
        <f t="shared" si="7"/>
        <v>1.3335992764255311E-5</v>
      </c>
      <c r="K54" s="458"/>
      <c r="L54" s="163"/>
      <c r="M54" s="163"/>
      <c r="O54" s="324">
        <f t="shared" si="8"/>
        <v>3.1656114628457179E-3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'[94]Sch C'!D35</f>
        <v>10078</v>
      </c>
      <c r="D55" s="480">
        <f>'[94]Sch C'!F35</f>
        <v>-10078</v>
      </c>
      <c r="E55" s="480">
        <f>+'[94]Sch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'[94]Sch C'!D36</f>
        <v>28888</v>
      </c>
      <c r="D56" s="480">
        <f>'[94]Sch C'!F36</f>
        <v>0</v>
      </c>
      <c r="E56" s="480">
        <f>+'[94]Sch C'!H36</f>
        <v>0</v>
      </c>
      <c r="F56" s="166">
        <f t="shared" si="5"/>
        <v>28888</v>
      </c>
      <c r="G56" s="626"/>
      <c r="H56" s="166"/>
      <c r="I56" s="166">
        <f t="shared" si="6"/>
        <v>28888</v>
      </c>
      <c r="J56" s="167">
        <f t="shared" si="7"/>
        <v>6.7587747188387268E-3</v>
      </c>
      <c r="K56" s="458"/>
      <c r="L56" s="176">
        <v>2735</v>
      </c>
      <c r="M56" s="176">
        <v>2889</v>
      </c>
      <c r="O56" s="324">
        <f t="shared" si="8"/>
        <v>1.6043541041874931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'[94]Sch C'!D37</f>
        <v>4555</v>
      </c>
      <c r="D57" s="480">
        <f>'[94]Sch C'!F37</f>
        <v>0</v>
      </c>
      <c r="E57" s="480">
        <f>+'[94]Sch C'!H37</f>
        <v>0</v>
      </c>
      <c r="F57" s="166">
        <f t="shared" si="5"/>
        <v>4555</v>
      </c>
      <c r="G57" s="626"/>
      <c r="H57" s="166"/>
      <c r="I57" s="166">
        <f t="shared" si="6"/>
        <v>4555</v>
      </c>
      <c r="J57" s="167">
        <f t="shared" si="7"/>
        <v>1.0657095972137357E-3</v>
      </c>
      <c r="K57" s="458"/>
      <c r="L57" s="163"/>
      <c r="M57" s="163"/>
      <c r="O57" s="324">
        <f t="shared" si="8"/>
        <v>0.25297123181161835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'[94]Sch C'!D38</f>
        <v>0</v>
      </c>
      <c r="D58" s="480">
        <f>'[94]Sch C'!F38</f>
        <v>0</v>
      </c>
      <c r="E58" s="480">
        <f>+'[94]Sch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'[94]Sch C'!D39</f>
        <v>1807</v>
      </c>
      <c r="D59" s="480">
        <f>'[94]Sch C'!F39</f>
        <v>0</v>
      </c>
      <c r="E59" s="480">
        <f>+'[94]Sch C'!H39</f>
        <v>0</v>
      </c>
      <c r="F59" s="166">
        <f t="shared" si="5"/>
        <v>1807</v>
      </c>
      <c r="G59" s="626"/>
      <c r="H59" s="166"/>
      <c r="I59" s="166">
        <f t="shared" si="6"/>
        <v>1807</v>
      </c>
      <c r="J59" s="167">
        <f t="shared" si="7"/>
        <v>4.2277436710542711E-4</v>
      </c>
      <c r="K59" s="458"/>
      <c r="L59" s="163"/>
      <c r="M59" s="163"/>
      <c r="O59" s="324">
        <f t="shared" si="8"/>
        <v>0.10035543707653005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'[94]Sch C'!D40</f>
        <v>978</v>
      </c>
      <c r="D60" s="480">
        <f>'[94]Sch C'!F40</f>
        <v>-978</v>
      </c>
      <c r="E60" s="480">
        <f>+'[94]Sch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'[94]Sch C'!D41</f>
        <v>28645</v>
      </c>
      <c r="D61" s="480">
        <f>'[94]Sch C'!F41</f>
        <v>-3422</v>
      </c>
      <c r="E61" s="480">
        <f>+'[94]Sch C'!H41</f>
        <v>0</v>
      </c>
      <c r="F61" s="166">
        <f t="shared" si="5"/>
        <v>25223</v>
      </c>
      <c r="G61" s="626"/>
      <c r="H61" s="166"/>
      <c r="I61" s="166">
        <f t="shared" si="6"/>
        <v>25223</v>
      </c>
      <c r="J61" s="167">
        <f t="shared" si="7"/>
        <v>5.9012937805756442E-3</v>
      </c>
      <c r="K61" s="458"/>
      <c r="L61" s="163"/>
      <c r="M61" s="163"/>
      <c r="O61" s="324">
        <f t="shared" si="8"/>
        <v>1.4008108408308342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'[94]Sch C'!D42</f>
        <v>0</v>
      </c>
      <c r="D62" s="480">
        <f>'[94]Sch C'!F42</f>
        <v>0</v>
      </c>
      <c r="E62" s="480">
        <f>+'[94]Sch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'[94]Sch C'!D43</f>
        <v>8304</v>
      </c>
      <c r="D63" s="480">
        <f>'[94]Sch C'!F43</f>
        <v>-8304</v>
      </c>
      <c r="E63" s="480">
        <f>+'[94]Sch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'[94]Sch C'!D44</f>
        <v>0</v>
      </c>
      <c r="D64" s="480">
        <f>'[94]Sch C'!F44</f>
        <v>0</v>
      </c>
      <c r="E64" s="480">
        <f>+'[94]Sch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'[94]Sch C'!D45</f>
        <v>6388</v>
      </c>
      <c r="D65" s="480">
        <f>'[94]Sch C'!F45</f>
        <v>-100</v>
      </c>
      <c r="E65" s="480">
        <f>+'[94]Sch C'!H45</f>
        <v>0</v>
      </c>
      <c r="F65" s="166">
        <f t="shared" si="5"/>
        <v>6288</v>
      </c>
      <c r="G65" s="626">
        <f>-1073.22-36.29</f>
        <v>-1109.51</v>
      </c>
      <c r="H65" s="166"/>
      <c r="I65" s="166">
        <f t="shared" si="6"/>
        <v>5178.49</v>
      </c>
      <c r="J65" s="167">
        <f t="shared" si="7"/>
        <v>1.2115843012240083E-3</v>
      </c>
      <c r="K65" s="458" t="s">
        <v>590</v>
      </c>
      <c r="L65" s="163"/>
      <c r="M65" s="163"/>
      <c r="O65" s="324">
        <f t="shared" si="8"/>
        <v>0.28759802288126179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1233308</v>
      </c>
      <c r="D66" s="480">
        <f t="shared" si="9"/>
        <v>-213359</v>
      </c>
      <c r="E66" s="480">
        <f t="shared" si="9"/>
        <v>-16278</v>
      </c>
      <c r="F66" s="166">
        <f t="shared" ref="F66:I66" si="10">SUM(F30:F65)</f>
        <v>1003671</v>
      </c>
      <c r="G66" s="166">
        <f t="shared" si="10"/>
        <v>-1109.51</v>
      </c>
      <c r="H66" s="166">
        <f t="shared" si="10"/>
        <v>0</v>
      </c>
      <c r="I66" s="166">
        <f t="shared" si="10"/>
        <v>1002561.49</v>
      </c>
      <c r="J66" s="178">
        <f t="shared" si="7"/>
        <v>0.23456408379580743</v>
      </c>
      <c r="K66" s="465"/>
      <c r="L66" s="163"/>
      <c r="M66" s="163"/>
      <c r="O66" s="329">
        <f>I66/I$233</f>
        <v>55.679300788626016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'[94]Sch C'!D57</f>
        <v>0</v>
      </c>
      <c r="D69" s="480">
        <f>'[94]Sch C'!F57</f>
        <v>0</v>
      </c>
      <c r="E69" s="480">
        <f>+'[94]Sch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'[94]Sch C'!D58</f>
        <v>15820</v>
      </c>
      <c r="D70" s="480">
        <f>'[94]Sch C'!F58</f>
        <v>0</v>
      </c>
      <c r="E70" s="480">
        <f>+'[94]Sch C'!H58</f>
        <v>0</v>
      </c>
      <c r="F70" s="166">
        <f t="shared" ref="F70:F83" si="13">C70+D70+E70</f>
        <v>15820</v>
      </c>
      <c r="G70" s="626"/>
      <c r="H70" s="166"/>
      <c r="I70" s="166">
        <f t="shared" ref="I70:I83" si="14">F70+G70+H70</f>
        <v>15820</v>
      </c>
      <c r="J70" s="167">
        <f t="shared" si="11"/>
        <v>3.7013229040441932E-3</v>
      </c>
      <c r="K70" s="458"/>
      <c r="L70" s="182"/>
      <c r="M70" s="163"/>
      <c r="O70" s="324">
        <f t="shared" si="12"/>
        <v>0.87859602354770627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'[94]Sch C'!D59</f>
        <v>0</v>
      </c>
      <c r="D71" s="480">
        <f>'[94]Sch C'!F59</f>
        <v>110946</v>
      </c>
      <c r="E71" s="480">
        <f>+'[94]Sch C'!H59</f>
        <v>0</v>
      </c>
      <c r="F71" s="166">
        <f t="shared" si="13"/>
        <v>110946</v>
      </c>
      <c r="G71" s="626"/>
      <c r="H71" s="166"/>
      <c r="I71" s="166">
        <f t="shared" si="14"/>
        <v>110946</v>
      </c>
      <c r="J71" s="167">
        <f t="shared" si="11"/>
        <v>2.5957457074088943E-2</v>
      </c>
      <c r="K71" s="458"/>
      <c r="L71" s="182"/>
      <c r="M71" s="163"/>
      <c r="O71" s="324">
        <f t="shared" si="12"/>
        <v>6.1616127957347553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'[94]Sch C'!D60</f>
        <v>10251</v>
      </c>
      <c r="D72" s="480">
        <f>'[94]Sch C'!F60</f>
        <v>0</v>
      </c>
      <c r="E72" s="480">
        <f>+'[94]Sch C'!H60</f>
        <v>0</v>
      </c>
      <c r="F72" s="166">
        <f t="shared" si="13"/>
        <v>10251</v>
      </c>
      <c r="G72" s="626"/>
      <c r="H72" s="166"/>
      <c r="I72" s="166">
        <f t="shared" si="14"/>
        <v>10251</v>
      </c>
      <c r="J72" s="167">
        <f t="shared" si="11"/>
        <v>2.3983730144979155E-3</v>
      </c>
      <c r="K72" s="458"/>
      <c r="L72" s="185"/>
      <c r="M72" s="163"/>
      <c r="O72" s="324">
        <f t="shared" si="12"/>
        <v>0.56931022992335889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'[94]Sch C'!D61</f>
        <v>6534</v>
      </c>
      <c r="D73" s="480">
        <f>'[94]Sch C'!F61</f>
        <v>0</v>
      </c>
      <c r="E73" s="480">
        <f>+'[94]Sch C'!H61</f>
        <v>0</v>
      </c>
      <c r="F73" s="166">
        <f t="shared" si="13"/>
        <v>6534</v>
      </c>
      <c r="G73" s="626"/>
      <c r="H73" s="166"/>
      <c r="I73" s="166">
        <f t="shared" si="14"/>
        <v>6534</v>
      </c>
      <c r="J73" s="167">
        <f t="shared" si="11"/>
        <v>1.5287259073972666E-3</v>
      </c>
      <c r="K73" s="458"/>
      <c r="L73" s="185"/>
      <c r="M73" s="163"/>
      <c r="O73" s="324">
        <f t="shared" si="12"/>
        <v>0.36287904031989338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'[94]Sch C'!D62</f>
        <v>361</v>
      </c>
      <c r="D74" s="480">
        <f>'[94]Sch C'!F62</f>
        <v>0</v>
      </c>
      <c r="E74" s="480">
        <f>+'[94]Sch C'!H62</f>
        <v>0</v>
      </c>
      <c r="F74" s="166">
        <f t="shared" si="13"/>
        <v>361</v>
      </c>
      <c r="G74" s="626"/>
      <c r="H74" s="166"/>
      <c r="I74" s="166">
        <f t="shared" si="14"/>
        <v>361</v>
      </c>
      <c r="J74" s="167">
        <f t="shared" si="11"/>
        <v>8.4461287506950298E-5</v>
      </c>
      <c r="K74" s="458"/>
      <c r="L74" s="187"/>
      <c r="M74" s="163"/>
      <c r="O74" s="324">
        <f t="shared" si="12"/>
        <v>2.004887259802288E-2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'[94]Sch C'!D63</f>
        <v>0</v>
      </c>
      <c r="D75" s="480">
        <f>'[94]Sch C'!F63</f>
        <v>0</v>
      </c>
      <c r="E75" s="480">
        <f>+'[94]Sch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'[94]Sch C'!D64</f>
        <v>0</v>
      </c>
      <c r="D76" s="480">
        <f>'[94]Sch C'!F64</f>
        <v>0</v>
      </c>
      <c r="E76" s="480">
        <f>+'[94]Sch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'[94]Sch C'!D65</f>
        <v>6740</v>
      </c>
      <c r="D77" s="480">
        <f>'[94]Sch C'!F65</f>
        <v>0</v>
      </c>
      <c r="E77" s="480">
        <f>+'[94]Sch C'!H65</f>
        <v>0</v>
      </c>
      <c r="F77" s="166">
        <f t="shared" si="13"/>
        <v>6740</v>
      </c>
      <c r="G77" s="626"/>
      <c r="H77" s="166"/>
      <c r="I77" s="166">
        <f t="shared" si="14"/>
        <v>6740</v>
      </c>
      <c r="J77" s="167">
        <f t="shared" si="11"/>
        <v>1.5769226531768561E-3</v>
      </c>
      <c r="K77" s="458"/>
      <c r="L77" s="187"/>
      <c r="M77" s="163"/>
      <c r="O77" s="324">
        <f t="shared" si="12"/>
        <v>0.3743196712207042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'[94]Sch C'!D66</f>
        <v>50915</v>
      </c>
      <c r="D78" s="480">
        <f>'[94]Sch C'!F66</f>
        <v>0</v>
      </c>
      <c r="E78" s="480">
        <f>+'[94]Sch C'!H66</f>
        <v>-946</v>
      </c>
      <c r="F78" s="166">
        <f t="shared" si="13"/>
        <v>49969</v>
      </c>
      <c r="G78" s="626"/>
      <c r="H78" s="166"/>
      <c r="I78" s="166">
        <f t="shared" si="14"/>
        <v>49969</v>
      </c>
      <c r="J78" s="167">
        <f t="shared" si="11"/>
        <v>1.1690986358545151E-2</v>
      </c>
      <c r="K78" s="458"/>
      <c r="L78" s="187"/>
      <c r="M78" s="163"/>
      <c r="O78" s="324">
        <f t="shared" si="12"/>
        <v>2.7751305120515384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'[94]Sch C'!D67</f>
        <v>282179</v>
      </c>
      <c r="D79" s="480">
        <f>'[94]Sch C'!F67</f>
        <v>0</v>
      </c>
      <c r="E79" s="480">
        <f>+'[94]Sch C'!H67</f>
        <v>0</v>
      </c>
      <c r="F79" s="166">
        <f t="shared" si="13"/>
        <v>282179</v>
      </c>
      <c r="G79" s="626"/>
      <c r="H79" s="166"/>
      <c r="I79" s="166">
        <f t="shared" si="14"/>
        <v>282179</v>
      </c>
      <c r="J79" s="167">
        <f t="shared" si="11"/>
        <v>6.6019949161838579E-2</v>
      </c>
      <c r="K79" s="458"/>
      <c r="L79" s="187"/>
      <c r="M79" s="163"/>
      <c r="O79" s="324">
        <f t="shared" si="12"/>
        <v>15.671387315339331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'[94]Sch C'!D68</f>
        <v>0</v>
      </c>
      <c r="D80" s="480">
        <f>'[94]Sch C'!F68</f>
        <v>0</v>
      </c>
      <c r="E80" s="480">
        <f>+'[94]Sch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'[94]Sch C'!D69</f>
        <v>1714</v>
      </c>
      <c r="D81" s="480">
        <f>'[94]Sch C'!F69</f>
        <v>0</v>
      </c>
      <c r="E81" s="480">
        <f>+'[94]Sch C'!H69</f>
        <v>0</v>
      </c>
      <c r="F81" s="166">
        <f t="shared" si="13"/>
        <v>1714</v>
      </c>
      <c r="G81" s="626"/>
      <c r="H81" s="166"/>
      <c r="I81" s="166">
        <f t="shared" si="14"/>
        <v>1714</v>
      </c>
      <c r="J81" s="167">
        <f t="shared" si="11"/>
        <v>4.0101564206901054E-4</v>
      </c>
      <c r="K81" s="458"/>
      <c r="L81" s="187"/>
      <c r="M81" s="163"/>
      <c r="O81" s="324">
        <f t="shared" si="12"/>
        <v>9.5190492058202819E-2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'[94]Sch C'!D70</f>
        <v>0</v>
      </c>
      <c r="D82" s="480">
        <f>'[94]Sch C'!F70</f>
        <v>0</v>
      </c>
      <c r="E82" s="480">
        <f>+'[94]Sch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'[94]Sch C'!D71</f>
        <v>0</v>
      </c>
      <c r="D83" s="480">
        <f>'[94]Sch C'!F71</f>
        <v>0</v>
      </c>
      <c r="E83" s="480">
        <f>+'[94]Sch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374514</v>
      </c>
      <c r="D84" s="480">
        <f t="shared" si="15"/>
        <v>110946</v>
      </c>
      <c r="E84" s="480">
        <f t="shared" si="15"/>
        <v>-946</v>
      </c>
      <c r="F84" s="166">
        <f t="shared" ref="F84:I84" si="16">SUM(F69:F83)</f>
        <v>484514</v>
      </c>
      <c r="G84" s="166">
        <f t="shared" si="16"/>
        <v>0</v>
      </c>
      <c r="H84" s="166">
        <f t="shared" si="16"/>
        <v>0</v>
      </c>
      <c r="I84" s="166">
        <f t="shared" si="16"/>
        <v>484514</v>
      </c>
      <c r="J84" s="167">
        <f t="shared" si="11"/>
        <v>0.11335921400316487</v>
      </c>
      <c r="K84" s="458"/>
      <c r="L84" s="187"/>
      <c r="M84" s="163"/>
      <c r="O84" s="324">
        <f t="shared" si="12"/>
        <v>26.908474952793512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'[94]Sch C'!D75</f>
        <v>42783</v>
      </c>
      <c r="D87" s="480">
        <f>'[94]Sch C'!F75</f>
        <v>0</v>
      </c>
      <c r="E87" s="480">
        <f>+'[94]Sch C'!H75</f>
        <v>0</v>
      </c>
      <c r="F87" s="166">
        <f t="shared" ref="F87:F97" si="17">C87+D87+E87</f>
        <v>42783</v>
      </c>
      <c r="G87" s="626"/>
      <c r="H87" s="166"/>
      <c r="I87" s="166">
        <f t="shared" ref="I87:I97" si="18">F87+G87+H87</f>
        <v>42783</v>
      </c>
      <c r="J87" s="167">
        <f t="shared" ref="J87:J98" si="19">IF($I$213=0,0,I87/$I$213)</f>
        <v>1.0009715411107631E-2</v>
      </c>
      <c r="K87" s="458"/>
      <c r="L87" s="176">
        <v>2204</v>
      </c>
      <c r="M87" s="176">
        <v>2251</v>
      </c>
      <c r="O87" s="324">
        <f t="shared" ref="O87:O97" si="20">I87/I$233</f>
        <v>2.3760413195601466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'[94]Sch C'!D76</f>
        <v>7805</v>
      </c>
      <c r="D88" s="480">
        <f>'[94]Sch C'!F76</f>
        <v>0</v>
      </c>
      <c r="E88" s="480">
        <f>+'[94]Sch C'!H76</f>
        <v>0</v>
      </c>
      <c r="F88" s="166">
        <f t="shared" si="17"/>
        <v>7805</v>
      </c>
      <c r="G88" s="626"/>
      <c r="H88" s="166"/>
      <c r="I88" s="166">
        <f t="shared" si="18"/>
        <v>7805</v>
      </c>
      <c r="J88" s="167">
        <f t="shared" si="19"/>
        <v>1.8260951495616263E-3</v>
      </c>
      <c r="K88" s="458"/>
      <c r="L88" s="163"/>
      <c r="M88" s="163"/>
      <c r="O88" s="324">
        <f t="shared" si="20"/>
        <v>0.43346662223703208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'[94]Sch C'!D77</f>
        <v>7784</v>
      </c>
      <c r="D89" s="480">
        <f>'[94]Sch C'!F77</f>
        <v>0</v>
      </c>
      <c r="E89" s="480">
        <f>+'[94]Sch C'!H77</f>
        <v>0</v>
      </c>
      <c r="F89" s="166">
        <f t="shared" si="17"/>
        <v>7784</v>
      </c>
      <c r="G89" s="626"/>
      <c r="H89" s="166"/>
      <c r="I89" s="166">
        <f t="shared" si="18"/>
        <v>7784</v>
      </c>
      <c r="J89" s="167">
        <f t="shared" si="19"/>
        <v>1.8211818890695322E-3</v>
      </c>
      <c r="K89" s="458"/>
      <c r="L89" s="163"/>
      <c r="M89" s="163"/>
      <c r="O89" s="324">
        <f t="shared" si="20"/>
        <v>0.43230034432966791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'[94]Sch C'!D78</f>
        <v>0</v>
      </c>
      <c r="D90" s="480">
        <f>'[94]Sch C'!F78</f>
        <v>0</v>
      </c>
      <c r="E90" s="480">
        <f>+'[94]Sch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'[94]Sch C'!D79</f>
        <v>2705</v>
      </c>
      <c r="D91" s="480">
        <f>'[94]Sch C'!F79</f>
        <v>0</v>
      </c>
      <c r="E91" s="480">
        <f>+'[94]Sch C'!H79</f>
        <v>0</v>
      </c>
      <c r="F91" s="166">
        <f t="shared" si="17"/>
        <v>2705</v>
      </c>
      <c r="G91" s="626"/>
      <c r="H91" s="166"/>
      <c r="I91" s="166">
        <f t="shared" si="18"/>
        <v>2705</v>
      </c>
      <c r="J91" s="167">
        <f t="shared" si="19"/>
        <v>6.3287474433878273E-4</v>
      </c>
      <c r="K91" s="458"/>
      <c r="L91" s="163"/>
      <c r="M91" s="163"/>
      <c r="O91" s="324">
        <f t="shared" si="20"/>
        <v>0.15022770187715206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'[94]Sch C'!D80</f>
        <v>5765</v>
      </c>
      <c r="D92" s="480">
        <f>'[94]Sch C'!F80</f>
        <v>0</v>
      </c>
      <c r="E92" s="480">
        <f>+'[94]Sch C'!H80</f>
        <v>0</v>
      </c>
      <c r="F92" s="166">
        <f t="shared" si="17"/>
        <v>5765</v>
      </c>
      <c r="G92" s="626"/>
      <c r="H92" s="166"/>
      <c r="I92" s="166">
        <f t="shared" si="18"/>
        <v>5765</v>
      </c>
      <c r="J92" s="167">
        <f t="shared" si="19"/>
        <v>1.3488069874724889E-3</v>
      </c>
      <c r="K92" s="458"/>
      <c r="L92" s="163"/>
      <c r="M92" s="163"/>
      <c r="O92" s="324">
        <f t="shared" si="20"/>
        <v>0.32017105409308011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'[94]Sch C'!D81</f>
        <v>18551</v>
      </c>
      <c r="D93" s="480">
        <f>'[94]Sch C'!F81</f>
        <v>0</v>
      </c>
      <c r="E93" s="480">
        <f>+'[94]Sch C'!H81</f>
        <v>0</v>
      </c>
      <c r="F93" s="166">
        <f t="shared" si="17"/>
        <v>18551</v>
      </c>
      <c r="G93" s="626"/>
      <c r="H93" s="166"/>
      <c r="I93" s="166">
        <f t="shared" si="18"/>
        <v>18551</v>
      </c>
      <c r="J93" s="167">
        <f t="shared" si="19"/>
        <v>4.3402807328017587E-3</v>
      </c>
      <c r="K93" s="458"/>
      <c r="L93" s="163"/>
      <c r="M93" s="163"/>
      <c r="O93" s="324">
        <f t="shared" si="20"/>
        <v>1.0302676885482618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'[94]Sch C'!D82</f>
        <v>12370</v>
      </c>
      <c r="D94" s="480">
        <f>'[94]Sch C'!F82</f>
        <v>0</v>
      </c>
      <c r="E94" s="480">
        <f>+'[94]Sch C'!H82</f>
        <v>0</v>
      </c>
      <c r="F94" s="166">
        <f t="shared" si="17"/>
        <v>12370</v>
      </c>
      <c r="G94" s="626"/>
      <c r="H94" s="166"/>
      <c r="I94" s="166">
        <f t="shared" si="18"/>
        <v>12370</v>
      </c>
      <c r="J94" s="167">
        <f t="shared" si="19"/>
        <v>2.8941443946287402E-3</v>
      </c>
      <c r="K94" s="458"/>
      <c r="L94" s="163"/>
      <c r="M94" s="163"/>
      <c r="O94" s="324">
        <f t="shared" si="20"/>
        <v>0.68699322448072864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'[94]Sch C'!D83</f>
        <v>8947</v>
      </c>
      <c r="D95" s="480">
        <f>'[94]Sch C'!F83</f>
        <v>0</v>
      </c>
      <c r="E95" s="480">
        <f>+'[94]Sch C'!H83</f>
        <v>0</v>
      </c>
      <c r="F95" s="166">
        <f t="shared" si="17"/>
        <v>8947</v>
      </c>
      <c r="G95" s="626"/>
      <c r="H95" s="166"/>
      <c r="I95" s="166">
        <f t="shared" si="18"/>
        <v>8947</v>
      </c>
      <c r="J95" s="167">
        <f t="shared" si="19"/>
        <v>2.0932829344174082E-3</v>
      </c>
      <c r="K95" s="458"/>
      <c r="L95" s="163"/>
      <c r="M95" s="163"/>
      <c r="O95" s="324">
        <f t="shared" si="20"/>
        <v>0.4968899255803621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'[94]Sch C'!D84</f>
        <v>73577</v>
      </c>
      <c r="D96" s="480">
        <f>'[94]Sch C'!F84</f>
        <v>0</v>
      </c>
      <c r="E96" s="480">
        <f>+'[94]Sch C'!H84</f>
        <v>0</v>
      </c>
      <c r="F96" s="166">
        <f t="shared" si="17"/>
        <v>73577</v>
      </c>
      <c r="G96" s="626"/>
      <c r="H96" s="166"/>
      <c r="I96" s="166">
        <f t="shared" si="18"/>
        <v>73577</v>
      </c>
      <c r="J96" s="167">
        <f t="shared" si="19"/>
        <v>1.7214427010800226E-2</v>
      </c>
      <c r="K96" s="458"/>
      <c r="L96" s="163"/>
      <c r="M96" s="163"/>
      <c r="O96" s="324">
        <f t="shared" si="20"/>
        <v>4.0862490281017436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'[94]Sch C'!D85</f>
        <v>0</v>
      </c>
      <c r="D97" s="480">
        <f>'[94]Sch C'!F85</f>
        <v>0</v>
      </c>
      <c r="E97" s="480">
        <f>+'[94]Sch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180287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180287</v>
      </c>
      <c r="G98" s="166">
        <f t="shared" si="22"/>
        <v>0</v>
      </c>
      <c r="H98" s="166">
        <f t="shared" si="22"/>
        <v>0</v>
      </c>
      <c r="I98" s="166">
        <f t="shared" si="22"/>
        <v>180287</v>
      </c>
      <c r="J98" s="167">
        <f t="shared" si="19"/>
        <v>4.2180809254198197E-2</v>
      </c>
      <c r="K98" s="458"/>
      <c r="L98" s="163"/>
      <c r="M98" s="163"/>
      <c r="O98" s="329">
        <f>I98/I$233</f>
        <v>10.012606908808175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'[94]Sch C'!D89</f>
        <v>0</v>
      </c>
      <c r="D101" s="480">
        <f>'[94]Sch C'!F89</f>
        <v>0</v>
      </c>
      <c r="E101" s="480">
        <f>+'[94]Sch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'[94]Sch C'!D90</f>
        <v>0</v>
      </c>
      <c r="D102" s="480">
        <f>'[94]Sch C'!F90</f>
        <v>0</v>
      </c>
      <c r="E102" s="480">
        <f>+'[94]Sch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'[94]Sch C'!D91</f>
        <v>345325</v>
      </c>
      <c r="D103" s="480">
        <f>'[94]Sch C'!F91</f>
        <v>0</v>
      </c>
      <c r="E103" s="480">
        <f>+'[94]Sch C'!H91</f>
        <v>0</v>
      </c>
      <c r="F103" s="166">
        <f t="shared" si="23"/>
        <v>345325</v>
      </c>
      <c r="G103" s="626"/>
      <c r="H103" s="166"/>
      <c r="I103" s="166">
        <f t="shared" si="24"/>
        <v>345325</v>
      </c>
      <c r="J103" s="167">
        <f t="shared" si="25"/>
        <v>8.0793889496780083E-2</v>
      </c>
      <c r="K103" s="458"/>
      <c r="L103" s="163"/>
      <c r="M103" s="163"/>
      <c r="O103" s="329">
        <f t="shared" si="26"/>
        <v>19.17832944574031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'[94]Sch C'!D92</f>
        <v>3174</v>
      </c>
      <c r="D104" s="480">
        <f>'[94]Sch C'!F92</f>
        <v>-377</v>
      </c>
      <c r="E104" s="480">
        <f>+'[94]Sch C'!H92</f>
        <v>0</v>
      </c>
      <c r="F104" s="166">
        <f t="shared" si="23"/>
        <v>2797</v>
      </c>
      <c r="G104" s="626"/>
      <c r="H104" s="166"/>
      <c r="I104" s="166">
        <f t="shared" si="24"/>
        <v>2797</v>
      </c>
      <c r="J104" s="167">
        <f t="shared" si="25"/>
        <v>6.5439950458986149E-4</v>
      </c>
      <c r="K104" s="458"/>
      <c r="L104" s="163"/>
      <c r="M104" s="163"/>
      <c r="O104" s="329">
        <f t="shared" si="26"/>
        <v>0.15533710985227148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'[94]Sch C'!D93</f>
        <v>1687</v>
      </c>
      <c r="D105" s="480">
        <f>'[94]Sch C'!F93</f>
        <v>0</v>
      </c>
      <c r="E105" s="480">
        <f>+'[94]Sch C'!H93</f>
        <v>0</v>
      </c>
      <c r="F105" s="166">
        <f t="shared" si="23"/>
        <v>1687</v>
      </c>
      <c r="G105" s="626"/>
      <c r="H105" s="166"/>
      <c r="I105" s="166">
        <f t="shared" si="24"/>
        <v>1687</v>
      </c>
      <c r="J105" s="167">
        <f t="shared" si="25"/>
        <v>3.9469859286488964E-4</v>
      </c>
      <c r="K105" s="458"/>
      <c r="L105" s="163"/>
      <c r="M105" s="163"/>
      <c r="O105" s="329">
        <f t="shared" si="26"/>
        <v>9.3690991891591691E-2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'[94]Sch C'!D94</f>
        <v>0</v>
      </c>
      <c r="D106" s="480">
        <f>'[94]Sch C'!F94</f>
        <v>0</v>
      </c>
      <c r="E106" s="480">
        <f>+'[94]Sch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350186</v>
      </c>
      <c r="D107" s="480">
        <f t="shared" si="27"/>
        <v>-377</v>
      </c>
      <c r="E107" s="480">
        <f t="shared" si="27"/>
        <v>0</v>
      </c>
      <c r="F107" s="166">
        <f t="shared" ref="F107:I107" si="28">SUM(F101:F106)</f>
        <v>349809</v>
      </c>
      <c r="G107" s="166">
        <f t="shared" si="28"/>
        <v>0</v>
      </c>
      <c r="H107" s="166">
        <f t="shared" si="28"/>
        <v>0</v>
      </c>
      <c r="I107" s="166">
        <f t="shared" si="28"/>
        <v>349809</v>
      </c>
      <c r="J107" s="167">
        <f t="shared" si="25"/>
        <v>8.1842987594234834E-2</v>
      </c>
      <c r="K107" s="458"/>
      <c r="L107" s="163"/>
      <c r="M107" s="163"/>
      <c r="O107" s="329">
        <f>I107/I$233</f>
        <v>19.427357547484171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'[94]Sch C'!D98</f>
        <v>0</v>
      </c>
      <c r="D110" s="480">
        <f>'[94]Sch C'!F98</f>
        <v>0</v>
      </c>
      <c r="E110" s="480">
        <f>+'[94]Sch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'[94]Sch C'!D99</f>
        <v>0</v>
      </c>
      <c r="D111" s="480">
        <f>'[94]Sch C'!F99</f>
        <v>0</v>
      </c>
      <c r="E111" s="480">
        <f>+'[94]Sch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'[94]Sch C'!D100</f>
        <v>0</v>
      </c>
      <c r="D112" s="480">
        <f>'[94]Sch C'!F100</f>
        <v>0</v>
      </c>
      <c r="E112" s="480">
        <f>+'[94]Sch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'[94]Sch C'!D101</f>
        <v>43132</v>
      </c>
      <c r="D113" s="480">
        <f>'[94]Sch C'!F101</f>
        <v>0</v>
      </c>
      <c r="E113" s="480">
        <f>+'[94]Sch C'!H101</f>
        <v>0</v>
      </c>
      <c r="F113" s="166">
        <f t="shared" si="29"/>
        <v>43132</v>
      </c>
      <c r="G113" s="626"/>
      <c r="H113" s="166"/>
      <c r="I113" s="166">
        <f t="shared" si="30"/>
        <v>43132</v>
      </c>
      <c r="J113" s="167">
        <f t="shared" si="31"/>
        <v>1.0091369121190527E-2</v>
      </c>
      <c r="K113" s="458"/>
      <c r="L113" s="163"/>
      <c r="M113" s="163"/>
      <c r="O113" s="329">
        <f t="shared" si="32"/>
        <v>2.3954237476396756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'[94]Sch C'!D102</f>
        <v>2927</v>
      </c>
      <c r="D114" s="480">
        <f>'[94]Sch C'!F102</f>
        <v>0</v>
      </c>
      <c r="E114" s="480">
        <f>+'[94]Sch C'!H102</f>
        <v>0</v>
      </c>
      <c r="F114" s="166">
        <f t="shared" si="29"/>
        <v>2927</v>
      </c>
      <c r="G114" s="626"/>
      <c r="H114" s="166"/>
      <c r="I114" s="166">
        <f t="shared" si="30"/>
        <v>2927</v>
      </c>
      <c r="J114" s="167">
        <f t="shared" si="31"/>
        <v>6.8481492668377708E-4</v>
      </c>
      <c r="K114" s="458"/>
      <c r="L114" s="163"/>
      <c r="M114" s="163"/>
      <c r="O114" s="329">
        <f t="shared" si="32"/>
        <v>0.16255692546928802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'[94]Sch C'!D103</f>
        <v>0</v>
      </c>
      <c r="D115" s="480">
        <f>'[94]Sch C'!F103</f>
        <v>0</v>
      </c>
      <c r="E115" s="480">
        <f>+'[94]Sch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46059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46059</v>
      </c>
      <c r="G116" s="166">
        <f t="shared" si="34"/>
        <v>0</v>
      </c>
      <c r="H116" s="166">
        <f t="shared" si="34"/>
        <v>0</v>
      </c>
      <c r="I116" s="166">
        <f t="shared" si="34"/>
        <v>46059</v>
      </c>
      <c r="J116" s="167">
        <f t="shared" si="31"/>
        <v>1.0776184047874305E-2</v>
      </c>
      <c r="K116" s="458"/>
      <c r="L116" s="163"/>
      <c r="M116" s="163"/>
      <c r="O116" s="329">
        <f>I116/I$233</f>
        <v>2.5579806731089638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'[94]Sch C'!D115</f>
        <v>0</v>
      </c>
      <c r="D119" s="480">
        <f>'[94]Sch C'!F115</f>
        <v>0</v>
      </c>
      <c r="E119" s="480">
        <f>+'[94]Sch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'[94]Sch C'!D116</f>
        <v>0</v>
      </c>
      <c r="D120" s="480">
        <f>'[94]Sch C'!F116</f>
        <v>0</v>
      </c>
      <c r="E120" s="480">
        <f>+'[94]Sch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'[94]Sch C'!D117</f>
        <v>9370</v>
      </c>
      <c r="D121" s="480">
        <f>'[94]Sch C'!F117</f>
        <v>0</v>
      </c>
      <c r="E121" s="480">
        <f>+'[94]Sch C'!H117</f>
        <v>0</v>
      </c>
      <c r="F121" s="166">
        <f t="shared" si="35"/>
        <v>9370</v>
      </c>
      <c r="G121" s="626"/>
      <c r="H121" s="166"/>
      <c r="I121" s="166">
        <f t="shared" si="36"/>
        <v>9370</v>
      </c>
      <c r="J121" s="167">
        <f t="shared" si="37"/>
        <v>2.192250038615303E-3</v>
      </c>
      <c r="K121" s="458"/>
      <c r="L121" s="163"/>
      <c r="M121" s="163"/>
      <c r="O121" s="329">
        <f t="shared" si="38"/>
        <v>0.52038209485726983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'[94]Sch C'!D118</f>
        <v>65766</v>
      </c>
      <c r="D122" s="480">
        <f>'[94]Sch C'!F118</f>
        <v>0</v>
      </c>
      <c r="E122" s="480">
        <f>+'[94]Sch C'!H118</f>
        <v>0</v>
      </c>
      <c r="F122" s="166">
        <f t="shared" si="35"/>
        <v>65766</v>
      </c>
      <c r="G122" s="626"/>
      <c r="H122" s="166"/>
      <c r="I122" s="166">
        <f t="shared" si="36"/>
        <v>65766</v>
      </c>
      <c r="J122" s="167">
        <f t="shared" si="37"/>
        <v>1.5386928072526574E-2</v>
      </c>
      <c r="K122" s="458"/>
      <c r="L122" s="163"/>
      <c r="M122" s="163"/>
      <c r="O122" s="329">
        <f t="shared" si="38"/>
        <v>3.6524491836054649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'[94]Sch C'!D119</f>
        <v>0</v>
      </c>
      <c r="D123" s="480">
        <f>'[94]Sch C'!F119</f>
        <v>0</v>
      </c>
      <c r="E123" s="480">
        <f>+'[94]Sch C'!H119</f>
        <v>0</v>
      </c>
      <c r="F123" s="166">
        <f t="shared" si="35"/>
        <v>0</v>
      </c>
      <c r="G123" s="626"/>
      <c r="H123" s="166"/>
      <c r="I123" s="166">
        <f t="shared" si="36"/>
        <v>0</v>
      </c>
      <c r="J123" s="167">
        <f t="shared" si="37"/>
        <v>0</v>
      </c>
      <c r="K123" s="458"/>
      <c r="L123" s="163"/>
      <c r="M123" s="163"/>
      <c r="O123" s="329">
        <f t="shared" si="38"/>
        <v>0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75136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75136</v>
      </c>
      <c r="G124" s="166">
        <f t="shared" si="40"/>
        <v>0</v>
      </c>
      <c r="H124" s="166">
        <f t="shared" si="40"/>
        <v>0</v>
      </c>
      <c r="I124" s="166">
        <f t="shared" si="40"/>
        <v>75136</v>
      </c>
      <c r="J124" s="167">
        <f t="shared" si="37"/>
        <v>1.7579178111141878E-2</v>
      </c>
      <c r="K124" s="458"/>
      <c r="L124" s="163"/>
      <c r="M124" s="163"/>
      <c r="O124" s="329">
        <f t="shared" si="38"/>
        <v>4.172831278462735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'[94]Sch C'!D124</f>
        <v>0</v>
      </c>
      <c r="D128" s="480">
        <f>'[94]Sch C'!F124</f>
        <v>0</v>
      </c>
      <c r="E128" s="480">
        <f>+'[94]Sch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'[94]Sch C'!D125</f>
        <v>153620</v>
      </c>
      <c r="D129" s="480">
        <f>'[94]Sch C'!F125</f>
        <v>0</v>
      </c>
      <c r="E129" s="480">
        <f>+'[94]Sch C'!H125</f>
        <v>0</v>
      </c>
      <c r="F129" s="166">
        <f t="shared" si="41"/>
        <v>153620</v>
      </c>
      <c r="G129" s="626"/>
      <c r="H129" s="166"/>
      <c r="I129" s="166">
        <f t="shared" si="42"/>
        <v>153620</v>
      </c>
      <c r="J129" s="167">
        <f>IF($I$213=0,0,I129/$I$213)</f>
        <v>3.594167032359475E-2</v>
      </c>
      <c r="K129" s="458"/>
      <c r="L129" s="176">
        <v>4675</v>
      </c>
      <c r="M129" s="176">
        <v>4779</v>
      </c>
      <c r="O129" s="329">
        <f t="shared" si="43"/>
        <v>8.5316005775852499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'[94]Sch C'!D126</f>
        <v>0</v>
      </c>
      <c r="D130" s="480">
        <f>'[94]Sch C'!F126</f>
        <v>0</v>
      </c>
      <c r="E130" s="480">
        <f>+'[94]Sch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'[94]Sch C'!D127</f>
        <v>0</v>
      </c>
      <c r="D131" s="480">
        <f>'[94]Sch C'!F127</f>
        <v>0</v>
      </c>
      <c r="E131" s="480">
        <f>+'[94]Sch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'[94]Sch C'!D128</f>
        <v>42653</v>
      </c>
      <c r="D132" s="480">
        <f>'[94]Sch C'!F128</f>
        <v>0</v>
      </c>
      <c r="E132" s="480">
        <f>+'[94]Sch C'!H128</f>
        <v>0</v>
      </c>
      <c r="F132" s="166">
        <f t="shared" si="41"/>
        <v>42653</v>
      </c>
      <c r="G132" s="626"/>
      <c r="H132" s="166"/>
      <c r="I132" s="166">
        <f t="shared" si="42"/>
        <v>42653</v>
      </c>
      <c r="J132" s="167">
        <f>IF($I$213=0,0,I132/$I$213)</f>
        <v>9.9792999890137152E-3</v>
      </c>
      <c r="K132" s="458"/>
      <c r="L132" s="176">
        <v>1621</v>
      </c>
      <c r="M132" s="176">
        <v>2051</v>
      </c>
      <c r="O132" s="329">
        <f t="shared" si="43"/>
        <v>2.36882150394313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'[94]Sch C'!D130</f>
        <v>0</v>
      </c>
      <c r="D134" s="480">
        <f>'[94]Sch C'!F130</f>
        <v>0</v>
      </c>
      <c r="E134" s="480">
        <f>+'[94]Sch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'[94]Sch C'!D131</f>
        <v>16922</v>
      </c>
      <c r="D135" s="480">
        <f>'[94]Sch C'!F131</f>
        <v>0</v>
      </c>
      <c r="E135" s="480">
        <f>+'[94]Sch C'!H131</f>
        <v>0</v>
      </c>
      <c r="F135" s="166">
        <f t="shared" si="44"/>
        <v>16922</v>
      </c>
      <c r="G135" s="626"/>
      <c r="H135" s="166"/>
      <c r="I135" s="166">
        <f t="shared" si="45"/>
        <v>16922</v>
      </c>
      <c r="J135" s="167">
        <f>IF($I$213=0,0,I135/$I$213)</f>
        <v>3.9591520974864621E-3</v>
      </c>
      <c r="K135" s="458"/>
      <c r="L135" s="196"/>
      <c r="M135" s="196"/>
      <c r="O135" s="329">
        <f t="shared" si="43"/>
        <v>0.93979784516272358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'[94]Sch C'!D132</f>
        <v>0</v>
      </c>
      <c r="D136" s="480">
        <f>'[94]Sch C'!F132</f>
        <v>0</v>
      </c>
      <c r="E136" s="480">
        <f>+'[94]Sch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'[94]Sch C'!D133</f>
        <v>0</v>
      </c>
      <c r="D137" s="480">
        <f>'[94]Sch C'!F133</f>
        <v>0</v>
      </c>
      <c r="E137" s="480">
        <f>+'[94]Sch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'[94]Sch C'!D134</f>
        <v>12268</v>
      </c>
      <c r="D138" s="480">
        <f>'[94]Sch C'!F134</f>
        <v>0</v>
      </c>
      <c r="E138" s="480">
        <f>+'[94]Sch C'!H134</f>
        <v>0</v>
      </c>
      <c r="F138" s="166">
        <f t="shared" si="44"/>
        <v>12268</v>
      </c>
      <c r="G138" s="626"/>
      <c r="H138" s="166"/>
      <c r="I138" s="166">
        <f t="shared" si="45"/>
        <v>12268</v>
      </c>
      <c r="J138" s="167">
        <f>IF($I$213=0,0,I138/$I$213)</f>
        <v>2.8702799865242832E-3</v>
      </c>
      <c r="K138" s="458"/>
      <c r="L138" s="163"/>
      <c r="M138" s="163"/>
      <c r="O138" s="329">
        <f t="shared" si="43"/>
        <v>0.68132844607353105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'[94]Sch C'!D136</f>
        <v>207464</v>
      </c>
      <c r="D140" s="480">
        <f>'[94]Sch C'!F136</f>
        <v>0</v>
      </c>
      <c r="E140" s="480">
        <f>+'[94]Sch C'!H136</f>
        <v>0</v>
      </c>
      <c r="F140" s="166">
        <f t="shared" ref="F140:F143" si="46">C140+D140+E140</f>
        <v>207464</v>
      </c>
      <c r="G140" s="626"/>
      <c r="H140" s="166"/>
      <c r="I140" s="166">
        <f t="shared" ref="I140:I143" si="47">F140+G140+H140</f>
        <v>207464</v>
      </c>
      <c r="J140" s="167">
        <f>IF($I$213=0,0,I140/$I$213)</f>
        <v>4.8539270225323929E-2</v>
      </c>
      <c r="K140" s="458"/>
      <c r="L140" s="176">
        <v>6781</v>
      </c>
      <c r="M140" s="176">
        <v>7065</v>
      </c>
      <c r="O140" s="329">
        <f t="shared" si="43"/>
        <v>11.521937132067089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'[94]Sch C'!D137</f>
        <v>206819</v>
      </c>
      <c r="D141" s="480">
        <f>'[94]Sch C'!F137</f>
        <v>0</v>
      </c>
      <c r="E141" s="480">
        <f>+'[94]Sch C'!H137</f>
        <v>0</v>
      </c>
      <c r="F141" s="166">
        <f t="shared" si="46"/>
        <v>206819</v>
      </c>
      <c r="G141" s="626"/>
      <c r="H141" s="166"/>
      <c r="I141" s="166">
        <f t="shared" si="47"/>
        <v>206819</v>
      </c>
      <c r="J141" s="167">
        <f>IF($I$213=0,0,I141/$I$213)</f>
        <v>4.8388362938781036E-2</v>
      </c>
      <c r="K141" s="458"/>
      <c r="L141" s="176">
        <v>13361</v>
      </c>
      <c r="M141" s="176">
        <v>14056</v>
      </c>
      <c r="O141" s="329">
        <f t="shared" si="43"/>
        <v>11.486115739198045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'[94]Sch C'!D138</f>
        <v>405693</v>
      </c>
      <c r="D142" s="480">
        <f>'[94]Sch C'!F138</f>
        <v>8991</v>
      </c>
      <c r="E142" s="480">
        <f>+'[94]Sch C'!H138</f>
        <v>0</v>
      </c>
      <c r="F142" s="166">
        <f t="shared" si="46"/>
        <v>414684</v>
      </c>
      <c r="G142" s="626"/>
      <c r="H142" s="166"/>
      <c r="I142" s="166">
        <f t="shared" si="47"/>
        <v>414684</v>
      </c>
      <c r="J142" s="167">
        <f>IF($I$213=0,0,I142/$I$213)</f>
        <v>9.7021453043025424E-2</v>
      </c>
      <c r="K142" s="458"/>
      <c r="L142" s="176">
        <v>44594</v>
      </c>
      <c r="M142" s="176">
        <v>46674</v>
      </c>
      <c r="O142" s="329">
        <f t="shared" si="43"/>
        <v>23.03032322559147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'[94]Sch C'!D139</f>
        <v>8991</v>
      </c>
      <c r="D143" s="480">
        <f>'[94]Sch C'!F139</f>
        <v>-8991</v>
      </c>
      <c r="E143" s="480">
        <f>+'[94]Sch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'[94]Sch C'!D141</f>
        <v>163989</v>
      </c>
      <c r="D145" s="480">
        <f>'[94]Sch C'!F141</f>
        <v>-122948</v>
      </c>
      <c r="E145" s="480">
        <f>+'[94]Sch C'!H141</f>
        <v>0</v>
      </c>
      <c r="F145" s="166">
        <f t="shared" ref="F145:F148" si="48">C145+D145+E145</f>
        <v>41041</v>
      </c>
      <c r="G145" s="626"/>
      <c r="H145" s="166"/>
      <c r="I145" s="166">
        <f t="shared" ref="I145:I148" si="49">F145+G145+H145</f>
        <v>41041</v>
      </c>
      <c r="J145" s="167">
        <f>IF($I$213=0,0,I145/$I$213)</f>
        <v>9.6021487550491617E-3</v>
      </c>
      <c r="K145" s="458"/>
      <c r="L145" s="163"/>
      <c r="M145" s="163"/>
      <c r="O145" s="329">
        <f t="shared" si="43"/>
        <v>2.2792957902921249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'[94]Sch C'!D142</f>
        <v>0</v>
      </c>
      <c r="D146" s="480">
        <f>'[94]Sch C'!F142</f>
        <v>40914</v>
      </c>
      <c r="E146" s="480">
        <f>+'[94]Sch C'!H142</f>
        <v>0</v>
      </c>
      <c r="F146" s="166">
        <f t="shared" si="48"/>
        <v>40914</v>
      </c>
      <c r="G146" s="626"/>
      <c r="H146" s="166"/>
      <c r="I146" s="166">
        <f t="shared" si="49"/>
        <v>40914</v>
      </c>
      <c r="J146" s="167">
        <f>IF($I$213=0,0,I146/$I$213)</f>
        <v>9.572435227311259E-3</v>
      </c>
      <c r="K146" s="458"/>
      <c r="L146" s="163"/>
      <c r="M146" s="163"/>
      <c r="O146" s="329">
        <f t="shared" si="43"/>
        <v>2.2722425858047317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'[94]Sch C'!D143</f>
        <v>0</v>
      </c>
      <c r="D147" s="480">
        <f>'[94]Sch C'!F143</f>
        <v>82034</v>
      </c>
      <c r="E147" s="480">
        <f>+'[94]Sch C'!H143</f>
        <v>0</v>
      </c>
      <c r="F147" s="166">
        <f t="shared" si="48"/>
        <v>82034</v>
      </c>
      <c r="G147" s="626"/>
      <c r="H147" s="166"/>
      <c r="I147" s="166">
        <f t="shared" si="49"/>
        <v>82034</v>
      </c>
      <c r="J147" s="167">
        <f>IF($I$213=0,0,I147/$I$213)</f>
        <v>1.9193067200402109E-2</v>
      </c>
      <c r="K147" s="458"/>
      <c r="L147" s="163"/>
      <c r="M147" s="163"/>
      <c r="O147" s="329">
        <f t="shared" si="43"/>
        <v>4.5559258025102745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'[94]Sch C'!D144</f>
        <v>0</v>
      </c>
      <c r="D148" s="480">
        <f>'[94]Sch C'!F144</f>
        <v>0</v>
      </c>
      <c r="E148" s="480">
        <f>+'[94]Sch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'[94]Sch C'!D146</f>
        <v>32800</v>
      </c>
      <c r="D150" s="480">
        <f>'[94]Sch C'!F146</f>
        <v>0</v>
      </c>
      <c r="E150" s="480">
        <f>+'[94]Sch C'!H146</f>
        <v>0</v>
      </c>
      <c r="F150" s="166">
        <f t="shared" ref="F150:F158" si="50">C150+D150+E150</f>
        <v>32800</v>
      </c>
      <c r="G150" s="626"/>
      <c r="H150" s="166"/>
      <c r="I150" s="166">
        <f t="shared" ref="I150:I158" si="51">F150+G150+H150</f>
        <v>32800</v>
      </c>
      <c r="J150" s="167">
        <f t="shared" ref="J150:J158" si="52">IF($I$213=0,0,I150/$I$213)</f>
        <v>7.6740449590802489E-3</v>
      </c>
      <c r="K150" s="458"/>
      <c r="L150" s="176">
        <v>238</v>
      </c>
      <c r="M150" s="176">
        <v>238</v>
      </c>
      <c r="O150" s="329">
        <f t="shared" si="43"/>
        <v>1.8216150172164833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'[94]Sch C'!D147</f>
        <v>35964</v>
      </c>
      <c r="D151" s="480">
        <f>'[94]Sch C'!F147</f>
        <v>0</v>
      </c>
      <c r="E151" s="480">
        <f>+'[94]Sch C'!H147</f>
        <v>0</v>
      </c>
      <c r="F151" s="166">
        <f t="shared" si="50"/>
        <v>35964</v>
      </c>
      <c r="G151" s="626"/>
      <c r="H151" s="166"/>
      <c r="I151" s="166">
        <f t="shared" si="51"/>
        <v>35964</v>
      </c>
      <c r="J151" s="167">
        <f t="shared" si="52"/>
        <v>8.4143095398890883E-3</v>
      </c>
      <c r="K151" s="458"/>
      <c r="L151" s="176">
        <v>510</v>
      </c>
      <c r="M151" s="176">
        <v>510</v>
      </c>
      <c r="O151" s="329">
        <f t="shared" si="43"/>
        <v>1.9973342219260246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'[94]Sch C'!D148</f>
        <v>24287</v>
      </c>
      <c r="D152" s="480">
        <f>'[94]Sch C'!F148</f>
        <v>0</v>
      </c>
      <c r="E152" s="480">
        <f>+'[94]Sch C'!H148</f>
        <v>0</v>
      </c>
      <c r="F152" s="166">
        <f t="shared" si="50"/>
        <v>24287</v>
      </c>
      <c r="G152" s="626"/>
      <c r="H152" s="166"/>
      <c r="I152" s="166">
        <f t="shared" si="51"/>
        <v>24287</v>
      </c>
      <c r="J152" s="167">
        <f t="shared" si="52"/>
        <v>5.6823027414994514E-3</v>
      </c>
      <c r="K152" s="458"/>
      <c r="L152" s="176">
        <v>473</v>
      </c>
      <c r="M152" s="176">
        <v>473</v>
      </c>
      <c r="O152" s="329">
        <f t="shared" si="43"/>
        <v>1.348828168388315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'[94]Sch C'!D149</f>
        <v>9710</v>
      </c>
      <c r="D153" s="480">
        <f>'[94]Sch C'!F149</f>
        <v>0</v>
      </c>
      <c r="E153" s="480">
        <f>+'[94]Sch C'!H149</f>
        <v>0</v>
      </c>
      <c r="F153" s="166">
        <f t="shared" si="50"/>
        <v>9710</v>
      </c>
      <c r="G153" s="626"/>
      <c r="H153" s="166"/>
      <c r="I153" s="166">
        <f t="shared" si="51"/>
        <v>9710</v>
      </c>
      <c r="J153" s="167">
        <f t="shared" si="52"/>
        <v>2.2717980656301591E-3</v>
      </c>
      <c r="K153" s="458"/>
      <c r="L153" s="176">
        <v>236</v>
      </c>
      <c r="M153" s="176">
        <v>236</v>
      </c>
      <c r="O153" s="329">
        <f t="shared" si="43"/>
        <v>0.5392646895479285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'[94]Sch C'!D150</f>
        <v>5174</v>
      </c>
      <c r="D154" s="480">
        <f>'[94]Sch C'!F150</f>
        <v>0</v>
      </c>
      <c r="E154" s="480">
        <f>+'[94]Sch C'!H150</f>
        <v>0</v>
      </c>
      <c r="F154" s="166">
        <f t="shared" si="50"/>
        <v>5174</v>
      </c>
      <c r="G154" s="626"/>
      <c r="H154" s="166"/>
      <c r="I154" s="166">
        <f t="shared" si="51"/>
        <v>5174</v>
      </c>
      <c r="J154" s="167">
        <f t="shared" si="52"/>
        <v>1.2105337993378418E-3</v>
      </c>
      <c r="K154" s="458"/>
      <c r="L154" s="176">
        <v>0</v>
      </c>
      <c r="M154" s="176">
        <v>0</v>
      </c>
      <c r="O154" s="329">
        <f t="shared" si="43"/>
        <v>0.28734866155725869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'[94]Sch C'!D151</f>
        <v>77355</v>
      </c>
      <c r="D155" s="480">
        <f>'[94]Sch C'!F151</f>
        <v>0</v>
      </c>
      <c r="E155" s="480">
        <f>+'[94]Sch C'!H151</f>
        <v>0</v>
      </c>
      <c r="F155" s="166">
        <f t="shared" si="50"/>
        <v>77355</v>
      </c>
      <c r="G155" s="626"/>
      <c r="H155" s="166"/>
      <c r="I155" s="166">
        <f t="shared" si="51"/>
        <v>77355</v>
      </c>
      <c r="J155" s="167">
        <f t="shared" si="52"/>
        <v>1.8098345969806483E-2</v>
      </c>
      <c r="K155" s="458"/>
      <c r="L155" s="163"/>
      <c r="M155" s="163"/>
      <c r="O155" s="329">
        <f t="shared" si="43"/>
        <v>4.2960679773408863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'[94]Sch C'!D152</f>
        <v>5660</v>
      </c>
      <c r="D156" s="480">
        <f>'[94]Sch C'!F152</f>
        <v>0</v>
      </c>
      <c r="E156" s="480">
        <f>+'[94]Sch C'!H152</f>
        <v>0</v>
      </c>
      <c r="F156" s="166">
        <f t="shared" si="50"/>
        <v>5660</v>
      </c>
      <c r="G156" s="626"/>
      <c r="H156" s="166"/>
      <c r="I156" s="166">
        <f t="shared" si="51"/>
        <v>5660</v>
      </c>
      <c r="J156" s="167">
        <f t="shared" si="52"/>
        <v>1.3242406850120186E-3</v>
      </c>
      <c r="K156" s="458"/>
      <c r="L156" s="163"/>
      <c r="M156" s="163"/>
      <c r="O156" s="329">
        <f t="shared" si="43"/>
        <v>0.314339664556259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'[94]Sch C'!D153</f>
        <v>0</v>
      </c>
      <c r="D157" s="480">
        <f>'[94]Sch C'!F153</f>
        <v>0</v>
      </c>
      <c r="E157" s="480">
        <f>+'[94]Sch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'[94]Sch C'!D154</f>
        <v>0</v>
      </c>
      <c r="D158" s="480">
        <f>'[94]Sch C'!F154</f>
        <v>0</v>
      </c>
      <c r="E158" s="480">
        <f>+'[94]Sch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'[94]Sch C'!D156</f>
        <v>0</v>
      </c>
      <c r="D160" s="480">
        <f>'[94]Sch C'!F156</f>
        <v>0</v>
      </c>
      <c r="E160" s="480">
        <f>+'[94]Sch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'[94]Sch C'!D157</f>
        <v>0</v>
      </c>
      <c r="D161" s="480">
        <f>'[94]Sch C'!F157</f>
        <v>0</v>
      </c>
      <c r="E161" s="480">
        <f>+'[94]Sch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'[94]Sch C'!D158</f>
        <v>0</v>
      </c>
      <c r="D162" s="480">
        <f>'[94]Sch C'!F158</f>
        <v>0</v>
      </c>
      <c r="E162" s="480">
        <f>+'[94]Sch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'[94]Sch C'!D159</f>
        <v>0</v>
      </c>
      <c r="D163" s="480">
        <f>'[94]Sch C'!F159</f>
        <v>0</v>
      </c>
      <c r="E163" s="480">
        <f>+'[94]Sch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'[94]Sch C'!D160</f>
        <v>1432</v>
      </c>
      <c r="D164" s="480">
        <f>'[94]Sch C'!F160</f>
        <v>0</v>
      </c>
      <c r="E164" s="480">
        <f>+'[94]Sch C'!H160</f>
        <v>0</v>
      </c>
      <c r="F164" s="166">
        <f t="shared" si="53"/>
        <v>1432</v>
      </c>
      <c r="G164" s="626"/>
      <c r="H164" s="166"/>
      <c r="I164" s="166">
        <f t="shared" si="54"/>
        <v>1432</v>
      </c>
      <c r="J164" s="167">
        <f>IF($I$213=0,0,I164/$I$213)</f>
        <v>3.3503757260374746E-4</v>
      </c>
      <c r="K164" s="458"/>
      <c r="L164" s="163"/>
      <c r="M164" s="163"/>
      <c r="O164" s="329">
        <f t="shared" si="43"/>
        <v>7.9529045873597687E-2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'[94]Sch C'!D161</f>
        <v>9200</v>
      </c>
      <c r="D165" s="480">
        <f>'[94]Sch C'!F161</f>
        <v>0</v>
      </c>
      <c r="E165" s="480">
        <f>+'[94]Sch C'!H161</f>
        <v>0</v>
      </c>
      <c r="F165" s="166">
        <f t="shared" si="53"/>
        <v>9200</v>
      </c>
      <c r="G165" s="626"/>
      <c r="H165" s="166"/>
      <c r="I165" s="166">
        <f t="shared" si="54"/>
        <v>9200</v>
      </c>
      <c r="J165" s="167">
        <f t="shared" si="55"/>
        <v>2.1524760251078745E-3</v>
      </c>
      <c r="K165" s="458"/>
      <c r="L165" s="163"/>
      <c r="M165" s="163"/>
      <c r="O165" s="329">
        <f t="shared" si="43"/>
        <v>0.51094079751194044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1420001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1420001</v>
      </c>
      <c r="G166" s="166">
        <f t="shared" si="57"/>
        <v>0</v>
      </c>
      <c r="H166" s="166">
        <f t="shared" si="57"/>
        <v>0</v>
      </c>
      <c r="I166" s="166">
        <f t="shared" si="57"/>
        <v>1420001</v>
      </c>
      <c r="J166" s="167">
        <f t="shared" si="55"/>
        <v>0.33223022914447903</v>
      </c>
      <c r="K166" s="458"/>
      <c r="L166" s="163"/>
      <c r="M166" s="163"/>
      <c r="O166" s="329">
        <f>I166/I$233</f>
        <v>78.862656892147058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'[94]Sch C'!D175</f>
        <v>0</v>
      </c>
      <c r="D169" s="480">
        <f>'[94]Sch C'!F175</f>
        <v>0</v>
      </c>
      <c r="E169" s="480">
        <f>+'[94]Sch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'[94]Sch C'!D176</f>
        <v>0</v>
      </c>
      <c r="D170" s="480">
        <f>'[94]Sch C'!F176</f>
        <v>0</v>
      </c>
      <c r="E170" s="480">
        <f>+'[94]Sch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'[94]Sch C'!D177</f>
        <v>0</v>
      </c>
      <c r="D171" s="480">
        <f>'[94]Sch C'!F177</f>
        <v>0</v>
      </c>
      <c r="E171" s="480">
        <f>+'[94]Sch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'[94]Sch C'!D178</f>
        <v>0</v>
      </c>
      <c r="D172" s="480">
        <f>'[94]Sch C'!F178</f>
        <v>0</v>
      </c>
      <c r="E172" s="480">
        <f>+'[94]Sch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'[94]Sch C'!D179</f>
        <v>0</v>
      </c>
      <c r="D173" s="480">
        <f>'[94]Sch C'!F179</f>
        <v>0</v>
      </c>
      <c r="E173" s="480">
        <f>+'[94]Sch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'[94]Sch C'!D180</f>
        <v>0</v>
      </c>
      <c r="D174" s="480">
        <f>'[94]Sch C'!F180</f>
        <v>0</v>
      </c>
      <c r="E174" s="480">
        <f>+'[94]Sch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'[94]Sch C'!D181</f>
        <v>0</v>
      </c>
      <c r="D175" s="480">
        <f>'[94]Sch C'!F181</f>
        <v>0</v>
      </c>
      <c r="E175" s="480">
        <f>+'[94]Sch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'[94]Sch C'!D182</f>
        <v>0</v>
      </c>
      <c r="D176" s="480">
        <f>'[94]Sch C'!F182</f>
        <v>0</v>
      </c>
      <c r="E176" s="480">
        <f>+'[94]Sch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'[94]Sch C'!D183</f>
        <v>0</v>
      </c>
      <c r="D177" s="480">
        <f>'[94]Sch C'!F183</f>
        <v>0</v>
      </c>
      <c r="E177" s="480">
        <f>+'[94]Sch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'[94]Sch C'!D184</f>
        <v>0</v>
      </c>
      <c r="D178" s="480">
        <f>'[94]Sch C'!F184</f>
        <v>0</v>
      </c>
      <c r="E178" s="480">
        <f>+'[94]Sch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'[94]Sch C'!D185</f>
        <v>0</v>
      </c>
      <c r="D179" s="480">
        <f>'[94]Sch C'!F185</f>
        <v>0</v>
      </c>
      <c r="E179" s="480">
        <f>+'[94]Sch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'[94]Sch C'!D186</f>
        <v>0</v>
      </c>
      <c r="D180" s="480">
        <f>'[94]Sch C'!F186</f>
        <v>0</v>
      </c>
      <c r="E180" s="480">
        <f>+'[94]Sch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'[94]Sch C'!D187</f>
        <v>0</v>
      </c>
      <c r="D181" s="480">
        <f>'[94]Sch C'!F187</f>
        <v>0</v>
      </c>
      <c r="E181" s="480">
        <f>+'[94]Sch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'[94]Sch C'!D188</f>
        <v>0</v>
      </c>
      <c r="D182" s="480">
        <f>'[94]Sch C'!F188</f>
        <v>0</v>
      </c>
      <c r="E182" s="480">
        <f>+'[94]Sch C'!H188</f>
        <v>0</v>
      </c>
      <c r="F182" s="166">
        <f t="shared" si="58"/>
        <v>0</v>
      </c>
      <c r="G182" s="626"/>
      <c r="H182" s="166"/>
      <c r="I182" s="166">
        <f t="shared" si="59"/>
        <v>0</v>
      </c>
      <c r="J182" s="167">
        <f t="shared" si="60"/>
        <v>0</v>
      </c>
      <c r="K182" s="458"/>
      <c r="L182" s="213"/>
      <c r="M182" s="208"/>
      <c r="N182" s="210"/>
      <c r="O182" s="329">
        <f t="shared" si="61"/>
        <v>0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'[94]Sch C'!D189</f>
        <v>0</v>
      </c>
      <c r="D183" s="480">
        <f>'[94]Sch C'!F189</f>
        <v>0</v>
      </c>
      <c r="E183" s="480">
        <f>+'[94]Sch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'[94]Sch C'!D190</f>
        <v>0</v>
      </c>
      <c r="D184" s="480">
        <f>'[94]Sch C'!F190</f>
        <v>0</v>
      </c>
      <c r="E184" s="480">
        <f>+'[94]Sch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'[94]Sch C'!D191</f>
        <v>0</v>
      </c>
      <c r="D185" s="480">
        <f>'[94]Sch C'!F191</f>
        <v>0</v>
      </c>
      <c r="E185" s="480">
        <f>+'[94]Sch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'[94]Sch C'!D192</f>
        <v>0</v>
      </c>
      <c r="D186" s="480">
        <f>'[94]Sch C'!F192</f>
        <v>0</v>
      </c>
      <c r="E186" s="480">
        <f>+'[94]Sch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'[94]Sch C'!D193</f>
        <v>80</v>
      </c>
      <c r="D187" s="480">
        <f>'[94]Sch C'!F193</f>
        <v>0</v>
      </c>
      <c r="E187" s="480">
        <f>+'[94]Sch C'!H193</f>
        <v>0</v>
      </c>
      <c r="F187" s="166">
        <f t="shared" si="58"/>
        <v>80</v>
      </c>
      <c r="G187" s="626"/>
      <c r="H187" s="166"/>
      <c r="I187" s="166">
        <f t="shared" si="59"/>
        <v>80</v>
      </c>
      <c r="J187" s="167">
        <f t="shared" si="60"/>
        <v>1.8717182827024997E-5</v>
      </c>
      <c r="K187" s="458"/>
      <c r="L187" s="213"/>
      <c r="M187" s="208"/>
      <c r="N187" s="210"/>
      <c r="O187" s="329">
        <f t="shared" si="61"/>
        <v>4.4429634566255692E-3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'[94]Sch C'!D194</f>
        <v>237385</v>
      </c>
      <c r="D188" s="480">
        <f>'[94]Sch C'!F194</f>
        <v>0</v>
      </c>
      <c r="E188" s="480">
        <f>+'[94]Sch C'!H194</f>
        <v>4154</v>
      </c>
      <c r="F188" s="166">
        <f t="shared" si="58"/>
        <v>241539</v>
      </c>
      <c r="G188" s="626"/>
      <c r="H188" s="166"/>
      <c r="I188" s="166">
        <f t="shared" si="59"/>
        <v>241539</v>
      </c>
      <c r="J188" s="167">
        <f t="shared" si="60"/>
        <v>5.6511620285709885E-2</v>
      </c>
      <c r="K188" s="458"/>
      <c r="L188" s="213"/>
      <c r="M188" s="208"/>
      <c r="O188" s="329">
        <f t="shared" si="61"/>
        <v>13.414361879373542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'[94]Sch C'!D195</f>
        <v>51036</v>
      </c>
      <c r="D189" s="480">
        <f>'[94]Sch C'!F195</f>
        <v>0</v>
      </c>
      <c r="E189" s="480">
        <f>+'[94]Sch C'!H195</f>
        <v>893</v>
      </c>
      <c r="F189" s="166">
        <f t="shared" si="58"/>
        <v>51929</v>
      </c>
      <c r="G189" s="626"/>
      <c r="H189" s="166"/>
      <c r="I189" s="166">
        <f t="shared" si="59"/>
        <v>51929</v>
      </c>
      <c r="J189" s="167">
        <f t="shared" si="60"/>
        <v>1.2149557337807263E-2</v>
      </c>
      <c r="K189" s="458"/>
      <c r="L189" s="213"/>
      <c r="M189" s="208"/>
      <c r="O189" s="329">
        <f t="shared" si="61"/>
        <v>2.883983116738865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'[94]Sch C'!D196</f>
        <v>0</v>
      </c>
      <c r="D190" s="480">
        <f>'[94]Sch C'!F196</f>
        <v>0</v>
      </c>
      <c r="E190" s="480">
        <f>+'[94]Sch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'[94]Sch C'!D197</f>
        <v>198359</v>
      </c>
      <c r="D191" s="480">
        <f>'[94]Sch C'!F197</f>
        <v>0</v>
      </c>
      <c r="E191" s="480">
        <f>+'[94]Sch C'!H197</f>
        <v>3471</v>
      </c>
      <c r="F191" s="166">
        <f t="shared" si="58"/>
        <v>201830</v>
      </c>
      <c r="G191" s="626"/>
      <c r="H191" s="166"/>
      <c r="I191" s="166">
        <f t="shared" si="59"/>
        <v>201830</v>
      </c>
      <c r="J191" s="167">
        <f t="shared" si="60"/>
        <v>4.7221112624730686E-2</v>
      </c>
      <c r="K191" s="458"/>
      <c r="L191" s="213"/>
      <c r="M191" s="208"/>
      <c r="O191" s="329">
        <f t="shared" si="61"/>
        <v>11.209041430634233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'[94]Sch C'!D198</f>
        <v>18878</v>
      </c>
      <c r="D192" s="480">
        <f>'[94]Sch C'!F198</f>
        <v>0</v>
      </c>
      <c r="E192" s="480">
        <f>+'[94]Sch C'!H198</f>
        <v>0</v>
      </c>
      <c r="F192" s="166">
        <f t="shared" si="58"/>
        <v>18878</v>
      </c>
      <c r="G192" s="626"/>
      <c r="H192" s="166"/>
      <c r="I192" s="166">
        <f t="shared" si="59"/>
        <v>18878</v>
      </c>
      <c r="J192" s="167">
        <f t="shared" si="60"/>
        <v>4.4167872176072241E-3</v>
      </c>
      <c r="K192" s="458"/>
      <c r="L192" s="213"/>
      <c r="M192" s="208"/>
      <c r="O192" s="329">
        <f t="shared" si="61"/>
        <v>1.0484283016772187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'[94]Sch C'!D199</f>
        <v>0</v>
      </c>
      <c r="D193" s="480">
        <f>'[94]Sch C'!F199</f>
        <v>0</v>
      </c>
      <c r="E193" s="480">
        <f>+'[94]Sch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'[94]Sch C'!D200</f>
        <v>0</v>
      </c>
      <c r="D194" s="480">
        <f>'[94]Sch C'!F200</f>
        <v>0</v>
      </c>
      <c r="E194" s="480">
        <f>+'[94]Sch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'[94]Sch C'!D201</f>
        <v>0</v>
      </c>
      <c r="D195" s="480">
        <f>'[94]Sch C'!F201</f>
        <v>0</v>
      </c>
      <c r="E195" s="480">
        <f>+'[94]Sch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'[94]Sch C'!D202</f>
        <v>0</v>
      </c>
      <c r="D196" s="480">
        <f>'[94]Sch C'!F202</f>
        <v>0</v>
      </c>
      <c r="E196" s="480">
        <f>+'[94]Sch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'[94]Sch C'!D203</f>
        <v>0</v>
      </c>
      <c r="D197" s="480">
        <f>'[94]Sch C'!F203</f>
        <v>0</v>
      </c>
      <c r="E197" s="480">
        <f>+'[94]Sch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'[94]Sch C'!D204</f>
        <v>0</v>
      </c>
      <c r="D198" s="480">
        <f>'[94]Sch C'!F204</f>
        <v>0</v>
      </c>
      <c r="E198" s="480">
        <f>+'[94]Sch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'[94]Sch C'!D205</f>
        <v>81975</v>
      </c>
      <c r="D199" s="480">
        <f>'[94]Sch C'!F205</f>
        <v>0</v>
      </c>
      <c r="E199" s="480">
        <f>+'[94]Sch C'!H205</f>
        <v>0</v>
      </c>
      <c r="F199" s="166">
        <f t="shared" si="58"/>
        <v>81975</v>
      </c>
      <c r="G199" s="626"/>
      <c r="H199" s="166"/>
      <c r="I199" s="166">
        <f t="shared" si="59"/>
        <v>81975</v>
      </c>
      <c r="J199" s="167">
        <f t="shared" si="60"/>
        <v>1.9179263278067175E-2</v>
      </c>
      <c r="K199" s="458"/>
      <c r="L199" s="213"/>
      <c r="M199" s="208"/>
      <c r="O199" s="329">
        <f t="shared" si="61"/>
        <v>4.552649116961013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'[94]Sch C'!D206</f>
        <v>3616</v>
      </c>
      <c r="D200" s="480">
        <f>'[94]Sch C'!F206</f>
        <v>0</v>
      </c>
      <c r="E200" s="480">
        <f>+'[94]Sch C'!H206</f>
        <v>0</v>
      </c>
      <c r="F200" s="166">
        <f t="shared" si="58"/>
        <v>3616</v>
      </c>
      <c r="G200" s="626"/>
      <c r="H200" s="166"/>
      <c r="I200" s="166">
        <f t="shared" si="59"/>
        <v>3616</v>
      </c>
      <c r="J200" s="167">
        <f t="shared" si="60"/>
        <v>8.4601666378152985E-4</v>
      </c>
      <c r="K200" s="458"/>
      <c r="L200" s="213"/>
      <c r="M200" s="208"/>
      <c r="O200" s="329">
        <f t="shared" si="61"/>
        <v>0.20082194823947572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'[94]Sch C'!D207</f>
        <v>0</v>
      </c>
      <c r="D201" s="480">
        <f>'[94]Sch C'!F207</f>
        <v>0</v>
      </c>
      <c r="E201" s="480">
        <f>+'[94]Sch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591329</v>
      </c>
      <c r="D202" s="480">
        <f t="shared" si="62"/>
        <v>0</v>
      </c>
      <c r="E202" s="480">
        <f t="shared" si="62"/>
        <v>8518</v>
      </c>
      <c r="F202" s="166">
        <f t="shared" ref="F202:I202" si="63">SUM(F169:F201)</f>
        <v>599847</v>
      </c>
      <c r="G202" s="166">
        <f t="shared" si="63"/>
        <v>0</v>
      </c>
      <c r="H202" s="166">
        <f t="shared" si="63"/>
        <v>0</v>
      </c>
      <c r="I202" s="166">
        <f t="shared" si="63"/>
        <v>599847</v>
      </c>
      <c r="J202" s="167">
        <f>IF($I$213=0,0,I202/$I$213)</f>
        <v>0.1403430745905308</v>
      </c>
      <c r="K202" s="458"/>
      <c r="L202" s="163"/>
      <c r="M202" s="163"/>
      <c r="O202" s="329">
        <f>I202/I$233</f>
        <v>33.313728757080973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'[94]Sch C'!D211</f>
        <v>73660</v>
      </c>
      <c r="D205" s="480">
        <f>'[94]Sch C'!F211</f>
        <v>0</v>
      </c>
      <c r="E205" s="480">
        <f>+'[94]Sch C'!H211</f>
        <v>0</v>
      </c>
      <c r="F205" s="166">
        <f t="shared" ref="F205:F210" si="64">C205+D205+E205</f>
        <v>73660</v>
      </c>
      <c r="G205" s="626"/>
      <c r="H205" s="166"/>
      <c r="I205" s="166">
        <f t="shared" ref="I205:I210" si="65">F205+G205+H205</f>
        <v>73660</v>
      </c>
      <c r="J205" s="167">
        <f t="shared" ref="J205:J211" si="66">IF($I$213=0,0,I205/$I$213)</f>
        <v>1.7233846087983267E-2</v>
      </c>
      <c r="K205" s="458"/>
      <c r="L205" s="176">
        <v>5242</v>
      </c>
      <c r="M205" s="176">
        <v>5616</v>
      </c>
      <c r="O205" s="329">
        <f t="shared" ref="O205:O210" si="67">I205/I$233</f>
        <v>4.0908586026879927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'[94]Sch C'!D212</f>
        <v>34105</v>
      </c>
      <c r="D206" s="480">
        <f>'[94]Sch C'!F212</f>
        <v>0</v>
      </c>
      <c r="E206" s="480">
        <f>+'[94]Sch C'!H212</f>
        <v>0</v>
      </c>
      <c r="F206" s="166">
        <f t="shared" si="64"/>
        <v>34105</v>
      </c>
      <c r="G206" s="626"/>
      <c r="H206" s="166"/>
      <c r="I206" s="166">
        <f t="shared" si="65"/>
        <v>34105</v>
      </c>
      <c r="J206" s="167">
        <f t="shared" si="66"/>
        <v>7.9793690039460935E-3</v>
      </c>
      <c r="K206" s="458"/>
      <c r="L206" s="163"/>
      <c r="M206" s="163"/>
      <c r="O206" s="329">
        <f t="shared" si="67"/>
        <v>1.8940908586026879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'[94]Sch C'!D213</f>
        <v>3101</v>
      </c>
      <c r="D207" s="480">
        <f>'[94]Sch C'!F213</f>
        <v>0</v>
      </c>
      <c r="E207" s="480">
        <f>+'[94]Sch C'!H213</f>
        <v>0</v>
      </c>
      <c r="F207" s="166">
        <f t="shared" si="64"/>
        <v>3101</v>
      </c>
      <c r="G207" s="626"/>
      <c r="H207" s="166"/>
      <c r="I207" s="166">
        <f t="shared" si="65"/>
        <v>3101</v>
      </c>
      <c r="J207" s="167">
        <f t="shared" si="66"/>
        <v>7.2552479933255649E-4</v>
      </c>
      <c r="K207" s="458"/>
      <c r="L207" s="163"/>
      <c r="M207" s="163"/>
      <c r="O207" s="329">
        <f t="shared" si="67"/>
        <v>0.17222037098744863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'[94]Sch C'!D214</f>
        <v>0</v>
      </c>
      <c r="D208" s="480">
        <f>'[94]Sch C'!F214</f>
        <v>0</v>
      </c>
      <c r="E208" s="480">
        <f>+'[94]Sch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'[94]Sch C'!D215</f>
        <v>0</v>
      </c>
      <c r="D209" s="480">
        <f>'[94]Sch C'!F215</f>
        <v>0</v>
      </c>
      <c r="E209" s="480">
        <f>+'[94]Sch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'[94]Sch C'!D216</f>
        <v>5067</v>
      </c>
      <c r="D210" s="480">
        <f>'[94]Sch C'!F216</f>
        <v>0</v>
      </c>
      <c r="E210" s="480">
        <f>+'[94]Sch C'!H216</f>
        <v>0</v>
      </c>
      <c r="F210" s="166">
        <f t="shared" si="64"/>
        <v>5067</v>
      </c>
      <c r="G210" s="626"/>
      <c r="H210" s="166"/>
      <c r="I210" s="166">
        <f t="shared" si="65"/>
        <v>5067</v>
      </c>
      <c r="J210" s="167">
        <f t="shared" si="66"/>
        <v>1.1854995673066958E-3</v>
      </c>
      <c r="K210" s="458"/>
      <c r="L210" s="163"/>
      <c r="M210" s="163"/>
      <c r="O210" s="329">
        <f t="shared" si="67"/>
        <v>0.281406197934022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115933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115933</v>
      </c>
      <c r="G211" s="166">
        <f t="shared" si="69"/>
        <v>0</v>
      </c>
      <c r="H211" s="166">
        <f t="shared" si="69"/>
        <v>0</v>
      </c>
      <c r="I211" s="166">
        <f t="shared" si="69"/>
        <v>115933</v>
      </c>
      <c r="J211" s="167">
        <f t="shared" si="66"/>
        <v>2.7124239458568612E-2</v>
      </c>
      <c r="K211" s="458"/>
      <c r="L211" s="163"/>
      <c r="M211" s="163"/>
      <c r="O211" s="329">
        <f>I211/I$233</f>
        <v>6.4385760302121513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4386753</v>
      </c>
      <c r="D213" s="480">
        <f t="shared" si="70"/>
        <v>-102790</v>
      </c>
      <c r="E213" s="480">
        <f t="shared" si="70"/>
        <v>-8706</v>
      </c>
      <c r="F213" s="166">
        <f t="shared" ref="F213:I213" si="71">SUM(F30:F211)/2</f>
        <v>4275257</v>
      </c>
      <c r="G213" s="166">
        <f t="shared" si="71"/>
        <v>-1109.51</v>
      </c>
      <c r="H213" s="166">
        <f t="shared" si="71"/>
        <v>0</v>
      </c>
      <c r="I213" s="166">
        <f t="shared" si="71"/>
        <v>4274147.49</v>
      </c>
      <c r="J213" s="167">
        <f>IF($I$213=0,0,I213/$I$213)</f>
        <v>1</v>
      </c>
      <c r="K213" s="458"/>
      <c r="L213" s="176">
        <f>SUM(L30:L205)</f>
        <v>88773</v>
      </c>
      <c r="M213" s="176">
        <f>SUM(M30:M205)</f>
        <v>93216</v>
      </c>
      <c r="O213" s="329">
        <f>I213/I$233</f>
        <v>237.37351382872376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'[94]Sch C'!D221</f>
        <v>4386753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190521</v>
      </c>
      <c r="D220" s="480">
        <f t="shared" si="72"/>
        <v>95408</v>
      </c>
      <c r="E220" s="480">
        <f t="shared" si="72"/>
        <v>8706</v>
      </c>
      <c r="F220" s="166">
        <f t="shared" ref="F220:I220" si="73">F26-F213</f>
        <v>294635</v>
      </c>
      <c r="G220" s="166">
        <f t="shared" si="73"/>
        <v>1109.51</v>
      </c>
      <c r="H220" s="166">
        <f t="shared" si="73"/>
        <v>0</v>
      </c>
      <c r="I220" s="166">
        <f t="shared" si="73"/>
        <v>295744.50999999978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'[94]Sch D'!C9</f>
        <v>10100</v>
      </c>
      <c r="D224" s="480"/>
      <c r="E224" s="480"/>
      <c r="F224" s="224">
        <f>C224+D224+E224</f>
        <v>10100</v>
      </c>
      <c r="G224" s="627"/>
      <c r="H224" s="223"/>
      <c r="I224" s="224">
        <f>F224+G224+H224</f>
        <v>10100</v>
      </c>
      <c r="J224" s="167">
        <f t="shared" ref="J224:J233" si="74">IF($I$233=0,0,I224/$I$233)</f>
        <v>0.56092413639897809</v>
      </c>
      <c r="K224" s="458"/>
      <c r="L224" s="163"/>
      <c r="M224" s="163"/>
    </row>
    <row r="225" spans="1:13">
      <c r="A225" s="158"/>
      <c r="B225" s="165" t="s">
        <v>201</v>
      </c>
      <c r="C225" s="504">
        <f>'[94]Sch D'!D9</f>
        <v>0</v>
      </c>
      <c r="D225" s="480"/>
      <c r="E225" s="480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'[94]Sch D'!E9</f>
        <v>1806</v>
      </c>
      <c r="D226" s="480"/>
      <c r="E226" s="480"/>
      <c r="F226" s="224">
        <f t="shared" si="75"/>
        <v>1806</v>
      </c>
      <c r="G226" s="627"/>
      <c r="H226" s="223"/>
      <c r="I226" s="224">
        <f t="shared" si="76"/>
        <v>1806</v>
      </c>
      <c r="J226" s="167">
        <f t="shared" si="74"/>
        <v>0.10029990003332223</v>
      </c>
      <c r="K226" s="458"/>
      <c r="L226" s="163"/>
      <c r="M226" s="163"/>
    </row>
    <row r="227" spans="1:13">
      <c r="A227" s="158"/>
      <c r="B227" s="194" t="s">
        <v>315</v>
      </c>
      <c r="C227" s="504">
        <f>'[94]Sch D'!F9</f>
        <v>1125</v>
      </c>
      <c r="D227" s="480"/>
      <c r="E227" s="480"/>
      <c r="F227" s="224">
        <f t="shared" si="75"/>
        <v>1125</v>
      </c>
      <c r="G227" s="627"/>
      <c r="H227" s="223"/>
      <c r="I227" s="224">
        <f t="shared" si="76"/>
        <v>1125</v>
      </c>
      <c r="J227" s="167">
        <f t="shared" si="74"/>
        <v>6.2479173608797067E-2</v>
      </c>
      <c r="K227" s="458"/>
      <c r="L227" s="163"/>
      <c r="M227" s="163"/>
    </row>
    <row r="228" spans="1:13">
      <c r="A228" s="158"/>
      <c r="B228" s="165" t="s">
        <v>65</v>
      </c>
      <c r="C228" s="504">
        <f>'[94]Sch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'[94]Sch D'!H9</f>
        <v>2279</v>
      </c>
      <c r="D229" s="480"/>
      <c r="E229" s="480"/>
      <c r="F229" s="224">
        <f t="shared" si="75"/>
        <v>2279</v>
      </c>
      <c r="G229" s="627"/>
      <c r="H229" s="223"/>
      <c r="I229" s="224">
        <f t="shared" si="76"/>
        <v>2279</v>
      </c>
      <c r="J229" s="167">
        <f t="shared" si="74"/>
        <v>0.1265689214706209</v>
      </c>
      <c r="K229" s="458"/>
      <c r="L229" s="163"/>
      <c r="M229" s="163"/>
    </row>
    <row r="230" spans="1:13">
      <c r="A230" s="158"/>
      <c r="B230" s="165" t="s">
        <v>219</v>
      </c>
      <c r="C230" s="504">
        <f>'[94]Sch D'!I9</f>
        <v>2367</v>
      </c>
      <c r="D230" s="480"/>
      <c r="E230" s="480"/>
      <c r="F230" s="224">
        <f t="shared" si="75"/>
        <v>2367</v>
      </c>
      <c r="G230" s="627"/>
      <c r="H230" s="223"/>
      <c r="I230" s="224">
        <f t="shared" si="76"/>
        <v>2367</v>
      </c>
      <c r="J230" s="167">
        <f t="shared" si="74"/>
        <v>0.13145618127290903</v>
      </c>
      <c r="K230" s="458"/>
      <c r="L230" s="163"/>
      <c r="M230" s="163"/>
    </row>
    <row r="231" spans="1:13">
      <c r="A231" s="158"/>
      <c r="B231" s="165" t="s">
        <v>218</v>
      </c>
      <c r="C231" s="504">
        <f>'[94]Sch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'[94]Sch D'!K9</f>
        <v>329</v>
      </c>
      <c r="D232" s="480"/>
      <c r="E232" s="480"/>
      <c r="F232" s="224">
        <f t="shared" si="75"/>
        <v>329</v>
      </c>
      <c r="G232" s="627"/>
      <c r="H232" s="223"/>
      <c r="I232" s="224">
        <f t="shared" si="76"/>
        <v>329</v>
      </c>
      <c r="J232" s="167">
        <f t="shared" si="74"/>
        <v>1.8271687215372652E-2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18006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18006</v>
      </c>
      <c r="G233" s="226">
        <f t="shared" si="78"/>
        <v>0</v>
      </c>
      <c r="H233" s="226">
        <f t="shared" si="78"/>
        <v>0</v>
      </c>
      <c r="I233" s="226">
        <f t="shared" si="78"/>
        <v>18006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'[94]Sch D'!N22</f>
        <v>84</v>
      </c>
      <c r="D236" s="480"/>
      <c r="E236" s="480"/>
      <c r="F236" s="224">
        <f>C236+E236</f>
        <v>84</v>
      </c>
      <c r="G236" s="627"/>
      <c r="H236" s="224"/>
      <c r="I236" s="224">
        <f>F236+G236+H236</f>
        <v>84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'[94]Sch D'!N24</f>
        <v>84</v>
      </c>
      <c r="D237" s="480"/>
      <c r="E237" s="480"/>
      <c r="F237" s="224">
        <f>C237+E237</f>
        <v>84</v>
      </c>
      <c r="G237" s="627"/>
      <c r="H237" s="224"/>
      <c r="I237" s="224">
        <f>F237+G237+H237</f>
        <v>84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'[94]Sch D'!N28</f>
        <v>30660</v>
      </c>
      <c r="D240" s="427"/>
      <c r="E240" s="427"/>
      <c r="F240" s="223">
        <f>F236*F238</f>
        <v>30660</v>
      </c>
      <c r="G240"/>
      <c r="H240" s="228"/>
      <c r="I240" s="223">
        <f>I236*I238</f>
        <v>30660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'[94]Sch D'!N30</f>
        <v>0.58727984344422701</v>
      </c>
      <c r="D241" s="228"/>
      <c r="E241" s="228"/>
      <c r="F241" s="232">
        <f>F233/F240</f>
        <v>0.58727984344422701</v>
      </c>
      <c r="G241"/>
      <c r="H241" s="233"/>
      <c r="I241" s="232">
        <f>I233/I240</f>
        <v>0.58727984344422701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'[94]Sch D'!N32</f>
        <v>0.32941943900848009</v>
      </c>
      <c r="D242" s="228"/>
      <c r="E242" s="228"/>
      <c r="F242" s="232">
        <f>(F224+F225)/F240</f>
        <v>0.32941943900848009</v>
      </c>
      <c r="G242"/>
      <c r="H242" s="233"/>
      <c r="I242" s="232">
        <f>(I224+I225)/I240</f>
        <v>0.32941943900848009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'[94]Sch D'!N34</f>
        <v>0.56092413639897809</v>
      </c>
      <c r="D243" s="228"/>
      <c r="E243" s="228"/>
      <c r="F243" s="232">
        <f>(F242/F241)</f>
        <v>0.56092413639897809</v>
      </c>
      <c r="G243"/>
      <c r="H243" s="233"/>
      <c r="I243" s="232">
        <f>(I242/I241)</f>
        <v>0.56092413639897809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'[94]Sch B'!C90</f>
        <v>169.57796610169493</v>
      </c>
      <c r="K246" s="460"/>
    </row>
    <row r="247" spans="1:13">
      <c r="H247" s="140" t="s">
        <v>322</v>
      </c>
      <c r="I247" s="480">
        <f>'[94]Sch B'!E90</f>
        <v>169.57746478873239</v>
      </c>
      <c r="K247" s="460"/>
    </row>
    <row r="248" spans="1:13">
      <c r="H248" s="140" t="s">
        <v>323</v>
      </c>
      <c r="I248" s="480">
        <f>'[94]Sch B'!G90</f>
        <v>169.57677165354332</v>
      </c>
      <c r="K248" s="460"/>
    </row>
    <row r="249" spans="1:13">
      <c r="H249" s="140" t="s">
        <v>324</v>
      </c>
      <c r="I249" s="480">
        <f>'[94]Sch B'!I90</f>
        <v>169.57749077490774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" right="0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B1">
      <selection activeCell="G12" sqref="G12"/>
      <pageMargins left="0" right="0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Button 1">
              <controlPr defaultSize="0" print="0" autoFill="0" autoLine="0" autoPict="0">
                <anchor moveWithCells="1" sizeWithCells="1">
                  <from>
                    <xdr:col>7</xdr:col>
                    <xdr:colOff>965200</xdr:colOff>
                    <xdr:row>0</xdr:row>
                    <xdr:rowOff>0</xdr:rowOff>
                  </from>
                  <to>
                    <xdr:col>8</xdr:col>
                    <xdr:colOff>1028700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75">
    <tabColor rgb="FFE28CAB"/>
  </sheetPr>
  <dimension ref="A1:Q277"/>
  <sheetViews>
    <sheetView showGridLines="0" topLeftCell="B3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6" ht="36.75" customHeight="1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8"/>
      <c r="G1" s="418"/>
      <c r="H1" s="419"/>
      <c r="I1" s="419"/>
      <c r="J1" s="419"/>
      <c r="K1" s="420"/>
    </row>
    <row r="2" spans="1:16" ht="23">
      <c r="B2" s="141" t="s">
        <v>178</v>
      </c>
      <c r="C2" s="234" t="s">
        <v>338</v>
      </c>
      <c r="D2" s="234"/>
      <c r="E2" s="234"/>
      <c r="F2" s="142"/>
      <c r="G2" s="142"/>
    </row>
    <row r="3" spans="1:16">
      <c r="A3" s="143"/>
      <c r="B3" s="138" t="s">
        <v>71</v>
      </c>
      <c r="C3" s="557">
        <f>'[95]Sch A Pg 1'!B39</f>
        <v>42917</v>
      </c>
      <c r="D3" s="620"/>
      <c r="E3" s="142"/>
      <c r="F3" s="144"/>
      <c r="G3" s="144"/>
    </row>
    <row r="4" spans="1:16">
      <c r="A4" s="143"/>
      <c r="B4" s="145" t="s">
        <v>72</v>
      </c>
      <c r="C4" s="557">
        <f>'[95]Sch A Pg 1'!G39</f>
        <v>43281</v>
      </c>
      <c r="D4" s="620"/>
      <c r="E4" s="142"/>
      <c r="F4" s="146"/>
      <c r="G4" s="146"/>
      <c r="I4" s="147"/>
    </row>
    <row r="5" spans="1:16">
      <c r="A5" s="143"/>
      <c r="B5" s="145"/>
      <c r="C5" s="148"/>
      <c r="D5" s="148"/>
      <c r="E5" s="142"/>
    </row>
    <row r="6" spans="1:16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6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</row>
    <row r="8" spans="1:16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</row>
    <row r="9" spans="1:16">
      <c r="A9" s="143"/>
      <c r="C9" s="148"/>
      <c r="D9" s="148"/>
      <c r="E9" s="142"/>
      <c r="H9" s="142"/>
      <c r="I9" s="142"/>
      <c r="K9" s="460"/>
    </row>
    <row r="10" spans="1:16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6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6" s="162" customFormat="1">
      <c r="A12" s="158"/>
      <c r="B12" s="160" t="s">
        <v>512</v>
      </c>
      <c r="C12" s="480">
        <f>'[95]Sch B'!E10</f>
        <v>1844995</v>
      </c>
      <c r="D12" s="480">
        <f>'[95]Sch B'!G10</f>
        <v>0</v>
      </c>
      <c r="E12" s="480"/>
      <c r="F12" s="166">
        <f>C12+D12+E12</f>
        <v>1844995</v>
      </c>
      <c r="G12" s="626"/>
      <c r="H12" s="166"/>
      <c r="I12" s="166">
        <f>F12+G12+H12</f>
        <v>1844995</v>
      </c>
      <c r="J12" s="167">
        <f>IF($I$26=0,0,I12/$I$26)</f>
        <v>0.67514596182944941</v>
      </c>
      <c r="K12" s="463"/>
      <c r="L12" s="163"/>
      <c r="M12" s="163"/>
    </row>
    <row r="13" spans="1:16" s="162" customFormat="1">
      <c r="A13" s="158"/>
      <c r="B13" s="160" t="s">
        <v>513</v>
      </c>
      <c r="C13" s="480">
        <f>'[95]Sch B'!E12</f>
        <v>0</v>
      </c>
      <c r="D13" s="480">
        <f>'[95]Sch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6" s="162" customFormat="1">
      <c r="A14" s="158"/>
      <c r="B14" s="160" t="s">
        <v>514</v>
      </c>
      <c r="C14" s="480">
        <f>'[95]Sch B'!E13</f>
        <v>69812</v>
      </c>
      <c r="D14" s="480">
        <f>'[95]Sch B'!G13</f>
        <v>0</v>
      </c>
      <c r="E14" s="480"/>
      <c r="F14" s="166">
        <f t="shared" si="0"/>
        <v>69812</v>
      </c>
      <c r="G14" s="626"/>
      <c r="H14" s="166"/>
      <c r="I14" s="166">
        <f t="shared" si="1"/>
        <v>69812</v>
      </c>
      <c r="J14" s="167">
        <f>IF($I$26=0,0,I14/$I$26)</f>
        <v>2.5546567815759674E-2</v>
      </c>
      <c r="K14" s="463"/>
      <c r="L14" s="163"/>
      <c r="M14" s="163"/>
    </row>
    <row r="15" spans="1:16" s="162" customFormat="1" ht="13.5" thickBot="1">
      <c r="A15" s="158"/>
      <c r="B15" s="160" t="s">
        <v>515</v>
      </c>
      <c r="C15" s="480">
        <f>'[95]Sch B'!E14</f>
        <v>0</v>
      </c>
      <c r="D15" s="480">
        <f>'[95]Sch B'!G14</f>
        <v>0</v>
      </c>
      <c r="E15" s="480"/>
      <c r="F15" s="166">
        <f t="shared" si="0"/>
        <v>0</v>
      </c>
      <c r="G15" s="626">
        <v>45300.639999999999</v>
      </c>
      <c r="H15" s="166"/>
      <c r="I15" s="166">
        <f t="shared" si="1"/>
        <v>45300.639999999999</v>
      </c>
      <c r="J15" s="167">
        <f>IF($I$26=0,0,I15/$I$26)</f>
        <v>1.6577033631142428E-2</v>
      </c>
      <c r="K15" s="458" t="s">
        <v>651</v>
      </c>
      <c r="L15" s="163"/>
      <c r="M15" s="163"/>
    </row>
    <row r="16" spans="1:16" s="162" customFormat="1">
      <c r="A16" s="164" t="s">
        <v>9</v>
      </c>
      <c r="B16" s="165" t="s">
        <v>197</v>
      </c>
      <c r="C16" s="480">
        <f>'[95]Sch B'!E15</f>
        <v>1914807</v>
      </c>
      <c r="D16" s="480">
        <f>'[95]Sch B'!G15</f>
        <v>0</v>
      </c>
      <c r="E16" s="480"/>
      <c r="F16" s="166">
        <f t="shared" si="0"/>
        <v>1914807</v>
      </c>
      <c r="G16" s="626"/>
      <c r="H16" s="166"/>
      <c r="I16" s="166">
        <f>SUM(I12:I15)</f>
        <v>1960107.64</v>
      </c>
      <c r="J16" s="167">
        <f t="shared" ref="J16:J26" si="2">IF($I$26=0,0,I16/$I$26)</f>
        <v>0.71726956327635139</v>
      </c>
      <c r="K16" s="458"/>
      <c r="L16" s="333" t="s">
        <v>325</v>
      </c>
      <c r="M16" s="334">
        <f>I26</f>
        <v>2732734.9999999995</v>
      </c>
      <c r="O16" s="324">
        <f>IFERROR(I16/I224,0)</f>
        <v>177.96510259669512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'[95]Sch B'!E20</f>
        <v>0</v>
      </c>
      <c r="D17" s="480">
        <f>'[95]Sch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4603129.79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>
      <c r="A18" s="164" t="s">
        <v>12</v>
      </c>
      <c r="B18" s="165" t="s">
        <v>162</v>
      </c>
      <c r="C18" s="480">
        <f>'[95]Sch B'!E26</f>
        <v>363051</v>
      </c>
      <c r="D18" s="480">
        <f>'[95]Sch B'!G26</f>
        <v>0</v>
      </c>
      <c r="E18" s="480"/>
      <c r="F18" s="166">
        <f t="shared" si="0"/>
        <v>363051</v>
      </c>
      <c r="G18" s="626">
        <v>-11814</v>
      </c>
      <c r="H18" s="166"/>
      <c r="I18" s="166">
        <f t="shared" si="1"/>
        <v>351237</v>
      </c>
      <c r="J18" s="167">
        <f t="shared" si="2"/>
        <v>0.12852947687939009</v>
      </c>
      <c r="K18" s="458"/>
      <c r="L18" s="335" t="s">
        <v>327</v>
      </c>
      <c r="M18" s="336">
        <f>I233</f>
        <v>13706</v>
      </c>
      <c r="O18" s="324">
        <f t="shared" si="3"/>
        <v>809.30184331797238</v>
      </c>
      <c r="P18" s="324">
        <f>SUMMARY!L20</f>
        <v>561.11364502829144</v>
      </c>
    </row>
    <row r="19" spans="1:16" s="162" customFormat="1">
      <c r="A19" s="168" t="s">
        <v>14</v>
      </c>
      <c r="B19" s="169" t="s">
        <v>287</v>
      </c>
      <c r="C19" s="480">
        <f>'[95]Sch B'!E32</f>
        <v>53067</v>
      </c>
      <c r="D19" s="480">
        <f>'[95]Sch B'!G32</f>
        <v>-15239</v>
      </c>
      <c r="E19" s="480"/>
      <c r="F19" s="166">
        <f t="shared" si="0"/>
        <v>37828</v>
      </c>
      <c r="G19" s="626"/>
      <c r="H19" s="166"/>
      <c r="I19" s="166">
        <f t="shared" si="1"/>
        <v>37828</v>
      </c>
      <c r="J19" s="170">
        <f t="shared" si="2"/>
        <v>1.3842542361407164E-2</v>
      </c>
      <c r="K19" s="464"/>
      <c r="L19" s="335" t="s">
        <v>328</v>
      </c>
      <c r="M19" s="336">
        <f>I236</f>
        <v>77</v>
      </c>
      <c r="O19" s="324">
        <f t="shared" si="3"/>
        <v>620.13114754098365</v>
      </c>
      <c r="P19" s="324">
        <f>SUMMARY!L21</f>
        <v>411.84844994976652</v>
      </c>
    </row>
    <row r="20" spans="1:16" s="162" customFormat="1">
      <c r="A20" s="164" t="s">
        <v>15</v>
      </c>
      <c r="B20" s="165" t="s">
        <v>163</v>
      </c>
      <c r="C20" s="480">
        <f>'[95]Sch B'!E37</f>
        <v>0</v>
      </c>
      <c r="D20" s="480">
        <f>'[95]Sch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28105</v>
      </c>
      <c r="O20" s="324">
        <f t="shared" si="3"/>
        <v>0</v>
      </c>
      <c r="P20" s="324">
        <f>SUMMARY!L22</f>
        <v>340.77076510151483</v>
      </c>
    </row>
    <row r="21" spans="1:16" s="162" customFormat="1">
      <c r="A21" s="164" t="s">
        <v>17</v>
      </c>
      <c r="B21" s="165" t="s">
        <v>164</v>
      </c>
      <c r="C21" s="480">
        <f>'[95]Sch B'!E42</f>
        <v>50976</v>
      </c>
      <c r="D21" s="480">
        <f>'[95]Sch B'!G42</f>
        <v>0</v>
      </c>
      <c r="E21" s="480"/>
      <c r="F21" s="166">
        <f t="shared" si="0"/>
        <v>50976</v>
      </c>
      <c r="G21" s="626"/>
      <c r="H21" s="166"/>
      <c r="I21" s="166">
        <f t="shared" si="1"/>
        <v>50976</v>
      </c>
      <c r="J21" s="167">
        <f t="shared" si="2"/>
        <v>1.8653839468517806E-2</v>
      </c>
      <c r="K21" s="458"/>
      <c r="L21" s="337"/>
      <c r="M21" s="336"/>
      <c r="O21" s="324">
        <f t="shared" si="3"/>
        <v>153.54216867469879</v>
      </c>
      <c r="P21" s="324">
        <f>SUMMARY!L23</f>
        <v>225.41338272883894</v>
      </c>
    </row>
    <row r="22" spans="1:16" s="162" customFormat="1">
      <c r="A22" s="164" t="s">
        <v>199</v>
      </c>
      <c r="B22" s="165" t="s">
        <v>212</v>
      </c>
      <c r="C22" s="480">
        <f>'[95]Sch B'!E47</f>
        <v>331156</v>
      </c>
      <c r="D22" s="480">
        <f>'[95]Sch B'!G47</f>
        <v>0</v>
      </c>
      <c r="E22" s="480"/>
      <c r="F22" s="166">
        <f t="shared" si="0"/>
        <v>331156</v>
      </c>
      <c r="G22" s="626"/>
      <c r="H22" s="166"/>
      <c r="I22" s="166">
        <f t="shared" si="1"/>
        <v>331156</v>
      </c>
      <c r="J22" s="167">
        <f t="shared" si="2"/>
        <v>0.12118116099804777</v>
      </c>
      <c r="K22" s="458"/>
      <c r="L22" s="335" t="s">
        <v>148</v>
      </c>
      <c r="M22" s="336">
        <f>L213</f>
        <v>92833</v>
      </c>
      <c r="O22" s="324">
        <f t="shared" si="3"/>
        <v>177.56353887399464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'[95]Sch B'!E52</f>
        <v>0</v>
      </c>
      <c r="D23" s="480">
        <f>'[95]Sch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97447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'[95]Sch B'!E57</f>
        <v>-15239</v>
      </c>
      <c r="D24" s="480">
        <f>'[95]Sch B'!G57</f>
        <v>15239</v>
      </c>
      <c r="E24" s="480"/>
      <c r="F24" s="166">
        <f t="shared" si="0"/>
        <v>0</v>
      </c>
      <c r="G24" s="626"/>
      <c r="H24" s="166"/>
      <c r="I24" s="166">
        <f t="shared" si="1"/>
        <v>0</v>
      </c>
      <c r="J24" s="167">
        <f t="shared" si="2"/>
        <v>0</v>
      </c>
      <c r="K24" s="458"/>
      <c r="L24" s="163"/>
      <c r="M24" s="163"/>
      <c r="O24" s="324">
        <f t="shared" si="3"/>
        <v>0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'[95]Sch B'!E72</f>
        <v>40372</v>
      </c>
      <c r="D25" s="480">
        <f>'[95]Sch B'!G72</f>
        <v>-5455</v>
      </c>
      <c r="E25" s="480"/>
      <c r="F25" s="166">
        <f t="shared" si="0"/>
        <v>34917</v>
      </c>
      <c r="G25" s="626">
        <f>-45300.64+11814</f>
        <v>-33486.639999999999</v>
      </c>
      <c r="H25" s="166"/>
      <c r="I25" s="166">
        <f t="shared" si="1"/>
        <v>1430.3600000000006</v>
      </c>
      <c r="J25" s="167">
        <f t="shared" si="2"/>
        <v>5.2341701628588234E-4</v>
      </c>
      <c r="K25" s="458" t="s">
        <v>651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2738190</v>
      </c>
      <c r="D26" s="480">
        <f t="shared" ref="D26:F26" si="4">SUM(D16:D25)</f>
        <v>-5455</v>
      </c>
      <c r="E26" s="480">
        <f t="shared" si="4"/>
        <v>0</v>
      </c>
      <c r="F26" s="166">
        <f t="shared" si="4"/>
        <v>2732735</v>
      </c>
      <c r="G26" s="166">
        <f>SUM(G12:G25)</f>
        <v>0</v>
      </c>
      <c r="H26" s="166">
        <f>SUM(H12:H25)</f>
        <v>0</v>
      </c>
      <c r="I26" s="166">
        <f>SUM(I16:I25)</f>
        <v>2732734.9999999995</v>
      </c>
      <c r="J26" s="167">
        <f t="shared" si="2"/>
        <v>1</v>
      </c>
      <c r="K26" s="458"/>
      <c r="L26" s="163"/>
      <c r="M26" s="163"/>
      <c r="O26" s="324">
        <f>IFERROR(I26/I233,0)</f>
        <v>199.38238727564567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'[95]Sch C'!D10</f>
        <v>0</v>
      </c>
      <c r="D30" s="480">
        <f>'[95]Sch C'!F10</f>
        <v>107487</v>
      </c>
      <c r="E30" s="480">
        <f>+'[95]Sch C'!H10</f>
        <v>0</v>
      </c>
      <c r="F30" s="166">
        <f t="shared" ref="F30:F65" si="5">C30+D30+E30</f>
        <v>107487</v>
      </c>
      <c r="G30" s="626"/>
      <c r="H30" s="166"/>
      <c r="I30" s="166">
        <f t="shared" ref="I30:I65" si="6">F30+G30+H30</f>
        <v>107487</v>
      </c>
      <c r="J30" s="167">
        <f>IF($I$213=0,0,I30/$I$213)</f>
        <v>2.335085146491166E-2</v>
      </c>
      <c r="K30" s="458"/>
      <c r="L30" s="176">
        <v>1832</v>
      </c>
      <c r="M30" s="176">
        <v>1980</v>
      </c>
      <c r="O30" s="324">
        <f>I30/I$233</f>
        <v>7.8423318254778929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'[95]Sch C'!D11</f>
        <v>0</v>
      </c>
      <c r="D31" s="480">
        <f>'[95]Sch C'!F11</f>
        <v>0</v>
      </c>
      <c r="E31" s="480">
        <f>+'[95]Sch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'[95]Sch C'!D12</f>
        <v>216131</v>
      </c>
      <c r="D32" s="480">
        <f>'[95]Sch C'!F12</f>
        <v>-107562</v>
      </c>
      <c r="E32" s="480">
        <f>+'[95]Sch C'!H12</f>
        <v>0</v>
      </c>
      <c r="F32" s="166">
        <f t="shared" si="5"/>
        <v>108569</v>
      </c>
      <c r="G32" s="626"/>
      <c r="H32" s="166"/>
      <c r="I32" s="166">
        <f t="shared" si="6"/>
        <v>108569</v>
      </c>
      <c r="J32" s="167">
        <f t="shared" si="7"/>
        <v>2.3585908925674675E-2</v>
      </c>
      <c r="K32" s="458"/>
      <c r="L32" s="176">
        <v>6929</v>
      </c>
      <c r="M32" s="176">
        <v>7477</v>
      </c>
      <c r="O32" s="324">
        <f t="shared" si="8"/>
        <v>7.9212753538596239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'[95]Sch C'!D13</f>
        <v>49366</v>
      </c>
      <c r="D33" s="480">
        <f>'[95]Sch C'!F13</f>
        <v>-724</v>
      </c>
      <c r="E33" s="480">
        <f>+'[95]Sch C'!H13</f>
        <v>0</v>
      </c>
      <c r="F33" s="166">
        <f t="shared" si="5"/>
        <v>48642</v>
      </c>
      <c r="G33" s="626">
        <v>16545</v>
      </c>
      <c r="H33" s="166"/>
      <c r="I33" s="166">
        <f t="shared" si="6"/>
        <v>65187</v>
      </c>
      <c r="J33" s="167">
        <f t="shared" si="7"/>
        <v>1.4161451658741954E-2</v>
      </c>
      <c r="K33" s="458"/>
      <c r="L33" s="163"/>
      <c r="M33" s="163"/>
      <c r="O33" s="324">
        <f t="shared" si="8"/>
        <v>4.7560922223843569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'[95]Sch C'!D14</f>
        <v>0</v>
      </c>
      <c r="D34" s="480">
        <f>'[95]Sch C'!F14</f>
        <v>0</v>
      </c>
      <c r="E34" s="480">
        <f>+'[95]Sch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'[95]Sch C'!D15</f>
        <v>0</v>
      </c>
      <c r="D35" s="480">
        <f>'[95]Sch C'!F15</f>
        <v>0</v>
      </c>
      <c r="E35" s="480">
        <f>+'[95]Sch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'[95]Sch C'!D16</f>
        <v>136911</v>
      </c>
      <c r="D36" s="480">
        <f>'[95]Sch C'!F16</f>
        <v>0</v>
      </c>
      <c r="E36" s="480">
        <f>+'[95]Sch C'!H16</f>
        <v>119040</v>
      </c>
      <c r="F36" s="166">
        <f t="shared" si="5"/>
        <v>255951</v>
      </c>
      <c r="G36" s="626"/>
      <c r="H36" s="166"/>
      <c r="I36" s="166">
        <f t="shared" si="6"/>
        <v>255951</v>
      </c>
      <c r="J36" s="167">
        <f t="shared" si="7"/>
        <v>5.5603689593119204E-2</v>
      </c>
      <c r="K36" s="458"/>
      <c r="L36" s="163"/>
      <c r="M36" s="163"/>
      <c r="O36" s="324">
        <f t="shared" si="8"/>
        <v>18.67437618561214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'[95]Sch C'!D17</f>
        <v>0</v>
      </c>
      <c r="D37" s="480">
        <f>'[95]Sch C'!F17</f>
        <v>0</v>
      </c>
      <c r="E37" s="480">
        <f>+'[95]Sch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'[95]Sch C'!D18</f>
        <v>9750</v>
      </c>
      <c r="D38" s="480">
        <f>'[95]Sch C'!F18</f>
        <v>0</v>
      </c>
      <c r="E38" s="480">
        <f>+'[95]Sch C'!H18</f>
        <v>0</v>
      </c>
      <c r="F38" s="166">
        <f t="shared" si="5"/>
        <v>9750</v>
      </c>
      <c r="G38" s="626"/>
      <c r="H38" s="166"/>
      <c r="I38" s="166">
        <f t="shared" si="6"/>
        <v>9750</v>
      </c>
      <c r="J38" s="167">
        <f t="shared" si="7"/>
        <v>2.1181240687979819E-3</v>
      </c>
      <c r="K38" s="458"/>
      <c r="L38" s="163"/>
      <c r="M38" s="163"/>
      <c r="O38" s="324">
        <f t="shared" si="8"/>
        <v>0.71136728440099228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'[95]Sch C'!D19</f>
        <v>9295</v>
      </c>
      <c r="D39" s="480">
        <f>'[95]Sch C'!F19</f>
        <v>0</v>
      </c>
      <c r="E39" s="480">
        <f>+'[95]Sch C'!H19</f>
        <v>0</v>
      </c>
      <c r="F39" s="166">
        <f t="shared" si="5"/>
        <v>9295</v>
      </c>
      <c r="G39" s="626"/>
      <c r="H39" s="166"/>
      <c r="I39" s="166">
        <f t="shared" si="6"/>
        <v>9295</v>
      </c>
      <c r="J39" s="167">
        <f t="shared" si="7"/>
        <v>2.0192782789207426E-3</v>
      </c>
      <c r="K39" s="458"/>
      <c r="L39" s="163"/>
      <c r="M39" s="163"/>
      <c r="O39" s="324">
        <f t="shared" si="8"/>
        <v>0.6781701444622793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'[95]Sch C'!D20</f>
        <v>26197</v>
      </c>
      <c r="D40" s="480">
        <f>'[95]Sch C'!F20</f>
        <v>0</v>
      </c>
      <c r="E40" s="480">
        <f>+'[95]Sch C'!H20</f>
        <v>0</v>
      </c>
      <c r="F40" s="166">
        <f t="shared" si="5"/>
        <v>26197</v>
      </c>
      <c r="G40" s="626">
        <v>-401</v>
      </c>
      <c r="H40" s="166"/>
      <c r="I40" s="166">
        <f t="shared" si="6"/>
        <v>25796</v>
      </c>
      <c r="J40" s="167">
        <f t="shared" si="7"/>
        <v>5.6040131773038709E-3</v>
      </c>
      <c r="K40" s="458"/>
      <c r="L40" s="163"/>
      <c r="M40" s="163"/>
      <c r="O40" s="324">
        <f t="shared" si="8"/>
        <v>1.8820954326572303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'[95]Sch C'!D21</f>
        <v>18913</v>
      </c>
      <c r="D41" s="480">
        <f>'[95]Sch C'!F21</f>
        <v>0</v>
      </c>
      <c r="E41" s="480">
        <f>+'[95]Sch C'!H21</f>
        <v>0</v>
      </c>
      <c r="F41" s="166">
        <f t="shared" si="5"/>
        <v>18913</v>
      </c>
      <c r="G41" s="626"/>
      <c r="H41" s="166"/>
      <c r="I41" s="166">
        <f t="shared" si="6"/>
        <v>18913</v>
      </c>
      <c r="J41" s="167">
        <f t="shared" si="7"/>
        <v>4.1087262064796138E-3</v>
      </c>
      <c r="K41" s="458"/>
      <c r="L41" s="163"/>
      <c r="M41" s="163"/>
      <c r="O41" s="324">
        <f t="shared" si="8"/>
        <v>1.379906610243689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'[95]Sch C'!D22</f>
        <v>0</v>
      </c>
      <c r="D42" s="480">
        <f>'[95]Sch C'!F22</f>
        <v>0</v>
      </c>
      <c r="E42" s="480">
        <f>+'[95]Sch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'[95]Sch C'!D23</f>
        <v>8964</v>
      </c>
      <c r="D43" s="480">
        <f>'[95]Sch C'!F23</f>
        <v>0</v>
      </c>
      <c r="E43" s="480">
        <f>+'[95]Sch C'!H23</f>
        <v>0</v>
      </c>
      <c r="F43" s="166">
        <f t="shared" si="5"/>
        <v>8964</v>
      </c>
      <c r="G43" s="626"/>
      <c r="H43" s="166"/>
      <c r="I43" s="166">
        <f t="shared" si="6"/>
        <v>8964</v>
      </c>
      <c r="J43" s="167">
        <f t="shared" si="7"/>
        <v>1.9473706823287292E-3</v>
      </c>
      <c r="K43" s="458"/>
      <c r="L43" s="163"/>
      <c r="M43" s="163"/>
      <c r="O43" s="324">
        <f t="shared" si="8"/>
        <v>0.65402013716620455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'[95]Sch C'!D24</f>
        <v>23627</v>
      </c>
      <c r="D44" s="480">
        <f>'[95]Sch C'!F24</f>
        <v>0</v>
      </c>
      <c r="E44" s="480">
        <f>+'[95]Sch C'!H24</f>
        <v>0</v>
      </c>
      <c r="F44" s="166">
        <f t="shared" si="5"/>
        <v>23627</v>
      </c>
      <c r="G44" s="626"/>
      <c r="H44" s="166"/>
      <c r="I44" s="166">
        <f t="shared" si="6"/>
        <v>23627</v>
      </c>
      <c r="J44" s="167">
        <f t="shared" si="7"/>
        <v>5.1328120383066587E-3</v>
      </c>
      <c r="K44" s="458"/>
      <c r="L44" s="163"/>
      <c r="M44" s="163"/>
      <c r="O44" s="324">
        <f t="shared" si="8"/>
        <v>1.7238435721581788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'[95]Sch C'!D25</f>
        <v>11993</v>
      </c>
      <c r="D45" s="480">
        <f>'[95]Sch C'!F25</f>
        <v>0</v>
      </c>
      <c r="E45" s="480">
        <f>+'[95]Sch C'!H25</f>
        <v>0</v>
      </c>
      <c r="F45" s="166">
        <f t="shared" si="5"/>
        <v>11993</v>
      </c>
      <c r="G45" s="626"/>
      <c r="H45" s="166"/>
      <c r="I45" s="166">
        <f t="shared" si="6"/>
        <v>11993</v>
      </c>
      <c r="J45" s="167">
        <f t="shared" si="7"/>
        <v>2.6054012263686355E-3</v>
      </c>
      <c r="K45" s="458"/>
      <c r="L45" s="163"/>
      <c r="M45" s="163"/>
      <c r="O45" s="324">
        <f t="shared" si="8"/>
        <v>0.87501824018677954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'[95]Sch C'!D26</f>
        <v>276558</v>
      </c>
      <c r="D46" s="480">
        <f>'[95]Sch C'!F26</f>
        <v>0</v>
      </c>
      <c r="E46" s="480">
        <f>+'[95]Sch C'!H26</f>
        <v>0</v>
      </c>
      <c r="F46" s="166">
        <f t="shared" si="5"/>
        <v>276558</v>
      </c>
      <c r="G46" s="626"/>
      <c r="H46" s="166"/>
      <c r="I46" s="166">
        <f t="shared" si="6"/>
        <v>276558</v>
      </c>
      <c r="J46" s="167">
        <f t="shared" si="7"/>
        <v>6.008042627883408E-2</v>
      </c>
      <c r="K46" s="458"/>
      <c r="L46" s="163"/>
      <c r="M46" s="163"/>
      <c r="O46" s="324">
        <f t="shared" si="8"/>
        <v>20.177878301473807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'[95]Sch C'!D27</f>
        <v>21176</v>
      </c>
      <c r="D47" s="480">
        <f>'[95]Sch C'!F27</f>
        <v>-93</v>
      </c>
      <c r="E47" s="480">
        <f>+'[95]Sch C'!H27</f>
        <v>0</v>
      </c>
      <c r="F47" s="166">
        <f t="shared" si="5"/>
        <v>21083</v>
      </c>
      <c r="G47" s="626"/>
      <c r="H47" s="166"/>
      <c r="I47" s="166">
        <f t="shared" si="6"/>
        <v>21083</v>
      </c>
      <c r="J47" s="167">
        <f t="shared" si="7"/>
        <v>4.5801445889710616E-3</v>
      </c>
      <c r="K47" s="458"/>
      <c r="L47" s="163"/>
      <c r="M47" s="163"/>
      <c r="O47" s="324">
        <f t="shared" si="8"/>
        <v>1.5382314314898584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'[95]Sch C'!D28</f>
        <v>0</v>
      </c>
      <c r="D48" s="480">
        <f>'[95]Sch C'!F28</f>
        <v>0</v>
      </c>
      <c r="E48" s="480">
        <f>+'[95]Sch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'[95]Sch C'!D29</f>
        <v>118883</v>
      </c>
      <c r="D49" s="480">
        <f>'[95]Sch C'!F29</f>
        <v>-118883</v>
      </c>
      <c r="E49" s="480">
        <f>+'[95]Sch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'[95]Sch C'!D30</f>
        <v>0</v>
      </c>
      <c r="D50" s="480">
        <f>'[95]Sch C'!F30</f>
        <v>0</v>
      </c>
      <c r="E50" s="480">
        <f>+'[95]Sch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'[95]Sch C'!D31</f>
        <v>0</v>
      </c>
      <c r="D51" s="480">
        <f>'[95]Sch C'!F31</f>
        <v>0</v>
      </c>
      <c r="E51" s="480">
        <f>+'[95]Sch C'!H31</f>
        <v>0</v>
      </c>
      <c r="F51" s="166">
        <f t="shared" si="5"/>
        <v>0</v>
      </c>
      <c r="G51" s="626">
        <f>12122-4341</f>
        <v>7781</v>
      </c>
      <c r="H51" s="166"/>
      <c r="I51" s="166">
        <f t="shared" si="6"/>
        <v>7781</v>
      </c>
      <c r="J51" s="167">
        <f t="shared" si="7"/>
        <v>1.6903716286479074E-3</v>
      </c>
      <c r="K51" s="458"/>
      <c r="L51" s="163"/>
      <c r="M51" s="163"/>
      <c r="O51" s="324">
        <f t="shared" si="8"/>
        <v>0.56770757332555088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'[95]Sch C'!D32</f>
        <v>52473</v>
      </c>
      <c r="D52" s="480">
        <f>'[95]Sch C'!F32</f>
        <v>0</v>
      </c>
      <c r="E52" s="480">
        <f>+'[95]Sch C'!H32</f>
        <v>0</v>
      </c>
      <c r="F52" s="166">
        <f t="shared" si="5"/>
        <v>52473</v>
      </c>
      <c r="G52" s="626"/>
      <c r="H52" s="166"/>
      <c r="I52" s="166">
        <f t="shared" si="6"/>
        <v>52473</v>
      </c>
      <c r="J52" s="167">
        <f t="shared" si="7"/>
        <v>1.1399417873029385E-2</v>
      </c>
      <c r="K52" s="458"/>
      <c r="L52" s="163"/>
      <c r="M52" s="163"/>
      <c r="O52" s="324">
        <f t="shared" si="8"/>
        <v>3.8284692835254632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'[95]Sch C'!D33</f>
        <v>0</v>
      </c>
      <c r="D53" s="480">
        <f>'[95]Sch C'!F33</f>
        <v>0</v>
      </c>
      <c r="E53" s="480">
        <f>+'[95]Sch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'[95]Sch C'!D34</f>
        <v>16</v>
      </c>
      <c r="D54" s="480">
        <f>'[95]Sch C'!F34</f>
        <v>0</v>
      </c>
      <c r="E54" s="480">
        <f>+'[95]Sch C'!H34</f>
        <v>0</v>
      </c>
      <c r="F54" s="166">
        <f t="shared" si="5"/>
        <v>16</v>
      </c>
      <c r="G54" s="626"/>
      <c r="H54" s="166"/>
      <c r="I54" s="166">
        <f t="shared" si="6"/>
        <v>16</v>
      </c>
      <c r="J54" s="167">
        <f t="shared" si="7"/>
        <v>3.475895907771047E-6</v>
      </c>
      <c r="K54" s="458"/>
      <c r="L54" s="163"/>
      <c r="M54" s="163"/>
      <c r="O54" s="324">
        <f t="shared" si="8"/>
        <v>1.1673719538888077E-3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'[95]Sch C'!D35</f>
        <v>85020</v>
      </c>
      <c r="D55" s="480">
        <f>'[95]Sch C'!F35</f>
        <v>-85020</v>
      </c>
      <c r="E55" s="480">
        <f>+'[95]Sch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'[95]Sch C'!D36</f>
        <v>0</v>
      </c>
      <c r="D56" s="480">
        <f>'[95]Sch C'!F36</f>
        <v>0</v>
      </c>
      <c r="E56" s="480">
        <f>+'[95]Sch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'[95]Sch C'!D37</f>
        <v>0</v>
      </c>
      <c r="D57" s="480">
        <f>'[95]Sch C'!F37</f>
        <v>0</v>
      </c>
      <c r="E57" s="480">
        <f>+'[95]Sch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'[95]Sch C'!D38</f>
        <v>292</v>
      </c>
      <c r="D58" s="480">
        <f>'[95]Sch C'!F38</f>
        <v>-292</v>
      </c>
      <c r="E58" s="480">
        <f>+'[95]Sch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'[95]Sch C'!D39</f>
        <v>2777</v>
      </c>
      <c r="D59" s="480">
        <f>'[95]Sch C'!F39</f>
        <v>0</v>
      </c>
      <c r="E59" s="480">
        <f>+'[95]Sch C'!H39</f>
        <v>0</v>
      </c>
      <c r="F59" s="166">
        <f t="shared" si="5"/>
        <v>2777</v>
      </c>
      <c r="G59" s="626"/>
      <c r="H59" s="166"/>
      <c r="I59" s="166">
        <f t="shared" si="6"/>
        <v>2777</v>
      </c>
      <c r="J59" s="167">
        <f t="shared" si="7"/>
        <v>6.0328518349251237E-4</v>
      </c>
      <c r="K59" s="458"/>
      <c r="L59" s="163"/>
      <c r="M59" s="163"/>
      <c r="O59" s="324">
        <f t="shared" si="8"/>
        <v>0.2026119947468262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'[95]Sch C'!D40</f>
        <v>2073</v>
      </c>
      <c r="D60" s="480">
        <f>'[95]Sch C'!F40</f>
        <v>-2073</v>
      </c>
      <c r="E60" s="480">
        <f>+'[95]Sch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'[95]Sch C'!D41</f>
        <v>98263</v>
      </c>
      <c r="D61" s="480">
        <f>'[95]Sch C'!F41</f>
        <v>-4341</v>
      </c>
      <c r="E61" s="480">
        <f>+'[95]Sch C'!H41</f>
        <v>-984</v>
      </c>
      <c r="F61" s="166">
        <f t="shared" si="5"/>
        <v>92938</v>
      </c>
      <c r="G61" s="626">
        <v>4341</v>
      </c>
      <c r="H61" s="166"/>
      <c r="I61" s="166">
        <f t="shared" si="6"/>
        <v>97279</v>
      </c>
      <c r="J61" s="167">
        <f t="shared" si="7"/>
        <v>2.113322987575373E-2</v>
      </c>
      <c r="K61" s="458"/>
      <c r="L61" s="163"/>
      <c r="M61" s="163"/>
      <c r="O61" s="324">
        <f t="shared" si="8"/>
        <v>7.0975485188968337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'[95]Sch C'!D42</f>
        <v>0</v>
      </c>
      <c r="D62" s="480">
        <f>'[95]Sch C'!F42</f>
        <v>0</v>
      </c>
      <c r="E62" s="480">
        <f>+'[95]Sch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'[95]Sch C'!D43</f>
        <v>7358</v>
      </c>
      <c r="D63" s="480">
        <f>'[95]Sch C'!F43</f>
        <v>-7358</v>
      </c>
      <c r="E63" s="480">
        <f>+'[95]Sch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'[95]Sch C'!D44</f>
        <v>0</v>
      </c>
      <c r="D64" s="480">
        <f>'[95]Sch C'!F44</f>
        <v>0</v>
      </c>
      <c r="E64" s="480">
        <f>+'[95]Sch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'[95]Sch C'!D45</f>
        <v>11294</v>
      </c>
      <c r="D65" s="480">
        <f>'[95]Sch C'!F45</f>
        <v>0</v>
      </c>
      <c r="E65" s="480">
        <f>+'[95]Sch C'!H45</f>
        <v>0</v>
      </c>
      <c r="F65" s="166">
        <f t="shared" si="5"/>
        <v>11294</v>
      </c>
      <c r="G65" s="626">
        <f>-1604-3779.65-44-533.56</f>
        <v>-5961.2099999999991</v>
      </c>
      <c r="H65" s="166"/>
      <c r="I65" s="166">
        <f t="shared" si="6"/>
        <v>5332.7900000000009</v>
      </c>
      <c r="J65" s="167">
        <f t="shared" si="7"/>
        <v>1.1585139336251478E-3</v>
      </c>
      <c r="K65" s="458" t="s">
        <v>499</v>
      </c>
      <c r="L65" s="163"/>
      <c r="M65" s="163"/>
      <c r="O65" s="324">
        <f t="shared" si="8"/>
        <v>0.38908434262366853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1187330</v>
      </c>
      <c r="D66" s="480">
        <f t="shared" si="9"/>
        <v>-218859</v>
      </c>
      <c r="E66" s="480">
        <f t="shared" si="9"/>
        <v>118056</v>
      </c>
      <c r="F66" s="166">
        <f t="shared" ref="F66:I66" si="10">SUM(F30:F65)</f>
        <v>1086527</v>
      </c>
      <c r="G66" s="166">
        <f t="shared" si="10"/>
        <v>22304.79</v>
      </c>
      <c r="H66" s="166">
        <f t="shared" si="10"/>
        <v>0</v>
      </c>
      <c r="I66" s="166">
        <f t="shared" si="10"/>
        <v>1108831.79</v>
      </c>
      <c r="J66" s="178">
        <f t="shared" si="7"/>
        <v>0.24088649257921532</v>
      </c>
      <c r="K66" s="465"/>
      <c r="L66" s="163"/>
      <c r="M66" s="163"/>
      <c r="O66" s="329">
        <f>I66/I$233</f>
        <v>80.901195826645264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'[95]Sch C'!D57</f>
        <v>0</v>
      </c>
      <c r="D69" s="480">
        <f>'[95]Sch C'!F57</f>
        <v>0</v>
      </c>
      <c r="E69" s="480">
        <f>+'[95]Sch C'!H57</f>
        <v>0</v>
      </c>
      <c r="F69" s="166">
        <f>C69+D69+E69</f>
        <v>0</v>
      </c>
      <c r="G69" s="626"/>
      <c r="H69" s="166"/>
      <c r="I69" s="166">
        <f>F69+G69+H69</f>
        <v>0</v>
      </c>
      <c r="J69" s="167">
        <f t="shared" ref="J69:J84" si="11">IF($I$213=0,0,I69/$I$213)</f>
        <v>0</v>
      </c>
      <c r="K69" s="458"/>
      <c r="L69" s="182"/>
      <c r="M69" s="163"/>
      <c r="O69" s="324">
        <f t="shared" ref="O69:O84" si="12">I69/I$233</f>
        <v>0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'[95]Sch C'!D58</f>
        <v>96904</v>
      </c>
      <c r="D70" s="480">
        <f>'[95]Sch C'!F58</f>
        <v>0</v>
      </c>
      <c r="E70" s="480">
        <f>+'[95]Sch C'!H58</f>
        <v>0</v>
      </c>
      <c r="F70" s="166">
        <f t="shared" ref="F70:F83" si="13">C70+D70+E70</f>
        <v>96904</v>
      </c>
      <c r="G70" s="626"/>
      <c r="H70" s="166"/>
      <c r="I70" s="166">
        <f t="shared" ref="I70:I83" si="14">F70+G70+H70</f>
        <v>96904</v>
      </c>
      <c r="J70" s="167">
        <f t="shared" si="11"/>
        <v>2.1051763565415348E-2</v>
      </c>
      <c r="K70" s="458"/>
      <c r="L70" s="182"/>
      <c r="M70" s="163"/>
      <c r="O70" s="324">
        <f t="shared" si="12"/>
        <v>7.0701882387275647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'[95]Sch C'!D59</f>
        <v>62677</v>
      </c>
      <c r="D71" s="480">
        <f>'[95]Sch C'!F59</f>
        <v>0</v>
      </c>
      <c r="E71" s="480">
        <f>+'[95]Sch C'!H59</f>
        <v>0</v>
      </c>
      <c r="F71" s="166">
        <f t="shared" si="13"/>
        <v>62677</v>
      </c>
      <c r="G71" s="626"/>
      <c r="H71" s="166"/>
      <c r="I71" s="166">
        <f t="shared" si="14"/>
        <v>62677</v>
      </c>
      <c r="J71" s="167">
        <f t="shared" si="11"/>
        <v>1.361617048821037E-2</v>
      </c>
      <c r="K71" s="458"/>
      <c r="L71" s="182"/>
      <c r="M71" s="163"/>
      <c r="O71" s="324">
        <f t="shared" si="12"/>
        <v>4.5729607471180502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'[95]Sch C'!D60</f>
        <v>25985</v>
      </c>
      <c r="D72" s="480">
        <f>'[95]Sch C'!F60</f>
        <v>0</v>
      </c>
      <c r="E72" s="480">
        <f>+'[95]Sch C'!H60</f>
        <v>0</v>
      </c>
      <c r="F72" s="166">
        <f t="shared" si="13"/>
        <v>25985</v>
      </c>
      <c r="G72" s="626"/>
      <c r="H72" s="166"/>
      <c r="I72" s="166">
        <f t="shared" si="14"/>
        <v>25985</v>
      </c>
      <c r="J72" s="167">
        <f t="shared" si="11"/>
        <v>5.6450721977144161E-3</v>
      </c>
      <c r="K72" s="458"/>
      <c r="L72" s="185"/>
      <c r="M72" s="163"/>
      <c r="O72" s="324">
        <f t="shared" si="12"/>
        <v>1.895885013862542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'[95]Sch C'!D61</f>
        <v>17202</v>
      </c>
      <c r="D73" s="480">
        <f>'[95]Sch C'!F61</f>
        <v>0</v>
      </c>
      <c r="E73" s="480">
        <f>+'[95]Sch C'!H61</f>
        <v>0</v>
      </c>
      <c r="F73" s="166">
        <f t="shared" si="13"/>
        <v>17202</v>
      </c>
      <c r="G73" s="626"/>
      <c r="H73" s="166"/>
      <c r="I73" s="166">
        <f t="shared" si="14"/>
        <v>17202</v>
      </c>
      <c r="J73" s="167">
        <f t="shared" si="11"/>
        <v>3.7370225878423473E-3</v>
      </c>
      <c r="K73" s="458"/>
      <c r="L73" s="185"/>
      <c r="M73" s="163"/>
      <c r="O73" s="324">
        <f t="shared" si="12"/>
        <v>1.2550707719247045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'[95]Sch C'!D62</f>
        <v>0</v>
      </c>
      <c r="D74" s="480">
        <f>'[95]Sch C'!F62</f>
        <v>0</v>
      </c>
      <c r="E74" s="480">
        <f>+'[95]Sch C'!H62</f>
        <v>0</v>
      </c>
      <c r="F74" s="166">
        <f t="shared" si="13"/>
        <v>0</v>
      </c>
      <c r="G74" s="626"/>
      <c r="H74" s="166"/>
      <c r="I74" s="166">
        <f t="shared" si="14"/>
        <v>0</v>
      </c>
      <c r="J74" s="167">
        <f t="shared" si="11"/>
        <v>0</v>
      </c>
      <c r="K74" s="458"/>
      <c r="L74" s="187"/>
      <c r="M74" s="163"/>
      <c r="O74" s="324">
        <f t="shared" si="12"/>
        <v>0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'[95]Sch C'!D63</f>
        <v>0</v>
      </c>
      <c r="D75" s="480">
        <f>'[95]Sch C'!F63</f>
        <v>0</v>
      </c>
      <c r="E75" s="480">
        <f>+'[95]Sch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'[95]Sch C'!D64</f>
        <v>0</v>
      </c>
      <c r="D76" s="480">
        <f>'[95]Sch C'!F64</f>
        <v>0</v>
      </c>
      <c r="E76" s="480">
        <f>+'[95]Sch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'[95]Sch C'!D65</f>
        <v>0</v>
      </c>
      <c r="D77" s="480">
        <f>'[95]Sch C'!F65</f>
        <v>0</v>
      </c>
      <c r="E77" s="480">
        <f>+'[95]Sch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'[95]Sch C'!D66</f>
        <v>53381</v>
      </c>
      <c r="D78" s="480">
        <f>'[95]Sch C'!F66</f>
        <v>0</v>
      </c>
      <c r="E78" s="480">
        <f>+'[95]Sch C'!H66</f>
        <v>-459</v>
      </c>
      <c r="F78" s="166">
        <f t="shared" si="13"/>
        <v>52922</v>
      </c>
      <c r="G78" s="626">
        <v>-351</v>
      </c>
      <c r="H78" s="166"/>
      <c r="I78" s="166">
        <f t="shared" si="14"/>
        <v>52571</v>
      </c>
      <c r="J78" s="167">
        <f t="shared" si="11"/>
        <v>1.1420707735464483E-2</v>
      </c>
      <c r="K78" s="458"/>
      <c r="L78" s="187"/>
      <c r="M78" s="163"/>
      <c r="O78" s="324">
        <f t="shared" si="12"/>
        <v>3.8356194367430323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'[95]Sch C'!D67</f>
        <v>29850</v>
      </c>
      <c r="D79" s="480">
        <f>'[95]Sch C'!F67</f>
        <v>0</v>
      </c>
      <c r="E79" s="480">
        <f>+'[95]Sch C'!H67</f>
        <v>0</v>
      </c>
      <c r="F79" s="166">
        <f t="shared" si="13"/>
        <v>29850</v>
      </c>
      <c r="G79" s="626"/>
      <c r="H79" s="166"/>
      <c r="I79" s="166">
        <f t="shared" si="14"/>
        <v>29850</v>
      </c>
      <c r="J79" s="167">
        <f t="shared" si="11"/>
        <v>6.4847183029353595E-3</v>
      </c>
      <c r="K79" s="458"/>
      <c r="L79" s="187"/>
      <c r="M79" s="163"/>
      <c r="O79" s="324">
        <f t="shared" si="12"/>
        <v>2.177878301473807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'[95]Sch C'!D68</f>
        <v>0</v>
      </c>
      <c r="D80" s="480">
        <f>'[95]Sch C'!F68</f>
        <v>0</v>
      </c>
      <c r="E80" s="480">
        <f>+'[95]Sch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'[95]Sch C'!D69</f>
        <v>2997</v>
      </c>
      <c r="D81" s="480">
        <f>'[95]Sch C'!F69</f>
        <v>0</v>
      </c>
      <c r="E81" s="480">
        <f>+'[95]Sch C'!H69</f>
        <v>0</v>
      </c>
      <c r="F81" s="166">
        <f t="shared" si="13"/>
        <v>2997</v>
      </c>
      <c r="G81" s="626"/>
      <c r="H81" s="166"/>
      <c r="I81" s="166">
        <f t="shared" si="14"/>
        <v>2997</v>
      </c>
      <c r="J81" s="167">
        <f t="shared" si="11"/>
        <v>6.5107875222436432E-4</v>
      </c>
      <c r="K81" s="458"/>
      <c r="L81" s="187"/>
      <c r="M81" s="163"/>
      <c r="O81" s="324">
        <f t="shared" si="12"/>
        <v>0.21866335911279733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'[95]Sch C'!D70</f>
        <v>0</v>
      </c>
      <c r="D82" s="480">
        <f>'[95]Sch C'!F70</f>
        <v>0</v>
      </c>
      <c r="E82" s="480">
        <f>+'[95]Sch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'[95]Sch C'!D71</f>
        <v>0</v>
      </c>
      <c r="D83" s="480">
        <f>'[95]Sch C'!F71</f>
        <v>0</v>
      </c>
      <c r="E83" s="480">
        <f>+'[95]Sch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288996</v>
      </c>
      <c r="D84" s="480">
        <f t="shared" si="15"/>
        <v>0</v>
      </c>
      <c r="E84" s="480">
        <f t="shared" si="15"/>
        <v>-459</v>
      </c>
      <c r="F84" s="166">
        <f t="shared" ref="F84:I84" si="16">SUM(F69:F83)</f>
        <v>288537</v>
      </c>
      <c r="G84" s="166">
        <f t="shared" si="16"/>
        <v>-351</v>
      </c>
      <c r="H84" s="166">
        <f t="shared" si="16"/>
        <v>0</v>
      </c>
      <c r="I84" s="166">
        <f t="shared" si="16"/>
        <v>288186</v>
      </c>
      <c r="J84" s="167">
        <f t="shared" si="11"/>
        <v>6.2606533629806685E-2</v>
      </c>
      <c r="K84" s="458"/>
      <c r="L84" s="187"/>
      <c r="M84" s="163"/>
      <c r="O84" s="324">
        <f t="shared" si="12"/>
        <v>21.026265868962497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'[95]Sch C'!D75</f>
        <v>39506</v>
      </c>
      <c r="D87" s="480">
        <f>'[95]Sch C'!F75</f>
        <v>0</v>
      </c>
      <c r="E87" s="480">
        <f>+'[95]Sch C'!H75</f>
        <v>0</v>
      </c>
      <c r="F87" s="166">
        <f t="shared" ref="F87:F97" si="17">C87+D87+E87</f>
        <v>39506</v>
      </c>
      <c r="G87" s="626"/>
      <c r="H87" s="166"/>
      <c r="I87" s="166">
        <f t="shared" ref="I87:I97" si="18">F87+G87+H87</f>
        <v>39506</v>
      </c>
      <c r="J87" s="167">
        <f t="shared" ref="J87:J98" si="19">IF($I$213=0,0,I87/$I$213)</f>
        <v>8.582421483275187E-3</v>
      </c>
      <c r="K87" s="458"/>
      <c r="L87" s="176">
        <v>1759</v>
      </c>
      <c r="M87" s="176">
        <v>1888</v>
      </c>
      <c r="O87" s="324">
        <f t="shared" ref="O87:O97" si="20">I87/I$233</f>
        <v>2.8823872756457027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'[95]Sch C'!D76</f>
        <v>8220</v>
      </c>
      <c r="D88" s="480">
        <f>'[95]Sch C'!F76</f>
        <v>0</v>
      </c>
      <c r="E88" s="480">
        <f>+'[95]Sch C'!H76</f>
        <v>0</v>
      </c>
      <c r="F88" s="166">
        <f t="shared" si="17"/>
        <v>8220</v>
      </c>
      <c r="G88" s="626">
        <v>-916</v>
      </c>
      <c r="H88" s="166"/>
      <c r="I88" s="166">
        <f t="shared" si="18"/>
        <v>7304</v>
      </c>
      <c r="J88" s="167">
        <f t="shared" si="19"/>
        <v>1.5867464818974831E-3</v>
      </c>
      <c r="K88" s="458"/>
      <c r="L88" s="163"/>
      <c r="M88" s="163"/>
      <c r="O88" s="324">
        <f t="shared" si="20"/>
        <v>0.5329052969502408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'[95]Sch C'!D77</f>
        <v>9446</v>
      </c>
      <c r="D89" s="480">
        <f>'[95]Sch C'!F77</f>
        <v>0</v>
      </c>
      <c r="E89" s="480">
        <f>+'[95]Sch C'!H77</f>
        <v>0</v>
      </c>
      <c r="F89" s="166">
        <f t="shared" si="17"/>
        <v>9446</v>
      </c>
      <c r="G89" s="626"/>
      <c r="H89" s="166"/>
      <c r="I89" s="166">
        <f t="shared" si="18"/>
        <v>9446</v>
      </c>
      <c r="J89" s="167">
        <f t="shared" si="19"/>
        <v>2.0520820465503319E-3</v>
      </c>
      <c r="K89" s="458"/>
      <c r="L89" s="163"/>
      <c r="M89" s="163"/>
      <c r="O89" s="324">
        <f t="shared" si="20"/>
        <v>0.68918721727710497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'[95]Sch C'!D78</f>
        <v>0</v>
      </c>
      <c r="D90" s="480">
        <f>'[95]Sch C'!F78</f>
        <v>0</v>
      </c>
      <c r="E90" s="480">
        <f>+'[95]Sch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'[95]Sch C'!D79</f>
        <v>13964</v>
      </c>
      <c r="D91" s="480">
        <f>'[95]Sch C'!F79</f>
        <v>0</v>
      </c>
      <c r="E91" s="480">
        <f>+'[95]Sch C'!H79</f>
        <v>0</v>
      </c>
      <c r="F91" s="166">
        <f t="shared" si="17"/>
        <v>13964</v>
      </c>
      <c r="G91" s="626">
        <v>1604</v>
      </c>
      <c r="H91" s="166"/>
      <c r="I91" s="166">
        <f t="shared" si="18"/>
        <v>15568</v>
      </c>
      <c r="J91" s="167">
        <f t="shared" si="19"/>
        <v>3.3820467182612288E-3</v>
      </c>
      <c r="K91" s="458"/>
      <c r="L91" s="163"/>
      <c r="M91" s="163"/>
      <c r="O91" s="324">
        <f t="shared" si="20"/>
        <v>1.13585291113381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'[95]Sch C'!D80</f>
        <v>49478</v>
      </c>
      <c r="D92" s="480">
        <f>'[95]Sch C'!F80</f>
        <v>0</v>
      </c>
      <c r="E92" s="480">
        <f>+'[95]Sch C'!H80</f>
        <v>0</v>
      </c>
      <c r="F92" s="166">
        <f t="shared" si="17"/>
        <v>49478</v>
      </c>
      <c r="G92" s="626">
        <v>-3028</v>
      </c>
      <c r="H92" s="166"/>
      <c r="I92" s="166">
        <f t="shared" si="18"/>
        <v>46450</v>
      </c>
      <c r="J92" s="167">
        <f t="shared" si="19"/>
        <v>1.0090960307247822E-2</v>
      </c>
      <c r="K92" s="458"/>
      <c r="L92" s="163"/>
      <c r="M92" s="163"/>
      <c r="O92" s="324">
        <f t="shared" si="20"/>
        <v>3.3890267036334452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'[95]Sch C'!D81</f>
        <v>63255</v>
      </c>
      <c r="D93" s="480">
        <f>'[95]Sch C'!F81</f>
        <v>0</v>
      </c>
      <c r="E93" s="480">
        <f>+'[95]Sch C'!H81</f>
        <v>0</v>
      </c>
      <c r="F93" s="166">
        <f t="shared" si="17"/>
        <v>63255</v>
      </c>
      <c r="G93" s="626"/>
      <c r="H93" s="166"/>
      <c r="I93" s="166">
        <f t="shared" si="18"/>
        <v>63255</v>
      </c>
      <c r="J93" s="167">
        <f t="shared" si="19"/>
        <v>1.37417372278786E-2</v>
      </c>
      <c r="K93" s="458"/>
      <c r="L93" s="163"/>
      <c r="M93" s="163"/>
      <c r="O93" s="324">
        <f t="shared" si="20"/>
        <v>4.615132058952284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'[95]Sch C'!D82</f>
        <v>11959</v>
      </c>
      <c r="D94" s="480">
        <f>'[95]Sch C'!F82</f>
        <v>0</v>
      </c>
      <c r="E94" s="480">
        <f>+'[95]Sch C'!H82</f>
        <v>0</v>
      </c>
      <c r="F94" s="166">
        <f t="shared" si="17"/>
        <v>11959</v>
      </c>
      <c r="G94" s="626"/>
      <c r="H94" s="166"/>
      <c r="I94" s="166">
        <f t="shared" si="18"/>
        <v>11959</v>
      </c>
      <c r="J94" s="167">
        <f t="shared" si="19"/>
        <v>2.5980149475646223E-3</v>
      </c>
      <c r="K94" s="458"/>
      <c r="L94" s="163"/>
      <c r="M94" s="163"/>
      <c r="O94" s="324">
        <f t="shared" si="20"/>
        <v>0.87253757478476579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'[95]Sch C'!D83</f>
        <v>287</v>
      </c>
      <c r="D95" s="480">
        <f>'[95]Sch C'!F83</f>
        <v>0</v>
      </c>
      <c r="E95" s="480">
        <f>+'[95]Sch C'!H83</f>
        <v>0</v>
      </c>
      <c r="F95" s="166">
        <f t="shared" si="17"/>
        <v>287</v>
      </c>
      <c r="G95" s="626"/>
      <c r="H95" s="166"/>
      <c r="I95" s="166">
        <f t="shared" si="18"/>
        <v>287</v>
      </c>
      <c r="J95" s="167">
        <f t="shared" si="19"/>
        <v>6.2348882845643155E-5</v>
      </c>
      <c r="K95" s="458"/>
      <c r="L95" s="163"/>
      <c r="M95" s="163"/>
      <c r="O95" s="324">
        <f t="shared" si="20"/>
        <v>2.0939734422880489E-2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'[95]Sch C'!D84</f>
        <v>63561</v>
      </c>
      <c r="D96" s="480">
        <f>'[95]Sch C'!F84</f>
        <v>0</v>
      </c>
      <c r="E96" s="480">
        <f>+'[95]Sch C'!H84</f>
        <v>0</v>
      </c>
      <c r="F96" s="166">
        <f t="shared" si="17"/>
        <v>63561</v>
      </c>
      <c r="G96" s="626"/>
      <c r="H96" s="166"/>
      <c r="I96" s="166">
        <f t="shared" si="18"/>
        <v>63561</v>
      </c>
      <c r="J96" s="167">
        <f t="shared" si="19"/>
        <v>1.3808213737114721E-2</v>
      </c>
      <c r="K96" s="458"/>
      <c r="L96" s="163"/>
      <c r="M96" s="163"/>
      <c r="O96" s="324">
        <f t="shared" si="20"/>
        <v>4.6374580475704068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'[95]Sch C'!D85</f>
        <v>299</v>
      </c>
      <c r="D97" s="480">
        <f>'[95]Sch C'!F85</f>
        <v>0</v>
      </c>
      <c r="E97" s="480">
        <f>+'[95]Sch C'!H85</f>
        <v>0</v>
      </c>
      <c r="F97" s="166">
        <f t="shared" si="17"/>
        <v>299</v>
      </c>
      <c r="G97" s="626"/>
      <c r="H97" s="166"/>
      <c r="I97" s="166">
        <f t="shared" si="18"/>
        <v>299</v>
      </c>
      <c r="J97" s="167">
        <f t="shared" si="19"/>
        <v>6.4955804776471447E-5</v>
      </c>
      <c r="K97" s="458"/>
      <c r="L97" s="163"/>
      <c r="M97" s="163"/>
      <c r="O97" s="324">
        <f t="shared" si="20"/>
        <v>2.1815263388297097E-2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259975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259975</v>
      </c>
      <c r="G98" s="166">
        <f t="shared" si="22"/>
        <v>-2340</v>
      </c>
      <c r="H98" s="166">
        <f t="shared" si="22"/>
        <v>0</v>
      </c>
      <c r="I98" s="166">
        <f t="shared" si="22"/>
        <v>257635</v>
      </c>
      <c r="J98" s="167">
        <f t="shared" si="19"/>
        <v>5.5969527637412107E-2</v>
      </c>
      <c r="K98" s="458"/>
      <c r="L98" s="163"/>
      <c r="M98" s="163"/>
      <c r="O98" s="329">
        <f>I98/I$233</f>
        <v>18.797242083758938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'[95]Sch C'!D89</f>
        <v>0</v>
      </c>
      <c r="D101" s="480">
        <f>'[95]Sch C'!F89</f>
        <v>0</v>
      </c>
      <c r="E101" s="480">
        <f>+'[95]Sch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'[95]Sch C'!D90</f>
        <v>0</v>
      </c>
      <c r="D102" s="480">
        <f>'[95]Sch C'!F90</f>
        <v>0</v>
      </c>
      <c r="E102" s="480">
        <f>+'[95]Sch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'[95]Sch C'!D91</f>
        <v>351224</v>
      </c>
      <c r="D103" s="480">
        <f>'[95]Sch C'!F91</f>
        <v>0</v>
      </c>
      <c r="E103" s="480">
        <f>+'[95]Sch C'!H91</f>
        <v>0</v>
      </c>
      <c r="F103" s="166">
        <f t="shared" si="23"/>
        <v>351224</v>
      </c>
      <c r="G103" s="626"/>
      <c r="H103" s="166"/>
      <c r="I103" s="166">
        <f t="shared" si="24"/>
        <v>351224</v>
      </c>
      <c r="J103" s="167">
        <f t="shared" si="25"/>
        <v>7.6301129019436142E-2</v>
      </c>
      <c r="K103" s="458"/>
      <c r="L103" s="163"/>
      <c r="M103" s="163"/>
      <c r="O103" s="329">
        <f t="shared" si="26"/>
        <v>25.625565445790166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'[95]Sch C'!D92</f>
        <v>2106</v>
      </c>
      <c r="D104" s="480">
        <f>'[95]Sch C'!F92</f>
        <v>-222</v>
      </c>
      <c r="E104" s="480">
        <f>+'[95]Sch C'!H92</f>
        <v>0</v>
      </c>
      <c r="F104" s="166">
        <f t="shared" si="23"/>
        <v>1884</v>
      </c>
      <c r="G104" s="626"/>
      <c r="H104" s="166"/>
      <c r="I104" s="166">
        <f t="shared" si="24"/>
        <v>1884</v>
      </c>
      <c r="J104" s="167">
        <f t="shared" si="25"/>
        <v>4.0928674314004079E-4</v>
      </c>
      <c r="K104" s="458"/>
      <c r="L104" s="163"/>
      <c r="M104" s="163"/>
      <c r="O104" s="329">
        <f t="shared" si="26"/>
        <v>0.13745804757040711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'[95]Sch C'!D93</f>
        <v>4005</v>
      </c>
      <c r="D105" s="480">
        <f>'[95]Sch C'!F93</f>
        <v>0</v>
      </c>
      <c r="E105" s="480">
        <f>+'[95]Sch C'!H93</f>
        <v>0</v>
      </c>
      <c r="F105" s="166">
        <f t="shared" si="23"/>
        <v>4005</v>
      </c>
      <c r="G105" s="626"/>
      <c r="H105" s="166"/>
      <c r="I105" s="166">
        <f t="shared" si="24"/>
        <v>4005</v>
      </c>
      <c r="J105" s="167">
        <f t="shared" si="25"/>
        <v>8.7006019441394022E-4</v>
      </c>
      <c r="K105" s="458"/>
      <c r="L105" s="163"/>
      <c r="M105" s="163"/>
      <c r="O105" s="329">
        <f t="shared" si="26"/>
        <v>0.29220779220779219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'[95]Sch C'!D94</f>
        <v>0</v>
      </c>
      <c r="D106" s="480">
        <f>'[95]Sch C'!F94</f>
        <v>0</v>
      </c>
      <c r="E106" s="480">
        <f>+'[95]Sch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357335</v>
      </c>
      <c r="D107" s="480">
        <f t="shared" si="27"/>
        <v>-222</v>
      </c>
      <c r="E107" s="480">
        <f t="shared" si="27"/>
        <v>0</v>
      </c>
      <c r="F107" s="166">
        <f t="shared" ref="F107:I107" si="28">SUM(F101:F106)</f>
        <v>357113</v>
      </c>
      <c r="G107" s="166">
        <f t="shared" si="28"/>
        <v>0</v>
      </c>
      <c r="H107" s="166">
        <f t="shared" si="28"/>
        <v>0</v>
      </c>
      <c r="I107" s="166">
        <f t="shared" si="28"/>
        <v>357113</v>
      </c>
      <c r="J107" s="167">
        <f t="shared" si="25"/>
        <v>7.7580475956990122E-2</v>
      </c>
      <c r="K107" s="458"/>
      <c r="L107" s="163"/>
      <c r="M107" s="163"/>
      <c r="O107" s="329">
        <f>I107/I$233</f>
        <v>26.055231285568365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'[95]Sch C'!D98</f>
        <v>0</v>
      </c>
      <c r="D110" s="480">
        <f>'[95]Sch C'!F98</f>
        <v>0</v>
      </c>
      <c r="E110" s="480">
        <f>+'[95]Sch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'[95]Sch C'!D99</f>
        <v>0</v>
      </c>
      <c r="D111" s="480">
        <f>'[95]Sch C'!F99</f>
        <v>0</v>
      </c>
      <c r="E111" s="480">
        <f>+'[95]Sch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'[95]Sch C'!D100</f>
        <v>297</v>
      </c>
      <c r="D112" s="480">
        <f>'[95]Sch C'!F100</f>
        <v>0</v>
      </c>
      <c r="E112" s="480">
        <f>+'[95]Sch C'!H100</f>
        <v>0</v>
      </c>
      <c r="F112" s="166">
        <f t="shared" si="29"/>
        <v>297</v>
      </c>
      <c r="G112" s="626"/>
      <c r="H112" s="166"/>
      <c r="I112" s="166">
        <f t="shared" si="30"/>
        <v>297</v>
      </c>
      <c r="J112" s="167">
        <f t="shared" si="31"/>
        <v>6.4521317788000058E-5</v>
      </c>
      <c r="K112" s="458"/>
      <c r="L112" s="163"/>
      <c r="M112" s="163"/>
      <c r="O112" s="329">
        <f t="shared" si="32"/>
        <v>2.1669341894060994E-2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'[95]Sch C'!D101</f>
        <v>53689</v>
      </c>
      <c r="D113" s="480">
        <f>'[95]Sch C'!F101</f>
        <v>0</v>
      </c>
      <c r="E113" s="480">
        <f>+'[95]Sch C'!H101</f>
        <v>0</v>
      </c>
      <c r="F113" s="166">
        <f t="shared" si="29"/>
        <v>53689</v>
      </c>
      <c r="G113" s="626"/>
      <c r="H113" s="166"/>
      <c r="I113" s="166">
        <f t="shared" si="30"/>
        <v>53689</v>
      </c>
      <c r="J113" s="167">
        <f t="shared" si="31"/>
        <v>1.1663585962019985E-2</v>
      </c>
      <c r="K113" s="458"/>
      <c r="L113" s="163"/>
      <c r="M113" s="163"/>
      <c r="O113" s="329">
        <f t="shared" si="32"/>
        <v>3.9171895520210125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'[95]Sch C'!D102</f>
        <v>11378</v>
      </c>
      <c r="D114" s="480">
        <f>'[95]Sch C'!F102</f>
        <v>0</v>
      </c>
      <c r="E114" s="480">
        <f>+'[95]Sch C'!H102</f>
        <v>0</v>
      </c>
      <c r="F114" s="166">
        <f t="shared" si="29"/>
        <v>11378</v>
      </c>
      <c r="G114" s="626"/>
      <c r="H114" s="166"/>
      <c r="I114" s="166">
        <f t="shared" si="30"/>
        <v>11378</v>
      </c>
      <c r="J114" s="167">
        <f t="shared" si="31"/>
        <v>2.4717964774136859E-3</v>
      </c>
      <c r="K114" s="458"/>
      <c r="L114" s="163"/>
      <c r="M114" s="163"/>
      <c r="O114" s="329">
        <f t="shared" si="32"/>
        <v>0.83014738070917848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'[95]Sch C'!D103</f>
        <v>0</v>
      </c>
      <c r="D115" s="480">
        <f>'[95]Sch C'!F103</f>
        <v>0</v>
      </c>
      <c r="E115" s="480">
        <f>+'[95]Sch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65364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65364</v>
      </c>
      <c r="G116" s="166">
        <f t="shared" si="34"/>
        <v>0</v>
      </c>
      <c r="H116" s="166">
        <f t="shared" si="34"/>
        <v>0</v>
      </c>
      <c r="I116" s="166">
        <f t="shared" si="34"/>
        <v>65364</v>
      </c>
      <c r="J116" s="167">
        <f t="shared" si="31"/>
        <v>1.4199903757221671E-2</v>
      </c>
      <c r="K116" s="458"/>
      <c r="L116" s="163"/>
      <c r="M116" s="163"/>
      <c r="O116" s="329">
        <f>I116/I$233</f>
        <v>4.7690062746242523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'[95]Sch C'!D115</f>
        <v>0</v>
      </c>
      <c r="D119" s="480">
        <f>'[95]Sch C'!F115</f>
        <v>0</v>
      </c>
      <c r="E119" s="480">
        <f>+'[95]Sch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'[95]Sch C'!D116</f>
        <v>0</v>
      </c>
      <c r="D120" s="480">
        <f>'[95]Sch C'!F116</f>
        <v>0</v>
      </c>
      <c r="E120" s="480">
        <f>+'[95]Sch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'[95]Sch C'!D117</f>
        <v>10333</v>
      </c>
      <c r="D121" s="480">
        <f>'[95]Sch C'!F117</f>
        <v>0</v>
      </c>
      <c r="E121" s="480">
        <f>+'[95]Sch C'!H117</f>
        <v>0</v>
      </c>
      <c r="F121" s="166">
        <f t="shared" si="35"/>
        <v>10333</v>
      </c>
      <c r="G121" s="626">
        <v>-474</v>
      </c>
      <c r="H121" s="166"/>
      <c r="I121" s="166">
        <f t="shared" si="36"/>
        <v>9859</v>
      </c>
      <c r="J121" s="167">
        <f t="shared" si="37"/>
        <v>2.1418036096696722E-3</v>
      </c>
      <c r="K121" s="458"/>
      <c r="L121" s="163"/>
      <c r="M121" s="163"/>
      <c r="O121" s="329">
        <f t="shared" si="38"/>
        <v>0.71932000583685973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'[95]Sch C'!D118</f>
        <v>102934</v>
      </c>
      <c r="D122" s="480">
        <f>'[95]Sch C'!F118</f>
        <v>0</v>
      </c>
      <c r="E122" s="480">
        <f>+'[95]Sch C'!H118</f>
        <v>0</v>
      </c>
      <c r="F122" s="166">
        <f t="shared" si="35"/>
        <v>102934</v>
      </c>
      <c r="G122" s="626"/>
      <c r="H122" s="166"/>
      <c r="I122" s="166">
        <f t="shared" si="36"/>
        <v>102934</v>
      </c>
      <c r="J122" s="167">
        <f t="shared" si="37"/>
        <v>2.2361741835656562E-2</v>
      </c>
      <c r="K122" s="458"/>
      <c r="L122" s="163"/>
      <c r="M122" s="163"/>
      <c r="O122" s="329">
        <f t="shared" si="38"/>
        <v>7.510141543849409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'[95]Sch C'!D119</f>
        <v>170</v>
      </c>
      <c r="D123" s="480">
        <f>'[95]Sch C'!F119</f>
        <v>0</v>
      </c>
      <c r="E123" s="480">
        <f>+'[95]Sch C'!H119</f>
        <v>0</v>
      </c>
      <c r="F123" s="166">
        <f t="shared" si="35"/>
        <v>170</v>
      </c>
      <c r="G123" s="626"/>
      <c r="H123" s="166"/>
      <c r="I123" s="166">
        <f t="shared" si="36"/>
        <v>170</v>
      </c>
      <c r="J123" s="167">
        <f t="shared" si="37"/>
        <v>3.6931394020067376E-5</v>
      </c>
      <c r="K123" s="458"/>
      <c r="L123" s="163"/>
      <c r="M123" s="163"/>
      <c r="O123" s="329">
        <f t="shared" si="38"/>
        <v>1.2403327010068584E-2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113437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113437</v>
      </c>
      <c r="G124" s="166">
        <f t="shared" si="40"/>
        <v>-474</v>
      </c>
      <c r="H124" s="166">
        <f t="shared" si="40"/>
        <v>0</v>
      </c>
      <c r="I124" s="166">
        <f t="shared" si="40"/>
        <v>112963</v>
      </c>
      <c r="J124" s="167">
        <f t="shared" si="37"/>
        <v>2.4540476839346299E-2</v>
      </c>
      <c r="K124" s="458"/>
      <c r="L124" s="163"/>
      <c r="M124" s="163"/>
      <c r="O124" s="329">
        <f t="shared" si="38"/>
        <v>8.2418648766963365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'[95]Sch C'!D124</f>
        <v>0</v>
      </c>
      <c r="D128" s="480">
        <f>'[95]Sch C'!F124</f>
        <v>0</v>
      </c>
      <c r="E128" s="480">
        <f>+'[95]Sch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'[95]Sch C'!D125</f>
        <v>93861</v>
      </c>
      <c r="D129" s="480">
        <f>'[95]Sch C'!F125</f>
        <v>0</v>
      </c>
      <c r="E129" s="480">
        <f>+'[95]Sch C'!H125</f>
        <v>0</v>
      </c>
      <c r="F129" s="166">
        <f t="shared" si="41"/>
        <v>93861</v>
      </c>
      <c r="G129" s="626"/>
      <c r="H129" s="166"/>
      <c r="I129" s="166">
        <f t="shared" si="42"/>
        <v>93861</v>
      </c>
      <c r="J129" s="167">
        <f>IF($I$213=0,0,I129/$I$213)</f>
        <v>2.039069161245614E-2</v>
      </c>
      <c r="K129" s="458"/>
      <c r="L129" s="176">
        <v>2916</v>
      </c>
      <c r="M129" s="176">
        <v>2932</v>
      </c>
      <c r="O129" s="329">
        <f t="shared" si="43"/>
        <v>6.8481686852473374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'[95]Sch C'!D126</f>
        <v>0</v>
      </c>
      <c r="D130" s="480">
        <f>'[95]Sch C'!F126</f>
        <v>0</v>
      </c>
      <c r="E130" s="480">
        <f>+'[95]Sch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'[95]Sch C'!D127</f>
        <v>0</v>
      </c>
      <c r="D131" s="480">
        <f>'[95]Sch C'!F127</f>
        <v>0</v>
      </c>
      <c r="E131" s="480">
        <f>+'[95]Sch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'[95]Sch C'!D128</f>
        <v>39774</v>
      </c>
      <c r="D132" s="480">
        <f>'[95]Sch C'!F128</f>
        <v>0</v>
      </c>
      <c r="E132" s="480">
        <f>+'[95]Sch C'!H128</f>
        <v>0</v>
      </c>
      <c r="F132" s="166">
        <f t="shared" si="41"/>
        <v>39774</v>
      </c>
      <c r="G132" s="626"/>
      <c r="H132" s="166"/>
      <c r="I132" s="166">
        <f t="shared" si="42"/>
        <v>39774</v>
      </c>
      <c r="J132" s="167">
        <f>IF($I$213=0,0,I132/$I$213)</f>
        <v>8.6406427397303521E-3</v>
      </c>
      <c r="K132" s="458"/>
      <c r="L132" s="176">
        <v>2202</v>
      </c>
      <c r="M132" s="176">
        <v>2378</v>
      </c>
      <c r="O132" s="329">
        <f t="shared" si="43"/>
        <v>2.9019407558733401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'[95]Sch C'!D130</f>
        <v>0</v>
      </c>
      <c r="D134" s="480">
        <f>'[95]Sch C'!F130</f>
        <v>0</v>
      </c>
      <c r="E134" s="480">
        <f>+'[95]Sch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'[95]Sch C'!D131</f>
        <v>6311</v>
      </c>
      <c r="D135" s="480">
        <f>'[95]Sch C'!F131</f>
        <v>0</v>
      </c>
      <c r="E135" s="480">
        <f>+'[95]Sch C'!H131</f>
        <v>0</v>
      </c>
      <c r="F135" s="166">
        <f t="shared" si="44"/>
        <v>6311</v>
      </c>
      <c r="G135" s="626">
        <v>-2178</v>
      </c>
      <c r="H135" s="166"/>
      <c r="I135" s="166">
        <f t="shared" si="45"/>
        <v>4133</v>
      </c>
      <c r="J135" s="167">
        <f>IF($I$213=0,0,I135/$I$213)</f>
        <v>8.9786736167610866E-4</v>
      </c>
      <c r="K135" s="458"/>
      <c r="L135" s="196"/>
      <c r="M135" s="196"/>
      <c r="O135" s="329">
        <f t="shared" si="43"/>
        <v>0.30154676783890266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'[95]Sch C'!D132</f>
        <v>0</v>
      </c>
      <c r="D136" s="480">
        <f>'[95]Sch C'!F132</f>
        <v>0</v>
      </c>
      <c r="E136" s="480">
        <f>+'[95]Sch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'[95]Sch C'!D133</f>
        <v>0</v>
      </c>
      <c r="D137" s="480">
        <f>'[95]Sch C'!F133</f>
        <v>0</v>
      </c>
      <c r="E137" s="480">
        <f>+'[95]Sch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'[95]Sch C'!D134</f>
        <v>19155</v>
      </c>
      <c r="D138" s="480">
        <f>'[95]Sch C'!F134</f>
        <v>0</v>
      </c>
      <c r="E138" s="480">
        <f>+'[95]Sch C'!H134</f>
        <v>0</v>
      </c>
      <c r="F138" s="166">
        <f t="shared" si="44"/>
        <v>19155</v>
      </c>
      <c r="G138" s="626">
        <v>-923</v>
      </c>
      <c r="H138" s="166"/>
      <c r="I138" s="166">
        <f t="shared" si="45"/>
        <v>18232</v>
      </c>
      <c r="J138" s="167">
        <f>IF($I$213=0,0,I138/$I$213)</f>
        <v>3.9607833869051085E-3</v>
      </c>
      <c r="K138" s="458"/>
      <c r="L138" s="163"/>
      <c r="M138" s="163"/>
      <c r="O138" s="329">
        <f t="shared" si="43"/>
        <v>1.3302203414562965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'[95]Sch C'!D136</f>
        <v>251165</v>
      </c>
      <c r="D140" s="480">
        <f>'[95]Sch C'!F136</f>
        <v>0</v>
      </c>
      <c r="E140" s="480">
        <f>+'[95]Sch C'!H136</f>
        <v>0</v>
      </c>
      <c r="F140" s="166">
        <f t="shared" ref="F140:F143" si="46">C140+D140+E140</f>
        <v>251165</v>
      </c>
      <c r="G140" s="626"/>
      <c r="H140" s="166"/>
      <c r="I140" s="166">
        <f t="shared" ref="I140:I143" si="47">F140+G140+H140</f>
        <v>251165</v>
      </c>
      <c r="J140" s="167">
        <f>IF($I$213=0,0,I140/$I$213)</f>
        <v>5.4563962229707191E-2</v>
      </c>
      <c r="K140" s="458"/>
      <c r="L140" s="176">
        <v>8547</v>
      </c>
      <c r="M140" s="176">
        <v>8881</v>
      </c>
      <c r="O140" s="329">
        <f t="shared" si="43"/>
        <v>18.325186049905152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'[95]Sch C'!D137</f>
        <v>153183</v>
      </c>
      <c r="D141" s="480">
        <f>'[95]Sch C'!F137</f>
        <v>0</v>
      </c>
      <c r="E141" s="480">
        <f>+'[95]Sch C'!H137</f>
        <v>0</v>
      </c>
      <c r="F141" s="166">
        <f t="shared" si="46"/>
        <v>153183</v>
      </c>
      <c r="G141" s="626"/>
      <c r="H141" s="166"/>
      <c r="I141" s="166">
        <f t="shared" si="47"/>
        <v>153183</v>
      </c>
      <c r="J141" s="167">
        <f>IF($I$213=0,0,I141/$I$213)</f>
        <v>3.3278010177505771E-2</v>
      </c>
      <c r="K141" s="458"/>
      <c r="L141" s="176">
        <v>8786</v>
      </c>
      <c r="M141" s="176">
        <v>9134</v>
      </c>
      <c r="O141" s="329">
        <f t="shared" si="43"/>
        <v>11.176346125784328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'[95]Sch C'!D138</f>
        <v>510438</v>
      </c>
      <c r="D142" s="480">
        <f>'[95]Sch C'!F138</f>
        <v>8252</v>
      </c>
      <c r="E142" s="480">
        <f>+'[95]Sch C'!H138</f>
        <v>0</v>
      </c>
      <c r="F142" s="166">
        <f t="shared" si="46"/>
        <v>518690</v>
      </c>
      <c r="G142" s="626"/>
      <c r="H142" s="166"/>
      <c r="I142" s="166">
        <f t="shared" si="47"/>
        <v>518690</v>
      </c>
      <c r="J142" s="167">
        <f>IF($I$213=0,0,I142/$I$213)</f>
        <v>0.11268202802511028</v>
      </c>
      <c r="K142" s="458"/>
      <c r="L142" s="176">
        <v>42421</v>
      </c>
      <c r="M142" s="176">
        <v>45470</v>
      </c>
      <c r="O142" s="329">
        <f t="shared" si="43"/>
        <v>37.844009922661606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'[95]Sch C'!D139</f>
        <v>8252</v>
      </c>
      <c r="D143" s="480">
        <f>'[95]Sch C'!F139</f>
        <v>-8252</v>
      </c>
      <c r="E143" s="480">
        <f>+'[95]Sch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16" s="162" customFormat="1">
      <c r="A145" s="164"/>
      <c r="B145" s="323" t="s">
        <v>681</v>
      </c>
      <c r="C145" s="480">
        <f>'[95]Sch C'!D141</f>
        <v>216555</v>
      </c>
      <c r="D145" s="480">
        <f>'[95]Sch C'!F141</f>
        <v>-157629</v>
      </c>
      <c r="E145" s="480">
        <f>+'[95]Sch C'!H141</f>
        <v>0</v>
      </c>
      <c r="F145" s="166">
        <f t="shared" ref="F145:F148" si="48">C145+D145+E145</f>
        <v>58926</v>
      </c>
      <c r="G145" s="626">
        <v>-5827</v>
      </c>
      <c r="H145" s="166"/>
      <c r="I145" s="166">
        <f t="shared" ref="I145:I148" si="49">F145+G145+H145</f>
        <v>53099</v>
      </c>
      <c r="J145" s="167">
        <f>IF($I$213=0,0,I145/$I$213)</f>
        <v>1.1535412300420928E-2</v>
      </c>
      <c r="K145" s="458"/>
      <c r="L145" s="163"/>
      <c r="M145" s="163"/>
      <c r="O145" s="329">
        <f t="shared" si="43"/>
        <v>3.8741427112213631</v>
      </c>
      <c r="P145" s="324">
        <f>SUMMARY!L147</f>
        <v>4.4613578559170044</v>
      </c>
    </row>
    <row r="146" spans="1:16" s="162" customFormat="1">
      <c r="A146" s="164"/>
      <c r="B146" s="323" t="s">
        <v>688</v>
      </c>
      <c r="C146" s="480">
        <f>'[95]Sch C'!D142</f>
        <v>0</v>
      </c>
      <c r="D146" s="480">
        <f>'[95]Sch C'!F142</f>
        <v>35939</v>
      </c>
      <c r="E146" s="480">
        <f>+'[95]Sch C'!H142</f>
        <v>0</v>
      </c>
      <c r="F146" s="166">
        <f t="shared" si="48"/>
        <v>35939</v>
      </c>
      <c r="G146" s="626">
        <v>-3554</v>
      </c>
      <c r="H146" s="166"/>
      <c r="I146" s="166">
        <f t="shared" si="49"/>
        <v>32385</v>
      </c>
      <c r="J146" s="167">
        <f>IF($I$213=0,0,I146/$I$213)</f>
        <v>7.0354305608228349E-3</v>
      </c>
      <c r="K146" s="458"/>
      <c r="L146" s="163"/>
      <c r="M146" s="163"/>
      <c r="O146" s="329">
        <f t="shared" si="43"/>
        <v>2.3628337954180649</v>
      </c>
      <c r="P146" s="324">
        <f>SUMMARY!L148</f>
        <v>2.5881018642050413</v>
      </c>
    </row>
    <row r="147" spans="1:16" s="162" customFormat="1">
      <c r="A147" s="164"/>
      <c r="B147" s="323" t="s">
        <v>690</v>
      </c>
      <c r="C147" s="480">
        <f>'[95]Sch C'!D143</f>
        <v>0</v>
      </c>
      <c r="D147" s="480">
        <f>'[95]Sch C'!F143</f>
        <v>121690</v>
      </c>
      <c r="E147" s="480">
        <f>+'[95]Sch C'!H143</f>
        <v>0</v>
      </c>
      <c r="F147" s="166">
        <f t="shared" si="48"/>
        <v>121690</v>
      </c>
      <c r="G147" s="626">
        <v>-12033</v>
      </c>
      <c r="H147" s="166"/>
      <c r="I147" s="166">
        <f t="shared" si="49"/>
        <v>109657</v>
      </c>
      <c r="J147" s="167">
        <f>IF($I$213=0,0,I147/$I$213)</f>
        <v>2.3822269847403106E-2</v>
      </c>
      <c r="K147" s="458"/>
      <c r="L147" s="163"/>
      <c r="M147" s="163"/>
      <c r="O147" s="329">
        <f t="shared" si="43"/>
        <v>8.0006566467240621</v>
      </c>
      <c r="P147" s="324">
        <f>SUMMARY!L149</f>
        <v>5.926405773153995</v>
      </c>
    </row>
    <row r="148" spans="1:16" s="162" customFormat="1">
      <c r="A148" s="164"/>
      <c r="B148" s="323" t="s">
        <v>692</v>
      </c>
      <c r="C148" s="480">
        <f>'[95]Sch C'!D144</f>
        <v>0</v>
      </c>
      <c r="D148" s="480">
        <f>'[95]Sch C'!F144</f>
        <v>0</v>
      </c>
      <c r="E148" s="480">
        <f>+'[95]Sch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16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16" s="162" customFormat="1">
      <c r="A150" s="164"/>
      <c r="B150" s="323" t="s">
        <v>694</v>
      </c>
      <c r="C150" s="480">
        <f>'[95]Sch C'!D146</f>
        <v>25100</v>
      </c>
      <c r="D150" s="480">
        <f>'[95]Sch C'!F146</f>
        <v>0</v>
      </c>
      <c r="E150" s="480">
        <f>+'[95]Sch C'!H146</f>
        <v>0</v>
      </c>
      <c r="F150" s="166">
        <f t="shared" ref="F150:F158" si="50">C150+D150+E150</f>
        <v>25100</v>
      </c>
      <c r="G150" s="626"/>
      <c r="H150" s="166"/>
      <c r="I150" s="166">
        <f t="shared" ref="I150:I158" si="51">F150+G150+H150</f>
        <v>25100</v>
      </c>
      <c r="J150" s="167">
        <f t="shared" ref="J150:J158" si="52">IF($I$213=0,0,I150/$I$213)</f>
        <v>5.4528117053158302E-3</v>
      </c>
      <c r="K150" s="458"/>
      <c r="L150" s="176">
        <v>93</v>
      </c>
      <c r="M150" s="176">
        <v>93</v>
      </c>
      <c r="O150" s="329">
        <f t="shared" si="43"/>
        <v>1.8313147526630673</v>
      </c>
      <c r="P150" s="324">
        <f>SUMMARY!L152</f>
        <v>1.8353464912966555</v>
      </c>
    </row>
    <row r="151" spans="1:16" s="162" customFormat="1">
      <c r="A151" s="164"/>
      <c r="B151" s="323" t="s">
        <v>696</v>
      </c>
      <c r="C151" s="480">
        <f>'[95]Sch C'!D147</f>
        <v>300679</v>
      </c>
      <c r="D151" s="480">
        <f>'[95]Sch C'!F147</f>
        <v>0</v>
      </c>
      <c r="E151" s="480">
        <f>+'[95]Sch C'!H147</f>
        <v>0</v>
      </c>
      <c r="F151" s="166">
        <f t="shared" si="50"/>
        <v>300679</v>
      </c>
      <c r="G151" s="626"/>
      <c r="H151" s="166"/>
      <c r="I151" s="166">
        <f t="shared" si="51"/>
        <v>300679</v>
      </c>
      <c r="J151" s="167">
        <f t="shared" si="52"/>
        <v>6.5320556603293167E-2</v>
      </c>
      <c r="K151" s="458"/>
      <c r="L151" s="176">
        <v>5465</v>
      </c>
      <c r="M151" s="176">
        <v>5465</v>
      </c>
      <c r="O151" s="329">
        <f t="shared" si="43"/>
        <v>21.937764482708303</v>
      </c>
      <c r="P151" s="324">
        <f>SUMMARY!L153</f>
        <v>1.6124946612088766</v>
      </c>
    </row>
    <row r="152" spans="1:16" s="162" customFormat="1">
      <c r="A152" s="164"/>
      <c r="B152" s="323" t="s">
        <v>698</v>
      </c>
      <c r="C152" s="480">
        <f>'[95]Sch C'!D148</f>
        <v>27512</v>
      </c>
      <c r="D152" s="480">
        <f>'[95]Sch C'!F148</f>
        <v>0</v>
      </c>
      <c r="E152" s="480">
        <f>+'[95]Sch C'!H148</f>
        <v>0</v>
      </c>
      <c r="F152" s="166">
        <f t="shared" si="50"/>
        <v>27512</v>
      </c>
      <c r="G152" s="626"/>
      <c r="H152" s="166"/>
      <c r="I152" s="166">
        <f t="shared" si="51"/>
        <v>27512</v>
      </c>
      <c r="J152" s="167">
        <f t="shared" si="52"/>
        <v>5.9768030134123157E-3</v>
      </c>
      <c r="K152" s="458"/>
      <c r="L152" s="176">
        <v>587</v>
      </c>
      <c r="M152" s="176">
        <v>54</v>
      </c>
      <c r="O152" s="329">
        <f t="shared" si="43"/>
        <v>2.0072960747118049</v>
      </c>
      <c r="P152" s="324">
        <f>SUMMARY!L154</f>
        <v>0.75115383579892336</v>
      </c>
    </row>
    <row r="153" spans="1:16" s="162" customFormat="1">
      <c r="A153" s="164"/>
      <c r="B153" s="323" t="s">
        <v>683</v>
      </c>
      <c r="C153" s="480">
        <f>'[95]Sch C'!D149</f>
        <v>94427</v>
      </c>
      <c r="D153" s="480">
        <f>'[95]Sch C'!F149</f>
        <v>0</v>
      </c>
      <c r="E153" s="480">
        <f>+'[95]Sch C'!H149</f>
        <v>0</v>
      </c>
      <c r="F153" s="166">
        <f t="shared" si="50"/>
        <v>94427</v>
      </c>
      <c r="G153" s="626"/>
      <c r="H153" s="166"/>
      <c r="I153" s="166">
        <f t="shared" si="51"/>
        <v>94427</v>
      </c>
      <c r="J153" s="167">
        <f t="shared" si="52"/>
        <v>2.0513651430193541E-2</v>
      </c>
      <c r="K153" s="458"/>
      <c r="L153" s="176">
        <v>3703</v>
      </c>
      <c r="M153" s="176">
        <v>3703</v>
      </c>
      <c r="O153" s="329">
        <f t="shared" si="43"/>
        <v>6.8894644681161532</v>
      </c>
      <c r="P153" s="324">
        <f>SUMMARY!L155</f>
        <v>2.153048452423644</v>
      </c>
    </row>
    <row r="154" spans="1:16" s="162" customFormat="1">
      <c r="A154" s="164"/>
      <c r="B154" s="323" t="s">
        <v>700</v>
      </c>
      <c r="C154" s="480">
        <f>'[95]Sch C'!D150</f>
        <v>141546</v>
      </c>
      <c r="D154" s="480">
        <f>'[95]Sch C'!F150</f>
        <v>0</v>
      </c>
      <c r="E154" s="480">
        <f>+'[95]Sch C'!H150</f>
        <v>0</v>
      </c>
      <c r="F154" s="166">
        <f t="shared" si="50"/>
        <v>141546</v>
      </c>
      <c r="G154" s="626"/>
      <c r="H154" s="166"/>
      <c r="I154" s="166">
        <f t="shared" si="51"/>
        <v>141546</v>
      </c>
      <c r="J154" s="167">
        <f t="shared" si="52"/>
        <v>3.074994763508504E-2</v>
      </c>
      <c r="K154" s="458"/>
      <c r="L154" s="176">
        <v>0</v>
      </c>
      <c r="M154" s="176">
        <v>0</v>
      </c>
      <c r="O154" s="329">
        <f t="shared" si="43"/>
        <v>10.327301911571574</v>
      </c>
      <c r="P154" s="324">
        <f>SUMMARY!L156</f>
        <v>0.8651921749421968</v>
      </c>
    </row>
    <row r="155" spans="1:16" s="162" customFormat="1">
      <c r="A155" s="164">
        <v>110</v>
      </c>
      <c r="B155" s="162" t="s">
        <v>57</v>
      </c>
      <c r="C155" s="480">
        <f>'[95]Sch C'!D151</f>
        <v>51089</v>
      </c>
      <c r="D155" s="480">
        <f>'[95]Sch C'!F151</f>
        <v>0</v>
      </c>
      <c r="E155" s="480">
        <f>+'[95]Sch C'!H151</f>
        <v>0</v>
      </c>
      <c r="F155" s="166">
        <f t="shared" si="50"/>
        <v>51089</v>
      </c>
      <c r="G155" s="626">
        <v>351</v>
      </c>
      <c r="H155" s="166"/>
      <c r="I155" s="166">
        <f t="shared" si="51"/>
        <v>51440</v>
      </c>
      <c r="J155" s="167">
        <f t="shared" si="52"/>
        <v>1.1175005343483917E-2</v>
      </c>
      <c r="K155" s="458"/>
      <c r="L155" s="163"/>
      <c r="M155" s="163"/>
      <c r="O155" s="329">
        <f t="shared" si="43"/>
        <v>3.753100831752517</v>
      </c>
      <c r="P155" s="324">
        <f>SUMMARY!L157</f>
        <v>5.7407714042076297</v>
      </c>
    </row>
    <row r="156" spans="1:16" s="162" customFormat="1">
      <c r="A156" s="164">
        <v>111</v>
      </c>
      <c r="B156" s="165" t="s">
        <v>89</v>
      </c>
      <c r="C156" s="480">
        <f>'[95]Sch C'!D152</f>
        <v>16424</v>
      </c>
      <c r="D156" s="480">
        <f>'[95]Sch C'!F152</f>
        <v>0</v>
      </c>
      <c r="E156" s="480">
        <f>+'[95]Sch C'!H152</f>
        <v>0</v>
      </c>
      <c r="F156" s="166">
        <f t="shared" si="50"/>
        <v>16424</v>
      </c>
      <c r="G156" s="626"/>
      <c r="H156" s="166"/>
      <c r="I156" s="166">
        <f t="shared" si="51"/>
        <v>16424</v>
      </c>
      <c r="J156" s="167">
        <f t="shared" si="52"/>
        <v>3.5680071493269798E-3</v>
      </c>
      <c r="K156" s="458"/>
      <c r="L156" s="163"/>
      <c r="M156" s="163"/>
      <c r="O156" s="329">
        <f t="shared" si="43"/>
        <v>1.1983073106668611</v>
      </c>
      <c r="P156" s="324">
        <f>SUMMARY!L158</f>
        <v>0.39306127844528371</v>
      </c>
    </row>
    <row r="157" spans="1:16" s="162" customFormat="1">
      <c r="A157" s="164">
        <v>230</v>
      </c>
      <c r="B157" s="165" t="s">
        <v>58</v>
      </c>
      <c r="C157" s="480">
        <f>'[95]Sch C'!D153</f>
        <v>0</v>
      </c>
      <c r="D157" s="480">
        <f>'[95]Sch C'!F153</f>
        <v>0</v>
      </c>
      <c r="E157" s="480">
        <f>+'[95]Sch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</row>
    <row r="158" spans="1:16" s="162" customFormat="1">
      <c r="A158" s="164">
        <v>430</v>
      </c>
      <c r="B158" s="165" t="s">
        <v>91</v>
      </c>
      <c r="C158" s="480">
        <f>'[95]Sch C'!D154</f>
        <v>0</v>
      </c>
      <c r="D158" s="480">
        <f>'[95]Sch C'!F154</f>
        <v>0</v>
      </c>
      <c r="E158" s="480">
        <f>+'[95]Sch C'!H154</f>
        <v>0</v>
      </c>
      <c r="F158" s="166">
        <f t="shared" si="50"/>
        <v>0</v>
      </c>
      <c r="G158" s="626"/>
      <c r="H158" s="166"/>
      <c r="I158" s="166">
        <f t="shared" si="51"/>
        <v>0</v>
      </c>
      <c r="J158" s="167">
        <f t="shared" si="52"/>
        <v>0</v>
      </c>
      <c r="K158" s="458"/>
      <c r="L158" s="163"/>
      <c r="M158" s="163"/>
      <c r="O158" s="329">
        <f t="shared" si="43"/>
        <v>0</v>
      </c>
      <c r="P158" s="324">
        <f>SUMMARY!L160</f>
        <v>1.5994484918386225</v>
      </c>
    </row>
    <row r="159" spans="1:16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</row>
    <row r="160" spans="1:16" s="162" customFormat="1">
      <c r="A160" s="164">
        <v>440.1</v>
      </c>
      <c r="B160" s="158" t="s">
        <v>207</v>
      </c>
      <c r="C160" s="480">
        <f>'[95]Sch C'!D156</f>
        <v>0</v>
      </c>
      <c r="D160" s="480">
        <f>'[95]Sch C'!F156</f>
        <v>0</v>
      </c>
      <c r="E160" s="480">
        <f>+'[95]Sch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</row>
    <row r="161" spans="1:17" s="162" customFormat="1">
      <c r="A161" s="164">
        <v>440.2</v>
      </c>
      <c r="B161" s="158" t="s">
        <v>208</v>
      </c>
      <c r="C161" s="480">
        <f>'[95]Sch C'!D157</f>
        <v>0</v>
      </c>
      <c r="D161" s="480">
        <f>'[95]Sch C'!F157</f>
        <v>0</v>
      </c>
      <c r="E161" s="480">
        <f>+'[95]Sch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</row>
    <row r="162" spans="1:17" s="162" customFormat="1">
      <c r="A162" s="164">
        <v>440.3</v>
      </c>
      <c r="B162" s="158" t="s">
        <v>209</v>
      </c>
      <c r="C162" s="480">
        <f>'[95]Sch C'!D158</f>
        <v>0</v>
      </c>
      <c r="D162" s="480">
        <f>'[95]Sch C'!F158</f>
        <v>0</v>
      </c>
      <c r="E162" s="480">
        <f>+'[95]Sch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</row>
    <row r="163" spans="1:17" s="162" customFormat="1">
      <c r="A163" s="164">
        <v>440.4</v>
      </c>
      <c r="B163" s="158" t="s">
        <v>210</v>
      </c>
      <c r="C163" s="480">
        <f>'[95]Sch C'!D159</f>
        <v>0</v>
      </c>
      <c r="D163" s="480">
        <f>'[95]Sch C'!F159</f>
        <v>0</v>
      </c>
      <c r="E163" s="480">
        <f>+'[95]Sch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</row>
    <row r="164" spans="1:17" s="162" customFormat="1">
      <c r="A164" s="164">
        <v>440.5</v>
      </c>
      <c r="B164" s="158" t="s">
        <v>282</v>
      </c>
      <c r="C164" s="480">
        <f>'[95]Sch C'!D160</f>
        <v>310</v>
      </c>
      <c r="D164" s="480">
        <f>'[95]Sch C'!F160</f>
        <v>0</v>
      </c>
      <c r="E164" s="480">
        <f>+'[95]Sch C'!H160</f>
        <v>0</v>
      </c>
      <c r="F164" s="166">
        <f t="shared" si="53"/>
        <v>310</v>
      </c>
      <c r="G164" s="626"/>
      <c r="H164" s="166"/>
      <c r="I164" s="166">
        <f t="shared" si="54"/>
        <v>310</v>
      </c>
      <c r="J164" s="167">
        <f>IF($I$213=0,0,I164/$I$213)</f>
        <v>6.7345483213064044E-5</v>
      </c>
      <c r="K164" s="458"/>
      <c r="L164" s="163"/>
      <c r="M164" s="163"/>
      <c r="O164" s="329">
        <f t="shared" si="43"/>
        <v>2.261783160659565E-2</v>
      </c>
      <c r="P164" s="324">
        <f>SUMMARY!L166</f>
        <v>9.900111029624771E-3</v>
      </c>
    </row>
    <row r="165" spans="1:17" s="162" customFormat="1">
      <c r="A165" s="164">
        <v>490</v>
      </c>
      <c r="B165" s="194" t="s">
        <v>296</v>
      </c>
      <c r="C165" s="480">
        <f>'[95]Sch C'!D161</f>
        <v>11383</v>
      </c>
      <c r="D165" s="480">
        <f>'[95]Sch C'!F161</f>
        <v>0</v>
      </c>
      <c r="E165" s="480">
        <f>+'[95]Sch C'!H161</f>
        <v>0</v>
      </c>
      <c r="F165" s="166">
        <f t="shared" si="53"/>
        <v>11383</v>
      </c>
      <c r="G165" s="626"/>
      <c r="H165" s="166"/>
      <c r="I165" s="166">
        <f t="shared" si="54"/>
        <v>11383</v>
      </c>
      <c r="J165" s="167">
        <f t="shared" si="55"/>
        <v>2.4728826948848645E-3</v>
      </c>
      <c r="K165" s="458"/>
      <c r="L165" s="163"/>
      <c r="M165" s="163"/>
      <c r="O165" s="329">
        <f t="shared" si="43"/>
        <v>0.83051218444476871</v>
      </c>
      <c r="P165" s="324">
        <f>SUMMARY!L167</f>
        <v>0.46627165535370629</v>
      </c>
    </row>
    <row r="166" spans="1:17" s="162" customFormat="1">
      <c r="A166" s="164"/>
      <c r="B166" s="165" t="s">
        <v>216</v>
      </c>
      <c r="C166" s="480">
        <f t="shared" ref="C166:E166" si="56">SUM(C128:C165)</f>
        <v>1967164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1967164</v>
      </c>
      <c r="G166" s="166">
        <f t="shared" si="57"/>
        <v>-24164</v>
      </c>
      <c r="H166" s="166">
        <f t="shared" si="57"/>
        <v>0</v>
      </c>
      <c r="I166" s="166">
        <f t="shared" si="57"/>
        <v>1943000</v>
      </c>
      <c r="J166" s="167">
        <f t="shared" si="55"/>
        <v>0.42210410929994652</v>
      </c>
      <c r="K166" s="458"/>
      <c r="L166" s="163"/>
      <c r="M166" s="163"/>
      <c r="O166" s="329">
        <f>I166/I$233</f>
        <v>141.7627316503721</v>
      </c>
      <c r="P166" s="324">
        <f>SUMMARY!L168</f>
        <v>117.25773185217372</v>
      </c>
    </row>
    <row r="167" spans="1:17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</row>
    <row r="168" spans="1:17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</row>
    <row r="169" spans="1:17" s="211" customFormat="1">
      <c r="A169" s="207" t="s">
        <v>87</v>
      </c>
      <c r="B169" s="145" t="s">
        <v>94</v>
      </c>
      <c r="C169" s="480">
        <f>'[95]Sch C'!D175</f>
        <v>0</v>
      </c>
      <c r="D169" s="480">
        <f>'[95]Sch C'!F175</f>
        <v>0</v>
      </c>
      <c r="E169" s="480">
        <f>+'[95]Sch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17" s="211" customFormat="1">
      <c r="A170" s="207" t="s">
        <v>115</v>
      </c>
      <c r="B170" s="145" t="s">
        <v>95</v>
      </c>
      <c r="C170" s="480">
        <f>'[95]Sch C'!D176</f>
        <v>0</v>
      </c>
      <c r="D170" s="480">
        <f>'[95]Sch C'!F176</f>
        <v>0</v>
      </c>
      <c r="E170" s="480">
        <f>+'[95]Sch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17" s="211" customFormat="1">
      <c r="A171" s="207" t="s">
        <v>116</v>
      </c>
      <c r="B171" s="145" t="s">
        <v>96</v>
      </c>
      <c r="C171" s="480">
        <f>'[95]Sch C'!D177</f>
        <v>0</v>
      </c>
      <c r="D171" s="480">
        <f>'[95]Sch C'!F177</f>
        <v>0</v>
      </c>
      <c r="E171" s="480">
        <f>+'[95]Sch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17" s="211" customFormat="1">
      <c r="A172" s="207" t="s">
        <v>149</v>
      </c>
      <c r="B172" s="145" t="s">
        <v>97</v>
      </c>
      <c r="C172" s="480">
        <f>'[95]Sch C'!D178</f>
        <v>0</v>
      </c>
      <c r="D172" s="480">
        <f>'[95]Sch C'!F178</f>
        <v>0</v>
      </c>
      <c r="E172" s="480">
        <f>+'[95]Sch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17" s="211" customFormat="1">
      <c r="A173" s="207" t="s">
        <v>150</v>
      </c>
      <c r="B173" s="145" t="s">
        <v>297</v>
      </c>
      <c r="C173" s="480">
        <f>'[95]Sch C'!D179</f>
        <v>0</v>
      </c>
      <c r="D173" s="480">
        <f>'[95]Sch C'!F179</f>
        <v>0</v>
      </c>
      <c r="E173" s="480">
        <f>+'[95]Sch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17" s="211" customFormat="1">
      <c r="A174" s="207" t="s">
        <v>78</v>
      </c>
      <c r="B174" s="145" t="s">
        <v>298</v>
      </c>
      <c r="C174" s="480">
        <f>'[95]Sch C'!D180</f>
        <v>0</v>
      </c>
      <c r="D174" s="480">
        <f>'[95]Sch C'!F180</f>
        <v>0</v>
      </c>
      <c r="E174" s="480">
        <f>+'[95]Sch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17" s="211" customFormat="1">
      <c r="A175" s="207" t="s">
        <v>88</v>
      </c>
      <c r="B175" s="145" t="s">
        <v>299</v>
      </c>
      <c r="C175" s="480">
        <f>'[95]Sch C'!D181</f>
        <v>0</v>
      </c>
      <c r="D175" s="480">
        <f>'[95]Sch C'!F181</f>
        <v>0</v>
      </c>
      <c r="E175" s="480">
        <f>+'[95]Sch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17" s="211" customFormat="1">
      <c r="A176" s="207" t="s">
        <v>117</v>
      </c>
      <c r="B176" s="145" t="s">
        <v>101</v>
      </c>
      <c r="C176" s="480">
        <f>'[95]Sch C'!D182</f>
        <v>0</v>
      </c>
      <c r="D176" s="480">
        <f>'[95]Sch C'!F182</f>
        <v>0</v>
      </c>
      <c r="E176" s="480">
        <f>+'[95]Sch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17" s="211" customFormat="1">
      <c r="A177" s="207" t="s">
        <v>118</v>
      </c>
      <c r="B177" s="145" t="s">
        <v>300</v>
      </c>
      <c r="C177" s="480">
        <f>'[95]Sch C'!D183</f>
        <v>0</v>
      </c>
      <c r="D177" s="480">
        <f>'[95]Sch C'!F183</f>
        <v>0</v>
      </c>
      <c r="E177" s="480">
        <f>+'[95]Sch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17" s="211" customFormat="1">
      <c r="A178" s="207" t="s">
        <v>119</v>
      </c>
      <c r="B178" s="145" t="s">
        <v>103</v>
      </c>
      <c r="C178" s="480">
        <f>'[95]Sch C'!D184</f>
        <v>0</v>
      </c>
      <c r="D178" s="480">
        <f>'[95]Sch C'!F184</f>
        <v>0</v>
      </c>
      <c r="E178" s="480">
        <f>+'[95]Sch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17" s="211" customFormat="1">
      <c r="A179" s="207" t="s">
        <v>120</v>
      </c>
      <c r="B179" s="145" t="s">
        <v>301</v>
      </c>
      <c r="C179" s="480">
        <f>'[95]Sch C'!D185</f>
        <v>0</v>
      </c>
      <c r="D179" s="480">
        <f>'[95]Sch C'!F185</f>
        <v>0</v>
      </c>
      <c r="E179" s="480">
        <f>+'[95]Sch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17" s="211" customFormat="1">
      <c r="A180" s="207" t="s">
        <v>121</v>
      </c>
      <c r="B180" s="145" t="s">
        <v>302</v>
      </c>
      <c r="C180" s="480">
        <f>'[95]Sch C'!D186</f>
        <v>0</v>
      </c>
      <c r="D180" s="480">
        <f>'[95]Sch C'!F186</f>
        <v>0</v>
      </c>
      <c r="E180" s="480">
        <f>+'[95]Sch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17" s="211" customFormat="1">
      <c r="A181" s="214" t="s">
        <v>274</v>
      </c>
      <c r="B181" s="145" t="s">
        <v>146</v>
      </c>
      <c r="C181" s="480">
        <f>'[95]Sch C'!D187</f>
        <v>0</v>
      </c>
      <c r="D181" s="480">
        <f>'[95]Sch C'!F187</f>
        <v>0</v>
      </c>
      <c r="E181" s="480">
        <f>+'[95]Sch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17" s="211" customFormat="1">
      <c r="A182" s="214" t="s">
        <v>275</v>
      </c>
      <c r="B182" s="145" t="s">
        <v>303</v>
      </c>
      <c r="C182" s="480">
        <f>'[95]Sch C'!D188</f>
        <v>327</v>
      </c>
      <c r="D182" s="480">
        <f>'[95]Sch C'!F188</f>
        <v>0</v>
      </c>
      <c r="E182" s="480">
        <f>+'[95]Sch C'!H188</f>
        <v>0</v>
      </c>
      <c r="F182" s="166">
        <f t="shared" si="58"/>
        <v>327</v>
      </c>
      <c r="G182" s="626"/>
      <c r="H182" s="166"/>
      <c r="I182" s="166">
        <f t="shared" si="59"/>
        <v>327</v>
      </c>
      <c r="J182" s="167">
        <f t="shared" si="60"/>
        <v>7.103862261507078E-5</v>
      </c>
      <c r="K182" s="458"/>
      <c r="L182" s="213"/>
      <c r="M182" s="208"/>
      <c r="N182" s="210"/>
      <c r="O182" s="329">
        <f t="shared" si="61"/>
        <v>2.3858164307602511E-2</v>
      </c>
      <c r="P182" s="324">
        <f>SUMMARY!L184</f>
        <v>0.18052498920395743</v>
      </c>
      <c r="Q182" s="210"/>
    </row>
    <row r="183" spans="1:17" s="211" customFormat="1">
      <c r="A183" s="214" t="s">
        <v>276</v>
      </c>
      <c r="B183" s="145" t="s">
        <v>304</v>
      </c>
      <c r="C183" s="480">
        <f>'[95]Sch C'!D189</f>
        <v>0</v>
      </c>
      <c r="D183" s="480">
        <f>'[95]Sch C'!F189</f>
        <v>0</v>
      </c>
      <c r="E183" s="480">
        <f>+'[95]Sch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17" s="211" customFormat="1">
      <c r="A184" s="214" t="s">
        <v>277</v>
      </c>
      <c r="B184" s="145" t="s">
        <v>305</v>
      </c>
      <c r="C184" s="480">
        <f>'[95]Sch C'!D190</f>
        <v>0</v>
      </c>
      <c r="D184" s="480">
        <f>'[95]Sch C'!F190</f>
        <v>0</v>
      </c>
      <c r="E184" s="480">
        <f>+'[95]Sch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17" s="211" customFormat="1">
      <c r="A185" s="214" t="s">
        <v>278</v>
      </c>
      <c r="B185" s="145" t="s">
        <v>306</v>
      </c>
      <c r="C185" s="480">
        <f>'[95]Sch C'!D191</f>
        <v>0</v>
      </c>
      <c r="D185" s="480">
        <f>'[95]Sch C'!F191</f>
        <v>0</v>
      </c>
      <c r="E185" s="480">
        <f>+'[95]Sch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17" s="211" customFormat="1">
      <c r="A186" s="214" t="s">
        <v>279</v>
      </c>
      <c r="B186" s="145" t="s">
        <v>109</v>
      </c>
      <c r="C186" s="480">
        <f>'[95]Sch C'!D192</f>
        <v>0</v>
      </c>
      <c r="D186" s="480">
        <f>'[95]Sch C'!F192</f>
        <v>0</v>
      </c>
      <c r="E186" s="480">
        <f>+'[95]Sch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17" s="211" customFormat="1">
      <c r="A187" s="214" t="s">
        <v>124</v>
      </c>
      <c r="B187" s="145" t="s">
        <v>110</v>
      </c>
      <c r="C187" s="480">
        <f>'[95]Sch C'!D193</f>
        <v>0</v>
      </c>
      <c r="D187" s="480">
        <f>'[95]Sch C'!F193</f>
        <v>0</v>
      </c>
      <c r="E187" s="480">
        <f>+'[95]Sch C'!H193</f>
        <v>0</v>
      </c>
      <c r="F187" s="166">
        <f t="shared" si="58"/>
        <v>0</v>
      </c>
      <c r="G187" s="626"/>
      <c r="H187" s="166"/>
      <c r="I187" s="166">
        <f t="shared" si="59"/>
        <v>0</v>
      </c>
      <c r="J187" s="167">
        <f t="shared" si="60"/>
        <v>0</v>
      </c>
      <c r="K187" s="458"/>
      <c r="L187" s="213"/>
      <c r="M187" s="208"/>
      <c r="N187" s="210"/>
      <c r="O187" s="329">
        <f t="shared" si="61"/>
        <v>0</v>
      </c>
      <c r="P187" s="324">
        <f>SUMMARY!L189</f>
        <v>9.5641564925407693E-2</v>
      </c>
      <c r="Q187" s="210"/>
    </row>
    <row r="188" spans="1:17" s="211" customFormat="1">
      <c r="A188" s="214" t="s">
        <v>125</v>
      </c>
      <c r="B188" s="145" t="s">
        <v>111</v>
      </c>
      <c r="C188" s="480">
        <f>'[95]Sch C'!D194</f>
        <v>100409</v>
      </c>
      <c r="D188" s="480">
        <f>'[95]Sch C'!F194</f>
        <v>0</v>
      </c>
      <c r="E188" s="480">
        <f>+'[95]Sch C'!H194</f>
        <v>1757</v>
      </c>
      <c r="F188" s="166">
        <f t="shared" si="58"/>
        <v>102166</v>
      </c>
      <c r="G188" s="626"/>
      <c r="H188" s="166"/>
      <c r="I188" s="166">
        <f t="shared" si="59"/>
        <v>102166</v>
      </c>
      <c r="J188" s="167">
        <f t="shared" si="60"/>
        <v>2.2194898832083549E-2</v>
      </c>
      <c r="K188" s="458"/>
      <c r="L188" s="213"/>
      <c r="M188" s="208"/>
      <c r="O188" s="329">
        <f t="shared" si="61"/>
        <v>7.4541076900627461</v>
      </c>
      <c r="P188" s="324">
        <f>SUMMARY!L190</f>
        <v>6.5644691954713696</v>
      </c>
      <c r="Q188" s="210"/>
    </row>
    <row r="189" spans="1:17" s="211" customFormat="1">
      <c r="A189" s="214" t="s">
        <v>126</v>
      </c>
      <c r="B189" s="145" t="s">
        <v>307</v>
      </c>
      <c r="C189" s="480">
        <f>'[95]Sch C'!D195</f>
        <v>60730</v>
      </c>
      <c r="D189" s="480">
        <f>'[95]Sch C'!F195</f>
        <v>0</v>
      </c>
      <c r="E189" s="480">
        <f>+'[95]Sch C'!H195</f>
        <v>1063</v>
      </c>
      <c r="F189" s="166">
        <f t="shared" si="58"/>
        <v>61793</v>
      </c>
      <c r="G189" s="626"/>
      <c r="H189" s="166"/>
      <c r="I189" s="166">
        <f t="shared" si="59"/>
        <v>61793</v>
      </c>
      <c r="J189" s="167">
        <f t="shared" si="60"/>
        <v>1.342412723930602E-2</v>
      </c>
      <c r="K189" s="458"/>
      <c r="L189" s="213"/>
      <c r="M189" s="208"/>
      <c r="O189" s="329">
        <f t="shared" si="61"/>
        <v>4.5084634466656937</v>
      </c>
      <c r="P189" s="324">
        <f>SUMMARY!L191</f>
        <v>1.502971695522523</v>
      </c>
      <c r="Q189" s="210"/>
    </row>
    <row r="190" spans="1:17" s="211" customFormat="1">
      <c r="A190" s="214" t="s">
        <v>127</v>
      </c>
      <c r="B190" s="145" t="s">
        <v>308</v>
      </c>
      <c r="C190" s="480">
        <f>'[95]Sch C'!D196</f>
        <v>0</v>
      </c>
      <c r="D190" s="480">
        <f>'[95]Sch C'!F196</f>
        <v>0</v>
      </c>
      <c r="E190" s="480">
        <f>+'[95]Sch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</row>
    <row r="191" spans="1:17" s="211" customFormat="1">
      <c r="A191" s="214" t="s">
        <v>128</v>
      </c>
      <c r="B191" s="145" t="s">
        <v>309</v>
      </c>
      <c r="C191" s="480">
        <f>'[95]Sch C'!D197</f>
        <v>97026</v>
      </c>
      <c r="D191" s="480">
        <f>'[95]Sch C'!F197</f>
        <v>0</v>
      </c>
      <c r="E191" s="480">
        <f>+'[95]Sch C'!H197</f>
        <v>1698</v>
      </c>
      <c r="F191" s="166">
        <f t="shared" si="58"/>
        <v>98724</v>
      </c>
      <c r="G191" s="626"/>
      <c r="H191" s="166"/>
      <c r="I191" s="166">
        <f t="shared" si="59"/>
        <v>98724</v>
      </c>
      <c r="J191" s="167">
        <f t="shared" si="60"/>
        <v>2.1447146724924305E-2</v>
      </c>
      <c r="K191" s="458"/>
      <c r="L191" s="213"/>
      <c r="M191" s="208"/>
      <c r="O191" s="329">
        <f t="shared" si="61"/>
        <v>7.2029767984824167</v>
      </c>
      <c r="P191" s="324">
        <f>SUMMARY!L193</f>
        <v>4.8968748660590737</v>
      </c>
      <c r="Q191" s="210"/>
    </row>
    <row r="192" spans="1:17" s="211" customFormat="1">
      <c r="A192" s="214" t="s">
        <v>129</v>
      </c>
      <c r="B192" s="145" t="s">
        <v>114</v>
      </c>
      <c r="C192" s="480">
        <f>'[95]Sch C'!D198</f>
        <v>12801</v>
      </c>
      <c r="D192" s="480">
        <f>'[95]Sch C'!F198</f>
        <v>0</v>
      </c>
      <c r="E192" s="480">
        <f>+'[95]Sch C'!H198</f>
        <v>0</v>
      </c>
      <c r="F192" s="166">
        <f t="shared" si="58"/>
        <v>12801</v>
      </c>
      <c r="G192" s="626"/>
      <c r="H192" s="166"/>
      <c r="I192" s="166">
        <f t="shared" si="59"/>
        <v>12801</v>
      </c>
      <c r="J192" s="167">
        <f t="shared" si="60"/>
        <v>2.7809339697110733E-3</v>
      </c>
      <c r="K192" s="458"/>
      <c r="L192" s="213"/>
      <c r="M192" s="208"/>
      <c r="O192" s="329">
        <f t="shared" si="61"/>
        <v>0.93397052385816426</v>
      </c>
      <c r="P192" s="324">
        <f>SUMMARY!L194</f>
        <v>1.2996922131725721</v>
      </c>
      <c r="Q192" s="210"/>
    </row>
    <row r="193" spans="1:17" s="211" customFormat="1">
      <c r="A193" s="214" t="s">
        <v>256</v>
      </c>
      <c r="B193" s="145" t="s">
        <v>310</v>
      </c>
      <c r="C193" s="480">
        <f>'[95]Sch C'!D199</f>
        <v>0</v>
      </c>
      <c r="D193" s="480">
        <f>'[95]Sch C'!F199</f>
        <v>0</v>
      </c>
      <c r="E193" s="480">
        <f>+'[95]Sch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</row>
    <row r="194" spans="1:17" s="211" customFormat="1">
      <c r="A194" s="214" t="s">
        <v>258</v>
      </c>
      <c r="B194" s="145" t="s">
        <v>259</v>
      </c>
      <c r="C194" s="480">
        <f>'[95]Sch C'!D200</f>
        <v>0</v>
      </c>
      <c r="D194" s="480">
        <f>'[95]Sch C'!F200</f>
        <v>0</v>
      </c>
      <c r="E194" s="480">
        <f>+'[95]Sch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</row>
    <row r="195" spans="1:17" s="211" customFormat="1">
      <c r="A195" s="215" t="s">
        <v>260</v>
      </c>
      <c r="B195" s="216" t="s">
        <v>261</v>
      </c>
      <c r="C195" s="480">
        <f>'[95]Sch C'!D201</f>
        <v>0</v>
      </c>
      <c r="D195" s="480">
        <f>'[95]Sch C'!F201</f>
        <v>0</v>
      </c>
      <c r="E195" s="480">
        <f>+'[95]Sch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</row>
    <row r="196" spans="1:17" s="211" customFormat="1">
      <c r="A196" s="215" t="s">
        <v>262</v>
      </c>
      <c r="B196" s="216" t="s">
        <v>263</v>
      </c>
      <c r="C196" s="480">
        <f>'[95]Sch C'!D202</f>
        <v>0</v>
      </c>
      <c r="D196" s="480">
        <f>'[95]Sch C'!F202</f>
        <v>0</v>
      </c>
      <c r="E196" s="480">
        <f>+'[95]Sch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</row>
    <row r="197" spans="1:17" s="211" customFormat="1">
      <c r="A197" s="215" t="s">
        <v>264</v>
      </c>
      <c r="B197" s="216" t="s">
        <v>311</v>
      </c>
      <c r="C197" s="480">
        <f>'[95]Sch C'!D203</f>
        <v>0</v>
      </c>
      <c r="D197" s="480">
        <f>'[95]Sch C'!F203</f>
        <v>0</v>
      </c>
      <c r="E197" s="480">
        <f>+'[95]Sch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</row>
    <row r="198" spans="1:17" s="211" customFormat="1">
      <c r="A198" s="215" t="s">
        <v>266</v>
      </c>
      <c r="B198" s="216" t="s">
        <v>312</v>
      </c>
      <c r="C198" s="480">
        <f>'[95]Sch C'!D204</f>
        <v>0</v>
      </c>
      <c r="D198" s="480">
        <f>'[95]Sch C'!F204</f>
        <v>0</v>
      </c>
      <c r="E198" s="480">
        <f>+'[95]Sch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</row>
    <row r="199" spans="1:17" s="211" customFormat="1">
      <c r="A199" s="214" t="s">
        <v>130</v>
      </c>
      <c r="B199" s="145" t="s">
        <v>313</v>
      </c>
      <c r="C199" s="480">
        <f>'[95]Sch C'!D205</f>
        <v>23186</v>
      </c>
      <c r="D199" s="480">
        <f>'[95]Sch C'!F205</f>
        <v>0</v>
      </c>
      <c r="E199" s="480">
        <f>+'[95]Sch C'!H205</f>
        <v>0</v>
      </c>
      <c r="F199" s="166">
        <f t="shared" si="58"/>
        <v>23186</v>
      </c>
      <c r="G199" s="626"/>
      <c r="H199" s="166"/>
      <c r="I199" s="166">
        <f t="shared" si="59"/>
        <v>23186</v>
      </c>
      <c r="J199" s="167">
        <f t="shared" si="60"/>
        <v>5.0370076573487185E-3</v>
      </c>
      <c r="K199" s="458"/>
      <c r="L199" s="213"/>
      <c r="M199" s="208"/>
      <c r="O199" s="329">
        <f t="shared" si="61"/>
        <v>1.6916678826791187</v>
      </c>
      <c r="P199" s="324">
        <f>SUMMARY!L201</f>
        <v>8.282884891032662</v>
      </c>
      <c r="Q199" s="210"/>
    </row>
    <row r="200" spans="1:17" s="211" customFormat="1">
      <c r="A200" s="214" t="s">
        <v>131</v>
      </c>
      <c r="B200" s="145" t="s">
        <v>59</v>
      </c>
      <c r="C200" s="480">
        <f>'[95]Sch C'!D206</f>
        <v>2836</v>
      </c>
      <c r="D200" s="480">
        <f>'[95]Sch C'!F206</f>
        <v>0</v>
      </c>
      <c r="E200" s="480">
        <f>+'[95]Sch C'!H206</f>
        <v>0</v>
      </c>
      <c r="F200" s="166">
        <f t="shared" si="58"/>
        <v>2836</v>
      </c>
      <c r="G200" s="626"/>
      <c r="H200" s="166"/>
      <c r="I200" s="166">
        <f t="shared" si="59"/>
        <v>2836</v>
      </c>
      <c r="J200" s="167">
        <f t="shared" si="60"/>
        <v>6.1610254965241808E-4</v>
      </c>
      <c r="K200" s="458"/>
      <c r="L200" s="213"/>
      <c r="M200" s="208"/>
      <c r="O200" s="329">
        <f t="shared" si="61"/>
        <v>0.20691667882679118</v>
      </c>
      <c r="P200" s="324">
        <f>SUMMARY!L202</f>
        <v>0.50085155199169495</v>
      </c>
      <c r="Q200" s="210"/>
    </row>
    <row r="201" spans="1:17" s="211" customFormat="1">
      <c r="A201" s="215" t="s">
        <v>135</v>
      </c>
      <c r="B201" s="186" t="s">
        <v>314</v>
      </c>
      <c r="C201" s="480">
        <f>'[95]Sch C'!D207</f>
        <v>0</v>
      </c>
      <c r="D201" s="480">
        <f>'[95]Sch C'!F207</f>
        <v>0</v>
      </c>
      <c r="E201" s="480">
        <f>+'[95]Sch C'!H207</f>
        <v>0</v>
      </c>
      <c r="F201" s="166">
        <f t="shared" si="58"/>
        <v>0</v>
      </c>
      <c r="G201" s="626"/>
      <c r="H201" s="166"/>
      <c r="I201" s="166">
        <f t="shared" si="59"/>
        <v>0</v>
      </c>
      <c r="J201" s="167">
        <f t="shared" si="60"/>
        <v>0</v>
      </c>
      <c r="K201" s="458"/>
      <c r="L201" s="213"/>
      <c r="M201" s="208"/>
      <c r="O201" s="329">
        <f t="shared" si="61"/>
        <v>0</v>
      </c>
      <c r="P201" s="324">
        <f>SUMMARY!L203</f>
        <v>0.38409432252006021</v>
      </c>
      <c r="Q201" s="210"/>
    </row>
    <row r="202" spans="1:17" s="162" customFormat="1">
      <c r="A202" s="158"/>
      <c r="B202" s="204" t="s">
        <v>122</v>
      </c>
      <c r="C202" s="480">
        <f t="shared" ref="C202:E202" si="62">SUM(C169:C201)</f>
        <v>297315</v>
      </c>
      <c r="D202" s="480">
        <f t="shared" si="62"/>
        <v>0</v>
      </c>
      <c r="E202" s="480">
        <f t="shared" si="62"/>
        <v>4518</v>
      </c>
      <c r="F202" s="166">
        <f t="shared" ref="F202:I202" si="63">SUM(F169:F201)</f>
        <v>301833</v>
      </c>
      <c r="G202" s="166">
        <f t="shared" si="63"/>
        <v>0</v>
      </c>
      <c r="H202" s="166">
        <f t="shared" si="63"/>
        <v>0</v>
      </c>
      <c r="I202" s="166">
        <f t="shared" si="63"/>
        <v>301833</v>
      </c>
      <c r="J202" s="167">
        <f>IF($I$213=0,0,I202/$I$213)</f>
        <v>6.5571255595641156E-2</v>
      </c>
      <c r="K202" s="458"/>
      <c r="L202" s="163"/>
      <c r="M202" s="163"/>
      <c r="O202" s="329">
        <f>I202/I$233</f>
        <v>22.021961184882532</v>
      </c>
      <c r="P202" s="324">
        <f>SUMMARY!L204</f>
        <v>35.511780513975516</v>
      </c>
    </row>
    <row r="203" spans="1:17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17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17" s="162" customFormat="1">
      <c r="A205" s="164" t="s">
        <v>77</v>
      </c>
      <c r="B205" s="165" t="s">
        <v>61</v>
      </c>
      <c r="C205" s="480">
        <f>'[95]Sch C'!D211</f>
        <v>139480</v>
      </c>
      <c r="D205" s="480">
        <f>'[95]Sch C'!F211</f>
        <v>0</v>
      </c>
      <c r="E205" s="480">
        <f>+'[95]Sch C'!H211</f>
        <v>0</v>
      </c>
      <c r="F205" s="166">
        <f t="shared" ref="F205:F210" si="64">C205+D205+E205</f>
        <v>139480</v>
      </c>
      <c r="G205" s="626"/>
      <c r="H205" s="166"/>
      <c r="I205" s="166">
        <f t="shared" ref="I205:I210" si="65">F205+G205+H205</f>
        <v>139480</v>
      </c>
      <c r="J205" s="167">
        <f t="shared" ref="J205:J211" si="66">IF($I$213=0,0,I205/$I$213)</f>
        <v>3.0301122575994103E-2</v>
      </c>
      <c r="K205" s="458"/>
      <c r="L205" s="176">
        <v>7593</v>
      </c>
      <c r="M205" s="176">
        <v>7992</v>
      </c>
      <c r="O205" s="329">
        <f t="shared" ref="O205:O210" si="67">I205/I$233</f>
        <v>10.176565008025682</v>
      </c>
      <c r="P205" s="324">
        <f>SUMMARY!L207</f>
        <v>5.7476972960172068</v>
      </c>
    </row>
    <row r="206" spans="1:17" s="162" customFormat="1">
      <c r="A206" s="164" t="s">
        <v>78</v>
      </c>
      <c r="B206" s="165" t="s">
        <v>37</v>
      </c>
      <c r="C206" s="480">
        <f>'[95]Sch C'!D212</f>
        <v>27296</v>
      </c>
      <c r="D206" s="480">
        <f>'[95]Sch C'!F212</f>
        <v>0</v>
      </c>
      <c r="E206" s="480">
        <f>+'[95]Sch C'!H212</f>
        <v>0</v>
      </c>
      <c r="F206" s="166">
        <f t="shared" si="64"/>
        <v>27296</v>
      </c>
      <c r="G206" s="626">
        <v>-3236</v>
      </c>
      <c r="H206" s="166"/>
      <c r="I206" s="166">
        <f t="shared" si="65"/>
        <v>24060</v>
      </c>
      <c r="J206" s="167">
        <f t="shared" si="66"/>
        <v>5.2268784713107126E-3</v>
      </c>
      <c r="K206" s="458"/>
      <c r="L206" s="163"/>
      <c r="M206" s="163"/>
      <c r="O206" s="329">
        <f t="shared" si="67"/>
        <v>1.7554355756602948</v>
      </c>
      <c r="P206" s="324">
        <f>SUMMARY!L208</f>
        <v>1.2734909412462843</v>
      </c>
    </row>
    <row r="207" spans="1:17" s="162" customFormat="1">
      <c r="A207" s="164" t="s">
        <v>132</v>
      </c>
      <c r="B207" s="165" t="s">
        <v>46</v>
      </c>
      <c r="C207" s="480">
        <f>'[95]Sch C'!D213</f>
        <v>2038</v>
      </c>
      <c r="D207" s="480">
        <f>'[95]Sch C'!F213</f>
        <v>0</v>
      </c>
      <c r="E207" s="480">
        <f>+'[95]Sch C'!H213</f>
        <v>0</v>
      </c>
      <c r="F207" s="166">
        <f t="shared" si="64"/>
        <v>2038</v>
      </c>
      <c r="G207" s="626"/>
      <c r="H207" s="166"/>
      <c r="I207" s="166">
        <f t="shared" si="65"/>
        <v>2038</v>
      </c>
      <c r="J207" s="167">
        <f t="shared" si="66"/>
        <v>4.4274224125233716E-4</v>
      </c>
      <c r="K207" s="458"/>
      <c r="L207" s="163"/>
      <c r="M207" s="163"/>
      <c r="O207" s="329">
        <f t="shared" si="67"/>
        <v>0.14869400262658689</v>
      </c>
      <c r="P207" s="324">
        <f>SUMMARY!L209</f>
        <v>0.51656684080340909</v>
      </c>
    </row>
    <row r="208" spans="1:17" s="162" customFormat="1">
      <c r="A208" s="164" t="s">
        <v>133</v>
      </c>
      <c r="B208" s="165" t="s">
        <v>62</v>
      </c>
      <c r="C208" s="480">
        <f>'[95]Sch C'!D214</f>
        <v>0</v>
      </c>
      <c r="D208" s="480">
        <f>'[95]Sch C'!F214</f>
        <v>0</v>
      </c>
      <c r="E208" s="480">
        <f>+'[95]Sch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16" s="162" customFormat="1">
      <c r="A209" s="164" t="s">
        <v>134</v>
      </c>
      <c r="B209" s="194" t="s">
        <v>63</v>
      </c>
      <c r="C209" s="480">
        <f>'[95]Sch C'!D215</f>
        <v>0</v>
      </c>
      <c r="D209" s="480">
        <f>'[95]Sch C'!F215</f>
        <v>0</v>
      </c>
      <c r="E209" s="480">
        <f>+'[95]Sch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16" s="162" customFormat="1">
      <c r="A210" s="164" t="s">
        <v>135</v>
      </c>
      <c r="B210" s="165" t="s">
        <v>293</v>
      </c>
      <c r="C210" s="480">
        <f>'[95]Sch C'!D216</f>
        <v>2225</v>
      </c>
      <c r="D210" s="480">
        <f>'[95]Sch C'!F216</f>
        <v>0</v>
      </c>
      <c r="E210" s="480">
        <f>+'[95]Sch C'!H216</f>
        <v>0</v>
      </c>
      <c r="F210" s="166">
        <f t="shared" si="64"/>
        <v>2225</v>
      </c>
      <c r="G210" s="626">
        <f>401</f>
        <v>401</v>
      </c>
      <c r="H210" s="166"/>
      <c r="I210" s="166">
        <f t="shared" si="65"/>
        <v>2626</v>
      </c>
      <c r="J210" s="167">
        <f t="shared" si="66"/>
        <v>5.7048141586292316E-4</v>
      </c>
      <c r="K210" s="458"/>
      <c r="L210" s="163"/>
      <c r="M210" s="163"/>
      <c r="O210" s="329">
        <f t="shared" si="67"/>
        <v>0.19159492193200059</v>
      </c>
      <c r="P210" s="324">
        <f>SUMMARY!L212</f>
        <v>0.31711176711674705</v>
      </c>
    </row>
    <row r="211" spans="1:16" s="162" customFormat="1">
      <c r="A211" s="158"/>
      <c r="B211" s="165" t="s">
        <v>136</v>
      </c>
      <c r="C211" s="480">
        <f t="shared" ref="C211:E211" si="68">SUM(C205:C210)</f>
        <v>171039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171039</v>
      </c>
      <c r="G211" s="166">
        <f t="shared" si="69"/>
        <v>-2835</v>
      </c>
      <c r="H211" s="166">
        <f t="shared" si="69"/>
        <v>0</v>
      </c>
      <c r="I211" s="166">
        <f t="shared" si="69"/>
        <v>168204</v>
      </c>
      <c r="J211" s="167">
        <f t="shared" si="66"/>
        <v>3.6541224704420075E-2</v>
      </c>
      <c r="K211" s="458"/>
      <c r="L211" s="163"/>
      <c r="M211" s="163"/>
      <c r="O211" s="329">
        <f>I211/I$233</f>
        <v>12.272289508244564</v>
      </c>
      <c r="P211" s="324">
        <f>SUMMARY!L213</f>
        <v>7.8731716780415235</v>
      </c>
    </row>
    <row r="212" spans="1:16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</row>
    <row r="213" spans="1:16" s="162" customFormat="1">
      <c r="A213" s="217"/>
      <c r="B213" s="218" t="s">
        <v>137</v>
      </c>
      <c r="C213" s="480">
        <f t="shared" ref="C213:E213" si="70">SUM(C30:C211)/2</f>
        <v>4707955</v>
      </c>
      <c r="D213" s="480">
        <f t="shared" si="70"/>
        <v>-219081</v>
      </c>
      <c r="E213" s="480">
        <f t="shared" si="70"/>
        <v>122115</v>
      </c>
      <c r="F213" s="166">
        <f t="shared" ref="F213:I213" si="71">SUM(F30:F211)/2</f>
        <v>4610989</v>
      </c>
      <c r="G213" s="166">
        <f t="shared" si="71"/>
        <v>-7859.2099999999991</v>
      </c>
      <c r="H213" s="166">
        <f t="shared" si="71"/>
        <v>0</v>
      </c>
      <c r="I213" s="166">
        <f t="shared" si="71"/>
        <v>4603129.79</v>
      </c>
      <c r="J213" s="167">
        <f>IF($I$213=0,0,I213/$I$213)</f>
        <v>1</v>
      </c>
      <c r="K213" s="458"/>
      <c r="L213" s="176">
        <f>SUM(L30:L205)</f>
        <v>92833</v>
      </c>
      <c r="M213" s="176">
        <f>SUM(M30:M205)</f>
        <v>97447</v>
      </c>
      <c r="O213" s="329">
        <f>I213/I$233</f>
        <v>335.84778855975486</v>
      </c>
      <c r="P213" s="324">
        <f>SUMMARY!L215</f>
        <v>285.57746451544745</v>
      </c>
    </row>
    <row r="214" spans="1:16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</row>
    <row r="215" spans="1:16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</row>
    <row r="216" spans="1:16" s="162" customFormat="1" ht="15.5">
      <c r="A216" s="158"/>
      <c r="B216" s="218" t="s">
        <v>172</v>
      </c>
      <c r="C216" s="480">
        <f>'[95]Sch C'!D221</f>
        <v>4707955</v>
      </c>
      <c r="D216" s="188"/>
      <c r="E216" s="188"/>
      <c r="F216" s="160"/>
      <c r="G216" s="160"/>
      <c r="H216"/>
      <c r="I216"/>
      <c r="K216" s="460"/>
      <c r="L216" s="163"/>
      <c r="M216" s="163"/>
    </row>
    <row r="217" spans="1:16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</row>
    <row r="218" spans="1:16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</row>
    <row r="219" spans="1:16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</row>
    <row r="220" spans="1:16" s="162" customFormat="1">
      <c r="A220" s="158"/>
      <c r="B220" s="218" t="s">
        <v>70</v>
      </c>
      <c r="C220" s="480">
        <f t="shared" ref="C220:E220" si="72">C26-C213</f>
        <v>-1969765</v>
      </c>
      <c r="D220" s="480">
        <f t="shared" si="72"/>
        <v>213626</v>
      </c>
      <c r="E220" s="480">
        <f t="shared" si="72"/>
        <v>-122115</v>
      </c>
      <c r="F220" s="166">
        <f t="shared" ref="F220:I220" si="73">F26-F213</f>
        <v>-1878254</v>
      </c>
      <c r="G220" s="166">
        <f t="shared" si="73"/>
        <v>7859.2099999999991</v>
      </c>
      <c r="H220" s="166">
        <f t="shared" si="73"/>
        <v>0</v>
      </c>
      <c r="I220" s="166">
        <f t="shared" si="73"/>
        <v>-1870394.7900000005</v>
      </c>
      <c r="K220" s="460"/>
      <c r="L220" s="163"/>
      <c r="M220" s="163"/>
      <c r="O220" s="321"/>
      <c r="P220" s="324"/>
    </row>
    <row r="221" spans="1:16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</row>
    <row r="222" spans="1:16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</row>
    <row r="223" spans="1:16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16">
      <c r="A224" s="158"/>
      <c r="B224" s="165" t="s">
        <v>202</v>
      </c>
      <c r="C224" s="504">
        <f>'[95]Sch D'!C9</f>
        <v>11014</v>
      </c>
      <c r="D224" s="504"/>
      <c r="E224" s="504"/>
      <c r="F224" s="224">
        <f>C224+D224+E224</f>
        <v>11014</v>
      </c>
      <c r="G224" s="627"/>
      <c r="H224" s="223"/>
      <c r="I224" s="224">
        <f>F224+G224+H224</f>
        <v>11014</v>
      </c>
      <c r="J224" s="167">
        <f t="shared" ref="J224:J233" si="74">IF($I$233=0,0,I224/$I$233)</f>
        <v>0.80358966875820803</v>
      </c>
      <c r="K224" s="458"/>
      <c r="L224" s="163"/>
      <c r="M224" s="163"/>
    </row>
    <row r="225" spans="1:13">
      <c r="A225" s="158"/>
      <c r="B225" s="165" t="s">
        <v>201</v>
      </c>
      <c r="C225" s="504">
        <f>'[95]Sch D'!D9</f>
        <v>0</v>
      </c>
      <c r="D225" s="504"/>
      <c r="E225" s="504"/>
      <c r="F225" s="224">
        <f t="shared" ref="F225:F232" si="75">C225+D225+E225</f>
        <v>0</v>
      </c>
      <c r="G225" s="627"/>
      <c r="H225" s="223"/>
      <c r="I225" s="224">
        <f t="shared" ref="I225:I232" si="76">F225+G225+H225</f>
        <v>0</v>
      </c>
      <c r="J225" s="167">
        <f t="shared" si="74"/>
        <v>0</v>
      </c>
      <c r="K225" s="458"/>
      <c r="L225" s="163"/>
      <c r="M225" s="163"/>
    </row>
    <row r="226" spans="1:13">
      <c r="A226" s="158"/>
      <c r="B226" s="165" t="s">
        <v>64</v>
      </c>
      <c r="C226" s="504">
        <f>'[95]Sch D'!E9</f>
        <v>434</v>
      </c>
      <c r="D226" s="504"/>
      <c r="E226" s="504"/>
      <c r="F226" s="224">
        <f t="shared" si="75"/>
        <v>434</v>
      </c>
      <c r="G226" s="627"/>
      <c r="H226" s="223"/>
      <c r="I226" s="224">
        <f t="shared" si="76"/>
        <v>434</v>
      </c>
      <c r="J226" s="167">
        <f t="shared" si="74"/>
        <v>3.1664964249233915E-2</v>
      </c>
      <c r="K226" s="458"/>
      <c r="L226" s="163"/>
      <c r="M226" s="163"/>
    </row>
    <row r="227" spans="1:13">
      <c r="A227" s="158"/>
      <c r="B227" s="194" t="s">
        <v>315</v>
      </c>
      <c r="C227" s="504">
        <f>'[95]Sch D'!F9</f>
        <v>61</v>
      </c>
      <c r="D227" s="504"/>
      <c r="E227" s="504"/>
      <c r="F227" s="224">
        <f t="shared" si="75"/>
        <v>61</v>
      </c>
      <c r="G227" s="627"/>
      <c r="H227" s="223"/>
      <c r="I227" s="224">
        <f t="shared" si="76"/>
        <v>61</v>
      </c>
      <c r="J227" s="167">
        <f t="shared" si="74"/>
        <v>4.4506055742010798E-3</v>
      </c>
      <c r="K227" s="458"/>
      <c r="L227" s="163"/>
      <c r="M227" s="163"/>
    </row>
    <row r="228" spans="1:13">
      <c r="A228" s="158"/>
      <c r="B228" s="165" t="s">
        <v>65</v>
      </c>
      <c r="C228" s="504">
        <f>'[95]Sch D'!G9</f>
        <v>0</v>
      </c>
      <c r="D228" s="504"/>
      <c r="E228" s="504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'[95]Sch D'!H9</f>
        <v>332</v>
      </c>
      <c r="D229" s="504"/>
      <c r="E229" s="504"/>
      <c r="F229" s="224">
        <f t="shared" si="75"/>
        <v>332</v>
      </c>
      <c r="G229" s="627"/>
      <c r="H229" s="223"/>
      <c r="I229" s="224">
        <f t="shared" si="76"/>
        <v>332</v>
      </c>
      <c r="J229" s="167">
        <f t="shared" si="74"/>
        <v>2.4222968043192763E-2</v>
      </c>
      <c r="K229" s="458"/>
      <c r="L229" s="163"/>
      <c r="M229" s="163"/>
    </row>
    <row r="230" spans="1:13">
      <c r="A230" s="158"/>
      <c r="B230" s="165" t="s">
        <v>219</v>
      </c>
      <c r="C230" s="504">
        <f>'[95]Sch D'!I9</f>
        <v>1865</v>
      </c>
      <c r="D230" s="504"/>
      <c r="E230" s="504"/>
      <c r="F230" s="224">
        <f t="shared" si="75"/>
        <v>1865</v>
      </c>
      <c r="G230" s="627"/>
      <c r="H230" s="223"/>
      <c r="I230" s="224">
        <f t="shared" si="76"/>
        <v>1865</v>
      </c>
      <c r="J230" s="167">
        <f t="shared" si="74"/>
        <v>0.13607179337516417</v>
      </c>
      <c r="K230" s="458"/>
      <c r="L230" s="163"/>
      <c r="M230" s="163"/>
    </row>
    <row r="231" spans="1:13">
      <c r="A231" s="158"/>
      <c r="B231" s="165" t="s">
        <v>218</v>
      </c>
      <c r="C231" s="504">
        <f>'[95]Sch D'!J9</f>
        <v>0</v>
      </c>
      <c r="D231" s="504"/>
      <c r="E231" s="504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'[95]Sch D'!K9</f>
        <v>0</v>
      </c>
      <c r="D232" s="504"/>
      <c r="E232" s="504"/>
      <c r="F232" s="224">
        <f t="shared" si="75"/>
        <v>0</v>
      </c>
      <c r="G232" s="627"/>
      <c r="H232" s="223"/>
      <c r="I232" s="224">
        <f t="shared" si="76"/>
        <v>0</v>
      </c>
      <c r="J232" s="167">
        <f t="shared" si="74"/>
        <v>0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13706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13706</v>
      </c>
      <c r="G233" s="226">
        <f t="shared" si="78"/>
        <v>0</v>
      </c>
      <c r="H233" s="226">
        <f t="shared" si="78"/>
        <v>0</v>
      </c>
      <c r="I233" s="226">
        <f t="shared" si="78"/>
        <v>13706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'[95]Sch D'!N22</f>
        <v>77</v>
      </c>
      <c r="D236" s="480"/>
      <c r="E236" s="480"/>
      <c r="F236" s="224">
        <f>C236+E236</f>
        <v>77</v>
      </c>
      <c r="G236" s="627"/>
      <c r="H236" s="224"/>
      <c r="I236" s="224">
        <f>F236+G236+H236</f>
        <v>77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'[95]Sch D'!N24</f>
        <v>77</v>
      </c>
      <c r="D237" s="480"/>
      <c r="E237" s="480"/>
      <c r="F237" s="224">
        <f>C237+E237</f>
        <v>77</v>
      </c>
      <c r="G237" s="627"/>
      <c r="H237" s="224"/>
      <c r="I237" s="224">
        <f>F237+G237+H237</f>
        <v>77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'[95]Sch D'!N28</f>
        <v>28105</v>
      </c>
      <c r="D240" s="427"/>
      <c r="E240" s="427"/>
      <c r="F240" s="223">
        <f>F236*F238</f>
        <v>28105</v>
      </c>
      <c r="G240"/>
      <c r="H240" s="228"/>
      <c r="I240" s="223">
        <f>I236*I238</f>
        <v>28105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'[95]Sch D'!N30</f>
        <v>0.48767123287671232</v>
      </c>
      <c r="D241" s="228"/>
      <c r="E241" s="228"/>
      <c r="F241" s="232">
        <f>F233/F240</f>
        <v>0.48767123287671232</v>
      </c>
      <c r="G241"/>
      <c r="H241" s="233"/>
      <c r="I241" s="232">
        <f>I233/I240</f>
        <v>0.48767123287671232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'[95]Sch D'!N32</f>
        <v>0.39188756449030421</v>
      </c>
      <c r="D242" s="228"/>
      <c r="E242" s="228"/>
      <c r="F242" s="232">
        <f>(F224+F225)/F240</f>
        <v>0.39188756449030421</v>
      </c>
      <c r="G242"/>
      <c r="H242" s="233"/>
      <c r="I242" s="232">
        <f>(I224+I225)/I240</f>
        <v>0.39188756449030421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'[95]Sch D'!N34</f>
        <v>0.80358966875820803</v>
      </c>
      <c r="D243" s="228"/>
      <c r="E243" s="228"/>
      <c r="F243" s="232">
        <f>(F242/F241)</f>
        <v>0.80358966875820803</v>
      </c>
      <c r="G243"/>
      <c r="H243" s="233"/>
      <c r="I243" s="232">
        <f>(I242/I241)</f>
        <v>0.80358966875820803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'[95]Sch B'!C90</f>
        <v>153.54615384615386</v>
      </c>
      <c r="K246" s="460"/>
    </row>
    <row r="247" spans="1:13">
      <c r="H247" s="140" t="s">
        <v>322</v>
      </c>
      <c r="I247" s="480">
        <f>'[95]Sch B'!E90</f>
        <v>153.54545454545453</v>
      </c>
      <c r="K247" s="460"/>
    </row>
    <row r="248" spans="1:13">
      <c r="H248" s="140" t="s">
        <v>323</v>
      </c>
      <c r="I248" s="480">
        <f>'[95]Sch B'!G90</f>
        <v>153.53846153846155</v>
      </c>
      <c r="K248" s="460"/>
    </row>
    <row r="249" spans="1:13">
      <c r="H249" s="140" t="s">
        <v>324</v>
      </c>
      <c r="I249" s="480">
        <f>'[95]Sch B'!I90</f>
        <v>153.52941176470588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8" sqref="F8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76">
    <tabColor rgb="FFE28CAB"/>
    <pageSetUpPr fitToPage="1"/>
  </sheetPr>
  <dimension ref="A1:AG277"/>
  <sheetViews>
    <sheetView showGridLines="0" topLeftCell="M1" zoomScaleNormal="100" workbookViewId="0">
      <selection activeCell="R1" sqref="R1:AF1048576"/>
    </sheetView>
  </sheetViews>
  <sheetFormatPr defaultColWidth="8.75" defaultRowHeight="13"/>
  <cols>
    <col min="1" max="1" width="8.58203125" style="140" customWidth="1"/>
    <col min="2" max="2" width="43.25" style="138" customWidth="1"/>
    <col min="3" max="4" width="24.25" style="138" customWidth="1"/>
    <col min="5" max="5" width="13.08203125" style="138" customWidth="1"/>
    <col min="6" max="6" width="12.83203125" style="138" customWidth="1"/>
    <col min="7" max="7" width="20.58203125" style="138" customWidth="1"/>
    <col min="8" max="8" width="13.75" style="138" customWidth="1"/>
    <col min="9" max="9" width="13.5" style="138" bestFit="1" customWidth="1"/>
    <col min="10" max="10" width="12.58203125" style="138" customWidth="1"/>
    <col min="11" max="11" width="2.5" style="316" customWidth="1"/>
    <col min="12" max="12" width="14.75" style="139" customWidth="1"/>
    <col min="13" max="13" width="13" style="139" customWidth="1"/>
    <col min="14" max="14" width="2.5" style="138" customWidth="1"/>
    <col min="15" max="15" width="8.75" style="138"/>
    <col min="16" max="16" width="10.25" style="138" customWidth="1"/>
    <col min="17" max="16384" width="8.75" style="138"/>
  </cols>
  <sheetData>
    <row r="1" spans="1:19" ht="31.5">
      <c r="A1" s="136" t="str">
        <f>'ALPINE MEADOW'!A1</f>
        <v>schedules revised Sept. 2018</v>
      </c>
      <c r="B1" s="137" t="s">
        <v>285</v>
      </c>
      <c r="C1" s="419"/>
      <c r="D1" s="419"/>
      <c r="E1" s="419"/>
      <c r="F1" s="419"/>
      <c r="G1" s="419"/>
      <c r="H1" s="419"/>
      <c r="I1" s="419"/>
      <c r="J1" s="419"/>
      <c r="K1" s="420"/>
    </row>
    <row r="2" spans="1:19" ht="22.9" customHeight="1">
      <c r="B2" s="141" t="s">
        <v>178</v>
      </c>
      <c r="C2" s="234" t="s">
        <v>355</v>
      </c>
      <c r="D2" s="234"/>
      <c r="E2" s="234"/>
      <c r="F2" s="142"/>
      <c r="G2" s="142"/>
    </row>
    <row r="3" spans="1:19">
      <c r="A3" s="143"/>
      <c r="B3" s="138" t="s">
        <v>71</v>
      </c>
      <c r="C3" s="557">
        <f>'[96]Sch A Pg 1'!B39</f>
        <v>42917</v>
      </c>
      <c r="D3" s="620"/>
      <c r="E3" s="142"/>
      <c r="F3" s="144"/>
      <c r="G3" s="144"/>
    </row>
    <row r="4" spans="1:19">
      <c r="A4" s="143"/>
      <c r="B4" s="145" t="s">
        <v>72</v>
      </c>
      <c r="C4" s="557">
        <f>'[96]Sch A Pg 1'!G39</f>
        <v>43281</v>
      </c>
      <c r="D4" s="620"/>
      <c r="E4" s="142"/>
      <c r="F4" s="146"/>
      <c r="G4" s="146"/>
      <c r="I4" s="147"/>
    </row>
    <row r="5" spans="1:19">
      <c r="A5" s="143"/>
      <c r="B5" s="145"/>
      <c r="C5" s="148"/>
      <c r="D5" s="148"/>
      <c r="E5" s="142"/>
    </row>
    <row r="6" spans="1:19">
      <c r="A6" s="143"/>
      <c r="B6" s="145"/>
      <c r="C6" s="149" t="s">
        <v>33</v>
      </c>
      <c r="D6" s="632">
        <v>2</v>
      </c>
      <c r="E6" s="635">
        <v>3</v>
      </c>
      <c r="F6" s="146">
        <v>4</v>
      </c>
      <c r="G6" s="146">
        <v>5</v>
      </c>
      <c r="H6" s="632">
        <v>6</v>
      </c>
      <c r="I6" s="635">
        <v>7</v>
      </c>
      <c r="J6" s="146">
        <v>8</v>
      </c>
      <c r="K6" s="317"/>
      <c r="L6" s="150">
        <v>9</v>
      </c>
      <c r="M6" s="150">
        <v>10</v>
      </c>
      <c r="O6" s="144">
        <v>11</v>
      </c>
      <c r="P6" s="144">
        <v>12</v>
      </c>
    </row>
    <row r="7" spans="1:19">
      <c r="B7" s="145"/>
      <c r="C7" s="151" t="s">
        <v>1</v>
      </c>
      <c r="D7" s="621" t="s">
        <v>517</v>
      </c>
      <c r="E7" s="621" t="s">
        <v>518</v>
      </c>
      <c r="F7" s="151" t="s">
        <v>3</v>
      </c>
      <c r="G7" s="621" t="s">
        <v>519</v>
      </c>
      <c r="H7" s="151" t="s">
        <v>518</v>
      </c>
      <c r="I7" s="151" t="s">
        <v>4</v>
      </c>
      <c r="J7" s="152" t="s">
        <v>286</v>
      </c>
      <c r="K7" s="462"/>
      <c r="L7" s="153" t="s">
        <v>272</v>
      </c>
      <c r="M7" s="154" t="s">
        <v>273</v>
      </c>
      <c r="O7" s="154" t="s">
        <v>332</v>
      </c>
      <c r="P7" s="154" t="s">
        <v>334</v>
      </c>
      <c r="R7" s="162"/>
      <c r="S7" s="162"/>
    </row>
    <row r="8" spans="1:19">
      <c r="B8" s="145"/>
      <c r="C8" s="155"/>
      <c r="D8" s="155" t="s">
        <v>518</v>
      </c>
      <c r="E8" s="155" t="s">
        <v>2</v>
      </c>
      <c r="F8" s="155" t="s">
        <v>707</v>
      </c>
      <c r="G8" s="155" t="s">
        <v>518</v>
      </c>
      <c r="H8" s="155" t="s">
        <v>520</v>
      </c>
      <c r="I8" s="155" t="s">
        <v>706</v>
      </c>
      <c r="J8" s="156" t="s">
        <v>7</v>
      </c>
      <c r="K8" s="462"/>
      <c r="L8" s="157"/>
      <c r="M8" s="157"/>
      <c r="O8" s="157" t="s">
        <v>333</v>
      </c>
      <c r="P8" s="157" t="s">
        <v>332</v>
      </c>
      <c r="R8" s="162"/>
      <c r="S8" s="162"/>
    </row>
    <row r="9" spans="1:19">
      <c r="A9" s="143"/>
      <c r="C9" s="148"/>
      <c r="D9" s="148"/>
      <c r="E9" s="142"/>
      <c r="H9" s="142"/>
      <c r="I9" s="142"/>
      <c r="K9" s="460"/>
      <c r="R9" s="162"/>
      <c r="S9" s="162"/>
    </row>
    <row r="10" spans="1:19" s="162" customFormat="1">
      <c r="A10" s="158" t="s">
        <v>228</v>
      </c>
      <c r="B10" s="159" t="s">
        <v>229</v>
      </c>
      <c r="C10" s="160"/>
      <c r="D10" s="160"/>
      <c r="E10" s="160"/>
      <c r="F10" s="160"/>
      <c r="G10" s="160"/>
      <c r="H10" s="160"/>
      <c r="I10" s="160"/>
      <c r="J10" s="161"/>
      <c r="K10" s="463"/>
      <c r="L10" s="163"/>
      <c r="M10" s="163"/>
    </row>
    <row r="11" spans="1:19" s="162" customFormat="1">
      <c r="A11" s="158"/>
      <c r="B11" s="615" t="s">
        <v>511</v>
      </c>
      <c r="C11" s="160"/>
      <c r="D11" s="160"/>
      <c r="E11" s="160"/>
      <c r="F11" s="160"/>
      <c r="G11" s="160"/>
      <c r="H11" s="160"/>
      <c r="I11" s="160"/>
      <c r="J11" s="161"/>
      <c r="K11" s="463"/>
      <c r="L11" s="163"/>
      <c r="M11" s="163"/>
    </row>
    <row r="12" spans="1:19" s="162" customFormat="1">
      <c r="A12" s="158"/>
      <c r="B12" s="160" t="s">
        <v>512</v>
      </c>
      <c r="C12" s="480">
        <f>'[96]Sch B'!E10</f>
        <v>5540242</v>
      </c>
      <c r="D12" s="480">
        <f>'[96]Sch B'!G10</f>
        <v>0</v>
      </c>
      <c r="E12" s="480"/>
      <c r="F12" s="166">
        <f>C12+D12+E12</f>
        <v>5540242</v>
      </c>
      <c r="G12" s="626"/>
      <c r="H12" s="166"/>
      <c r="I12" s="166">
        <f>F12+G12+H12</f>
        <v>5540242</v>
      </c>
      <c r="J12" s="167">
        <f>IF($I$26=0,0,I12/$I$26)</f>
        <v>0.5253110151011785</v>
      </c>
      <c r="K12" s="463"/>
      <c r="L12" s="163"/>
      <c r="M12" s="163"/>
    </row>
    <row r="13" spans="1:19" s="162" customFormat="1">
      <c r="A13" s="158"/>
      <c r="B13" s="160" t="s">
        <v>513</v>
      </c>
      <c r="C13" s="480">
        <f>'[96]Sch B'!E12</f>
        <v>0</v>
      </c>
      <c r="D13" s="480">
        <f>'[96]Sch B'!G12</f>
        <v>0</v>
      </c>
      <c r="E13" s="480"/>
      <c r="F13" s="166">
        <f t="shared" ref="F13:F25" si="0">C13+D13+E13</f>
        <v>0</v>
      </c>
      <c r="G13" s="626"/>
      <c r="H13" s="166"/>
      <c r="I13" s="166">
        <f t="shared" ref="I13:I25" si="1">F13+G13+H13</f>
        <v>0</v>
      </c>
      <c r="J13" s="167">
        <f>IF($I$26=0,0,I13/$I$26)</f>
        <v>0</v>
      </c>
      <c r="K13" s="463"/>
      <c r="L13" s="163"/>
      <c r="M13" s="163"/>
    </row>
    <row r="14" spans="1:19" s="162" customFormat="1">
      <c r="A14" s="158"/>
      <c r="B14" s="160" t="s">
        <v>514</v>
      </c>
      <c r="C14" s="480">
        <f>'[96]Sch B'!E13</f>
        <v>593093</v>
      </c>
      <c r="D14" s="480">
        <f>'[96]Sch B'!G13</f>
        <v>0</v>
      </c>
      <c r="E14" s="480"/>
      <c r="F14" s="166">
        <f t="shared" si="0"/>
        <v>593093</v>
      </c>
      <c r="G14" s="626"/>
      <c r="H14" s="166"/>
      <c r="I14" s="166">
        <f t="shared" si="1"/>
        <v>593093</v>
      </c>
      <c r="J14" s="167">
        <f>IF($I$26=0,0,I14/$I$26)</f>
        <v>5.6235501243339786E-2</v>
      </c>
      <c r="K14" s="463"/>
      <c r="L14" s="163"/>
      <c r="M14" s="163"/>
    </row>
    <row r="15" spans="1:19" s="162" customFormat="1" ht="13.5" thickBot="1">
      <c r="A15" s="158"/>
      <c r="B15" s="160" t="s">
        <v>515</v>
      </c>
      <c r="C15" s="480">
        <f>'[96]Sch B'!E14</f>
        <v>0</v>
      </c>
      <c r="D15" s="480">
        <f>'[96]Sch B'!G14</f>
        <v>0</v>
      </c>
      <c r="E15" s="480"/>
      <c r="F15" s="166">
        <f t="shared" si="0"/>
        <v>0</v>
      </c>
      <c r="G15" s="626">
        <v>136143.78</v>
      </c>
      <c r="H15" s="166"/>
      <c r="I15" s="166">
        <f t="shared" si="1"/>
        <v>136143.78</v>
      </c>
      <c r="J15" s="167">
        <f>IF($I$26=0,0,I15/$I$26)</f>
        <v>1.2908791217335187E-2</v>
      </c>
      <c r="K15" s="458" t="s">
        <v>651</v>
      </c>
      <c r="L15" s="163"/>
      <c r="M15" s="163"/>
    </row>
    <row r="16" spans="1:19" s="162" customFormat="1">
      <c r="A16" s="164" t="s">
        <v>9</v>
      </c>
      <c r="B16" s="165" t="s">
        <v>197</v>
      </c>
      <c r="C16" s="480">
        <f>'[96]Sch B'!E15</f>
        <v>6133335</v>
      </c>
      <c r="D16" s="480">
        <f>'[96]Sch B'!G15</f>
        <v>0</v>
      </c>
      <c r="E16" s="480"/>
      <c r="F16" s="166">
        <f t="shared" si="0"/>
        <v>6133335</v>
      </c>
      <c r="G16" s="626"/>
      <c r="H16" s="166"/>
      <c r="I16" s="166">
        <f>SUM(I12:I15)</f>
        <v>6269478.7800000003</v>
      </c>
      <c r="J16" s="167">
        <f t="shared" ref="J16:J26" si="2">IF($I$26=0,0,I16/$I$26)</f>
        <v>0.5944553075618535</v>
      </c>
      <c r="K16" s="458"/>
      <c r="L16" s="333" t="s">
        <v>325</v>
      </c>
      <c r="M16" s="334">
        <f>I26</f>
        <v>10546594.000000002</v>
      </c>
      <c r="O16" s="324">
        <f>IFERROR(I16/I224,0)</f>
        <v>233.19616068439652</v>
      </c>
      <c r="P16" s="324">
        <f>SUMMARY!L18</f>
        <v>284.96439647002933</v>
      </c>
    </row>
    <row r="17" spans="1:16" s="162" customFormat="1">
      <c r="A17" s="164" t="s">
        <v>11</v>
      </c>
      <c r="B17" s="165" t="s">
        <v>196</v>
      </c>
      <c r="C17" s="480">
        <f>'[96]Sch B'!E20</f>
        <v>0</v>
      </c>
      <c r="D17" s="480">
        <f>'[96]Sch B'!G20</f>
        <v>0</v>
      </c>
      <c r="E17" s="480"/>
      <c r="F17" s="166">
        <f t="shared" si="0"/>
        <v>0</v>
      </c>
      <c r="G17" s="626"/>
      <c r="H17" s="166"/>
      <c r="I17" s="166">
        <f t="shared" si="1"/>
        <v>0</v>
      </c>
      <c r="J17" s="167">
        <f t="shared" si="2"/>
        <v>0</v>
      </c>
      <c r="K17" s="458"/>
      <c r="L17" s="335" t="s">
        <v>326</v>
      </c>
      <c r="M17" s="336">
        <f>I213</f>
        <v>12098280.84</v>
      </c>
      <c r="O17" s="324">
        <f t="shared" ref="O17:O24" si="3">IFERROR(I17/I225,0)</f>
        <v>0</v>
      </c>
      <c r="P17" s="324">
        <f>SUMMARY!L19</f>
        <v>273.55163068176057</v>
      </c>
    </row>
    <row r="18" spans="1:16" s="162" customFormat="1" ht="12.65" customHeight="1">
      <c r="A18" s="164" t="s">
        <v>12</v>
      </c>
      <c r="B18" s="165" t="s">
        <v>162</v>
      </c>
      <c r="C18" s="480">
        <f>'[96]Sch B'!E26</f>
        <v>2005628</v>
      </c>
      <c r="D18" s="480">
        <f>'[96]Sch B'!G26</f>
        <v>0</v>
      </c>
      <c r="E18" s="480"/>
      <c r="F18" s="166">
        <f t="shared" si="0"/>
        <v>2005628</v>
      </c>
      <c r="G18" s="626"/>
      <c r="H18" s="166"/>
      <c r="I18" s="166">
        <f t="shared" si="1"/>
        <v>2005628</v>
      </c>
      <c r="J18" s="167">
        <f t="shared" si="2"/>
        <v>0.19016831405475546</v>
      </c>
      <c r="K18" s="458"/>
      <c r="L18" s="335" t="s">
        <v>327</v>
      </c>
      <c r="M18" s="336">
        <f>I233</f>
        <v>38891</v>
      </c>
      <c r="O18" s="324">
        <f t="shared" si="3"/>
        <v>590.23778693349027</v>
      </c>
      <c r="P18" s="324">
        <f>SUMMARY!L20</f>
        <v>561.11364502829144</v>
      </c>
    </row>
    <row r="19" spans="1:16" s="162" customFormat="1" ht="12.65" customHeight="1">
      <c r="A19" s="168" t="s">
        <v>14</v>
      </c>
      <c r="B19" s="169" t="s">
        <v>287</v>
      </c>
      <c r="C19" s="480">
        <f>'[96]Sch B'!E32</f>
        <v>668030</v>
      </c>
      <c r="D19" s="480">
        <f>'[96]Sch B'!G32</f>
        <v>0</v>
      </c>
      <c r="E19" s="480"/>
      <c r="F19" s="166">
        <f t="shared" si="0"/>
        <v>668030</v>
      </c>
      <c r="G19" s="626"/>
      <c r="H19" s="166"/>
      <c r="I19" s="166">
        <f t="shared" si="1"/>
        <v>668030</v>
      </c>
      <c r="J19" s="170">
        <f t="shared" si="2"/>
        <v>6.3340828328083923E-2</v>
      </c>
      <c r="K19" s="464"/>
      <c r="L19" s="335" t="s">
        <v>328</v>
      </c>
      <c r="M19" s="336">
        <f>I236</f>
        <v>184</v>
      </c>
      <c r="O19" s="324">
        <f t="shared" si="3"/>
        <v>344.34536082474227</v>
      </c>
      <c r="P19" s="324">
        <f>SUMMARY!L21</f>
        <v>411.84844994976652</v>
      </c>
    </row>
    <row r="20" spans="1:16" s="162" customFormat="1" ht="12.65" customHeight="1">
      <c r="A20" s="164" t="s">
        <v>15</v>
      </c>
      <c r="B20" s="165" t="s">
        <v>163</v>
      </c>
      <c r="C20" s="480">
        <f>'[96]Sch B'!E37</f>
        <v>0</v>
      </c>
      <c r="D20" s="480">
        <f>'[96]Sch B'!G37</f>
        <v>0</v>
      </c>
      <c r="E20" s="480"/>
      <c r="F20" s="166">
        <f t="shared" si="0"/>
        <v>0</v>
      </c>
      <c r="G20" s="626"/>
      <c r="H20" s="166"/>
      <c r="I20" s="166">
        <f t="shared" si="1"/>
        <v>0</v>
      </c>
      <c r="J20" s="167">
        <f t="shared" si="2"/>
        <v>0</v>
      </c>
      <c r="K20" s="458"/>
      <c r="L20" s="335" t="s">
        <v>329</v>
      </c>
      <c r="M20" s="336">
        <f>I240</f>
        <v>67160</v>
      </c>
      <c r="O20" s="324">
        <f t="shared" si="3"/>
        <v>0</v>
      </c>
      <c r="P20" s="324">
        <f>SUMMARY!L22</f>
        <v>340.77076510151483</v>
      </c>
    </row>
    <row r="21" spans="1:16" s="162" customFormat="1" ht="12.65" customHeight="1">
      <c r="A21" s="164" t="s">
        <v>17</v>
      </c>
      <c r="B21" s="165" t="s">
        <v>164</v>
      </c>
      <c r="C21" s="480">
        <f>'[96]Sch B'!E42</f>
        <v>397259</v>
      </c>
      <c r="D21" s="480">
        <f>'[96]Sch B'!G42</f>
        <v>0</v>
      </c>
      <c r="E21" s="480"/>
      <c r="F21" s="166">
        <f t="shared" si="0"/>
        <v>397259</v>
      </c>
      <c r="G21" s="626"/>
      <c r="H21" s="166"/>
      <c r="I21" s="166">
        <f t="shared" si="1"/>
        <v>397259</v>
      </c>
      <c r="J21" s="167">
        <f t="shared" si="2"/>
        <v>3.7667042080125578E-2</v>
      </c>
      <c r="K21" s="458"/>
      <c r="L21" s="337"/>
      <c r="M21" s="336"/>
      <c r="O21" s="324">
        <f t="shared" si="3"/>
        <v>333.83109243697481</v>
      </c>
      <c r="P21" s="324">
        <f>SUMMARY!L23</f>
        <v>225.41338272883894</v>
      </c>
    </row>
    <row r="22" spans="1:16" s="162" customFormat="1" ht="12.65" customHeight="1">
      <c r="A22" s="164" t="s">
        <v>199</v>
      </c>
      <c r="B22" s="165" t="s">
        <v>212</v>
      </c>
      <c r="C22" s="480">
        <f>'[96]Sch B'!E47</f>
        <v>727421</v>
      </c>
      <c r="D22" s="480">
        <f>'[96]Sch B'!G47</f>
        <v>0</v>
      </c>
      <c r="E22" s="480"/>
      <c r="F22" s="166">
        <f t="shared" si="0"/>
        <v>727421</v>
      </c>
      <c r="G22" s="626"/>
      <c r="H22" s="166"/>
      <c r="I22" s="166">
        <f t="shared" si="1"/>
        <v>727421</v>
      </c>
      <c r="J22" s="167">
        <f t="shared" si="2"/>
        <v>6.8972125029180029E-2</v>
      </c>
      <c r="K22" s="458"/>
      <c r="L22" s="335" t="s">
        <v>148</v>
      </c>
      <c r="M22" s="336">
        <f>L213</f>
        <v>213169</v>
      </c>
      <c r="O22" s="324">
        <f t="shared" si="3"/>
        <v>198.74890710382513</v>
      </c>
      <c r="P22" s="324">
        <f>SUMMARY!L24</f>
        <v>188.3985734235572</v>
      </c>
    </row>
    <row r="23" spans="1:16" s="162" customFormat="1" ht="13.5" thickBot="1">
      <c r="A23" s="164" t="s">
        <v>200</v>
      </c>
      <c r="B23" s="165" t="s">
        <v>213</v>
      </c>
      <c r="C23" s="480">
        <f>'[96]Sch B'!E52</f>
        <v>0</v>
      </c>
      <c r="D23" s="480">
        <f>'[96]Sch B'!G52</f>
        <v>0</v>
      </c>
      <c r="E23" s="480"/>
      <c r="F23" s="166">
        <f t="shared" si="0"/>
        <v>0</v>
      </c>
      <c r="G23" s="626"/>
      <c r="H23" s="166"/>
      <c r="I23" s="166">
        <f t="shared" si="1"/>
        <v>0</v>
      </c>
      <c r="J23" s="167">
        <f t="shared" si="2"/>
        <v>0</v>
      </c>
      <c r="K23" s="458"/>
      <c r="L23" s="338" t="s">
        <v>233</v>
      </c>
      <c r="M23" s="339">
        <f>M213</f>
        <v>224625</v>
      </c>
      <c r="O23" s="324">
        <f t="shared" si="3"/>
        <v>0</v>
      </c>
      <c r="P23" s="324">
        <f>SUMMARY!L25</f>
        <v>202.2975348857334</v>
      </c>
    </row>
    <row r="24" spans="1:16" s="162" customFormat="1">
      <c r="A24" s="164" t="s">
        <v>211</v>
      </c>
      <c r="B24" s="171" t="s">
        <v>165</v>
      </c>
      <c r="C24" s="480">
        <f>'[96]Sch B'!E57</f>
        <v>475005</v>
      </c>
      <c r="D24" s="480">
        <f>'[96]Sch B'!G57</f>
        <v>0</v>
      </c>
      <c r="E24" s="480"/>
      <c r="F24" s="166">
        <f t="shared" si="0"/>
        <v>475005</v>
      </c>
      <c r="G24" s="626"/>
      <c r="H24" s="166"/>
      <c r="I24" s="166">
        <f t="shared" si="1"/>
        <v>475005</v>
      </c>
      <c r="J24" s="167">
        <f t="shared" si="2"/>
        <v>4.5038711075822198E-2</v>
      </c>
      <c r="K24" s="458"/>
      <c r="L24" s="163"/>
      <c r="M24" s="163"/>
      <c r="O24" s="324">
        <f t="shared" si="3"/>
        <v>273.14836112708451</v>
      </c>
      <c r="P24" s="324">
        <f>SUMMARY!L26</f>
        <v>387.88037830590139</v>
      </c>
    </row>
    <row r="25" spans="1:16" s="162" customFormat="1">
      <c r="A25" s="164" t="s">
        <v>173</v>
      </c>
      <c r="B25" s="23" t="s">
        <v>171</v>
      </c>
      <c r="C25" s="480">
        <f>'[96]Sch B'!E72</f>
        <v>164083</v>
      </c>
      <c r="D25" s="480">
        <f>'[96]Sch B'!G72</f>
        <v>-24167</v>
      </c>
      <c r="E25" s="480"/>
      <c r="F25" s="166">
        <f t="shared" si="0"/>
        <v>139916</v>
      </c>
      <c r="G25" s="626">
        <v>-136143.78</v>
      </c>
      <c r="H25" s="166"/>
      <c r="I25" s="166">
        <f t="shared" si="1"/>
        <v>3772.2200000000012</v>
      </c>
      <c r="J25" s="167">
        <f t="shared" si="2"/>
        <v>3.5767187017913084E-4</v>
      </c>
      <c r="K25" s="458" t="s">
        <v>651</v>
      </c>
      <c r="L25" s="163"/>
      <c r="M25" s="163"/>
      <c r="O25" s="327" t="s">
        <v>184</v>
      </c>
      <c r="P25" s="327" t="s">
        <v>184</v>
      </c>
    </row>
    <row r="26" spans="1:16" s="162" customFormat="1">
      <c r="A26" s="164"/>
      <c r="B26" s="172" t="s">
        <v>69</v>
      </c>
      <c r="C26" s="480">
        <f>SUM(C16:C25)</f>
        <v>10570761</v>
      </c>
      <c r="D26" s="480">
        <f t="shared" ref="D26:F26" si="4">SUM(D16:D25)</f>
        <v>-24167</v>
      </c>
      <c r="E26" s="480">
        <f t="shared" si="4"/>
        <v>0</v>
      </c>
      <c r="F26" s="166">
        <f t="shared" si="4"/>
        <v>10546594</v>
      </c>
      <c r="G26" s="166">
        <f>SUM(G12:G25)</f>
        <v>0</v>
      </c>
      <c r="H26" s="166">
        <f>SUM(H12:H25)</f>
        <v>0</v>
      </c>
      <c r="I26" s="166">
        <f>SUM(I16:I25)</f>
        <v>10546594.000000002</v>
      </c>
      <c r="J26" s="167">
        <f t="shared" si="2"/>
        <v>1</v>
      </c>
      <c r="K26" s="458"/>
      <c r="L26" s="163"/>
      <c r="M26" s="163"/>
      <c r="O26" s="324">
        <f>IFERROR(I26/I233,0)</f>
        <v>271.18341004345484</v>
      </c>
      <c r="P26" s="324">
        <f>SUMMARY!L28</f>
        <v>316.15377811906774</v>
      </c>
    </row>
    <row r="27" spans="1:16" ht="12" customHeight="1">
      <c r="A27" s="143"/>
      <c r="B27" s="173"/>
      <c r="C27" s="148"/>
      <c r="D27" s="142"/>
      <c r="E27" s="142"/>
      <c r="H27" s="142"/>
      <c r="I27" s="142"/>
      <c r="K27" s="460"/>
      <c r="O27" s="328"/>
      <c r="P27" s="328"/>
    </row>
    <row r="28" spans="1:16" ht="26">
      <c r="A28" s="174" t="s">
        <v>215</v>
      </c>
      <c r="B28" s="173" t="s">
        <v>206</v>
      </c>
      <c r="C28" s="148"/>
      <c r="D28" s="142"/>
      <c r="E28" s="142"/>
      <c r="H28" s="142"/>
      <c r="I28" s="142"/>
      <c r="K28" s="460"/>
      <c r="O28" s="328"/>
      <c r="P28" s="328"/>
    </row>
    <row r="29" spans="1:16">
      <c r="A29" s="175" t="s">
        <v>153</v>
      </c>
      <c r="B29" s="145" t="s">
        <v>8</v>
      </c>
      <c r="K29" s="460"/>
      <c r="O29" s="328"/>
      <c r="P29" s="328"/>
    </row>
    <row r="30" spans="1:16" s="162" customFormat="1">
      <c r="A30" s="164" t="s">
        <v>75</v>
      </c>
      <c r="B30" s="165" t="s">
        <v>10</v>
      </c>
      <c r="C30" s="480">
        <f>'[96]Sch C'!D10</f>
        <v>0</v>
      </c>
      <c r="D30" s="480">
        <f>'[96]Sch C'!F10</f>
        <v>184515</v>
      </c>
      <c r="E30" s="480">
        <f>+'[96]Sch C'!H10</f>
        <v>0</v>
      </c>
      <c r="F30" s="166">
        <f t="shared" ref="F30:F65" si="5">C30+D30+E30</f>
        <v>184515</v>
      </c>
      <c r="G30" s="626"/>
      <c r="H30" s="166"/>
      <c r="I30" s="166">
        <f t="shared" ref="I30:I65" si="6">F30+G30+H30</f>
        <v>184515</v>
      </c>
      <c r="J30" s="167">
        <f>IF($I$213=0,0,I30/$I$213)</f>
        <v>1.5251340454087194E-2</v>
      </c>
      <c r="K30" s="458"/>
      <c r="L30" s="176">
        <v>2901</v>
      </c>
      <c r="M30" s="176">
        <v>3032</v>
      </c>
      <c r="O30" s="324">
        <f>I30/I$233</f>
        <v>4.7444138746753746</v>
      </c>
      <c r="P30" s="324">
        <f>SUMMARY!L32</f>
        <v>5.7025515464403815</v>
      </c>
    </row>
    <row r="31" spans="1:16" s="162" customFormat="1">
      <c r="A31" s="164" t="s">
        <v>76</v>
      </c>
      <c r="B31" s="165" t="s">
        <v>167</v>
      </c>
      <c r="C31" s="480">
        <f>'[96]Sch C'!D11</f>
        <v>0</v>
      </c>
      <c r="D31" s="480">
        <f>'[96]Sch C'!F11</f>
        <v>0</v>
      </c>
      <c r="E31" s="480">
        <f>+'[96]Sch C'!H11</f>
        <v>0</v>
      </c>
      <c r="F31" s="166">
        <f t="shared" si="5"/>
        <v>0</v>
      </c>
      <c r="G31" s="626"/>
      <c r="H31" s="166"/>
      <c r="I31" s="166">
        <f t="shared" si="6"/>
        <v>0</v>
      </c>
      <c r="J31" s="177">
        <f t="shared" ref="J31:J66" si="7">IF($I$213=0,0,I31/$I$213)</f>
        <v>0</v>
      </c>
      <c r="K31" s="458"/>
      <c r="L31" s="176">
        <v>0</v>
      </c>
      <c r="M31" s="176">
        <v>0</v>
      </c>
      <c r="O31" s="324">
        <f t="shared" ref="O31:O65" si="8">I31/I$233</f>
        <v>0</v>
      </c>
      <c r="P31" s="324">
        <f>SUMMARY!L33</f>
        <v>7.4306926374758907E-3</v>
      </c>
    </row>
    <row r="32" spans="1:16" s="162" customFormat="1">
      <c r="A32" s="164" t="s">
        <v>77</v>
      </c>
      <c r="B32" s="165" t="s">
        <v>13</v>
      </c>
      <c r="C32" s="480">
        <f>'[96]Sch C'!D12</f>
        <v>648054</v>
      </c>
      <c r="D32" s="480">
        <f>'[96]Sch C'!F12</f>
        <v>-184765</v>
      </c>
      <c r="E32" s="480">
        <f>+'[96]Sch C'!H12</f>
        <v>0</v>
      </c>
      <c r="F32" s="166">
        <f t="shared" si="5"/>
        <v>463289</v>
      </c>
      <c r="G32" s="626"/>
      <c r="H32" s="166"/>
      <c r="I32" s="166">
        <f t="shared" si="6"/>
        <v>463289</v>
      </c>
      <c r="J32" s="167">
        <f t="shared" si="7"/>
        <v>3.8293787863499455E-2</v>
      </c>
      <c r="K32" s="458"/>
      <c r="L32" s="176">
        <v>7797</v>
      </c>
      <c r="M32" s="176">
        <v>8166</v>
      </c>
      <c r="O32" s="324">
        <f t="shared" si="8"/>
        <v>11.912499035766629</v>
      </c>
      <c r="P32" s="324">
        <f>SUMMARY!L34</f>
        <v>6.6325016080849428</v>
      </c>
    </row>
    <row r="33" spans="1:16" s="162" customFormat="1">
      <c r="A33" s="164" t="s">
        <v>78</v>
      </c>
      <c r="B33" s="165" t="s">
        <v>37</v>
      </c>
      <c r="C33" s="480">
        <f>'[96]Sch C'!D13</f>
        <v>70122</v>
      </c>
      <c r="D33" s="480">
        <f>'[96]Sch C'!F13</f>
        <v>-7607</v>
      </c>
      <c r="E33" s="480">
        <f>+'[96]Sch C'!H13</f>
        <v>0</v>
      </c>
      <c r="F33" s="166">
        <f t="shared" si="5"/>
        <v>62515</v>
      </c>
      <c r="G33" s="626"/>
      <c r="H33" s="166"/>
      <c r="I33" s="166">
        <f t="shared" si="6"/>
        <v>62515</v>
      </c>
      <c r="J33" s="167">
        <f t="shared" si="7"/>
        <v>5.1672630869428558E-3</v>
      </c>
      <c r="K33" s="458"/>
      <c r="L33" s="163"/>
      <c r="M33" s="163"/>
      <c r="O33" s="324">
        <f t="shared" si="8"/>
        <v>1.6074413103288678</v>
      </c>
      <c r="P33" s="324">
        <f>SUMMARY!L35</f>
        <v>2.633715227073087</v>
      </c>
    </row>
    <row r="34" spans="1:16" s="162" customFormat="1">
      <c r="A34" s="164" t="s">
        <v>166</v>
      </c>
      <c r="B34" s="165" t="s">
        <v>16</v>
      </c>
      <c r="C34" s="480">
        <f>'[96]Sch C'!D14</f>
        <v>0</v>
      </c>
      <c r="D34" s="480">
        <f>'[96]Sch C'!F14</f>
        <v>0</v>
      </c>
      <c r="E34" s="480">
        <f>+'[96]Sch C'!H14</f>
        <v>0</v>
      </c>
      <c r="F34" s="166">
        <f t="shared" si="5"/>
        <v>0</v>
      </c>
      <c r="G34" s="626"/>
      <c r="H34" s="166"/>
      <c r="I34" s="166">
        <f t="shared" si="6"/>
        <v>0</v>
      </c>
      <c r="J34" s="167">
        <f t="shared" si="7"/>
        <v>0</v>
      </c>
      <c r="K34" s="458"/>
      <c r="L34" s="163"/>
      <c r="M34" s="163"/>
      <c r="O34" s="324">
        <f t="shared" si="8"/>
        <v>0</v>
      </c>
      <c r="P34" s="324">
        <f>SUMMARY!L36</f>
        <v>6.5625298170003482E-2</v>
      </c>
    </row>
    <row r="35" spans="1:16" s="162" customFormat="1">
      <c r="A35" s="164" t="s">
        <v>80</v>
      </c>
      <c r="B35" s="165" t="s">
        <v>18</v>
      </c>
      <c r="C35" s="480">
        <f>'[96]Sch C'!D15</f>
        <v>0</v>
      </c>
      <c r="D35" s="480">
        <f>'[96]Sch C'!F15</f>
        <v>0</v>
      </c>
      <c r="E35" s="480">
        <f>+'[96]Sch C'!H15</f>
        <v>0</v>
      </c>
      <c r="F35" s="166">
        <f t="shared" si="5"/>
        <v>0</v>
      </c>
      <c r="G35" s="626"/>
      <c r="H35" s="166"/>
      <c r="I35" s="166">
        <f t="shared" si="6"/>
        <v>0</v>
      </c>
      <c r="J35" s="167">
        <f t="shared" si="7"/>
        <v>0</v>
      </c>
      <c r="K35" s="458"/>
      <c r="L35" s="163"/>
      <c r="M35" s="163"/>
      <c r="O35" s="324">
        <f t="shared" si="8"/>
        <v>0</v>
      </c>
      <c r="P35" s="324">
        <f>SUMMARY!L37</f>
        <v>2.0746895801227896</v>
      </c>
    </row>
    <row r="36" spans="1:16" s="162" customFormat="1">
      <c r="A36" s="164" t="s">
        <v>81</v>
      </c>
      <c r="B36" s="165" t="s">
        <v>140</v>
      </c>
      <c r="C36" s="480">
        <f>'[96]Sch C'!D16</f>
        <v>528451</v>
      </c>
      <c r="D36" s="480">
        <f>'[96]Sch C'!F16</f>
        <v>0</v>
      </c>
      <c r="E36" s="480">
        <f>+'[96]Sch C'!H16</f>
        <v>74109</v>
      </c>
      <c r="F36" s="166">
        <f t="shared" si="5"/>
        <v>602560</v>
      </c>
      <c r="G36" s="626"/>
      <c r="H36" s="166"/>
      <c r="I36" s="166">
        <f t="shared" si="6"/>
        <v>602560</v>
      </c>
      <c r="J36" s="167">
        <f t="shared" si="7"/>
        <v>4.9805423429069615E-2</v>
      </c>
      <c r="K36" s="458"/>
      <c r="L36" s="163"/>
      <c r="M36" s="163"/>
      <c r="O36" s="324">
        <f t="shared" si="8"/>
        <v>15.493558921087141</v>
      </c>
      <c r="P36" s="324">
        <f>SUMMARY!L38</f>
        <v>11.005418746452923</v>
      </c>
    </row>
    <row r="37" spans="1:16" s="162" customFormat="1">
      <c r="A37" s="164" t="s">
        <v>82</v>
      </c>
      <c r="B37" s="165" t="s">
        <v>19</v>
      </c>
      <c r="C37" s="480">
        <f>'[96]Sch C'!D17</f>
        <v>0</v>
      </c>
      <c r="D37" s="480">
        <f>'[96]Sch C'!F17</f>
        <v>0</v>
      </c>
      <c r="E37" s="480">
        <f>+'[96]Sch C'!H17</f>
        <v>0</v>
      </c>
      <c r="F37" s="166">
        <f t="shared" si="5"/>
        <v>0</v>
      </c>
      <c r="G37" s="626"/>
      <c r="H37" s="166"/>
      <c r="I37" s="166">
        <f t="shared" si="6"/>
        <v>0</v>
      </c>
      <c r="J37" s="167">
        <f t="shared" si="7"/>
        <v>0</v>
      </c>
      <c r="K37" s="458"/>
      <c r="L37" s="163"/>
      <c r="M37" s="163"/>
      <c r="O37" s="324">
        <f t="shared" si="8"/>
        <v>0</v>
      </c>
      <c r="P37" s="324">
        <f>SUMMARY!L39</f>
        <v>2.8419922440799456E-2</v>
      </c>
    </row>
    <row r="38" spans="1:16" s="162" customFormat="1">
      <c r="A38" s="164" t="s">
        <v>83</v>
      </c>
      <c r="B38" s="165" t="s">
        <v>20</v>
      </c>
      <c r="C38" s="480">
        <f>'[96]Sch C'!D18</f>
        <v>19864</v>
      </c>
      <c r="D38" s="480">
        <f>'[96]Sch C'!F18</f>
        <v>0</v>
      </c>
      <c r="E38" s="480">
        <f>+'[96]Sch C'!H18</f>
        <v>0</v>
      </c>
      <c r="F38" s="166">
        <f t="shared" si="5"/>
        <v>19864</v>
      </c>
      <c r="G38" s="626"/>
      <c r="H38" s="166"/>
      <c r="I38" s="166">
        <f t="shared" si="6"/>
        <v>19864</v>
      </c>
      <c r="J38" s="167">
        <f t="shared" si="7"/>
        <v>1.6418861706635668E-3</v>
      </c>
      <c r="K38" s="458"/>
      <c r="L38" s="163"/>
      <c r="M38" s="163"/>
      <c r="O38" s="324">
        <f t="shared" si="8"/>
        <v>0.51076084441130343</v>
      </c>
      <c r="P38" s="324">
        <f>SUMMARY!L40</f>
        <v>0.80988262736368721</v>
      </c>
    </row>
    <row r="39" spans="1:16" s="162" customFormat="1">
      <c r="A39" s="164" t="s">
        <v>84</v>
      </c>
      <c r="B39" s="165" t="s">
        <v>21</v>
      </c>
      <c r="C39" s="480">
        <f>'[96]Sch C'!D19</f>
        <v>11903</v>
      </c>
      <c r="D39" s="480">
        <f>'[96]Sch C'!F19</f>
        <v>0</v>
      </c>
      <c r="E39" s="480">
        <f>+'[96]Sch C'!H19</f>
        <v>0</v>
      </c>
      <c r="F39" s="166">
        <f t="shared" si="5"/>
        <v>11903</v>
      </c>
      <c r="G39" s="626"/>
      <c r="H39" s="166"/>
      <c r="I39" s="166">
        <f t="shared" si="6"/>
        <v>11903</v>
      </c>
      <c r="J39" s="167">
        <f t="shared" si="7"/>
        <v>9.8385879427146782E-4</v>
      </c>
      <c r="K39" s="458"/>
      <c r="L39" s="163"/>
      <c r="M39" s="163"/>
      <c r="O39" s="324">
        <f t="shared" si="8"/>
        <v>0.30606052814275797</v>
      </c>
      <c r="P39" s="324">
        <f>SUMMARY!L41</f>
        <v>0.82657763931017914</v>
      </c>
    </row>
    <row r="40" spans="1:16" s="162" customFormat="1">
      <c r="A40" s="164" t="s">
        <v>85</v>
      </c>
      <c r="B40" s="165" t="s">
        <v>22</v>
      </c>
      <c r="C40" s="480">
        <f>'[96]Sch C'!D20</f>
        <v>26106</v>
      </c>
      <c r="D40" s="480">
        <f>'[96]Sch C'!F20</f>
        <v>0</v>
      </c>
      <c r="E40" s="480">
        <f>+'[96]Sch C'!H20</f>
        <v>0</v>
      </c>
      <c r="F40" s="166">
        <f t="shared" si="5"/>
        <v>26106</v>
      </c>
      <c r="G40" s="626"/>
      <c r="H40" s="166"/>
      <c r="I40" s="166">
        <f t="shared" si="6"/>
        <v>26106</v>
      </c>
      <c r="J40" s="167">
        <f t="shared" si="7"/>
        <v>2.1578272438251647E-3</v>
      </c>
      <c r="K40" s="458"/>
      <c r="L40" s="163"/>
      <c r="M40" s="163"/>
      <c r="O40" s="324">
        <f t="shared" si="8"/>
        <v>0.67126070299040907</v>
      </c>
      <c r="P40" s="324">
        <f>SUMMARY!L42</f>
        <v>0.90392603551804096</v>
      </c>
    </row>
    <row r="41" spans="1:16" s="162" customFormat="1">
      <c r="A41" s="164" t="s">
        <v>86</v>
      </c>
      <c r="B41" s="165" t="s">
        <v>23</v>
      </c>
      <c r="C41" s="480">
        <f>'[96]Sch C'!D21</f>
        <v>31323</v>
      </c>
      <c r="D41" s="480">
        <f>'[96]Sch C'!F21</f>
        <v>0</v>
      </c>
      <c r="E41" s="480">
        <f>+'[96]Sch C'!H21</f>
        <v>0</v>
      </c>
      <c r="F41" s="166">
        <f t="shared" si="5"/>
        <v>31323</v>
      </c>
      <c r="G41" s="626"/>
      <c r="H41" s="166"/>
      <c r="I41" s="166">
        <f t="shared" si="6"/>
        <v>31323</v>
      </c>
      <c r="J41" s="167">
        <f t="shared" si="7"/>
        <v>2.5890455358283781E-3</v>
      </c>
      <c r="K41" s="458"/>
      <c r="L41" s="163"/>
      <c r="M41" s="163"/>
      <c r="O41" s="324">
        <f t="shared" si="8"/>
        <v>0.80540484945102975</v>
      </c>
      <c r="P41" s="324">
        <f>SUMMARY!L43</f>
        <v>1.1753464048909035</v>
      </c>
    </row>
    <row r="42" spans="1:16" s="162" customFormat="1">
      <c r="A42" s="158">
        <v>130</v>
      </c>
      <c r="B42" s="165" t="s">
        <v>24</v>
      </c>
      <c r="C42" s="480">
        <f>'[96]Sch C'!D22</f>
        <v>0</v>
      </c>
      <c r="D42" s="480">
        <f>'[96]Sch C'!F22</f>
        <v>0</v>
      </c>
      <c r="E42" s="480">
        <f>+'[96]Sch C'!H22</f>
        <v>0</v>
      </c>
      <c r="F42" s="166">
        <f t="shared" si="5"/>
        <v>0</v>
      </c>
      <c r="G42" s="626"/>
      <c r="H42" s="166"/>
      <c r="I42" s="166">
        <f t="shared" si="6"/>
        <v>0</v>
      </c>
      <c r="J42" s="167">
        <f t="shared" si="7"/>
        <v>0</v>
      </c>
      <c r="K42" s="458"/>
      <c r="L42" s="163"/>
      <c r="M42" s="163"/>
      <c r="O42" s="324">
        <f t="shared" si="8"/>
        <v>0</v>
      </c>
      <c r="P42" s="324">
        <f>SUMMARY!L44</f>
        <v>5.0122283354925422E-3</v>
      </c>
    </row>
    <row r="43" spans="1:16" s="162" customFormat="1">
      <c r="A43" s="158">
        <v>140</v>
      </c>
      <c r="B43" s="165" t="s">
        <v>141</v>
      </c>
      <c r="C43" s="480">
        <f>'[96]Sch C'!D23</f>
        <v>2672</v>
      </c>
      <c r="D43" s="480">
        <f>'[96]Sch C'!F23</f>
        <v>0</v>
      </c>
      <c r="E43" s="480">
        <f>+'[96]Sch C'!H23</f>
        <v>0</v>
      </c>
      <c r="F43" s="166">
        <f t="shared" si="5"/>
        <v>2672</v>
      </c>
      <c r="G43" s="626"/>
      <c r="H43" s="166"/>
      <c r="I43" s="166">
        <f t="shared" si="6"/>
        <v>2672</v>
      </c>
      <c r="J43" s="167">
        <f t="shared" si="7"/>
        <v>2.2085782561483339E-4</v>
      </c>
      <c r="K43" s="458"/>
      <c r="L43" s="163"/>
      <c r="M43" s="163"/>
      <c r="O43" s="324">
        <f t="shared" si="8"/>
        <v>6.8704841737162833E-2</v>
      </c>
      <c r="P43" s="324">
        <f>SUMMARY!L45</f>
        <v>0.72348899540311395</v>
      </c>
    </row>
    <row r="44" spans="1:16" s="162" customFormat="1">
      <c r="A44" s="158">
        <v>150</v>
      </c>
      <c r="B44" s="165" t="s">
        <v>25</v>
      </c>
      <c r="C44" s="480">
        <f>'[96]Sch C'!D24</f>
        <v>52279</v>
      </c>
      <c r="D44" s="480">
        <f>'[96]Sch C'!F24</f>
        <v>0</v>
      </c>
      <c r="E44" s="480">
        <f>+'[96]Sch C'!H24</f>
        <v>0</v>
      </c>
      <c r="F44" s="166">
        <f t="shared" si="5"/>
        <v>52279</v>
      </c>
      <c r="G44" s="626"/>
      <c r="H44" s="166"/>
      <c r="I44" s="166">
        <f t="shared" si="6"/>
        <v>52279</v>
      </c>
      <c r="J44" s="167">
        <f t="shared" si="7"/>
        <v>4.3211924645650728E-3</v>
      </c>
      <c r="K44" s="458"/>
      <c r="L44" s="163"/>
      <c r="M44" s="163"/>
      <c r="O44" s="324">
        <f t="shared" si="8"/>
        <v>1.3442441696022216</v>
      </c>
      <c r="P44" s="324">
        <f>SUMMARY!L46</f>
        <v>1.4239131804333707</v>
      </c>
    </row>
    <row r="45" spans="1:16" s="162" customFormat="1">
      <c r="A45" s="158">
        <v>160</v>
      </c>
      <c r="B45" s="165" t="s">
        <v>26</v>
      </c>
      <c r="C45" s="480">
        <f>'[96]Sch C'!D25</f>
        <v>21842</v>
      </c>
      <c r="D45" s="480">
        <f>'[96]Sch C'!F25</f>
        <v>0</v>
      </c>
      <c r="E45" s="480">
        <f>+'[96]Sch C'!H25</f>
        <v>0</v>
      </c>
      <c r="F45" s="166">
        <f t="shared" si="5"/>
        <v>21842</v>
      </c>
      <c r="G45" s="626"/>
      <c r="H45" s="166"/>
      <c r="I45" s="166">
        <f t="shared" si="6"/>
        <v>21842</v>
      </c>
      <c r="J45" s="167">
        <f t="shared" si="7"/>
        <v>1.8053804742062839E-3</v>
      </c>
      <c r="K45" s="458"/>
      <c r="L45" s="163"/>
      <c r="M45" s="163"/>
      <c r="O45" s="324">
        <f t="shared" si="8"/>
        <v>0.56162094057751155</v>
      </c>
      <c r="P45" s="324">
        <f>SUMMARY!L47</f>
        <v>0.42470123769493451</v>
      </c>
    </row>
    <row r="46" spans="1:16" s="162" customFormat="1">
      <c r="A46" s="158">
        <v>170</v>
      </c>
      <c r="B46" s="165" t="s">
        <v>27</v>
      </c>
      <c r="C46" s="480">
        <f>'[96]Sch C'!D26</f>
        <v>717852</v>
      </c>
      <c r="D46" s="480">
        <f>'[96]Sch C'!F26</f>
        <v>0</v>
      </c>
      <c r="E46" s="480">
        <f>+'[96]Sch C'!H26</f>
        <v>0</v>
      </c>
      <c r="F46" s="166">
        <f t="shared" si="5"/>
        <v>717852</v>
      </c>
      <c r="G46" s="626"/>
      <c r="H46" s="166"/>
      <c r="I46" s="166">
        <f t="shared" si="6"/>
        <v>717852</v>
      </c>
      <c r="J46" s="167">
        <f t="shared" si="7"/>
        <v>5.9335041853764738E-2</v>
      </c>
      <c r="K46" s="458"/>
      <c r="L46" s="163"/>
      <c r="M46" s="163"/>
      <c r="O46" s="324">
        <f t="shared" si="8"/>
        <v>18.458049420174333</v>
      </c>
      <c r="P46" s="324">
        <f>SUMMARY!L48</f>
        <v>15.367126265775411</v>
      </c>
    </row>
    <row r="47" spans="1:16" s="162" customFormat="1">
      <c r="A47" s="158">
        <v>180</v>
      </c>
      <c r="B47" s="165" t="s">
        <v>28</v>
      </c>
      <c r="C47" s="480">
        <f>'[96]Sch C'!D27</f>
        <v>101351</v>
      </c>
      <c r="D47" s="480">
        <f>'[96]Sch C'!F27</f>
        <v>-1382</v>
      </c>
      <c r="E47" s="480">
        <f>+'[96]Sch C'!H27</f>
        <v>0</v>
      </c>
      <c r="F47" s="166">
        <f t="shared" si="5"/>
        <v>99969</v>
      </c>
      <c r="G47" s="626"/>
      <c r="H47" s="166"/>
      <c r="I47" s="166">
        <f t="shared" si="6"/>
        <v>99969</v>
      </c>
      <c r="J47" s="167">
        <f t="shared" si="7"/>
        <v>8.2630748386561675E-3</v>
      </c>
      <c r="K47" s="458"/>
      <c r="L47" s="163"/>
      <c r="M47" s="163"/>
      <c r="O47" s="324">
        <f t="shared" si="8"/>
        <v>2.5704918875832456</v>
      </c>
      <c r="P47" s="324">
        <f>SUMMARY!L49</f>
        <v>0.48664573766381269</v>
      </c>
    </row>
    <row r="48" spans="1:16" s="162" customFormat="1">
      <c r="A48" s="158">
        <v>190</v>
      </c>
      <c r="B48" s="165" t="s">
        <v>29</v>
      </c>
      <c r="C48" s="480">
        <f>'[96]Sch C'!D28</f>
        <v>0</v>
      </c>
      <c r="D48" s="480">
        <f>'[96]Sch C'!F28</f>
        <v>0</v>
      </c>
      <c r="E48" s="480">
        <f>+'[96]Sch C'!H28</f>
        <v>0</v>
      </c>
      <c r="F48" s="166">
        <f t="shared" si="5"/>
        <v>0</v>
      </c>
      <c r="G48" s="626"/>
      <c r="H48" s="166"/>
      <c r="I48" s="166">
        <f t="shared" si="6"/>
        <v>0</v>
      </c>
      <c r="J48" s="167">
        <f t="shared" si="7"/>
        <v>0</v>
      </c>
      <c r="K48" s="458"/>
      <c r="L48" s="163"/>
      <c r="M48" s="163"/>
      <c r="O48" s="324">
        <f t="shared" si="8"/>
        <v>0</v>
      </c>
      <c r="P48" s="324">
        <f>SUMMARY!L50</f>
        <v>0</v>
      </c>
    </row>
    <row r="49" spans="1:16" s="162" customFormat="1">
      <c r="A49" s="158">
        <v>200</v>
      </c>
      <c r="B49" s="165" t="s">
        <v>30</v>
      </c>
      <c r="C49" s="480">
        <f>'[96]Sch C'!D29</f>
        <v>362310</v>
      </c>
      <c r="D49" s="480">
        <f>'[96]Sch C'!F29</f>
        <v>-362310</v>
      </c>
      <c r="E49" s="480">
        <f>+'[96]Sch C'!H29</f>
        <v>0</v>
      </c>
      <c r="F49" s="166">
        <f t="shared" si="5"/>
        <v>0</v>
      </c>
      <c r="G49" s="626"/>
      <c r="H49" s="166"/>
      <c r="I49" s="166">
        <f t="shared" si="6"/>
        <v>0</v>
      </c>
      <c r="J49" s="167">
        <f t="shared" si="7"/>
        <v>0</v>
      </c>
      <c r="K49" s="458"/>
      <c r="L49" s="163"/>
      <c r="M49" s="163"/>
      <c r="O49" s="324">
        <f t="shared" si="8"/>
        <v>0</v>
      </c>
      <c r="P49" s="324">
        <f>SUMMARY!L51</f>
        <v>0</v>
      </c>
    </row>
    <row r="50" spans="1:16" s="162" customFormat="1">
      <c r="A50" s="158">
        <v>210</v>
      </c>
      <c r="B50" s="165" t="s">
        <v>31</v>
      </c>
      <c r="C50" s="480">
        <f>'[96]Sch C'!D30</f>
        <v>0</v>
      </c>
      <c r="D50" s="480">
        <f>'[96]Sch C'!F30</f>
        <v>0</v>
      </c>
      <c r="E50" s="480">
        <f>+'[96]Sch C'!H30</f>
        <v>0</v>
      </c>
      <c r="F50" s="166">
        <f t="shared" si="5"/>
        <v>0</v>
      </c>
      <c r="G50" s="626"/>
      <c r="H50" s="166"/>
      <c r="I50" s="166">
        <f t="shared" si="6"/>
        <v>0</v>
      </c>
      <c r="J50" s="167">
        <f t="shared" si="7"/>
        <v>0</v>
      </c>
      <c r="K50" s="458"/>
      <c r="L50" s="163"/>
      <c r="M50" s="163"/>
      <c r="O50" s="324">
        <f t="shared" si="8"/>
        <v>0</v>
      </c>
      <c r="P50" s="324">
        <f>SUMMARY!L52</f>
        <v>0</v>
      </c>
    </row>
    <row r="51" spans="1:16" s="162" customFormat="1">
      <c r="A51" s="158">
        <v>220</v>
      </c>
      <c r="B51" s="165" t="s">
        <v>179</v>
      </c>
      <c r="C51" s="480">
        <f>'[96]Sch C'!D31</f>
        <v>0</v>
      </c>
      <c r="D51" s="480">
        <f>'[96]Sch C'!F31</f>
        <v>0</v>
      </c>
      <c r="E51" s="480">
        <f>+'[96]Sch C'!H31</f>
        <v>0</v>
      </c>
      <c r="F51" s="166">
        <f t="shared" si="5"/>
        <v>0</v>
      </c>
      <c r="G51" s="626"/>
      <c r="H51" s="166"/>
      <c r="I51" s="166">
        <f t="shared" si="6"/>
        <v>0</v>
      </c>
      <c r="J51" s="167">
        <f t="shared" si="7"/>
        <v>0</v>
      </c>
      <c r="K51" s="458"/>
      <c r="L51" s="163"/>
      <c r="M51" s="163"/>
      <c r="O51" s="324">
        <f t="shared" si="8"/>
        <v>0</v>
      </c>
      <c r="P51" s="324">
        <f>SUMMARY!L53</f>
        <v>1.4965630085043737</v>
      </c>
    </row>
    <row r="52" spans="1:16" s="162" customFormat="1">
      <c r="A52" s="158">
        <v>230</v>
      </c>
      <c r="B52" s="165" t="s">
        <v>180</v>
      </c>
      <c r="C52" s="480">
        <f>'[96]Sch C'!D32</f>
        <v>120080</v>
      </c>
      <c r="D52" s="480">
        <f>'[96]Sch C'!F32</f>
        <v>0</v>
      </c>
      <c r="E52" s="480">
        <f>+'[96]Sch C'!H32</f>
        <v>0</v>
      </c>
      <c r="F52" s="166">
        <f t="shared" si="5"/>
        <v>120080</v>
      </c>
      <c r="G52" s="626"/>
      <c r="H52" s="166"/>
      <c r="I52" s="166">
        <f t="shared" si="6"/>
        <v>120080</v>
      </c>
      <c r="J52" s="167">
        <f t="shared" si="7"/>
        <v>9.9253771331696081E-3</v>
      </c>
      <c r="K52" s="458"/>
      <c r="L52" s="163"/>
      <c r="M52" s="163"/>
      <c r="O52" s="324">
        <f t="shared" si="8"/>
        <v>3.0876038157928569</v>
      </c>
      <c r="P52" s="324">
        <f>SUMMARY!L54</f>
        <v>2.4668444148593718</v>
      </c>
    </row>
    <row r="53" spans="1:16" s="162" customFormat="1">
      <c r="A53" s="158">
        <v>240</v>
      </c>
      <c r="B53" s="165" t="s">
        <v>185</v>
      </c>
      <c r="C53" s="480">
        <f>'[96]Sch C'!D33</f>
        <v>0</v>
      </c>
      <c r="D53" s="480">
        <f>'[96]Sch C'!F33</f>
        <v>0</v>
      </c>
      <c r="E53" s="480">
        <f>+'[96]Sch C'!H33</f>
        <v>0</v>
      </c>
      <c r="F53" s="166">
        <f t="shared" si="5"/>
        <v>0</v>
      </c>
      <c r="G53" s="626"/>
      <c r="H53" s="166"/>
      <c r="I53" s="166">
        <f t="shared" si="6"/>
        <v>0</v>
      </c>
      <c r="J53" s="167">
        <f t="shared" si="7"/>
        <v>0</v>
      </c>
      <c r="K53" s="458"/>
      <c r="L53" s="163"/>
      <c r="M53" s="163"/>
      <c r="O53" s="324">
        <f t="shared" si="8"/>
        <v>0</v>
      </c>
      <c r="P53" s="324">
        <f>SUMMARY!L55</f>
        <v>0</v>
      </c>
    </row>
    <row r="54" spans="1:16" s="162" customFormat="1">
      <c r="A54" s="158">
        <v>250</v>
      </c>
      <c r="B54" s="165" t="s">
        <v>186</v>
      </c>
      <c r="C54" s="480">
        <f>'[96]Sch C'!D34</f>
        <v>161</v>
      </c>
      <c r="D54" s="480">
        <f>'[96]Sch C'!F34</f>
        <v>0</v>
      </c>
      <c r="E54" s="480">
        <f>+'[96]Sch C'!H34</f>
        <v>0</v>
      </c>
      <c r="F54" s="166">
        <f t="shared" si="5"/>
        <v>161</v>
      </c>
      <c r="G54" s="626"/>
      <c r="H54" s="166"/>
      <c r="I54" s="166">
        <f t="shared" si="6"/>
        <v>161</v>
      </c>
      <c r="J54" s="167">
        <f t="shared" si="7"/>
        <v>1.3307675869756054E-5</v>
      </c>
      <c r="K54" s="458"/>
      <c r="L54" s="163"/>
      <c r="M54" s="163"/>
      <c r="O54" s="324">
        <f t="shared" si="8"/>
        <v>4.1397752693425214E-3</v>
      </c>
      <c r="P54" s="324">
        <f>SUMMARY!L56</f>
        <v>1.6479117061408751E-2</v>
      </c>
    </row>
    <row r="55" spans="1:16" s="162" customFormat="1">
      <c r="A55" s="158">
        <v>270</v>
      </c>
      <c r="B55" s="165" t="s">
        <v>187</v>
      </c>
      <c r="C55" s="480">
        <f>'[96]Sch C'!D35</f>
        <v>0</v>
      </c>
      <c r="D55" s="480">
        <f>'[96]Sch C'!F35</f>
        <v>0</v>
      </c>
      <c r="E55" s="480">
        <f>+'[96]Sch C'!H35</f>
        <v>0</v>
      </c>
      <c r="F55" s="166">
        <f t="shared" si="5"/>
        <v>0</v>
      </c>
      <c r="G55" s="626"/>
      <c r="H55" s="166"/>
      <c r="I55" s="166">
        <f t="shared" si="6"/>
        <v>0</v>
      </c>
      <c r="J55" s="167">
        <f t="shared" si="7"/>
        <v>0</v>
      </c>
      <c r="K55" s="458"/>
      <c r="L55" s="163"/>
      <c r="M55" s="163"/>
      <c r="O55" s="324">
        <f t="shared" si="8"/>
        <v>0</v>
      </c>
      <c r="P55" s="324">
        <f>SUMMARY!L57</f>
        <v>0</v>
      </c>
    </row>
    <row r="56" spans="1:16" s="162" customFormat="1">
      <c r="A56" s="158">
        <v>280</v>
      </c>
      <c r="B56" s="165" t="s">
        <v>188</v>
      </c>
      <c r="C56" s="480">
        <f>'[96]Sch C'!D36</f>
        <v>0</v>
      </c>
      <c r="D56" s="480">
        <f>'[96]Sch C'!F36</f>
        <v>0</v>
      </c>
      <c r="E56" s="480">
        <f>+'[96]Sch C'!H36</f>
        <v>0</v>
      </c>
      <c r="F56" s="166">
        <f t="shared" si="5"/>
        <v>0</v>
      </c>
      <c r="G56" s="626"/>
      <c r="H56" s="166"/>
      <c r="I56" s="166">
        <f t="shared" si="6"/>
        <v>0</v>
      </c>
      <c r="J56" s="167">
        <f t="shared" si="7"/>
        <v>0</v>
      </c>
      <c r="K56" s="458"/>
      <c r="L56" s="176">
        <v>0</v>
      </c>
      <c r="M56" s="176">
        <v>0</v>
      </c>
      <c r="O56" s="324">
        <f t="shared" si="8"/>
        <v>0</v>
      </c>
      <c r="P56" s="324">
        <f>SUMMARY!L58</f>
        <v>1.001605250150277</v>
      </c>
    </row>
    <row r="57" spans="1:16" s="162" customFormat="1">
      <c r="A57" s="158">
        <v>290</v>
      </c>
      <c r="B57" s="165" t="s">
        <v>189</v>
      </c>
      <c r="C57" s="480">
        <f>'[96]Sch C'!D37</f>
        <v>0</v>
      </c>
      <c r="D57" s="480">
        <f>'[96]Sch C'!F37</f>
        <v>0</v>
      </c>
      <c r="E57" s="480">
        <f>+'[96]Sch C'!H37</f>
        <v>0</v>
      </c>
      <c r="F57" s="166">
        <f t="shared" si="5"/>
        <v>0</v>
      </c>
      <c r="G57" s="626"/>
      <c r="H57" s="166"/>
      <c r="I57" s="166">
        <f t="shared" si="6"/>
        <v>0</v>
      </c>
      <c r="J57" s="167">
        <f t="shared" si="7"/>
        <v>0</v>
      </c>
      <c r="K57" s="458"/>
      <c r="L57" s="163"/>
      <c r="M57" s="163"/>
      <c r="O57" s="324">
        <f t="shared" si="8"/>
        <v>0</v>
      </c>
      <c r="P57" s="324">
        <f>SUMMARY!L59</f>
        <v>0.15575226114614515</v>
      </c>
    </row>
    <row r="58" spans="1:16" s="162" customFormat="1">
      <c r="A58" s="158">
        <v>300</v>
      </c>
      <c r="B58" s="165" t="s">
        <v>190</v>
      </c>
      <c r="C58" s="480">
        <f>'[96]Sch C'!D38</f>
        <v>61</v>
      </c>
      <c r="D58" s="480">
        <f>'[96]Sch C'!F38</f>
        <v>-61</v>
      </c>
      <c r="E58" s="480">
        <f>+'[96]Sch C'!H38</f>
        <v>0</v>
      </c>
      <c r="F58" s="166">
        <f t="shared" si="5"/>
        <v>0</v>
      </c>
      <c r="G58" s="626"/>
      <c r="H58" s="166"/>
      <c r="I58" s="166">
        <f t="shared" si="6"/>
        <v>0</v>
      </c>
      <c r="J58" s="167">
        <f t="shared" si="7"/>
        <v>0</v>
      </c>
      <c r="K58" s="458"/>
      <c r="L58" s="163"/>
      <c r="M58" s="163"/>
      <c r="O58" s="324">
        <f t="shared" si="8"/>
        <v>0</v>
      </c>
      <c r="P58" s="324">
        <f>SUMMARY!L60</f>
        <v>2.203221905251131E-3</v>
      </c>
    </row>
    <row r="59" spans="1:16" s="162" customFormat="1">
      <c r="A59" s="158">
        <v>310</v>
      </c>
      <c r="B59" s="165" t="s">
        <v>191</v>
      </c>
      <c r="C59" s="480">
        <f>'[96]Sch C'!D39</f>
        <v>2938</v>
      </c>
      <c r="D59" s="480">
        <f>'[96]Sch C'!F39</f>
        <v>0</v>
      </c>
      <c r="E59" s="480">
        <f>+'[96]Sch C'!H39</f>
        <v>0</v>
      </c>
      <c r="F59" s="166">
        <f t="shared" si="5"/>
        <v>2938</v>
      </c>
      <c r="G59" s="626"/>
      <c r="H59" s="166"/>
      <c r="I59" s="166">
        <f t="shared" si="6"/>
        <v>2938</v>
      </c>
      <c r="J59" s="167">
        <f t="shared" si="7"/>
        <v>2.4284442053008253E-4</v>
      </c>
      <c r="K59" s="458"/>
      <c r="L59" s="163"/>
      <c r="M59" s="163"/>
      <c r="O59" s="324">
        <f t="shared" si="8"/>
        <v>7.5544470443033099E-2</v>
      </c>
      <c r="P59" s="324">
        <f>SUMMARY!L61</f>
        <v>0.34455056155574998</v>
      </c>
    </row>
    <row r="60" spans="1:16" s="162" customFormat="1">
      <c r="A60" s="158">
        <v>320</v>
      </c>
      <c r="B60" s="165" t="s">
        <v>192</v>
      </c>
      <c r="C60" s="480">
        <f>'[96]Sch C'!D40</f>
        <v>2405</v>
      </c>
      <c r="D60" s="480">
        <f>'[96]Sch C'!F40</f>
        <v>-2405</v>
      </c>
      <c r="E60" s="480">
        <f>+'[96]Sch C'!H40</f>
        <v>0</v>
      </c>
      <c r="F60" s="166">
        <f t="shared" si="5"/>
        <v>0</v>
      </c>
      <c r="G60" s="626"/>
      <c r="H60" s="166"/>
      <c r="I60" s="166">
        <f t="shared" si="6"/>
        <v>0</v>
      </c>
      <c r="J60" s="167">
        <f t="shared" si="7"/>
        <v>0</v>
      </c>
      <c r="K60" s="458"/>
      <c r="L60" s="163"/>
      <c r="M60" s="163"/>
      <c r="O60" s="324">
        <f t="shared" si="8"/>
        <v>0</v>
      </c>
      <c r="P60" s="324">
        <f>SUMMARY!L62</f>
        <v>0.15992401847550186</v>
      </c>
    </row>
    <row r="61" spans="1:16" s="162" customFormat="1">
      <c r="A61" s="158">
        <v>330</v>
      </c>
      <c r="B61" s="165" t="s">
        <v>40</v>
      </c>
      <c r="C61" s="480">
        <f>'[96]Sch C'!D41</f>
        <v>286351</v>
      </c>
      <c r="D61" s="480">
        <f>'[96]Sch C'!F41</f>
        <v>-10888</v>
      </c>
      <c r="E61" s="480">
        <f>+'[96]Sch C'!H41</f>
        <v>-7924</v>
      </c>
      <c r="F61" s="166">
        <f t="shared" si="5"/>
        <v>267539</v>
      </c>
      <c r="G61" s="626"/>
      <c r="H61" s="166"/>
      <c r="I61" s="166">
        <f t="shared" si="6"/>
        <v>267539</v>
      </c>
      <c r="J61" s="167">
        <f t="shared" si="7"/>
        <v>2.2113803071544501E-2</v>
      </c>
      <c r="K61" s="458"/>
      <c r="L61" s="163"/>
      <c r="M61" s="163"/>
      <c r="O61" s="324">
        <f t="shared" si="8"/>
        <v>6.8792008433827876</v>
      </c>
      <c r="P61" s="324">
        <f>SUMMARY!L63</f>
        <v>2.4880217241389828</v>
      </c>
    </row>
    <row r="62" spans="1:16" s="162" customFormat="1">
      <c r="A62" s="158">
        <v>340</v>
      </c>
      <c r="B62" s="165" t="s">
        <v>193</v>
      </c>
      <c r="C62" s="480">
        <f>'[96]Sch C'!D42</f>
        <v>0</v>
      </c>
      <c r="D62" s="480">
        <f>'[96]Sch C'!F42</f>
        <v>0</v>
      </c>
      <c r="E62" s="480">
        <f>+'[96]Sch C'!H42</f>
        <v>0</v>
      </c>
      <c r="F62" s="166">
        <f t="shared" si="5"/>
        <v>0</v>
      </c>
      <c r="G62" s="626"/>
      <c r="H62" s="166"/>
      <c r="I62" s="166">
        <f t="shared" si="6"/>
        <v>0</v>
      </c>
      <c r="J62" s="167">
        <f t="shared" si="7"/>
        <v>0</v>
      </c>
      <c r="K62" s="458"/>
      <c r="L62" s="163"/>
      <c r="M62" s="163"/>
      <c r="O62" s="324">
        <f t="shared" si="8"/>
        <v>0</v>
      </c>
      <c r="P62" s="324">
        <f>SUMMARY!L64</f>
        <v>0.18301067435151055</v>
      </c>
    </row>
    <row r="63" spans="1:16" s="162" customFormat="1">
      <c r="A63" s="158">
        <v>350</v>
      </c>
      <c r="B63" s="165" t="s">
        <v>194</v>
      </c>
      <c r="C63" s="480">
        <f>'[96]Sch C'!D43</f>
        <v>16700</v>
      </c>
      <c r="D63" s="480">
        <f>'[96]Sch C'!F43</f>
        <v>-16700</v>
      </c>
      <c r="E63" s="480">
        <f>+'[96]Sch C'!H43</f>
        <v>0</v>
      </c>
      <c r="F63" s="166">
        <f t="shared" si="5"/>
        <v>0</v>
      </c>
      <c r="G63" s="626"/>
      <c r="H63" s="166"/>
      <c r="I63" s="166">
        <f t="shared" si="6"/>
        <v>0</v>
      </c>
      <c r="J63" s="167">
        <f t="shared" si="7"/>
        <v>0</v>
      </c>
      <c r="K63" s="458"/>
      <c r="L63" s="163"/>
      <c r="M63" s="163"/>
      <c r="O63" s="324">
        <f t="shared" si="8"/>
        <v>0</v>
      </c>
      <c r="P63" s="324">
        <f>SUMMARY!L65</f>
        <v>5.2846978346530885E-3</v>
      </c>
    </row>
    <row r="64" spans="1:16" s="162" customFormat="1">
      <c r="A64" s="158">
        <v>360</v>
      </c>
      <c r="B64" s="165" t="s">
        <v>195</v>
      </c>
      <c r="C64" s="480">
        <f>'[96]Sch C'!D44</f>
        <v>0</v>
      </c>
      <c r="D64" s="480">
        <f>'[96]Sch C'!F44</f>
        <v>0</v>
      </c>
      <c r="E64" s="480">
        <f>+'[96]Sch C'!H44</f>
        <v>0</v>
      </c>
      <c r="F64" s="166">
        <f t="shared" si="5"/>
        <v>0</v>
      </c>
      <c r="G64" s="626"/>
      <c r="H64" s="166"/>
      <c r="I64" s="166">
        <f t="shared" si="6"/>
        <v>0</v>
      </c>
      <c r="J64" s="167">
        <f t="shared" si="7"/>
        <v>0</v>
      </c>
      <c r="K64" s="458"/>
      <c r="L64" s="163"/>
      <c r="M64" s="163"/>
      <c r="O64" s="324">
        <f t="shared" si="8"/>
        <v>0</v>
      </c>
      <c r="P64" s="324">
        <f>SUMMARY!L66</f>
        <v>6.2782191322027911E-3</v>
      </c>
    </row>
    <row r="65" spans="1:16" s="162" customFormat="1">
      <c r="A65" s="158">
        <v>490</v>
      </c>
      <c r="B65" s="165" t="s">
        <v>32</v>
      </c>
      <c r="C65" s="480">
        <f>'[96]Sch C'!D45</f>
        <v>8602</v>
      </c>
      <c r="D65" s="480">
        <f>'[96]Sch C'!F45</f>
        <v>-1396</v>
      </c>
      <c r="E65" s="480">
        <f>+'[96]Sch C'!H45</f>
        <v>0</v>
      </c>
      <c r="F65" s="166">
        <f t="shared" si="5"/>
        <v>7206</v>
      </c>
      <c r="G65" s="626">
        <f>-2651.09-439.18-32.89</f>
        <v>-3123.16</v>
      </c>
      <c r="H65" s="166"/>
      <c r="I65" s="166">
        <f t="shared" si="6"/>
        <v>4082.84</v>
      </c>
      <c r="J65" s="167">
        <f t="shared" si="7"/>
        <v>3.3747274129239011E-4</v>
      </c>
      <c r="K65" s="458" t="s">
        <v>592</v>
      </c>
      <c r="L65" s="163"/>
      <c r="M65" s="163"/>
      <c r="O65" s="324">
        <f t="shared" si="8"/>
        <v>0.10498161528374174</v>
      </c>
      <c r="P65" s="324">
        <f>SUMMARY!L67</f>
        <v>0.59230987926739842</v>
      </c>
    </row>
    <row r="66" spans="1:16" s="162" customFormat="1">
      <c r="A66" s="158"/>
      <c r="B66" s="165" t="s">
        <v>168</v>
      </c>
      <c r="C66" s="480">
        <f t="shared" ref="C66:E66" si="9">SUM(C30:C65)</f>
        <v>3031427</v>
      </c>
      <c r="D66" s="480">
        <f t="shared" si="9"/>
        <v>-402999</v>
      </c>
      <c r="E66" s="480">
        <f t="shared" si="9"/>
        <v>66185</v>
      </c>
      <c r="F66" s="166">
        <f t="shared" ref="F66:I66" si="10">SUM(F30:F65)</f>
        <v>2694613</v>
      </c>
      <c r="G66" s="166">
        <f t="shared" si="10"/>
        <v>-3123.16</v>
      </c>
      <c r="H66" s="166">
        <f t="shared" si="10"/>
        <v>0</v>
      </c>
      <c r="I66" s="166">
        <f t="shared" si="10"/>
        <v>2691489.84</v>
      </c>
      <c r="J66" s="178">
        <f t="shared" si="7"/>
        <v>0.22246878507740112</v>
      </c>
      <c r="L66" s="465" t="s">
        <v>593</v>
      </c>
      <c r="M66" s="163"/>
      <c r="O66" s="329">
        <f>I66/I$233</f>
        <v>69.205981846699743</v>
      </c>
      <c r="P66" s="324">
        <f>SUMMARY!L68</f>
        <v>59.215800022194173</v>
      </c>
    </row>
    <row r="67" spans="1:16" s="162" customFormat="1">
      <c r="A67" s="158"/>
      <c r="C67" s="160"/>
      <c r="D67" s="160"/>
      <c r="E67" s="160"/>
      <c r="F67" s="160"/>
      <c r="G67" s="160"/>
      <c r="H67" s="160"/>
      <c r="I67" s="160"/>
      <c r="J67" s="179"/>
      <c r="K67" s="466"/>
      <c r="L67" s="163"/>
      <c r="M67" s="163"/>
      <c r="O67" s="324"/>
      <c r="P67" s="324"/>
    </row>
    <row r="68" spans="1:16" s="162" customFormat="1">
      <c r="A68" s="164" t="s">
        <v>154</v>
      </c>
      <c r="B68" s="165" t="s">
        <v>169</v>
      </c>
      <c r="C68" s="160"/>
      <c r="D68" s="160"/>
      <c r="E68" s="160"/>
      <c r="F68" s="160"/>
      <c r="G68" s="160"/>
      <c r="H68" s="160"/>
      <c r="I68" s="160"/>
      <c r="J68" s="179"/>
      <c r="K68" s="466"/>
      <c r="L68" s="163"/>
      <c r="M68" s="163"/>
      <c r="O68" s="324"/>
      <c r="P68" s="324"/>
    </row>
    <row r="69" spans="1:16" s="162" customFormat="1">
      <c r="A69" s="180">
        <v>230</v>
      </c>
      <c r="B69" s="181" t="s">
        <v>234</v>
      </c>
      <c r="C69" s="480">
        <f>'[96]Sch C'!D57</f>
        <v>885600</v>
      </c>
      <c r="D69" s="480">
        <f>'[96]Sch C'!F57</f>
        <v>0</v>
      </c>
      <c r="E69" s="480">
        <f>+'[96]Sch C'!H57</f>
        <v>0</v>
      </c>
      <c r="F69" s="166">
        <f>C69+D69+E69</f>
        <v>885600</v>
      </c>
      <c r="G69" s="626"/>
      <c r="H69" s="166"/>
      <c r="I69" s="166">
        <f>F69+G69+H69</f>
        <v>885600</v>
      </c>
      <c r="J69" s="167">
        <f t="shared" ref="J69:J84" si="11">IF($I$213=0,0,I69/$I$213)</f>
        <v>7.3200482920844481E-2</v>
      </c>
      <c r="K69" s="458"/>
      <c r="L69" s="182"/>
      <c r="M69" s="163"/>
      <c r="O69" s="324">
        <f t="shared" ref="O69:O84" si="12">I69/I$233</f>
        <v>22.771335270371036</v>
      </c>
      <c r="P69" s="324">
        <f>SUMMARY!L71</f>
        <v>5.5678350677000719</v>
      </c>
    </row>
    <row r="70" spans="1:16" s="162" customFormat="1">
      <c r="A70" s="183">
        <v>240</v>
      </c>
      <c r="B70" s="181" t="s">
        <v>235</v>
      </c>
      <c r="C70" s="480">
        <f>'[96]Sch C'!D58</f>
        <v>38744</v>
      </c>
      <c r="D70" s="480">
        <f>'[96]Sch C'!F58</f>
        <v>0</v>
      </c>
      <c r="E70" s="480">
        <f>+'[96]Sch C'!H58</f>
        <v>0</v>
      </c>
      <c r="F70" s="166">
        <f t="shared" ref="F70:F83" si="13">C70+D70+E70</f>
        <v>38744</v>
      </c>
      <c r="G70" s="626"/>
      <c r="H70" s="166"/>
      <c r="I70" s="166">
        <f t="shared" ref="I70:I83" si="14">F70+G70+H70</f>
        <v>38744</v>
      </c>
      <c r="J70" s="167">
        <f t="shared" si="11"/>
        <v>3.2024384714150842E-3</v>
      </c>
      <c r="K70" s="458"/>
      <c r="L70" s="182"/>
      <c r="M70" s="163"/>
      <c r="O70" s="324">
        <f t="shared" si="12"/>
        <v>0.99622020518886123</v>
      </c>
      <c r="P70" s="324">
        <f>SUMMARY!L72</f>
        <v>7.239229297174937</v>
      </c>
    </row>
    <row r="71" spans="1:16" s="162" customFormat="1">
      <c r="A71" s="140">
        <v>250</v>
      </c>
      <c r="B71" s="181" t="s">
        <v>288</v>
      </c>
      <c r="C71" s="480">
        <f>'[96]Sch C'!D59</f>
        <v>0</v>
      </c>
      <c r="D71" s="480">
        <f>'[96]Sch C'!F59</f>
        <v>0</v>
      </c>
      <c r="E71" s="480">
        <f>+'[96]Sch C'!H59</f>
        <v>0</v>
      </c>
      <c r="F71" s="166">
        <f t="shared" si="13"/>
        <v>0</v>
      </c>
      <c r="G71" s="626"/>
      <c r="H71" s="166"/>
      <c r="I71" s="166">
        <f t="shared" si="14"/>
        <v>0</v>
      </c>
      <c r="J71" s="167">
        <f t="shared" si="11"/>
        <v>0</v>
      </c>
      <c r="K71" s="458"/>
      <c r="L71" s="182"/>
      <c r="M71" s="163"/>
      <c r="O71" s="324">
        <f t="shared" si="12"/>
        <v>0</v>
      </c>
      <c r="P71" s="324">
        <f>SUMMARY!L73</f>
        <v>5.8636471293295891</v>
      </c>
    </row>
    <row r="72" spans="1:16" s="162" customFormat="1">
      <c r="A72" s="140">
        <v>260</v>
      </c>
      <c r="B72" s="184" t="s">
        <v>289</v>
      </c>
      <c r="C72" s="480">
        <f>'[96]Sch C'!D60</f>
        <v>116696</v>
      </c>
      <c r="D72" s="480">
        <f>'[96]Sch C'!F60</f>
        <v>0</v>
      </c>
      <c r="E72" s="480">
        <f>+'[96]Sch C'!H60</f>
        <v>0</v>
      </c>
      <c r="F72" s="166">
        <f t="shared" si="13"/>
        <v>116696</v>
      </c>
      <c r="G72" s="626"/>
      <c r="H72" s="166"/>
      <c r="I72" s="166">
        <f t="shared" si="14"/>
        <v>116696</v>
      </c>
      <c r="J72" s="167">
        <f t="shared" si="11"/>
        <v>9.6456679707891454E-3</v>
      </c>
      <c r="K72" s="458"/>
      <c r="L72" s="185"/>
      <c r="M72" s="163"/>
      <c r="O72" s="324">
        <f t="shared" si="12"/>
        <v>3.000591396467049</v>
      </c>
      <c r="P72" s="324">
        <f>SUMMARY!L74</f>
        <v>1.2959622397945991</v>
      </c>
    </row>
    <row r="73" spans="1:16" s="162" customFormat="1">
      <c r="A73" s="140">
        <v>270</v>
      </c>
      <c r="B73" s="184" t="s">
        <v>290</v>
      </c>
      <c r="C73" s="480">
        <f>'[96]Sch C'!D61</f>
        <v>10933</v>
      </c>
      <c r="D73" s="480">
        <f>'[96]Sch C'!F61</f>
        <v>0</v>
      </c>
      <c r="E73" s="480">
        <f>+'[96]Sch C'!H61</f>
        <v>0</v>
      </c>
      <c r="F73" s="166">
        <f t="shared" si="13"/>
        <v>10933</v>
      </c>
      <c r="G73" s="626"/>
      <c r="H73" s="166"/>
      <c r="I73" s="166">
        <f t="shared" si="14"/>
        <v>10933</v>
      </c>
      <c r="J73" s="167">
        <f t="shared" si="11"/>
        <v>9.0368211356548411E-4</v>
      </c>
      <c r="K73" s="458"/>
      <c r="L73" s="185"/>
      <c r="M73" s="163"/>
      <c r="O73" s="324">
        <f t="shared" si="12"/>
        <v>0.28111902496721608</v>
      </c>
      <c r="P73" s="324">
        <f>SUMMARY!L75</f>
        <v>0.50050008022994208</v>
      </c>
    </row>
    <row r="74" spans="1:16" s="162" customFormat="1">
      <c r="A74" s="140">
        <v>280</v>
      </c>
      <c r="B74" s="186" t="s">
        <v>239</v>
      </c>
      <c r="C74" s="480">
        <f>'[96]Sch C'!D62</f>
        <v>883</v>
      </c>
      <c r="D74" s="480">
        <f>'[96]Sch C'!F62</f>
        <v>0</v>
      </c>
      <c r="E74" s="480">
        <f>+'[96]Sch C'!H62</f>
        <v>0</v>
      </c>
      <c r="F74" s="166">
        <f t="shared" si="13"/>
        <v>883</v>
      </c>
      <c r="G74" s="626"/>
      <c r="H74" s="166"/>
      <c r="I74" s="166">
        <f t="shared" si="14"/>
        <v>883</v>
      </c>
      <c r="J74" s="167">
        <f t="shared" si="11"/>
        <v>7.2985576354003701E-5</v>
      </c>
      <c r="K74" s="458"/>
      <c r="L74" s="187"/>
      <c r="M74" s="163"/>
      <c r="O74" s="324">
        <f t="shared" si="12"/>
        <v>2.2704481756704635E-2</v>
      </c>
      <c r="P74" s="324">
        <f>SUMMARY!L76</f>
        <v>0.18067081385468792</v>
      </c>
    </row>
    <row r="75" spans="1:16" s="162" customFormat="1">
      <c r="A75" s="140">
        <v>290</v>
      </c>
      <c r="B75" s="186" t="s">
        <v>240</v>
      </c>
      <c r="C75" s="480">
        <f>'[96]Sch C'!D63</f>
        <v>0</v>
      </c>
      <c r="D75" s="480">
        <f>'[96]Sch C'!F63</f>
        <v>0</v>
      </c>
      <c r="E75" s="480">
        <f>+'[96]Sch C'!H63</f>
        <v>0</v>
      </c>
      <c r="F75" s="166">
        <f t="shared" si="13"/>
        <v>0</v>
      </c>
      <c r="G75" s="626"/>
      <c r="H75" s="166"/>
      <c r="I75" s="166">
        <f t="shared" si="14"/>
        <v>0</v>
      </c>
      <c r="J75" s="167">
        <f t="shared" si="11"/>
        <v>0</v>
      </c>
      <c r="K75" s="458"/>
      <c r="L75" s="187"/>
      <c r="M75" s="163"/>
      <c r="O75" s="324">
        <f t="shared" si="12"/>
        <v>0</v>
      </c>
      <c r="P75" s="324">
        <f>SUMMARY!L77</f>
        <v>1.4662156559309312E-3</v>
      </c>
    </row>
    <row r="76" spans="1:16" s="162" customFormat="1">
      <c r="A76" s="140">
        <v>300</v>
      </c>
      <c r="B76" s="186" t="s">
        <v>241</v>
      </c>
      <c r="C76" s="480">
        <f>'[96]Sch C'!D64</f>
        <v>0</v>
      </c>
      <c r="D76" s="480">
        <f>'[96]Sch C'!F64</f>
        <v>0</v>
      </c>
      <c r="E76" s="480">
        <f>+'[96]Sch C'!H64</f>
        <v>0</v>
      </c>
      <c r="F76" s="166">
        <f t="shared" si="13"/>
        <v>0</v>
      </c>
      <c r="G76" s="626"/>
      <c r="H76" s="166"/>
      <c r="I76" s="166">
        <f t="shared" si="14"/>
        <v>0</v>
      </c>
      <c r="J76" s="167">
        <f t="shared" si="11"/>
        <v>0</v>
      </c>
      <c r="K76" s="458"/>
      <c r="L76" s="187"/>
      <c r="M76" s="163"/>
      <c r="O76" s="324">
        <f t="shared" si="12"/>
        <v>0</v>
      </c>
      <c r="P76" s="324">
        <f>SUMMARY!L78</f>
        <v>0</v>
      </c>
    </row>
    <row r="77" spans="1:16" s="162" customFormat="1">
      <c r="A77" s="140">
        <v>310</v>
      </c>
      <c r="B77" s="186" t="s">
        <v>291</v>
      </c>
      <c r="C77" s="480">
        <f>'[96]Sch C'!D65</f>
        <v>0</v>
      </c>
      <c r="D77" s="480">
        <f>'[96]Sch C'!F65</f>
        <v>0</v>
      </c>
      <c r="E77" s="480">
        <f>+'[96]Sch C'!H65</f>
        <v>0</v>
      </c>
      <c r="F77" s="166">
        <f t="shared" si="13"/>
        <v>0</v>
      </c>
      <c r="G77" s="626"/>
      <c r="H77" s="166"/>
      <c r="I77" s="166">
        <f t="shared" si="14"/>
        <v>0</v>
      </c>
      <c r="J77" s="167">
        <f t="shared" si="11"/>
        <v>0</v>
      </c>
      <c r="K77" s="458"/>
      <c r="L77" s="187"/>
      <c r="M77" s="163"/>
      <c r="O77" s="324">
        <f t="shared" si="12"/>
        <v>0</v>
      </c>
      <c r="P77" s="324">
        <f>SUMMARY!L79</f>
        <v>0.14437446490936168</v>
      </c>
    </row>
    <row r="78" spans="1:16" s="162" customFormat="1">
      <c r="A78" s="140">
        <v>320</v>
      </c>
      <c r="B78" s="186" t="s">
        <v>243</v>
      </c>
      <c r="C78" s="480">
        <f>'[96]Sch C'!D66</f>
        <v>186033</v>
      </c>
      <c r="D78" s="480">
        <f>'[96]Sch C'!F66</f>
        <v>0</v>
      </c>
      <c r="E78" s="480">
        <f>+'[96]Sch C'!H66</f>
        <v>-1534</v>
      </c>
      <c r="F78" s="166">
        <f t="shared" si="13"/>
        <v>184499</v>
      </c>
      <c r="G78" s="626"/>
      <c r="H78" s="166"/>
      <c r="I78" s="166">
        <f t="shared" si="14"/>
        <v>184499</v>
      </c>
      <c r="J78" s="167">
        <f t="shared" si="11"/>
        <v>1.5250017952137405E-2</v>
      </c>
      <c r="K78" s="458"/>
      <c r="L78" s="187"/>
      <c r="M78" s="163"/>
      <c r="O78" s="324">
        <f t="shared" si="12"/>
        <v>4.7440024684374276</v>
      </c>
      <c r="P78" s="324">
        <f>SUMMARY!L80</f>
        <v>1.1839694573213462</v>
      </c>
    </row>
    <row r="79" spans="1:16" s="162" customFormat="1">
      <c r="A79" s="140">
        <v>330</v>
      </c>
      <c r="B79" s="186" t="s">
        <v>244</v>
      </c>
      <c r="C79" s="480">
        <f>'[96]Sch C'!D67</f>
        <v>75988</v>
      </c>
      <c r="D79" s="480">
        <f>'[96]Sch C'!F67</f>
        <v>0</v>
      </c>
      <c r="E79" s="480">
        <f>+'[96]Sch C'!H67</f>
        <v>0</v>
      </c>
      <c r="F79" s="166">
        <f t="shared" si="13"/>
        <v>75988</v>
      </c>
      <c r="G79" s="626"/>
      <c r="H79" s="166"/>
      <c r="I79" s="166">
        <f t="shared" si="14"/>
        <v>75988</v>
      </c>
      <c r="J79" s="167">
        <f t="shared" si="11"/>
        <v>6.2808923850374097E-3</v>
      </c>
      <c r="K79" s="458"/>
      <c r="L79" s="187"/>
      <c r="M79" s="163"/>
      <c r="O79" s="324">
        <f t="shared" si="12"/>
        <v>1.9538710755701834</v>
      </c>
      <c r="P79" s="324">
        <f>SUMMARY!L81</f>
        <v>2.3883190965570051</v>
      </c>
    </row>
    <row r="80" spans="1:16" s="162" customFormat="1">
      <c r="A80" s="140">
        <v>340</v>
      </c>
      <c r="B80" s="186" t="s">
        <v>245</v>
      </c>
      <c r="C80" s="480">
        <f>'[96]Sch C'!D68</f>
        <v>0</v>
      </c>
      <c r="D80" s="480">
        <f>'[96]Sch C'!F68</f>
        <v>0</v>
      </c>
      <c r="E80" s="480">
        <f>+'[96]Sch C'!H68</f>
        <v>0</v>
      </c>
      <c r="F80" s="166">
        <f t="shared" si="13"/>
        <v>0</v>
      </c>
      <c r="G80" s="626"/>
      <c r="H80" s="166"/>
      <c r="I80" s="166">
        <f t="shared" si="14"/>
        <v>0</v>
      </c>
      <c r="J80" s="167">
        <f t="shared" si="11"/>
        <v>0</v>
      </c>
      <c r="K80" s="458"/>
      <c r="L80" s="187"/>
      <c r="M80" s="163"/>
      <c r="O80" s="324">
        <f t="shared" si="12"/>
        <v>0</v>
      </c>
      <c r="P80" s="324">
        <f>SUMMARY!L82</f>
        <v>0.12636843743302953</v>
      </c>
    </row>
    <row r="81" spans="1:16" s="162" customFormat="1">
      <c r="A81" s="162">
        <v>350</v>
      </c>
      <c r="B81" s="186" t="s">
        <v>292</v>
      </c>
      <c r="C81" s="480">
        <f>'[96]Sch C'!D69</f>
        <v>6135</v>
      </c>
      <c r="D81" s="480">
        <f>'[96]Sch C'!F69</f>
        <v>0</v>
      </c>
      <c r="E81" s="480">
        <f>+'[96]Sch C'!H69</f>
        <v>0</v>
      </c>
      <c r="F81" s="166">
        <f t="shared" si="13"/>
        <v>6135</v>
      </c>
      <c r="G81" s="626"/>
      <c r="H81" s="166"/>
      <c r="I81" s="166">
        <f t="shared" si="14"/>
        <v>6135</v>
      </c>
      <c r="J81" s="167">
        <f t="shared" si="11"/>
        <v>5.0709684137238134E-4</v>
      </c>
      <c r="K81" s="458"/>
      <c r="L81" s="187"/>
      <c r="M81" s="163"/>
      <c r="O81" s="324">
        <f t="shared" si="12"/>
        <v>0.1577485793628346</v>
      </c>
      <c r="P81" s="324">
        <f>SUMMARY!L83</f>
        <v>0.19472433207226941</v>
      </c>
    </row>
    <row r="82" spans="1:16" s="162" customFormat="1">
      <c r="A82" s="140">
        <v>360</v>
      </c>
      <c r="B82" s="186" t="s">
        <v>181</v>
      </c>
      <c r="C82" s="480">
        <f>'[96]Sch C'!D70</f>
        <v>0</v>
      </c>
      <c r="D82" s="480">
        <f>'[96]Sch C'!F70</f>
        <v>0</v>
      </c>
      <c r="E82" s="480">
        <f>+'[96]Sch C'!H70</f>
        <v>0</v>
      </c>
      <c r="F82" s="166">
        <f t="shared" si="13"/>
        <v>0</v>
      </c>
      <c r="G82" s="626"/>
      <c r="H82" s="166"/>
      <c r="I82" s="166">
        <f t="shared" si="14"/>
        <v>0</v>
      </c>
      <c r="J82" s="167">
        <f t="shared" si="11"/>
        <v>0</v>
      </c>
      <c r="K82" s="458"/>
      <c r="L82" s="187"/>
      <c r="M82" s="163"/>
      <c r="O82" s="324">
        <f t="shared" si="12"/>
        <v>0</v>
      </c>
      <c r="P82" s="324">
        <f>SUMMARY!L84</f>
        <v>1.2406564424643622E-2</v>
      </c>
    </row>
    <row r="83" spans="1:16" s="162" customFormat="1">
      <c r="A83" s="140">
        <v>490</v>
      </c>
      <c r="B83" s="186" t="s">
        <v>293</v>
      </c>
      <c r="C83" s="480">
        <f>'[96]Sch C'!D71</f>
        <v>0</v>
      </c>
      <c r="D83" s="480">
        <f>'[96]Sch C'!F71</f>
        <v>0</v>
      </c>
      <c r="E83" s="480">
        <f>+'[96]Sch C'!H71</f>
        <v>0</v>
      </c>
      <c r="F83" s="166">
        <f t="shared" si="13"/>
        <v>0</v>
      </c>
      <c r="G83" s="626"/>
      <c r="H83" s="166"/>
      <c r="I83" s="166">
        <f t="shared" si="14"/>
        <v>0</v>
      </c>
      <c r="J83" s="167">
        <f t="shared" si="11"/>
        <v>0</v>
      </c>
      <c r="K83" s="458"/>
      <c r="L83" s="187"/>
      <c r="M83" s="163"/>
      <c r="O83" s="324">
        <f t="shared" si="12"/>
        <v>0</v>
      </c>
      <c r="P83" s="324">
        <f>SUMMARY!L85</f>
        <v>4.4804703255419236E-3</v>
      </c>
    </row>
    <row r="84" spans="1:16" s="162" customFormat="1">
      <c r="A84" s="158"/>
      <c r="B84" s="165" t="s">
        <v>142</v>
      </c>
      <c r="C84" s="480">
        <f t="shared" ref="C84:E84" si="15">SUM(C69:C83)</f>
        <v>1321012</v>
      </c>
      <c r="D84" s="480">
        <f t="shared" si="15"/>
        <v>0</v>
      </c>
      <c r="E84" s="480">
        <f t="shared" si="15"/>
        <v>-1534</v>
      </c>
      <c r="F84" s="166">
        <f t="shared" ref="F84:I84" si="16">SUM(F69:F83)</f>
        <v>1319478</v>
      </c>
      <c r="G84" s="166">
        <f t="shared" si="16"/>
        <v>0</v>
      </c>
      <c r="H84" s="166">
        <f t="shared" si="16"/>
        <v>0</v>
      </c>
      <c r="I84" s="166">
        <f t="shared" si="16"/>
        <v>1319478</v>
      </c>
      <c r="J84" s="167">
        <f t="shared" si="11"/>
        <v>0.1090632642315154</v>
      </c>
      <c r="K84" s="458"/>
      <c r="L84" s="187"/>
      <c r="M84" s="163"/>
      <c r="O84" s="324">
        <f t="shared" si="12"/>
        <v>33.927592502121314</v>
      </c>
      <c r="P84" s="324">
        <f>SUMMARY!L86</f>
        <v>24.703953666782958</v>
      </c>
    </row>
    <row r="85" spans="1:16" s="162" customFormat="1">
      <c r="A85" s="158"/>
      <c r="B85" s="165"/>
      <c r="C85" s="188"/>
      <c r="D85" s="188"/>
      <c r="E85" s="188"/>
      <c r="F85" s="188"/>
      <c r="G85" s="188"/>
      <c r="H85" s="188"/>
      <c r="I85" s="188"/>
      <c r="J85" s="189"/>
      <c r="K85" s="458"/>
      <c r="L85" s="163"/>
      <c r="M85" s="163"/>
      <c r="O85" s="324"/>
      <c r="P85" s="324"/>
    </row>
    <row r="86" spans="1:16" s="162" customFormat="1">
      <c r="A86" s="164" t="s">
        <v>155</v>
      </c>
      <c r="B86" s="165" t="s">
        <v>35</v>
      </c>
      <c r="C86" s="160"/>
      <c r="D86" s="160"/>
      <c r="E86" s="160"/>
      <c r="F86" s="160"/>
      <c r="G86" s="160"/>
      <c r="H86" s="160"/>
      <c r="I86" s="160"/>
      <c r="J86" s="190"/>
      <c r="K86" s="460"/>
      <c r="L86" s="163"/>
      <c r="M86" s="163"/>
      <c r="O86" s="324"/>
      <c r="P86" s="324"/>
    </row>
    <row r="87" spans="1:16" s="162" customFormat="1">
      <c r="A87" s="164" t="s">
        <v>77</v>
      </c>
      <c r="B87" s="145" t="s">
        <v>36</v>
      </c>
      <c r="C87" s="480">
        <f>'[96]Sch C'!D75</f>
        <v>85048</v>
      </c>
      <c r="D87" s="480">
        <f>'[96]Sch C'!F75</f>
        <v>0</v>
      </c>
      <c r="E87" s="480">
        <f>+'[96]Sch C'!H75</f>
        <v>0</v>
      </c>
      <c r="F87" s="166">
        <f t="shared" ref="F87:F97" si="17">C87+D87+E87</f>
        <v>85048</v>
      </c>
      <c r="G87" s="626"/>
      <c r="H87" s="166"/>
      <c r="I87" s="166">
        <f t="shared" ref="I87:I97" si="18">F87+G87+H87</f>
        <v>85048</v>
      </c>
      <c r="J87" s="167">
        <f t="shared" ref="J87:J98" si="19">IF($I$213=0,0,I87/$I$213)</f>
        <v>7.0297591141056702E-3</v>
      </c>
      <c r="K87" s="458"/>
      <c r="L87" s="176">
        <v>4214</v>
      </c>
      <c r="M87" s="176">
        <v>4415</v>
      </c>
      <c r="O87" s="324">
        <f t="shared" ref="O87:O97" si="20">I87/I$233</f>
        <v>2.186829857807719</v>
      </c>
      <c r="P87" s="324">
        <f>SUMMARY!L89</f>
        <v>2.4551177909052431</v>
      </c>
    </row>
    <row r="88" spans="1:16" s="162" customFormat="1">
      <c r="A88" s="164" t="s">
        <v>78</v>
      </c>
      <c r="B88" s="191" t="s">
        <v>37</v>
      </c>
      <c r="C88" s="480">
        <f>'[96]Sch C'!D76</f>
        <v>13143</v>
      </c>
      <c r="D88" s="480">
        <f>'[96]Sch C'!F76</f>
        <v>0</v>
      </c>
      <c r="E88" s="480">
        <f>+'[96]Sch C'!H76</f>
        <v>0</v>
      </c>
      <c r="F88" s="166">
        <f t="shared" si="17"/>
        <v>13143</v>
      </c>
      <c r="G88" s="626"/>
      <c r="H88" s="166"/>
      <c r="I88" s="166">
        <f t="shared" si="18"/>
        <v>13143</v>
      </c>
      <c r="J88" s="167">
        <f t="shared" si="19"/>
        <v>1.0863526953801478E-3</v>
      </c>
      <c r="K88" s="458"/>
      <c r="L88" s="163"/>
      <c r="M88" s="163"/>
      <c r="O88" s="324">
        <f t="shared" si="20"/>
        <v>0.3379445115836569</v>
      </c>
      <c r="P88" s="324">
        <f>SUMMARY!L90</f>
        <v>0.50076580891723654</v>
      </c>
    </row>
    <row r="89" spans="1:16" s="162" customFormat="1">
      <c r="A89" s="164" t="s">
        <v>85</v>
      </c>
      <c r="B89" s="191" t="s">
        <v>39</v>
      </c>
      <c r="C89" s="480">
        <f>'[96]Sch C'!D77</f>
        <v>18553</v>
      </c>
      <c r="D89" s="480">
        <f>'[96]Sch C'!F77</f>
        <v>0</v>
      </c>
      <c r="E89" s="480">
        <f>+'[96]Sch C'!H77</f>
        <v>0</v>
      </c>
      <c r="F89" s="166">
        <f t="shared" si="17"/>
        <v>18553</v>
      </c>
      <c r="G89" s="626"/>
      <c r="H89" s="166"/>
      <c r="I89" s="166">
        <f t="shared" si="18"/>
        <v>18553</v>
      </c>
      <c r="J89" s="167">
        <f t="shared" si="19"/>
        <v>1.5335236671526961E-3</v>
      </c>
      <c r="K89" s="458"/>
      <c r="L89" s="163"/>
      <c r="M89" s="163"/>
      <c r="O89" s="324">
        <f t="shared" si="20"/>
        <v>0.4770512457895143</v>
      </c>
      <c r="P89" s="324">
        <f>SUMMARY!L91</f>
        <v>0.61766396792525358</v>
      </c>
    </row>
    <row r="90" spans="1:16" s="162" customFormat="1">
      <c r="A90" s="164">
        <v>230</v>
      </c>
      <c r="B90" s="191" t="s">
        <v>38</v>
      </c>
      <c r="C90" s="480">
        <f>'[96]Sch C'!D78</f>
        <v>0</v>
      </c>
      <c r="D90" s="480">
        <f>'[96]Sch C'!F78</f>
        <v>0</v>
      </c>
      <c r="E90" s="480">
        <f>+'[96]Sch C'!H78</f>
        <v>0</v>
      </c>
      <c r="F90" s="166">
        <f t="shared" si="17"/>
        <v>0</v>
      </c>
      <c r="G90" s="626"/>
      <c r="H90" s="166"/>
      <c r="I90" s="166">
        <f t="shared" si="18"/>
        <v>0</v>
      </c>
      <c r="J90" s="167">
        <f t="shared" si="19"/>
        <v>0</v>
      </c>
      <c r="K90" s="458"/>
      <c r="L90" s="163"/>
      <c r="M90" s="163"/>
      <c r="O90" s="324">
        <f t="shared" si="20"/>
        <v>0</v>
      </c>
      <c r="P90" s="324">
        <f>SUMMARY!L92</f>
        <v>0.24523901522861224</v>
      </c>
    </row>
    <row r="91" spans="1:16" s="162" customFormat="1">
      <c r="A91" s="164">
        <v>240</v>
      </c>
      <c r="B91" s="192" t="s">
        <v>248</v>
      </c>
      <c r="C91" s="480">
        <f>'[96]Sch C'!D79</f>
        <v>4707</v>
      </c>
      <c r="D91" s="480">
        <f>'[96]Sch C'!F79</f>
        <v>0</v>
      </c>
      <c r="E91" s="480">
        <f>+'[96]Sch C'!H79</f>
        <v>0</v>
      </c>
      <c r="F91" s="166">
        <f t="shared" si="17"/>
        <v>4707</v>
      </c>
      <c r="G91" s="626"/>
      <c r="H91" s="166"/>
      <c r="I91" s="166">
        <f t="shared" si="18"/>
        <v>4707</v>
      </c>
      <c r="J91" s="167">
        <f t="shared" si="19"/>
        <v>3.8906354235367546E-4</v>
      </c>
      <c r="K91" s="458"/>
      <c r="L91" s="163"/>
      <c r="M91" s="163"/>
      <c r="O91" s="324">
        <f t="shared" si="20"/>
        <v>0.12103057262605744</v>
      </c>
      <c r="P91" s="324">
        <f>SUMMARY!L93</f>
        <v>0.6231522775072933</v>
      </c>
    </row>
    <row r="92" spans="1:16" s="162" customFormat="1">
      <c r="A92" s="164">
        <v>310</v>
      </c>
      <c r="B92" s="191" t="s">
        <v>46</v>
      </c>
      <c r="C92" s="480">
        <f>'[96]Sch C'!D80</f>
        <v>34884</v>
      </c>
      <c r="D92" s="480">
        <f>'[96]Sch C'!F80</f>
        <v>0</v>
      </c>
      <c r="E92" s="480">
        <f>+'[96]Sch C'!H80</f>
        <v>0</v>
      </c>
      <c r="F92" s="166">
        <f t="shared" si="17"/>
        <v>34884</v>
      </c>
      <c r="G92" s="626"/>
      <c r="H92" s="166"/>
      <c r="I92" s="166">
        <f t="shared" si="18"/>
        <v>34884</v>
      </c>
      <c r="J92" s="167">
        <f t="shared" si="19"/>
        <v>2.8833848760283862E-3</v>
      </c>
      <c r="K92" s="458"/>
      <c r="L92" s="163"/>
      <c r="M92" s="163"/>
      <c r="O92" s="324">
        <f t="shared" si="20"/>
        <v>0.89696845028412742</v>
      </c>
      <c r="P92" s="324">
        <f>SUMMARY!L94</f>
        <v>1.1835704208895077</v>
      </c>
    </row>
    <row r="93" spans="1:16" s="162" customFormat="1">
      <c r="A93" s="164">
        <v>320</v>
      </c>
      <c r="B93" s="193" t="s">
        <v>294</v>
      </c>
      <c r="C93" s="480">
        <f>'[96]Sch C'!D81</f>
        <v>38639</v>
      </c>
      <c r="D93" s="480">
        <f>'[96]Sch C'!F81</f>
        <v>0</v>
      </c>
      <c r="E93" s="480">
        <f>+'[96]Sch C'!H81</f>
        <v>0</v>
      </c>
      <c r="F93" s="166">
        <f t="shared" si="17"/>
        <v>38639</v>
      </c>
      <c r="G93" s="626"/>
      <c r="H93" s="166"/>
      <c r="I93" s="166">
        <f t="shared" si="18"/>
        <v>38639</v>
      </c>
      <c r="J93" s="167">
        <f t="shared" si="19"/>
        <v>3.193759552369591E-3</v>
      </c>
      <c r="K93" s="458"/>
      <c r="L93" s="163"/>
      <c r="M93" s="163"/>
      <c r="O93" s="324">
        <f t="shared" si="20"/>
        <v>0.99352035175233344</v>
      </c>
      <c r="P93" s="324">
        <f>SUMMARY!L95</f>
        <v>0.70603607941087931</v>
      </c>
    </row>
    <row r="94" spans="1:16" s="162" customFormat="1">
      <c r="A94" s="164">
        <v>330</v>
      </c>
      <c r="B94" s="193" t="s">
        <v>295</v>
      </c>
      <c r="C94" s="480">
        <f>'[96]Sch C'!D82</f>
        <v>13690</v>
      </c>
      <c r="D94" s="480">
        <f>'[96]Sch C'!F82</f>
        <v>0</v>
      </c>
      <c r="E94" s="480">
        <f>+'[96]Sch C'!H82</f>
        <v>0</v>
      </c>
      <c r="F94" s="166">
        <f t="shared" si="17"/>
        <v>13690</v>
      </c>
      <c r="G94" s="626"/>
      <c r="H94" s="166"/>
      <c r="I94" s="166">
        <f t="shared" si="18"/>
        <v>13690</v>
      </c>
      <c r="J94" s="167">
        <f t="shared" si="19"/>
        <v>1.1315657307885737E-3</v>
      </c>
      <c r="K94" s="458"/>
      <c r="L94" s="163"/>
      <c r="M94" s="163"/>
      <c r="O94" s="324">
        <f t="shared" si="20"/>
        <v>0.3520094623434728</v>
      </c>
      <c r="P94" s="324">
        <f>SUMMARY!L96</f>
        <v>0.41394888006539005</v>
      </c>
    </row>
    <row r="95" spans="1:16" s="162" customFormat="1">
      <c r="A95" s="158">
        <v>340</v>
      </c>
      <c r="B95" s="193" t="s">
        <v>281</v>
      </c>
      <c r="C95" s="480">
        <f>'[96]Sch C'!D83</f>
        <v>131</v>
      </c>
      <c r="D95" s="480">
        <f>'[96]Sch C'!F83</f>
        <v>0</v>
      </c>
      <c r="E95" s="480">
        <f>+'[96]Sch C'!H83</f>
        <v>0</v>
      </c>
      <c r="F95" s="166">
        <f t="shared" si="17"/>
        <v>131</v>
      </c>
      <c r="G95" s="626"/>
      <c r="H95" s="166"/>
      <c r="I95" s="166">
        <f t="shared" si="18"/>
        <v>131</v>
      </c>
      <c r="J95" s="167">
        <f t="shared" si="19"/>
        <v>1.0827984713900889E-5</v>
      </c>
      <c r="K95" s="458"/>
      <c r="L95" s="163"/>
      <c r="M95" s="163"/>
      <c r="O95" s="324">
        <f t="shared" si="20"/>
        <v>3.368388573191741E-3</v>
      </c>
      <c r="P95" s="324">
        <f>SUMMARY!L97</f>
        <v>0.21173503442349134</v>
      </c>
    </row>
    <row r="96" spans="1:16" s="162" customFormat="1">
      <c r="A96" s="158">
        <v>350</v>
      </c>
      <c r="B96" s="191" t="s">
        <v>41</v>
      </c>
      <c r="C96" s="480">
        <f>'[96]Sch C'!D84</f>
        <v>175918</v>
      </c>
      <c r="D96" s="480">
        <f>'[96]Sch C'!F84</f>
        <v>0</v>
      </c>
      <c r="E96" s="480">
        <f>+'[96]Sch C'!H84</f>
        <v>0</v>
      </c>
      <c r="F96" s="166">
        <f t="shared" si="17"/>
        <v>175918</v>
      </c>
      <c r="G96" s="626"/>
      <c r="H96" s="166"/>
      <c r="I96" s="166">
        <f t="shared" si="18"/>
        <v>175918</v>
      </c>
      <c r="J96" s="167">
        <f t="shared" si="19"/>
        <v>1.4540743625190965E-2</v>
      </c>
      <c r="K96" s="458"/>
      <c r="L96" s="163"/>
      <c r="M96" s="163"/>
      <c r="O96" s="324">
        <f t="shared" si="20"/>
        <v>4.5233601604484326</v>
      </c>
      <c r="P96" s="324">
        <f>SUMMARY!L98</f>
        <v>4.6189606641285916</v>
      </c>
    </row>
    <row r="97" spans="1:16" s="162" customFormat="1">
      <c r="A97" s="158">
        <v>490</v>
      </c>
      <c r="B97" s="145" t="s">
        <v>293</v>
      </c>
      <c r="C97" s="480">
        <f>'[96]Sch C'!D85</f>
        <v>0</v>
      </c>
      <c r="D97" s="480">
        <f>'[96]Sch C'!F85</f>
        <v>0</v>
      </c>
      <c r="E97" s="480">
        <f>+'[96]Sch C'!H85</f>
        <v>0</v>
      </c>
      <c r="F97" s="166">
        <f t="shared" si="17"/>
        <v>0</v>
      </c>
      <c r="G97" s="626"/>
      <c r="H97" s="166"/>
      <c r="I97" s="166">
        <f t="shared" si="18"/>
        <v>0</v>
      </c>
      <c r="J97" s="167">
        <f t="shared" si="19"/>
        <v>0</v>
      </c>
      <c r="K97" s="458"/>
      <c r="L97" s="163"/>
      <c r="M97" s="163"/>
      <c r="O97" s="324">
        <f t="shared" si="20"/>
        <v>0</v>
      </c>
      <c r="P97" s="324">
        <f>SUMMARY!L99</f>
        <v>9.3095120404143514E-2</v>
      </c>
    </row>
    <row r="98" spans="1:16" s="162" customFormat="1">
      <c r="A98" s="158"/>
      <c r="B98" s="165" t="s">
        <v>42</v>
      </c>
      <c r="C98" s="480">
        <f t="shared" ref="C98:E98" si="21">SUM(C87:C97)</f>
        <v>384713</v>
      </c>
      <c r="D98" s="480">
        <f t="shared" si="21"/>
        <v>0</v>
      </c>
      <c r="E98" s="480">
        <f t="shared" si="21"/>
        <v>0</v>
      </c>
      <c r="F98" s="166">
        <f t="shared" ref="F98:I98" si="22">SUM(F87:F97)</f>
        <v>384713</v>
      </c>
      <c r="G98" s="166">
        <f t="shared" si="22"/>
        <v>0</v>
      </c>
      <c r="H98" s="166">
        <f t="shared" si="22"/>
        <v>0</v>
      </c>
      <c r="I98" s="166">
        <f t="shared" si="22"/>
        <v>384713</v>
      </c>
      <c r="J98" s="167">
        <f t="shared" si="19"/>
        <v>3.179898078808361E-2</v>
      </c>
      <c r="K98" s="458"/>
      <c r="L98" s="163"/>
      <c r="M98" s="163"/>
      <c r="O98" s="329">
        <f>I98/I$233</f>
        <v>9.8920830012085066</v>
      </c>
      <c r="P98" s="324">
        <f>SUMMARY!L100</f>
        <v>11.669285059805642</v>
      </c>
    </row>
    <row r="99" spans="1:16" s="162" customFormat="1">
      <c r="A99" s="158"/>
      <c r="C99" s="160"/>
      <c r="D99" s="160"/>
      <c r="E99" s="160"/>
      <c r="F99" s="160"/>
      <c r="G99" s="160"/>
      <c r="H99" s="160"/>
      <c r="I99" s="160"/>
      <c r="J99" s="190"/>
      <c r="K99" s="460"/>
      <c r="L99" s="163"/>
      <c r="M99" s="163"/>
      <c r="O99" s="324"/>
      <c r="P99" s="324"/>
    </row>
    <row r="100" spans="1:16" s="162" customFormat="1">
      <c r="A100" s="164" t="s">
        <v>156</v>
      </c>
      <c r="B100" s="165" t="s">
        <v>43</v>
      </c>
      <c r="C100" s="160"/>
      <c r="D100" s="160"/>
      <c r="E100" s="160"/>
      <c r="F100" s="160"/>
      <c r="G100" s="160"/>
      <c r="H100" s="160"/>
      <c r="I100" s="160"/>
      <c r="J100" s="190"/>
      <c r="K100" s="460"/>
      <c r="L100" s="163"/>
      <c r="M100" s="163"/>
      <c r="O100" s="324"/>
      <c r="P100" s="324"/>
    </row>
    <row r="101" spans="1:16" s="162" customFormat="1">
      <c r="A101" s="164" t="s">
        <v>77</v>
      </c>
      <c r="B101" s="165" t="s">
        <v>36</v>
      </c>
      <c r="C101" s="480">
        <f>'[96]Sch C'!D89</f>
        <v>0</v>
      </c>
      <c r="D101" s="480">
        <f>'[96]Sch C'!F89</f>
        <v>0</v>
      </c>
      <c r="E101" s="480">
        <f>+'[96]Sch C'!H89</f>
        <v>0</v>
      </c>
      <c r="F101" s="166">
        <f t="shared" ref="F101:F106" si="23">C101+D101+E101</f>
        <v>0</v>
      </c>
      <c r="G101" s="626"/>
      <c r="H101" s="166"/>
      <c r="I101" s="166">
        <f t="shared" ref="I101:I106" si="24">F101+G101+H101</f>
        <v>0</v>
      </c>
      <c r="J101" s="167">
        <f t="shared" ref="J101:J107" si="25">IF($I$213=0,0,I101/$I$213)</f>
        <v>0</v>
      </c>
      <c r="K101" s="458"/>
      <c r="L101" s="176">
        <v>0</v>
      </c>
      <c r="M101" s="176">
        <v>0</v>
      </c>
      <c r="O101" s="329">
        <f t="shared" ref="O101:O106" si="26">I101/I$233</f>
        <v>0</v>
      </c>
      <c r="P101" s="324">
        <f>SUMMARY!L103</f>
        <v>8.3473223649132038</v>
      </c>
    </row>
    <row r="102" spans="1:16" s="162" customFormat="1">
      <c r="A102" s="164" t="s">
        <v>78</v>
      </c>
      <c r="B102" s="165" t="s">
        <v>37</v>
      </c>
      <c r="C102" s="480">
        <f>'[96]Sch C'!D90</f>
        <v>0</v>
      </c>
      <c r="D102" s="480">
        <f>'[96]Sch C'!F90</f>
        <v>0</v>
      </c>
      <c r="E102" s="480">
        <f>+'[96]Sch C'!H90</f>
        <v>0</v>
      </c>
      <c r="F102" s="166">
        <f t="shared" si="23"/>
        <v>0</v>
      </c>
      <c r="G102" s="626"/>
      <c r="H102" s="166"/>
      <c r="I102" s="166">
        <f t="shared" si="24"/>
        <v>0</v>
      </c>
      <c r="J102" s="167">
        <f t="shared" si="25"/>
        <v>0</v>
      </c>
      <c r="K102" s="458"/>
      <c r="L102" s="163"/>
      <c r="M102" s="163"/>
      <c r="O102" s="329">
        <f t="shared" si="26"/>
        <v>0</v>
      </c>
      <c r="P102" s="324">
        <f>SUMMARY!L104</f>
        <v>1.5609428437092472</v>
      </c>
    </row>
    <row r="103" spans="1:16" s="162" customFormat="1">
      <c r="A103" s="164">
        <v>310</v>
      </c>
      <c r="B103" s="165" t="s">
        <v>46</v>
      </c>
      <c r="C103" s="480">
        <f>'[96]Sch C'!D91</f>
        <v>637956</v>
      </c>
      <c r="D103" s="480">
        <f>'[96]Sch C'!F91</f>
        <v>0</v>
      </c>
      <c r="E103" s="480">
        <f>+'[96]Sch C'!H91</f>
        <v>0</v>
      </c>
      <c r="F103" s="166">
        <f t="shared" si="23"/>
        <v>637956</v>
      </c>
      <c r="G103" s="626"/>
      <c r="H103" s="166"/>
      <c r="I103" s="166">
        <f t="shared" si="24"/>
        <v>637956</v>
      </c>
      <c r="J103" s="167">
        <f t="shared" si="25"/>
        <v>5.2731128367491262E-2</v>
      </c>
      <c r="K103" s="458"/>
      <c r="L103" s="163"/>
      <c r="M103" s="163"/>
      <c r="O103" s="329">
        <f t="shared" si="26"/>
        <v>16.403692370985574</v>
      </c>
      <c r="P103" s="324">
        <f>SUMMARY!L105</f>
        <v>3.2648403854914108</v>
      </c>
    </row>
    <row r="104" spans="1:16" s="162" customFormat="1">
      <c r="A104" s="164">
        <v>380</v>
      </c>
      <c r="B104" s="165" t="s">
        <v>44</v>
      </c>
      <c r="C104" s="480">
        <f>'[96]Sch C'!D92</f>
        <v>-2874</v>
      </c>
      <c r="D104" s="480">
        <f>'[96]Sch C'!F92</f>
        <v>-2644</v>
      </c>
      <c r="E104" s="480">
        <f>+'[96]Sch C'!H92</f>
        <v>0</v>
      </c>
      <c r="F104" s="166">
        <f t="shared" si="23"/>
        <v>-5518</v>
      </c>
      <c r="G104" s="626"/>
      <c r="H104" s="166"/>
      <c r="I104" s="166">
        <f t="shared" si="24"/>
        <v>-5518</v>
      </c>
      <c r="J104" s="167">
        <f t="shared" si="25"/>
        <v>-4.5609785993362673E-4</v>
      </c>
      <c r="K104" s="458"/>
      <c r="L104" s="163"/>
      <c r="M104" s="163"/>
      <c r="O104" s="329">
        <f t="shared" si="26"/>
        <v>-0.14188372631200022</v>
      </c>
      <c r="P104" s="324">
        <f>SUMMARY!L106</f>
        <v>6.7215221396948683</v>
      </c>
    </row>
    <row r="105" spans="1:16" s="162" customFormat="1">
      <c r="A105" s="164">
        <v>390</v>
      </c>
      <c r="B105" s="165" t="s">
        <v>526</v>
      </c>
      <c r="C105" s="480">
        <f>'[96]Sch C'!D93</f>
        <v>12701</v>
      </c>
      <c r="D105" s="480">
        <f>'[96]Sch C'!F93</f>
        <v>0</v>
      </c>
      <c r="E105" s="480">
        <f>+'[96]Sch C'!H93</f>
        <v>0</v>
      </c>
      <c r="F105" s="166">
        <f t="shared" si="23"/>
        <v>12701</v>
      </c>
      <c r="G105" s="626"/>
      <c r="H105" s="166"/>
      <c r="I105" s="166">
        <f t="shared" si="24"/>
        <v>12701</v>
      </c>
      <c r="J105" s="167">
        <f t="shared" si="25"/>
        <v>1.0498185790172151E-3</v>
      </c>
      <c r="K105" s="458"/>
      <c r="L105" s="163"/>
      <c r="M105" s="163"/>
      <c r="O105" s="329">
        <f t="shared" si="26"/>
        <v>0.32657941426036874</v>
      </c>
      <c r="P105" s="324">
        <f>SUMMARY!L107</f>
        <v>0.67646258646257007</v>
      </c>
    </row>
    <row r="106" spans="1:16" s="162" customFormat="1">
      <c r="A106" s="164">
        <v>490</v>
      </c>
      <c r="B106" s="194" t="s">
        <v>293</v>
      </c>
      <c r="C106" s="480">
        <f>'[96]Sch C'!D94</f>
        <v>0</v>
      </c>
      <c r="D106" s="480">
        <f>'[96]Sch C'!F94</f>
        <v>0</v>
      </c>
      <c r="E106" s="480">
        <f>+'[96]Sch C'!H94</f>
        <v>0</v>
      </c>
      <c r="F106" s="166">
        <f t="shared" si="23"/>
        <v>0</v>
      </c>
      <c r="G106" s="626"/>
      <c r="H106" s="166"/>
      <c r="I106" s="166">
        <f t="shared" si="24"/>
        <v>0</v>
      </c>
      <c r="J106" s="167">
        <f t="shared" si="25"/>
        <v>0</v>
      </c>
      <c r="K106" s="458"/>
      <c r="L106" s="163"/>
      <c r="M106" s="163"/>
      <c r="O106" s="329">
        <f t="shared" si="26"/>
        <v>0</v>
      </c>
      <c r="P106" s="324">
        <f>SUMMARY!L108</f>
        <v>5.9815901897626589E-2</v>
      </c>
    </row>
    <row r="107" spans="1:16" s="162" customFormat="1">
      <c r="A107" s="164"/>
      <c r="B107" s="165" t="s">
        <v>47</v>
      </c>
      <c r="C107" s="480">
        <f t="shared" ref="C107:E107" si="27">SUM(C101:C106)</f>
        <v>647783</v>
      </c>
      <c r="D107" s="480">
        <f t="shared" si="27"/>
        <v>-2644</v>
      </c>
      <c r="E107" s="480">
        <f t="shared" si="27"/>
        <v>0</v>
      </c>
      <c r="F107" s="166">
        <f t="shared" ref="F107:I107" si="28">SUM(F101:F106)</f>
        <v>645139</v>
      </c>
      <c r="G107" s="166">
        <f t="shared" si="28"/>
        <v>0</v>
      </c>
      <c r="H107" s="166">
        <f t="shared" si="28"/>
        <v>0</v>
      </c>
      <c r="I107" s="166">
        <f t="shared" si="28"/>
        <v>645139</v>
      </c>
      <c r="J107" s="167">
        <f t="shared" si="25"/>
        <v>5.3324849086574852E-2</v>
      </c>
      <c r="K107" s="458"/>
      <c r="L107" s="163"/>
      <c r="M107" s="163"/>
      <c r="O107" s="329">
        <f>I107/I$233</f>
        <v>16.588388058933944</v>
      </c>
      <c r="P107" s="324">
        <f>SUMMARY!L109</f>
        <v>20.630906222168928</v>
      </c>
    </row>
    <row r="108" spans="1:16" s="162" customFormat="1">
      <c r="A108" s="158"/>
      <c r="C108" s="160"/>
      <c r="D108" s="160"/>
      <c r="E108" s="160"/>
      <c r="F108" s="160"/>
      <c r="G108" s="160"/>
      <c r="H108" s="160"/>
      <c r="I108" s="160"/>
      <c r="J108" s="190"/>
      <c r="K108" s="460"/>
      <c r="L108" s="163"/>
      <c r="M108" s="163"/>
      <c r="O108" s="324"/>
      <c r="P108" s="324"/>
    </row>
    <row r="109" spans="1:16" s="162" customFormat="1">
      <c r="A109" s="164" t="s">
        <v>157</v>
      </c>
      <c r="B109" s="165" t="s">
        <v>48</v>
      </c>
      <c r="C109" s="160"/>
      <c r="D109" s="160"/>
      <c r="E109" s="160"/>
      <c r="F109" s="160"/>
      <c r="G109" s="160"/>
      <c r="H109" s="160"/>
      <c r="I109" s="160"/>
      <c r="J109" s="190"/>
      <c r="K109" s="460"/>
      <c r="L109" s="163"/>
      <c r="M109" s="163"/>
      <c r="O109" s="324"/>
      <c r="P109" s="324"/>
    </row>
    <row r="110" spans="1:16" s="162" customFormat="1">
      <c r="A110" s="164" t="s">
        <v>77</v>
      </c>
      <c r="B110" s="165" t="s">
        <v>36</v>
      </c>
      <c r="C110" s="480">
        <f>'[96]Sch C'!D98</f>
        <v>0</v>
      </c>
      <c r="D110" s="480">
        <f>'[96]Sch C'!F98</f>
        <v>0</v>
      </c>
      <c r="E110" s="480">
        <f>+'[96]Sch C'!H98</f>
        <v>0</v>
      </c>
      <c r="F110" s="166">
        <f t="shared" ref="F110:F115" si="29">C110+D110+E110</f>
        <v>0</v>
      </c>
      <c r="G110" s="626"/>
      <c r="H110" s="166"/>
      <c r="I110" s="166">
        <f t="shared" ref="I110:I115" si="30">F110+G110+H110</f>
        <v>0</v>
      </c>
      <c r="J110" s="167">
        <f t="shared" ref="J110:J116" si="31">IF($I$213=0,0,I110/$I$213)</f>
        <v>0</v>
      </c>
      <c r="K110" s="458"/>
      <c r="L110" s="176">
        <v>0</v>
      </c>
      <c r="M110" s="176">
        <v>0</v>
      </c>
      <c r="O110" s="329">
        <f t="shared" ref="O110:O115" si="32">I110/I$233</f>
        <v>0</v>
      </c>
      <c r="P110" s="324">
        <f>SUMMARY!L112</f>
        <v>1.0420421927982051</v>
      </c>
    </row>
    <row r="111" spans="1:16" s="162" customFormat="1">
      <c r="A111" s="164" t="s">
        <v>78</v>
      </c>
      <c r="B111" s="165" t="s">
        <v>37</v>
      </c>
      <c r="C111" s="480">
        <f>'[96]Sch C'!D99</f>
        <v>0</v>
      </c>
      <c r="D111" s="480">
        <f>'[96]Sch C'!F99</f>
        <v>0</v>
      </c>
      <c r="E111" s="480">
        <f>+'[96]Sch C'!H99</f>
        <v>0</v>
      </c>
      <c r="F111" s="166">
        <f t="shared" si="29"/>
        <v>0</v>
      </c>
      <c r="G111" s="626"/>
      <c r="H111" s="166"/>
      <c r="I111" s="166">
        <f t="shared" si="30"/>
        <v>0</v>
      </c>
      <c r="J111" s="167">
        <f t="shared" si="31"/>
        <v>0</v>
      </c>
      <c r="K111" s="458"/>
      <c r="L111" s="163"/>
      <c r="M111" s="163"/>
      <c r="O111" s="329">
        <f t="shared" si="32"/>
        <v>0</v>
      </c>
      <c r="P111" s="324">
        <f>SUMMARY!L113</f>
        <v>0.20078964936815169</v>
      </c>
    </row>
    <row r="112" spans="1:16" s="162" customFormat="1">
      <c r="A112" s="164">
        <v>110</v>
      </c>
      <c r="B112" s="165" t="s">
        <v>39</v>
      </c>
      <c r="C112" s="480">
        <f>'[96]Sch C'!D100</f>
        <v>0</v>
      </c>
      <c r="D112" s="480">
        <f>'[96]Sch C'!F100</f>
        <v>0</v>
      </c>
      <c r="E112" s="480">
        <f>+'[96]Sch C'!H100</f>
        <v>0</v>
      </c>
      <c r="F112" s="166">
        <f t="shared" si="29"/>
        <v>0</v>
      </c>
      <c r="G112" s="626"/>
      <c r="H112" s="166"/>
      <c r="I112" s="166">
        <f t="shared" si="30"/>
        <v>0</v>
      </c>
      <c r="J112" s="167">
        <f t="shared" si="31"/>
        <v>0</v>
      </c>
      <c r="K112" s="458"/>
      <c r="L112" s="163"/>
      <c r="M112" s="163"/>
      <c r="O112" s="329">
        <f t="shared" si="32"/>
        <v>0</v>
      </c>
      <c r="P112" s="324">
        <f>SUMMARY!L114</f>
        <v>0.2184369107272279</v>
      </c>
    </row>
    <row r="113" spans="1:16" s="162" customFormat="1">
      <c r="A113" s="164">
        <v>310</v>
      </c>
      <c r="B113" s="165" t="s">
        <v>46</v>
      </c>
      <c r="C113" s="480">
        <f>'[96]Sch C'!D101</f>
        <v>96153</v>
      </c>
      <c r="D113" s="480">
        <f>'[96]Sch C'!F101</f>
        <v>0</v>
      </c>
      <c r="E113" s="480">
        <f>+'[96]Sch C'!H101</f>
        <v>0</v>
      </c>
      <c r="F113" s="166">
        <f t="shared" si="29"/>
        <v>96153</v>
      </c>
      <c r="G113" s="626"/>
      <c r="H113" s="166"/>
      <c r="I113" s="166">
        <f t="shared" si="30"/>
        <v>96153</v>
      </c>
      <c r="J113" s="167">
        <f t="shared" si="31"/>
        <v>7.9476581236313897E-3</v>
      </c>
      <c r="K113" s="458"/>
      <c r="L113" s="163"/>
      <c r="M113" s="163"/>
      <c r="O113" s="329">
        <f t="shared" si="32"/>
        <v>2.4723714998328661</v>
      </c>
      <c r="P113" s="324">
        <f>SUMMARY!L115</f>
        <v>0.64566906925728618</v>
      </c>
    </row>
    <row r="114" spans="1:16" s="162" customFormat="1">
      <c r="A114" s="164">
        <v>410</v>
      </c>
      <c r="B114" s="165" t="s">
        <v>49</v>
      </c>
      <c r="C114" s="480">
        <f>'[96]Sch C'!D102</f>
        <v>6583</v>
      </c>
      <c r="D114" s="480">
        <f>'[96]Sch C'!F102</f>
        <v>0</v>
      </c>
      <c r="E114" s="480">
        <f>+'[96]Sch C'!H102</f>
        <v>0</v>
      </c>
      <c r="F114" s="166">
        <f t="shared" si="29"/>
        <v>6583</v>
      </c>
      <c r="G114" s="626"/>
      <c r="H114" s="166"/>
      <c r="I114" s="166">
        <f t="shared" si="30"/>
        <v>6583</v>
      </c>
      <c r="J114" s="167">
        <f t="shared" si="31"/>
        <v>5.4412689596648506E-4</v>
      </c>
      <c r="K114" s="458"/>
      <c r="L114" s="163"/>
      <c r="M114" s="163"/>
      <c r="O114" s="329">
        <f t="shared" si="32"/>
        <v>0.16926795402535291</v>
      </c>
      <c r="P114" s="324">
        <f>SUMMARY!L116</f>
        <v>0.18302825246264015</v>
      </c>
    </row>
    <row r="115" spans="1:16" s="162" customFormat="1">
      <c r="A115" s="164">
        <v>490</v>
      </c>
      <c r="B115" s="194" t="s">
        <v>293</v>
      </c>
      <c r="C115" s="480">
        <f>'[96]Sch C'!D103</f>
        <v>0</v>
      </c>
      <c r="D115" s="480">
        <f>'[96]Sch C'!F103</f>
        <v>0</v>
      </c>
      <c r="E115" s="480">
        <f>+'[96]Sch C'!H103</f>
        <v>0</v>
      </c>
      <c r="F115" s="166">
        <f t="shared" si="29"/>
        <v>0</v>
      </c>
      <c r="G115" s="626"/>
      <c r="H115" s="166"/>
      <c r="I115" s="166">
        <f t="shared" si="30"/>
        <v>0</v>
      </c>
      <c r="J115" s="167">
        <f t="shared" si="31"/>
        <v>0</v>
      </c>
      <c r="K115" s="458"/>
      <c r="L115" s="163"/>
      <c r="M115" s="163"/>
      <c r="O115" s="329">
        <f t="shared" si="32"/>
        <v>0</v>
      </c>
      <c r="P115" s="324">
        <f>SUMMARY!L117</f>
        <v>6.0532522203232677E-3</v>
      </c>
    </row>
    <row r="116" spans="1:16" s="162" customFormat="1">
      <c r="A116" s="158"/>
      <c r="B116" s="165" t="s">
        <v>50</v>
      </c>
      <c r="C116" s="480">
        <f t="shared" ref="C116:E116" si="33">SUM(C110:C115)</f>
        <v>102736</v>
      </c>
      <c r="D116" s="480">
        <f t="shared" si="33"/>
        <v>0</v>
      </c>
      <c r="E116" s="480">
        <f t="shared" si="33"/>
        <v>0</v>
      </c>
      <c r="F116" s="166">
        <f t="shared" ref="F116:I116" si="34">SUM(F110:F115)</f>
        <v>102736</v>
      </c>
      <c r="G116" s="166">
        <f t="shared" si="34"/>
        <v>0</v>
      </c>
      <c r="H116" s="166">
        <f t="shared" si="34"/>
        <v>0</v>
      </c>
      <c r="I116" s="166">
        <f t="shared" si="34"/>
        <v>102736</v>
      </c>
      <c r="J116" s="167">
        <f t="shared" si="31"/>
        <v>8.4917850195978754E-3</v>
      </c>
      <c r="K116" s="458"/>
      <c r="L116" s="163"/>
      <c r="M116" s="163"/>
      <c r="O116" s="329">
        <f>I116/I$233</f>
        <v>2.6416394538582191</v>
      </c>
      <c r="P116" s="324">
        <f>SUMMARY!L118</f>
        <v>2.2960193268338349</v>
      </c>
    </row>
    <row r="117" spans="1:16" s="162" customFormat="1">
      <c r="A117" s="158"/>
      <c r="C117" s="160"/>
      <c r="D117" s="160"/>
      <c r="E117" s="160"/>
      <c r="F117" s="160"/>
      <c r="G117" s="160"/>
      <c r="H117" s="160"/>
      <c r="I117" s="160"/>
      <c r="J117" s="190"/>
      <c r="K117" s="460"/>
      <c r="L117" s="163"/>
      <c r="M117" s="163"/>
      <c r="O117" s="324"/>
      <c r="P117" s="324"/>
    </row>
    <row r="118" spans="1:16" s="162" customFormat="1">
      <c r="A118" s="164" t="s">
        <v>158</v>
      </c>
      <c r="B118" s="165" t="s">
        <v>51</v>
      </c>
      <c r="C118" s="160"/>
      <c r="D118" s="160"/>
      <c r="E118" s="160"/>
      <c r="F118" s="160"/>
      <c r="G118" s="160"/>
      <c r="H118" s="160"/>
      <c r="I118" s="160"/>
      <c r="J118" s="190"/>
      <c r="K118" s="460"/>
      <c r="L118" s="163"/>
      <c r="M118" s="163"/>
      <c r="O118" s="324"/>
      <c r="P118" s="324"/>
    </row>
    <row r="119" spans="1:16" s="162" customFormat="1">
      <c r="A119" s="164" t="s">
        <v>77</v>
      </c>
      <c r="B119" s="165" t="s">
        <v>36</v>
      </c>
      <c r="C119" s="480">
        <f>'[96]Sch C'!D115</f>
        <v>0</v>
      </c>
      <c r="D119" s="480">
        <f>'[96]Sch C'!F115</f>
        <v>0</v>
      </c>
      <c r="E119" s="480">
        <f>+'[96]Sch C'!H115</f>
        <v>0</v>
      </c>
      <c r="F119" s="166">
        <f t="shared" ref="F119:F123" si="35">C119+D119+E119</f>
        <v>0</v>
      </c>
      <c r="G119" s="626"/>
      <c r="H119" s="166"/>
      <c r="I119" s="166">
        <f t="shared" ref="I119:I123" si="36">F119+G119+H119</f>
        <v>0</v>
      </c>
      <c r="J119" s="167">
        <f t="shared" ref="J119:J124" si="37">IF($I$213=0,0,I119/$I$213)</f>
        <v>0</v>
      </c>
      <c r="K119" s="458"/>
      <c r="L119" s="176">
        <v>0</v>
      </c>
      <c r="M119" s="176">
        <v>0</v>
      </c>
      <c r="O119" s="329">
        <f t="shared" ref="O119:O124" si="38">I119/I$233</f>
        <v>0</v>
      </c>
      <c r="P119" s="324">
        <f>SUMMARY!L121</f>
        <v>3.6316697482212446</v>
      </c>
    </row>
    <row r="120" spans="1:16" s="162" customFormat="1">
      <c r="A120" s="164" t="s">
        <v>78</v>
      </c>
      <c r="B120" s="165" t="s">
        <v>143</v>
      </c>
      <c r="C120" s="480">
        <f>'[96]Sch C'!D116</f>
        <v>0</v>
      </c>
      <c r="D120" s="480">
        <f>'[96]Sch C'!F116</f>
        <v>0</v>
      </c>
      <c r="E120" s="480">
        <f>+'[96]Sch C'!H116</f>
        <v>0</v>
      </c>
      <c r="F120" s="166">
        <f t="shared" si="35"/>
        <v>0</v>
      </c>
      <c r="G120" s="626"/>
      <c r="H120" s="166"/>
      <c r="I120" s="166">
        <f t="shared" si="36"/>
        <v>0</v>
      </c>
      <c r="J120" s="167">
        <f t="shared" si="37"/>
        <v>0</v>
      </c>
      <c r="K120" s="458"/>
      <c r="L120" s="163"/>
      <c r="M120" s="163"/>
      <c r="O120" s="329">
        <f t="shared" si="38"/>
        <v>0</v>
      </c>
      <c r="P120" s="324">
        <f>SUMMARY!L122</f>
        <v>0.73639428778580995</v>
      </c>
    </row>
    <row r="121" spans="1:16" s="162" customFormat="1">
      <c r="A121" s="164" t="s">
        <v>85</v>
      </c>
      <c r="B121" s="165" t="s">
        <v>39</v>
      </c>
      <c r="C121" s="480">
        <f>'[96]Sch C'!D117</f>
        <v>21804</v>
      </c>
      <c r="D121" s="480">
        <f>'[96]Sch C'!F117</f>
        <v>0</v>
      </c>
      <c r="E121" s="480">
        <f>+'[96]Sch C'!H117</f>
        <v>0</v>
      </c>
      <c r="F121" s="166">
        <f t="shared" si="35"/>
        <v>21804</v>
      </c>
      <c r="G121" s="626"/>
      <c r="H121" s="166"/>
      <c r="I121" s="166">
        <f t="shared" si="36"/>
        <v>21804</v>
      </c>
      <c r="J121" s="167">
        <f t="shared" si="37"/>
        <v>1.8022395320755342E-3</v>
      </c>
      <c r="K121" s="458"/>
      <c r="L121" s="163"/>
      <c r="M121" s="163"/>
      <c r="O121" s="329">
        <f t="shared" si="38"/>
        <v>0.56064385076238721</v>
      </c>
      <c r="P121" s="324">
        <f>SUMMARY!L123</f>
        <v>0.93523261358838172</v>
      </c>
    </row>
    <row r="122" spans="1:16" s="162" customFormat="1">
      <c r="A122" s="164">
        <v>310</v>
      </c>
      <c r="B122" s="165" t="s">
        <v>52</v>
      </c>
      <c r="C122" s="480">
        <f>'[96]Sch C'!D118</f>
        <v>263536</v>
      </c>
      <c r="D122" s="480">
        <f>'[96]Sch C'!F118</f>
        <v>0</v>
      </c>
      <c r="E122" s="480">
        <f>+'[96]Sch C'!H118</f>
        <v>0</v>
      </c>
      <c r="F122" s="166">
        <f t="shared" si="35"/>
        <v>263536</v>
      </c>
      <c r="G122" s="626"/>
      <c r="H122" s="166"/>
      <c r="I122" s="166">
        <f t="shared" si="36"/>
        <v>263536</v>
      </c>
      <c r="J122" s="167">
        <f t="shared" si="37"/>
        <v>2.1782929614981562E-2</v>
      </c>
      <c r="K122" s="458"/>
      <c r="L122" s="163"/>
      <c r="M122" s="163"/>
      <c r="O122" s="329">
        <f t="shared" si="38"/>
        <v>6.7762721452264021</v>
      </c>
      <c r="P122" s="324">
        <f>SUMMARY!L124</f>
        <v>1.1004196025979425</v>
      </c>
    </row>
    <row r="123" spans="1:16" s="162" customFormat="1">
      <c r="A123" s="164">
        <v>490</v>
      </c>
      <c r="B123" s="194" t="s">
        <v>293</v>
      </c>
      <c r="C123" s="480">
        <f>'[96]Sch C'!D119</f>
        <v>59</v>
      </c>
      <c r="D123" s="480">
        <f>'[96]Sch C'!F119</f>
        <v>0</v>
      </c>
      <c r="E123" s="480">
        <f>+'[96]Sch C'!H119</f>
        <v>0</v>
      </c>
      <c r="F123" s="166">
        <f t="shared" si="35"/>
        <v>59</v>
      </c>
      <c r="G123" s="626"/>
      <c r="H123" s="166"/>
      <c r="I123" s="166">
        <f t="shared" si="36"/>
        <v>59</v>
      </c>
      <c r="J123" s="167">
        <f t="shared" si="37"/>
        <v>4.876725939848492E-6</v>
      </c>
      <c r="K123" s="458"/>
      <c r="L123" s="163"/>
      <c r="M123" s="163"/>
      <c r="O123" s="329">
        <f t="shared" si="38"/>
        <v>1.5170605024298681E-3</v>
      </c>
      <c r="P123" s="324">
        <f>SUMMARY!L125</f>
        <v>1.509992127773452E-2</v>
      </c>
    </row>
    <row r="124" spans="1:16" s="162" customFormat="1">
      <c r="A124" s="158"/>
      <c r="B124" s="165" t="s">
        <v>53</v>
      </c>
      <c r="C124" s="480">
        <f t="shared" ref="C124:E124" si="39">SUM(C119:C123)</f>
        <v>285399</v>
      </c>
      <c r="D124" s="480">
        <f t="shared" si="39"/>
        <v>0</v>
      </c>
      <c r="E124" s="480">
        <f t="shared" si="39"/>
        <v>0</v>
      </c>
      <c r="F124" s="166">
        <f t="shared" ref="F124:I124" si="40">SUM(F119:F123)</f>
        <v>285399</v>
      </c>
      <c r="G124" s="166">
        <f t="shared" si="40"/>
        <v>0</v>
      </c>
      <c r="H124" s="166">
        <f t="shared" si="40"/>
        <v>0</v>
      </c>
      <c r="I124" s="166">
        <f t="shared" si="40"/>
        <v>285399</v>
      </c>
      <c r="J124" s="167">
        <f t="shared" si="37"/>
        <v>2.3590045872996943E-2</v>
      </c>
      <c r="K124" s="458"/>
      <c r="L124" s="163"/>
      <c r="M124" s="163"/>
      <c r="O124" s="329">
        <f t="shared" si="38"/>
        <v>7.338433056491219</v>
      </c>
      <c r="P124" s="324">
        <f>SUMMARY!L126</f>
        <v>6.4188161734711136</v>
      </c>
    </row>
    <row r="125" spans="1:16" s="162" customFormat="1">
      <c r="A125" s="158"/>
      <c r="B125" s="165"/>
      <c r="C125" s="188"/>
      <c r="D125" s="188"/>
      <c r="E125" s="188"/>
      <c r="F125" s="188"/>
      <c r="G125" s="188"/>
      <c r="H125" s="188"/>
      <c r="I125" s="188"/>
      <c r="J125" s="189"/>
      <c r="K125" s="458"/>
      <c r="L125" s="195"/>
      <c r="M125" s="195"/>
      <c r="O125" s="324"/>
      <c r="P125" s="324"/>
    </row>
    <row r="126" spans="1:16" s="162" customFormat="1">
      <c r="A126" s="164" t="s">
        <v>159</v>
      </c>
      <c r="B126" s="165" t="s">
        <v>54</v>
      </c>
      <c r="C126" s="160"/>
      <c r="D126" s="160"/>
      <c r="E126" s="160"/>
      <c r="F126" s="160"/>
      <c r="G126" s="160"/>
      <c r="H126" s="160"/>
      <c r="I126" s="160"/>
      <c r="J126" s="190"/>
      <c r="K126" s="460"/>
      <c r="L126" s="196"/>
      <c r="M126" s="196"/>
      <c r="O126" s="324"/>
      <c r="P126" s="324"/>
    </row>
    <row r="127" spans="1:16" s="162" customFormat="1">
      <c r="A127" s="164" t="s">
        <v>77</v>
      </c>
      <c r="B127" s="165" t="s">
        <v>55</v>
      </c>
      <c r="C127" s="160"/>
      <c r="D127" s="160"/>
      <c r="E127" s="160"/>
      <c r="F127" s="160"/>
      <c r="G127" s="160"/>
      <c r="H127" s="160"/>
      <c r="I127" s="160"/>
      <c r="J127" s="190"/>
      <c r="K127" s="460"/>
      <c r="L127" s="196"/>
      <c r="M127" s="196"/>
      <c r="O127" s="324"/>
      <c r="P127" s="324"/>
    </row>
    <row r="128" spans="1:16" s="162" customFormat="1">
      <c r="B128" s="323" t="s">
        <v>672</v>
      </c>
      <c r="C128" s="480">
        <f>'[96]Sch C'!D124</f>
        <v>0</v>
      </c>
      <c r="D128" s="480">
        <f>'[96]Sch C'!F124</f>
        <v>0</v>
      </c>
      <c r="E128" s="480">
        <f>+'[96]Sch C'!H124</f>
        <v>0</v>
      </c>
      <c r="F128" s="166">
        <f t="shared" ref="F128:F132" si="41">C128+D128+E128</f>
        <v>0</v>
      </c>
      <c r="G128" s="626"/>
      <c r="H128" s="166"/>
      <c r="I128" s="166">
        <f t="shared" ref="I128:I132" si="42">F128+G128+H128</f>
        <v>0</v>
      </c>
      <c r="J128" s="167">
        <f>IF($I$213=0,0,I128/$I$213)</f>
        <v>0</v>
      </c>
      <c r="K128" s="458"/>
      <c r="L128" s="176">
        <v>0</v>
      </c>
      <c r="M128" s="176">
        <v>0</v>
      </c>
      <c r="O128" s="329">
        <f t="shared" ref="O128:O165" si="43">I128/I$233</f>
        <v>0</v>
      </c>
      <c r="P128" s="324">
        <f>SUMMARY!L130</f>
        <v>0.80275923694324991</v>
      </c>
    </row>
    <row r="129" spans="1:16" s="162" customFormat="1">
      <c r="B129" s="323" t="s">
        <v>673</v>
      </c>
      <c r="C129" s="480">
        <f>'[96]Sch C'!D125</f>
        <v>316854</v>
      </c>
      <c r="D129" s="480">
        <f>'[96]Sch C'!F125</f>
        <v>0</v>
      </c>
      <c r="E129" s="480">
        <f>+'[96]Sch C'!H125</f>
        <v>0</v>
      </c>
      <c r="F129" s="166">
        <f t="shared" si="41"/>
        <v>316854</v>
      </c>
      <c r="G129" s="626"/>
      <c r="H129" s="166"/>
      <c r="I129" s="166">
        <f t="shared" si="42"/>
        <v>316854</v>
      </c>
      <c r="J129" s="167">
        <f>IF($I$213=0,0,I129/$I$213)</f>
        <v>2.6190002049911086E-2</v>
      </c>
      <c r="K129" s="458"/>
      <c r="L129" s="176">
        <v>8459</v>
      </c>
      <c r="M129" s="176">
        <v>8720</v>
      </c>
      <c r="O129" s="329">
        <f t="shared" si="43"/>
        <v>8.1472320074053126</v>
      </c>
      <c r="P129" s="324">
        <f>SUMMARY!L131</f>
        <v>9.5410604060393975</v>
      </c>
    </row>
    <row r="130" spans="1:16" s="162" customFormat="1">
      <c r="A130" s="158" t="s">
        <v>182</v>
      </c>
      <c r="B130" s="323" t="s">
        <v>674</v>
      </c>
      <c r="C130" s="480">
        <f>'[96]Sch C'!D126</f>
        <v>0</v>
      </c>
      <c r="D130" s="480">
        <f>'[96]Sch C'!F126</f>
        <v>0</v>
      </c>
      <c r="E130" s="480">
        <f>+'[96]Sch C'!H126</f>
        <v>0</v>
      </c>
      <c r="F130" s="166">
        <f t="shared" si="41"/>
        <v>0</v>
      </c>
      <c r="G130" s="626"/>
      <c r="H130" s="166"/>
      <c r="I130" s="166">
        <f t="shared" si="42"/>
        <v>0</v>
      </c>
      <c r="J130" s="167">
        <f>IF($I$213=0,0,I130/$I$213)</f>
        <v>0</v>
      </c>
      <c r="K130" s="458"/>
      <c r="L130" s="176">
        <v>0</v>
      </c>
      <c r="M130" s="176">
        <v>0</v>
      </c>
      <c r="O130" s="329">
        <f t="shared" si="43"/>
        <v>0</v>
      </c>
      <c r="P130" s="324">
        <f>SUMMARY!L132</f>
        <v>0.73740366987881678</v>
      </c>
    </row>
    <row r="131" spans="1:16" s="162" customFormat="1">
      <c r="A131" s="164"/>
      <c r="B131" s="257" t="s">
        <v>676</v>
      </c>
      <c r="C131" s="480">
        <f>'[96]Sch C'!D127</f>
        <v>0</v>
      </c>
      <c r="D131" s="480">
        <f>'[96]Sch C'!F127</f>
        <v>0</v>
      </c>
      <c r="E131" s="480">
        <f>+'[96]Sch C'!H127</f>
        <v>0</v>
      </c>
      <c r="F131" s="166">
        <f t="shared" si="41"/>
        <v>0</v>
      </c>
      <c r="G131" s="626"/>
      <c r="H131" s="166"/>
      <c r="I131" s="166">
        <f t="shared" si="42"/>
        <v>0</v>
      </c>
      <c r="J131" s="167">
        <f>IF($I$213=0,0,I131/$I$213)</f>
        <v>0</v>
      </c>
      <c r="K131" s="458"/>
      <c r="L131" s="176">
        <v>0</v>
      </c>
      <c r="M131" s="176">
        <v>0</v>
      </c>
      <c r="O131" s="329">
        <f t="shared" si="43"/>
        <v>0</v>
      </c>
      <c r="P131" s="324">
        <f>SUMMARY!L133</f>
        <v>7.3626382620363751E-2</v>
      </c>
    </row>
    <row r="132" spans="1:16" s="162" customFormat="1">
      <c r="A132" s="164"/>
      <c r="B132" s="257" t="s">
        <v>678</v>
      </c>
      <c r="C132" s="480">
        <f>'[96]Sch C'!D128</f>
        <v>93978</v>
      </c>
      <c r="D132" s="480">
        <f>'[96]Sch C'!F128</f>
        <v>0</v>
      </c>
      <c r="E132" s="480">
        <f>+'[96]Sch C'!H128</f>
        <v>0</v>
      </c>
      <c r="F132" s="166">
        <f t="shared" si="41"/>
        <v>93978</v>
      </c>
      <c r="G132" s="626"/>
      <c r="H132" s="166"/>
      <c r="I132" s="166">
        <f t="shared" si="42"/>
        <v>93978</v>
      </c>
      <c r="J132" s="167">
        <f>IF($I$213=0,0,I132/$I$213)</f>
        <v>7.7678805148318911E-3</v>
      </c>
      <c r="K132" s="458"/>
      <c r="L132" s="176">
        <v>2923</v>
      </c>
      <c r="M132" s="176">
        <v>5021</v>
      </c>
      <c r="O132" s="329">
        <f t="shared" si="43"/>
        <v>2.4164459643619347</v>
      </c>
      <c r="P132" s="324">
        <f>SUMMARY!L134</f>
        <v>2.9246178488865282</v>
      </c>
    </row>
    <row r="133" spans="1:16" s="162" customFormat="1">
      <c r="A133" s="164" t="s">
        <v>87</v>
      </c>
      <c r="B133" s="165" t="s">
        <v>144</v>
      </c>
      <c r="C133" s="483"/>
      <c r="D133" s="483"/>
      <c r="E133" s="483"/>
      <c r="F133" s="197"/>
      <c r="G133" s="197"/>
      <c r="H133" s="197"/>
      <c r="I133" s="197"/>
      <c r="J133" s="198"/>
      <c r="K133" s="467"/>
      <c r="L133" s="199"/>
      <c r="M133" s="199"/>
      <c r="O133" s="329"/>
      <c r="P133" s="324"/>
    </row>
    <row r="134" spans="1:16" s="162" customFormat="1">
      <c r="A134" s="164"/>
      <c r="B134" s="257" t="s">
        <v>680</v>
      </c>
      <c r="C134" s="480">
        <f>'[96]Sch C'!D130</f>
        <v>0</v>
      </c>
      <c r="D134" s="480">
        <f>'[96]Sch C'!F130</f>
        <v>0</v>
      </c>
      <c r="E134" s="480">
        <f>+'[96]Sch C'!H130</f>
        <v>0</v>
      </c>
      <c r="F134" s="166">
        <f t="shared" ref="F134:F138" si="44">C134+D134+E134</f>
        <v>0</v>
      </c>
      <c r="G134" s="626"/>
      <c r="H134" s="166"/>
      <c r="I134" s="166">
        <f t="shared" ref="I134:I138" si="45">F134+G134+H134</f>
        <v>0</v>
      </c>
      <c r="J134" s="167">
        <f>IF($I$213=0,0,I134/$I$213)</f>
        <v>0</v>
      </c>
      <c r="K134" s="458"/>
      <c r="L134" s="196"/>
      <c r="M134" s="196"/>
      <c r="O134" s="329">
        <f t="shared" si="43"/>
        <v>0</v>
      </c>
      <c r="P134" s="324">
        <f>SUMMARY!L136</f>
        <v>0.14277129220841339</v>
      </c>
    </row>
    <row r="135" spans="1:16" s="162" customFormat="1">
      <c r="A135" s="164"/>
      <c r="B135" s="323" t="s">
        <v>673</v>
      </c>
      <c r="C135" s="480">
        <f>'[96]Sch C'!D131</f>
        <v>27249</v>
      </c>
      <c r="D135" s="480">
        <f>'[96]Sch C'!F131</f>
        <v>0</v>
      </c>
      <c r="E135" s="480">
        <f>+'[96]Sch C'!H131</f>
        <v>0</v>
      </c>
      <c r="F135" s="166">
        <f t="shared" si="44"/>
        <v>27249</v>
      </c>
      <c r="G135" s="626"/>
      <c r="H135" s="166"/>
      <c r="I135" s="166">
        <f t="shared" si="45"/>
        <v>27249</v>
      </c>
      <c r="J135" s="167">
        <f>IF($I$213=0,0,I135/$I$213)</f>
        <v>2.2523034768632466E-3</v>
      </c>
      <c r="K135" s="458"/>
      <c r="L135" s="196"/>
      <c r="M135" s="196"/>
      <c r="O135" s="329">
        <f t="shared" si="43"/>
        <v>0.70065053611375383</v>
      </c>
      <c r="P135" s="324">
        <f>SUMMARY!L137</f>
        <v>1.7172183827658836</v>
      </c>
    </row>
    <row r="136" spans="1:16" s="162" customFormat="1">
      <c r="B136" s="323" t="s">
        <v>674</v>
      </c>
      <c r="C136" s="480">
        <f>'[96]Sch C'!D132</f>
        <v>0</v>
      </c>
      <c r="D136" s="480">
        <f>'[96]Sch C'!F132</f>
        <v>0</v>
      </c>
      <c r="E136" s="480">
        <f>+'[96]Sch C'!H132</f>
        <v>0</v>
      </c>
      <c r="F136" s="166">
        <f t="shared" si="44"/>
        <v>0</v>
      </c>
      <c r="G136" s="626"/>
      <c r="H136" s="166"/>
      <c r="I136" s="166">
        <f t="shared" si="45"/>
        <v>0</v>
      </c>
      <c r="J136" s="167">
        <f>IF($I$213=0,0,I136/$I$213)</f>
        <v>0</v>
      </c>
      <c r="K136" s="458"/>
      <c r="L136" s="163"/>
      <c r="M136" s="163"/>
      <c r="O136" s="329">
        <f t="shared" si="43"/>
        <v>0</v>
      </c>
      <c r="P136" s="324">
        <f>SUMMARY!L138</f>
        <v>0.13474113570830348</v>
      </c>
    </row>
    <row r="137" spans="1:16" s="162" customFormat="1">
      <c r="B137" s="323" t="s">
        <v>683</v>
      </c>
      <c r="C137" s="480">
        <f>'[96]Sch C'!D133</f>
        <v>0</v>
      </c>
      <c r="D137" s="480">
        <f>'[96]Sch C'!F133</f>
        <v>0</v>
      </c>
      <c r="E137" s="480">
        <f>+'[96]Sch C'!H133</f>
        <v>0</v>
      </c>
      <c r="F137" s="166">
        <f t="shared" si="44"/>
        <v>0</v>
      </c>
      <c r="G137" s="626"/>
      <c r="H137" s="166"/>
      <c r="I137" s="166">
        <f t="shared" si="45"/>
        <v>0</v>
      </c>
      <c r="J137" s="167">
        <f>IF($I$213=0,0,I137/$I$213)</f>
        <v>0</v>
      </c>
      <c r="K137" s="458"/>
      <c r="L137" s="163"/>
      <c r="M137" s="163"/>
      <c r="O137" s="329">
        <f t="shared" si="43"/>
        <v>0</v>
      </c>
      <c r="P137" s="324">
        <f>SUMMARY!L139</f>
        <v>2.1178039395593925E-2</v>
      </c>
    </row>
    <row r="138" spans="1:16" s="162" customFormat="1">
      <c r="B138" s="323" t="s">
        <v>684</v>
      </c>
      <c r="C138" s="480">
        <f>'[96]Sch C'!D134</f>
        <v>16048</v>
      </c>
      <c r="D138" s="480">
        <f>'[96]Sch C'!F134</f>
        <v>0</v>
      </c>
      <c r="E138" s="480">
        <f>+'[96]Sch C'!H134</f>
        <v>0</v>
      </c>
      <c r="F138" s="166">
        <f t="shared" si="44"/>
        <v>16048</v>
      </c>
      <c r="G138" s="626"/>
      <c r="H138" s="166"/>
      <c r="I138" s="166">
        <f t="shared" si="45"/>
        <v>16048</v>
      </c>
      <c r="J138" s="167">
        <f>IF($I$213=0,0,I138/$I$213)</f>
        <v>1.3264694556387898E-3</v>
      </c>
      <c r="K138" s="458"/>
      <c r="L138" s="163"/>
      <c r="M138" s="163"/>
      <c r="O138" s="329">
        <f t="shared" si="43"/>
        <v>0.41264045666092414</v>
      </c>
      <c r="P138" s="324">
        <f>SUMMARY!L140</f>
        <v>0.57311755736724024</v>
      </c>
    </row>
    <row r="139" spans="1:16" s="162" customFormat="1">
      <c r="A139" s="164" t="s">
        <v>78</v>
      </c>
      <c r="B139" s="165" t="s">
        <v>56</v>
      </c>
      <c r="C139" s="188"/>
      <c r="D139" s="188"/>
      <c r="E139" s="188"/>
      <c r="F139" s="188"/>
      <c r="G139" s="188"/>
      <c r="H139" s="188"/>
      <c r="I139" s="188"/>
      <c r="J139" s="189"/>
      <c r="K139" s="458"/>
      <c r="L139" s="196"/>
      <c r="M139" s="196"/>
      <c r="O139" s="329"/>
      <c r="P139" s="324"/>
    </row>
    <row r="140" spans="1:16" s="162" customFormat="1">
      <c r="A140" s="164"/>
      <c r="B140" s="323" t="s">
        <v>686</v>
      </c>
      <c r="C140" s="480">
        <f>'[96]Sch C'!D136</f>
        <v>1273680</v>
      </c>
      <c r="D140" s="480">
        <f>'[96]Sch C'!F136</f>
        <v>0</v>
      </c>
      <c r="E140" s="480">
        <f>+'[96]Sch C'!H136</f>
        <v>0</v>
      </c>
      <c r="F140" s="166">
        <f t="shared" ref="F140:F143" si="46">C140+D140+E140</f>
        <v>1273680</v>
      </c>
      <c r="G140" s="626"/>
      <c r="H140" s="166"/>
      <c r="I140" s="166">
        <f t="shared" ref="I140:I143" si="47">F140+G140+H140</f>
        <v>1273680</v>
      </c>
      <c r="J140" s="167">
        <f>IF($I$213=0,0,I140/$I$213)</f>
        <v>0.1052777677129869</v>
      </c>
      <c r="K140" s="458"/>
      <c r="L140" s="176">
        <v>36726</v>
      </c>
      <c r="M140" s="176">
        <v>38741</v>
      </c>
      <c r="O140" s="329">
        <f t="shared" si="43"/>
        <v>32.74999357177753</v>
      </c>
      <c r="P140" s="324">
        <f>SUMMARY!L142</f>
        <v>23.522763912591504</v>
      </c>
    </row>
    <row r="141" spans="1:16" s="162" customFormat="1">
      <c r="A141" s="164"/>
      <c r="B141" s="323" t="s">
        <v>688</v>
      </c>
      <c r="C141" s="480">
        <f>'[96]Sch C'!D137</f>
        <v>544008</v>
      </c>
      <c r="D141" s="480">
        <f>'[96]Sch C'!F137</f>
        <v>0</v>
      </c>
      <c r="E141" s="480">
        <f>+'[96]Sch C'!H137</f>
        <v>0</v>
      </c>
      <c r="F141" s="166">
        <f t="shared" si="46"/>
        <v>544008</v>
      </c>
      <c r="G141" s="626"/>
      <c r="H141" s="166"/>
      <c r="I141" s="166">
        <f t="shared" si="47"/>
        <v>544008</v>
      </c>
      <c r="J141" s="167">
        <f>IF($I$213=0,0,I141/$I$213)</f>
        <v>4.4965727543815226E-2</v>
      </c>
      <c r="K141" s="458"/>
      <c r="L141" s="176">
        <v>22768</v>
      </c>
      <c r="M141" s="176">
        <v>23917</v>
      </c>
      <c r="O141" s="329">
        <f t="shared" si="43"/>
        <v>13.988017793319791</v>
      </c>
      <c r="P141" s="324">
        <f>SUMMARY!L143</f>
        <v>13.698966340347111</v>
      </c>
    </row>
    <row r="142" spans="1:16" s="162" customFormat="1">
      <c r="A142" s="164"/>
      <c r="B142" s="323" t="s">
        <v>690</v>
      </c>
      <c r="C142" s="480">
        <f>'[96]Sch C'!D138</f>
        <v>1355861</v>
      </c>
      <c r="D142" s="480">
        <f>'[96]Sch C'!F138</f>
        <v>23358</v>
      </c>
      <c r="E142" s="480">
        <f>+'[96]Sch C'!H138</f>
        <v>0</v>
      </c>
      <c r="F142" s="166">
        <f t="shared" si="46"/>
        <v>1379219</v>
      </c>
      <c r="G142" s="626"/>
      <c r="H142" s="166"/>
      <c r="I142" s="166">
        <f t="shared" si="47"/>
        <v>1379219</v>
      </c>
      <c r="J142" s="167">
        <f>IF($I$213=0,0,I142/$I$213)</f>
        <v>0.11400123854291351</v>
      </c>
      <c r="K142" s="458"/>
      <c r="L142" s="176">
        <v>110721</v>
      </c>
      <c r="M142" s="176">
        <v>115225</v>
      </c>
      <c r="O142" s="329">
        <f t="shared" si="43"/>
        <v>35.463706255946107</v>
      </c>
      <c r="P142" s="324">
        <f>SUMMARY!L144</f>
        <v>32.258417105951196</v>
      </c>
    </row>
    <row r="143" spans="1:16" s="162" customFormat="1">
      <c r="A143" s="164"/>
      <c r="B143" s="323" t="s">
        <v>692</v>
      </c>
      <c r="C143" s="480">
        <f>'[96]Sch C'!D139</f>
        <v>23358</v>
      </c>
      <c r="D143" s="480">
        <f>'[96]Sch C'!F139</f>
        <v>-23358</v>
      </c>
      <c r="E143" s="480">
        <f>+'[96]Sch C'!H139</f>
        <v>0</v>
      </c>
      <c r="F143" s="166">
        <f t="shared" si="46"/>
        <v>0</v>
      </c>
      <c r="G143" s="626"/>
      <c r="H143" s="166"/>
      <c r="I143" s="166">
        <f t="shared" si="47"/>
        <v>0</v>
      </c>
      <c r="J143" s="167">
        <f>IF($I$213=0,0,I143/$I$213)</f>
        <v>0</v>
      </c>
      <c r="K143" s="458"/>
      <c r="L143" s="176">
        <v>0</v>
      </c>
      <c r="M143" s="176">
        <v>0</v>
      </c>
      <c r="O143" s="329">
        <f t="shared" si="43"/>
        <v>0</v>
      </c>
      <c r="P143" s="324">
        <f>SUMMARY!L145</f>
        <v>1.9999236429814966</v>
      </c>
    </row>
    <row r="144" spans="1:16" s="162" customFormat="1">
      <c r="A144" s="164" t="s">
        <v>88</v>
      </c>
      <c r="B144" s="165" t="s">
        <v>145</v>
      </c>
      <c r="C144" s="188"/>
      <c r="D144" s="188"/>
      <c r="E144" s="188"/>
      <c r="F144" s="188"/>
      <c r="G144" s="188"/>
      <c r="H144" s="188"/>
      <c r="I144" s="188"/>
      <c r="J144" s="189"/>
      <c r="K144" s="458"/>
      <c r="L144" s="365"/>
      <c r="M144" s="365"/>
      <c r="O144" s="329"/>
      <c r="P144" s="324"/>
    </row>
    <row r="145" spans="1:29" s="162" customFormat="1">
      <c r="A145" s="164"/>
      <c r="B145" s="323" t="s">
        <v>681</v>
      </c>
      <c r="C145" s="480">
        <f>'[96]Sch C'!D141</f>
        <v>724996</v>
      </c>
      <c r="D145" s="480">
        <f>'[96]Sch C'!F141</f>
        <v>-436150</v>
      </c>
      <c r="E145" s="480">
        <f>+'[96]Sch C'!H141</f>
        <v>0</v>
      </c>
      <c r="F145" s="166">
        <f t="shared" ref="F145:F148" si="48">C145+D145+E145</f>
        <v>288846</v>
      </c>
      <c r="G145" s="626"/>
      <c r="H145" s="166"/>
      <c r="I145" s="166">
        <f t="shared" ref="I145:I148" si="49">F145+G145+H145</f>
        <v>288846</v>
      </c>
      <c r="J145" s="167">
        <f>IF($I$213=0,0,I145/$I$213)</f>
        <v>2.3874962386804702E-2</v>
      </c>
      <c r="K145" s="458"/>
      <c r="L145" s="163"/>
      <c r="M145" s="163"/>
      <c r="O145" s="329">
        <f t="shared" si="43"/>
        <v>7.4270653878789439</v>
      </c>
      <c r="P145" s="324">
        <f>SUMMARY!L147</f>
        <v>4.4613578559170044</v>
      </c>
    </row>
    <row r="146" spans="1:29" s="162" customFormat="1">
      <c r="A146" s="164"/>
      <c r="B146" s="323" t="s">
        <v>688</v>
      </c>
      <c r="C146" s="480">
        <f>'[96]Sch C'!D142</f>
        <v>0</v>
      </c>
      <c r="D146" s="480">
        <f>'[96]Sch C'!F142</f>
        <v>123370</v>
      </c>
      <c r="E146" s="480">
        <f>+'[96]Sch C'!H142</f>
        <v>0</v>
      </c>
      <c r="F146" s="166">
        <f t="shared" si="48"/>
        <v>123370</v>
      </c>
      <c r="G146" s="626"/>
      <c r="H146" s="166"/>
      <c r="I146" s="166">
        <f t="shared" si="49"/>
        <v>123370</v>
      </c>
      <c r="J146" s="167">
        <f>IF($I$213=0,0,I146/$I$213)</f>
        <v>1.0197316596595058E-2</v>
      </c>
      <c r="K146" s="458"/>
      <c r="L146" s="163"/>
      <c r="M146" s="163"/>
      <c r="O146" s="329">
        <f t="shared" si="43"/>
        <v>3.1721992234707259</v>
      </c>
      <c r="P146" s="324">
        <f>SUMMARY!L148</f>
        <v>2.5881018642050413</v>
      </c>
    </row>
    <row r="147" spans="1:29" s="162" customFormat="1">
      <c r="A147" s="164"/>
      <c r="B147" s="323" t="s">
        <v>690</v>
      </c>
      <c r="C147" s="480">
        <f>'[96]Sch C'!D143</f>
        <v>0</v>
      </c>
      <c r="D147" s="480">
        <f>'[96]Sch C'!F143</f>
        <v>312780</v>
      </c>
      <c r="E147" s="480">
        <f>+'[96]Sch C'!H143</f>
        <v>0</v>
      </c>
      <c r="F147" s="166">
        <f t="shared" si="48"/>
        <v>312780</v>
      </c>
      <c r="G147" s="626"/>
      <c r="H147" s="166"/>
      <c r="I147" s="166">
        <f t="shared" si="49"/>
        <v>312780</v>
      </c>
      <c r="J147" s="167">
        <f>IF($I$213=0,0,I147/$I$213)</f>
        <v>2.5853259990945954E-2</v>
      </c>
      <c r="K147" s="458"/>
      <c r="L147" s="163"/>
      <c r="M147" s="163"/>
      <c r="O147" s="329">
        <f t="shared" si="43"/>
        <v>8.0424776940680367</v>
      </c>
      <c r="P147" s="324">
        <f>SUMMARY!L149</f>
        <v>5.926405773153995</v>
      </c>
    </row>
    <row r="148" spans="1:29" s="162" customFormat="1">
      <c r="A148" s="164"/>
      <c r="B148" s="323" t="s">
        <v>692</v>
      </c>
      <c r="C148" s="480">
        <f>'[96]Sch C'!D144</f>
        <v>0</v>
      </c>
      <c r="D148" s="480">
        <f>'[96]Sch C'!F144</f>
        <v>0</v>
      </c>
      <c r="E148" s="480">
        <f>+'[96]Sch C'!H144</f>
        <v>0</v>
      </c>
      <c r="F148" s="166">
        <f t="shared" si="48"/>
        <v>0</v>
      </c>
      <c r="G148" s="626"/>
      <c r="H148" s="166"/>
      <c r="I148" s="166">
        <f t="shared" si="49"/>
        <v>0</v>
      </c>
      <c r="J148" s="167">
        <f>IF($I$213=0,0,I148/$I$213)</f>
        <v>0</v>
      </c>
      <c r="K148" s="458"/>
      <c r="L148" s="163"/>
      <c r="M148" s="163"/>
      <c r="O148" s="329">
        <f t="shared" si="43"/>
        <v>0</v>
      </c>
      <c r="P148" s="324">
        <f>SUMMARY!L150</f>
        <v>0.58146571018408233</v>
      </c>
    </row>
    <row r="149" spans="1:29" s="162" customFormat="1">
      <c r="A149" s="164" t="s">
        <v>79</v>
      </c>
      <c r="B149" s="165" t="s">
        <v>90</v>
      </c>
      <c r="C149" s="188"/>
      <c r="D149" s="188"/>
      <c r="E149" s="188"/>
      <c r="F149" s="188"/>
      <c r="G149" s="188"/>
      <c r="H149" s="188"/>
      <c r="I149" s="188"/>
      <c r="J149" s="189"/>
      <c r="K149" s="458"/>
      <c r="L149" s="196"/>
      <c r="M149" s="196"/>
      <c r="O149" s="329"/>
      <c r="P149" s="324"/>
    </row>
    <row r="150" spans="1:29" s="162" customFormat="1">
      <c r="A150" s="164"/>
      <c r="B150" s="323" t="s">
        <v>694</v>
      </c>
      <c r="C150" s="480">
        <f>'[96]Sch C'!D146</f>
        <v>86010</v>
      </c>
      <c r="D150" s="480">
        <f>'[96]Sch C'!F146</f>
        <v>0</v>
      </c>
      <c r="E150" s="480">
        <f>+'[96]Sch C'!H146</f>
        <v>0</v>
      </c>
      <c r="F150" s="166">
        <f t="shared" ref="F150:F158" si="50">C150+D150+E150</f>
        <v>86010</v>
      </c>
      <c r="G150" s="626"/>
      <c r="H150" s="166"/>
      <c r="I150" s="166">
        <f t="shared" ref="I150:I158" si="51">F150+G150+H150</f>
        <v>86010</v>
      </c>
      <c r="J150" s="167">
        <f t="shared" ref="J150:J158" si="52">IF($I$213=0,0,I150/$I$213)</f>
        <v>7.1092745438367591E-3</v>
      </c>
      <c r="K150" s="458"/>
      <c r="L150" s="176">
        <v>361</v>
      </c>
      <c r="M150" s="176">
        <v>361</v>
      </c>
      <c r="O150" s="329">
        <f t="shared" si="43"/>
        <v>2.2115656578642873</v>
      </c>
      <c r="P150" s="324">
        <f>SUMMARY!L152</f>
        <v>1.8353464912966555</v>
      </c>
    </row>
    <row r="151" spans="1:29" s="162" customFormat="1">
      <c r="A151" s="164"/>
      <c r="B151" s="323" t="s">
        <v>696</v>
      </c>
      <c r="C151" s="480">
        <f>'[96]Sch C'!D147</f>
        <v>206550</v>
      </c>
      <c r="D151" s="480">
        <f>'[96]Sch C'!F147</f>
        <v>0</v>
      </c>
      <c r="E151" s="480">
        <f>+'[96]Sch C'!H147</f>
        <v>0</v>
      </c>
      <c r="F151" s="166">
        <f t="shared" si="50"/>
        <v>206550</v>
      </c>
      <c r="G151" s="626"/>
      <c r="H151" s="166"/>
      <c r="I151" s="166">
        <f t="shared" si="51"/>
        <v>206550</v>
      </c>
      <c r="J151" s="167">
        <f t="shared" si="52"/>
        <v>1.7072673608062812E-2</v>
      </c>
      <c r="K151" s="458"/>
      <c r="L151" s="176">
        <v>5056</v>
      </c>
      <c r="M151" s="176">
        <v>5056</v>
      </c>
      <c r="O151" s="329">
        <f t="shared" si="43"/>
        <v>5.3109974029981233</v>
      </c>
      <c r="P151" s="324">
        <f>SUMMARY!L153</f>
        <v>1.6124946612088766</v>
      </c>
    </row>
    <row r="152" spans="1:29" s="162" customFormat="1">
      <c r="A152" s="164"/>
      <c r="B152" s="323" t="s">
        <v>698</v>
      </c>
      <c r="C152" s="480">
        <f>'[96]Sch C'!D148</f>
        <v>20966</v>
      </c>
      <c r="D152" s="480">
        <f>'[96]Sch C'!F148</f>
        <v>0</v>
      </c>
      <c r="E152" s="480">
        <f>+'[96]Sch C'!H148</f>
        <v>0</v>
      </c>
      <c r="F152" s="166">
        <f t="shared" si="50"/>
        <v>20966</v>
      </c>
      <c r="G152" s="626"/>
      <c r="H152" s="166"/>
      <c r="I152" s="166">
        <f t="shared" si="51"/>
        <v>20966</v>
      </c>
      <c r="J152" s="167">
        <f t="shared" si="52"/>
        <v>1.7329734924553131E-3</v>
      </c>
      <c r="K152" s="458"/>
      <c r="L152" s="176">
        <v>665</v>
      </c>
      <c r="M152" s="176">
        <v>665</v>
      </c>
      <c r="O152" s="329">
        <f t="shared" si="43"/>
        <v>0.53909644904990872</v>
      </c>
      <c r="P152" s="324">
        <f>SUMMARY!L154</f>
        <v>0.75115383579892336</v>
      </c>
    </row>
    <row r="153" spans="1:29" s="162" customFormat="1">
      <c r="A153" s="164"/>
      <c r="B153" s="323" t="s">
        <v>683</v>
      </c>
      <c r="C153" s="480">
        <f>'[96]Sch C'!D149</f>
        <v>57928</v>
      </c>
      <c r="D153" s="480">
        <f>'[96]Sch C'!F149</f>
        <v>0</v>
      </c>
      <c r="E153" s="480">
        <f>+'[96]Sch C'!H149</f>
        <v>0</v>
      </c>
      <c r="F153" s="166">
        <f t="shared" si="50"/>
        <v>57928</v>
      </c>
      <c r="G153" s="626"/>
      <c r="H153" s="166"/>
      <c r="I153" s="166">
        <f t="shared" si="51"/>
        <v>57928</v>
      </c>
      <c r="J153" s="167">
        <f t="shared" si="52"/>
        <v>4.7881183092126009E-3</v>
      </c>
      <c r="K153" s="458"/>
      <c r="L153" s="176">
        <v>2025</v>
      </c>
      <c r="M153" s="176">
        <v>2025</v>
      </c>
      <c r="O153" s="329">
        <f t="shared" si="43"/>
        <v>1.4894962844874136</v>
      </c>
      <c r="P153" s="324">
        <f>SUMMARY!L155</f>
        <v>2.153048452423644</v>
      </c>
    </row>
    <row r="154" spans="1:29" s="162" customFormat="1">
      <c r="A154" s="164"/>
      <c r="B154" s="323" t="s">
        <v>700</v>
      </c>
      <c r="C154" s="480">
        <f>'[96]Sch C'!D150</f>
        <v>16674</v>
      </c>
      <c r="D154" s="480">
        <f>'[96]Sch C'!F150</f>
        <v>0</v>
      </c>
      <c r="E154" s="480">
        <f>+'[96]Sch C'!H150</f>
        <v>0</v>
      </c>
      <c r="F154" s="166">
        <f t="shared" si="50"/>
        <v>16674</v>
      </c>
      <c r="G154" s="626"/>
      <c r="H154" s="166"/>
      <c r="I154" s="166">
        <f t="shared" si="51"/>
        <v>16674</v>
      </c>
      <c r="J154" s="167">
        <f t="shared" si="52"/>
        <v>1.3782123444243009E-3</v>
      </c>
      <c r="K154" s="458"/>
      <c r="L154" s="176">
        <v>0</v>
      </c>
      <c r="M154" s="176">
        <v>0</v>
      </c>
      <c r="O154" s="329">
        <f t="shared" si="43"/>
        <v>0.42873672572060373</v>
      </c>
      <c r="P154" s="324">
        <f>SUMMARY!L156</f>
        <v>0.8651921749421968</v>
      </c>
    </row>
    <row r="155" spans="1:29" s="162" customFormat="1">
      <c r="A155" s="164">
        <v>110</v>
      </c>
      <c r="B155" s="162" t="s">
        <v>57</v>
      </c>
      <c r="C155" s="480">
        <f>'[96]Sch C'!D151</f>
        <v>207660</v>
      </c>
      <c r="D155" s="480">
        <f>'[96]Sch C'!F151</f>
        <v>0</v>
      </c>
      <c r="E155" s="480">
        <f>+'[96]Sch C'!H151</f>
        <v>0</v>
      </c>
      <c r="F155" s="166">
        <f t="shared" si="50"/>
        <v>207660</v>
      </c>
      <c r="G155" s="626"/>
      <c r="H155" s="166"/>
      <c r="I155" s="166">
        <f t="shared" si="51"/>
        <v>207660</v>
      </c>
      <c r="J155" s="167">
        <f t="shared" si="52"/>
        <v>1.7164422180829454E-2</v>
      </c>
      <c r="K155" s="458"/>
      <c r="L155" s="163"/>
      <c r="M155" s="163"/>
      <c r="O155" s="329">
        <f t="shared" si="43"/>
        <v>5.3395387107557015</v>
      </c>
      <c r="P155" s="324">
        <f>SUMMARY!L157</f>
        <v>5.7407714042076297</v>
      </c>
    </row>
    <row r="156" spans="1:29" s="162" customFormat="1">
      <c r="A156" s="164">
        <v>111</v>
      </c>
      <c r="B156" s="165" t="s">
        <v>89</v>
      </c>
      <c r="C156" s="480">
        <f>'[96]Sch C'!D152</f>
        <v>14089</v>
      </c>
      <c r="D156" s="480">
        <f>'[96]Sch C'!F152</f>
        <v>0</v>
      </c>
      <c r="E156" s="480">
        <f>+'[96]Sch C'!H152</f>
        <v>0</v>
      </c>
      <c r="F156" s="166">
        <f t="shared" si="50"/>
        <v>14089</v>
      </c>
      <c r="G156" s="626"/>
      <c r="H156" s="166"/>
      <c r="I156" s="166">
        <f t="shared" si="51"/>
        <v>14089</v>
      </c>
      <c r="J156" s="167">
        <f t="shared" si="52"/>
        <v>1.1645456231614475E-3</v>
      </c>
      <c r="K156" s="458"/>
      <c r="L156" s="163"/>
      <c r="M156" s="163"/>
      <c r="O156" s="329">
        <f t="shared" si="43"/>
        <v>0.36226890540227819</v>
      </c>
      <c r="P156" s="324">
        <f>SUMMARY!L158</f>
        <v>0.39306127844528371</v>
      </c>
    </row>
    <row r="157" spans="1:29" s="162" customFormat="1">
      <c r="A157" s="164">
        <v>230</v>
      </c>
      <c r="B157" s="165" t="s">
        <v>58</v>
      </c>
      <c r="C157" s="480">
        <f>'[96]Sch C'!D153</f>
        <v>0</v>
      </c>
      <c r="D157" s="480">
        <f>'[96]Sch C'!F153</f>
        <v>0</v>
      </c>
      <c r="E157" s="480">
        <f>+'[96]Sch C'!H153</f>
        <v>0</v>
      </c>
      <c r="F157" s="166">
        <f t="shared" si="50"/>
        <v>0</v>
      </c>
      <c r="G157" s="626"/>
      <c r="H157" s="166"/>
      <c r="I157" s="166">
        <f t="shared" si="51"/>
        <v>0</v>
      </c>
      <c r="J157" s="167">
        <f t="shared" si="52"/>
        <v>0</v>
      </c>
      <c r="K157" s="458"/>
      <c r="L157" s="163"/>
      <c r="M157" s="163"/>
      <c r="O157" s="329">
        <f t="shared" si="43"/>
        <v>0</v>
      </c>
      <c r="P157" s="324">
        <f>SUMMARY!L159</f>
        <v>0.10204288586563798</v>
      </c>
      <c r="R157" s="211"/>
      <c r="S157" s="211"/>
      <c r="T157" s="211"/>
      <c r="U157" s="211"/>
      <c r="V157" s="211"/>
      <c r="W157" s="211"/>
      <c r="X157" s="211"/>
      <c r="Y157" s="211"/>
    </row>
    <row r="158" spans="1:29" s="162" customFormat="1">
      <c r="A158" s="164">
        <v>430</v>
      </c>
      <c r="B158" s="165" t="s">
        <v>91</v>
      </c>
      <c r="C158" s="480">
        <f>'[96]Sch C'!D154</f>
        <v>52176</v>
      </c>
      <c r="D158" s="480">
        <f>'[96]Sch C'!F154</f>
        <v>0</v>
      </c>
      <c r="E158" s="480">
        <f>+'[96]Sch C'!H154</f>
        <v>0</v>
      </c>
      <c r="F158" s="166">
        <f t="shared" si="50"/>
        <v>52176</v>
      </c>
      <c r="G158" s="626"/>
      <c r="H158" s="166"/>
      <c r="I158" s="166">
        <f t="shared" si="51"/>
        <v>52176</v>
      </c>
      <c r="J158" s="167">
        <f t="shared" si="52"/>
        <v>4.3126788582633037E-3</v>
      </c>
      <c r="K158" s="458"/>
      <c r="L158" s="163"/>
      <c r="M158" s="163"/>
      <c r="O158" s="329">
        <f t="shared" si="43"/>
        <v>1.3415957419454372</v>
      </c>
      <c r="P158" s="324">
        <f>SUMMARY!L160</f>
        <v>1.5994484918386225</v>
      </c>
      <c r="R158" s="211"/>
      <c r="S158" s="211"/>
      <c r="T158" s="211"/>
      <c r="U158" s="211"/>
      <c r="V158" s="211"/>
      <c r="W158" s="211"/>
      <c r="X158" s="211"/>
      <c r="Y158" s="211"/>
    </row>
    <row r="159" spans="1:29" s="162" customFormat="1">
      <c r="A159" s="164"/>
      <c r="B159" s="201" t="s">
        <v>93</v>
      </c>
      <c r="C159" s="479"/>
      <c r="D159" s="479"/>
      <c r="E159" s="479"/>
      <c r="F159" s="202"/>
      <c r="G159" s="479"/>
      <c r="H159" s="202"/>
      <c r="I159" s="202"/>
      <c r="J159" s="203"/>
      <c r="K159" s="458"/>
      <c r="L159" s="163"/>
      <c r="M159" s="163"/>
      <c r="O159" s="329"/>
      <c r="P159" s="324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</row>
    <row r="160" spans="1:29" s="162" customFormat="1">
      <c r="A160" s="164">
        <v>440.1</v>
      </c>
      <c r="B160" s="158" t="s">
        <v>207</v>
      </c>
      <c r="C160" s="480">
        <f>'[96]Sch C'!D156</f>
        <v>0</v>
      </c>
      <c r="D160" s="480">
        <f>'[96]Sch C'!F156</f>
        <v>0</v>
      </c>
      <c r="E160" s="480">
        <f>+'[96]Sch C'!H156</f>
        <v>0</v>
      </c>
      <c r="F160" s="166">
        <f t="shared" ref="F160:F165" si="53">C160+D160+E160</f>
        <v>0</v>
      </c>
      <c r="G160" s="626"/>
      <c r="H160" s="166"/>
      <c r="I160" s="166">
        <f t="shared" ref="I160:I165" si="54">F160+G160+H160</f>
        <v>0</v>
      </c>
      <c r="J160" s="167">
        <f t="shared" ref="J160:J166" si="55">IF($I$213=0,0,I160/$I$213)</f>
        <v>0</v>
      </c>
      <c r="K160" s="458"/>
      <c r="L160" s="163"/>
      <c r="M160" s="163"/>
      <c r="O160" s="329">
        <f t="shared" si="43"/>
        <v>0</v>
      </c>
      <c r="P160" s="324">
        <f>SUMMARY!L162</f>
        <v>0</v>
      </c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</row>
    <row r="161" spans="1:33" s="162" customFormat="1">
      <c r="A161" s="164">
        <v>440.2</v>
      </c>
      <c r="B161" s="158" t="s">
        <v>208</v>
      </c>
      <c r="C161" s="480">
        <f>'[96]Sch C'!D157</f>
        <v>0</v>
      </c>
      <c r="D161" s="480">
        <f>'[96]Sch C'!F157</f>
        <v>0</v>
      </c>
      <c r="E161" s="480">
        <f>+'[96]Sch C'!H157</f>
        <v>0</v>
      </c>
      <c r="F161" s="166">
        <f t="shared" si="53"/>
        <v>0</v>
      </c>
      <c r="G161" s="626"/>
      <c r="H161" s="166"/>
      <c r="I161" s="166">
        <f t="shared" si="54"/>
        <v>0</v>
      </c>
      <c r="J161" s="167">
        <f t="shared" si="55"/>
        <v>0</v>
      </c>
      <c r="K161" s="458"/>
      <c r="L161" s="163"/>
      <c r="M161" s="163"/>
      <c r="O161" s="329">
        <f t="shared" si="43"/>
        <v>0</v>
      </c>
      <c r="P161" s="324">
        <f>SUMMARY!L163</f>
        <v>1.902167931499783E-2</v>
      </c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</row>
    <row r="162" spans="1:33" s="162" customFormat="1">
      <c r="A162" s="164">
        <v>440.3</v>
      </c>
      <c r="B162" s="158" t="s">
        <v>209</v>
      </c>
      <c r="C162" s="480">
        <f>'[96]Sch C'!D158</f>
        <v>0</v>
      </c>
      <c r="D162" s="480">
        <f>'[96]Sch C'!F158</f>
        <v>0</v>
      </c>
      <c r="E162" s="480">
        <f>+'[96]Sch C'!H158</f>
        <v>0</v>
      </c>
      <c r="F162" s="166">
        <f t="shared" si="53"/>
        <v>0</v>
      </c>
      <c r="G162" s="626"/>
      <c r="H162" s="166"/>
      <c r="I162" s="166">
        <f t="shared" si="54"/>
        <v>0</v>
      </c>
      <c r="J162" s="167">
        <f t="shared" si="55"/>
        <v>0</v>
      </c>
      <c r="K162" s="458"/>
      <c r="L162" s="163"/>
      <c r="M162" s="163"/>
      <c r="O162" s="329">
        <f t="shared" si="43"/>
        <v>0</v>
      </c>
      <c r="P162" s="324">
        <f>SUMMARY!L164</f>
        <v>3.2668124805482774E-3</v>
      </c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</row>
    <row r="163" spans="1:33" s="162" customFormat="1">
      <c r="A163" s="164">
        <v>440.4</v>
      </c>
      <c r="B163" s="158" t="s">
        <v>210</v>
      </c>
      <c r="C163" s="480">
        <f>'[96]Sch C'!D159</f>
        <v>0</v>
      </c>
      <c r="D163" s="480">
        <f>'[96]Sch C'!F159</f>
        <v>0</v>
      </c>
      <c r="E163" s="480">
        <f>+'[96]Sch C'!H159</f>
        <v>0</v>
      </c>
      <c r="F163" s="166">
        <f t="shared" si="53"/>
        <v>0</v>
      </c>
      <c r="G163" s="626"/>
      <c r="H163" s="166"/>
      <c r="I163" s="166">
        <f t="shared" si="54"/>
        <v>0</v>
      </c>
      <c r="J163" s="167">
        <f t="shared" si="55"/>
        <v>0</v>
      </c>
      <c r="K163" s="458"/>
      <c r="L163" s="163"/>
      <c r="M163" s="163"/>
      <c r="O163" s="329">
        <f t="shared" si="43"/>
        <v>0</v>
      </c>
      <c r="P163" s="324">
        <f>SUMMARY!L165</f>
        <v>8.1576082215767929E-4</v>
      </c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</row>
    <row r="164" spans="1:33" s="162" customFormat="1">
      <c r="A164" s="164">
        <v>440.5</v>
      </c>
      <c r="B164" s="158" t="s">
        <v>282</v>
      </c>
      <c r="C164" s="480">
        <f>'[96]Sch C'!D160</f>
        <v>-45</v>
      </c>
      <c r="D164" s="480">
        <f>'[96]Sch C'!F160</f>
        <v>0</v>
      </c>
      <c r="E164" s="480">
        <f>+'[96]Sch C'!H160</f>
        <v>0</v>
      </c>
      <c r="F164" s="166">
        <f t="shared" si="53"/>
        <v>-45</v>
      </c>
      <c r="G164" s="626"/>
      <c r="H164" s="166"/>
      <c r="I164" s="166">
        <f t="shared" si="54"/>
        <v>-45</v>
      </c>
      <c r="J164" s="167">
        <f>IF($I$213=0,0,I164/$I$213)</f>
        <v>-3.7195367337827481E-6</v>
      </c>
      <c r="K164" s="458"/>
      <c r="L164" s="163"/>
      <c r="M164" s="163"/>
      <c r="O164" s="329">
        <f t="shared" si="43"/>
        <v>-1.1570800442261707E-3</v>
      </c>
      <c r="P164" s="324">
        <f>SUMMARY!L166</f>
        <v>9.900111029624771E-3</v>
      </c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</row>
    <row r="165" spans="1:33" s="162" customFormat="1">
      <c r="A165" s="164">
        <v>490</v>
      </c>
      <c r="B165" s="194" t="s">
        <v>296</v>
      </c>
      <c r="C165" s="480">
        <f>'[96]Sch C'!D161</f>
        <v>24049</v>
      </c>
      <c r="D165" s="480">
        <f>'[96]Sch C'!F161</f>
        <v>0</v>
      </c>
      <c r="E165" s="480">
        <f>+'[96]Sch C'!H161</f>
        <v>0</v>
      </c>
      <c r="F165" s="166">
        <f t="shared" si="53"/>
        <v>24049</v>
      </c>
      <c r="G165" s="626"/>
      <c r="H165" s="166"/>
      <c r="I165" s="166">
        <f t="shared" si="54"/>
        <v>24049</v>
      </c>
      <c r="J165" s="167">
        <f t="shared" si="55"/>
        <v>1.9878030869053625E-3</v>
      </c>
      <c r="K165" s="458"/>
      <c r="L165" s="163"/>
      <c r="M165" s="163"/>
      <c r="O165" s="329">
        <f t="shared" si="43"/>
        <v>0.61836928852433726</v>
      </c>
      <c r="P165" s="324">
        <f>SUMMARY!L167</f>
        <v>0.46627165535370629</v>
      </c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</row>
    <row r="166" spans="1:33" s="162" customFormat="1">
      <c r="A166" s="164"/>
      <c r="B166" s="165" t="s">
        <v>216</v>
      </c>
      <c r="C166" s="480">
        <f t="shared" ref="C166:E166" si="56">SUM(C128:C165)</f>
        <v>5062089</v>
      </c>
      <c r="D166" s="480">
        <f t="shared" si="56"/>
        <v>0</v>
      </c>
      <c r="E166" s="480">
        <f t="shared" si="56"/>
        <v>0</v>
      </c>
      <c r="F166" s="166">
        <f t="shared" ref="F166:I166" si="57">SUM(F128:F165)</f>
        <v>5062089</v>
      </c>
      <c r="G166" s="166">
        <f t="shared" si="57"/>
        <v>0</v>
      </c>
      <c r="H166" s="166">
        <f t="shared" si="57"/>
        <v>0</v>
      </c>
      <c r="I166" s="166">
        <f t="shared" si="57"/>
        <v>5062089</v>
      </c>
      <c r="J166" s="167">
        <f t="shared" si="55"/>
        <v>0.41841391078172391</v>
      </c>
      <c r="K166" s="458"/>
      <c r="L166" s="163"/>
      <c r="M166" s="163"/>
      <c r="O166" s="329">
        <f>I166/I$233</f>
        <v>130.16093697770691</v>
      </c>
      <c r="P166" s="324">
        <f>SUMMARY!L168</f>
        <v>117.25773185217372</v>
      </c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</row>
    <row r="167" spans="1:33" s="162" customFormat="1">
      <c r="A167" s="164"/>
      <c r="B167" s="165"/>
      <c r="C167" s="188"/>
      <c r="D167" s="188"/>
      <c r="E167" s="188"/>
      <c r="F167" s="188"/>
      <c r="G167" s="188"/>
      <c r="H167" s="188"/>
      <c r="I167" s="188"/>
      <c r="J167" s="189"/>
      <c r="K167" s="458"/>
      <c r="L167" s="163"/>
      <c r="M167" s="163"/>
      <c r="O167" s="324"/>
      <c r="P167" s="324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</row>
    <row r="168" spans="1:33" s="162" customFormat="1">
      <c r="A168" s="164" t="s">
        <v>160</v>
      </c>
      <c r="B168" s="204" t="s">
        <v>92</v>
      </c>
      <c r="C168" s="205"/>
      <c r="D168" s="205"/>
      <c r="E168" s="205"/>
      <c r="F168" s="205"/>
      <c r="G168" s="205"/>
      <c r="H168" s="205"/>
      <c r="I168" s="205"/>
      <c r="J168" s="206"/>
      <c r="K168" s="458"/>
      <c r="L168" s="163"/>
      <c r="M168" s="163"/>
      <c r="O168" s="324"/>
      <c r="P168" s="324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</row>
    <row r="169" spans="1:33" s="211" customFormat="1">
      <c r="A169" s="207" t="s">
        <v>87</v>
      </c>
      <c r="B169" s="145" t="s">
        <v>94</v>
      </c>
      <c r="C169" s="480">
        <f>'[96]Sch C'!D175</f>
        <v>0</v>
      </c>
      <c r="D169" s="480">
        <f>'[96]Sch C'!F175</f>
        <v>0</v>
      </c>
      <c r="E169" s="480">
        <f>+'[96]Sch C'!H175</f>
        <v>0</v>
      </c>
      <c r="F169" s="166">
        <f t="shared" ref="F169:F201" si="58">C169+D169+E169</f>
        <v>0</v>
      </c>
      <c r="G169" s="626"/>
      <c r="H169" s="166"/>
      <c r="I169" s="166">
        <f t="shared" ref="I169:I201" si="59">F169+G169+H169</f>
        <v>0</v>
      </c>
      <c r="J169" s="167">
        <f t="shared" ref="J169:J201" si="60">IF($I$213=0,0,I169/$I$213)</f>
        <v>0</v>
      </c>
      <c r="K169" s="468"/>
      <c r="L169" s="176">
        <v>0</v>
      </c>
      <c r="M169" s="176">
        <v>0</v>
      </c>
      <c r="N169" s="208"/>
      <c r="O169" s="329">
        <f>I169/I$233</f>
        <v>0</v>
      </c>
      <c r="P169" s="324">
        <f>SUMMARY!L171</f>
        <v>0</v>
      </c>
      <c r="Q169" s="210"/>
    </row>
    <row r="170" spans="1:33" s="211" customFormat="1">
      <c r="A170" s="207" t="s">
        <v>115</v>
      </c>
      <c r="B170" s="145" t="s">
        <v>95</v>
      </c>
      <c r="C170" s="480">
        <f>'[96]Sch C'!D176</f>
        <v>0</v>
      </c>
      <c r="D170" s="480">
        <f>'[96]Sch C'!F176</f>
        <v>0</v>
      </c>
      <c r="E170" s="480">
        <f>+'[96]Sch C'!H176</f>
        <v>0</v>
      </c>
      <c r="F170" s="166">
        <f t="shared" si="58"/>
        <v>0</v>
      </c>
      <c r="G170" s="626"/>
      <c r="H170" s="166"/>
      <c r="I170" s="166">
        <f t="shared" si="59"/>
        <v>0</v>
      </c>
      <c r="J170" s="167">
        <f t="shared" si="60"/>
        <v>0</v>
      </c>
      <c r="K170" s="469"/>
      <c r="L170" s="212"/>
      <c r="M170" s="212"/>
      <c r="N170" s="208"/>
      <c r="O170" s="329">
        <f t="shared" ref="O170:O201" si="61">I170/I$233</f>
        <v>0</v>
      </c>
      <c r="P170" s="324">
        <f>SUMMARY!L172</f>
        <v>0</v>
      </c>
      <c r="Q170" s="210"/>
    </row>
    <row r="171" spans="1:33" s="211" customFormat="1">
      <c r="A171" s="207" t="s">
        <v>116</v>
      </c>
      <c r="B171" s="145" t="s">
        <v>96</v>
      </c>
      <c r="C171" s="480">
        <f>'[96]Sch C'!D177</f>
        <v>0</v>
      </c>
      <c r="D171" s="480">
        <f>'[96]Sch C'!F177</f>
        <v>0</v>
      </c>
      <c r="E171" s="480">
        <f>+'[96]Sch C'!H177</f>
        <v>0</v>
      </c>
      <c r="F171" s="166">
        <f t="shared" si="58"/>
        <v>0</v>
      </c>
      <c r="G171" s="626"/>
      <c r="H171" s="166"/>
      <c r="I171" s="166">
        <f t="shared" si="59"/>
        <v>0</v>
      </c>
      <c r="J171" s="167">
        <f t="shared" si="60"/>
        <v>0</v>
      </c>
      <c r="K171" s="468"/>
      <c r="L171" s="176">
        <v>0</v>
      </c>
      <c r="M171" s="176">
        <v>0</v>
      </c>
      <c r="N171" s="208"/>
      <c r="O171" s="329">
        <f t="shared" si="61"/>
        <v>0</v>
      </c>
      <c r="P171" s="324">
        <f>SUMMARY!L173</f>
        <v>5.1847498620055372</v>
      </c>
      <c r="Q171" s="210"/>
    </row>
    <row r="172" spans="1:33" s="211" customFormat="1">
      <c r="A172" s="207" t="s">
        <v>149</v>
      </c>
      <c r="B172" s="145" t="s">
        <v>97</v>
      </c>
      <c r="C172" s="480">
        <f>'[96]Sch C'!D178</f>
        <v>0</v>
      </c>
      <c r="D172" s="480">
        <f>'[96]Sch C'!F178</f>
        <v>0</v>
      </c>
      <c r="E172" s="480">
        <f>+'[96]Sch C'!H178</f>
        <v>0</v>
      </c>
      <c r="F172" s="166">
        <f t="shared" si="58"/>
        <v>0</v>
      </c>
      <c r="G172" s="626"/>
      <c r="H172" s="166"/>
      <c r="I172" s="166">
        <f t="shared" si="59"/>
        <v>0</v>
      </c>
      <c r="J172" s="167">
        <f t="shared" si="60"/>
        <v>0</v>
      </c>
      <c r="K172" s="469"/>
      <c r="L172" s="212"/>
      <c r="M172" s="212"/>
      <c r="N172" s="208"/>
      <c r="O172" s="329">
        <f t="shared" si="61"/>
        <v>0</v>
      </c>
      <c r="P172" s="324">
        <f>SUMMARY!L174</f>
        <v>0.98583410796026272</v>
      </c>
      <c r="Q172" s="210"/>
    </row>
    <row r="173" spans="1:33" s="211" customFormat="1">
      <c r="A173" s="207" t="s">
        <v>150</v>
      </c>
      <c r="B173" s="145" t="s">
        <v>297</v>
      </c>
      <c r="C173" s="480">
        <f>'[96]Sch C'!D179</f>
        <v>0</v>
      </c>
      <c r="D173" s="480">
        <f>'[96]Sch C'!F179</f>
        <v>0</v>
      </c>
      <c r="E173" s="480">
        <f>+'[96]Sch C'!H179</f>
        <v>0</v>
      </c>
      <c r="F173" s="166">
        <f t="shared" si="58"/>
        <v>0</v>
      </c>
      <c r="G173" s="626"/>
      <c r="H173" s="166"/>
      <c r="I173" s="166">
        <f t="shared" si="59"/>
        <v>0</v>
      </c>
      <c r="J173" s="167">
        <f t="shared" si="60"/>
        <v>0</v>
      </c>
      <c r="K173" s="468"/>
      <c r="L173" s="176">
        <v>0</v>
      </c>
      <c r="M173" s="176">
        <v>0</v>
      </c>
      <c r="N173" s="208"/>
      <c r="O173" s="329">
        <f t="shared" si="61"/>
        <v>0</v>
      </c>
      <c r="P173" s="324">
        <f>SUMMARY!L175</f>
        <v>0.88344885118675753</v>
      </c>
      <c r="Q173" s="210"/>
    </row>
    <row r="174" spans="1:33" s="211" customFormat="1">
      <c r="A174" s="207" t="s">
        <v>78</v>
      </c>
      <c r="B174" s="145" t="s">
        <v>298</v>
      </c>
      <c r="C174" s="480">
        <f>'[96]Sch C'!D180</f>
        <v>0</v>
      </c>
      <c r="D174" s="480">
        <f>'[96]Sch C'!F180</f>
        <v>0</v>
      </c>
      <c r="E174" s="480">
        <f>+'[96]Sch C'!H180</f>
        <v>0</v>
      </c>
      <c r="F174" s="166">
        <f t="shared" si="58"/>
        <v>0</v>
      </c>
      <c r="G174" s="626"/>
      <c r="H174" s="166"/>
      <c r="I174" s="166">
        <f t="shared" si="59"/>
        <v>0</v>
      </c>
      <c r="J174" s="167">
        <f t="shared" si="60"/>
        <v>0</v>
      </c>
      <c r="K174" s="469"/>
      <c r="L174" s="212"/>
      <c r="M174" s="212"/>
      <c r="N174" s="208"/>
      <c r="O174" s="329">
        <f t="shared" si="61"/>
        <v>0</v>
      </c>
      <c r="P174" s="324">
        <f>SUMMARY!L176</f>
        <v>0.17287917374835396</v>
      </c>
      <c r="Q174" s="210"/>
    </row>
    <row r="175" spans="1:33" s="211" customFormat="1">
      <c r="A175" s="207" t="s">
        <v>88</v>
      </c>
      <c r="B175" s="145" t="s">
        <v>299</v>
      </c>
      <c r="C175" s="480">
        <f>'[96]Sch C'!D181</f>
        <v>0</v>
      </c>
      <c r="D175" s="480">
        <f>'[96]Sch C'!F181</f>
        <v>0</v>
      </c>
      <c r="E175" s="480">
        <f>+'[96]Sch C'!H181</f>
        <v>0</v>
      </c>
      <c r="F175" s="166">
        <f t="shared" si="58"/>
        <v>0</v>
      </c>
      <c r="G175" s="626"/>
      <c r="H175" s="166"/>
      <c r="I175" s="166">
        <f t="shared" si="59"/>
        <v>0</v>
      </c>
      <c r="J175" s="167">
        <f t="shared" si="60"/>
        <v>0</v>
      </c>
      <c r="K175" s="468"/>
      <c r="L175" s="176">
        <v>0</v>
      </c>
      <c r="M175" s="176">
        <v>0</v>
      </c>
      <c r="N175" s="208"/>
      <c r="O175" s="329">
        <f t="shared" si="61"/>
        <v>0</v>
      </c>
      <c r="P175" s="324">
        <f>SUMMARY!L177</f>
        <v>0</v>
      </c>
      <c r="Q175" s="210"/>
    </row>
    <row r="176" spans="1:33" s="211" customFormat="1">
      <c r="A176" s="207" t="s">
        <v>117</v>
      </c>
      <c r="B176" s="145" t="s">
        <v>101</v>
      </c>
      <c r="C176" s="480">
        <f>'[96]Sch C'!D182</f>
        <v>0</v>
      </c>
      <c r="D176" s="480">
        <f>'[96]Sch C'!F182</f>
        <v>0</v>
      </c>
      <c r="E176" s="480">
        <f>+'[96]Sch C'!H182</f>
        <v>0</v>
      </c>
      <c r="F176" s="166">
        <f t="shared" si="58"/>
        <v>0</v>
      </c>
      <c r="G176" s="626"/>
      <c r="H176" s="166"/>
      <c r="I176" s="166">
        <f t="shared" si="59"/>
        <v>0</v>
      </c>
      <c r="J176" s="167">
        <f t="shared" si="60"/>
        <v>0</v>
      </c>
      <c r="K176" s="469"/>
      <c r="L176" s="212"/>
      <c r="M176" s="212"/>
      <c r="N176" s="208"/>
      <c r="O176" s="329">
        <f t="shared" si="61"/>
        <v>0</v>
      </c>
      <c r="P176" s="324">
        <f>SUMMARY!L178</f>
        <v>0</v>
      </c>
      <c r="Q176" s="210"/>
    </row>
    <row r="177" spans="1:29" s="211" customFormat="1">
      <c r="A177" s="207" t="s">
        <v>118</v>
      </c>
      <c r="B177" s="145" t="s">
        <v>300</v>
      </c>
      <c r="C177" s="480">
        <f>'[96]Sch C'!D183</f>
        <v>0</v>
      </c>
      <c r="D177" s="480">
        <f>'[96]Sch C'!F183</f>
        <v>0</v>
      </c>
      <c r="E177" s="480">
        <f>+'[96]Sch C'!H183</f>
        <v>0</v>
      </c>
      <c r="F177" s="166">
        <f t="shared" si="58"/>
        <v>0</v>
      </c>
      <c r="G177" s="626"/>
      <c r="H177" s="166"/>
      <c r="I177" s="166">
        <f t="shared" si="59"/>
        <v>0</v>
      </c>
      <c r="J177" s="167">
        <f t="shared" si="60"/>
        <v>0</v>
      </c>
      <c r="K177" s="468"/>
      <c r="L177" s="176">
        <v>0</v>
      </c>
      <c r="M177" s="176">
        <v>0</v>
      </c>
      <c r="N177" s="208"/>
      <c r="O177" s="329">
        <f t="shared" si="61"/>
        <v>0</v>
      </c>
      <c r="P177" s="324">
        <f>SUMMARY!L179</f>
        <v>3.4216730728324949</v>
      </c>
      <c r="Q177" s="210"/>
    </row>
    <row r="178" spans="1:29" s="211" customFormat="1">
      <c r="A178" s="207" t="s">
        <v>119</v>
      </c>
      <c r="B178" s="145" t="s">
        <v>103</v>
      </c>
      <c r="C178" s="480">
        <f>'[96]Sch C'!D184</f>
        <v>0</v>
      </c>
      <c r="D178" s="480">
        <f>'[96]Sch C'!F184</f>
        <v>0</v>
      </c>
      <c r="E178" s="480">
        <f>+'[96]Sch C'!H184</f>
        <v>0</v>
      </c>
      <c r="F178" s="166">
        <f t="shared" si="58"/>
        <v>0</v>
      </c>
      <c r="G178" s="626"/>
      <c r="H178" s="166"/>
      <c r="I178" s="166">
        <f t="shared" si="59"/>
        <v>0</v>
      </c>
      <c r="J178" s="167">
        <f t="shared" si="60"/>
        <v>0</v>
      </c>
      <c r="K178" s="469"/>
      <c r="L178" s="212"/>
      <c r="M178" s="212"/>
      <c r="N178" s="208"/>
      <c r="O178" s="329">
        <f t="shared" si="61"/>
        <v>0</v>
      </c>
      <c r="P178" s="324">
        <f>SUMMARY!L180</f>
        <v>0.66424056228476069</v>
      </c>
      <c r="Q178" s="210"/>
    </row>
    <row r="179" spans="1:29" s="211" customFormat="1">
      <c r="A179" s="207" t="s">
        <v>120</v>
      </c>
      <c r="B179" s="145" t="s">
        <v>301</v>
      </c>
      <c r="C179" s="480">
        <f>'[96]Sch C'!D185</f>
        <v>0</v>
      </c>
      <c r="D179" s="480">
        <f>'[96]Sch C'!F185</f>
        <v>0</v>
      </c>
      <c r="E179" s="480">
        <f>+'[96]Sch C'!H185</f>
        <v>0</v>
      </c>
      <c r="F179" s="166">
        <f t="shared" si="58"/>
        <v>0</v>
      </c>
      <c r="G179" s="626"/>
      <c r="H179" s="166"/>
      <c r="I179" s="166">
        <f t="shared" si="59"/>
        <v>0</v>
      </c>
      <c r="J179" s="167">
        <f t="shared" si="60"/>
        <v>0</v>
      </c>
      <c r="K179" s="468"/>
      <c r="L179" s="176">
        <v>0</v>
      </c>
      <c r="M179" s="176">
        <v>0</v>
      </c>
      <c r="N179" s="208"/>
      <c r="O179" s="329">
        <f t="shared" si="61"/>
        <v>0</v>
      </c>
      <c r="P179" s="324">
        <f>SUMMARY!L181</f>
        <v>0</v>
      </c>
      <c r="Q179" s="210"/>
    </row>
    <row r="180" spans="1:29" s="211" customFormat="1">
      <c r="A180" s="207" t="s">
        <v>121</v>
      </c>
      <c r="B180" s="145" t="s">
        <v>302</v>
      </c>
      <c r="C180" s="480">
        <f>'[96]Sch C'!D186</f>
        <v>0</v>
      </c>
      <c r="D180" s="480">
        <f>'[96]Sch C'!F186</f>
        <v>0</v>
      </c>
      <c r="E180" s="480">
        <f>+'[96]Sch C'!H186</f>
        <v>0</v>
      </c>
      <c r="F180" s="166">
        <f t="shared" si="58"/>
        <v>0</v>
      </c>
      <c r="G180" s="626"/>
      <c r="H180" s="166"/>
      <c r="I180" s="166">
        <f t="shared" si="59"/>
        <v>0</v>
      </c>
      <c r="J180" s="167">
        <f t="shared" si="60"/>
        <v>0</v>
      </c>
      <c r="K180" s="458"/>
      <c r="L180" s="213"/>
      <c r="M180" s="208"/>
      <c r="N180" s="210"/>
      <c r="O180" s="329">
        <f t="shared" si="61"/>
        <v>0</v>
      </c>
      <c r="P180" s="324">
        <f>SUMMARY!L182</f>
        <v>0</v>
      </c>
      <c r="Q180" s="210"/>
    </row>
    <row r="181" spans="1:29" s="211" customFormat="1">
      <c r="A181" s="214" t="s">
        <v>274</v>
      </c>
      <c r="B181" s="145" t="s">
        <v>146</v>
      </c>
      <c r="C181" s="480">
        <f>'[96]Sch C'!D187</f>
        <v>0</v>
      </c>
      <c r="D181" s="480">
        <f>'[96]Sch C'!F187</f>
        <v>0</v>
      </c>
      <c r="E181" s="480">
        <f>+'[96]Sch C'!H187</f>
        <v>0</v>
      </c>
      <c r="F181" s="166">
        <f t="shared" si="58"/>
        <v>0</v>
      </c>
      <c r="G181" s="626"/>
      <c r="H181" s="166"/>
      <c r="I181" s="166">
        <f t="shared" si="59"/>
        <v>0</v>
      </c>
      <c r="J181" s="167">
        <f t="shared" si="60"/>
        <v>0</v>
      </c>
      <c r="K181" s="458"/>
      <c r="L181" s="213"/>
      <c r="M181" s="208"/>
      <c r="N181" s="210"/>
      <c r="O181" s="329">
        <f t="shared" si="61"/>
        <v>0</v>
      </c>
      <c r="P181" s="324">
        <f>SUMMARY!L183</f>
        <v>0</v>
      </c>
      <c r="Q181" s="210"/>
    </row>
    <row r="182" spans="1:29" s="211" customFormat="1">
      <c r="A182" s="214" t="s">
        <v>275</v>
      </c>
      <c r="B182" s="145" t="s">
        <v>303</v>
      </c>
      <c r="C182" s="480">
        <f>'[96]Sch C'!D188</f>
        <v>624</v>
      </c>
      <c r="D182" s="480">
        <f>'[96]Sch C'!F188</f>
        <v>0</v>
      </c>
      <c r="E182" s="480">
        <f>+'[96]Sch C'!H188</f>
        <v>0</v>
      </c>
      <c r="F182" s="166">
        <f t="shared" si="58"/>
        <v>624</v>
      </c>
      <c r="G182" s="626"/>
      <c r="H182" s="166"/>
      <c r="I182" s="166">
        <f t="shared" si="59"/>
        <v>624</v>
      </c>
      <c r="J182" s="167">
        <f t="shared" si="60"/>
        <v>5.1577576041787435E-5</v>
      </c>
      <c r="K182" s="458"/>
      <c r="L182" s="213"/>
      <c r="M182" s="208"/>
      <c r="N182" s="210"/>
      <c r="O182" s="329">
        <f t="shared" si="61"/>
        <v>1.6044843279936234E-2</v>
      </c>
      <c r="P182" s="324">
        <f>SUMMARY!L184</f>
        <v>0.18052498920395743</v>
      </c>
      <c r="Q182" s="210"/>
    </row>
    <row r="183" spans="1:29" s="211" customFormat="1">
      <c r="A183" s="214" t="s">
        <v>276</v>
      </c>
      <c r="B183" s="145" t="s">
        <v>304</v>
      </c>
      <c r="C183" s="480">
        <f>'[96]Sch C'!D189</f>
        <v>0</v>
      </c>
      <c r="D183" s="480">
        <f>'[96]Sch C'!F189</f>
        <v>0</v>
      </c>
      <c r="E183" s="480">
        <f>+'[96]Sch C'!H189</f>
        <v>0</v>
      </c>
      <c r="F183" s="166">
        <f t="shared" si="58"/>
        <v>0</v>
      </c>
      <c r="G183" s="626"/>
      <c r="H183" s="166"/>
      <c r="I183" s="166">
        <f t="shared" si="59"/>
        <v>0</v>
      </c>
      <c r="J183" s="167">
        <f t="shared" si="60"/>
        <v>0</v>
      </c>
      <c r="K183" s="458"/>
      <c r="L183" s="213"/>
      <c r="M183" s="208"/>
      <c r="N183" s="210"/>
      <c r="O183" s="329">
        <f t="shared" si="61"/>
        <v>0</v>
      </c>
      <c r="P183" s="324">
        <f>SUMMARY!L185</f>
        <v>4.1546736364409788E-2</v>
      </c>
      <c r="Q183" s="210"/>
    </row>
    <row r="184" spans="1:29" s="211" customFormat="1">
      <c r="A184" s="214" t="s">
        <v>277</v>
      </c>
      <c r="B184" s="145" t="s">
        <v>305</v>
      </c>
      <c r="C184" s="480">
        <f>'[96]Sch C'!D190</f>
        <v>0</v>
      </c>
      <c r="D184" s="480">
        <f>'[96]Sch C'!F190</f>
        <v>0</v>
      </c>
      <c r="E184" s="480">
        <f>+'[96]Sch C'!H190</f>
        <v>0</v>
      </c>
      <c r="F184" s="166">
        <f t="shared" si="58"/>
        <v>0</v>
      </c>
      <c r="G184" s="626"/>
      <c r="H184" s="166"/>
      <c r="I184" s="166">
        <f t="shared" si="59"/>
        <v>0</v>
      </c>
      <c r="J184" s="167">
        <f t="shared" si="60"/>
        <v>0</v>
      </c>
      <c r="K184" s="458"/>
      <c r="L184" s="213"/>
      <c r="M184" s="208"/>
      <c r="N184" s="210"/>
      <c r="O184" s="329">
        <f t="shared" si="61"/>
        <v>0</v>
      </c>
      <c r="P184" s="324">
        <f>SUMMARY!L186</f>
        <v>0</v>
      </c>
      <c r="Q184" s="210"/>
    </row>
    <row r="185" spans="1:29" s="211" customFormat="1">
      <c r="A185" s="214" t="s">
        <v>278</v>
      </c>
      <c r="B185" s="145" t="s">
        <v>306</v>
      </c>
      <c r="C185" s="480">
        <f>'[96]Sch C'!D191</f>
        <v>0</v>
      </c>
      <c r="D185" s="480">
        <f>'[96]Sch C'!F191</f>
        <v>0</v>
      </c>
      <c r="E185" s="480">
        <f>+'[96]Sch C'!H191</f>
        <v>0</v>
      </c>
      <c r="F185" s="166">
        <f t="shared" si="58"/>
        <v>0</v>
      </c>
      <c r="G185" s="626"/>
      <c r="H185" s="166"/>
      <c r="I185" s="166">
        <f t="shared" si="59"/>
        <v>0</v>
      </c>
      <c r="J185" s="167">
        <f t="shared" si="60"/>
        <v>0</v>
      </c>
      <c r="K185" s="458"/>
      <c r="L185" s="213"/>
      <c r="M185" s="208"/>
      <c r="N185" s="210"/>
      <c r="O185" s="329">
        <f t="shared" si="61"/>
        <v>0</v>
      </c>
      <c r="P185" s="324">
        <f>SUMMARY!L187</f>
        <v>8.8642067843300684E-2</v>
      </c>
      <c r="Q185" s="210"/>
    </row>
    <row r="186" spans="1:29" s="211" customFormat="1">
      <c r="A186" s="214" t="s">
        <v>279</v>
      </c>
      <c r="B186" s="145" t="s">
        <v>109</v>
      </c>
      <c r="C186" s="480">
        <f>'[96]Sch C'!D192</f>
        <v>0</v>
      </c>
      <c r="D186" s="480">
        <f>'[96]Sch C'!F192</f>
        <v>0</v>
      </c>
      <c r="E186" s="480">
        <f>+'[96]Sch C'!H192</f>
        <v>0</v>
      </c>
      <c r="F186" s="166">
        <f t="shared" si="58"/>
        <v>0</v>
      </c>
      <c r="G186" s="626"/>
      <c r="H186" s="166"/>
      <c r="I186" s="166">
        <f t="shared" si="59"/>
        <v>0</v>
      </c>
      <c r="J186" s="167">
        <f t="shared" si="60"/>
        <v>0</v>
      </c>
      <c r="K186" s="458"/>
      <c r="L186" s="213"/>
      <c r="M186" s="208"/>
      <c r="N186" s="210"/>
      <c r="O186" s="329">
        <f t="shared" si="61"/>
        <v>0</v>
      </c>
      <c r="P186" s="324">
        <f>SUMMARY!L188</f>
        <v>0.23792429524187983</v>
      </c>
      <c r="Q186" s="210"/>
    </row>
    <row r="187" spans="1:29" s="211" customFormat="1">
      <c r="A187" s="214" t="s">
        <v>124</v>
      </c>
      <c r="B187" s="145" t="s">
        <v>110</v>
      </c>
      <c r="C187" s="480">
        <f>'[96]Sch C'!D193</f>
        <v>410</v>
      </c>
      <c r="D187" s="480">
        <f>'[96]Sch C'!F193</f>
        <v>0</v>
      </c>
      <c r="E187" s="480">
        <f>+'[96]Sch C'!H193</f>
        <v>0</v>
      </c>
      <c r="F187" s="166">
        <f t="shared" si="58"/>
        <v>410</v>
      </c>
      <c r="G187" s="626"/>
      <c r="H187" s="166"/>
      <c r="I187" s="166">
        <f t="shared" si="59"/>
        <v>410</v>
      </c>
      <c r="J187" s="167">
        <f t="shared" si="60"/>
        <v>3.3889112463353924E-5</v>
      </c>
      <c r="K187" s="458"/>
      <c r="L187" s="213"/>
      <c r="M187" s="208"/>
      <c r="N187" s="210"/>
      <c r="O187" s="329">
        <f t="shared" si="61"/>
        <v>1.0542284847393999E-2</v>
      </c>
      <c r="P187" s="324">
        <f>SUMMARY!L189</f>
        <v>9.5641564925407693E-2</v>
      </c>
      <c r="Q187" s="210"/>
    </row>
    <row r="188" spans="1:29" s="211" customFormat="1">
      <c r="A188" s="214" t="s">
        <v>125</v>
      </c>
      <c r="B188" s="145" t="s">
        <v>111</v>
      </c>
      <c r="C188" s="480">
        <f>'[96]Sch C'!D194</f>
        <v>347700</v>
      </c>
      <c r="D188" s="480">
        <f>'[96]Sch C'!F194</f>
        <v>0</v>
      </c>
      <c r="E188" s="480">
        <f>+'[96]Sch C'!H194</f>
        <v>6085</v>
      </c>
      <c r="F188" s="166">
        <f t="shared" si="58"/>
        <v>353785</v>
      </c>
      <c r="G188" s="626"/>
      <c r="H188" s="166"/>
      <c r="I188" s="166">
        <f t="shared" si="59"/>
        <v>353785</v>
      </c>
      <c r="J188" s="167">
        <f t="shared" si="60"/>
        <v>2.9242584519140656E-2</v>
      </c>
      <c r="K188" s="458"/>
      <c r="L188" s="213"/>
      <c r="M188" s="208"/>
      <c r="O188" s="329">
        <f t="shared" si="61"/>
        <v>9.0968347432567942</v>
      </c>
      <c r="P188" s="324">
        <f>SUMMARY!L190</f>
        <v>6.5644691954713696</v>
      </c>
      <c r="Q188" s="210"/>
    </row>
    <row r="189" spans="1:29" s="211" customFormat="1">
      <c r="A189" s="214" t="s">
        <v>126</v>
      </c>
      <c r="B189" s="145" t="s">
        <v>307</v>
      </c>
      <c r="C189" s="480">
        <f>'[96]Sch C'!D195</f>
        <v>156587</v>
      </c>
      <c r="D189" s="480">
        <f>'[96]Sch C'!F195</f>
        <v>0</v>
      </c>
      <c r="E189" s="480">
        <f>+'[96]Sch C'!H195</f>
        <v>2740</v>
      </c>
      <c r="F189" s="166">
        <f t="shared" si="58"/>
        <v>159327</v>
      </c>
      <c r="G189" s="626"/>
      <c r="H189" s="166"/>
      <c r="I189" s="166">
        <f t="shared" si="59"/>
        <v>159327</v>
      </c>
      <c r="J189" s="167">
        <f t="shared" si="60"/>
        <v>1.3169391759631197E-2</v>
      </c>
      <c r="K189" s="458"/>
      <c r="L189" s="213"/>
      <c r="M189" s="208"/>
      <c r="O189" s="329">
        <f t="shared" si="61"/>
        <v>4.0967576045871796</v>
      </c>
      <c r="P189" s="324">
        <f>SUMMARY!L191</f>
        <v>1.502971695522523</v>
      </c>
      <c r="Q189" s="210"/>
    </row>
    <row r="190" spans="1:29" s="211" customFormat="1">
      <c r="A190" s="214" t="s">
        <v>127</v>
      </c>
      <c r="B190" s="145" t="s">
        <v>308</v>
      </c>
      <c r="C190" s="480">
        <f>'[96]Sch C'!D196</f>
        <v>0</v>
      </c>
      <c r="D190" s="480">
        <f>'[96]Sch C'!F196</f>
        <v>0</v>
      </c>
      <c r="E190" s="480">
        <f>+'[96]Sch C'!H196</f>
        <v>0</v>
      </c>
      <c r="F190" s="166">
        <f t="shared" si="58"/>
        <v>0</v>
      </c>
      <c r="G190" s="626"/>
      <c r="H190" s="166"/>
      <c r="I190" s="166">
        <f t="shared" si="59"/>
        <v>0</v>
      </c>
      <c r="J190" s="167">
        <f t="shared" si="60"/>
        <v>0</v>
      </c>
      <c r="K190" s="458"/>
      <c r="L190" s="213"/>
      <c r="M190" s="208"/>
      <c r="O190" s="329">
        <f t="shared" si="61"/>
        <v>0</v>
      </c>
      <c r="P190" s="324">
        <f>SUMMARY!L192</f>
        <v>0</v>
      </c>
      <c r="Q190" s="210"/>
      <c r="R190" s="162"/>
      <c r="S190" s="162"/>
      <c r="T190" s="162"/>
      <c r="U190" s="162"/>
      <c r="V190" s="162"/>
      <c r="W190" s="162"/>
      <c r="X190" s="162"/>
      <c r="Y190" s="162"/>
    </row>
    <row r="191" spans="1:29" s="211" customFormat="1">
      <c r="A191" s="214" t="s">
        <v>128</v>
      </c>
      <c r="B191" s="145" t="s">
        <v>309</v>
      </c>
      <c r="C191" s="480">
        <f>'[96]Sch C'!D197</f>
        <v>401921</v>
      </c>
      <c r="D191" s="480">
        <f>'[96]Sch C'!F197</f>
        <v>0</v>
      </c>
      <c r="E191" s="480">
        <f>+'[96]Sch C'!H197</f>
        <v>7034</v>
      </c>
      <c r="F191" s="166">
        <f t="shared" si="58"/>
        <v>408955</v>
      </c>
      <c r="G191" s="626"/>
      <c r="H191" s="166"/>
      <c r="I191" s="166">
        <f t="shared" si="59"/>
        <v>408955</v>
      </c>
      <c r="J191" s="167">
        <f t="shared" si="60"/>
        <v>3.3802736554758302E-2</v>
      </c>
      <c r="K191" s="458"/>
      <c r="L191" s="213"/>
      <c r="M191" s="208"/>
      <c r="O191" s="329">
        <f t="shared" si="61"/>
        <v>10.515414877478079</v>
      </c>
      <c r="P191" s="324">
        <f>SUMMARY!L193</f>
        <v>4.8968748660590737</v>
      </c>
      <c r="Q191" s="210"/>
      <c r="R191" s="162"/>
      <c r="S191" s="162"/>
      <c r="T191" s="162"/>
      <c r="U191" s="162"/>
      <c r="V191" s="162"/>
      <c r="W191" s="162"/>
      <c r="X191" s="162"/>
      <c r="Y191" s="162"/>
    </row>
    <row r="192" spans="1:29" s="211" customFormat="1">
      <c r="A192" s="214" t="s">
        <v>129</v>
      </c>
      <c r="B192" s="145" t="s">
        <v>114</v>
      </c>
      <c r="C192" s="480">
        <f>'[96]Sch C'!D198</f>
        <v>73259</v>
      </c>
      <c r="D192" s="480">
        <f>'[96]Sch C'!F198</f>
        <v>0</v>
      </c>
      <c r="E192" s="480">
        <f>+'[96]Sch C'!H198</f>
        <v>0</v>
      </c>
      <c r="F192" s="166">
        <f t="shared" si="58"/>
        <v>73259</v>
      </c>
      <c r="G192" s="626"/>
      <c r="H192" s="166"/>
      <c r="I192" s="166">
        <f t="shared" si="59"/>
        <v>73259</v>
      </c>
      <c r="J192" s="167">
        <f t="shared" si="60"/>
        <v>6.0553231462264516E-3</v>
      </c>
      <c r="K192" s="458"/>
      <c r="L192" s="213"/>
      <c r="M192" s="208"/>
      <c r="O192" s="329">
        <f t="shared" si="61"/>
        <v>1.8837005991103339</v>
      </c>
      <c r="P192" s="324">
        <f>SUMMARY!L194</f>
        <v>1.2996922131725721</v>
      </c>
      <c r="Q192" s="210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</row>
    <row r="193" spans="1:33" s="211" customFormat="1">
      <c r="A193" s="214" t="s">
        <v>256</v>
      </c>
      <c r="B193" s="145" t="s">
        <v>310</v>
      </c>
      <c r="C193" s="480">
        <f>'[96]Sch C'!D199</f>
        <v>0</v>
      </c>
      <c r="D193" s="480">
        <f>'[96]Sch C'!F199</f>
        <v>0</v>
      </c>
      <c r="E193" s="480">
        <f>+'[96]Sch C'!H199</f>
        <v>0</v>
      </c>
      <c r="F193" s="166">
        <f t="shared" si="58"/>
        <v>0</v>
      </c>
      <c r="G193" s="626"/>
      <c r="H193" s="166"/>
      <c r="I193" s="166">
        <f t="shared" si="59"/>
        <v>0</v>
      </c>
      <c r="J193" s="167">
        <f t="shared" si="60"/>
        <v>0</v>
      </c>
      <c r="K193" s="458"/>
      <c r="L193" s="213"/>
      <c r="M193" s="208"/>
      <c r="O193" s="329">
        <f t="shared" si="61"/>
        <v>0</v>
      </c>
      <c r="P193" s="324">
        <f>SUMMARY!L195</f>
        <v>2.1027298641690924E-3</v>
      </c>
      <c r="Q193" s="210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</row>
    <row r="194" spans="1:33" s="211" customFormat="1">
      <c r="A194" s="214" t="s">
        <v>258</v>
      </c>
      <c r="B194" s="145" t="s">
        <v>259</v>
      </c>
      <c r="C194" s="480">
        <f>'[96]Sch C'!D200</f>
        <v>0</v>
      </c>
      <c r="D194" s="480">
        <f>'[96]Sch C'!F200</f>
        <v>0</v>
      </c>
      <c r="E194" s="480">
        <f>+'[96]Sch C'!H200</f>
        <v>0</v>
      </c>
      <c r="F194" s="166">
        <f t="shared" si="58"/>
        <v>0</v>
      </c>
      <c r="G194" s="626"/>
      <c r="H194" s="166"/>
      <c r="I194" s="166">
        <f t="shared" si="59"/>
        <v>0</v>
      </c>
      <c r="J194" s="167">
        <f t="shared" si="60"/>
        <v>0</v>
      </c>
      <c r="K194" s="458"/>
      <c r="L194" s="213"/>
      <c r="M194" s="208"/>
      <c r="O194" s="329">
        <f t="shared" si="61"/>
        <v>0</v>
      </c>
      <c r="P194" s="324">
        <f>SUMMARY!L196</f>
        <v>3.182328735996106E-3</v>
      </c>
      <c r="Q194" s="210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</row>
    <row r="195" spans="1:33" s="211" customFormat="1">
      <c r="A195" s="215" t="s">
        <v>260</v>
      </c>
      <c r="B195" s="216" t="s">
        <v>261</v>
      </c>
      <c r="C195" s="480">
        <f>'[96]Sch C'!D201</f>
        <v>0</v>
      </c>
      <c r="D195" s="480">
        <f>'[96]Sch C'!F201</f>
        <v>0</v>
      </c>
      <c r="E195" s="480">
        <f>+'[96]Sch C'!H201</f>
        <v>0</v>
      </c>
      <c r="F195" s="166">
        <f t="shared" si="58"/>
        <v>0</v>
      </c>
      <c r="G195" s="626"/>
      <c r="H195" s="166"/>
      <c r="I195" s="166">
        <f t="shared" si="59"/>
        <v>0</v>
      </c>
      <c r="J195" s="167">
        <f t="shared" si="60"/>
        <v>0</v>
      </c>
      <c r="K195" s="458"/>
      <c r="L195" s="213"/>
      <c r="M195" s="208"/>
      <c r="O195" s="329">
        <f t="shared" si="61"/>
        <v>0</v>
      </c>
      <c r="P195" s="324">
        <f>SUMMARY!L197</f>
        <v>2.7229719324431581E-3</v>
      </c>
      <c r="Q195" s="210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</row>
    <row r="196" spans="1:33" s="211" customFormat="1">
      <c r="A196" s="215" t="s">
        <v>262</v>
      </c>
      <c r="B196" s="216" t="s">
        <v>263</v>
      </c>
      <c r="C196" s="480">
        <f>'[96]Sch C'!D202</f>
        <v>0</v>
      </c>
      <c r="D196" s="480">
        <f>'[96]Sch C'!F202</f>
        <v>0</v>
      </c>
      <c r="E196" s="480">
        <f>+'[96]Sch C'!H202</f>
        <v>0</v>
      </c>
      <c r="F196" s="166">
        <f t="shared" si="58"/>
        <v>0</v>
      </c>
      <c r="G196" s="626"/>
      <c r="H196" s="166"/>
      <c r="I196" s="166">
        <f t="shared" si="59"/>
        <v>0</v>
      </c>
      <c r="J196" s="167">
        <f t="shared" si="60"/>
        <v>0</v>
      </c>
      <c r="K196" s="458"/>
      <c r="L196" s="213"/>
      <c r="M196" s="208"/>
      <c r="O196" s="329">
        <f t="shared" si="61"/>
        <v>0</v>
      </c>
      <c r="P196" s="324">
        <f>SUMMARY!L198</f>
        <v>1.5622492814304837E-3</v>
      </c>
      <c r="Q196" s="210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</row>
    <row r="197" spans="1:33" s="211" customFormat="1">
      <c r="A197" s="215" t="s">
        <v>264</v>
      </c>
      <c r="B197" s="216" t="s">
        <v>311</v>
      </c>
      <c r="C197" s="480">
        <f>'[96]Sch C'!D203</f>
        <v>0</v>
      </c>
      <c r="D197" s="480">
        <f>'[96]Sch C'!F203</f>
        <v>0</v>
      </c>
      <c r="E197" s="480">
        <f>+'[96]Sch C'!H203</f>
        <v>0</v>
      </c>
      <c r="F197" s="166">
        <f t="shared" si="58"/>
        <v>0</v>
      </c>
      <c r="G197" s="626"/>
      <c r="H197" s="166"/>
      <c r="I197" s="166">
        <f t="shared" si="59"/>
        <v>0</v>
      </c>
      <c r="J197" s="167">
        <f t="shared" si="60"/>
        <v>0</v>
      </c>
      <c r="K197" s="458"/>
      <c r="L197" s="213"/>
      <c r="M197" s="208"/>
      <c r="O197" s="329">
        <f t="shared" si="61"/>
        <v>0</v>
      </c>
      <c r="P197" s="324">
        <f>SUMMARY!L199</f>
        <v>8.6370876638656183E-2</v>
      </c>
      <c r="Q197" s="210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</row>
    <row r="198" spans="1:33" s="211" customFormat="1">
      <c r="A198" s="215" t="s">
        <v>266</v>
      </c>
      <c r="B198" s="216" t="s">
        <v>312</v>
      </c>
      <c r="C198" s="480">
        <f>'[96]Sch C'!D204</f>
        <v>0</v>
      </c>
      <c r="D198" s="480">
        <f>'[96]Sch C'!F204</f>
        <v>0</v>
      </c>
      <c r="E198" s="480">
        <f>+'[96]Sch C'!H204</f>
        <v>0</v>
      </c>
      <c r="F198" s="166">
        <f t="shared" si="58"/>
        <v>0</v>
      </c>
      <c r="G198" s="626"/>
      <c r="H198" s="166"/>
      <c r="I198" s="166">
        <f t="shared" si="59"/>
        <v>0</v>
      </c>
      <c r="J198" s="167">
        <f t="shared" si="60"/>
        <v>0</v>
      </c>
      <c r="K198" s="458"/>
      <c r="L198" s="213"/>
      <c r="M198" s="208"/>
      <c r="O198" s="329">
        <f t="shared" si="61"/>
        <v>0</v>
      </c>
      <c r="P198" s="324">
        <f>SUMMARY!L200</f>
        <v>2.6895338155745165E-2</v>
      </c>
      <c r="Q198" s="210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</row>
    <row r="199" spans="1:33" s="211" customFormat="1">
      <c r="A199" s="214" t="s">
        <v>130</v>
      </c>
      <c r="B199" s="145" t="s">
        <v>313</v>
      </c>
      <c r="C199" s="480">
        <f>'[96]Sch C'!D205</f>
        <v>320545</v>
      </c>
      <c r="D199" s="480">
        <f>'[96]Sch C'!F205</f>
        <v>0</v>
      </c>
      <c r="E199" s="480">
        <f>+'[96]Sch C'!H205</f>
        <v>0</v>
      </c>
      <c r="F199" s="166">
        <f t="shared" si="58"/>
        <v>320545</v>
      </c>
      <c r="G199" s="626"/>
      <c r="H199" s="166"/>
      <c r="I199" s="166">
        <f t="shared" si="59"/>
        <v>320545</v>
      </c>
      <c r="J199" s="167">
        <f t="shared" si="60"/>
        <v>2.6495086718453131E-2</v>
      </c>
      <c r="K199" s="458"/>
      <c r="L199" s="213"/>
      <c r="M199" s="208"/>
      <c r="O199" s="329">
        <f t="shared" si="61"/>
        <v>8.2421382839217294</v>
      </c>
      <c r="P199" s="324">
        <f>SUMMARY!L201</f>
        <v>8.282884891032662</v>
      </c>
      <c r="Q199" s="210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</row>
    <row r="200" spans="1:33" s="211" customFormat="1">
      <c r="A200" s="214" t="s">
        <v>131</v>
      </c>
      <c r="B200" s="145" t="s">
        <v>59</v>
      </c>
      <c r="C200" s="480">
        <f>'[96]Sch C'!D206</f>
        <v>59110</v>
      </c>
      <c r="D200" s="480">
        <f>'[96]Sch C'!F206</f>
        <v>0</v>
      </c>
      <c r="E200" s="480">
        <f>+'[96]Sch C'!H206</f>
        <v>0</v>
      </c>
      <c r="F200" s="166">
        <f t="shared" si="58"/>
        <v>59110</v>
      </c>
      <c r="G200" s="626"/>
      <c r="H200" s="166"/>
      <c r="I200" s="166">
        <f t="shared" si="59"/>
        <v>59110</v>
      </c>
      <c r="J200" s="167">
        <f t="shared" si="60"/>
        <v>4.8858181407532937E-3</v>
      </c>
      <c r="K200" s="458"/>
      <c r="L200" s="213"/>
      <c r="M200" s="208"/>
      <c r="O200" s="329">
        <f t="shared" si="61"/>
        <v>1.5198889203157542</v>
      </c>
      <c r="P200" s="324">
        <f>SUMMARY!L202</f>
        <v>0.50085155199169495</v>
      </c>
      <c r="Q200" s="210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</row>
    <row r="201" spans="1:33" s="211" customFormat="1">
      <c r="A201" s="215" t="s">
        <v>135</v>
      </c>
      <c r="B201" s="186" t="s">
        <v>314</v>
      </c>
      <c r="C201" s="480">
        <f>'[96]Sch C'!D207</f>
        <v>6851</v>
      </c>
      <c r="D201" s="480">
        <f>'[96]Sch C'!F207</f>
        <v>0</v>
      </c>
      <c r="E201" s="480">
        <f>+'[96]Sch C'!H207</f>
        <v>0</v>
      </c>
      <c r="F201" s="166">
        <f t="shared" si="58"/>
        <v>6851</v>
      </c>
      <c r="G201" s="626"/>
      <c r="H201" s="166"/>
      <c r="I201" s="166">
        <f t="shared" si="59"/>
        <v>6851</v>
      </c>
      <c r="J201" s="167">
        <f t="shared" si="60"/>
        <v>5.6627880362545787E-4</v>
      </c>
      <c r="K201" s="458"/>
      <c r="L201" s="213"/>
      <c r="M201" s="208"/>
      <c r="O201" s="329">
        <f t="shared" si="61"/>
        <v>0.17615900851096655</v>
      </c>
      <c r="P201" s="324">
        <f>SUMMARY!L203</f>
        <v>0.38409432252006021</v>
      </c>
      <c r="Q201" s="210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</row>
    <row r="202" spans="1:33" s="162" customFormat="1">
      <c r="A202" s="158"/>
      <c r="B202" s="204" t="s">
        <v>122</v>
      </c>
      <c r="C202" s="480">
        <f t="shared" ref="C202:E202" si="62">SUM(C169:C201)</f>
        <v>1367007</v>
      </c>
      <c r="D202" s="480">
        <f t="shared" si="62"/>
        <v>0</v>
      </c>
      <c r="E202" s="480">
        <f t="shared" si="62"/>
        <v>15859</v>
      </c>
      <c r="F202" s="166">
        <f t="shared" ref="F202:I202" si="63">SUM(F169:F201)</f>
        <v>1382866</v>
      </c>
      <c r="G202" s="166">
        <f t="shared" si="63"/>
        <v>0</v>
      </c>
      <c r="H202" s="166">
        <f t="shared" si="63"/>
        <v>0</v>
      </c>
      <c r="I202" s="166">
        <f t="shared" si="63"/>
        <v>1382866</v>
      </c>
      <c r="J202" s="167">
        <f>IF($I$213=0,0,I202/$I$213)</f>
        <v>0.11430268633109364</v>
      </c>
      <c r="K202" s="458"/>
      <c r="L202" s="163"/>
      <c r="M202" s="163"/>
      <c r="O202" s="329">
        <f>I202/I$233</f>
        <v>35.557481165308168</v>
      </c>
      <c r="P202" s="324">
        <f>SUMMARY!L204</f>
        <v>35.511780513975516</v>
      </c>
    </row>
    <row r="203" spans="1:33" s="162" customFormat="1">
      <c r="A203" s="158"/>
      <c r="C203" s="160"/>
      <c r="D203" s="160"/>
      <c r="E203" s="160"/>
      <c r="F203" s="160"/>
      <c r="G203" s="160"/>
      <c r="H203" s="160"/>
      <c r="I203" s="160"/>
      <c r="J203" s="190"/>
      <c r="K203" s="460"/>
      <c r="L203" s="163"/>
      <c r="M203" s="163"/>
      <c r="O203" s="324"/>
      <c r="P203" s="324"/>
    </row>
    <row r="204" spans="1:33" s="162" customFormat="1">
      <c r="A204" s="164" t="s">
        <v>161</v>
      </c>
      <c r="B204" s="165" t="s">
        <v>60</v>
      </c>
      <c r="C204" s="160"/>
      <c r="D204" s="160"/>
      <c r="E204" s="160"/>
      <c r="F204" s="160"/>
      <c r="G204" s="160"/>
      <c r="H204" s="160"/>
      <c r="I204" s="160"/>
      <c r="J204" s="190"/>
      <c r="K204" s="460"/>
      <c r="L204" s="163"/>
      <c r="M204" s="163"/>
      <c r="O204" s="324"/>
      <c r="P204" s="324"/>
    </row>
    <row r="205" spans="1:33" s="162" customFormat="1">
      <c r="A205" s="164" t="s">
        <v>77</v>
      </c>
      <c r="B205" s="165" t="s">
        <v>61</v>
      </c>
      <c r="C205" s="480">
        <f>'[96]Sch C'!D211</f>
        <v>172672</v>
      </c>
      <c r="D205" s="480">
        <f>'[96]Sch C'!F211</f>
        <v>0</v>
      </c>
      <c r="E205" s="480">
        <f>+'[96]Sch C'!H211</f>
        <v>0</v>
      </c>
      <c r="F205" s="166">
        <f t="shared" ref="F205:F210" si="64">C205+D205+E205</f>
        <v>172672</v>
      </c>
      <c r="G205" s="626"/>
      <c r="H205" s="166"/>
      <c r="I205" s="166">
        <f t="shared" ref="I205:I210" si="65">F205+G205+H205</f>
        <v>172672</v>
      </c>
      <c r="J205" s="167">
        <f t="shared" ref="J205:J211" si="66">IF($I$213=0,0,I205/$I$213)</f>
        <v>1.4272441042127437E-2</v>
      </c>
      <c r="K205" s="458"/>
      <c r="L205" s="176">
        <v>8553</v>
      </c>
      <c r="M205" s="176">
        <v>9281</v>
      </c>
      <c r="O205" s="329">
        <f t="shared" ref="O205:O210" si="67">I205/I$233</f>
        <v>4.4398961199249181</v>
      </c>
      <c r="P205" s="324">
        <f>SUMMARY!L207</f>
        <v>5.7476972960172068</v>
      </c>
    </row>
    <row r="206" spans="1:33" s="162" customFormat="1">
      <c r="A206" s="164" t="s">
        <v>78</v>
      </c>
      <c r="B206" s="165" t="s">
        <v>37</v>
      </c>
      <c r="C206" s="480">
        <f>'[96]Sch C'!D212</f>
        <v>33538</v>
      </c>
      <c r="D206" s="480">
        <f>'[96]Sch C'!F212</f>
        <v>0</v>
      </c>
      <c r="E206" s="480">
        <f>+'[96]Sch C'!H212</f>
        <v>0</v>
      </c>
      <c r="F206" s="166">
        <f t="shared" si="64"/>
        <v>33538</v>
      </c>
      <c r="G206" s="626"/>
      <c r="H206" s="166"/>
      <c r="I206" s="166">
        <f t="shared" si="65"/>
        <v>33538</v>
      </c>
      <c r="J206" s="167">
        <f t="shared" si="66"/>
        <v>2.7721293995023513E-3</v>
      </c>
      <c r="K206" s="458"/>
      <c r="L206" s="163"/>
      <c r="M206" s="163"/>
      <c r="O206" s="329">
        <f t="shared" si="67"/>
        <v>0.86235890051682906</v>
      </c>
      <c r="P206" s="324">
        <f>SUMMARY!L208</f>
        <v>1.2734909412462843</v>
      </c>
    </row>
    <row r="207" spans="1:33" s="162" customFormat="1">
      <c r="A207" s="164" t="s">
        <v>132</v>
      </c>
      <c r="B207" s="165" t="s">
        <v>46</v>
      </c>
      <c r="C207" s="480">
        <f>'[96]Sch C'!D213</f>
        <v>8803</v>
      </c>
      <c r="D207" s="480">
        <f>'[96]Sch C'!F213</f>
        <v>0</v>
      </c>
      <c r="E207" s="480">
        <f>+'[96]Sch C'!H213</f>
        <v>0</v>
      </c>
      <c r="F207" s="166">
        <f t="shared" si="64"/>
        <v>8803</v>
      </c>
      <c r="G207" s="626"/>
      <c r="H207" s="166"/>
      <c r="I207" s="166">
        <f t="shared" si="65"/>
        <v>8803</v>
      </c>
      <c r="J207" s="167">
        <f t="shared" si="66"/>
        <v>7.2762404149976734E-4</v>
      </c>
      <c r="K207" s="458"/>
      <c r="L207" s="163"/>
      <c r="M207" s="163"/>
      <c r="O207" s="329">
        <f t="shared" si="67"/>
        <v>0.22635056954051067</v>
      </c>
      <c r="P207" s="324">
        <f>SUMMARY!L209</f>
        <v>0.51656684080340909</v>
      </c>
    </row>
    <row r="208" spans="1:33" s="162" customFormat="1">
      <c r="A208" s="164" t="s">
        <v>133</v>
      </c>
      <c r="B208" s="165" t="s">
        <v>62</v>
      </c>
      <c r="C208" s="480">
        <f>'[96]Sch C'!D214</f>
        <v>0</v>
      </c>
      <c r="D208" s="480">
        <f>'[96]Sch C'!F214</f>
        <v>0</v>
      </c>
      <c r="E208" s="480">
        <f>+'[96]Sch C'!H214</f>
        <v>0</v>
      </c>
      <c r="F208" s="166">
        <f t="shared" si="64"/>
        <v>0</v>
      </c>
      <c r="G208" s="626"/>
      <c r="H208" s="166"/>
      <c r="I208" s="166">
        <f t="shared" si="65"/>
        <v>0</v>
      </c>
      <c r="J208" s="167">
        <f t="shared" si="66"/>
        <v>0</v>
      </c>
      <c r="K208" s="458"/>
      <c r="L208" s="163"/>
      <c r="M208" s="163"/>
      <c r="O208" s="329">
        <f t="shared" si="67"/>
        <v>0</v>
      </c>
      <c r="P208" s="324">
        <f>SUMMARY!L210</f>
        <v>1.8304832857876697E-2</v>
      </c>
    </row>
    <row r="209" spans="1:33" s="162" customFormat="1">
      <c r="A209" s="164" t="s">
        <v>134</v>
      </c>
      <c r="B209" s="194" t="s">
        <v>63</v>
      </c>
      <c r="C209" s="480">
        <f>'[96]Sch C'!D215</f>
        <v>0</v>
      </c>
      <c r="D209" s="480">
        <f>'[96]Sch C'!F215</f>
        <v>0</v>
      </c>
      <c r="E209" s="480">
        <f>+'[96]Sch C'!H215</f>
        <v>0</v>
      </c>
      <c r="F209" s="166">
        <f t="shared" si="64"/>
        <v>0</v>
      </c>
      <c r="G209" s="626"/>
      <c r="H209" s="166"/>
      <c r="I209" s="166">
        <f t="shared" si="65"/>
        <v>0</v>
      </c>
      <c r="J209" s="167">
        <f t="shared" si="66"/>
        <v>0</v>
      </c>
      <c r="K209" s="458"/>
      <c r="L209" s="163"/>
      <c r="M209" s="163"/>
      <c r="O209" s="329">
        <f t="shared" si="67"/>
        <v>0</v>
      </c>
      <c r="P209" s="324">
        <f>SUMMARY!L211</f>
        <v>0</v>
      </c>
    </row>
    <row r="210" spans="1:33" s="162" customFormat="1">
      <c r="A210" s="164" t="s">
        <v>135</v>
      </c>
      <c r="B210" s="165" t="s">
        <v>293</v>
      </c>
      <c r="C210" s="480">
        <f>'[96]Sch C'!D216</f>
        <v>9358</v>
      </c>
      <c r="D210" s="480">
        <f>'[96]Sch C'!F216</f>
        <v>0</v>
      </c>
      <c r="E210" s="480">
        <f>+'[96]Sch C'!H216</f>
        <v>0</v>
      </c>
      <c r="F210" s="166">
        <f t="shared" si="64"/>
        <v>9358</v>
      </c>
      <c r="G210" s="626"/>
      <c r="H210" s="166"/>
      <c r="I210" s="166">
        <f t="shared" si="65"/>
        <v>9358</v>
      </c>
      <c r="J210" s="167">
        <f t="shared" si="66"/>
        <v>7.7349832788308794E-4</v>
      </c>
      <c r="K210" s="458"/>
      <c r="L210" s="163"/>
      <c r="M210" s="163"/>
      <c r="O210" s="329">
        <f t="shared" si="67"/>
        <v>0.24062122341930009</v>
      </c>
      <c r="P210" s="324">
        <f>SUMMARY!L212</f>
        <v>0.31711176711674705</v>
      </c>
    </row>
    <row r="211" spans="1:33" s="162" customFormat="1">
      <c r="A211" s="158"/>
      <c r="B211" s="165" t="s">
        <v>136</v>
      </c>
      <c r="C211" s="480">
        <f t="shared" ref="C211:E211" si="68">SUM(C205:C210)</f>
        <v>224371</v>
      </c>
      <c r="D211" s="480">
        <f t="shared" si="68"/>
        <v>0</v>
      </c>
      <c r="E211" s="480">
        <f t="shared" si="68"/>
        <v>0</v>
      </c>
      <c r="F211" s="166">
        <f t="shared" ref="F211:I211" si="69">SUM(F205:F210)</f>
        <v>224371</v>
      </c>
      <c r="G211" s="166">
        <f t="shared" si="69"/>
        <v>0</v>
      </c>
      <c r="H211" s="166">
        <f t="shared" si="69"/>
        <v>0</v>
      </c>
      <c r="I211" s="166">
        <f t="shared" si="69"/>
        <v>224371</v>
      </c>
      <c r="J211" s="167">
        <f t="shared" si="66"/>
        <v>1.8545692811012645E-2</v>
      </c>
      <c r="K211" s="458"/>
      <c r="L211" s="163"/>
      <c r="M211" s="163"/>
      <c r="O211" s="329">
        <f>I211/I$233</f>
        <v>5.7692268134015583</v>
      </c>
      <c r="P211" s="324">
        <f>SUMMARY!L213</f>
        <v>7.8731716780415235</v>
      </c>
      <c r="R211" s="138"/>
      <c r="S211" s="138"/>
      <c r="T211" s="138"/>
      <c r="U211" s="138"/>
      <c r="V211" s="138"/>
      <c r="W211" s="138"/>
      <c r="X211" s="138"/>
      <c r="Y211" s="138"/>
    </row>
    <row r="212" spans="1:33" s="162" customFormat="1">
      <c r="A212" s="158"/>
      <c r="C212" s="160"/>
      <c r="D212" s="160"/>
      <c r="E212" s="160"/>
      <c r="F212" s="160"/>
      <c r="G212" s="160"/>
      <c r="H212" s="160"/>
      <c r="I212" s="160"/>
      <c r="J212" s="190"/>
      <c r="K212" s="460"/>
      <c r="L212" s="163"/>
      <c r="M212" s="163"/>
      <c r="O212" s="324"/>
      <c r="P212" s="324"/>
      <c r="R212" s="138"/>
      <c r="S212" s="138"/>
      <c r="T212" s="138"/>
      <c r="U212" s="138"/>
      <c r="V212" s="138"/>
      <c r="W212" s="138"/>
      <c r="X212" s="138"/>
      <c r="Y212" s="138"/>
    </row>
    <row r="213" spans="1:33" s="162" customFormat="1">
      <c r="A213" s="217"/>
      <c r="B213" s="218" t="s">
        <v>137</v>
      </c>
      <c r="C213" s="480">
        <f t="shared" ref="C213:E213" si="70">SUM(C30:C211)/2</f>
        <v>12426537</v>
      </c>
      <c r="D213" s="480">
        <f t="shared" si="70"/>
        <v>-405643</v>
      </c>
      <c r="E213" s="480">
        <f t="shared" si="70"/>
        <v>80510</v>
      </c>
      <c r="F213" s="166">
        <f t="shared" ref="F213:I213" si="71">SUM(F30:F211)/2</f>
        <v>12101404</v>
      </c>
      <c r="G213" s="166">
        <f t="shared" si="71"/>
        <v>-3123.16</v>
      </c>
      <c r="H213" s="166">
        <f t="shared" si="71"/>
        <v>0</v>
      </c>
      <c r="I213" s="166">
        <f t="shared" si="71"/>
        <v>12098280.84</v>
      </c>
      <c r="J213" s="167">
        <f>IF($I$213=0,0,I213/$I$213)</f>
        <v>1</v>
      </c>
      <c r="K213" s="458"/>
      <c r="L213" s="176">
        <f>SUM(L30:L205)</f>
        <v>213169</v>
      </c>
      <c r="M213" s="176">
        <f>SUM(M30:M205)</f>
        <v>224625</v>
      </c>
      <c r="O213" s="329">
        <f>I213/I$233</f>
        <v>311.08176287572962</v>
      </c>
      <c r="P213" s="324">
        <f>SUMMARY!L215</f>
        <v>285.57746451544745</v>
      </c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</row>
    <row r="214" spans="1:33" s="162" customFormat="1" ht="15.5">
      <c r="A214" s="158"/>
      <c r="B214" s="165"/>
      <c r="C214" s="160"/>
      <c r="D214" s="160"/>
      <c r="E214" s="160"/>
      <c r="F214" s="160"/>
      <c r="G214" s="160"/>
      <c r="H214"/>
      <c r="I214"/>
      <c r="K214" s="460"/>
      <c r="L214" s="163"/>
      <c r="M214" s="163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</row>
    <row r="215" spans="1:33" s="162" customFormat="1" ht="15.5">
      <c r="A215" s="158"/>
      <c r="B215" s="165"/>
      <c r="C215" s="160"/>
      <c r="D215" s="160"/>
      <c r="E215" s="160"/>
      <c r="F215" s="160"/>
      <c r="G215" s="160"/>
      <c r="H215"/>
      <c r="I215"/>
      <c r="K215" s="460"/>
      <c r="L215" s="163"/>
      <c r="M215" s="163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</row>
    <row r="216" spans="1:33" s="162" customFormat="1" ht="15.5">
      <c r="A216" s="158"/>
      <c r="B216" s="218" t="s">
        <v>172</v>
      </c>
      <c r="C216" s="480">
        <f>'[96]Sch C'!D221</f>
        <v>12426537</v>
      </c>
      <c r="D216" s="188"/>
      <c r="E216" s="188"/>
      <c r="F216" s="160"/>
      <c r="G216" s="160"/>
      <c r="H216"/>
      <c r="I216"/>
      <c r="K216" s="460"/>
      <c r="L216" s="163"/>
      <c r="M216" s="163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</row>
    <row r="217" spans="1:33" s="162" customFormat="1" ht="15.5">
      <c r="A217" s="158"/>
      <c r="B217" s="165" t="s">
        <v>139</v>
      </c>
      <c r="C217" s="480">
        <f>C213-C216</f>
        <v>0</v>
      </c>
      <c r="D217" s="219"/>
      <c r="E217" s="219"/>
      <c r="F217" s="160"/>
      <c r="G217" s="160"/>
      <c r="H217"/>
      <c r="I217"/>
      <c r="K217" s="460"/>
      <c r="L217" s="163"/>
      <c r="M217" s="163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</row>
    <row r="218" spans="1:33" s="162" customFormat="1">
      <c r="A218" s="158"/>
      <c r="B218" s="220"/>
      <c r="C218" s="548"/>
      <c r="D218" s="221"/>
      <c r="E218" s="221"/>
      <c r="F218" s="221"/>
      <c r="G218" s="221"/>
      <c r="H218" s="221"/>
      <c r="I218" s="221"/>
      <c r="J218" s="161"/>
      <c r="K218" s="463"/>
      <c r="L218" s="163"/>
      <c r="M218" s="163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</row>
    <row r="219" spans="1:33" s="162" customFormat="1">
      <c r="A219" s="164"/>
      <c r="B219" s="218"/>
      <c r="C219" s="160"/>
      <c r="D219" s="160"/>
      <c r="E219" s="160"/>
      <c r="F219" s="160"/>
      <c r="G219" s="160"/>
      <c r="H219" s="160"/>
      <c r="I219" s="160"/>
      <c r="K219" s="460"/>
      <c r="L219" s="163"/>
      <c r="M219" s="163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</row>
    <row r="220" spans="1:33" s="162" customFormat="1">
      <c r="A220" s="158"/>
      <c r="B220" s="218" t="s">
        <v>70</v>
      </c>
      <c r="C220" s="480">
        <f t="shared" ref="C220:E220" si="72">C26-C213</f>
        <v>-1855776</v>
      </c>
      <c r="D220" s="480">
        <f t="shared" si="72"/>
        <v>381476</v>
      </c>
      <c r="E220" s="480">
        <f t="shared" si="72"/>
        <v>-80510</v>
      </c>
      <c r="F220" s="166">
        <f t="shared" ref="F220:I220" si="73">F26-F213</f>
        <v>-1554810</v>
      </c>
      <c r="G220" s="166">
        <f t="shared" si="73"/>
        <v>3123.16</v>
      </c>
      <c r="H220" s="166">
        <f t="shared" si="73"/>
        <v>0</v>
      </c>
      <c r="I220" s="166">
        <f t="shared" si="73"/>
        <v>-1551686.839999998</v>
      </c>
      <c r="K220" s="460"/>
      <c r="L220" s="163"/>
      <c r="M220" s="163"/>
      <c r="O220" s="321"/>
      <c r="P220" s="324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</row>
    <row r="221" spans="1:33" s="162" customFormat="1">
      <c r="A221" s="158"/>
      <c r="B221" s="218"/>
      <c r="C221" s="188"/>
      <c r="D221" s="188"/>
      <c r="E221" s="188"/>
      <c r="F221" s="188"/>
      <c r="G221" s="188"/>
      <c r="H221" s="188"/>
      <c r="I221" s="188"/>
      <c r="K221" s="460"/>
      <c r="L221" s="163"/>
      <c r="M221" s="163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</row>
    <row r="222" spans="1:33" s="162" customFormat="1">
      <c r="A222" s="158"/>
      <c r="B222" s="218"/>
      <c r="C222" s="188"/>
      <c r="D222" s="188"/>
      <c r="E222" s="188"/>
      <c r="F222" s="188"/>
      <c r="G222" s="188"/>
      <c r="H222" s="188"/>
      <c r="I222" s="188"/>
      <c r="K222" s="460"/>
      <c r="L222" s="163"/>
      <c r="M222" s="163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</row>
    <row r="223" spans="1:33">
      <c r="A223" s="158"/>
      <c r="B223" s="222" t="s">
        <v>151</v>
      </c>
      <c r="C223" s="160"/>
      <c r="D223" s="160"/>
      <c r="E223" s="160"/>
      <c r="F223" s="160"/>
      <c r="G223" s="160"/>
      <c r="H223" s="160"/>
      <c r="I223" s="160"/>
      <c r="J223" s="161"/>
      <c r="K223" s="463"/>
      <c r="L223" s="163"/>
      <c r="M223" s="163"/>
    </row>
    <row r="224" spans="1:33">
      <c r="A224" s="158"/>
      <c r="B224" s="165" t="s">
        <v>202</v>
      </c>
      <c r="C224" s="504">
        <f>'[96]Sch D'!C9</f>
        <v>26885</v>
      </c>
      <c r="D224" s="480"/>
      <c r="E224" s="480"/>
      <c r="F224" s="224">
        <f>C224+D224+E224</f>
        <v>26885</v>
      </c>
      <c r="G224" s="627"/>
      <c r="H224" s="223"/>
      <c r="I224" s="224">
        <f>F224+G224+H224</f>
        <v>26885</v>
      </c>
      <c r="J224" s="167">
        <f t="shared" ref="J224:J233" si="74">IF($I$233=0,0,I224/$I$233)</f>
        <v>0.69129104420045773</v>
      </c>
      <c r="K224" s="458"/>
      <c r="L224" s="163"/>
      <c r="M224" s="163"/>
    </row>
    <row r="225" spans="1:13">
      <c r="A225" s="158"/>
      <c r="B225" s="165" t="s">
        <v>201</v>
      </c>
      <c r="C225" s="504">
        <f>'[96]Sch D'!D9</f>
        <v>79</v>
      </c>
      <c r="D225" s="480"/>
      <c r="E225" s="480"/>
      <c r="F225" s="224">
        <f t="shared" ref="F225:F232" si="75">C225+D225+E225</f>
        <v>79</v>
      </c>
      <c r="G225" s="627"/>
      <c r="H225" s="223"/>
      <c r="I225" s="224">
        <f t="shared" ref="I225:I232" si="76">F225+G225+H225</f>
        <v>79</v>
      </c>
      <c r="J225" s="167">
        <f t="shared" si="74"/>
        <v>2.0313182998637218E-3</v>
      </c>
      <c r="K225" s="458"/>
      <c r="L225" s="163"/>
      <c r="M225" s="163"/>
    </row>
    <row r="226" spans="1:13">
      <c r="A226" s="158"/>
      <c r="B226" s="165" t="s">
        <v>64</v>
      </c>
      <c r="C226" s="504">
        <f>'[96]Sch D'!E9</f>
        <v>3398</v>
      </c>
      <c r="D226" s="480"/>
      <c r="E226" s="480"/>
      <c r="F226" s="224">
        <f t="shared" si="75"/>
        <v>3398</v>
      </c>
      <c r="G226" s="627"/>
      <c r="H226" s="223"/>
      <c r="I226" s="224">
        <f t="shared" si="76"/>
        <v>3398</v>
      </c>
      <c r="J226" s="167">
        <f t="shared" si="74"/>
        <v>8.737239978401172E-2</v>
      </c>
      <c r="K226" s="458"/>
      <c r="L226" s="163"/>
      <c r="M226" s="163"/>
    </row>
    <row r="227" spans="1:13">
      <c r="A227" s="158"/>
      <c r="B227" s="194" t="s">
        <v>315</v>
      </c>
      <c r="C227" s="504">
        <f>'[96]Sch D'!F9</f>
        <v>1940</v>
      </c>
      <c r="D227" s="480"/>
      <c r="E227" s="480"/>
      <c r="F227" s="224">
        <f t="shared" si="75"/>
        <v>1940</v>
      </c>
      <c r="G227" s="627"/>
      <c r="H227" s="223"/>
      <c r="I227" s="224">
        <f t="shared" si="76"/>
        <v>1940</v>
      </c>
      <c r="J227" s="167">
        <f t="shared" si="74"/>
        <v>4.9883006351083801E-2</v>
      </c>
      <c r="K227" s="458"/>
      <c r="L227" s="163"/>
      <c r="M227" s="163"/>
    </row>
    <row r="228" spans="1:13">
      <c r="A228" s="158"/>
      <c r="B228" s="165" t="s">
        <v>65</v>
      </c>
      <c r="C228" s="504">
        <f>'[96]Sch D'!G9</f>
        <v>0</v>
      </c>
      <c r="D228" s="480"/>
      <c r="E228" s="480"/>
      <c r="F228" s="224">
        <f t="shared" si="75"/>
        <v>0</v>
      </c>
      <c r="G228" s="627"/>
      <c r="H228" s="223"/>
      <c r="I228" s="224">
        <f t="shared" si="76"/>
        <v>0</v>
      </c>
      <c r="J228" s="167">
        <f t="shared" si="74"/>
        <v>0</v>
      </c>
      <c r="K228" s="458"/>
      <c r="L228" s="163"/>
      <c r="M228" s="163"/>
    </row>
    <row r="229" spans="1:13">
      <c r="A229" s="158"/>
      <c r="B229" s="165" t="s">
        <v>66</v>
      </c>
      <c r="C229" s="504">
        <f>'[96]Sch D'!H9</f>
        <v>1190</v>
      </c>
      <c r="D229" s="480"/>
      <c r="E229" s="480"/>
      <c r="F229" s="224">
        <f t="shared" si="75"/>
        <v>1190</v>
      </c>
      <c r="G229" s="627"/>
      <c r="H229" s="223"/>
      <c r="I229" s="224">
        <f t="shared" si="76"/>
        <v>1190</v>
      </c>
      <c r="J229" s="167">
        <f t="shared" si="74"/>
        <v>3.0598338947314289E-2</v>
      </c>
      <c r="K229" s="458"/>
      <c r="L229" s="163"/>
      <c r="M229" s="163"/>
    </row>
    <row r="230" spans="1:13">
      <c r="A230" s="158"/>
      <c r="B230" s="165" t="s">
        <v>219</v>
      </c>
      <c r="C230" s="504">
        <f>'[96]Sch D'!I9</f>
        <v>3660</v>
      </c>
      <c r="D230" s="480"/>
      <c r="E230" s="480"/>
      <c r="F230" s="224">
        <f t="shared" si="75"/>
        <v>3660</v>
      </c>
      <c r="G230" s="627"/>
      <c r="H230" s="223"/>
      <c r="I230" s="224">
        <f t="shared" si="76"/>
        <v>3660</v>
      </c>
      <c r="J230" s="167">
        <f t="shared" si="74"/>
        <v>9.4109176930395208E-2</v>
      </c>
      <c r="K230" s="458"/>
      <c r="L230" s="163"/>
      <c r="M230" s="163"/>
    </row>
    <row r="231" spans="1:13">
      <c r="A231" s="158"/>
      <c r="B231" s="165" t="s">
        <v>218</v>
      </c>
      <c r="C231" s="504">
        <f>'[96]Sch D'!J9</f>
        <v>0</v>
      </c>
      <c r="D231" s="480"/>
      <c r="E231" s="480"/>
      <c r="F231" s="224">
        <f t="shared" si="75"/>
        <v>0</v>
      </c>
      <c r="G231" s="627"/>
      <c r="H231" s="223"/>
      <c r="I231" s="224">
        <f t="shared" si="76"/>
        <v>0</v>
      </c>
      <c r="J231" s="167">
        <f>IF($I$233=0,0,I231/$I$233)</f>
        <v>0</v>
      </c>
      <c r="K231" s="458"/>
      <c r="L231" s="163"/>
      <c r="M231" s="163"/>
    </row>
    <row r="232" spans="1:13">
      <c r="A232" s="158"/>
      <c r="B232" s="165" t="s">
        <v>170</v>
      </c>
      <c r="C232" s="504">
        <f>'[96]Sch D'!K9</f>
        <v>1739</v>
      </c>
      <c r="D232" s="480"/>
      <c r="E232" s="480"/>
      <c r="F232" s="224">
        <f t="shared" si="75"/>
        <v>1739</v>
      </c>
      <c r="G232" s="627"/>
      <c r="H232" s="223"/>
      <c r="I232" s="224">
        <f t="shared" si="76"/>
        <v>1739</v>
      </c>
      <c r="J232" s="167">
        <f t="shared" si="74"/>
        <v>4.4714715486873571E-2</v>
      </c>
      <c r="K232" s="458"/>
      <c r="L232" s="163"/>
      <c r="M232" s="163"/>
    </row>
    <row r="233" spans="1:13" ht="13.5" thickBot="1">
      <c r="A233" s="158"/>
      <c r="B233" s="225" t="s">
        <v>67</v>
      </c>
      <c r="C233" s="504">
        <f t="shared" ref="C233:E233" si="77">SUM(C224:C232)</f>
        <v>38891</v>
      </c>
      <c r="D233" s="504">
        <f t="shared" si="77"/>
        <v>0</v>
      </c>
      <c r="E233" s="504">
        <f t="shared" si="77"/>
        <v>0</v>
      </c>
      <c r="F233" s="226">
        <f t="shared" ref="F233:I233" si="78">SUM(F224:F232)</f>
        <v>38891</v>
      </c>
      <c r="G233" s="226">
        <f t="shared" si="78"/>
        <v>0</v>
      </c>
      <c r="H233" s="226">
        <f t="shared" si="78"/>
        <v>0</v>
      </c>
      <c r="I233" s="226">
        <f t="shared" si="78"/>
        <v>38891</v>
      </c>
      <c r="J233" s="167">
        <f t="shared" si="74"/>
        <v>1</v>
      </c>
      <c r="K233" s="458"/>
      <c r="L233" s="163"/>
      <c r="M233" s="163"/>
    </row>
    <row r="234" spans="1:13" ht="13.5" thickTop="1">
      <c r="A234" s="158"/>
      <c r="B234" s="162"/>
      <c r="C234" s="549"/>
      <c r="D234" s="227"/>
      <c r="E234" s="227"/>
      <c r="F234" s="221"/>
      <c r="G234" s="221"/>
      <c r="H234" s="227"/>
      <c r="I234" s="221"/>
      <c r="J234" s="162"/>
      <c r="K234" s="460"/>
      <c r="L234" s="163"/>
      <c r="M234" s="163"/>
    </row>
    <row r="235" spans="1:13">
      <c r="A235" s="158"/>
      <c r="B235" s="222" t="s">
        <v>152</v>
      </c>
      <c r="C235" s="548"/>
      <c r="D235" s="221"/>
      <c r="E235" s="221"/>
      <c r="F235" s="221"/>
      <c r="G235" s="221"/>
      <c r="H235" s="221"/>
      <c r="I235" s="221"/>
      <c r="J235" s="162"/>
      <c r="K235" s="460"/>
      <c r="L235" s="163"/>
      <c r="M235" s="163"/>
    </row>
    <row r="236" spans="1:13">
      <c r="A236" s="158"/>
      <c r="B236" s="194" t="s">
        <v>203</v>
      </c>
      <c r="C236" s="504">
        <f>'[96]Sch D'!N22</f>
        <v>184</v>
      </c>
      <c r="D236" s="480"/>
      <c r="E236" s="480"/>
      <c r="F236" s="224">
        <f>C236+E236</f>
        <v>184</v>
      </c>
      <c r="G236" s="627"/>
      <c r="H236" s="224"/>
      <c r="I236" s="224">
        <f>F236+G236+H236</f>
        <v>184</v>
      </c>
      <c r="J236" s="162"/>
      <c r="K236" s="460"/>
      <c r="L236" s="163"/>
      <c r="M236" s="163"/>
    </row>
    <row r="237" spans="1:13">
      <c r="A237" s="158"/>
      <c r="B237" s="194" t="s">
        <v>271</v>
      </c>
      <c r="C237" s="504">
        <f>'[96]Sch D'!N24</f>
        <v>184</v>
      </c>
      <c r="D237" s="480"/>
      <c r="E237" s="480"/>
      <c r="F237" s="224">
        <f>C237+E237</f>
        <v>184</v>
      </c>
      <c r="G237" s="627"/>
      <c r="H237" s="224"/>
      <c r="I237" s="224">
        <f>F237+G237+H237</f>
        <v>184</v>
      </c>
      <c r="J237" s="162"/>
      <c r="K237" s="460"/>
      <c r="L237" s="163"/>
      <c r="M237" s="163"/>
    </row>
    <row r="238" spans="1:13">
      <c r="A238" s="158"/>
      <c r="B238" s="194" t="s">
        <v>68</v>
      </c>
      <c r="C238" s="504">
        <f>$C$4-$C$3+1</f>
        <v>365</v>
      </c>
      <c r="D238" s="427"/>
      <c r="E238" s="427"/>
      <c r="F238" s="224">
        <f>C238+E238</f>
        <v>365</v>
      </c>
      <c r="G238" s="627"/>
      <c r="H238" s="228"/>
      <c r="I238" s="224">
        <f>F238+G238+H238</f>
        <v>365</v>
      </c>
      <c r="J238" s="162"/>
      <c r="K238" s="460"/>
      <c r="L238" s="163"/>
      <c r="M238" s="163"/>
    </row>
    <row r="239" spans="1:13">
      <c r="A239" s="158"/>
      <c r="B239" s="229"/>
      <c r="C239" s="550"/>
      <c r="D239" s="228"/>
      <c r="E239" s="228"/>
      <c r="F239" s="230"/>
      <c r="G239" s="228"/>
      <c r="H239" s="228"/>
      <c r="I239" s="230"/>
      <c r="J239" s="162"/>
      <c r="K239" s="460"/>
      <c r="L239" s="163"/>
      <c r="M239" s="163"/>
    </row>
    <row r="240" spans="1:13" ht="26.5">
      <c r="A240" s="158"/>
      <c r="B240" s="231" t="s">
        <v>316</v>
      </c>
      <c r="C240" s="504">
        <f>'[96]Sch D'!N28</f>
        <v>67160</v>
      </c>
      <c r="D240" s="427"/>
      <c r="E240" s="427"/>
      <c r="F240" s="223">
        <f>F236*F238</f>
        <v>67160</v>
      </c>
      <c r="G240"/>
      <c r="H240" s="228"/>
      <c r="I240" s="223">
        <f>I236*I238</f>
        <v>67160</v>
      </c>
      <c r="J240" s="162"/>
      <c r="K240" s="460"/>
      <c r="L240" s="163"/>
      <c r="M240" s="163"/>
    </row>
    <row r="241" spans="1:13" ht="26.5">
      <c r="A241" s="158"/>
      <c r="B241" s="231" t="s">
        <v>317</v>
      </c>
      <c r="C241" s="505">
        <f>'[96]Sch D'!N30</f>
        <v>0.5790798094103633</v>
      </c>
      <c r="D241" s="228"/>
      <c r="E241" s="228"/>
      <c r="F241" s="232">
        <f>F233/F240</f>
        <v>0.5790798094103633</v>
      </c>
      <c r="G241"/>
      <c r="H241" s="233"/>
      <c r="I241" s="232">
        <f>I233/I240</f>
        <v>0.5790798094103633</v>
      </c>
      <c r="J241" s="162"/>
      <c r="K241" s="460"/>
      <c r="L241" s="163"/>
      <c r="M241" s="163"/>
    </row>
    <row r="242" spans="1:13" ht="26.5">
      <c r="A242" s="158"/>
      <c r="B242" s="231" t="s">
        <v>318</v>
      </c>
      <c r="C242" s="505">
        <f>'[96]Sch D'!N32</f>
        <v>0.40148898153662893</v>
      </c>
      <c r="D242" s="228"/>
      <c r="E242" s="228"/>
      <c r="F242" s="232">
        <f>(F224+F225)/F240</f>
        <v>0.40148898153662893</v>
      </c>
      <c r="G242"/>
      <c r="H242" s="233"/>
      <c r="I242" s="232">
        <f>(I224+I225)/I240</f>
        <v>0.40148898153662893</v>
      </c>
      <c r="J242" s="162"/>
      <c r="K242" s="460"/>
      <c r="L242" s="163"/>
      <c r="M242" s="163"/>
    </row>
    <row r="243" spans="1:13" ht="26.5">
      <c r="A243" s="158"/>
      <c r="B243" s="231" t="s">
        <v>319</v>
      </c>
      <c r="C243" s="505">
        <f>'[96]Sch D'!N34</f>
        <v>0.69332236250032142</v>
      </c>
      <c r="D243" s="228"/>
      <c r="E243" s="228"/>
      <c r="F243" s="232">
        <f>(F242/F241)</f>
        <v>0.69332236250032142</v>
      </c>
      <c r="G243"/>
      <c r="H243" s="233"/>
      <c r="I243" s="232">
        <f>(I242/I241)</f>
        <v>0.69332236250032142</v>
      </c>
      <c r="J243" s="162"/>
      <c r="K243" s="460"/>
      <c r="L243" s="163"/>
      <c r="M243" s="163"/>
    </row>
    <row r="244" spans="1:13">
      <c r="K244" s="460"/>
    </row>
    <row r="245" spans="1:13">
      <c r="K245" s="460"/>
    </row>
    <row r="246" spans="1:13">
      <c r="B246" s="145" t="s">
        <v>320</v>
      </c>
      <c r="H246" s="140" t="s">
        <v>321</v>
      </c>
      <c r="I246" s="480">
        <f>'[96]Sch B'!C90</f>
        <v>333.83155080213902</v>
      </c>
      <c r="K246" s="460"/>
    </row>
    <row r="247" spans="1:13">
      <c r="H247" s="140" t="s">
        <v>322</v>
      </c>
      <c r="I247" s="480">
        <f>'[96]Sch B'!E90</f>
        <v>333.83088235294116</v>
      </c>
      <c r="K247" s="460"/>
    </row>
    <row r="248" spans="1:13">
      <c r="H248" s="140" t="s">
        <v>323</v>
      </c>
      <c r="I248" s="480">
        <f>'[96]Sch B'!G90</f>
        <v>333.83055555555558</v>
      </c>
      <c r="K248" s="460"/>
    </row>
    <row r="249" spans="1:13">
      <c r="H249" s="140" t="s">
        <v>324</v>
      </c>
      <c r="I249" s="480">
        <f>'[96]Sch B'!I90</f>
        <v>333.83333333333331</v>
      </c>
      <c r="K249" s="460"/>
    </row>
    <row r="250" spans="1:13">
      <c r="H250" s="140"/>
      <c r="K250" s="460"/>
    </row>
    <row r="251" spans="1:13">
      <c r="K251" s="460"/>
    </row>
    <row r="277" spans="2:2">
      <c r="B277" s="138">
        <v>0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21" fitToHeight="4" orientation="landscape" horizontalDpi="300" verticalDpi="300" r:id="rId3"/>
  <headerFooter alignWithMargins="0">
    <oddFooter>&amp;R&amp;D
&amp;T
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77">
    <pageSetUpPr fitToPage="1"/>
  </sheetPr>
  <dimension ref="A1:T336"/>
  <sheetViews>
    <sheetView showGridLines="0" zoomScaleNormal="100" workbookViewId="0">
      <selection activeCell="C23" sqref="C23"/>
    </sheetView>
  </sheetViews>
  <sheetFormatPr defaultColWidth="9" defaultRowHeight="13"/>
  <cols>
    <col min="1" max="1" width="10.08203125" style="30" bestFit="1" customWidth="1"/>
    <col min="2" max="2" width="43.5" style="30" bestFit="1" customWidth="1"/>
    <col min="3" max="3" width="14.58203125" style="30" customWidth="1"/>
    <col min="4" max="4" width="18.25" style="30" customWidth="1"/>
    <col min="5" max="6" width="14.58203125" style="30" customWidth="1"/>
    <col min="7" max="7" width="20.25" style="30" customWidth="1"/>
    <col min="8" max="8" width="14.58203125" style="30" customWidth="1"/>
    <col min="9" max="9" width="16" style="30" customWidth="1"/>
    <col min="10" max="10" width="10" style="30" customWidth="1"/>
    <col min="11" max="11" width="9" style="30" bestFit="1"/>
    <col min="12" max="12" width="24.33203125" style="30" customWidth="1"/>
    <col min="13" max="13" width="1.25" style="30" customWidth="1"/>
    <col min="14" max="15" width="12.08203125" style="30" customWidth="1"/>
    <col min="16" max="16" width="1.75" style="66" customWidth="1"/>
    <col min="17" max="17" width="13.08203125" style="30" customWidth="1"/>
    <col min="18" max="18" width="2" style="30" customWidth="1"/>
    <col min="19" max="19" width="19" style="30" customWidth="1"/>
    <col min="20" max="20" width="8.58203125" style="30" customWidth="1"/>
    <col min="21" max="22" width="8.75" style="30"/>
    <col min="23" max="23" width="35.25" style="30" customWidth="1"/>
    <col min="24" max="24" width="11.75" style="30" customWidth="1"/>
    <col min="25" max="25" width="0.25" style="30" customWidth="1"/>
    <col min="26" max="26" width="10.58203125" style="30" customWidth="1"/>
    <col min="27" max="27" width="0.25" style="30" customWidth="1"/>
    <col min="28" max="28" width="10.25" style="30" customWidth="1"/>
    <col min="29" max="30" width="0.25" style="30" customWidth="1"/>
    <col min="31" max="31" width="13" style="30" customWidth="1"/>
    <col min="32" max="32" width="10.25" style="30" customWidth="1"/>
    <col min="33" max="33" width="8.75" style="30"/>
    <col min="34" max="34" width="39.75" style="30" customWidth="1"/>
    <col min="35" max="36" width="8.75" style="30"/>
    <col min="37" max="37" width="35.25" style="30" customWidth="1"/>
    <col min="38" max="38" width="11.75" style="30" customWidth="1"/>
    <col min="39" max="39" width="0.25" style="30" customWidth="1"/>
    <col min="40" max="40" width="10.58203125" style="30" customWidth="1"/>
    <col min="41" max="41" width="0.25" style="30" customWidth="1"/>
    <col min="42" max="42" width="10.25" style="30" customWidth="1"/>
    <col min="43" max="44" width="0.25" style="30" customWidth="1"/>
    <col min="45" max="45" width="13" style="30" customWidth="1"/>
    <col min="46" max="46" width="10.25" style="30" customWidth="1"/>
    <col min="47" max="47" width="8.75" style="30"/>
    <col min="48" max="48" width="39.75" style="30" customWidth="1"/>
    <col min="49" max="50" width="8.75" style="30"/>
    <col min="51" max="51" width="35.25" style="30" customWidth="1"/>
    <col min="52" max="52" width="11.75" style="30" customWidth="1"/>
    <col min="53" max="53" width="0.25" style="30" customWidth="1"/>
    <col min="54" max="54" width="10.58203125" style="30" customWidth="1"/>
    <col min="55" max="55" width="0.25" style="30" customWidth="1"/>
    <col min="56" max="56" width="10.25" style="30" customWidth="1"/>
    <col min="57" max="58" width="0.25" style="30" customWidth="1"/>
    <col min="59" max="59" width="13" style="30" customWidth="1"/>
    <col min="60" max="60" width="10.25" style="30" customWidth="1"/>
    <col min="61" max="61" width="8.75" style="30"/>
    <col min="62" max="62" width="39.75" style="30" customWidth="1"/>
    <col min="63" max="64" width="8.75" style="30"/>
    <col min="65" max="65" width="35.25" style="30" customWidth="1"/>
    <col min="66" max="66" width="11.75" style="30" customWidth="1"/>
    <col min="67" max="67" width="0.25" style="30" customWidth="1"/>
    <col min="68" max="68" width="10.58203125" style="30" customWidth="1"/>
    <col min="69" max="69" width="0.25" style="30" customWidth="1"/>
    <col min="70" max="70" width="10.25" style="30" customWidth="1"/>
    <col min="71" max="72" width="0.25" style="30" customWidth="1"/>
    <col min="73" max="73" width="13" style="30" customWidth="1"/>
    <col min="74" max="74" width="10.25" style="30" customWidth="1"/>
    <col min="75" max="75" width="8.75" style="30"/>
    <col min="76" max="76" width="39.75" style="30" customWidth="1"/>
    <col min="77" max="78" width="8.75" style="30"/>
    <col min="79" max="79" width="35.25" style="30" customWidth="1"/>
    <col min="80" max="80" width="11.75" style="30" customWidth="1"/>
    <col min="81" max="81" width="0.25" style="30" customWidth="1"/>
    <col min="82" max="82" width="10.58203125" style="30" customWidth="1"/>
    <col min="83" max="83" width="0.25" style="30" customWidth="1"/>
    <col min="84" max="84" width="10.25" style="30" customWidth="1"/>
    <col min="85" max="86" width="0.25" style="30" customWidth="1"/>
    <col min="87" max="87" width="13" style="30" customWidth="1"/>
    <col min="88" max="88" width="10.25" style="30" customWidth="1"/>
    <col min="89" max="89" width="8.75" style="30"/>
    <col min="90" max="90" width="39.75" style="30" customWidth="1"/>
    <col min="91" max="92" width="8.75" style="30"/>
    <col min="93" max="93" width="35.25" style="30" customWidth="1"/>
    <col min="94" max="94" width="11.75" style="30" customWidth="1"/>
    <col min="95" max="95" width="0.25" style="30" customWidth="1"/>
    <col min="96" max="96" width="10.58203125" style="30" customWidth="1"/>
    <col min="97" max="97" width="0.25" style="30" customWidth="1"/>
    <col min="98" max="98" width="10.25" style="30" customWidth="1"/>
    <col min="99" max="100" width="0.25" style="30" customWidth="1"/>
    <col min="101" max="101" width="13" style="30" customWidth="1"/>
    <col min="102" max="102" width="10.25" style="30" customWidth="1"/>
    <col min="103" max="103" width="8.75" style="30"/>
    <col min="104" max="104" width="39.75" style="30" customWidth="1"/>
    <col min="105" max="106" width="8.75" style="30"/>
    <col min="107" max="107" width="35.25" style="30" customWidth="1"/>
    <col min="108" max="108" width="11.75" style="30" customWidth="1"/>
    <col min="109" max="109" width="0.25" style="30" customWidth="1"/>
    <col min="110" max="110" width="10.58203125" style="30" customWidth="1"/>
    <col min="111" max="111" width="0.25" style="30" customWidth="1"/>
    <col min="112" max="112" width="10.25" style="30" customWidth="1"/>
    <col min="113" max="114" width="0.25" style="30" customWidth="1"/>
    <col min="115" max="115" width="13" style="30" customWidth="1"/>
    <col min="116" max="116" width="10.25" style="30" customWidth="1"/>
    <col min="117" max="117" width="8.75" style="30"/>
    <col min="118" max="118" width="39.75" style="30" customWidth="1"/>
    <col min="119" max="120" width="8.75" style="30"/>
    <col min="121" max="121" width="35.25" style="30" customWidth="1"/>
    <col min="122" max="122" width="11.75" style="30" customWidth="1"/>
    <col min="123" max="123" width="0.25" style="30" customWidth="1"/>
    <col min="124" max="124" width="10.58203125" style="30" customWidth="1"/>
    <col min="125" max="125" width="0.25" style="30" customWidth="1"/>
    <col min="126" max="126" width="10.25" style="30" customWidth="1"/>
    <col min="127" max="128" width="0.25" style="30" customWidth="1"/>
    <col min="129" max="129" width="13" style="30" customWidth="1"/>
    <col min="130" max="130" width="10.25" style="30" customWidth="1"/>
    <col min="131" max="131" width="8.75" style="30"/>
    <col min="132" max="132" width="39.75" style="30" customWidth="1"/>
    <col min="133" max="134" width="8.75" style="30"/>
    <col min="135" max="135" width="35.25" style="30" customWidth="1"/>
    <col min="136" max="136" width="11.75" style="30" customWidth="1"/>
    <col min="137" max="137" width="0.25" style="30" customWidth="1"/>
    <col min="138" max="138" width="10.58203125" style="30" customWidth="1"/>
    <col min="139" max="139" width="0.25" style="30" customWidth="1"/>
    <col min="140" max="140" width="10.25" style="30" customWidth="1"/>
    <col min="141" max="142" width="0.25" style="30" customWidth="1"/>
    <col min="143" max="143" width="13" style="30" customWidth="1"/>
    <col min="144" max="144" width="10.25" style="30" customWidth="1"/>
    <col min="145" max="145" width="8.75" style="30"/>
    <col min="146" max="146" width="39.75" style="30" customWidth="1"/>
    <col min="147" max="148" width="8.75" style="30"/>
    <col min="149" max="149" width="35.25" style="30" customWidth="1"/>
    <col min="150" max="150" width="11.75" style="30" customWidth="1"/>
    <col min="151" max="151" width="0.25" style="30" customWidth="1"/>
    <col min="152" max="152" width="10.58203125" style="30" customWidth="1"/>
    <col min="153" max="153" width="0.25" style="30" customWidth="1"/>
    <col min="154" max="154" width="10.25" style="30" customWidth="1"/>
    <col min="155" max="156" width="0.25" style="30" customWidth="1"/>
    <col min="157" max="157" width="13" style="30" customWidth="1"/>
    <col min="158" max="158" width="10.25" style="30" customWidth="1"/>
    <col min="159" max="159" width="8.75" style="30"/>
    <col min="160" max="160" width="39.75" style="30" customWidth="1"/>
    <col min="161" max="162" width="8.75" style="30"/>
    <col min="163" max="163" width="35.25" style="30" customWidth="1"/>
    <col min="164" max="164" width="11.75" style="30" customWidth="1"/>
    <col min="165" max="165" width="0.25" style="30" customWidth="1"/>
    <col min="166" max="166" width="10.58203125" style="30" customWidth="1"/>
    <col min="167" max="167" width="0.25" style="30" customWidth="1"/>
    <col min="168" max="168" width="10.25" style="30" customWidth="1"/>
    <col min="169" max="170" width="0.25" style="30" customWidth="1"/>
    <col min="171" max="171" width="13" style="30" customWidth="1"/>
    <col min="172" max="172" width="10.25" style="30" customWidth="1"/>
    <col min="173" max="173" width="8.75" style="30"/>
    <col min="174" max="174" width="39.75" style="30" customWidth="1"/>
    <col min="175" max="176" width="8.75" style="30"/>
    <col min="177" max="177" width="35.25" style="30" customWidth="1"/>
    <col min="178" max="178" width="11.75" style="30" customWidth="1"/>
    <col min="179" max="179" width="0.25" style="30" customWidth="1"/>
    <col min="180" max="180" width="10.58203125" style="30" customWidth="1"/>
    <col min="181" max="181" width="0.25" style="30" customWidth="1"/>
    <col min="182" max="182" width="10.25" style="30" customWidth="1"/>
    <col min="183" max="184" width="0.25" style="30" customWidth="1"/>
    <col min="185" max="185" width="13" style="30" customWidth="1"/>
    <col min="186" max="186" width="10.25" style="30" customWidth="1"/>
    <col min="187" max="187" width="8.75" style="30"/>
    <col min="188" max="188" width="39.75" style="30" customWidth="1"/>
    <col min="189" max="190" width="8.75" style="30"/>
    <col min="191" max="191" width="35.25" style="30" customWidth="1"/>
    <col min="192" max="192" width="11.75" style="30" customWidth="1"/>
    <col min="193" max="193" width="0.25" style="30" customWidth="1"/>
    <col min="194" max="194" width="10.58203125" style="30" customWidth="1"/>
    <col min="195" max="195" width="0.25" style="30" customWidth="1"/>
    <col min="196" max="196" width="10.25" style="30" customWidth="1"/>
    <col min="197" max="198" width="0.25" style="30" customWidth="1"/>
    <col min="199" max="199" width="13" style="30" customWidth="1"/>
    <col min="200" max="200" width="10.25" style="30" customWidth="1"/>
    <col min="201" max="201" width="8.75" style="30"/>
    <col min="202" max="202" width="39.75" style="30" customWidth="1"/>
    <col min="203" max="204" width="8.75" style="30"/>
    <col min="205" max="205" width="35.25" style="30" customWidth="1"/>
    <col min="206" max="206" width="11.75" style="30" customWidth="1"/>
    <col min="207" max="207" width="0.25" style="30" customWidth="1"/>
    <col min="208" max="208" width="10.58203125" style="30" customWidth="1"/>
    <col min="209" max="209" width="0.25" style="30" customWidth="1"/>
    <col min="210" max="210" width="10.25" style="30" customWidth="1"/>
    <col min="211" max="212" width="0.25" style="30" customWidth="1"/>
    <col min="213" max="213" width="13" style="30" customWidth="1"/>
    <col min="214" max="214" width="10.25" style="30" customWidth="1"/>
    <col min="215" max="215" width="8.75" style="30"/>
    <col min="216" max="216" width="39.75" style="30" customWidth="1"/>
    <col min="217" max="218" width="8.75" style="30"/>
    <col min="219" max="219" width="35.25" style="30" customWidth="1"/>
    <col min="220" max="220" width="11.75" style="30" customWidth="1"/>
    <col min="221" max="221" width="0.25" style="30" customWidth="1"/>
    <col min="222" max="222" width="10.58203125" style="30" customWidth="1"/>
    <col min="223" max="223" width="0.25" style="30" customWidth="1"/>
    <col min="224" max="16384" width="9" style="30"/>
  </cols>
  <sheetData>
    <row r="1" spans="1:20" ht="43.9" customHeight="1">
      <c r="A1" s="136" t="str">
        <f>'ALPINE MEADOW'!A1</f>
        <v>schedules revised Sept. 2018</v>
      </c>
      <c r="B1" s="1"/>
      <c r="C1" s="698" t="s">
        <v>562</v>
      </c>
      <c r="D1" s="698"/>
      <c r="E1" s="698"/>
      <c r="F1" s="698"/>
      <c r="G1" s="614"/>
      <c r="H1" s="43"/>
      <c r="I1" s="86"/>
      <c r="K1" s="44"/>
      <c r="M1" s="101"/>
    </row>
    <row r="2" spans="1:20" ht="15.75" customHeight="1">
      <c r="A2" s="29"/>
      <c r="B2" s="30" t="s">
        <v>71</v>
      </c>
      <c r="C2" s="45">
        <v>42917</v>
      </c>
      <c r="D2" s="702" t="s">
        <v>566</v>
      </c>
      <c r="E2" s="702"/>
      <c r="F2" s="703"/>
      <c r="G2" s="703"/>
      <c r="H2" s="703"/>
      <c r="I2" s="703"/>
      <c r="J2" s="703"/>
      <c r="K2" s="703"/>
      <c r="L2" s="102"/>
    </row>
    <row r="3" spans="1:20" ht="15.75" customHeight="1">
      <c r="A3" s="29"/>
      <c r="B3" s="31" t="s">
        <v>72</v>
      </c>
      <c r="C3" s="45">
        <v>43281</v>
      </c>
      <c r="D3" s="703"/>
      <c r="E3" s="703"/>
      <c r="F3" s="703"/>
      <c r="G3" s="703"/>
      <c r="H3" s="703"/>
      <c r="I3" s="703"/>
      <c r="J3" s="703"/>
      <c r="K3" s="703"/>
      <c r="L3" s="102"/>
    </row>
    <row r="4" spans="1:20" ht="19.5" customHeight="1">
      <c r="A4" s="29"/>
      <c r="B4" s="31"/>
      <c r="D4" s="703"/>
      <c r="E4" s="703"/>
      <c r="F4" s="703"/>
      <c r="G4" s="703"/>
      <c r="H4" s="703"/>
      <c r="I4" s="703"/>
      <c r="J4" s="703"/>
      <c r="K4" s="703"/>
      <c r="L4" s="102"/>
    </row>
    <row r="5" spans="1:20" ht="52.9" customHeight="1">
      <c r="A5" s="29"/>
      <c r="B5" s="31"/>
      <c r="C5" s="48"/>
      <c r="D5" s="703"/>
      <c r="E5" s="703"/>
      <c r="F5" s="703"/>
      <c r="G5" s="703"/>
      <c r="H5" s="703"/>
      <c r="I5" s="703"/>
      <c r="J5" s="703"/>
      <c r="K5" s="703"/>
      <c r="L5" s="102"/>
    </row>
    <row r="6" spans="1:20" ht="13.15" customHeight="1">
      <c r="A6" s="29"/>
      <c r="B6" s="31"/>
      <c r="C6" s="48"/>
      <c r="D6" s="703"/>
      <c r="E6" s="703"/>
      <c r="F6" s="703"/>
      <c r="G6" s="703"/>
      <c r="H6" s="703"/>
      <c r="I6" s="703"/>
      <c r="J6" s="703"/>
      <c r="K6" s="703"/>
      <c r="L6" s="102"/>
    </row>
    <row r="7" spans="1:20" ht="13.15" customHeight="1">
      <c r="A7" s="29"/>
      <c r="B7" s="31"/>
      <c r="C7" s="48"/>
      <c r="D7" s="703"/>
      <c r="E7" s="703"/>
      <c r="F7" s="703"/>
      <c r="G7" s="703"/>
      <c r="H7" s="703"/>
      <c r="I7" s="703"/>
      <c r="J7" s="703"/>
      <c r="K7" s="703"/>
      <c r="L7" s="102"/>
    </row>
    <row r="8" spans="1:20" ht="13.15" customHeight="1">
      <c r="A8" s="29"/>
      <c r="B8" s="31"/>
      <c r="C8" s="48"/>
      <c r="D8" s="703"/>
      <c r="E8" s="703"/>
      <c r="F8" s="703"/>
      <c r="G8" s="703"/>
      <c r="H8" s="703"/>
      <c r="I8" s="703"/>
      <c r="J8" s="703"/>
      <c r="K8" s="703"/>
      <c r="L8" s="102"/>
    </row>
    <row r="9" spans="1:20" ht="15.5">
      <c r="A9" s="29"/>
      <c r="B9" s="31"/>
      <c r="C9" s="50" t="s">
        <v>33</v>
      </c>
      <c r="D9" s="51" t="s">
        <v>34</v>
      </c>
      <c r="E9" s="645">
        <v>3</v>
      </c>
      <c r="F9" s="47">
        <v>4</v>
      </c>
      <c r="G9" s="47">
        <v>5</v>
      </c>
      <c r="H9" s="642">
        <v>6</v>
      </c>
      <c r="I9" s="644">
        <v>7</v>
      </c>
      <c r="J9" s="47">
        <v>8</v>
      </c>
      <c r="L9" s="103">
        <v>9</v>
      </c>
      <c r="N9" s="643">
        <v>10</v>
      </c>
      <c r="O9" s="643">
        <v>11</v>
      </c>
      <c r="P9" s="104"/>
      <c r="Q9" s="75">
        <v>12</v>
      </c>
      <c r="R9" s="56"/>
      <c r="S9" s="85">
        <v>13</v>
      </c>
      <c r="T9" s="57"/>
    </row>
    <row r="10" spans="1:20" ht="15.5">
      <c r="A10" s="29" t="s">
        <v>0</v>
      </c>
      <c r="B10" s="31"/>
      <c r="C10" s="53" t="s">
        <v>1</v>
      </c>
      <c r="D10" s="53" t="s">
        <v>517</v>
      </c>
      <c r="E10" s="617" t="s">
        <v>518</v>
      </c>
      <c r="F10" s="53" t="s">
        <v>3</v>
      </c>
      <c r="G10" s="617" t="s">
        <v>519</v>
      </c>
      <c r="H10" s="53" t="s">
        <v>563</v>
      </c>
      <c r="I10" s="53" t="s">
        <v>4</v>
      </c>
      <c r="J10" s="54" t="s">
        <v>5</v>
      </c>
      <c r="L10" s="105" t="s">
        <v>231</v>
      </c>
      <c r="N10" s="699" t="s">
        <v>254</v>
      </c>
      <c r="O10" s="699" t="s">
        <v>255</v>
      </c>
      <c r="P10" s="106"/>
      <c r="Q10" s="7" t="s">
        <v>176</v>
      </c>
      <c r="R10" s="56"/>
      <c r="S10" s="7" t="s">
        <v>175</v>
      </c>
      <c r="T10" s="57"/>
    </row>
    <row r="11" spans="1:20" ht="15.5">
      <c r="A11" s="29" t="s">
        <v>6</v>
      </c>
      <c r="B11" s="31"/>
      <c r="C11" s="58"/>
      <c r="D11" s="58" t="s">
        <v>518</v>
      </c>
      <c r="E11" s="58" t="s">
        <v>2</v>
      </c>
      <c r="F11" s="58" t="s">
        <v>523</v>
      </c>
      <c r="G11" s="58" t="s">
        <v>518</v>
      </c>
      <c r="H11" s="58" t="s">
        <v>520</v>
      </c>
      <c r="I11" s="58" t="s">
        <v>522</v>
      </c>
      <c r="J11" s="59" t="s">
        <v>7</v>
      </c>
      <c r="L11" s="107" t="s">
        <v>232</v>
      </c>
      <c r="N11" s="700"/>
      <c r="O11" s="700"/>
      <c r="P11" s="106"/>
      <c r="Q11" s="60" t="s">
        <v>174</v>
      </c>
      <c r="R11" s="56"/>
      <c r="S11" s="60" t="s">
        <v>177</v>
      </c>
      <c r="T11" s="57"/>
    </row>
    <row r="12" spans="1:20" ht="15.5">
      <c r="A12" s="29"/>
      <c r="B12" s="1" t="s">
        <v>205</v>
      </c>
      <c r="C12" s="49"/>
      <c r="D12" s="46"/>
      <c r="E12" s="46"/>
      <c r="H12" s="46"/>
      <c r="I12" s="43"/>
      <c r="L12" s="108" t="s">
        <v>521</v>
      </c>
      <c r="N12" s="701"/>
      <c r="O12" s="701"/>
      <c r="P12" s="106"/>
      <c r="Q12" s="61" t="s">
        <v>577</v>
      </c>
      <c r="R12" s="56"/>
      <c r="S12" s="61" t="s">
        <v>578</v>
      </c>
      <c r="T12" s="57"/>
    </row>
    <row r="13" spans="1:20" ht="15.5">
      <c r="A13" s="29"/>
      <c r="B13" s="616" t="s">
        <v>516</v>
      </c>
      <c r="C13" s="49"/>
      <c r="D13" s="46"/>
      <c r="E13" s="46"/>
      <c r="H13" s="46"/>
      <c r="I13" s="43"/>
      <c r="L13" s="108"/>
      <c r="N13" s="12"/>
      <c r="O13" s="12"/>
      <c r="P13" s="21"/>
      <c r="Q13" s="55"/>
      <c r="R13" s="56"/>
      <c r="S13" s="55"/>
      <c r="T13" s="57"/>
    </row>
    <row r="14" spans="1:20" ht="15.5">
      <c r="A14" s="29"/>
      <c r="B14" s="160" t="s">
        <v>512</v>
      </c>
      <c r="C14" s="14">
        <f>SUM('ALPINE MEADOW:WOODLAND'!C12)</f>
        <v>210520908.71785888</v>
      </c>
      <c r="D14" s="14">
        <f>SUM('ALPINE MEADOW:WOODLAND'!D12)</f>
        <v>-5323101.3199999994</v>
      </c>
      <c r="E14" s="14">
        <f>SUM('ALPINE MEADOW:WOODLAND'!E12)</f>
        <v>0</v>
      </c>
      <c r="F14" s="14">
        <f>SUM('ALPINE MEADOW:WOODLAND'!F12)</f>
        <v>205197807.39785886</v>
      </c>
      <c r="G14" s="14">
        <f>SUM('ALPINE MEADOW:WOODLAND'!G12)</f>
        <v>1519112</v>
      </c>
      <c r="H14" s="14">
        <f>SUM('ALPINE MEADOW:WOODLAND'!H12)</f>
        <v>0</v>
      </c>
      <c r="I14" s="14">
        <f>SUM('ALPINE MEADOW:WOODLAND'!I12)</f>
        <v>206716919.39785886</v>
      </c>
      <c r="J14" s="26">
        <f>I14/$I$28</f>
        <v>0.35206905885795126</v>
      </c>
      <c r="K14" s="25"/>
      <c r="L14" s="109">
        <f t="shared" ref="L14:L19" si="0">IF(I222=0,0,I14/I222)</f>
        <v>3.6403329897684831</v>
      </c>
      <c r="N14" s="12"/>
      <c r="O14" s="12"/>
      <c r="P14" s="21"/>
      <c r="Q14" s="55"/>
      <c r="R14" s="56"/>
      <c r="S14" s="55"/>
      <c r="T14" s="57"/>
    </row>
    <row r="15" spans="1:20" ht="15.5">
      <c r="A15" s="29"/>
      <c r="B15" s="160" t="s">
        <v>513</v>
      </c>
      <c r="C15" s="14">
        <f>SUM('ALPINE MEADOW:WOODLAND'!C13)</f>
        <v>40456994.11999999</v>
      </c>
      <c r="D15" s="14">
        <f>SUM('ALPINE MEADOW:WOODLAND'!D13)</f>
        <v>33794879.889164016</v>
      </c>
      <c r="E15" s="14">
        <f>SUM('ALPINE MEADOW:WOODLAND'!E13)</f>
        <v>0</v>
      </c>
      <c r="F15" s="14">
        <f>SUM('ALPINE MEADOW:WOODLAND'!F13)</f>
        <v>74251874.009163991</v>
      </c>
      <c r="G15" s="14">
        <f>SUM('ALPINE MEADOW:WOODLAND'!G13)</f>
        <v>-538081</v>
      </c>
      <c r="H15" s="14">
        <f>SUM('ALPINE MEADOW:WOODLAND'!H13)</f>
        <v>0</v>
      </c>
      <c r="I15" s="14">
        <f>SUM('ALPINE MEADOW:WOODLAND'!I13)</f>
        <v>73713793.009163991</v>
      </c>
      <c r="J15" s="26">
        <f>I15/$I$28</f>
        <v>0.12554533903263557</v>
      </c>
      <c r="K15" s="25"/>
      <c r="L15" s="109">
        <f t="shared" si="0"/>
        <v>0</v>
      </c>
      <c r="N15" s="12"/>
      <c r="O15" s="12"/>
      <c r="P15" s="21"/>
      <c r="Q15" s="55"/>
      <c r="R15" s="56"/>
      <c r="S15" s="55"/>
      <c r="T15" s="57"/>
    </row>
    <row r="16" spans="1:20" ht="15.5">
      <c r="A16" s="29"/>
      <c r="B16" s="160" t="s">
        <v>514</v>
      </c>
      <c r="C16" s="14">
        <f>SUM('ALPINE MEADOW:WOODLAND'!C14)</f>
        <v>9420030.9299999978</v>
      </c>
      <c r="D16" s="14">
        <f>SUM('ALPINE MEADOW:WOODLAND'!D14)</f>
        <v>-4002</v>
      </c>
      <c r="E16" s="14">
        <f>SUM('ALPINE MEADOW:WOODLAND'!E14)</f>
        <v>0</v>
      </c>
      <c r="F16" s="14">
        <f>SUM('ALPINE MEADOW:WOODLAND'!F14)</f>
        <v>9416028.9299999978</v>
      </c>
      <c r="G16" s="14">
        <f>SUM('ALPINE MEADOW:WOODLAND'!G14)</f>
        <v>0</v>
      </c>
      <c r="H16" s="14">
        <f>SUM('ALPINE MEADOW:WOODLAND'!H14)</f>
        <v>0</v>
      </c>
      <c r="I16" s="14">
        <f>SUM('ALPINE MEADOW:WOODLAND'!I14)</f>
        <v>9416028.9299999978</v>
      </c>
      <c r="J16" s="26">
        <f>I16/$I$28</f>
        <v>1.6036870388842869E-2</v>
      </c>
      <c r="K16" s="25"/>
      <c r="L16" s="109">
        <f t="shared" si="0"/>
        <v>0</v>
      </c>
      <c r="N16" s="12"/>
      <c r="O16" s="12"/>
      <c r="P16" s="21"/>
      <c r="Q16" s="55"/>
      <c r="R16" s="56"/>
      <c r="S16" s="55"/>
      <c r="T16" s="57"/>
    </row>
    <row r="17" spans="1:20" ht="15.5">
      <c r="A17" s="29"/>
      <c r="B17" s="160" t="s">
        <v>515</v>
      </c>
      <c r="C17" s="14">
        <f>SUM('ALPINE MEADOW:WOODLAND'!C15)</f>
        <v>2556135.86</v>
      </c>
      <c r="D17" s="14">
        <f>SUM('ALPINE MEADOW:WOODLAND'!D15)</f>
        <v>400206.13</v>
      </c>
      <c r="E17" s="14">
        <f>SUM('ALPINE MEADOW:WOODLAND'!E15)</f>
        <v>0</v>
      </c>
      <c r="F17" s="14">
        <f>SUM('ALPINE MEADOW:WOODLAND'!F15)</f>
        <v>2956341.9899999998</v>
      </c>
      <c r="G17" s="14">
        <f>SUM('ALPINE MEADOW:WOODLAND'!G15)</f>
        <v>1445453.18</v>
      </c>
      <c r="H17" s="14">
        <f>SUM('ALPINE MEADOW:WOODLAND'!H15)</f>
        <v>0</v>
      </c>
      <c r="I17" s="14">
        <f>SUM('ALPINE MEADOW:WOODLAND'!I15)</f>
        <v>4401795.17</v>
      </c>
      <c r="J17" s="26">
        <f>I17/$I$28</f>
        <v>7.4968990796765297E-3</v>
      </c>
      <c r="K17" s="25"/>
      <c r="L17" s="109">
        <f t="shared" si="0"/>
        <v>0</v>
      </c>
      <c r="N17" s="12"/>
      <c r="O17" s="12"/>
      <c r="P17" s="21"/>
      <c r="Q17" s="55"/>
      <c r="R17" s="56"/>
      <c r="S17" s="55"/>
      <c r="T17" s="57"/>
    </row>
    <row r="18" spans="1:20" s="25" customFormat="1" ht="15.5">
      <c r="A18" s="32" t="s">
        <v>9</v>
      </c>
      <c r="B18" s="24" t="s">
        <v>197</v>
      </c>
      <c r="C18" s="14">
        <f>SUM('ALPINE MEADOW:WOODLAND'!C16)</f>
        <v>262954069.62785888</v>
      </c>
      <c r="D18" s="14">
        <f>SUM('ALPINE MEADOW:WOODLAND'!D16)</f>
        <v>28867982.699164011</v>
      </c>
      <c r="E18" s="14">
        <f>SUM('ALPINE MEADOW:WOODLAND'!E16)</f>
        <v>0</v>
      </c>
      <c r="F18" s="14">
        <f>SUM('ALPINE MEADOW:WOODLAND'!F16)</f>
        <v>291822052.32702291</v>
      </c>
      <c r="G18" s="14">
        <f>SUM('ALPINE MEADOW:WOODLAND'!G16)</f>
        <v>0</v>
      </c>
      <c r="H18" s="14">
        <f>SUM('ALPINE MEADOW:WOODLAND'!H16)</f>
        <v>0</v>
      </c>
      <c r="I18" s="14">
        <f>SUM('ALPINE MEADOW:WOODLAND'!I16)</f>
        <v>294248536.50702286</v>
      </c>
      <c r="J18" s="26">
        <f t="shared" ref="J18:J28" si="1">I18/$I$28</f>
        <v>0.50114816735910628</v>
      </c>
      <c r="L18" s="109">
        <f t="shared" si="0"/>
        <v>284.96439647002933</v>
      </c>
      <c r="N18" s="235" t="s">
        <v>325</v>
      </c>
      <c r="O18" s="163">
        <f>I28</f>
        <v>587148782.8791641</v>
      </c>
      <c r="P18" s="88"/>
      <c r="Q18" s="368"/>
      <c r="R18" s="111"/>
      <c r="S18" s="110"/>
      <c r="T18" s="111"/>
    </row>
    <row r="19" spans="1:20" s="25" customFormat="1" ht="15.5">
      <c r="A19" s="32" t="s">
        <v>11</v>
      </c>
      <c r="B19" s="24" t="s">
        <v>198</v>
      </c>
      <c r="C19" s="14">
        <f>SUM('ALPINE MEADOW:WOODLAND'!C17)</f>
        <v>2404248.502141064</v>
      </c>
      <c r="D19" s="14">
        <f>SUM('ALPINE MEADOW:WOODLAND'!D17)</f>
        <v>2181561.3199999998</v>
      </c>
      <c r="E19" s="14">
        <f>SUM('ALPINE MEADOW:WOODLAND'!E17)</f>
        <v>0</v>
      </c>
      <c r="F19" s="14">
        <f>SUM('ALPINE MEADOW:WOODLAND'!F17)</f>
        <v>4585809.8221410643</v>
      </c>
      <c r="G19" s="14">
        <f>SUM('ALPINE MEADOW:WOODLAND'!G17)</f>
        <v>73048</v>
      </c>
      <c r="H19" s="14">
        <f>SUM('ALPINE MEADOW:WOODLAND'!H17)</f>
        <v>0</v>
      </c>
      <c r="I19" s="14">
        <f>SUM('ALPINE MEADOW:WOODLAND'!I17)</f>
        <v>4658857.8221410643</v>
      </c>
      <c r="J19" s="26">
        <f t="shared" si="1"/>
        <v>7.9347142632157381E-3</v>
      </c>
      <c r="L19" s="109">
        <f t="shared" si="0"/>
        <v>273.55163068176057</v>
      </c>
      <c r="N19" s="235" t="s">
        <v>326</v>
      </c>
      <c r="O19" s="163">
        <f>I215</f>
        <v>530363615.15443736</v>
      </c>
      <c r="P19" s="88"/>
      <c r="Q19" s="368"/>
      <c r="R19" s="111"/>
      <c r="S19" s="110"/>
      <c r="T19" s="111"/>
    </row>
    <row r="20" spans="1:20" s="25" customFormat="1" ht="15.5">
      <c r="A20" s="32" t="s">
        <v>12</v>
      </c>
      <c r="B20" s="24" t="s">
        <v>162</v>
      </c>
      <c r="C20" s="14">
        <f>SUM('ALPINE MEADOW:WOODLAND'!C18)</f>
        <v>128947886.72</v>
      </c>
      <c r="D20" s="14">
        <f>SUM('ALPINE MEADOW:WOODLAND'!D18)</f>
        <v>1211343.3800000001</v>
      </c>
      <c r="E20" s="14">
        <f>SUM('ALPINE MEADOW:WOODLAND'!E18)</f>
        <v>0</v>
      </c>
      <c r="F20" s="14">
        <f>SUM('ALPINE MEADOW:WOODLAND'!F18)</f>
        <v>130159230.09999999</v>
      </c>
      <c r="G20" s="14">
        <f>SUM('ALPINE MEADOW:WOODLAND'!G18)</f>
        <v>-52687</v>
      </c>
      <c r="H20" s="14">
        <f>SUM('ALPINE MEADOW:WOODLAND'!H18)</f>
        <v>0</v>
      </c>
      <c r="I20" s="14">
        <f>SUM('ALPINE MEADOW:WOODLAND'!I18)</f>
        <v>130106543.09999999</v>
      </c>
      <c r="J20" s="26">
        <f t="shared" si="1"/>
        <v>0.22159041608160171</v>
      </c>
      <c r="L20" s="109">
        <f t="shared" ref="L20:L26" si="2">IF(I228=0,0,I20/I228)</f>
        <v>561.11364502829144</v>
      </c>
      <c r="N20" s="235" t="s">
        <v>524</v>
      </c>
      <c r="O20" s="163">
        <f>I235</f>
        <v>1857162</v>
      </c>
      <c r="P20" s="88"/>
      <c r="Q20" s="368"/>
      <c r="R20" s="111"/>
      <c r="S20" s="110"/>
      <c r="T20" s="111"/>
    </row>
    <row r="21" spans="1:20" s="25" customFormat="1" ht="15.5">
      <c r="A21" s="32" t="s">
        <v>14</v>
      </c>
      <c r="B21" s="24" t="s">
        <v>253</v>
      </c>
      <c r="C21" s="14">
        <f>SUM('ALPINE MEADOW:WOODLAND'!C19)</f>
        <v>41610571.873021528</v>
      </c>
      <c r="D21" s="14">
        <f>SUM('ALPINE MEADOW:WOODLAND'!D19)</f>
        <v>-1203708.6000000001</v>
      </c>
      <c r="E21" s="14">
        <f>SUM('ALPINE MEADOW:WOODLAND'!E19)</f>
        <v>0</v>
      </c>
      <c r="F21" s="14">
        <f>SUM('ALPINE MEADOW:WOODLAND'!F19)</f>
        <v>40406863.273021542</v>
      </c>
      <c r="G21" s="14">
        <f>SUM('ALPINE MEADOW:WOODLAND'!G19)</f>
        <v>0</v>
      </c>
      <c r="H21" s="14">
        <f>SUM('ALPINE MEADOW:WOODLAND'!H19)</f>
        <v>0</v>
      </c>
      <c r="I21" s="14">
        <f>SUM('ALPINE MEADOW:WOODLAND'!I19)</f>
        <v>40406863.273021542</v>
      </c>
      <c r="J21" s="26">
        <f t="shared" si="1"/>
        <v>6.8818780607669799E-2</v>
      </c>
      <c r="L21" s="109">
        <f t="shared" si="2"/>
        <v>411.84844994976652</v>
      </c>
      <c r="N21" s="235" t="s">
        <v>328</v>
      </c>
      <c r="O21" s="163">
        <f>I238</f>
        <v>8361.27</v>
      </c>
      <c r="P21" s="88"/>
      <c r="Q21" s="368"/>
      <c r="R21" s="111"/>
      <c r="S21" s="110"/>
      <c r="T21" s="111"/>
    </row>
    <row r="22" spans="1:20" s="25" customFormat="1" ht="15.5">
      <c r="A22" s="32" t="s">
        <v>15</v>
      </c>
      <c r="B22" s="24" t="s">
        <v>163</v>
      </c>
      <c r="C22" s="14">
        <f>SUM('ALPINE MEADOW:WOODLAND'!C20)</f>
        <v>36564987.509999998</v>
      </c>
      <c r="D22" s="14">
        <f>SUM('ALPINE MEADOW:WOODLAND'!D20)</f>
        <v>-9458377</v>
      </c>
      <c r="E22" s="14">
        <f>SUM('ALPINE MEADOW:WOODLAND'!E20)</f>
        <v>0</v>
      </c>
      <c r="F22" s="14">
        <f>SUM('ALPINE MEADOW:WOODLAND'!F20)</f>
        <v>27106610.509999998</v>
      </c>
      <c r="G22" s="14">
        <f>SUM('ALPINE MEADOW:WOODLAND'!G20)</f>
        <v>0</v>
      </c>
      <c r="H22" s="14">
        <f>SUM('ALPINE MEADOW:WOODLAND'!H20)</f>
        <v>0</v>
      </c>
      <c r="I22" s="14">
        <f>SUM('ALPINE MEADOW:WOODLAND'!I20)</f>
        <v>27106610.509999998</v>
      </c>
      <c r="J22" s="26">
        <f t="shared" si="1"/>
        <v>4.6166510602438857E-2</v>
      </c>
      <c r="L22" s="109">
        <f t="shared" si="2"/>
        <v>340.77076510151483</v>
      </c>
      <c r="N22" s="235" t="s">
        <v>525</v>
      </c>
      <c r="O22" s="163">
        <f>I242</f>
        <v>2927992.99</v>
      </c>
      <c r="P22" s="88"/>
      <c r="Q22" s="368"/>
      <c r="R22" s="111"/>
      <c r="S22" s="110"/>
      <c r="T22" s="111"/>
    </row>
    <row r="23" spans="1:20" s="25" customFormat="1" ht="15.5">
      <c r="A23" s="32" t="s">
        <v>17</v>
      </c>
      <c r="B23" s="24" t="s">
        <v>164</v>
      </c>
      <c r="C23" s="14">
        <f>SUM('ALPINE MEADOW:WOODLAND'!C21)</f>
        <v>48495940.980000004</v>
      </c>
      <c r="D23" s="14">
        <f>SUM('ALPINE MEADOW:WOODLAND'!D21)</f>
        <v>11626512.860000001</v>
      </c>
      <c r="E23" s="14">
        <f>SUM('ALPINE MEADOW:WOODLAND'!E21)</f>
        <v>0</v>
      </c>
      <c r="F23" s="14">
        <f>SUM('ALPINE MEADOW:WOODLAND'!F21)</f>
        <v>60122453.839999996</v>
      </c>
      <c r="G23" s="14">
        <f>SUM('ALPINE MEADOW:WOODLAND'!G21)</f>
        <v>-67595</v>
      </c>
      <c r="H23" s="14">
        <f>SUM('ALPINE MEADOW:WOODLAND'!H21)</f>
        <v>0</v>
      </c>
      <c r="I23" s="14">
        <f>SUM('ALPINE MEADOW:WOODLAND'!I21)</f>
        <v>60054858.839999996</v>
      </c>
      <c r="J23" s="26">
        <f t="shared" si="1"/>
        <v>0.10228218228693724</v>
      </c>
      <c r="L23" s="109">
        <f t="shared" si="2"/>
        <v>225.41338272883894</v>
      </c>
      <c r="N23" s="158"/>
      <c r="O23" s="163"/>
      <c r="P23" s="88"/>
      <c r="Q23" s="368"/>
      <c r="R23" s="111"/>
      <c r="S23" s="110"/>
      <c r="T23" s="111"/>
    </row>
    <row r="24" spans="1:20" s="25" customFormat="1" ht="15.5">
      <c r="A24" s="32" t="s">
        <v>199</v>
      </c>
      <c r="B24" s="24" t="s">
        <v>212</v>
      </c>
      <c r="C24" s="14">
        <f>SUM('ALPINE MEADOW:WOODLAND'!C22)</f>
        <v>14601387.161519876</v>
      </c>
      <c r="D24" s="14">
        <f>SUM('ALPINE MEADOW:WOODLAND'!D22)</f>
        <v>3819902.5158922682</v>
      </c>
      <c r="E24" s="14">
        <f>SUM('ALPINE MEADOW:WOODLAND'!E22)</f>
        <v>0</v>
      </c>
      <c r="F24" s="14">
        <f>SUM('ALPINE MEADOW:WOODLAND'!F22)</f>
        <v>18421289.677412145</v>
      </c>
      <c r="G24" s="14">
        <f>SUM('ALPINE MEADOW:WOODLAND'!G22)</f>
        <v>-48284</v>
      </c>
      <c r="H24" s="14">
        <f>SUM('ALPINE MEADOW:WOODLAND'!H22)</f>
        <v>0</v>
      </c>
      <c r="I24" s="14">
        <f>SUM('ALPINE MEADOW:WOODLAND'!I22)</f>
        <v>18373005.677412145</v>
      </c>
      <c r="J24" s="26">
        <f t="shared" si="1"/>
        <v>3.1291907968058127E-2</v>
      </c>
      <c r="L24" s="109">
        <f t="shared" si="2"/>
        <v>188.3985734235572</v>
      </c>
      <c r="N24" s="235" t="s">
        <v>148</v>
      </c>
      <c r="O24" s="163">
        <f>N215</f>
        <v>12369468.644153832</v>
      </c>
      <c r="P24" s="88"/>
      <c r="Q24" s="368"/>
      <c r="R24" s="111"/>
      <c r="S24" s="110"/>
      <c r="T24" s="111"/>
    </row>
    <row r="25" spans="1:20" s="25" customFormat="1" ht="15.5">
      <c r="A25" s="32" t="s">
        <v>200</v>
      </c>
      <c r="B25" s="24" t="s">
        <v>213</v>
      </c>
      <c r="C25" s="14">
        <f>SUM('ALPINE MEADOW:WOODLAND'!C23)</f>
        <v>6348135.7484801225</v>
      </c>
      <c r="D25" s="14">
        <f>SUM('ALPINE MEADOW:WOODLAND'!D23)</f>
        <v>-3485282.6458922685</v>
      </c>
      <c r="E25" s="14">
        <f>SUM('ALPINE MEADOW:WOODLAND'!E23)</f>
        <v>0</v>
      </c>
      <c r="F25" s="14">
        <f>SUM('ALPINE MEADOW:WOODLAND'!F23)</f>
        <v>2862853.1025878536</v>
      </c>
      <c r="G25" s="14">
        <f>SUM('ALPINE MEADOW:WOODLAND'!G23)</f>
        <v>124070</v>
      </c>
      <c r="H25" s="14">
        <f>SUM('ALPINE MEADOW:WOODLAND'!H23)</f>
        <v>0</v>
      </c>
      <c r="I25" s="14">
        <f>SUM('ALPINE MEADOW:WOODLAND'!I23)</f>
        <v>2986923.1025878536</v>
      </c>
      <c r="J25" s="26">
        <f t="shared" si="1"/>
        <v>5.087165620851786E-3</v>
      </c>
      <c r="L25" s="109">
        <f t="shared" si="2"/>
        <v>202.2975348857334</v>
      </c>
      <c r="N25" s="235" t="s">
        <v>233</v>
      </c>
      <c r="O25" s="163">
        <f>O215</f>
        <v>13131313.356970411</v>
      </c>
      <c r="P25" s="88"/>
      <c r="Q25" s="368"/>
      <c r="R25" s="111"/>
      <c r="S25" s="110"/>
      <c r="T25" s="111"/>
    </row>
    <row r="26" spans="1:20" s="25" customFormat="1" ht="15.5">
      <c r="A26" s="32" t="s">
        <v>211</v>
      </c>
      <c r="B26" s="24" t="s">
        <v>214</v>
      </c>
      <c r="C26" s="14">
        <f>SUM('ALPINE MEADOW:WOODLAND'!C24)</f>
        <v>6495142.3769784849</v>
      </c>
      <c r="D26" s="14">
        <f>SUM('ALPINE MEADOW:WOODLAND'!D24)</f>
        <v>897189.12999999989</v>
      </c>
      <c r="E26" s="14">
        <f>SUM('ALPINE MEADOW:WOODLAND'!E24)</f>
        <v>0</v>
      </c>
      <c r="F26" s="14">
        <f>SUM('ALPINE MEADOW:WOODLAND'!F24)</f>
        <v>7392331.5069784857</v>
      </c>
      <c r="G26" s="14">
        <f>SUM('ALPINE MEADOW:WOODLAND'!G24)</f>
        <v>99578</v>
      </c>
      <c r="H26" s="14">
        <f>SUM('ALPINE MEADOW:WOODLAND'!H24)</f>
        <v>0</v>
      </c>
      <c r="I26" s="14">
        <f>SUM('ALPINE MEADOW:WOODLAND'!I24)</f>
        <v>7491909.5069784857</v>
      </c>
      <c r="J26" s="26">
        <f t="shared" si="1"/>
        <v>1.2759814420871122E-2</v>
      </c>
      <c r="L26" s="109">
        <f t="shared" si="2"/>
        <v>387.88037830590139</v>
      </c>
      <c r="N26" s="88"/>
      <c r="O26" s="88"/>
      <c r="P26" s="88"/>
      <c r="Q26" s="110"/>
      <c r="R26" s="111"/>
      <c r="S26" s="110"/>
      <c r="T26" s="111"/>
    </row>
    <row r="27" spans="1:20" s="25" customFormat="1" ht="15.5">
      <c r="A27" s="32" t="s">
        <v>173</v>
      </c>
      <c r="B27" s="2" t="s">
        <v>171</v>
      </c>
      <c r="C27" s="14">
        <f>SUM('ALPINE MEADOW:WOODLAND'!C25)</f>
        <v>3975929.2699999996</v>
      </c>
      <c r="D27" s="14">
        <f>SUM('ALPINE MEADOW:WOODLAND'!D25)</f>
        <v>-13530.549999999916</v>
      </c>
      <c r="E27" s="14">
        <f>SUM('ALPINE MEADOW:WOODLAND'!E25)</f>
        <v>0</v>
      </c>
      <c r="F27" s="14">
        <f>SUM('ALPINE MEADOW:WOODLAND'!F25)</f>
        <v>3962398.7199999997</v>
      </c>
      <c r="G27" s="14">
        <f>SUM('ALPINE MEADOW:WOODLAND'!G25)</f>
        <v>-2247724.1799999997</v>
      </c>
      <c r="H27" s="14">
        <f>SUM('ALPINE MEADOW:WOODLAND'!H25)</f>
        <v>0</v>
      </c>
      <c r="I27" s="14">
        <f>SUM('ALPINE MEADOW:WOODLAND'!I25)</f>
        <v>1714674.54</v>
      </c>
      <c r="J27" s="26">
        <f t="shared" si="1"/>
        <v>2.9203407892491231E-3</v>
      </c>
      <c r="L27" s="112" t="s">
        <v>184</v>
      </c>
      <c r="N27" s="89"/>
      <c r="O27" s="89"/>
      <c r="P27" s="89"/>
      <c r="Q27" s="110"/>
      <c r="R27" s="111"/>
      <c r="S27" s="110"/>
      <c r="T27" s="111"/>
    </row>
    <row r="28" spans="1:20" s="25" customFormat="1" ht="15.5">
      <c r="A28" s="32"/>
      <c r="B28" s="3" t="s">
        <v>69</v>
      </c>
      <c r="C28" s="14">
        <f>SUM('ALPINE MEADOW:WOODLAND'!C26)</f>
        <v>552398299.76999998</v>
      </c>
      <c r="D28" s="14">
        <f>SUM('ALPINE MEADOW:WOODLAND'!D26)</f>
        <v>34443593.109164014</v>
      </c>
      <c r="E28" s="14">
        <f>SUM('ALPINE MEADOW:WOODLAND'!E26)</f>
        <v>0</v>
      </c>
      <c r="F28" s="14">
        <f>SUM('ALPINE MEADOW:WOODLAND'!F26)</f>
        <v>586841892.87916398</v>
      </c>
      <c r="G28" s="14">
        <f>SUM('ALPINE MEADOW:WOODLAND'!G26)</f>
        <v>306890</v>
      </c>
      <c r="H28" s="14">
        <f>SUM('ALPINE MEADOW:WOODLAND'!H26)</f>
        <v>0</v>
      </c>
      <c r="I28" s="14">
        <f>SUM('ALPINE MEADOW:WOODLAND'!I26)</f>
        <v>587148782.8791641</v>
      </c>
      <c r="J28" s="26">
        <f t="shared" si="1"/>
        <v>1</v>
      </c>
      <c r="L28" s="109">
        <f>IF(I235=0,0,I28/I235)</f>
        <v>316.15377811906774</v>
      </c>
      <c r="N28" s="88"/>
      <c r="O28" s="88"/>
      <c r="P28" s="88"/>
      <c r="Q28" s="110"/>
      <c r="R28" s="111"/>
      <c r="S28" s="110"/>
      <c r="T28" s="111"/>
    </row>
    <row r="29" spans="1:20" ht="15.5">
      <c r="A29" s="29"/>
      <c r="B29" s="1"/>
      <c r="C29" s="17"/>
      <c r="D29" s="17"/>
      <c r="E29" s="17"/>
      <c r="F29" s="17"/>
      <c r="G29" s="17"/>
      <c r="H29" s="17"/>
      <c r="I29" s="17"/>
      <c r="J29" s="57"/>
      <c r="L29" s="113"/>
      <c r="N29" s="12"/>
      <c r="O29" s="12"/>
      <c r="P29" s="21"/>
      <c r="Q29" s="55"/>
      <c r="R29" s="56"/>
      <c r="S29" s="55"/>
      <c r="T29" s="57"/>
    </row>
    <row r="30" spans="1:20" ht="26.5">
      <c r="A30" s="33" t="s">
        <v>215</v>
      </c>
      <c r="B30" s="1" t="s">
        <v>206</v>
      </c>
      <c r="C30" s="49"/>
      <c r="D30" s="49"/>
      <c r="E30" s="49"/>
      <c r="F30" s="46"/>
      <c r="G30" s="46"/>
      <c r="H30" s="46"/>
      <c r="I30" s="46"/>
      <c r="J30" s="57"/>
      <c r="L30" s="113"/>
      <c r="N30" s="12"/>
      <c r="O30" s="12"/>
      <c r="P30" s="21"/>
      <c r="Q30" s="55"/>
      <c r="R30" s="56"/>
      <c r="S30" s="55"/>
      <c r="T30" s="57"/>
    </row>
    <row r="31" spans="1:20" ht="15.5">
      <c r="A31" s="34" t="s">
        <v>153</v>
      </c>
      <c r="B31" s="31" t="s">
        <v>8</v>
      </c>
      <c r="J31" s="57"/>
      <c r="L31" s="114"/>
      <c r="N31" s="64"/>
      <c r="O31" s="64"/>
      <c r="P31" s="115"/>
      <c r="Q31" s="56"/>
      <c r="R31" s="56"/>
      <c r="S31" s="57"/>
      <c r="T31" s="57"/>
    </row>
    <row r="32" spans="1:20" s="25" customFormat="1" ht="15.5">
      <c r="A32" s="32" t="s">
        <v>75</v>
      </c>
      <c r="B32" s="24" t="s">
        <v>10</v>
      </c>
      <c r="C32" s="14">
        <f>SUM('ALPINE MEADOW:WOODLAND'!C30)</f>
        <v>7715983.29</v>
      </c>
      <c r="D32" s="14">
        <f>SUM('ALPINE MEADOW:WOODLAND'!D30)</f>
        <v>1451556.2965025241</v>
      </c>
      <c r="E32" s="14">
        <f>SUM('ALPINE MEADOW:WOODLAND'!E30)</f>
        <v>42120.448587788516</v>
      </c>
      <c r="F32" s="14">
        <f>SUM('ALPINE MEADOW:WOODLAND'!F30)</f>
        <v>9209660.0350903124</v>
      </c>
      <c r="G32" s="14">
        <f>SUM('ALPINE MEADOW:WOODLAND'!G30)</f>
        <v>1380902</v>
      </c>
      <c r="H32" s="14">
        <f>SUM('ALPINE MEADOW:WOODLAND'!H30)</f>
        <v>0</v>
      </c>
      <c r="I32" s="14">
        <f>SUM('ALPINE MEADOW:WOODLAND'!I30)</f>
        <v>10590562.035090312</v>
      </c>
      <c r="J32" s="90">
        <f>IF($I$215=0,0,I32/$I$215)</f>
        <v>1.996849280847901E-2</v>
      </c>
      <c r="L32" s="109">
        <f t="shared" ref="L32:L68" si="3">IF(I32=0,0,I32/$I$235)</f>
        <v>5.7025515464403815</v>
      </c>
      <c r="M32" s="25">
        <v>2031.37</v>
      </c>
      <c r="N32" s="116">
        <f>SUM('ALPINE MEADOW:WOODLAND'!L30)</f>
        <v>174027.62061812152</v>
      </c>
      <c r="O32" s="116">
        <f>SUM('ALPINE MEADOW:WOODLAND'!M30)</f>
        <v>181305.4688783334</v>
      </c>
      <c r="P32" s="117"/>
      <c r="Q32" s="118">
        <f>IF(N32=0,0,I32/O32)</f>
        <v>58.41281071448099</v>
      </c>
      <c r="R32" s="57"/>
      <c r="S32" s="119">
        <f>O32/$I$235</f>
        <v>9.7625015415097549E-2</v>
      </c>
      <c r="T32" s="57"/>
    </row>
    <row r="33" spans="1:20" s="25" customFormat="1" ht="15.5">
      <c r="A33" s="32" t="s">
        <v>76</v>
      </c>
      <c r="B33" s="24" t="s">
        <v>167</v>
      </c>
      <c r="C33" s="14">
        <f>SUM('ALPINE MEADOW:WOODLAND'!C31)</f>
        <v>13800</v>
      </c>
      <c r="D33" s="14">
        <f>SUM('ALPINE MEADOW:WOODLAND'!D31)</f>
        <v>13900</v>
      </c>
      <c r="E33" s="14">
        <f>SUM('ALPINE MEADOW:WOODLAND'!E31)</f>
        <v>0</v>
      </c>
      <c r="F33" s="14">
        <f>SUM('ALPINE MEADOW:WOODLAND'!F31)</f>
        <v>27700</v>
      </c>
      <c r="G33" s="14">
        <f>SUM('ALPINE MEADOW:WOODLAND'!G31)</f>
        <v>-13900</v>
      </c>
      <c r="H33" s="14">
        <f>SUM('ALPINE MEADOW:WOODLAND'!H31)</f>
        <v>0</v>
      </c>
      <c r="I33" s="14">
        <f>SUM('ALPINE MEADOW:WOODLAND'!I31)</f>
        <v>13800</v>
      </c>
      <c r="J33" s="90">
        <f>IF($I$215=0,0,I33/$I$215)</f>
        <v>2.6019884482425434E-5</v>
      </c>
      <c r="L33" s="109">
        <f t="shared" si="3"/>
        <v>7.4306926374758907E-3</v>
      </c>
      <c r="M33" s="25">
        <v>0</v>
      </c>
      <c r="N33" s="116">
        <f>SUM('ALPINE MEADOW:WOODLAND'!L31)</f>
        <v>914.6</v>
      </c>
      <c r="O33" s="116">
        <f>SUM('ALPINE MEADOW:WOODLAND'!M31)</f>
        <v>914.6</v>
      </c>
      <c r="P33" s="117"/>
      <c r="Q33" s="118">
        <f>IF(N33=0,0,I33/O33)</f>
        <v>15.088563306363437</v>
      </c>
      <c r="R33" s="57"/>
      <c r="S33" s="119">
        <f>O33/$I$235</f>
        <v>4.9247184682865578E-4</v>
      </c>
      <c r="T33" s="57"/>
    </row>
    <row r="34" spans="1:20" s="25" customFormat="1" ht="15.5">
      <c r="A34" s="32" t="s">
        <v>77</v>
      </c>
      <c r="B34" s="24" t="s">
        <v>13</v>
      </c>
      <c r="C34" s="14">
        <f>SUM('ALPINE MEADOW:WOODLAND'!C32)</f>
        <v>17608073.599999998</v>
      </c>
      <c r="D34" s="14">
        <f>SUM('ALPINE MEADOW:WOODLAND'!D32)</f>
        <v>-5552595.5147659732</v>
      </c>
      <c r="E34" s="14">
        <f>SUM('ALPINE MEADOW:WOODLAND'!E32)</f>
        <v>325173.86624022259</v>
      </c>
      <c r="F34" s="14">
        <f>SUM('ALPINE MEADOW:WOODLAND'!F32)</f>
        <v>12380651.951474249</v>
      </c>
      <c r="G34" s="14">
        <f>SUM('ALPINE MEADOW:WOODLAND'!G32)</f>
        <v>-63022</v>
      </c>
      <c r="H34" s="14">
        <f>SUM('ALPINE MEADOW:WOODLAND'!H32)</f>
        <v>0</v>
      </c>
      <c r="I34" s="14">
        <f>SUM('ALPINE MEADOW:WOODLAND'!I32)</f>
        <v>12317629.951474249</v>
      </c>
      <c r="J34" s="90">
        <f>IF($I$215=0,0,I34/$I$215)</f>
        <v>2.3224877422798811E-2</v>
      </c>
      <c r="L34" s="109">
        <f t="shared" si="3"/>
        <v>6.6325016080849428</v>
      </c>
      <c r="M34" s="25">
        <v>1898.21</v>
      </c>
      <c r="N34" s="116">
        <f>SUM('ALPINE MEADOW:WOODLAND'!L32)</f>
        <v>600672.61340292054</v>
      </c>
      <c r="O34" s="116">
        <f>SUM('ALPINE MEADOW:WOODLAND'!M32)</f>
        <v>647077.33402293129</v>
      </c>
      <c r="P34" s="117"/>
      <c r="Q34" s="118">
        <f>IF(N34=0,0,I34/O34)</f>
        <v>19.035792638407784</v>
      </c>
      <c r="R34" s="57"/>
      <c r="S34" s="119">
        <f>O34/$I$235</f>
        <v>0.34842266534795097</v>
      </c>
      <c r="T34" s="57"/>
    </row>
    <row r="35" spans="1:20" s="25" customFormat="1" ht="15.5">
      <c r="A35" s="32" t="s">
        <v>78</v>
      </c>
      <c r="B35" s="24" t="s">
        <v>37</v>
      </c>
      <c r="C35" s="14">
        <f>SUM('ALPINE MEADOW:WOODLAND'!C33)</f>
        <v>19098870.489999995</v>
      </c>
      <c r="D35" s="14">
        <f>SUM('ALPINE MEADOW:WOODLAND'!D33)</f>
        <v>-13896978.392501365</v>
      </c>
      <c r="E35" s="14">
        <f>SUM('ALPINE MEADOW:WOODLAND'!E33)</f>
        <v>66603.301042871943</v>
      </c>
      <c r="F35" s="14">
        <f>SUM('ALPINE MEADOW:WOODLAND'!F33)</f>
        <v>5268495.3985415092</v>
      </c>
      <c r="G35" s="14">
        <f>SUM('ALPINE MEADOW:WOODLAND'!G33)</f>
        <v>-377259.56</v>
      </c>
      <c r="H35" s="14">
        <f>SUM('ALPINE MEADOW:WOODLAND'!H33)</f>
        <v>0</v>
      </c>
      <c r="I35" s="14">
        <f>SUM('ALPINE MEADOW:WOODLAND'!I33)</f>
        <v>4891235.8385415087</v>
      </c>
      <c r="J35" s="90">
        <f>IF($I$215=0,0,I35/$I$215)</f>
        <v>9.2224196735615476E-3</v>
      </c>
      <c r="L35" s="109">
        <f t="shared" si="3"/>
        <v>2.633715227073087</v>
      </c>
      <c r="N35" s="67"/>
      <c r="O35" s="67"/>
      <c r="P35" s="67"/>
      <c r="Q35" s="69"/>
      <c r="R35" s="57"/>
      <c r="S35" s="69"/>
      <c r="T35" s="57"/>
    </row>
    <row r="36" spans="1:20" s="25" customFormat="1" ht="15.5">
      <c r="A36" s="32" t="s">
        <v>166</v>
      </c>
      <c r="B36" s="24" t="s">
        <v>16</v>
      </c>
      <c r="C36" s="14">
        <f>SUM('ALPINE MEADOW:WOODLAND'!C34)</f>
        <v>9247.8100000000013</v>
      </c>
      <c r="D36" s="14">
        <f>SUM('ALPINE MEADOW:WOODLAND'!D34)</f>
        <v>112629</v>
      </c>
      <c r="E36" s="14">
        <f>SUM('ALPINE MEADOW:WOODLAND'!E34)</f>
        <v>0</v>
      </c>
      <c r="F36" s="14">
        <f>SUM('ALPINE MEADOW:WOODLAND'!F34)</f>
        <v>121876.81</v>
      </c>
      <c r="G36" s="14">
        <f>SUM('ALPINE MEADOW:WOODLAND'!G34)</f>
        <v>0</v>
      </c>
      <c r="H36" s="14">
        <f>SUM('ALPINE MEADOW:WOODLAND'!H34)</f>
        <v>0</v>
      </c>
      <c r="I36" s="14">
        <f>SUM('ALPINE MEADOW:WOODLAND'!I34)</f>
        <v>121876.81</v>
      </c>
      <c r="J36" s="90">
        <f t="shared" ref="J36:J68" si="4">IF($I$215=0,0,I36/$I$215)</f>
        <v>2.297985882091676E-4</v>
      </c>
      <c r="L36" s="109">
        <f t="shared" si="3"/>
        <v>6.5625298170003482E-2</v>
      </c>
      <c r="N36" s="67"/>
      <c r="O36" s="67"/>
      <c r="P36" s="67"/>
      <c r="Q36" s="69"/>
      <c r="R36" s="57"/>
      <c r="S36" s="69"/>
      <c r="T36" s="57"/>
    </row>
    <row r="37" spans="1:20" s="25" customFormat="1" ht="15.5">
      <c r="A37" s="32" t="s">
        <v>80</v>
      </c>
      <c r="B37" s="24" t="s">
        <v>18</v>
      </c>
      <c r="C37" s="14">
        <f>SUM('ALPINE MEADOW:WOODLAND'!C35)</f>
        <v>15815045.26</v>
      </c>
      <c r="D37" s="14">
        <f>SUM('ALPINE MEADOW:WOODLAND'!D35)</f>
        <v>2232445.48</v>
      </c>
      <c r="E37" s="14">
        <f>SUM('ALPINE MEADOW:WOODLAND'!E35)</f>
        <v>-7605114.0600000005</v>
      </c>
      <c r="F37" s="14">
        <f>SUM('ALPINE MEADOW:WOODLAND'!F35)</f>
        <v>10442376.68</v>
      </c>
      <c r="G37" s="14">
        <f>SUM('ALPINE MEADOW:WOODLAND'!G35)</f>
        <v>-228000</v>
      </c>
      <c r="H37" s="14">
        <f>SUM('ALPINE MEADOW:WOODLAND'!H35)</f>
        <v>-6361342.0300000003</v>
      </c>
      <c r="I37" s="14">
        <f>SUM('ALPINE MEADOW:WOODLAND'!I35)</f>
        <v>3853034.6500000004</v>
      </c>
      <c r="J37" s="90">
        <f t="shared" si="4"/>
        <v>7.2648924999842409E-3</v>
      </c>
      <c r="L37" s="109">
        <f t="shared" si="3"/>
        <v>2.0746895801227896</v>
      </c>
      <c r="N37" s="67"/>
      <c r="O37" s="67"/>
      <c r="P37" s="67"/>
      <c r="Q37" s="69"/>
      <c r="R37" s="57"/>
      <c r="S37" s="69"/>
      <c r="T37" s="57"/>
    </row>
    <row r="38" spans="1:20" s="25" customFormat="1" ht="15.5">
      <c r="A38" s="32" t="s">
        <v>81</v>
      </c>
      <c r="B38" s="24" t="s">
        <v>140</v>
      </c>
      <c r="C38" s="14">
        <f>SUM('ALPINE MEADOW:WOODLAND'!C36)</f>
        <v>18007210.619999997</v>
      </c>
      <c r="D38" s="14">
        <f>SUM('ALPINE MEADOW:WOODLAND'!D36)</f>
        <v>-2809152.47</v>
      </c>
      <c r="E38" s="14">
        <f>SUM('ALPINE MEADOW:WOODLAND'!E36)</f>
        <v>-401835.66000000003</v>
      </c>
      <c r="F38" s="14">
        <f>SUM('ALPINE MEADOW:WOODLAND'!F36)</f>
        <v>14796222.489999998</v>
      </c>
      <c r="G38" s="14">
        <f>SUM('ALPINE MEADOW:WOODLAND'!G36)</f>
        <v>114986</v>
      </c>
      <c r="H38" s="14">
        <f>SUM('ALPINE MEADOW:WOODLAND'!H36)</f>
        <v>5527637</v>
      </c>
      <c r="I38" s="14">
        <f>SUM('ALPINE MEADOW:WOODLAND'!I36)</f>
        <v>20438845.490000002</v>
      </c>
      <c r="J38" s="90">
        <f t="shared" si="4"/>
        <v>3.8537420188691461E-2</v>
      </c>
      <c r="L38" s="109">
        <f t="shared" si="3"/>
        <v>11.005418746452923</v>
      </c>
      <c r="N38" s="67"/>
      <c r="O38" s="67"/>
      <c r="P38" s="67"/>
      <c r="Q38" s="69"/>
      <c r="R38" s="57"/>
      <c r="S38" s="69"/>
      <c r="T38" s="57"/>
    </row>
    <row r="39" spans="1:20" s="25" customFormat="1" ht="15.5">
      <c r="A39" s="32" t="s">
        <v>82</v>
      </c>
      <c r="B39" s="24" t="s">
        <v>19</v>
      </c>
      <c r="C39" s="14">
        <f>SUM('ALPINE MEADOW:WOODLAND'!C37)</f>
        <v>405819.66999999993</v>
      </c>
      <c r="D39" s="14">
        <f>SUM('ALPINE MEADOW:WOODLAND'!D37)</f>
        <v>-354684.26999999996</v>
      </c>
      <c r="E39" s="14">
        <f>SUM('ALPINE MEADOW:WOODLAND'!E37)</f>
        <v>0</v>
      </c>
      <c r="F39" s="14">
        <f>SUM('ALPINE MEADOW:WOODLAND'!F37)</f>
        <v>51135.4</v>
      </c>
      <c r="G39" s="14">
        <f>SUM('ALPINE MEADOW:WOODLAND'!G37)</f>
        <v>1645</v>
      </c>
      <c r="H39" s="14">
        <f>SUM('ALPINE MEADOW:WOODLAND'!H37)</f>
        <v>0</v>
      </c>
      <c r="I39" s="14">
        <f>SUM('ALPINE MEADOW:WOODLAND'!I37)</f>
        <v>52780.4</v>
      </c>
      <c r="J39" s="90">
        <f t="shared" si="4"/>
        <v>9.951738485044981E-5</v>
      </c>
      <c r="L39" s="109">
        <f t="shared" si="3"/>
        <v>2.8419922440799456E-2</v>
      </c>
      <c r="N39" s="67"/>
      <c r="O39" s="67"/>
      <c r="P39" s="67"/>
      <c r="Q39" s="69"/>
      <c r="R39" s="57"/>
      <c r="S39" s="69"/>
      <c r="T39" s="57"/>
    </row>
    <row r="40" spans="1:20" s="25" customFormat="1" ht="15.5">
      <c r="A40" s="32" t="s">
        <v>83</v>
      </c>
      <c r="B40" s="24" t="s">
        <v>20</v>
      </c>
      <c r="C40" s="14">
        <f>SUM('ALPINE MEADOW:WOODLAND'!C38)</f>
        <v>1512603.24</v>
      </c>
      <c r="D40" s="14">
        <f>SUM('ALPINE MEADOW:WOODLAND'!D38)</f>
        <v>0</v>
      </c>
      <c r="E40" s="14">
        <f>SUM('ALPINE MEADOW:WOODLAND'!E38)</f>
        <v>0</v>
      </c>
      <c r="F40" s="14">
        <f>SUM('ALPINE MEADOW:WOODLAND'!F38)</f>
        <v>1512603.24</v>
      </c>
      <c r="G40" s="14">
        <f>SUM('ALPINE MEADOW:WOODLAND'!G38)</f>
        <v>-8520</v>
      </c>
      <c r="H40" s="14">
        <f>SUM('ALPINE MEADOW:WOODLAND'!H38)</f>
        <v>0</v>
      </c>
      <c r="I40" s="14">
        <f>SUM('ALPINE MEADOW:WOODLAND'!I38)</f>
        <v>1504083.24</v>
      </c>
      <c r="J40" s="90">
        <f t="shared" si="4"/>
        <v>2.8359472577356645E-3</v>
      </c>
      <c r="L40" s="109">
        <f t="shared" si="3"/>
        <v>0.80988262736368721</v>
      </c>
      <c r="N40" s="67"/>
      <c r="O40" s="67"/>
      <c r="P40" s="67"/>
      <c r="Q40" s="69"/>
      <c r="R40" s="57"/>
      <c r="S40" s="69"/>
      <c r="T40" s="57"/>
    </row>
    <row r="41" spans="1:20" s="25" customFormat="1" ht="15.5">
      <c r="A41" s="32" t="s">
        <v>84</v>
      </c>
      <c r="B41" s="24" t="s">
        <v>21</v>
      </c>
      <c r="C41" s="14">
        <f>SUM('ALPINE MEADOW:WOODLAND'!C39)</f>
        <v>1566365.61</v>
      </c>
      <c r="D41" s="14">
        <f>SUM('ALPINE MEADOW:WOODLAND'!D39)</f>
        <v>-26300</v>
      </c>
      <c r="E41" s="14">
        <f>SUM('ALPINE MEADOW:WOODLAND'!E39)</f>
        <v>1631.9717765709775</v>
      </c>
      <c r="F41" s="14">
        <f>SUM('ALPINE MEADOW:WOODLAND'!F39)</f>
        <v>1541697.581776571</v>
      </c>
      <c r="G41" s="14">
        <f>SUM('ALPINE MEADOW:WOODLAND'!G39)</f>
        <v>-13982</v>
      </c>
      <c r="H41" s="14">
        <f>SUM('ALPINE MEADOW:WOODLAND'!H39)</f>
        <v>7373</v>
      </c>
      <c r="I41" s="14">
        <f>SUM('ALPINE MEADOW:WOODLAND'!I39)</f>
        <v>1535088.581776571</v>
      </c>
      <c r="J41" s="90">
        <f t="shared" si="4"/>
        <v>2.8944077947910627E-3</v>
      </c>
      <c r="L41" s="109">
        <f t="shared" si="3"/>
        <v>0.82657763931017914</v>
      </c>
      <c r="N41" s="67"/>
      <c r="O41" s="67"/>
      <c r="P41" s="67"/>
      <c r="Q41" s="69"/>
      <c r="R41" s="57"/>
      <c r="S41" s="69"/>
      <c r="T41" s="57"/>
    </row>
    <row r="42" spans="1:20" s="25" customFormat="1" ht="15.5">
      <c r="A42" s="32" t="s">
        <v>85</v>
      </c>
      <c r="B42" s="24" t="s">
        <v>22</v>
      </c>
      <c r="C42" s="14">
        <f>SUM('ALPINE MEADOW:WOODLAND'!C40)</f>
        <v>1699714.4100000001</v>
      </c>
      <c r="D42" s="14">
        <f>SUM('ALPINE MEADOW:WOODLAND'!D40)</f>
        <v>18893.739999999998</v>
      </c>
      <c r="E42" s="14">
        <f>SUM('ALPINE MEADOW:WOODLAND'!E40)</f>
        <v>1.9339747560608189</v>
      </c>
      <c r="F42" s="14">
        <f>SUM('ALPINE MEADOW:WOODLAND'!F40)</f>
        <v>1718610.0839747561</v>
      </c>
      <c r="G42" s="14">
        <f>SUM('ALPINE MEADOW:WOODLAND'!G40)</f>
        <v>-13481</v>
      </c>
      <c r="H42" s="14">
        <f>SUM('ALPINE MEADOW:WOODLAND'!H40)</f>
        <v>-26392</v>
      </c>
      <c r="I42" s="14">
        <f>SUM('ALPINE MEADOW:WOODLAND'!I40)</f>
        <v>1678737.0839747561</v>
      </c>
      <c r="J42" s="90">
        <f t="shared" si="4"/>
        <v>3.1652568841584695E-3</v>
      </c>
      <c r="L42" s="109">
        <f t="shared" si="3"/>
        <v>0.90392603551804096</v>
      </c>
      <c r="N42" s="67"/>
      <c r="O42" s="67"/>
      <c r="P42" s="67"/>
      <c r="Q42" s="69"/>
      <c r="R42" s="57"/>
      <c r="S42" s="69"/>
      <c r="T42" s="57"/>
    </row>
    <row r="43" spans="1:20" s="25" customFormat="1" ht="15.5">
      <c r="A43" s="32" t="s">
        <v>86</v>
      </c>
      <c r="B43" s="24" t="s">
        <v>23</v>
      </c>
      <c r="C43" s="14">
        <f>SUM('ALPINE MEADOW:WOODLAND'!C41)</f>
        <v>1916509.6800000002</v>
      </c>
      <c r="D43" s="14">
        <f>SUM('ALPINE MEADOW:WOODLAND'!D41)</f>
        <v>-80968</v>
      </c>
      <c r="E43" s="14">
        <f>SUM('ALPINE MEADOW:WOODLAND'!E41)</f>
        <v>5451</v>
      </c>
      <c r="F43" s="14">
        <f>SUM('ALPINE MEADOW:WOODLAND'!F41)</f>
        <v>1840992.6800000002</v>
      </c>
      <c r="G43" s="14">
        <f>SUM('ALPINE MEADOW:WOODLAND'!G41)</f>
        <v>43231</v>
      </c>
      <c r="H43" s="14">
        <f>SUM('ALPINE MEADOW:WOODLAND'!H41)</f>
        <v>298585</v>
      </c>
      <c r="I43" s="14">
        <f>SUM('ALPINE MEADOW:WOODLAND'!I41)</f>
        <v>2182808.6800000002</v>
      </c>
      <c r="J43" s="90">
        <f t="shared" si="4"/>
        <v>4.1156833116547499E-3</v>
      </c>
      <c r="L43" s="109">
        <f t="shared" si="3"/>
        <v>1.1753464048909035</v>
      </c>
      <c r="N43" s="67"/>
      <c r="O43" s="67"/>
      <c r="P43" s="67"/>
      <c r="Q43" s="69"/>
      <c r="R43" s="57"/>
      <c r="S43" s="69"/>
      <c r="T43" s="57"/>
    </row>
    <row r="44" spans="1:20" s="25" customFormat="1" ht="15.5">
      <c r="A44" s="35">
        <v>130</v>
      </c>
      <c r="B44" s="24" t="s">
        <v>24</v>
      </c>
      <c r="C44" s="14">
        <f>SUM('ALPINE MEADOW:WOODLAND'!C42)</f>
        <v>9308.52</v>
      </c>
      <c r="D44" s="14">
        <f>SUM('ALPINE MEADOW:WOODLAND'!D42)</f>
        <v>0</v>
      </c>
      <c r="E44" s="14">
        <f>SUM('ALPINE MEADOW:WOODLAND'!E42)</f>
        <v>0</v>
      </c>
      <c r="F44" s="14">
        <f>SUM('ALPINE MEADOW:WOODLAND'!F42)</f>
        <v>9308.52</v>
      </c>
      <c r="G44" s="14">
        <f>SUM('ALPINE MEADOW:WOODLAND'!G42)</f>
        <v>0</v>
      </c>
      <c r="H44" s="14">
        <f>SUM('ALPINE MEADOW:WOODLAND'!H42)</f>
        <v>0</v>
      </c>
      <c r="I44" s="14">
        <f>SUM('ALPINE MEADOW:WOODLAND'!I42)</f>
        <v>9308.52</v>
      </c>
      <c r="J44" s="90">
        <f t="shared" si="4"/>
        <v>1.7551203992923683E-5</v>
      </c>
      <c r="L44" s="109">
        <f t="shared" si="3"/>
        <v>5.0122283354925422E-3</v>
      </c>
      <c r="N44" s="67"/>
      <c r="O44" s="67"/>
      <c r="P44" s="67"/>
      <c r="Q44" s="69"/>
      <c r="R44" s="57"/>
      <c r="S44" s="69"/>
      <c r="T44" s="57"/>
    </row>
    <row r="45" spans="1:20" s="25" customFormat="1" ht="15.5">
      <c r="A45" s="35">
        <v>140</v>
      </c>
      <c r="B45" s="24" t="s">
        <v>141</v>
      </c>
      <c r="C45" s="14">
        <f>SUM('ALPINE MEADOW:WOODLAND'!C43)</f>
        <v>1256426.5900000001</v>
      </c>
      <c r="D45" s="14">
        <f>SUM('ALPINE MEADOW:WOODLAND'!D43)</f>
        <v>5240.8100000000004</v>
      </c>
      <c r="E45" s="14">
        <f>SUM('ALPINE MEADOW:WOODLAND'!E43)</f>
        <v>-19108.130319162312</v>
      </c>
      <c r="F45" s="14">
        <f>SUM('ALPINE MEADOW:WOODLAND'!F43)</f>
        <v>1242559.2696808379</v>
      </c>
      <c r="G45" s="14">
        <f>SUM('ALPINE MEADOW:WOODLAND'!G43)</f>
        <v>-36398</v>
      </c>
      <c r="H45" s="14">
        <f>SUM('ALPINE MEADOW:WOODLAND'!H43)</f>
        <v>137475</v>
      </c>
      <c r="I45" s="14">
        <f>SUM('ALPINE MEADOW:WOODLAND'!I43)</f>
        <v>1343636.2696808379</v>
      </c>
      <c r="J45" s="90">
        <f t="shared" si="4"/>
        <v>2.5334246756153933E-3</v>
      </c>
      <c r="L45" s="109">
        <f t="shared" si="3"/>
        <v>0.72348899540311395</v>
      </c>
      <c r="N45" s="67"/>
      <c r="O45" s="67"/>
      <c r="P45" s="67"/>
      <c r="Q45" s="69"/>
      <c r="R45" s="57"/>
      <c r="S45" s="69"/>
      <c r="T45" s="57"/>
    </row>
    <row r="46" spans="1:20" s="25" customFormat="1" ht="15.5">
      <c r="A46" s="35">
        <v>150</v>
      </c>
      <c r="B46" s="24" t="s">
        <v>25</v>
      </c>
      <c r="C46" s="14">
        <f>SUM('ALPINE MEADOW:WOODLAND'!C44)</f>
        <v>2976453</v>
      </c>
      <c r="D46" s="14">
        <f>SUM('ALPINE MEADOW:WOODLAND'!D44)</f>
        <v>0</v>
      </c>
      <c r="E46" s="14">
        <f>SUM('ALPINE MEADOW:WOODLAND'!E44)</f>
        <v>-427848.55</v>
      </c>
      <c r="F46" s="14">
        <f>SUM('ALPINE MEADOW:WOODLAND'!F44)</f>
        <v>2548604.4499999997</v>
      </c>
      <c r="G46" s="14">
        <f>SUM('ALPINE MEADOW:WOODLAND'!G44)</f>
        <v>95833</v>
      </c>
      <c r="H46" s="14">
        <f>SUM('ALPINE MEADOW:WOODLAND'!H44)</f>
        <v>0</v>
      </c>
      <c r="I46" s="14">
        <f>SUM('ALPINE MEADOW:WOODLAND'!I44)</f>
        <v>2644437.4499999997</v>
      </c>
      <c r="J46" s="90">
        <f t="shared" si="4"/>
        <v>4.9860838384057742E-3</v>
      </c>
      <c r="L46" s="109">
        <f t="shared" si="3"/>
        <v>1.4239131804333707</v>
      </c>
      <c r="N46" s="67"/>
      <c r="O46" s="67"/>
      <c r="P46" s="67"/>
      <c r="Q46" s="69"/>
      <c r="R46" s="57"/>
      <c r="S46" s="69"/>
      <c r="T46" s="57"/>
    </row>
    <row r="47" spans="1:20" s="25" customFormat="1" ht="15.5">
      <c r="A47" s="35">
        <v>160</v>
      </c>
      <c r="B47" s="24" t="s">
        <v>26</v>
      </c>
      <c r="C47" s="14">
        <f>SUM('ALPINE MEADOW:WOODLAND'!C45)</f>
        <v>788739</v>
      </c>
      <c r="D47" s="14">
        <f>SUM('ALPINE MEADOW:WOODLAND'!D45)</f>
        <v>0</v>
      </c>
      <c r="E47" s="14">
        <f>SUM('ALPINE MEADOW:WOODLAND'!E45)</f>
        <v>0</v>
      </c>
      <c r="F47" s="14">
        <f>SUM('ALPINE MEADOW:WOODLAND'!F45)</f>
        <v>788739</v>
      </c>
      <c r="G47" s="14">
        <f>SUM('ALPINE MEADOW:WOODLAND'!G45)</f>
        <v>0</v>
      </c>
      <c r="H47" s="14">
        <f>SUM('ALPINE MEADOW:WOODLAND'!H45)</f>
        <v>0</v>
      </c>
      <c r="I47" s="14">
        <f>SUM('ALPINE MEADOW:WOODLAND'!I45)</f>
        <v>788739</v>
      </c>
      <c r="J47" s="90">
        <f t="shared" si="4"/>
        <v>1.4871664975930256E-3</v>
      </c>
      <c r="L47" s="109">
        <f t="shared" si="3"/>
        <v>0.42470123769493451</v>
      </c>
      <c r="N47" s="67"/>
      <c r="O47" s="67"/>
      <c r="P47" s="67"/>
      <c r="Q47" s="69"/>
      <c r="R47" s="57"/>
      <c r="S47" s="69"/>
      <c r="T47" s="57"/>
    </row>
    <row r="48" spans="1:20" s="25" customFormat="1" ht="15.5">
      <c r="A48" s="35">
        <v>170</v>
      </c>
      <c r="B48" s="24" t="s">
        <v>27</v>
      </c>
      <c r="C48" s="14">
        <f>SUM('ALPINE MEADOW:WOODLAND'!C46)</f>
        <v>28180277.949999996</v>
      </c>
      <c r="D48" s="14">
        <f>SUM('ALPINE MEADOW:WOODLAND'!D46)</f>
        <v>0</v>
      </c>
      <c r="E48" s="14">
        <f>SUM('ALPINE MEADOW:WOODLAND'!E46)</f>
        <v>0</v>
      </c>
      <c r="F48" s="14">
        <f>SUM('ALPINE MEADOW:WOODLAND'!F46)</f>
        <v>28180277.949999996</v>
      </c>
      <c r="G48" s="14">
        <f>SUM('ALPINE MEADOW:WOODLAND'!G46)</f>
        <v>358965</v>
      </c>
      <c r="H48" s="14">
        <f>SUM('ALPINE MEADOW:WOODLAND'!H46)</f>
        <v>0</v>
      </c>
      <c r="I48" s="14">
        <f>SUM('ALPINE MEADOW:WOODLAND'!I46)</f>
        <v>28539242.949999996</v>
      </c>
      <c r="J48" s="90">
        <f t="shared" si="4"/>
        <v>5.3810710490932924E-2</v>
      </c>
      <c r="L48" s="109">
        <f t="shared" si="3"/>
        <v>15.367126265775411</v>
      </c>
      <c r="N48" s="67"/>
      <c r="O48" s="67"/>
      <c r="P48" s="67"/>
      <c r="Q48" s="69"/>
      <c r="R48" s="57"/>
      <c r="S48" s="69"/>
      <c r="T48" s="57"/>
    </row>
    <row r="49" spans="1:20" s="25" customFormat="1" ht="15.5">
      <c r="A49" s="35">
        <v>180</v>
      </c>
      <c r="B49" s="24" t="s">
        <v>28</v>
      </c>
      <c r="C49" s="14">
        <f>SUM('ALPINE MEADOW:WOODLAND'!C47)</f>
        <v>848969.99</v>
      </c>
      <c r="D49" s="14">
        <f>SUM('ALPINE MEADOW:WOODLAND'!D47)</f>
        <v>-39309.459999999992</v>
      </c>
      <c r="E49" s="14">
        <f>SUM('ALPINE MEADOW:WOODLAND'!E47)</f>
        <v>10541.131451201747</v>
      </c>
      <c r="F49" s="14">
        <f>SUM('ALPINE MEADOW:WOODLAND'!F47)</f>
        <v>820201.66145120165</v>
      </c>
      <c r="G49" s="14">
        <f>SUM('ALPINE MEADOW:WOODLAND'!G47)</f>
        <v>-17808</v>
      </c>
      <c r="H49" s="14">
        <f>SUM('ALPINE MEADOW:WOODLAND'!H47)</f>
        <v>101386.31</v>
      </c>
      <c r="I49" s="14">
        <f>SUM('ALPINE MEADOW:WOODLAND'!I47)</f>
        <v>903779.97145120171</v>
      </c>
      <c r="J49" s="90">
        <f t="shared" si="4"/>
        <v>1.7040761199050743E-3</v>
      </c>
      <c r="L49" s="109">
        <f t="shared" si="3"/>
        <v>0.48664573766381269</v>
      </c>
      <c r="N49" s="67"/>
      <c r="O49" s="67"/>
      <c r="P49" s="67"/>
      <c r="Q49" s="69"/>
      <c r="R49" s="57"/>
      <c r="S49" s="69"/>
      <c r="T49" s="57"/>
    </row>
    <row r="50" spans="1:20" s="25" customFormat="1" ht="15.5">
      <c r="A50" s="35">
        <v>190</v>
      </c>
      <c r="B50" s="24" t="s">
        <v>29</v>
      </c>
      <c r="C50" s="14">
        <f>SUM('ALPINE MEADOW:WOODLAND'!C48)</f>
        <v>293257</v>
      </c>
      <c r="D50" s="14">
        <f>SUM('ALPINE MEADOW:WOODLAND'!D48)</f>
        <v>-293257</v>
      </c>
      <c r="E50" s="14">
        <f>SUM('ALPINE MEADOW:WOODLAND'!E48)</f>
        <v>0</v>
      </c>
      <c r="F50" s="14">
        <f>SUM('ALPINE MEADOW:WOODLAND'!F48)</f>
        <v>0</v>
      </c>
      <c r="G50" s="14">
        <f>SUM('ALPINE MEADOW:WOODLAND'!G48)</f>
        <v>0</v>
      </c>
      <c r="H50" s="14">
        <f>SUM('ALPINE MEADOW:WOODLAND'!H48)</f>
        <v>0</v>
      </c>
      <c r="I50" s="14">
        <f>SUM('ALPINE MEADOW:WOODLAND'!I48)</f>
        <v>0</v>
      </c>
      <c r="J50" s="90">
        <f t="shared" si="4"/>
        <v>0</v>
      </c>
      <c r="L50" s="109">
        <f t="shared" si="3"/>
        <v>0</v>
      </c>
      <c r="N50" s="67"/>
      <c r="O50" s="67"/>
      <c r="P50" s="67"/>
      <c r="Q50" s="69"/>
      <c r="R50" s="57"/>
      <c r="S50" s="69"/>
      <c r="T50" s="57"/>
    </row>
    <row r="51" spans="1:20" s="25" customFormat="1" ht="15.5">
      <c r="A51" s="35">
        <v>200</v>
      </c>
      <c r="B51" s="24" t="s">
        <v>30</v>
      </c>
      <c r="C51" s="14">
        <f>SUM('ALPINE MEADOW:WOODLAND'!C49)</f>
        <v>9149645.75</v>
      </c>
      <c r="D51" s="14">
        <f>SUM('ALPINE MEADOW:WOODLAND'!D49)</f>
        <v>-9149645.75</v>
      </c>
      <c r="E51" s="14">
        <f>SUM('ALPINE MEADOW:WOODLAND'!E49)</f>
        <v>0</v>
      </c>
      <c r="F51" s="14">
        <f>SUM('ALPINE MEADOW:WOODLAND'!F49)</f>
        <v>0</v>
      </c>
      <c r="G51" s="14">
        <f>SUM('ALPINE MEADOW:WOODLAND'!G49)</f>
        <v>0</v>
      </c>
      <c r="H51" s="14">
        <f>SUM('ALPINE MEADOW:WOODLAND'!H49)</f>
        <v>0</v>
      </c>
      <c r="I51" s="14">
        <f>SUM('ALPINE MEADOW:WOODLAND'!I49)</f>
        <v>0</v>
      </c>
      <c r="J51" s="90">
        <f t="shared" si="4"/>
        <v>0</v>
      </c>
      <c r="L51" s="109">
        <f t="shared" si="3"/>
        <v>0</v>
      </c>
      <c r="N51" s="67"/>
      <c r="O51" s="67"/>
      <c r="P51" s="67"/>
      <c r="Q51" s="69"/>
      <c r="R51" s="57"/>
      <c r="S51" s="69"/>
      <c r="T51" s="57"/>
    </row>
    <row r="52" spans="1:20" s="25" customFormat="1" ht="15.5">
      <c r="A52" s="35">
        <v>210</v>
      </c>
      <c r="B52" s="24" t="s">
        <v>31</v>
      </c>
      <c r="C52" s="14">
        <f>SUM('ALPINE MEADOW:WOODLAND'!C50)</f>
        <v>460969.24</v>
      </c>
      <c r="D52" s="14">
        <f>SUM('ALPINE MEADOW:WOODLAND'!D50)</f>
        <v>-460969.24</v>
      </c>
      <c r="E52" s="14">
        <f>SUM('ALPINE MEADOW:WOODLAND'!E50)</f>
        <v>338472.66000000003</v>
      </c>
      <c r="F52" s="14">
        <f>SUM('ALPINE MEADOW:WOODLAND'!F50)</f>
        <v>338472.66000000003</v>
      </c>
      <c r="G52" s="14">
        <f>SUM('ALPINE MEADOW:WOODLAND'!G50)</f>
        <v>0</v>
      </c>
      <c r="H52" s="14">
        <f>SUM('ALPINE MEADOW:WOODLAND'!H50)</f>
        <v>-338472.66000000003</v>
      </c>
      <c r="I52" s="14">
        <f>SUM('ALPINE MEADOW:WOODLAND'!I50)</f>
        <v>0</v>
      </c>
      <c r="J52" s="90">
        <f t="shared" si="4"/>
        <v>0</v>
      </c>
      <c r="L52" s="109">
        <f t="shared" si="3"/>
        <v>0</v>
      </c>
      <c r="N52" s="67"/>
      <c r="O52" s="67"/>
      <c r="P52" s="67"/>
      <c r="Q52" s="69"/>
      <c r="R52" s="57"/>
      <c r="S52" s="69"/>
      <c r="T52" s="57"/>
    </row>
    <row r="53" spans="1:20" s="25" customFormat="1" ht="15.5">
      <c r="A53" s="35">
        <v>220</v>
      </c>
      <c r="B53" s="24" t="s">
        <v>179</v>
      </c>
      <c r="C53" s="14">
        <f>SUM('ALPINE MEADOW:WOODLAND'!C51)</f>
        <v>2740483.98</v>
      </c>
      <c r="D53" s="14">
        <f>SUM('ALPINE MEADOW:WOODLAND'!D51)</f>
        <v>67873.95</v>
      </c>
      <c r="E53" s="14">
        <f>SUM('ALPINE MEADOW:WOODLAND'!E51)</f>
        <v>-744647.98</v>
      </c>
      <c r="F53" s="14">
        <f>SUM('ALPINE MEADOW:WOODLAND'!F51)</f>
        <v>2063709.9500000002</v>
      </c>
      <c r="G53" s="14">
        <f>SUM('ALPINE MEADOW:WOODLAND'!G51)</f>
        <v>715650</v>
      </c>
      <c r="H53" s="14">
        <f>SUM('ALPINE MEADOW:WOODLAND'!H51)</f>
        <v>0</v>
      </c>
      <c r="I53" s="14">
        <f>SUM('ALPINE MEADOW:WOODLAND'!I51)</f>
        <v>2779359.9499999997</v>
      </c>
      <c r="J53" s="90">
        <f t="shared" si="4"/>
        <v>5.2404800604405602E-3</v>
      </c>
      <c r="L53" s="109">
        <f t="shared" si="3"/>
        <v>1.4965630085043737</v>
      </c>
      <c r="N53" s="67"/>
      <c r="O53" s="67"/>
      <c r="P53" s="67"/>
      <c r="Q53" s="69"/>
      <c r="R53" s="57"/>
      <c r="S53" s="69"/>
      <c r="T53" s="57"/>
    </row>
    <row r="54" spans="1:20" s="25" customFormat="1" ht="15.5">
      <c r="A54" s="35">
        <v>230</v>
      </c>
      <c r="B54" s="24" t="s">
        <v>180</v>
      </c>
      <c r="C54" s="14">
        <f>SUM('ALPINE MEADOW:WOODLAND'!C52)</f>
        <v>5081299.41</v>
      </c>
      <c r="D54" s="14">
        <f>SUM('ALPINE MEADOW:WOODLAND'!D52)</f>
        <v>141757.28</v>
      </c>
      <c r="E54" s="14">
        <f>SUM('ALPINE MEADOW:WOODLAND'!E52)</f>
        <v>-655504.98281093955</v>
      </c>
      <c r="F54" s="14">
        <f>SUM('ALPINE MEADOW:WOODLAND'!F52)</f>
        <v>4567551.7071890598</v>
      </c>
      <c r="G54" s="14">
        <f>SUM('ALPINE MEADOW:WOODLAND'!G52)</f>
        <v>-3113</v>
      </c>
      <c r="H54" s="14">
        <f>SUM('ALPINE MEADOW:WOODLAND'!H52)</f>
        <v>16891</v>
      </c>
      <c r="I54" s="14">
        <f>SUM('ALPINE MEADOW:WOODLAND'!I52)</f>
        <v>4581329.7071890607</v>
      </c>
      <c r="J54" s="90">
        <f t="shared" si="4"/>
        <v>8.6380920113741516E-3</v>
      </c>
      <c r="L54" s="109">
        <f t="shared" si="3"/>
        <v>2.4668444148593718</v>
      </c>
      <c r="N54" s="67"/>
      <c r="O54" s="67"/>
      <c r="P54" s="67"/>
      <c r="Q54" s="69"/>
      <c r="R54" s="57"/>
      <c r="S54" s="69"/>
      <c r="T54" s="57"/>
    </row>
    <row r="55" spans="1:20" s="25" customFormat="1" ht="15.5">
      <c r="A55" s="35">
        <v>240</v>
      </c>
      <c r="B55" s="24" t="s">
        <v>185</v>
      </c>
      <c r="C55" s="14">
        <f>SUM('ALPINE MEADOW:WOODLAND'!C53)</f>
        <v>247905.47</v>
      </c>
      <c r="D55" s="14">
        <f>SUM('ALPINE MEADOW:WOODLAND'!D53)</f>
        <v>-247905.47</v>
      </c>
      <c r="E55" s="14">
        <f>SUM('ALPINE MEADOW:WOODLAND'!E53)</f>
        <v>0</v>
      </c>
      <c r="F55" s="14">
        <f>SUM('ALPINE MEADOW:WOODLAND'!F53)</f>
        <v>0</v>
      </c>
      <c r="G55" s="14">
        <f>SUM('ALPINE MEADOW:WOODLAND'!G53)</f>
        <v>0</v>
      </c>
      <c r="H55" s="14">
        <f>SUM('ALPINE MEADOW:WOODLAND'!H53)</f>
        <v>0</v>
      </c>
      <c r="I55" s="14">
        <f>SUM('ALPINE MEADOW:WOODLAND'!I53)</f>
        <v>0</v>
      </c>
      <c r="J55" s="90">
        <f t="shared" si="4"/>
        <v>0</v>
      </c>
      <c r="L55" s="109">
        <f t="shared" si="3"/>
        <v>0</v>
      </c>
      <c r="N55" s="67"/>
      <c r="O55" s="67"/>
      <c r="P55" s="67"/>
      <c r="Q55" s="69"/>
      <c r="R55" s="57"/>
      <c r="S55" s="69"/>
      <c r="T55" s="57"/>
    </row>
    <row r="56" spans="1:20" s="25" customFormat="1" ht="15.5">
      <c r="A56" s="35">
        <v>250</v>
      </c>
      <c r="B56" s="24" t="s">
        <v>186</v>
      </c>
      <c r="C56" s="14">
        <f>SUM('ALPINE MEADOW:WOODLAND'!C54)</f>
        <v>21000.39</v>
      </c>
      <c r="D56" s="14">
        <f>SUM('ALPINE MEADOW:WOODLAND'!D54)</f>
        <v>0</v>
      </c>
      <c r="E56" s="14">
        <f>SUM('ALPINE MEADOW:WOODLAND'!E54)</f>
        <v>0</v>
      </c>
      <c r="F56" s="14">
        <f>SUM('ALPINE MEADOW:WOODLAND'!F54)</f>
        <v>21000.39</v>
      </c>
      <c r="G56" s="14">
        <f>SUM('ALPINE MEADOW:WOODLAND'!G54)</f>
        <v>0</v>
      </c>
      <c r="H56" s="14">
        <f>SUM('ALPINE MEADOW:WOODLAND'!H54)</f>
        <v>9604</v>
      </c>
      <c r="I56" s="14">
        <f>SUM('ALPINE MEADOW:WOODLAND'!I54)</f>
        <v>30604.39</v>
      </c>
      <c r="J56" s="90">
        <f t="shared" si="4"/>
        <v>5.7704542931528703E-5</v>
      </c>
      <c r="L56" s="109">
        <f t="shared" si="3"/>
        <v>1.6479117061408751E-2</v>
      </c>
      <c r="N56" s="67"/>
      <c r="O56" s="67"/>
      <c r="P56" s="67"/>
      <c r="Q56" s="69"/>
      <c r="R56" s="57"/>
      <c r="S56" s="69"/>
      <c r="T56" s="57"/>
    </row>
    <row r="57" spans="1:20" s="25" customFormat="1" ht="15.5">
      <c r="A57" s="35">
        <v>270</v>
      </c>
      <c r="B57" s="24" t="s">
        <v>187</v>
      </c>
      <c r="C57" s="14">
        <f>SUM('ALPINE MEADOW:WOODLAND'!C55)</f>
        <v>389022.05000000005</v>
      </c>
      <c r="D57" s="14">
        <f>SUM('ALPINE MEADOW:WOODLAND'!D55)</f>
        <v>-389022.05000000005</v>
      </c>
      <c r="E57" s="14">
        <f>SUM('ALPINE MEADOW:WOODLAND'!E55)</f>
        <v>0</v>
      </c>
      <c r="F57" s="14">
        <f>SUM('ALPINE MEADOW:WOODLAND'!F55)</f>
        <v>0</v>
      </c>
      <c r="G57" s="14">
        <f>SUM('ALPINE MEADOW:WOODLAND'!G55)</f>
        <v>0</v>
      </c>
      <c r="H57" s="14">
        <f>SUM('ALPINE MEADOW:WOODLAND'!H55)</f>
        <v>0</v>
      </c>
      <c r="I57" s="14">
        <f>SUM('ALPINE MEADOW:WOODLAND'!I55)</f>
        <v>0</v>
      </c>
      <c r="J57" s="90">
        <f t="shared" si="4"/>
        <v>0</v>
      </c>
      <c r="L57" s="109">
        <f t="shared" si="3"/>
        <v>0</v>
      </c>
      <c r="N57" s="67"/>
      <c r="O57" s="67"/>
      <c r="P57" s="67"/>
      <c r="Q57" s="69"/>
      <c r="R57" s="57"/>
      <c r="S57" s="69"/>
      <c r="T57" s="57"/>
    </row>
    <row r="58" spans="1:20" s="25" customFormat="1" ht="15.5">
      <c r="A58" s="35">
        <v>280</v>
      </c>
      <c r="B58" s="24" t="s">
        <v>188</v>
      </c>
      <c r="C58" s="14">
        <f>SUM('ALPINE MEADOW:WOODLAND'!C56)</f>
        <v>1203953.0900000001</v>
      </c>
      <c r="D58" s="14">
        <f>SUM('ALPINE MEADOW:WOODLAND'!D56)</f>
        <v>314116.1195795887</v>
      </c>
      <c r="E58" s="14">
        <f>SUM('ALPINE MEADOW:WOODLAND'!E56)</f>
        <v>0</v>
      </c>
      <c r="F58" s="14">
        <f>SUM('ALPINE MEADOW:WOODLAND'!F56)</f>
        <v>1518069.2095795888</v>
      </c>
      <c r="G58" s="14">
        <f>SUM('ALPINE MEADOW:WOODLAND'!G56)</f>
        <v>310040</v>
      </c>
      <c r="H58" s="14">
        <f>SUM('ALPINE MEADOW:WOODLAND'!H56)</f>
        <v>32034</v>
      </c>
      <c r="I58" s="14">
        <f>SUM('ALPINE MEADOW:WOODLAND'!I56)</f>
        <v>1860143.2095795886</v>
      </c>
      <c r="J58" s="90">
        <f t="shared" si="4"/>
        <v>3.5072979300021E-3</v>
      </c>
      <c r="L58" s="109">
        <f t="shared" si="3"/>
        <v>1.001605250150277</v>
      </c>
      <c r="M58" s="25">
        <v>0</v>
      </c>
      <c r="N58" s="116">
        <f>SUM('ALPINE MEADOW:WOODLAND'!L56)</f>
        <v>108214.94659340552</v>
      </c>
      <c r="O58" s="116">
        <f>SUM('ALPINE MEADOW:WOODLAND'!M56)</f>
        <v>115225.89800626009</v>
      </c>
      <c r="P58" s="117"/>
      <c r="Q58" s="118">
        <f>IF(N58=0,0,I58/O58)</f>
        <v>16.143447278480132</v>
      </c>
      <c r="R58" s="57"/>
      <c r="S58" s="119">
        <f>O58/$I$235</f>
        <v>6.2044074779830781E-2</v>
      </c>
      <c r="T58" s="57"/>
    </row>
    <row r="59" spans="1:20" s="25" customFormat="1" ht="15.5">
      <c r="A59" s="35">
        <v>290</v>
      </c>
      <c r="B59" s="24" t="s">
        <v>189</v>
      </c>
      <c r="C59" s="14">
        <f>SUM('ALPINE MEADOW:WOODLAND'!C57)</f>
        <v>101523.82</v>
      </c>
      <c r="D59" s="14">
        <f>SUM('ALPINE MEADOW:WOODLAND'!D57)</f>
        <v>115102.10081469717</v>
      </c>
      <c r="E59" s="14">
        <f>SUM('ALPINE MEADOW:WOODLAND'!E57)</f>
        <v>0</v>
      </c>
      <c r="F59" s="14">
        <f>SUM('ALPINE MEADOW:WOODLAND'!F57)</f>
        <v>216625.92081469717</v>
      </c>
      <c r="G59" s="14">
        <f>SUM('ALPINE MEADOW:WOODLAND'!G57)</f>
        <v>66520.260000000009</v>
      </c>
      <c r="H59" s="14">
        <f>SUM('ALPINE MEADOW:WOODLAND'!H57)</f>
        <v>6111</v>
      </c>
      <c r="I59" s="14">
        <f>SUM('ALPINE MEADOW:WOODLAND'!I57)</f>
        <v>289257.18081469723</v>
      </c>
      <c r="J59" s="90">
        <f t="shared" si="4"/>
        <v>5.4539408916742522E-4</v>
      </c>
      <c r="L59" s="109">
        <f t="shared" si="3"/>
        <v>0.15575226114614515</v>
      </c>
      <c r="N59" s="67"/>
      <c r="O59" s="67"/>
      <c r="P59" s="67"/>
      <c r="Q59" s="69"/>
      <c r="R59" s="57"/>
      <c r="S59" s="120"/>
      <c r="T59" s="57"/>
    </row>
    <row r="60" spans="1:20" s="25" customFormat="1" ht="15.5">
      <c r="A60" s="35">
        <v>300</v>
      </c>
      <c r="B60" s="24" t="s">
        <v>190</v>
      </c>
      <c r="C60" s="14">
        <f>SUM('ALPINE MEADOW:WOODLAND'!C58)</f>
        <v>51173.739999999991</v>
      </c>
      <c r="D60" s="14">
        <f>SUM('ALPINE MEADOW:WOODLAND'!D58)</f>
        <v>-47082</v>
      </c>
      <c r="E60" s="14">
        <f>SUM('ALPINE MEADOW:WOODLAND'!E58)</f>
        <v>0</v>
      </c>
      <c r="F60" s="14">
        <f>SUM('ALPINE MEADOW:WOODLAND'!F58)</f>
        <v>4091.7400000000007</v>
      </c>
      <c r="G60" s="14">
        <f>SUM('ALPINE MEADOW:WOODLAND'!G58)</f>
        <v>0</v>
      </c>
      <c r="H60" s="14">
        <f>SUM('ALPINE MEADOW:WOODLAND'!H58)</f>
        <v>0</v>
      </c>
      <c r="I60" s="14">
        <f>SUM('ALPINE MEADOW:WOODLAND'!I58)</f>
        <v>4091.7400000000007</v>
      </c>
      <c r="J60" s="90">
        <f t="shared" si="4"/>
        <v>7.7149711689941645E-6</v>
      </c>
      <c r="L60" s="109">
        <f t="shared" si="3"/>
        <v>2.203221905251131E-3</v>
      </c>
      <c r="N60" s="67"/>
      <c r="O60" s="67"/>
      <c r="P60" s="67"/>
      <c r="Q60" s="69"/>
      <c r="R60" s="57"/>
      <c r="S60" s="120"/>
      <c r="T60" s="57"/>
    </row>
    <row r="61" spans="1:20" s="25" customFormat="1" ht="15.5">
      <c r="A61" s="35">
        <v>310</v>
      </c>
      <c r="B61" s="24" t="s">
        <v>191</v>
      </c>
      <c r="C61" s="14">
        <f>SUM('ALPINE MEADOW:WOODLAND'!C59)</f>
        <v>616168.20999999985</v>
      </c>
      <c r="D61" s="14">
        <f>SUM('ALPINE MEADOW:WOODLAND'!D59)</f>
        <v>-5285</v>
      </c>
      <c r="E61" s="14">
        <f>SUM('ALPINE MEADOW:WOODLAND'!E59)</f>
        <v>392</v>
      </c>
      <c r="F61" s="14">
        <f>SUM('ALPINE MEADOW:WOODLAND'!F59)</f>
        <v>611275.20999999985</v>
      </c>
      <c r="G61" s="14">
        <f>SUM('ALPINE MEADOW:WOODLAND'!G59)</f>
        <v>-422</v>
      </c>
      <c r="H61" s="14">
        <f>SUM('ALPINE MEADOW:WOODLAND'!H59)</f>
        <v>29033</v>
      </c>
      <c r="I61" s="14">
        <f>SUM('ALPINE MEADOW:WOODLAND'!I59)</f>
        <v>639886.20999999973</v>
      </c>
      <c r="J61" s="90">
        <f t="shared" si="4"/>
        <v>1.2065047294273199E-3</v>
      </c>
      <c r="L61" s="109">
        <f t="shared" si="3"/>
        <v>0.34455056155574998</v>
      </c>
      <c r="N61" s="67"/>
      <c r="O61" s="67"/>
      <c r="P61" s="67"/>
      <c r="Q61" s="69"/>
      <c r="R61" s="57"/>
      <c r="S61" s="120"/>
      <c r="T61" s="57"/>
    </row>
    <row r="62" spans="1:20" s="25" customFormat="1" ht="15.5">
      <c r="A62" s="35">
        <v>320</v>
      </c>
      <c r="B62" s="24" t="s">
        <v>192</v>
      </c>
      <c r="C62" s="14">
        <f>SUM('ALPINE MEADOW:WOODLAND'!C60)</f>
        <v>792536.02999999968</v>
      </c>
      <c r="D62" s="14">
        <f>SUM('ALPINE MEADOW:WOODLAND'!D60)</f>
        <v>-495531.21999999991</v>
      </c>
      <c r="E62" s="14">
        <f>SUM('ALPINE MEADOW:WOODLAND'!E60)</f>
        <v>0</v>
      </c>
      <c r="F62" s="14">
        <f>SUM('ALPINE MEADOW:WOODLAND'!F60)</f>
        <v>297004.81</v>
      </c>
      <c r="G62" s="14">
        <f>SUM('ALPINE MEADOW:WOODLAND'!G60)</f>
        <v>0</v>
      </c>
      <c r="H62" s="14">
        <f>SUM('ALPINE MEADOW:WOODLAND'!H60)</f>
        <v>0</v>
      </c>
      <c r="I62" s="14">
        <f>SUM('ALPINE MEADOW:WOODLAND'!I60)</f>
        <v>297004.81</v>
      </c>
      <c r="J62" s="90">
        <f t="shared" si="4"/>
        <v>5.6000223528439958E-4</v>
      </c>
      <c r="L62" s="109">
        <f t="shared" si="3"/>
        <v>0.15992401847550186</v>
      </c>
      <c r="N62" s="67"/>
      <c r="O62" s="67"/>
      <c r="P62" s="67"/>
      <c r="Q62" s="69"/>
      <c r="R62" s="57"/>
      <c r="S62" s="120"/>
      <c r="T62" s="57"/>
    </row>
    <row r="63" spans="1:20" s="25" customFormat="1" ht="15.5">
      <c r="A63" s="35">
        <v>330</v>
      </c>
      <c r="B63" s="24" t="s">
        <v>40</v>
      </c>
      <c r="C63" s="14">
        <f>SUM('ALPINE MEADOW:WOODLAND'!C61)</f>
        <v>4900908.5799999991</v>
      </c>
      <c r="D63" s="14">
        <f>SUM('ALPINE MEADOW:WOODLAND'!D61)</f>
        <v>-372473.34</v>
      </c>
      <c r="E63" s="14">
        <f>SUM('ALPINE MEADOW:WOODLAND'!E61)</f>
        <v>-32405.838754597462</v>
      </c>
      <c r="F63" s="14">
        <f>SUM('ALPINE MEADOW:WOODLAND'!F61)</f>
        <v>4496029.4012454022</v>
      </c>
      <c r="G63" s="14">
        <f>SUM('ALPINE MEADOW:WOODLAND'!G61)</f>
        <v>21319</v>
      </c>
      <c r="H63" s="14">
        <f>SUM('ALPINE MEADOW:WOODLAND'!H61)</f>
        <v>103311</v>
      </c>
      <c r="I63" s="14">
        <f>SUM('ALPINE MEADOW:WOODLAND'!I61)</f>
        <v>4620659.4012454012</v>
      </c>
      <c r="J63" s="90">
        <f t="shared" si="4"/>
        <v>8.7122481052926398E-3</v>
      </c>
      <c r="L63" s="109">
        <f t="shared" si="3"/>
        <v>2.4880217241389828</v>
      </c>
      <c r="N63" s="67"/>
      <c r="O63" s="67"/>
      <c r="P63" s="67"/>
      <c r="Q63" s="69"/>
      <c r="R63" s="57"/>
      <c r="S63" s="120"/>
      <c r="T63" s="57"/>
    </row>
    <row r="64" spans="1:20" s="25" customFormat="1" ht="15.5">
      <c r="A64" s="35">
        <v>340</v>
      </c>
      <c r="B64" s="24" t="s">
        <v>193</v>
      </c>
      <c r="C64" s="14">
        <f>SUM('ALPINE MEADOW:WOODLAND'!C62)</f>
        <v>317362.47000000003</v>
      </c>
      <c r="D64" s="14">
        <f>SUM('ALPINE MEADOW:WOODLAND'!D62)</f>
        <v>1318</v>
      </c>
      <c r="E64" s="14">
        <f>SUM('ALPINE MEADOW:WOODLAND'!E62)</f>
        <v>0</v>
      </c>
      <c r="F64" s="14">
        <f>SUM('ALPINE MEADOW:WOODLAND'!F62)</f>
        <v>318680.47000000003</v>
      </c>
      <c r="G64" s="14">
        <f>SUM('ALPINE MEADOW:WOODLAND'!G62)</f>
        <v>1096</v>
      </c>
      <c r="H64" s="14">
        <f>SUM('ALPINE MEADOW:WOODLAND'!H62)</f>
        <v>20104</v>
      </c>
      <c r="I64" s="14">
        <f>SUM('ALPINE MEADOW:WOODLAND'!I62)</f>
        <v>339880.47000000003</v>
      </c>
      <c r="J64" s="90">
        <f t="shared" si="4"/>
        <v>6.4084424400235251E-4</v>
      </c>
      <c r="L64" s="109">
        <f t="shared" si="3"/>
        <v>0.18301067435151055</v>
      </c>
      <c r="N64" s="67"/>
      <c r="O64" s="67"/>
      <c r="P64" s="67"/>
      <c r="Q64" s="69"/>
      <c r="R64" s="57"/>
      <c r="S64" s="120"/>
      <c r="T64" s="57"/>
    </row>
    <row r="65" spans="1:20" s="25" customFormat="1" ht="15.5">
      <c r="A65" s="35">
        <v>350</v>
      </c>
      <c r="B65" s="24" t="s">
        <v>194</v>
      </c>
      <c r="C65" s="14">
        <f>SUM('ALPINE MEADOW:WOODLAND'!C63)</f>
        <v>756719.7699999999</v>
      </c>
      <c r="D65" s="14">
        <f>SUM('ALPINE MEADOW:WOODLAND'!D63)</f>
        <v>-406005.45</v>
      </c>
      <c r="E65" s="14">
        <f>SUM('ALPINE MEADOW:WOODLAND'!E63)</f>
        <v>0</v>
      </c>
      <c r="F65" s="14">
        <f>SUM('ALPINE MEADOW:WOODLAND'!F63)</f>
        <v>350714.32</v>
      </c>
      <c r="G65" s="14">
        <f>SUM('ALPINE MEADOW:WOODLAND'!G63)</f>
        <v>-340899.78</v>
      </c>
      <c r="H65" s="14">
        <f>SUM('ALPINE MEADOW:WOODLAND'!H63)</f>
        <v>0</v>
      </c>
      <c r="I65" s="14">
        <f>SUM('ALPINE MEADOW:WOODLAND'!I63)</f>
        <v>9814.5399999999991</v>
      </c>
      <c r="J65" s="90">
        <f t="shared" si="4"/>
        <v>1.8505304133923456E-5</v>
      </c>
      <c r="L65" s="109">
        <f t="shared" si="3"/>
        <v>5.2846978346530885E-3</v>
      </c>
      <c r="N65" s="67"/>
      <c r="O65" s="67"/>
      <c r="P65" s="67"/>
      <c r="Q65" s="69"/>
      <c r="R65" s="57"/>
      <c r="S65" s="120"/>
      <c r="T65" s="57"/>
    </row>
    <row r="66" spans="1:20" s="25" customFormat="1" ht="15.5">
      <c r="A66" s="35">
        <v>360</v>
      </c>
      <c r="B66" s="24" t="s">
        <v>195</v>
      </c>
      <c r="C66" s="14">
        <f>SUM('ALPINE MEADOW:WOODLAND'!C64)</f>
        <v>11659.67</v>
      </c>
      <c r="D66" s="14">
        <f>SUM('ALPINE MEADOW:WOODLAND'!D64)</f>
        <v>0</v>
      </c>
      <c r="E66" s="14">
        <f>SUM('ALPINE MEADOW:WOODLAND'!E64)</f>
        <v>0</v>
      </c>
      <c r="F66" s="14">
        <f>SUM('ALPINE MEADOW:WOODLAND'!F64)</f>
        <v>11659.67</v>
      </c>
      <c r="G66" s="14">
        <f>SUM('ALPINE MEADOW:WOODLAND'!G64)</f>
        <v>0</v>
      </c>
      <c r="H66" s="14">
        <f>SUM('ALPINE MEADOW:WOODLAND'!H64)</f>
        <v>0</v>
      </c>
      <c r="I66" s="14">
        <f>SUM('ALPINE MEADOW:WOODLAND'!I64)</f>
        <v>11659.67</v>
      </c>
      <c r="J66" s="90">
        <f t="shared" si="4"/>
        <v>2.1984294674145028E-5</v>
      </c>
      <c r="L66" s="109">
        <f t="shared" si="3"/>
        <v>6.2782191322027911E-3</v>
      </c>
      <c r="N66" s="67"/>
      <c r="O66" s="67"/>
      <c r="P66" s="67"/>
      <c r="Q66" s="69"/>
      <c r="R66" s="57"/>
      <c r="S66" s="120"/>
      <c r="T66" s="57"/>
    </row>
    <row r="67" spans="1:20" s="25" customFormat="1" ht="15.5">
      <c r="A67" s="35">
        <v>490</v>
      </c>
      <c r="B67" s="24" t="s">
        <v>247</v>
      </c>
      <c r="C67" s="14">
        <f>SUM('ALPINE MEADOW:WOODLAND'!C65)</f>
        <v>4632427.7200000007</v>
      </c>
      <c r="D67" s="14">
        <f>SUM('ALPINE MEADOW:WOODLAND'!D65)</f>
        <v>-3274846.6</v>
      </c>
      <c r="E67" s="14">
        <f>SUM('ALPINE MEADOW:WOODLAND'!E65)</f>
        <v>2168</v>
      </c>
      <c r="F67" s="14">
        <f>SUM('ALPINE MEADOW:WOODLAND'!F65)</f>
        <v>1359749.1199999999</v>
      </c>
      <c r="G67" s="14">
        <f>SUM('ALPINE MEADOW:WOODLAND'!G65)</f>
        <v>-280460.72000000003</v>
      </c>
      <c r="H67" s="14">
        <f>SUM('ALPINE MEADOW:WOODLAND'!H65)</f>
        <v>20727</v>
      </c>
      <c r="I67" s="14">
        <f>SUM('ALPINE MEADOW:WOODLAND'!I65)</f>
        <v>1100015.4000000001</v>
      </c>
      <c r="J67" s="90">
        <f t="shared" si="4"/>
        <v>2.0740777997745661E-3</v>
      </c>
      <c r="L67" s="109">
        <f t="shared" si="3"/>
        <v>0.59230987926739842</v>
      </c>
      <c r="N67" s="67"/>
      <c r="O67" s="67"/>
      <c r="P67" s="67"/>
      <c r="Q67" s="69"/>
      <c r="R67" s="57"/>
      <c r="S67" s="120"/>
      <c r="T67" s="57"/>
    </row>
    <row r="68" spans="1:20" s="25" customFormat="1" ht="15.5">
      <c r="A68" s="35"/>
      <c r="B68" s="3" t="s">
        <v>168</v>
      </c>
      <c r="C68" s="14">
        <f>SUM('ALPINE MEADOW:WOODLAND'!C66)</f>
        <v>151197435.12</v>
      </c>
      <c r="D68" s="14">
        <f>SUM('ALPINE MEADOW:WOODLAND'!D66)</f>
        <v>-33427178.450370524</v>
      </c>
      <c r="E68" s="14">
        <f>SUM('ALPINE MEADOW:WOODLAND'!E66)</f>
        <v>-9093908.8888112865</v>
      </c>
      <c r="F68" s="14">
        <f>SUM('ALPINE MEADOW:WOODLAND'!F66)</f>
        <v>108676347.78081819</v>
      </c>
      <c r="G68" s="14">
        <f>SUM('ALPINE MEADOW:WOODLAND'!G66)</f>
        <v>1712921.2000000002</v>
      </c>
      <c r="H68" s="14">
        <f>SUM('ALPINE MEADOW:WOODLAND'!H66)</f>
        <v>-415935.38000000012</v>
      </c>
      <c r="I68" s="14">
        <f>SUM('ALPINE MEADOW:WOODLAND'!I66)</f>
        <v>109973333.60081817</v>
      </c>
      <c r="J68" s="90">
        <f t="shared" si="4"/>
        <v>0.20735459684351626</v>
      </c>
      <c r="L68" s="109">
        <f t="shared" si="3"/>
        <v>59.215800022194173</v>
      </c>
      <c r="N68" s="67"/>
      <c r="O68" s="67"/>
      <c r="P68" s="67"/>
      <c r="Q68" s="69"/>
      <c r="R68" s="56"/>
      <c r="S68" s="120"/>
      <c r="T68" s="56"/>
    </row>
    <row r="69" spans="1:20" s="25" customFormat="1" ht="15.5">
      <c r="A69" s="35"/>
      <c r="C69" s="17"/>
      <c r="D69" s="17"/>
      <c r="E69" s="17"/>
      <c r="F69" s="17"/>
      <c r="G69" s="17"/>
      <c r="H69" s="17"/>
      <c r="I69" s="17"/>
      <c r="J69" s="22"/>
      <c r="L69" s="121"/>
      <c r="N69" s="66"/>
      <c r="O69" s="66"/>
      <c r="P69" s="66"/>
      <c r="S69" s="122"/>
    </row>
    <row r="70" spans="1:20" s="25" customFormat="1" ht="15.5">
      <c r="A70" s="32" t="s">
        <v>154</v>
      </c>
      <c r="B70" s="24" t="s">
        <v>169</v>
      </c>
      <c r="C70" s="62"/>
      <c r="D70" s="62"/>
      <c r="E70" s="62"/>
      <c r="F70" s="62"/>
      <c r="G70" s="62"/>
      <c r="H70" s="63"/>
      <c r="I70" s="63"/>
      <c r="J70" s="22"/>
      <c r="L70" s="121"/>
      <c r="N70" s="66"/>
      <c r="O70" s="66"/>
      <c r="P70" s="66"/>
      <c r="S70" s="122"/>
    </row>
    <row r="71" spans="1:20" s="25" customFormat="1" ht="15.5">
      <c r="A71" s="32">
        <v>230</v>
      </c>
      <c r="B71" s="24" t="s">
        <v>234</v>
      </c>
      <c r="C71" s="14">
        <f>SUM('ALPINE MEADOW:WOODLAND'!C69)</f>
        <v>35102083.629999995</v>
      </c>
      <c r="D71" s="14">
        <f>SUM('ALPINE MEADOW:WOODLAND'!D69)</f>
        <v>-943.04000000002566</v>
      </c>
      <c r="E71" s="14">
        <f>SUM('ALPINE MEADOW:WOODLAND'!E69)</f>
        <v>-16906401.039999999</v>
      </c>
      <c r="F71" s="14">
        <f>SUM('ALPINE MEADOW:WOODLAND'!F69)</f>
        <v>18194739.550000001</v>
      </c>
      <c r="G71" s="14">
        <f>SUM('ALPINE MEADOW:WOODLAND'!G69)</f>
        <v>0</v>
      </c>
      <c r="H71" s="14">
        <f>SUM('ALPINE MEADOW:WOODLAND'!H69)</f>
        <v>-7854367.8399999999</v>
      </c>
      <c r="I71" s="14">
        <f>SUM('ALPINE MEADOW:WOODLAND'!I69)</f>
        <v>10340371.710000001</v>
      </c>
      <c r="J71" s="90">
        <f t="shared" ref="J71:J85" si="5">IF($I$215=0,0,I71/$I$215)</f>
        <v>1.9496759231850725E-2</v>
      </c>
      <c r="L71" s="109">
        <f t="shared" ref="L71:L86" si="6">IF(I71=0,0,I71/$I$235)</f>
        <v>5.5678350677000719</v>
      </c>
      <c r="N71" s="88"/>
      <c r="O71" s="88"/>
      <c r="P71" s="88"/>
      <c r="Q71" s="110"/>
      <c r="R71" s="111"/>
      <c r="S71" s="123"/>
      <c r="T71" s="56"/>
    </row>
    <row r="72" spans="1:20" s="25" customFormat="1" ht="15.5">
      <c r="A72" s="32">
        <v>240</v>
      </c>
      <c r="B72" s="24" t="s">
        <v>235</v>
      </c>
      <c r="C72" s="14">
        <f>SUM('ALPINE MEADOW:WOODLAND'!C70)</f>
        <v>5229026.37</v>
      </c>
      <c r="D72" s="14">
        <f>SUM('ALPINE MEADOW:WOODLAND'!D70)</f>
        <v>43586.520000000004</v>
      </c>
      <c r="E72" s="14">
        <f>SUM('ALPINE MEADOW:WOODLAND'!E70)</f>
        <v>5243390.79</v>
      </c>
      <c r="F72" s="14">
        <f>SUM('ALPINE MEADOW:WOODLAND'!F70)</f>
        <v>10516003.68</v>
      </c>
      <c r="G72" s="14">
        <f>SUM('ALPINE MEADOW:WOODLAND'!G70)</f>
        <v>0</v>
      </c>
      <c r="H72" s="14">
        <f>SUM('ALPINE MEADOW:WOODLAND'!H70)</f>
        <v>2928417.88</v>
      </c>
      <c r="I72" s="14">
        <f>SUM('ALPINE MEADOW:WOODLAND'!I70)</f>
        <v>13444421.560000001</v>
      </c>
      <c r="J72" s="90">
        <f t="shared" si="5"/>
        <v>2.5349441733639854E-2</v>
      </c>
      <c r="L72" s="109">
        <f t="shared" si="6"/>
        <v>7.239229297174937</v>
      </c>
      <c r="N72" s="88"/>
      <c r="O72" s="88"/>
      <c r="P72" s="88"/>
      <c r="Q72" s="110"/>
      <c r="R72" s="111"/>
      <c r="S72" s="123"/>
      <c r="T72" s="56"/>
    </row>
    <row r="73" spans="1:20" s="25" customFormat="1" ht="15.5">
      <c r="A73" s="32">
        <v>250</v>
      </c>
      <c r="B73" s="24" t="s">
        <v>236</v>
      </c>
      <c r="C73" s="14">
        <f>SUM('ALPINE MEADOW:WOODLAND'!C71)</f>
        <v>2369374</v>
      </c>
      <c r="D73" s="14">
        <f>SUM('ALPINE MEADOW:WOODLAND'!D71)</f>
        <v>108985</v>
      </c>
      <c r="E73" s="14">
        <f>SUM('ALPINE MEADOW:WOODLAND'!E71)</f>
        <v>6943163.6299999999</v>
      </c>
      <c r="F73" s="14">
        <f>SUM('ALPINE MEADOW:WOODLAND'!F71)</f>
        <v>9421522.629999999</v>
      </c>
      <c r="G73" s="14">
        <f>SUM('ALPINE MEADOW:WOODLAND'!G71)</f>
        <v>0</v>
      </c>
      <c r="H73" s="14">
        <f>SUM('ALPINE MEADOW:WOODLAND'!H71)</f>
        <v>1468220</v>
      </c>
      <c r="I73" s="14">
        <f>SUM('ALPINE MEADOW:WOODLAND'!I71)</f>
        <v>10889742.629999999</v>
      </c>
      <c r="J73" s="90">
        <f t="shared" si="5"/>
        <v>2.0532597483764039E-2</v>
      </c>
      <c r="L73" s="109">
        <f t="shared" si="6"/>
        <v>5.8636471293295891</v>
      </c>
      <c r="N73" s="88"/>
      <c r="O73" s="88"/>
      <c r="P73" s="88"/>
      <c r="Q73" s="110"/>
      <c r="R73" s="111"/>
      <c r="S73" s="123"/>
      <c r="T73" s="56"/>
    </row>
    <row r="74" spans="1:20" s="25" customFormat="1" ht="15.5">
      <c r="A74" s="32">
        <v>260</v>
      </c>
      <c r="B74" s="24" t="s">
        <v>237</v>
      </c>
      <c r="C74" s="14">
        <f>SUM('ALPINE MEADOW:WOODLAND'!C72)</f>
        <v>2279678.29</v>
      </c>
      <c r="D74" s="14">
        <f>SUM('ALPINE MEADOW:WOODLAND'!D72)</f>
        <v>-8349.369999999999</v>
      </c>
      <c r="E74" s="14">
        <f>SUM('ALPINE MEADOW:WOODLAND'!E72)</f>
        <v>135482.90518141768</v>
      </c>
      <c r="F74" s="14">
        <f>SUM('ALPINE MEADOW:WOODLAND'!F72)</f>
        <v>2406811.8251814172</v>
      </c>
      <c r="G74" s="14">
        <f>SUM('ALPINE MEADOW:WOODLAND'!G72)</f>
        <v>0</v>
      </c>
      <c r="H74" s="14">
        <f>SUM('ALPINE MEADOW:WOODLAND'!H72)</f>
        <v>0</v>
      </c>
      <c r="I74" s="14">
        <f>SUM('ALPINE MEADOW:WOODLAND'!I72)</f>
        <v>2406811.8251814172</v>
      </c>
      <c r="J74" s="90">
        <f t="shared" si="5"/>
        <v>4.538040990011304E-3</v>
      </c>
      <c r="L74" s="109">
        <f t="shared" si="6"/>
        <v>1.2959622397945991</v>
      </c>
      <c r="N74" s="88"/>
      <c r="O74" s="88"/>
      <c r="P74" s="88"/>
      <c r="Q74" s="110"/>
      <c r="R74" s="111"/>
      <c r="S74" s="123"/>
      <c r="T74" s="56"/>
    </row>
    <row r="75" spans="1:20" s="25" customFormat="1" ht="15.5">
      <c r="A75" s="32">
        <v>270</v>
      </c>
      <c r="B75" s="24" t="s">
        <v>238</v>
      </c>
      <c r="C75" s="14">
        <f>SUM('ALPINE MEADOW:WOODLAND'!C73)</f>
        <v>872971.5399999998</v>
      </c>
      <c r="D75" s="14">
        <f>SUM('ALPINE MEADOW:WOODLAND'!D73)</f>
        <v>-92541.81</v>
      </c>
      <c r="E75" s="14">
        <f>SUM('ALPINE MEADOW:WOODLAND'!E73)</f>
        <v>44661</v>
      </c>
      <c r="F75" s="14">
        <f>SUM('ALPINE MEADOW:WOODLAND'!F73)</f>
        <v>825090.72999999975</v>
      </c>
      <c r="G75" s="14">
        <f>SUM('ALPINE MEADOW:WOODLAND'!G73)</f>
        <v>-872</v>
      </c>
      <c r="H75" s="14">
        <f>SUM('ALPINE MEADOW:WOODLAND'!H73)</f>
        <v>105291</v>
      </c>
      <c r="I75" s="14">
        <f>SUM('ALPINE MEADOW:WOODLAND'!I73)</f>
        <v>929509.72999999975</v>
      </c>
      <c r="J75" s="90">
        <f t="shared" si="5"/>
        <v>1.7525895507166992E-3</v>
      </c>
      <c r="L75" s="109">
        <f t="shared" si="6"/>
        <v>0.50050008022994208</v>
      </c>
      <c r="N75" s="88"/>
      <c r="O75" s="88"/>
      <c r="P75" s="88"/>
      <c r="Q75" s="110"/>
      <c r="R75" s="111"/>
      <c r="S75" s="123"/>
      <c r="T75" s="56"/>
    </row>
    <row r="76" spans="1:20" s="25" customFormat="1" ht="15.5">
      <c r="A76" s="32">
        <v>280</v>
      </c>
      <c r="B76" s="24" t="s">
        <v>239</v>
      </c>
      <c r="C76" s="14">
        <f>SUM('ALPINE MEADOW:WOODLAND'!C74)</f>
        <v>326586.37999999989</v>
      </c>
      <c r="D76" s="14">
        <f>SUM('ALPINE MEADOW:WOODLAND'!D74)</f>
        <v>-0.41</v>
      </c>
      <c r="E76" s="14">
        <f>SUM('ALPINE MEADOW:WOODLAND'!E74)</f>
        <v>8949</v>
      </c>
      <c r="F76" s="14">
        <f>SUM('ALPINE MEADOW:WOODLAND'!F74)</f>
        <v>335534.96999999991</v>
      </c>
      <c r="G76" s="14">
        <f>SUM('ALPINE MEADOW:WOODLAND'!G74)</f>
        <v>0</v>
      </c>
      <c r="H76" s="14">
        <f>SUM('ALPINE MEADOW:WOODLAND'!H74)</f>
        <v>0</v>
      </c>
      <c r="I76" s="14">
        <f>SUM('ALPINE MEADOW:WOODLAND'!I74)</f>
        <v>335534.96999999991</v>
      </c>
      <c r="J76" s="90">
        <f t="shared" si="5"/>
        <v>6.3265080863870158E-4</v>
      </c>
      <c r="L76" s="109">
        <f t="shared" si="6"/>
        <v>0.18067081385468792</v>
      </c>
      <c r="N76" s="88"/>
      <c r="O76" s="88"/>
      <c r="P76" s="88"/>
      <c r="Q76" s="110"/>
      <c r="R76" s="111"/>
      <c r="S76" s="123"/>
      <c r="T76" s="56"/>
    </row>
    <row r="77" spans="1:20" s="25" customFormat="1" ht="15.5">
      <c r="A77" s="32">
        <v>290</v>
      </c>
      <c r="B77" s="24" t="s">
        <v>240</v>
      </c>
      <c r="C77" s="14">
        <f>SUM('ALPINE MEADOW:WOODLAND'!C75)</f>
        <v>2723</v>
      </c>
      <c r="D77" s="14">
        <f>SUM('ALPINE MEADOW:WOODLAND'!D75)</f>
        <v>0</v>
      </c>
      <c r="E77" s="14">
        <f>SUM('ALPINE MEADOW:WOODLAND'!E75)</f>
        <v>0</v>
      </c>
      <c r="F77" s="14">
        <f>SUM('ALPINE MEADOW:WOODLAND'!F75)</f>
        <v>2723</v>
      </c>
      <c r="G77" s="14">
        <f>SUM('ALPINE MEADOW:WOODLAND'!G75)</f>
        <v>0</v>
      </c>
      <c r="H77" s="14">
        <f>SUM('ALPINE MEADOW:WOODLAND'!H75)</f>
        <v>0</v>
      </c>
      <c r="I77" s="14">
        <f>SUM('ALPINE MEADOW:WOODLAND'!I75)</f>
        <v>2723</v>
      </c>
      <c r="J77" s="90">
        <f t="shared" si="5"/>
        <v>5.1342134380901782E-6</v>
      </c>
      <c r="L77" s="109">
        <f t="shared" si="6"/>
        <v>1.4662156559309312E-3</v>
      </c>
      <c r="N77" s="88"/>
      <c r="O77" s="88"/>
      <c r="P77" s="88"/>
      <c r="Q77" s="110"/>
      <c r="R77" s="111"/>
      <c r="S77" s="123"/>
      <c r="T77" s="56"/>
    </row>
    <row r="78" spans="1:20" s="25" customFormat="1" ht="15.5">
      <c r="A78" s="32">
        <v>300</v>
      </c>
      <c r="B78" s="24" t="s">
        <v>241</v>
      </c>
      <c r="C78" s="14">
        <f>SUM('ALPINE MEADOW:WOODLAND'!C76)</f>
        <v>0</v>
      </c>
      <c r="D78" s="14">
        <f>SUM('ALPINE MEADOW:WOODLAND'!D76)</f>
        <v>0</v>
      </c>
      <c r="E78" s="14">
        <f>SUM('ALPINE MEADOW:WOODLAND'!E76)</f>
        <v>0</v>
      </c>
      <c r="F78" s="14">
        <f>SUM('ALPINE MEADOW:WOODLAND'!F76)</f>
        <v>0</v>
      </c>
      <c r="G78" s="14">
        <f>SUM('ALPINE MEADOW:WOODLAND'!G76)</f>
        <v>0</v>
      </c>
      <c r="H78" s="14">
        <f>SUM('ALPINE MEADOW:WOODLAND'!H76)</f>
        <v>0</v>
      </c>
      <c r="I78" s="14">
        <f>SUM('ALPINE MEADOW:WOODLAND'!I76)</f>
        <v>0</v>
      </c>
      <c r="J78" s="90">
        <f t="shared" si="5"/>
        <v>0</v>
      </c>
      <c r="L78" s="109">
        <f t="shared" si="6"/>
        <v>0</v>
      </c>
      <c r="N78" s="88"/>
      <c r="O78" s="88"/>
      <c r="P78" s="88"/>
      <c r="Q78" s="110"/>
      <c r="R78" s="111"/>
      <c r="S78" s="123"/>
      <c r="T78" s="56"/>
    </row>
    <row r="79" spans="1:20" s="25" customFormat="1" ht="15.5">
      <c r="A79" s="32">
        <v>310</v>
      </c>
      <c r="B79" s="2" t="s">
        <v>242</v>
      </c>
      <c r="C79" s="14">
        <f>SUM('ALPINE MEADOW:WOODLAND'!C77)</f>
        <v>292636.25999999995</v>
      </c>
      <c r="D79" s="14">
        <f>SUM('ALPINE MEADOW:WOODLAND'!D77)</f>
        <v>-26851.489999999998</v>
      </c>
      <c r="E79" s="14">
        <f>SUM('ALPINE MEADOW:WOODLAND'!E77)</f>
        <v>3123</v>
      </c>
      <c r="F79" s="14">
        <f>SUM('ALPINE MEADOW:WOODLAND'!F77)</f>
        <v>268907.76999999996</v>
      </c>
      <c r="G79" s="14">
        <f>SUM('ALPINE MEADOW:WOODLAND'!G77)</f>
        <v>-781</v>
      </c>
      <c r="H79" s="14">
        <f>SUM('ALPINE MEADOW:WOODLAND'!H77)</f>
        <v>0</v>
      </c>
      <c r="I79" s="14">
        <f>SUM('ALPINE MEADOW:WOODLAND'!I77)</f>
        <v>268126.76999999996</v>
      </c>
      <c r="J79" s="90">
        <f t="shared" si="5"/>
        <v>5.0555272333665602E-4</v>
      </c>
      <c r="L79" s="109">
        <f t="shared" si="6"/>
        <v>0.14437446490936168</v>
      </c>
      <c r="N79" s="88"/>
      <c r="O79" s="88"/>
      <c r="P79" s="88"/>
      <c r="Q79" s="110"/>
      <c r="R79" s="111"/>
      <c r="S79" s="123"/>
      <c r="T79" s="56"/>
    </row>
    <row r="80" spans="1:20" s="25" customFormat="1" ht="15.5">
      <c r="A80" s="32">
        <v>320</v>
      </c>
      <c r="B80" s="2" t="s">
        <v>243</v>
      </c>
      <c r="C80" s="14">
        <f>SUM('ALPINE MEADOW:WOODLAND'!C78)</f>
        <v>1988505.8699999999</v>
      </c>
      <c r="D80" s="14">
        <f>SUM('ALPINE MEADOW:WOODLAND'!D78)</f>
        <v>4526</v>
      </c>
      <c r="E80" s="14">
        <f>SUM('ALPINE MEADOW:WOODLAND'!E78)</f>
        <v>-3219.5247021738578</v>
      </c>
      <c r="F80" s="14">
        <f>SUM('ALPINE MEADOW:WOODLAND'!F78)</f>
        <v>1989812.345297826</v>
      </c>
      <c r="G80" s="14">
        <f>SUM('ALPINE MEADOW:WOODLAND'!G78)</f>
        <v>209010.74</v>
      </c>
      <c r="H80" s="14">
        <f>SUM('ALPINE MEADOW:WOODLAND'!H78)</f>
        <v>0</v>
      </c>
      <c r="I80" s="14">
        <f>SUM('ALPINE MEADOW:WOODLAND'!I78)</f>
        <v>2198823.0852978257</v>
      </c>
      <c r="J80" s="90">
        <f t="shared" si="5"/>
        <v>4.1458784548362116E-3</v>
      </c>
      <c r="L80" s="109">
        <f t="shared" si="6"/>
        <v>1.1839694573213462</v>
      </c>
      <c r="N80" s="88"/>
      <c r="O80" s="88"/>
      <c r="P80" s="88"/>
      <c r="Q80" s="110"/>
      <c r="R80" s="111"/>
      <c r="S80" s="123"/>
      <c r="T80" s="56"/>
    </row>
    <row r="81" spans="1:20" s="25" customFormat="1" ht="15.5">
      <c r="A81" s="32">
        <v>330</v>
      </c>
      <c r="B81" s="2" t="s">
        <v>244</v>
      </c>
      <c r="C81" s="14">
        <f>SUM('ALPINE MEADOW:WOODLAND'!C79)</f>
        <v>3516916.3000000007</v>
      </c>
      <c r="D81" s="14">
        <f>SUM('ALPINE MEADOW:WOODLAND'!D79)</f>
        <v>-24543.239999999998</v>
      </c>
      <c r="E81" s="14">
        <f>SUM('ALPINE MEADOW:WOODLAND'!E79)</f>
        <v>330051.07999999996</v>
      </c>
      <c r="F81" s="14">
        <f>SUM('ALPINE MEADOW:WOODLAND'!F79)</f>
        <v>3822424.1400000015</v>
      </c>
      <c r="G81" s="14">
        <f>SUM('ALPINE MEADOW:WOODLAND'!G79)</f>
        <v>59662</v>
      </c>
      <c r="H81" s="14">
        <f>SUM('ALPINE MEADOW:WOODLAND'!H79)</f>
        <v>553409.33000000007</v>
      </c>
      <c r="I81" s="14">
        <f>SUM('ALPINE MEADOW:WOODLAND'!I79)</f>
        <v>4435495.4700000007</v>
      </c>
      <c r="J81" s="90">
        <f t="shared" si="5"/>
        <v>8.3631217211392259E-3</v>
      </c>
      <c r="L81" s="109">
        <f t="shared" si="6"/>
        <v>2.3883190965570051</v>
      </c>
      <c r="N81" s="88"/>
      <c r="O81" s="88"/>
      <c r="P81" s="88"/>
      <c r="Q81" s="110"/>
      <c r="R81" s="111"/>
      <c r="S81" s="123"/>
      <c r="T81" s="56"/>
    </row>
    <row r="82" spans="1:20" s="25" customFormat="1" ht="15.5">
      <c r="A82" s="32">
        <v>340</v>
      </c>
      <c r="B82" s="2" t="s">
        <v>245</v>
      </c>
      <c r="C82" s="14">
        <f>SUM('ALPINE MEADOW:WOODLAND'!C80)</f>
        <v>136492.66</v>
      </c>
      <c r="D82" s="14">
        <f>SUM('ALPINE MEADOW:WOODLAND'!D80)</f>
        <v>-359</v>
      </c>
      <c r="E82" s="14">
        <f>SUM('ALPINE MEADOW:WOODLAND'!E80)</f>
        <v>149175</v>
      </c>
      <c r="F82" s="14">
        <f>SUM('ALPINE MEADOW:WOODLAND'!F80)</f>
        <v>285308.65999999997</v>
      </c>
      <c r="G82" s="14">
        <f>SUM('ALPINE MEADOW:WOODLAND'!G80)</f>
        <v>-50622</v>
      </c>
      <c r="H82" s="14">
        <f>SUM('ALPINE MEADOW:WOODLAND'!H80)</f>
        <v>0</v>
      </c>
      <c r="I82" s="14">
        <f>SUM('ALPINE MEADOW:WOODLAND'!I80)</f>
        <v>234686.65999999997</v>
      </c>
      <c r="J82" s="90">
        <f t="shared" si="5"/>
        <v>4.4250143353378649E-4</v>
      </c>
      <c r="L82" s="109">
        <f t="shared" si="6"/>
        <v>0.12636843743302953</v>
      </c>
      <c r="N82" s="88"/>
      <c r="O82" s="88"/>
      <c r="P82" s="88"/>
      <c r="Q82" s="110"/>
      <c r="R82" s="111"/>
      <c r="S82" s="123"/>
      <c r="T82" s="56"/>
    </row>
    <row r="83" spans="1:20" s="25" customFormat="1" ht="15.5">
      <c r="A83" s="32">
        <v>350</v>
      </c>
      <c r="B83" s="2" t="s">
        <v>246</v>
      </c>
      <c r="C83" s="14">
        <f>SUM('ALPINE MEADOW:WOODLAND'!C81)</f>
        <v>340363.65</v>
      </c>
      <c r="D83" s="14">
        <f>SUM('ALPINE MEADOW:WOODLAND'!D81)</f>
        <v>14450.979999999998</v>
      </c>
      <c r="E83" s="14">
        <f>SUM('ALPINE MEADOW:WOODLAND'!E81)</f>
        <v>6820</v>
      </c>
      <c r="F83" s="14">
        <f>SUM('ALPINE MEADOW:WOODLAND'!F81)</f>
        <v>361634.63</v>
      </c>
      <c r="G83" s="14">
        <f>SUM('ALPINE MEADOW:WOODLAND'!G81)</f>
        <v>0</v>
      </c>
      <c r="H83" s="14">
        <f>SUM('ALPINE MEADOW:WOODLAND'!H81)</f>
        <v>0</v>
      </c>
      <c r="I83" s="14">
        <f>SUM('ALPINE MEADOW:WOODLAND'!I81)</f>
        <v>361634.63</v>
      </c>
      <c r="J83" s="90">
        <f t="shared" si="5"/>
        <v>6.8186168822062781E-4</v>
      </c>
      <c r="L83" s="109">
        <f t="shared" si="6"/>
        <v>0.19472433207226941</v>
      </c>
      <c r="N83" s="88"/>
      <c r="O83" s="88"/>
      <c r="P83" s="88"/>
      <c r="Q83" s="110"/>
      <c r="R83" s="111"/>
      <c r="S83" s="123"/>
      <c r="T83" s="56"/>
    </row>
    <row r="84" spans="1:20" s="25" customFormat="1" ht="15.5">
      <c r="A84" s="32">
        <v>360</v>
      </c>
      <c r="B84" s="2" t="s">
        <v>181</v>
      </c>
      <c r="C84" s="14">
        <f>SUM('ALPINE MEADOW:WOODLAND'!C82)</f>
        <v>23188</v>
      </c>
      <c r="D84" s="14">
        <f>SUM('ALPINE MEADOW:WOODLAND'!D82)</f>
        <v>-147</v>
      </c>
      <c r="E84" s="14">
        <f>SUM('ALPINE MEADOW:WOODLAND'!E82)</f>
        <v>0</v>
      </c>
      <c r="F84" s="14">
        <f>SUM('ALPINE MEADOW:WOODLAND'!F82)</f>
        <v>23041</v>
      </c>
      <c r="G84" s="14">
        <f>SUM('ALPINE MEADOW:WOODLAND'!G82)</f>
        <v>0</v>
      </c>
      <c r="H84" s="14">
        <f>SUM('ALPINE MEADOW:WOODLAND'!H82)</f>
        <v>0</v>
      </c>
      <c r="I84" s="14">
        <f>SUM('ALPINE MEADOW:WOODLAND'!I82)</f>
        <v>23041</v>
      </c>
      <c r="J84" s="90">
        <f t="shared" si="5"/>
        <v>4.3443779591272787E-5</v>
      </c>
      <c r="L84" s="109">
        <f t="shared" si="6"/>
        <v>1.2406564424643622E-2</v>
      </c>
      <c r="N84" s="88"/>
      <c r="O84" s="88"/>
      <c r="P84" s="88"/>
      <c r="Q84" s="110"/>
      <c r="R84" s="111"/>
      <c r="S84" s="123"/>
      <c r="T84" s="56"/>
    </row>
    <row r="85" spans="1:20" s="25" customFormat="1" ht="15.5">
      <c r="A85" s="32">
        <v>490</v>
      </c>
      <c r="B85" s="2" t="s">
        <v>247</v>
      </c>
      <c r="C85" s="14">
        <f>SUM('ALPINE MEADOW:WOODLAND'!C83)</f>
        <v>8148</v>
      </c>
      <c r="D85" s="14">
        <f>SUM('ALPINE MEADOW:WOODLAND'!D83)</f>
        <v>-43155</v>
      </c>
      <c r="E85" s="14">
        <f>SUM('ALPINE MEADOW:WOODLAND'!E83)</f>
        <v>173.95923072408848</v>
      </c>
      <c r="F85" s="14">
        <f>SUM('ALPINE MEADOW:WOODLAND'!F83)</f>
        <v>-34833.040769275911</v>
      </c>
      <c r="G85" s="14">
        <f>SUM('ALPINE MEADOW:WOODLAND'!G83)</f>
        <v>43154</v>
      </c>
      <c r="H85" s="14">
        <f>SUM('ALPINE MEADOW:WOODLAND'!H83)</f>
        <v>0</v>
      </c>
      <c r="I85" s="14">
        <f>SUM('ALPINE MEADOW:WOODLAND'!I83)</f>
        <v>8320.9592307240891</v>
      </c>
      <c r="J85" s="90">
        <f t="shared" si="5"/>
        <v>1.5689159272928435E-5</v>
      </c>
      <c r="L85" s="109">
        <f t="shared" si="6"/>
        <v>4.4804703255419236E-3</v>
      </c>
      <c r="N85" s="88"/>
      <c r="O85" s="88"/>
      <c r="P85" s="88"/>
      <c r="Q85" s="110"/>
      <c r="R85" s="111"/>
      <c r="S85" s="123"/>
      <c r="T85" s="56"/>
    </row>
    <row r="86" spans="1:20" s="25" customFormat="1" ht="15.5">
      <c r="A86" s="35"/>
      <c r="B86" s="3" t="s">
        <v>142</v>
      </c>
      <c r="C86" s="14">
        <f>SUM('ALPINE MEADOW:WOODLAND'!C84)</f>
        <v>52488693.950000003</v>
      </c>
      <c r="D86" s="14">
        <f>SUM('ALPINE MEADOW:WOODLAND'!D84)</f>
        <v>-25341.860000000044</v>
      </c>
      <c r="E86" s="14">
        <f>SUM('ALPINE MEADOW:WOODLAND'!E84)</f>
        <v>-4044630.2002900322</v>
      </c>
      <c r="F86" s="14">
        <f>SUM('ALPINE MEADOW:WOODLAND'!F84)</f>
        <v>48418721.889709964</v>
      </c>
      <c r="G86" s="14">
        <f>SUM('ALPINE MEADOW:WOODLAND'!G84)</f>
        <v>259551.74</v>
      </c>
      <c r="H86" s="14">
        <f>SUM('ALPINE MEADOW:WOODLAND'!H84)</f>
        <v>-2799029.6299999994</v>
      </c>
      <c r="I86" s="14">
        <f>SUM('ALPINE MEADOW:WOODLAND'!I84)</f>
        <v>45879243.999709971</v>
      </c>
      <c r="J86" s="90">
        <f>SUM(J71:J85)</f>
        <v>8.6505262971990113E-2</v>
      </c>
      <c r="L86" s="109">
        <f t="shared" si="6"/>
        <v>24.703953666782958</v>
      </c>
      <c r="N86" s="88"/>
      <c r="O86" s="88"/>
      <c r="P86" s="88"/>
      <c r="Q86" s="110"/>
      <c r="R86" s="111"/>
      <c r="S86" s="123"/>
      <c r="T86" s="56"/>
    </row>
    <row r="87" spans="1:20" s="25" customFormat="1" ht="15.5">
      <c r="A87" s="35"/>
      <c r="B87" s="24"/>
      <c r="C87" s="17"/>
      <c r="D87" s="17"/>
      <c r="E87" s="17"/>
      <c r="F87" s="17"/>
      <c r="G87" s="17"/>
      <c r="H87" s="17"/>
      <c r="I87" s="17"/>
      <c r="J87" s="70"/>
      <c r="L87" s="121"/>
      <c r="N87" s="91"/>
      <c r="O87" s="91"/>
      <c r="P87" s="91"/>
      <c r="Q87" s="91"/>
      <c r="R87" s="91"/>
      <c r="S87" s="124"/>
    </row>
    <row r="88" spans="1:20" s="25" customFormat="1" ht="15.5">
      <c r="A88" s="32" t="s">
        <v>155</v>
      </c>
      <c r="B88" s="24" t="s">
        <v>35</v>
      </c>
      <c r="C88" s="62"/>
      <c r="D88" s="62"/>
      <c r="E88" s="62"/>
      <c r="F88" s="62"/>
      <c r="G88" s="62"/>
      <c r="H88" s="63"/>
      <c r="I88" s="63"/>
      <c r="J88" s="92"/>
      <c r="L88" s="121"/>
      <c r="N88" s="91"/>
      <c r="O88" s="91"/>
      <c r="P88" s="91"/>
      <c r="Q88" s="91"/>
      <c r="R88" s="91"/>
      <c r="S88" s="124"/>
    </row>
    <row r="89" spans="1:20" s="25" customFormat="1" ht="15.5">
      <c r="A89" s="32" t="s">
        <v>77</v>
      </c>
      <c r="B89" s="24" t="s">
        <v>36</v>
      </c>
      <c r="C89" s="14">
        <f>SUM('ALPINE MEADOW:WOODLAND'!C87)</f>
        <v>4517127.46</v>
      </c>
      <c r="D89" s="14">
        <f>SUM('ALPINE MEADOW:WOODLAND'!D87)</f>
        <v>54676.006793162655</v>
      </c>
      <c r="E89" s="14">
        <f>SUM('ALPINE MEADOW:WOODLAND'!E87)</f>
        <v>0</v>
      </c>
      <c r="F89" s="14">
        <f>SUM('ALPINE MEADOW:WOODLAND'!F87)</f>
        <v>4571803.4667931627</v>
      </c>
      <c r="G89" s="14">
        <f>SUM('ALPINE MEADOW:WOODLAND'!G87)</f>
        <v>-12252</v>
      </c>
      <c r="H89" s="14">
        <f>SUM('ALPINE MEADOW:WOODLAND'!H87)</f>
        <v>0</v>
      </c>
      <c r="I89" s="14">
        <f>SUM('ALPINE MEADOW:WOODLAND'!I87)</f>
        <v>4559551.4667931627</v>
      </c>
      <c r="J89" s="90">
        <f>IF($I$215=0,0,I89/$I$215)</f>
        <v>8.5970291635964896E-3</v>
      </c>
      <c r="L89" s="109">
        <f t="shared" ref="L89:L100" si="7">IF(I89=0,0,I89/$I$235)</f>
        <v>2.4551177909052431</v>
      </c>
      <c r="M89" s="25">
        <v>1955.33</v>
      </c>
      <c r="N89" s="116">
        <f>SUM('ALPINE MEADOW:WOODLAND'!L87)</f>
        <v>226855.00247261848</v>
      </c>
      <c r="O89" s="116">
        <f>SUM('ALPINE MEADOW:WOODLAND'!M87)</f>
        <v>243006.00228887619</v>
      </c>
      <c r="P89" s="117"/>
      <c r="Q89" s="118">
        <f>IF(N89=0,0,I89/O89)</f>
        <v>18.763122819381817</v>
      </c>
      <c r="R89" s="57"/>
      <c r="S89" s="119">
        <f>O89/$I$235</f>
        <v>0.13084803710655085</v>
      </c>
      <c r="T89" s="56"/>
    </row>
    <row r="90" spans="1:20" s="25" customFormat="1" ht="15.5">
      <c r="A90" s="32" t="s">
        <v>78</v>
      </c>
      <c r="B90" s="24" t="s">
        <v>37</v>
      </c>
      <c r="C90" s="14">
        <f>SUM('ALPINE MEADOW:WOODLAND'!C88)</f>
        <v>640757.46000000008</v>
      </c>
      <c r="D90" s="14">
        <f>SUM('ALPINE MEADOW:WOODLAND'!D88)</f>
        <v>299179.87122035283</v>
      </c>
      <c r="E90" s="14">
        <f>SUM('ALPINE MEADOW:WOODLAND'!E88)</f>
        <v>0</v>
      </c>
      <c r="F90" s="14">
        <f>SUM('ALPINE MEADOW:WOODLAND'!F88)</f>
        <v>939937.33122035291</v>
      </c>
      <c r="G90" s="14">
        <f>SUM('ALPINE MEADOW:WOODLAND'!G88)</f>
        <v>-9934.1</v>
      </c>
      <c r="H90" s="14">
        <f>SUM('ALPINE MEADOW:WOODLAND'!H88)</f>
        <v>0</v>
      </c>
      <c r="I90" s="14">
        <f>SUM('ALPINE MEADOW:WOODLAND'!I88)</f>
        <v>930003.23122035293</v>
      </c>
      <c r="J90" s="90">
        <f t="shared" ref="J90:J100" si="8">IF($I$215=0,0,I90/$I$215)</f>
        <v>1.7535200467127519E-3</v>
      </c>
      <c r="L90" s="109">
        <f t="shared" si="7"/>
        <v>0.50076580891723654</v>
      </c>
      <c r="N90" s="88"/>
      <c r="O90" s="88"/>
      <c r="P90" s="88"/>
      <c r="Q90" s="110"/>
      <c r="R90" s="111"/>
      <c r="S90" s="123"/>
      <c r="T90" s="56"/>
    </row>
    <row r="91" spans="1:20" s="25" customFormat="1" ht="15.5">
      <c r="A91" s="32" t="s">
        <v>85</v>
      </c>
      <c r="B91" s="24" t="s">
        <v>39</v>
      </c>
      <c r="C91" s="14">
        <f>SUM('ALPINE MEADOW:WOODLAND'!C89)</f>
        <v>1139039.8099999998</v>
      </c>
      <c r="D91" s="14">
        <f>SUM('ALPINE MEADOW:WOODLAND'!D89)</f>
        <v>-23.76</v>
      </c>
      <c r="E91" s="14">
        <f>SUM('ALPINE MEADOW:WOODLAND'!E89)</f>
        <v>12252</v>
      </c>
      <c r="F91" s="14">
        <f>SUM('ALPINE MEADOW:WOODLAND'!F89)</f>
        <v>1151268.05</v>
      </c>
      <c r="G91" s="14">
        <f>SUM('ALPINE MEADOW:WOODLAND'!G89)</f>
        <v>-4166</v>
      </c>
      <c r="H91" s="14">
        <f>SUM('ALPINE MEADOW:WOODLAND'!H89)</f>
        <v>0</v>
      </c>
      <c r="I91" s="14">
        <f>SUM('ALPINE MEADOW:WOODLAND'!I89)</f>
        <v>1147102.0499999998</v>
      </c>
      <c r="J91" s="90">
        <f t="shared" si="8"/>
        <v>2.1628596254024204E-3</v>
      </c>
      <c r="L91" s="109">
        <f t="shared" si="7"/>
        <v>0.61766396792525358</v>
      </c>
      <c r="N91" s="88"/>
      <c r="O91" s="88"/>
      <c r="P91" s="88"/>
      <c r="Q91" s="110"/>
      <c r="R91" s="111"/>
      <c r="S91" s="123"/>
      <c r="T91" s="56"/>
    </row>
    <row r="92" spans="1:20" s="25" customFormat="1" ht="15.5">
      <c r="A92" s="32">
        <v>230</v>
      </c>
      <c r="B92" s="24" t="s">
        <v>38</v>
      </c>
      <c r="C92" s="14">
        <f>SUM('ALPINE MEADOW:WOODLAND'!C90)</f>
        <v>455117.57999999996</v>
      </c>
      <c r="D92" s="14">
        <f>SUM('ALPINE MEADOW:WOODLAND'!D90)</f>
        <v>772</v>
      </c>
      <c r="E92" s="14">
        <f>SUM('ALPINE MEADOW:WOODLAND'!E90)</f>
        <v>0</v>
      </c>
      <c r="F92" s="14">
        <f>SUM('ALPINE MEADOW:WOODLAND'!F90)</f>
        <v>455889.57999999996</v>
      </c>
      <c r="G92" s="14">
        <f>SUM('ALPINE MEADOW:WOODLAND'!G90)</f>
        <v>-11479</v>
      </c>
      <c r="H92" s="14">
        <f>SUM('ALPINE MEADOW:WOODLAND'!H90)</f>
        <v>11038</v>
      </c>
      <c r="I92" s="14">
        <f>SUM('ALPINE MEADOW:WOODLAND'!I90)</f>
        <v>455448.57999999996</v>
      </c>
      <c r="J92" s="90">
        <f t="shared" si="8"/>
        <v>8.5874778545541293E-4</v>
      </c>
      <c r="L92" s="109">
        <f t="shared" si="7"/>
        <v>0.24523901522861224</v>
      </c>
      <c r="N92" s="88"/>
      <c r="O92" s="88"/>
      <c r="P92" s="88"/>
      <c r="Q92" s="110"/>
      <c r="R92" s="111"/>
      <c r="S92" s="123"/>
      <c r="T92" s="56"/>
    </row>
    <row r="93" spans="1:20" s="25" customFormat="1" ht="15.5">
      <c r="A93" s="32">
        <v>240</v>
      </c>
      <c r="B93" s="24" t="s">
        <v>248</v>
      </c>
      <c r="C93" s="14">
        <f>SUM('ALPINE MEADOW:WOODLAND'!C91)</f>
        <v>1088431.1499999999</v>
      </c>
      <c r="D93" s="14">
        <f>SUM('ALPINE MEADOW:WOODLAND'!D91)</f>
        <v>88892.12</v>
      </c>
      <c r="E93" s="14">
        <f>SUM('ALPINE MEADOW:WOODLAND'!E91)</f>
        <v>0</v>
      </c>
      <c r="F93" s="14">
        <f>SUM('ALPINE MEADOW:WOODLAND'!F91)</f>
        <v>1177323.2699999998</v>
      </c>
      <c r="G93" s="14">
        <f>SUM('ALPINE MEADOW:WOODLAND'!G91)</f>
        <v>-20028.539999999994</v>
      </c>
      <c r="H93" s="14">
        <f>SUM('ALPINE MEADOW:WOODLAND'!H91)</f>
        <v>0</v>
      </c>
      <c r="I93" s="14">
        <f>SUM('ALPINE MEADOW:WOODLAND'!I91)</f>
        <v>1157294.7299999997</v>
      </c>
      <c r="J93" s="90">
        <f t="shared" si="8"/>
        <v>2.1820779120811395E-3</v>
      </c>
      <c r="L93" s="109">
        <f t="shared" si="7"/>
        <v>0.6231522775072933</v>
      </c>
      <c r="N93" s="88"/>
      <c r="O93" s="88"/>
      <c r="P93" s="88"/>
      <c r="Q93" s="110"/>
      <c r="R93" s="111"/>
      <c r="S93" s="123"/>
      <c r="T93" s="56"/>
    </row>
    <row r="94" spans="1:20" s="25" customFormat="1" ht="15.5">
      <c r="A94" s="32">
        <v>310</v>
      </c>
      <c r="B94" s="24" t="s">
        <v>46</v>
      </c>
      <c r="C94" s="14">
        <f>SUM('ALPINE MEADOW:WOODLAND'!C92)</f>
        <v>2176249.0099999998</v>
      </c>
      <c r="D94" s="14">
        <f>SUM('ALPINE MEADOW:WOODLAND'!D92)</f>
        <v>-3490</v>
      </c>
      <c r="E94" s="14">
        <f>SUM('ALPINE MEADOW:WOODLAND'!E92)</f>
        <v>0</v>
      </c>
      <c r="F94" s="14">
        <f>SUM('ALPINE MEADOW:WOODLAND'!F92)</f>
        <v>2172759.0099999998</v>
      </c>
      <c r="G94" s="14">
        <f>SUM('ALPINE MEADOW:WOODLAND'!G92)</f>
        <v>25323</v>
      </c>
      <c r="H94" s="14">
        <f>SUM('ALPINE MEADOW:WOODLAND'!H92)</f>
        <v>0</v>
      </c>
      <c r="I94" s="14">
        <f>SUM('ALPINE MEADOW:WOODLAND'!I92)</f>
        <v>2198082.0099999998</v>
      </c>
      <c r="J94" s="90">
        <f t="shared" si="8"/>
        <v>4.1444811581954717E-3</v>
      </c>
      <c r="L94" s="109">
        <f t="shared" si="7"/>
        <v>1.1835704208895077</v>
      </c>
      <c r="N94" s="88"/>
      <c r="O94" s="88"/>
      <c r="P94" s="88"/>
      <c r="Q94" s="110"/>
      <c r="R94" s="111"/>
      <c r="S94" s="123"/>
      <c r="T94" s="56"/>
    </row>
    <row r="95" spans="1:20" s="25" customFormat="1" ht="15.5">
      <c r="A95" s="32">
        <v>320</v>
      </c>
      <c r="B95" s="24" t="s">
        <v>251</v>
      </c>
      <c r="C95" s="14">
        <f>SUM('ALPINE MEADOW:WOODLAND'!C93)</f>
        <v>1572214.2799999998</v>
      </c>
      <c r="D95" s="14">
        <f>SUM('ALPINE MEADOW:WOODLAND'!D93)</f>
        <v>-169830</v>
      </c>
      <c r="E95" s="14">
        <f>SUM('ALPINE MEADOW:WOODLAND'!E93)</f>
        <v>8301.0373108675267</v>
      </c>
      <c r="F95" s="14">
        <f>SUM('ALPINE MEADOW:WOODLAND'!F93)</f>
        <v>1410685.3173108674</v>
      </c>
      <c r="G95" s="14">
        <f>SUM('ALPINE MEADOW:WOODLAND'!G93)</f>
        <v>-104996.94</v>
      </c>
      <c r="H95" s="14">
        <f>SUM('ALPINE MEADOW:WOODLAND'!H93)</f>
        <v>5535</v>
      </c>
      <c r="I95" s="14">
        <f>SUM('ALPINE MEADOW:WOODLAND'!I93)</f>
        <v>1311223.3773108674</v>
      </c>
      <c r="J95" s="90">
        <f t="shared" si="8"/>
        <v>2.4723102034988776E-3</v>
      </c>
      <c r="L95" s="109">
        <f t="shared" si="7"/>
        <v>0.70603607941087931</v>
      </c>
      <c r="N95" s="88"/>
      <c r="O95" s="88"/>
      <c r="P95" s="88"/>
      <c r="Q95" s="110"/>
      <c r="R95" s="111"/>
      <c r="S95" s="123"/>
      <c r="T95" s="56"/>
    </row>
    <row r="96" spans="1:20" s="25" customFormat="1" ht="15.5">
      <c r="A96" s="32">
        <v>330</v>
      </c>
      <c r="B96" s="24" t="s">
        <v>250</v>
      </c>
      <c r="C96" s="14">
        <f>SUM('ALPINE MEADOW:WOODLAND'!C94)</f>
        <v>770999.17999999982</v>
      </c>
      <c r="D96" s="14">
        <f>SUM('ALPINE MEADOW:WOODLAND'!D94)</f>
        <v>0</v>
      </c>
      <c r="E96" s="14">
        <f>SUM('ALPINE MEADOW:WOODLAND'!E94)</f>
        <v>0</v>
      </c>
      <c r="F96" s="14">
        <f>SUM('ALPINE MEADOW:WOODLAND'!F94)</f>
        <v>770999.17999999982</v>
      </c>
      <c r="G96" s="14">
        <f>SUM('ALPINE MEADOW:WOODLAND'!G94)</f>
        <v>-2229.0499999999997</v>
      </c>
      <c r="H96" s="14">
        <f>SUM('ALPINE MEADOW:WOODLAND'!H94)</f>
        <v>0</v>
      </c>
      <c r="I96" s="14">
        <f>SUM('ALPINE MEADOW:WOODLAND'!I94)</f>
        <v>768770.12999999989</v>
      </c>
      <c r="J96" s="90">
        <f t="shared" si="8"/>
        <v>1.4495152156622595E-3</v>
      </c>
      <c r="L96" s="109">
        <f t="shared" si="7"/>
        <v>0.41394888006539005</v>
      </c>
      <c r="N96" s="88"/>
      <c r="O96" s="88"/>
      <c r="P96" s="88"/>
      <c r="Q96" s="110"/>
      <c r="R96" s="111"/>
      <c r="S96" s="123"/>
      <c r="T96" s="56"/>
    </row>
    <row r="97" spans="1:20" s="25" customFormat="1" ht="15.5">
      <c r="A97" s="35">
        <v>340</v>
      </c>
      <c r="B97" s="24" t="s">
        <v>249</v>
      </c>
      <c r="C97" s="14">
        <f>SUM('ALPINE MEADOW:WOODLAND'!C95)</f>
        <v>346018.26</v>
      </c>
      <c r="D97" s="14">
        <f>SUM('ALPINE MEADOW:WOODLAND'!D95)</f>
        <v>3067</v>
      </c>
      <c r="E97" s="14">
        <f>SUM('ALPINE MEADOW:WOODLAND'!E95)</f>
        <v>0</v>
      </c>
      <c r="F97" s="14">
        <f>SUM('ALPINE MEADOW:WOODLAND'!F95)</f>
        <v>349085.26</v>
      </c>
      <c r="G97" s="14">
        <f>SUM('ALPINE MEADOW:WOODLAND'!G95)</f>
        <v>44141</v>
      </c>
      <c r="H97" s="14">
        <f>SUM('ALPINE MEADOW:WOODLAND'!H95)</f>
        <v>0</v>
      </c>
      <c r="I97" s="14">
        <f>SUM('ALPINE MEADOW:WOODLAND'!I95)</f>
        <v>393226.26</v>
      </c>
      <c r="J97" s="90">
        <f t="shared" si="8"/>
        <v>7.4142767106204275E-4</v>
      </c>
      <c r="L97" s="109">
        <f t="shared" si="7"/>
        <v>0.21173503442349134</v>
      </c>
      <c r="N97" s="88"/>
      <c r="O97" s="88"/>
      <c r="P97" s="88"/>
      <c r="Q97" s="110"/>
      <c r="R97" s="111"/>
      <c r="S97" s="123"/>
      <c r="T97" s="56"/>
    </row>
    <row r="98" spans="1:20" s="25" customFormat="1" ht="15.5">
      <c r="A98" s="35">
        <v>350</v>
      </c>
      <c r="B98" s="24" t="s">
        <v>41</v>
      </c>
      <c r="C98" s="14">
        <f>SUM('ALPINE MEADOW:WOODLAND'!C96)</f>
        <v>8597134.9699999988</v>
      </c>
      <c r="D98" s="14">
        <f>SUM('ALPINE MEADOW:WOODLAND'!D96)</f>
        <v>372</v>
      </c>
      <c r="E98" s="14">
        <f>SUM('ALPINE MEADOW:WOODLAND'!E96)</f>
        <v>2348.2549143819906</v>
      </c>
      <c r="F98" s="14">
        <f>SUM('ALPINE MEADOW:WOODLAND'!F96)</f>
        <v>8599855.2249143831</v>
      </c>
      <c r="G98" s="14">
        <f>SUM('ALPINE MEADOW:WOODLAND'!G96)</f>
        <v>-27017</v>
      </c>
      <c r="H98" s="14">
        <f>SUM('ALPINE MEADOW:WOODLAND'!H96)</f>
        <v>5320</v>
      </c>
      <c r="I98" s="14">
        <f>SUM('ALPINE MEADOW:WOODLAND'!I96)</f>
        <v>8578158.2249143831</v>
      </c>
      <c r="J98" s="90">
        <f t="shared" si="8"/>
        <v>1.617410768726376E-2</v>
      </c>
      <c r="L98" s="109">
        <f t="shared" si="7"/>
        <v>4.6189606641285916</v>
      </c>
      <c r="N98" s="88"/>
      <c r="O98" s="88"/>
      <c r="P98" s="88"/>
      <c r="Q98" s="110"/>
      <c r="R98" s="111"/>
      <c r="S98" s="123"/>
      <c r="T98" s="56"/>
    </row>
    <row r="99" spans="1:20" s="25" customFormat="1" ht="15.5">
      <c r="A99" s="35">
        <v>490</v>
      </c>
      <c r="B99" s="2" t="s">
        <v>252</v>
      </c>
      <c r="C99" s="14">
        <f>SUM('ALPINE MEADOW:WOODLAND'!C97)</f>
        <v>171320.71999999997</v>
      </c>
      <c r="D99" s="14">
        <f>SUM('ALPINE MEADOW:WOODLAND'!D97)</f>
        <v>-44223</v>
      </c>
      <c r="E99" s="14">
        <f>SUM('ALPINE MEADOW:WOODLAND'!E97)</f>
        <v>0</v>
      </c>
      <c r="F99" s="14">
        <f>SUM('ALPINE MEADOW:WOODLAND'!F97)</f>
        <v>127097.72000000002</v>
      </c>
      <c r="G99" s="14">
        <f>SUM('ALPINE MEADOW:WOODLAND'!G97)</f>
        <v>45795</v>
      </c>
      <c r="H99" s="14">
        <f>SUM('ALPINE MEADOW:WOODLAND'!H97)</f>
        <v>0</v>
      </c>
      <c r="I99" s="14">
        <f>SUM('ALPINE MEADOW:WOODLAND'!I97)</f>
        <v>172892.71999999997</v>
      </c>
      <c r="J99" s="90">
        <f t="shared" si="8"/>
        <v>3.2598902914871919E-4</v>
      </c>
      <c r="L99" s="109">
        <f t="shared" si="7"/>
        <v>9.3095120404143514E-2</v>
      </c>
      <c r="N99" s="88"/>
      <c r="O99" s="88"/>
      <c r="P99" s="88"/>
      <c r="Q99" s="110"/>
      <c r="R99" s="111"/>
      <c r="S99" s="123"/>
      <c r="T99" s="56"/>
    </row>
    <row r="100" spans="1:20" s="25" customFormat="1" ht="15.5">
      <c r="A100" s="35"/>
      <c r="B100" s="3" t="s">
        <v>269</v>
      </c>
      <c r="C100" s="14">
        <f>SUM('ALPINE MEADOW:WOODLAND'!C98)</f>
        <v>21474409.880000006</v>
      </c>
      <c r="D100" s="14">
        <f>SUM('ALPINE MEADOW:WOODLAND'!D98)</f>
        <v>229392.23801351551</v>
      </c>
      <c r="E100" s="14">
        <f>SUM('ALPINE MEADOW:WOODLAND'!E98)</f>
        <v>22901.292225249519</v>
      </c>
      <c r="F100" s="14">
        <f>SUM('ALPINE MEADOW:WOODLAND'!F98)</f>
        <v>21726703.410238769</v>
      </c>
      <c r="G100" s="14">
        <f>SUM('ALPINE MEADOW:WOODLAND'!G98)</f>
        <v>-76843.63</v>
      </c>
      <c r="H100" s="14">
        <f>SUM('ALPINE MEADOW:WOODLAND'!H98)</f>
        <v>21893</v>
      </c>
      <c r="I100" s="14">
        <f>SUM('ALPINE MEADOW:WOODLAND'!I98)</f>
        <v>21671752.780238766</v>
      </c>
      <c r="J100" s="90">
        <f t="shared" si="8"/>
        <v>4.0862065498079345E-2</v>
      </c>
      <c r="L100" s="109">
        <f t="shared" si="7"/>
        <v>11.669285059805642</v>
      </c>
      <c r="N100" s="88"/>
      <c r="O100" s="88"/>
      <c r="P100" s="88"/>
      <c r="Q100" s="110"/>
      <c r="R100" s="111"/>
      <c r="S100" s="123"/>
      <c r="T100" s="56"/>
    </row>
    <row r="101" spans="1:20" s="25" customFormat="1" ht="15.5">
      <c r="A101" s="35"/>
      <c r="C101" s="17"/>
      <c r="D101" s="17"/>
      <c r="E101" s="17"/>
      <c r="F101" s="17"/>
      <c r="G101" s="17"/>
      <c r="H101" s="17"/>
      <c r="I101" s="17"/>
      <c r="J101" s="92"/>
      <c r="L101" s="121"/>
      <c r="N101" s="91"/>
      <c r="O101" s="91"/>
      <c r="P101" s="91"/>
      <c r="Q101" s="91"/>
      <c r="R101" s="91"/>
      <c r="S101" s="124"/>
    </row>
    <row r="102" spans="1:20" s="25" customFormat="1" ht="15.5">
      <c r="A102" s="32" t="s">
        <v>156</v>
      </c>
      <c r="B102" s="24" t="s">
        <v>43</v>
      </c>
      <c r="C102" s="62"/>
      <c r="D102" s="62"/>
      <c r="E102" s="62"/>
      <c r="F102" s="62"/>
      <c r="G102" s="62"/>
      <c r="H102" s="63"/>
      <c r="I102" s="63"/>
      <c r="J102" s="92"/>
      <c r="L102" s="121"/>
      <c r="N102" s="91"/>
      <c r="O102" s="91"/>
      <c r="P102" s="91"/>
      <c r="Q102" s="91"/>
      <c r="R102" s="91"/>
      <c r="S102" s="124"/>
    </row>
    <row r="103" spans="1:20" s="25" customFormat="1" ht="15.5">
      <c r="A103" s="32" t="s">
        <v>77</v>
      </c>
      <c r="B103" s="24" t="s">
        <v>36</v>
      </c>
      <c r="C103" s="14">
        <f>SUM('ALPINE MEADOW:WOODLAND'!C101)</f>
        <v>15343693.969999995</v>
      </c>
      <c r="D103" s="14">
        <f>SUM('ALPINE MEADOW:WOODLAND'!D101)</f>
        <v>53197.927866936647</v>
      </c>
      <c r="E103" s="14">
        <f>SUM('ALPINE MEADOW:WOODLAND'!E101)</f>
        <v>0</v>
      </c>
      <c r="F103" s="14">
        <f>SUM('ALPINE MEADOW:WOODLAND'!F101)</f>
        <v>15396891.897866935</v>
      </c>
      <c r="G103" s="14">
        <f>SUM('ALPINE MEADOW:WOODLAND'!G101)</f>
        <v>105438</v>
      </c>
      <c r="H103" s="14">
        <f>SUM('ALPINE MEADOW:WOODLAND'!H101)</f>
        <v>0</v>
      </c>
      <c r="I103" s="14">
        <f>SUM('ALPINE MEADOW:WOODLAND'!I101)</f>
        <v>15502329.897866935</v>
      </c>
      <c r="J103" s="90">
        <f t="shared" ref="J103:J109" si="9">IF($I$215=0,0,I103/$I$215)</f>
        <v>2.9229625590648387E-2</v>
      </c>
      <c r="L103" s="109">
        <f t="shared" ref="L103:L109" si="10">IF(I103=0,0,I103/$I$235)</f>
        <v>8.3473223649132038</v>
      </c>
      <c r="M103" s="25">
        <v>10822.02</v>
      </c>
      <c r="N103" s="116">
        <f>SUM('ALPINE MEADOW:WOODLAND'!L101)</f>
        <v>1160243.0833522805</v>
      </c>
      <c r="O103" s="116">
        <f>SUM('ALPINE MEADOW:WOODLAND'!M101)</f>
        <v>1226398.8274288548</v>
      </c>
      <c r="P103" s="117"/>
      <c r="Q103" s="118">
        <f>IF(N103=0,0,I103/O103)</f>
        <v>12.640528962643883</v>
      </c>
      <c r="R103" s="57"/>
      <c r="S103" s="119">
        <f>O103/$I$235</f>
        <v>0.66036179257859828</v>
      </c>
      <c r="T103" s="56"/>
    </row>
    <row r="104" spans="1:20" s="25" customFormat="1" ht="15.5">
      <c r="A104" s="32" t="s">
        <v>78</v>
      </c>
      <c r="B104" s="24" t="s">
        <v>37</v>
      </c>
      <c r="C104" s="14">
        <f>SUM('ALPINE MEADOW:WOODLAND'!C102)</f>
        <v>1947995.3499999996</v>
      </c>
      <c r="D104" s="14">
        <f>SUM('ALPINE MEADOW:WOODLAND'!D102)</f>
        <v>956918.94350875367</v>
      </c>
      <c r="E104" s="14">
        <f>SUM('ALPINE MEADOW:WOODLAND'!E102)</f>
        <v>0</v>
      </c>
      <c r="F104" s="14">
        <f>SUM('ALPINE MEADOW:WOODLAND'!F102)</f>
        <v>2904914.2935087527</v>
      </c>
      <c r="G104" s="14">
        <f>SUM('ALPINE MEADOW:WOODLAND'!G102)</f>
        <v>-5990.5600000000013</v>
      </c>
      <c r="H104" s="14">
        <f>SUM('ALPINE MEADOW:WOODLAND'!H102)</f>
        <v>0</v>
      </c>
      <c r="I104" s="14">
        <f>SUM('ALPINE MEADOW:WOODLAND'!I102)</f>
        <v>2898923.7335087531</v>
      </c>
      <c r="J104" s="90">
        <f t="shared" si="9"/>
        <v>5.4659174398013922E-3</v>
      </c>
      <c r="L104" s="109">
        <f t="shared" si="10"/>
        <v>1.5609428437092472</v>
      </c>
      <c r="N104" s="88"/>
      <c r="O104" s="88"/>
      <c r="P104" s="88"/>
      <c r="Q104" s="110"/>
      <c r="R104" s="111"/>
      <c r="S104" s="123"/>
      <c r="T104" s="56"/>
    </row>
    <row r="105" spans="1:20" s="25" customFormat="1" ht="15.5">
      <c r="A105" s="32">
        <v>310</v>
      </c>
      <c r="B105" s="24" t="s">
        <v>46</v>
      </c>
      <c r="C105" s="14">
        <f>SUM('ALPINE MEADOW:WOODLAND'!C103)</f>
        <v>6073579.4999999991</v>
      </c>
      <c r="D105" s="14">
        <f>SUM('ALPINE MEADOW:WOODLAND'!D103)</f>
        <v>-8809</v>
      </c>
      <c r="E105" s="14">
        <f>SUM('ALPINE MEADOW:WOODLAND'!E103)</f>
        <v>0</v>
      </c>
      <c r="F105" s="14">
        <f>SUM('ALPINE MEADOW:WOODLAND'!F103)</f>
        <v>6064770.4999999991</v>
      </c>
      <c r="G105" s="14">
        <f>SUM('ALPINE MEADOW:WOODLAND'!G103)</f>
        <v>-1433</v>
      </c>
      <c r="H105" s="14">
        <f>SUM('ALPINE MEADOW:WOODLAND'!H103)</f>
        <v>0</v>
      </c>
      <c r="I105" s="14">
        <f>SUM('ALPINE MEADOW:WOODLAND'!I103)</f>
        <v>6063337.4999999991</v>
      </c>
      <c r="J105" s="90">
        <f t="shared" si="9"/>
        <v>1.143241603825784E-2</v>
      </c>
      <c r="L105" s="109">
        <f t="shared" si="10"/>
        <v>3.2648403854914108</v>
      </c>
      <c r="N105" s="88"/>
      <c r="O105" s="88"/>
      <c r="P105" s="88"/>
      <c r="Q105" s="110"/>
      <c r="R105" s="111"/>
      <c r="S105" s="123"/>
      <c r="T105" s="56"/>
    </row>
    <row r="106" spans="1:20" s="25" customFormat="1" ht="15.5">
      <c r="A106" s="32">
        <v>380</v>
      </c>
      <c r="B106" s="24" t="s">
        <v>44</v>
      </c>
      <c r="C106" s="14">
        <f>SUM('ALPINE MEADOW:WOODLAND'!C104)</f>
        <v>12640257.570000002</v>
      </c>
      <c r="D106" s="14">
        <f>SUM('ALPINE MEADOW:WOODLAND'!D104)</f>
        <v>-59285.070000000007</v>
      </c>
      <c r="E106" s="14">
        <f>SUM('ALPINE MEADOW:WOODLAND'!E104)</f>
        <v>90</v>
      </c>
      <c r="F106" s="14">
        <f>SUM('ALPINE MEADOW:WOODLAND'!F104)</f>
        <v>12581062.500000002</v>
      </c>
      <c r="G106" s="14">
        <f>SUM('ALPINE MEADOW:WOODLAND'!G104)</f>
        <v>-98107</v>
      </c>
      <c r="H106" s="14">
        <f>SUM('ALPINE MEADOW:WOODLAND'!H104)</f>
        <v>0</v>
      </c>
      <c r="I106" s="14">
        <f>SUM('ALPINE MEADOW:WOODLAND'!I104)</f>
        <v>12482955.500000002</v>
      </c>
      <c r="J106" s="90">
        <f t="shared" si="9"/>
        <v>2.3536598558641833E-2</v>
      </c>
      <c r="L106" s="109">
        <f t="shared" si="10"/>
        <v>6.7215221396948683</v>
      </c>
      <c r="N106" s="88"/>
      <c r="O106" s="88"/>
      <c r="P106" s="88"/>
      <c r="Q106" s="110"/>
      <c r="R106" s="111"/>
      <c r="S106" s="123"/>
      <c r="T106" s="56"/>
    </row>
    <row r="107" spans="1:20" s="25" customFormat="1" ht="15.5">
      <c r="A107" s="32">
        <v>390</v>
      </c>
      <c r="B107" s="24" t="s">
        <v>45</v>
      </c>
      <c r="C107" s="14">
        <f>SUM('ALPINE MEADOW:WOODLAND'!C105)</f>
        <v>1252594.8399999996</v>
      </c>
      <c r="D107" s="14">
        <f>SUM('ALPINE MEADOW:WOODLAND'!D105)</f>
        <v>21276.77</v>
      </c>
      <c r="E107" s="14">
        <f>SUM('ALPINE MEADOW:WOODLAND'!E105)</f>
        <v>0</v>
      </c>
      <c r="F107" s="14">
        <f>SUM('ALPINE MEADOW:WOODLAND'!F105)</f>
        <v>1273871.6099999996</v>
      </c>
      <c r="G107" s="14">
        <f>SUM('ALPINE MEADOW:WOODLAND'!G105)</f>
        <v>-17571</v>
      </c>
      <c r="H107" s="14">
        <f>SUM('ALPINE MEADOW:WOODLAND'!H105)</f>
        <v>0</v>
      </c>
      <c r="I107" s="14">
        <f>SUM('ALPINE MEADOW:WOODLAND'!I105)</f>
        <v>1256300.6099999996</v>
      </c>
      <c r="J107" s="90">
        <f t="shared" si="9"/>
        <v>2.3687533874927969E-3</v>
      </c>
      <c r="L107" s="109">
        <f t="shared" si="10"/>
        <v>0.67646258646257007</v>
      </c>
      <c r="N107" s="88"/>
      <c r="O107" s="88"/>
      <c r="P107" s="88"/>
      <c r="Q107" s="110"/>
      <c r="R107" s="111"/>
      <c r="S107" s="123"/>
      <c r="T107" s="56"/>
    </row>
    <row r="108" spans="1:20" s="25" customFormat="1" ht="15.5">
      <c r="A108" s="32">
        <v>490</v>
      </c>
      <c r="B108" s="2" t="s">
        <v>247</v>
      </c>
      <c r="C108" s="14">
        <f>SUM('ALPINE MEADOW:WOODLAND'!C106)</f>
        <v>116285.81999999999</v>
      </c>
      <c r="D108" s="14">
        <f>SUM('ALPINE MEADOW:WOODLAND'!D106)</f>
        <v>-78472</v>
      </c>
      <c r="E108" s="14">
        <f>SUM('ALPINE MEADOW:WOODLAND'!E106)</f>
        <v>0</v>
      </c>
      <c r="F108" s="14">
        <f>SUM('ALPINE MEADOW:WOODLAND'!F106)</f>
        <v>37813.820000000007</v>
      </c>
      <c r="G108" s="14">
        <f>SUM('ALPINE MEADOW:WOODLAND'!G106)</f>
        <v>73274</v>
      </c>
      <c r="H108" s="14">
        <f>SUM('ALPINE MEADOW:WOODLAND'!H106)</f>
        <v>0</v>
      </c>
      <c r="I108" s="14">
        <f>SUM('ALPINE MEADOW:WOODLAND'!I106)</f>
        <v>111087.81999999999</v>
      </c>
      <c r="J108" s="90">
        <f t="shared" si="9"/>
        <v>2.0945595969597606E-4</v>
      </c>
      <c r="L108" s="109">
        <f t="shared" si="10"/>
        <v>5.9815901897626589E-2</v>
      </c>
      <c r="N108" s="88"/>
      <c r="O108" s="88"/>
      <c r="P108" s="88"/>
      <c r="Q108" s="110"/>
      <c r="R108" s="111"/>
      <c r="S108" s="123"/>
      <c r="T108" s="56"/>
    </row>
    <row r="109" spans="1:20" s="25" customFormat="1" ht="15.5">
      <c r="A109" s="32"/>
      <c r="B109" s="3" t="s">
        <v>47</v>
      </c>
      <c r="C109" s="14">
        <f>SUM('ALPINE MEADOW:WOODLAND'!C107)</f>
        <v>37374407.050000004</v>
      </c>
      <c r="D109" s="14">
        <f>SUM('ALPINE MEADOW:WOODLAND'!D107)</f>
        <v>884827.57137569028</v>
      </c>
      <c r="E109" s="14">
        <f>SUM('ALPINE MEADOW:WOODLAND'!E107)</f>
        <v>90</v>
      </c>
      <c r="F109" s="14">
        <f>SUM('ALPINE MEADOW:WOODLAND'!F107)</f>
        <v>38259324.621375695</v>
      </c>
      <c r="G109" s="14">
        <f>SUM('ALPINE MEADOW:WOODLAND'!G107)</f>
        <v>55610.44</v>
      </c>
      <c r="H109" s="14">
        <f>SUM('ALPINE MEADOW:WOODLAND'!H107)</f>
        <v>0</v>
      </c>
      <c r="I109" s="14">
        <f>SUM('ALPINE MEADOW:WOODLAND'!I107)</f>
        <v>38314935.061375692</v>
      </c>
      <c r="J109" s="90">
        <f t="shared" si="9"/>
        <v>7.2242766974538228E-2</v>
      </c>
      <c r="L109" s="109">
        <f t="shared" si="10"/>
        <v>20.630906222168928</v>
      </c>
      <c r="N109" s="88"/>
      <c r="O109" s="88"/>
      <c r="P109" s="88"/>
      <c r="Q109" s="110"/>
      <c r="R109" s="111"/>
      <c r="S109" s="123"/>
      <c r="T109" s="56"/>
    </row>
    <row r="110" spans="1:20" s="25" customFormat="1" ht="15.5">
      <c r="A110" s="35"/>
      <c r="C110" s="17"/>
      <c r="D110" s="17"/>
      <c r="E110" s="17"/>
      <c r="F110" s="17"/>
      <c r="G110" s="17"/>
      <c r="H110" s="17"/>
      <c r="I110" s="17"/>
      <c r="J110" s="92"/>
      <c r="L110" s="121"/>
      <c r="N110" s="91"/>
      <c r="O110" s="91"/>
      <c r="P110" s="91"/>
      <c r="Q110" s="91"/>
      <c r="R110" s="91"/>
      <c r="S110" s="124"/>
    </row>
    <row r="111" spans="1:20" s="25" customFormat="1" ht="15.5">
      <c r="A111" s="32" t="s">
        <v>157</v>
      </c>
      <c r="B111" s="24" t="s">
        <v>48</v>
      </c>
      <c r="C111" s="62"/>
      <c r="D111" s="62"/>
      <c r="E111" s="62"/>
      <c r="F111" s="62"/>
      <c r="G111" s="62"/>
      <c r="H111" s="63"/>
      <c r="I111" s="63"/>
      <c r="J111" s="92"/>
      <c r="L111" s="121"/>
      <c r="N111" s="91"/>
      <c r="O111" s="91"/>
      <c r="P111" s="91"/>
      <c r="Q111" s="91"/>
      <c r="R111" s="91"/>
      <c r="S111" s="124"/>
    </row>
    <row r="112" spans="1:20" s="25" customFormat="1" ht="15.5">
      <c r="A112" s="32" t="s">
        <v>77</v>
      </c>
      <c r="B112" s="24" t="s">
        <v>36</v>
      </c>
      <c r="C112" s="14">
        <f>SUM('ALPINE MEADOW:WOODLAND'!C110)</f>
        <v>1921243.0399999998</v>
      </c>
      <c r="D112" s="14">
        <f>SUM('ALPINE MEADOW:WOODLAND'!D110)</f>
        <v>-445.87713849963893</v>
      </c>
      <c r="E112" s="14">
        <f>SUM('ALPINE MEADOW:WOODLAND'!E110)</f>
        <v>0</v>
      </c>
      <c r="F112" s="14">
        <f>SUM('ALPINE MEADOW:WOODLAND'!F110)</f>
        <v>1920797.1628615002</v>
      </c>
      <c r="G112" s="14">
        <f>SUM('ALPINE MEADOW:WOODLAND'!G110)</f>
        <v>14444</v>
      </c>
      <c r="H112" s="14">
        <f>SUM('ALPINE MEADOW:WOODLAND'!H110)</f>
        <v>0</v>
      </c>
      <c r="I112" s="14">
        <f>SUM('ALPINE MEADOW:WOODLAND'!I110)</f>
        <v>1935241.1628615002</v>
      </c>
      <c r="J112" s="90">
        <f t="shared" ref="J112:J118" si="11">IF($I$215=0,0,I112/$I$215)</f>
        <v>3.648895036470355E-3</v>
      </c>
      <c r="L112" s="109">
        <f t="shared" ref="L112:L118" si="12">IF(I112=0,0,I112/$I$235)</f>
        <v>1.0420421927982051</v>
      </c>
      <c r="M112" s="25">
        <v>2573.69</v>
      </c>
      <c r="N112" s="116">
        <f>SUM('ALPINE MEADOW:WOODLAND'!L110 )</f>
        <v>169694.20472492083</v>
      </c>
      <c r="O112" s="116">
        <f>SUM('ALPINE MEADOW:WOODLAND'!M110 )</f>
        <v>181030.70409423107</v>
      </c>
      <c r="P112" s="117"/>
      <c r="Q112" s="118">
        <f>IF(N112=0,0,I112/O112)</f>
        <v>10.69012669725992</v>
      </c>
      <c r="R112" s="57"/>
      <c r="S112" s="119">
        <f>O112/$I$235</f>
        <v>9.7477066671744883E-2</v>
      </c>
      <c r="T112" s="56"/>
    </row>
    <row r="113" spans="1:20" s="25" customFormat="1" ht="15.5">
      <c r="A113" s="32" t="s">
        <v>78</v>
      </c>
      <c r="B113" s="24" t="s">
        <v>37</v>
      </c>
      <c r="C113" s="14">
        <f>SUM('ALPINE MEADOW:WOODLAND'!C111)</f>
        <v>264745.25999999995</v>
      </c>
      <c r="D113" s="14">
        <f>SUM('ALPINE MEADOW:WOODLAND'!D111)</f>
        <v>110543.81679985533</v>
      </c>
      <c r="E113" s="14">
        <f>SUM('ALPINE MEADOW:WOODLAND'!E111)</f>
        <v>0</v>
      </c>
      <c r="F113" s="14">
        <f>SUM('ALPINE MEADOW:WOODLAND'!F111)</f>
        <v>375289.07679985533</v>
      </c>
      <c r="G113" s="14">
        <f>SUM('ALPINE MEADOW:WOODLAND'!G111)</f>
        <v>-2390.17</v>
      </c>
      <c r="H113" s="14">
        <f>SUM('ALPINE MEADOW:WOODLAND'!H111)</f>
        <v>0</v>
      </c>
      <c r="I113" s="14">
        <f>SUM('ALPINE MEADOW:WOODLAND'!I111)</f>
        <v>372898.90679985535</v>
      </c>
      <c r="J113" s="90">
        <f t="shared" si="11"/>
        <v>7.0310046946050466E-4</v>
      </c>
      <c r="L113" s="109">
        <f t="shared" si="12"/>
        <v>0.20078964936815169</v>
      </c>
      <c r="N113" s="88"/>
      <c r="O113" s="88"/>
      <c r="P113" s="88"/>
      <c r="Q113" s="110"/>
      <c r="R113" s="111"/>
      <c r="S113" s="123"/>
      <c r="T113" s="56"/>
    </row>
    <row r="114" spans="1:20" s="25" customFormat="1" ht="15.5">
      <c r="A114" s="32">
        <v>110</v>
      </c>
      <c r="B114" s="24" t="s">
        <v>39</v>
      </c>
      <c r="C114" s="14">
        <f>SUM('ALPINE MEADOW:WOODLAND'!C112)</f>
        <v>421224.41000000003</v>
      </c>
      <c r="D114" s="14">
        <f>SUM('ALPINE MEADOW:WOODLAND'!D112)</f>
        <v>1469.32</v>
      </c>
      <c r="E114" s="14">
        <f>SUM('ALPINE MEADOW:WOODLAND'!E112)</f>
        <v>0</v>
      </c>
      <c r="F114" s="14">
        <f>SUM('ALPINE MEADOW:WOODLAND'!F112)</f>
        <v>422693.73000000004</v>
      </c>
      <c r="G114" s="14">
        <f>SUM('ALPINE MEADOW:WOODLAND'!G112)</f>
        <v>-17021</v>
      </c>
      <c r="H114" s="14">
        <f>SUM('ALPINE MEADOW:WOODLAND'!H112)</f>
        <v>0</v>
      </c>
      <c r="I114" s="14">
        <f>SUM('ALPINE MEADOW:WOODLAND'!I112)</f>
        <v>405672.73000000004</v>
      </c>
      <c r="J114" s="90">
        <f t="shared" si="11"/>
        <v>7.6489547625146115E-4</v>
      </c>
      <c r="L114" s="109">
        <f t="shared" si="12"/>
        <v>0.2184369107272279</v>
      </c>
      <c r="N114" s="88"/>
      <c r="O114" s="88"/>
      <c r="P114" s="88"/>
      <c r="Q114" s="110"/>
      <c r="R114" s="111"/>
      <c r="S114" s="123"/>
      <c r="T114" s="56"/>
    </row>
    <row r="115" spans="1:20" s="25" customFormat="1" ht="15.5">
      <c r="A115" s="32">
        <v>310</v>
      </c>
      <c r="B115" s="24" t="s">
        <v>46</v>
      </c>
      <c r="C115" s="14">
        <f>SUM('ALPINE MEADOW:WOODLAND'!C113)</f>
        <v>1199112.06</v>
      </c>
      <c r="D115" s="14">
        <f>SUM('ALPINE MEADOW:WOODLAND'!D113)</f>
        <v>0</v>
      </c>
      <c r="E115" s="14">
        <f>SUM('ALPINE MEADOW:WOODLAND'!E113)</f>
        <v>0</v>
      </c>
      <c r="F115" s="14">
        <f>SUM('ALPINE MEADOW:WOODLAND'!F113)</f>
        <v>1199112.06</v>
      </c>
      <c r="G115" s="14">
        <f>SUM('ALPINE MEADOW:WOODLAND'!G113)</f>
        <v>0</v>
      </c>
      <c r="H115" s="14">
        <f>SUM('ALPINE MEADOW:WOODLAND'!H113)</f>
        <v>0</v>
      </c>
      <c r="I115" s="14">
        <f>SUM('ALPINE MEADOW:WOODLAND'!I113)</f>
        <v>1199112.06</v>
      </c>
      <c r="J115" s="90">
        <f t="shared" si="11"/>
        <v>2.2609244407741447E-3</v>
      </c>
      <c r="L115" s="109">
        <f t="shared" si="12"/>
        <v>0.64566906925728618</v>
      </c>
      <c r="N115" s="88"/>
      <c r="O115" s="88"/>
      <c r="P115" s="88"/>
      <c r="Q115" s="110"/>
      <c r="R115" s="111"/>
      <c r="S115" s="123"/>
      <c r="T115" s="56"/>
    </row>
    <row r="116" spans="1:20" s="25" customFormat="1" ht="15.5">
      <c r="A116" s="32">
        <v>410</v>
      </c>
      <c r="B116" s="24" t="s">
        <v>49</v>
      </c>
      <c r="C116" s="14">
        <f>SUM('ALPINE MEADOW:WOODLAND'!C114)</f>
        <v>339902.62999999989</v>
      </c>
      <c r="D116" s="14">
        <f>SUM('ALPINE MEADOW:WOODLAND'!D114)</f>
        <v>0</v>
      </c>
      <c r="E116" s="14">
        <f>SUM('ALPINE MEADOW:WOODLAND'!E114)</f>
        <v>10.485400021797268</v>
      </c>
      <c r="F116" s="14">
        <f>SUM('ALPINE MEADOW:WOODLAND'!F114)</f>
        <v>339913.11540002172</v>
      </c>
      <c r="G116" s="14">
        <f>SUM('ALPINE MEADOW:WOODLAND'!G114)</f>
        <v>0</v>
      </c>
      <c r="H116" s="14">
        <f>SUM('ALPINE MEADOW:WOODLAND'!H114)</f>
        <v>0</v>
      </c>
      <c r="I116" s="14">
        <f>SUM('ALPINE MEADOW:WOODLAND'!I114)</f>
        <v>339913.11540002172</v>
      </c>
      <c r="J116" s="90">
        <f t="shared" si="11"/>
        <v>6.4090579686738489E-4</v>
      </c>
      <c r="L116" s="109">
        <f t="shared" si="12"/>
        <v>0.18302825246264015</v>
      </c>
      <c r="N116" s="88"/>
      <c r="O116" s="88"/>
      <c r="P116" s="88"/>
      <c r="Q116" s="110"/>
      <c r="R116" s="111"/>
      <c r="S116" s="123"/>
      <c r="T116" s="56"/>
    </row>
    <row r="117" spans="1:20" s="25" customFormat="1" ht="15.5">
      <c r="A117" s="32">
        <v>490</v>
      </c>
      <c r="B117" s="2" t="s">
        <v>247</v>
      </c>
      <c r="C117" s="14">
        <f>SUM('ALPINE MEADOW:WOODLAND'!C115)</f>
        <v>13761.87</v>
      </c>
      <c r="D117" s="14">
        <f>SUM('ALPINE MEADOW:WOODLAND'!D115)</f>
        <v>0</v>
      </c>
      <c r="E117" s="14">
        <f>SUM('ALPINE MEADOW:WOODLAND'!E115)</f>
        <v>0</v>
      </c>
      <c r="F117" s="14">
        <f>SUM('ALPINE MEADOW:WOODLAND'!F115)</f>
        <v>13761.87</v>
      </c>
      <c r="G117" s="14">
        <f>SUM('ALPINE MEADOW:WOODLAND'!G115)</f>
        <v>-2520</v>
      </c>
      <c r="H117" s="14">
        <f>SUM('ALPINE MEADOW:WOODLAND'!H115)</f>
        <v>0</v>
      </c>
      <c r="I117" s="14">
        <f>SUM('ALPINE MEADOW:WOODLAND'!I115)</f>
        <v>11241.87</v>
      </c>
      <c r="J117" s="90">
        <f t="shared" si="11"/>
        <v>2.1196533243945221E-5</v>
      </c>
      <c r="L117" s="109">
        <f t="shared" si="12"/>
        <v>6.0532522203232677E-3</v>
      </c>
      <c r="N117" s="88"/>
      <c r="O117" s="88"/>
      <c r="P117" s="88"/>
      <c r="Q117" s="110"/>
      <c r="R117" s="111"/>
      <c r="S117" s="123"/>
      <c r="T117" s="56"/>
    </row>
    <row r="118" spans="1:20" s="25" customFormat="1" ht="15.5">
      <c r="A118" s="35"/>
      <c r="B118" s="3" t="s">
        <v>50</v>
      </c>
      <c r="C118" s="14">
        <f>SUM('ALPINE MEADOW:WOODLAND'!C116)</f>
        <v>4159989.2700000005</v>
      </c>
      <c r="D118" s="14">
        <f>SUM('ALPINE MEADOW:WOODLAND'!D116)</f>
        <v>111567.2596613557</v>
      </c>
      <c r="E118" s="14">
        <f>SUM('ALPINE MEADOW:WOODLAND'!E116)</f>
        <v>10.485400021797268</v>
      </c>
      <c r="F118" s="14">
        <f>SUM('ALPINE MEADOW:WOODLAND'!F116)</f>
        <v>4271567.0150613785</v>
      </c>
      <c r="G118" s="14">
        <f>SUM('ALPINE MEADOW:WOODLAND'!G116)</f>
        <v>-7487.17</v>
      </c>
      <c r="H118" s="14">
        <f>SUM('ALPINE MEADOW:WOODLAND'!H116)</f>
        <v>0</v>
      </c>
      <c r="I118" s="14">
        <f>SUM('ALPINE MEADOW:WOODLAND'!I116)</f>
        <v>4264079.8450613786</v>
      </c>
      <c r="J118" s="90">
        <f t="shared" si="11"/>
        <v>8.0399177530677979E-3</v>
      </c>
      <c r="L118" s="109">
        <f t="shared" si="12"/>
        <v>2.2960193268338349</v>
      </c>
      <c r="N118" s="88"/>
      <c r="O118" s="88"/>
      <c r="P118" s="88"/>
      <c r="Q118" s="110"/>
      <c r="R118" s="111"/>
      <c r="S118" s="123"/>
      <c r="T118" s="56"/>
    </row>
    <row r="119" spans="1:20" s="25" customFormat="1" ht="15.5">
      <c r="A119" s="35"/>
      <c r="C119" s="17"/>
      <c r="D119" s="17"/>
      <c r="E119" s="17"/>
      <c r="F119" s="17"/>
      <c r="G119" s="17"/>
      <c r="H119" s="17"/>
      <c r="I119" s="17"/>
      <c r="J119" s="92"/>
      <c r="L119" s="121"/>
      <c r="N119" s="91"/>
      <c r="O119" s="91"/>
      <c r="P119" s="91"/>
      <c r="Q119" s="91"/>
      <c r="R119" s="91"/>
      <c r="S119" s="124"/>
    </row>
    <row r="120" spans="1:20" s="25" customFormat="1" ht="15.5">
      <c r="A120" s="32" t="s">
        <v>158</v>
      </c>
      <c r="B120" s="24" t="s">
        <v>51</v>
      </c>
      <c r="C120" s="62"/>
      <c r="D120" s="62"/>
      <c r="E120" s="62"/>
      <c r="F120" s="62"/>
      <c r="G120" s="62"/>
      <c r="H120" s="63"/>
      <c r="I120" s="63"/>
      <c r="J120" s="92"/>
      <c r="L120" s="121"/>
      <c r="N120" s="91"/>
      <c r="O120" s="91"/>
      <c r="P120" s="91"/>
      <c r="Q120" s="91"/>
      <c r="R120" s="91"/>
      <c r="S120" s="124"/>
    </row>
    <row r="121" spans="1:20" s="25" customFormat="1" ht="15.5">
      <c r="A121" s="32" t="s">
        <v>77</v>
      </c>
      <c r="B121" s="24" t="s">
        <v>36</v>
      </c>
      <c r="C121" s="14">
        <f>SUM('ALPINE MEADOW:WOODLAND'!C119)</f>
        <v>6627819.9800000004</v>
      </c>
      <c r="D121" s="14">
        <f>SUM('ALPINE MEADOW:WOODLAND'!D119)</f>
        <v>293658.07294606348</v>
      </c>
      <c r="E121" s="14">
        <f>SUM('ALPINE MEADOW:WOODLAND'!E119)</f>
        <v>0</v>
      </c>
      <c r="F121" s="14">
        <f>SUM('ALPINE MEADOW:WOODLAND'!F119)</f>
        <v>6921478.0529460628</v>
      </c>
      <c r="G121" s="14">
        <f>SUM('ALPINE MEADOW:WOODLAND'!G119)</f>
        <v>-176879</v>
      </c>
      <c r="H121" s="14">
        <f>SUM('ALPINE MEADOW:WOODLAND'!H119)</f>
        <v>0</v>
      </c>
      <c r="I121" s="14">
        <f>SUM('ALPINE MEADOW:WOODLAND'!I119)</f>
        <v>6744599.0529460628</v>
      </c>
      <c r="J121" s="90">
        <f t="shared" ref="J121:J126" si="13">IF($I$215=0,0,I121/$I$215)</f>
        <v>1.2716933930284967E-2</v>
      </c>
      <c r="L121" s="109">
        <f t="shared" ref="L121:L126" si="14">IF(I121=0,0,I121/$I$235)</f>
        <v>3.6316697482212446</v>
      </c>
      <c r="M121" s="25">
        <v>5281.71</v>
      </c>
      <c r="N121" s="116">
        <f>SUM('ALPINE MEADOW:WOODLAND'!L119)</f>
        <v>600879.91050631239</v>
      </c>
      <c r="O121" s="116">
        <f>SUM('ALPINE MEADOW:WOODLAND'!M119)</f>
        <v>640117.49711227207</v>
      </c>
      <c r="P121" s="117"/>
      <c r="Q121" s="118">
        <f>IF(N121=0,0,I121/O121)</f>
        <v>10.536501631923221</v>
      </c>
      <c r="R121" s="57"/>
      <c r="S121" s="119">
        <f>O121/$I$235</f>
        <v>0.34467509948635178</v>
      </c>
      <c r="T121" s="56"/>
    </row>
    <row r="122" spans="1:20" s="25" customFormat="1" ht="15.5">
      <c r="A122" s="32" t="s">
        <v>78</v>
      </c>
      <c r="B122" s="24" t="s">
        <v>143</v>
      </c>
      <c r="C122" s="14">
        <f>SUM('ALPINE MEADOW:WOODLAND'!C120)</f>
        <v>893928.11</v>
      </c>
      <c r="D122" s="14">
        <f>SUM('ALPINE MEADOW:WOODLAND'!D120)</f>
        <v>529622.95829287032</v>
      </c>
      <c r="E122" s="14">
        <f>SUM('ALPINE MEADOW:WOODLAND'!E120)</f>
        <v>0</v>
      </c>
      <c r="F122" s="14">
        <f>SUM('ALPINE MEADOW:WOODLAND'!F120)</f>
        <v>1423551.0682928702</v>
      </c>
      <c r="G122" s="14">
        <f>SUM('ALPINE MEADOW:WOODLAND'!G120)</f>
        <v>-55947.58</v>
      </c>
      <c r="H122" s="14">
        <f>SUM('ALPINE MEADOW:WOODLAND'!H120)</f>
        <v>0</v>
      </c>
      <c r="I122" s="14">
        <f>SUM('ALPINE MEADOW:WOODLAND'!I120)</f>
        <v>1367603.4882928703</v>
      </c>
      <c r="J122" s="90">
        <f t="shared" si="13"/>
        <v>2.5786148393581558E-3</v>
      </c>
      <c r="L122" s="109">
        <f t="shared" si="14"/>
        <v>0.73639428778580995</v>
      </c>
      <c r="N122" s="88"/>
      <c r="O122" s="88"/>
      <c r="P122" s="88"/>
      <c r="Q122" s="110"/>
      <c r="R122" s="111"/>
      <c r="S122" s="110"/>
      <c r="T122" s="56"/>
    </row>
    <row r="123" spans="1:20" s="25" customFormat="1" ht="15.5">
      <c r="A123" s="32" t="s">
        <v>85</v>
      </c>
      <c r="B123" s="24" t="s">
        <v>39</v>
      </c>
      <c r="C123" s="14">
        <f>SUM('ALPINE MEADOW:WOODLAND'!C121)</f>
        <v>1738168.6800000002</v>
      </c>
      <c r="D123" s="14">
        <f>SUM('ALPINE MEADOW:WOODLAND'!D121)</f>
        <v>-150.17000000000002</v>
      </c>
      <c r="E123" s="14">
        <f>SUM('ALPINE MEADOW:WOODLAND'!E121)</f>
        <v>398.96111702618191</v>
      </c>
      <c r="F123" s="14">
        <f>SUM('ALPINE MEADOW:WOODLAND'!F121)</f>
        <v>1738417.4711170262</v>
      </c>
      <c r="G123" s="14">
        <f>SUM('ALPINE MEADOW:WOODLAND'!G121)</f>
        <v>-1539</v>
      </c>
      <c r="H123" s="14">
        <f>SUM('ALPINE MEADOW:WOODLAND'!H121)</f>
        <v>0</v>
      </c>
      <c r="I123" s="14">
        <f>SUM('ALPINE MEADOW:WOODLAND'!I121)</f>
        <v>1736878.4711170262</v>
      </c>
      <c r="J123" s="90">
        <f t="shared" si="13"/>
        <v>3.2748824042374437E-3</v>
      </c>
      <c r="L123" s="109">
        <f t="shared" si="14"/>
        <v>0.93523261358838172</v>
      </c>
      <c r="N123" s="88"/>
      <c r="O123" s="88"/>
      <c r="P123" s="88"/>
      <c r="Q123" s="110"/>
      <c r="R123" s="111"/>
      <c r="S123" s="110"/>
      <c r="T123" s="56"/>
    </row>
    <row r="124" spans="1:20" s="25" customFormat="1" ht="15.5">
      <c r="A124" s="32">
        <v>310</v>
      </c>
      <c r="B124" s="24" t="s">
        <v>52</v>
      </c>
      <c r="C124" s="14">
        <f>SUM('ALPINE MEADOW:WOODLAND'!C122)</f>
        <v>2044096.47</v>
      </c>
      <c r="D124" s="14">
        <f>SUM('ALPINE MEADOW:WOODLAND'!D122)</f>
        <v>0</v>
      </c>
      <c r="E124" s="14">
        <f>SUM('ALPINE MEADOW:WOODLAND'!E122)</f>
        <v>0</v>
      </c>
      <c r="F124" s="14">
        <f>SUM('ALPINE MEADOW:WOODLAND'!F122)</f>
        <v>2044096.47</v>
      </c>
      <c r="G124" s="14">
        <f>SUM('ALPINE MEADOW:WOODLAND'!G122)</f>
        <v>-439</v>
      </c>
      <c r="H124" s="14">
        <f>SUM('ALPINE MEADOW:WOODLAND'!H122)</f>
        <v>0</v>
      </c>
      <c r="I124" s="14">
        <f>SUM('ALPINE MEADOW:WOODLAND'!I122)</f>
        <v>2043657.47</v>
      </c>
      <c r="J124" s="90">
        <f t="shared" si="13"/>
        <v>3.8533138616699872E-3</v>
      </c>
      <c r="L124" s="109">
        <f t="shared" si="14"/>
        <v>1.1004196025979425</v>
      </c>
      <c r="N124" s="88"/>
      <c r="O124" s="88"/>
      <c r="P124" s="88"/>
      <c r="Q124" s="110"/>
      <c r="R124" s="111"/>
      <c r="S124" s="110"/>
      <c r="T124" s="56"/>
    </row>
    <row r="125" spans="1:20" s="25" customFormat="1" ht="15.5">
      <c r="A125" s="32">
        <v>490</v>
      </c>
      <c r="B125" s="2" t="s">
        <v>247</v>
      </c>
      <c r="C125" s="14">
        <f>SUM('ALPINE MEADOW:WOODLAND'!C123)</f>
        <v>33973</v>
      </c>
      <c r="D125" s="14">
        <f>SUM('ALPINE MEADOW:WOODLAND'!D123)</f>
        <v>0</v>
      </c>
      <c r="E125" s="14">
        <f>SUM('ALPINE MEADOW:WOODLAND'!E123)</f>
        <v>0</v>
      </c>
      <c r="F125" s="14">
        <f>SUM('ALPINE MEADOW:WOODLAND'!F123)</f>
        <v>33973</v>
      </c>
      <c r="G125" s="14">
        <f>SUM('ALPINE MEADOW:WOODLAND'!G123)</f>
        <v>-5930</v>
      </c>
      <c r="H125" s="14">
        <f>SUM('ALPINE MEADOW:WOODLAND'!H123)</f>
        <v>0</v>
      </c>
      <c r="I125" s="14">
        <f>SUM('ALPINE MEADOW:WOODLAND'!I123)</f>
        <v>28042.999999999996</v>
      </c>
      <c r="J125" s="90">
        <f t="shared" si="13"/>
        <v>5.2875044966714228E-5</v>
      </c>
      <c r="L125" s="109">
        <f t="shared" si="14"/>
        <v>1.509992127773452E-2</v>
      </c>
      <c r="N125" s="88"/>
      <c r="O125" s="88"/>
      <c r="P125" s="88"/>
      <c r="Q125" s="110"/>
      <c r="R125" s="111"/>
      <c r="S125" s="110"/>
      <c r="T125" s="56"/>
    </row>
    <row r="126" spans="1:20" s="25" customFormat="1" ht="15.5">
      <c r="A126" s="35"/>
      <c r="B126" s="3" t="s">
        <v>53</v>
      </c>
      <c r="C126" s="14">
        <f>SUM('ALPINE MEADOW:WOODLAND'!C124)</f>
        <v>11337986.24</v>
      </c>
      <c r="D126" s="14">
        <f>SUM('ALPINE MEADOW:WOODLAND'!D124)</f>
        <v>823130.86123893387</v>
      </c>
      <c r="E126" s="14">
        <f>SUM('ALPINE MEADOW:WOODLAND'!E124)</f>
        <v>398.96111702618191</v>
      </c>
      <c r="F126" s="14">
        <f>SUM('ALPINE MEADOW:WOODLAND'!F124)</f>
        <v>12161516.062355958</v>
      </c>
      <c r="G126" s="14">
        <f>SUM('ALPINE MEADOW:WOODLAND'!G124)</f>
        <v>-240734.58000000002</v>
      </c>
      <c r="H126" s="14">
        <f>SUM('ALPINE MEADOW:WOODLAND'!H124)</f>
        <v>0</v>
      </c>
      <c r="I126" s="14">
        <f>SUM('ALPINE MEADOW:WOODLAND'!I124)</f>
        <v>11920781.48235596</v>
      </c>
      <c r="J126" s="90">
        <f t="shared" si="13"/>
        <v>2.2476620080517269E-2</v>
      </c>
      <c r="L126" s="109">
        <f t="shared" si="14"/>
        <v>6.4188161734711136</v>
      </c>
      <c r="N126" s="88"/>
      <c r="O126" s="88"/>
      <c r="P126" s="88"/>
      <c r="Q126" s="110"/>
      <c r="R126" s="111"/>
      <c r="S126" s="110"/>
      <c r="T126" s="56"/>
    </row>
    <row r="127" spans="1:20" s="25" customFormat="1" ht="16.149999999999999" customHeight="1">
      <c r="A127" s="35"/>
      <c r="B127" s="24"/>
      <c r="C127" s="17"/>
      <c r="D127" s="17"/>
      <c r="E127" s="17"/>
      <c r="F127" s="17"/>
      <c r="G127" s="17"/>
      <c r="H127" s="17"/>
      <c r="I127" s="17"/>
      <c r="J127" s="70"/>
      <c r="L127" s="121"/>
      <c r="N127" s="93"/>
      <c r="O127" s="93"/>
      <c r="P127" s="93"/>
      <c r="Q127" s="93"/>
      <c r="R127" s="93"/>
      <c r="S127" s="93"/>
      <c r="T127" s="66"/>
    </row>
    <row r="128" spans="1:20" s="25" customFormat="1" ht="16.149999999999999" customHeight="1">
      <c r="A128" s="32" t="s">
        <v>159</v>
      </c>
      <c r="B128" s="24" t="s">
        <v>54</v>
      </c>
      <c r="C128" s="62"/>
      <c r="D128" s="62"/>
      <c r="E128" s="62"/>
      <c r="F128" s="62"/>
      <c r="G128" s="62"/>
      <c r="H128" s="63"/>
      <c r="I128" s="63"/>
      <c r="J128" s="92"/>
      <c r="L128" s="121"/>
      <c r="N128" s="93"/>
      <c r="O128" s="93"/>
      <c r="P128" s="93"/>
      <c r="Q128" s="93"/>
      <c r="R128" s="93"/>
      <c r="S128" s="93"/>
      <c r="T128" s="66"/>
    </row>
    <row r="129" spans="1:20" s="25" customFormat="1" ht="15.5">
      <c r="A129" s="32" t="s">
        <v>77</v>
      </c>
      <c r="B129" s="24" t="s">
        <v>55</v>
      </c>
      <c r="C129" s="9"/>
      <c r="D129" s="9"/>
      <c r="E129" s="9"/>
      <c r="F129" s="9"/>
      <c r="G129" s="9"/>
      <c r="H129" s="9"/>
      <c r="I129" s="9"/>
      <c r="J129" s="70"/>
      <c r="K129" s="66"/>
      <c r="L129" s="125"/>
      <c r="N129" s="94"/>
      <c r="O129" s="94"/>
      <c r="P129" s="94"/>
      <c r="Q129" s="94"/>
      <c r="R129" s="111"/>
      <c r="S129" s="126"/>
      <c r="T129" s="68"/>
    </row>
    <row r="130" spans="1:20" s="25" customFormat="1" ht="15.5">
      <c r="A130" s="32"/>
      <c r="B130" s="323" t="s">
        <v>672</v>
      </c>
      <c r="C130" s="14">
        <f>SUM('ALPINE MEADOW:WOODLAND'!C128)</f>
        <v>1337246.1399999999</v>
      </c>
      <c r="D130" s="14">
        <f>SUM('ALPINE MEADOW:WOODLAND'!D128)</f>
        <v>293850.81</v>
      </c>
      <c r="E130" s="14">
        <f>SUM('ALPINE MEADOW:WOODLAND'!E128)</f>
        <v>0</v>
      </c>
      <c r="F130" s="14">
        <f>SUM('ALPINE MEADOW:WOODLAND'!F128)</f>
        <v>1631096.95</v>
      </c>
      <c r="G130" s="14">
        <f>SUM('ALPINE MEADOW:WOODLAND'!G128)</f>
        <v>-140243</v>
      </c>
      <c r="H130" s="14">
        <f>SUM('ALPINE MEADOW:WOODLAND'!H128)</f>
        <v>0</v>
      </c>
      <c r="I130" s="14">
        <f>SUM('ALPINE MEADOW:WOODLAND'!I128)</f>
        <v>1490853.95</v>
      </c>
      <c r="J130" s="90">
        <f>IF($I$215=0,0,I130/$I$215)</f>
        <v>2.8110034463164975E-3</v>
      </c>
      <c r="L130" s="109">
        <f>IF(I130=0,0,I130/$I$235)</f>
        <v>0.80275923694324991</v>
      </c>
      <c r="M130" s="25">
        <v>0</v>
      </c>
      <c r="N130" s="116">
        <f>SUM('ALPINE MEADOW:WOODLAND'!L128)</f>
        <v>36017.631428571425</v>
      </c>
      <c r="O130" s="116">
        <f>SUM('ALPINE MEADOW:WOODLAND'!M128)</f>
        <v>37399.291428571421</v>
      </c>
      <c r="P130" s="117"/>
      <c r="Q130" s="118">
        <f>IF(N130=0,0,I130/O130)</f>
        <v>39.863160318087012</v>
      </c>
      <c r="R130" s="57"/>
      <c r="S130" s="119">
        <f>O130/$I$235</f>
        <v>2.0137872425007308E-2</v>
      </c>
      <c r="T130" s="68"/>
    </row>
    <row r="131" spans="1:20" s="25" customFormat="1" ht="15.5">
      <c r="A131" s="32"/>
      <c r="B131" s="323" t="s">
        <v>673</v>
      </c>
      <c r="C131" s="14">
        <f>SUM('ALPINE MEADOW:WOODLAND'!C129)</f>
        <v>15955877.850000001</v>
      </c>
      <c r="D131" s="14">
        <f>SUM('ALPINE MEADOW:WOODLAND'!D129)</f>
        <v>745418.9758009403</v>
      </c>
      <c r="E131" s="14">
        <f>SUM('ALPINE MEADOW:WOODLAND'!E129)</f>
        <v>938421</v>
      </c>
      <c r="F131" s="14">
        <f>SUM('ALPINE MEADOW:WOODLAND'!F129)</f>
        <v>17639717.82580094</v>
      </c>
      <c r="G131" s="14">
        <f>SUM('ALPINE MEADOW:WOODLAND'!G129)</f>
        <v>79577</v>
      </c>
      <c r="H131" s="14">
        <f>SUM('ALPINE MEADOW:WOODLAND'!H129)</f>
        <v>0</v>
      </c>
      <c r="I131" s="14">
        <f>SUM('ALPINE MEADOW:WOODLAND'!I129)</f>
        <v>17719294.82580094</v>
      </c>
      <c r="J131" s="90">
        <f>IF($I$215=0,0,I131/$I$215)</f>
        <v>3.3409710469375305E-2</v>
      </c>
      <c r="L131" s="109">
        <f>IF(I131=0,0,I131/$I$235)</f>
        <v>9.5410604060393975</v>
      </c>
      <c r="M131" s="25">
        <v>2044.34</v>
      </c>
      <c r="N131" s="116">
        <f>SUM('ALPINE MEADOW:WOODLAND'!L129)</f>
        <v>450069.44605982315</v>
      </c>
      <c r="O131" s="116">
        <f>SUM('ALPINE MEADOW:WOODLAND'!M129)</f>
        <v>476808.98426506185</v>
      </c>
      <c r="P131" s="117"/>
      <c r="Q131" s="118">
        <f>IF(N131=0,0,I131/O131)</f>
        <v>37.162250315213534</v>
      </c>
      <c r="R131" s="57"/>
      <c r="S131" s="119">
        <f>O131/$I$235</f>
        <v>0.25674065281599656</v>
      </c>
      <c r="T131" s="68"/>
    </row>
    <row r="132" spans="1:20" s="25" customFormat="1" ht="15.5">
      <c r="A132" s="32"/>
      <c r="B132" s="323" t="s">
        <v>674</v>
      </c>
      <c r="C132" s="14">
        <f>SUM('ALPINE MEADOW:WOODLAND'!C130)</f>
        <v>1216923.48</v>
      </c>
      <c r="D132" s="14">
        <f>SUM('ALPINE MEADOW:WOODLAND'!D130)</f>
        <v>152554.59435948322</v>
      </c>
      <c r="E132" s="14">
        <f>SUM('ALPINE MEADOW:WOODLAND'!E130)</f>
        <v>0</v>
      </c>
      <c r="F132" s="14">
        <f>SUM('ALPINE MEADOW:WOODLAND'!F130)</f>
        <v>1369478.0743594831</v>
      </c>
      <c r="G132" s="14">
        <f>SUM('ALPINE MEADOW:WOODLAND'!G130)</f>
        <v>0</v>
      </c>
      <c r="H132" s="14">
        <f>SUM('ALPINE MEADOW:WOODLAND'!H130)</f>
        <v>0</v>
      </c>
      <c r="I132" s="14">
        <f>SUM('ALPINE MEADOW:WOODLAND'!I130)</f>
        <v>1369478.0743594831</v>
      </c>
      <c r="J132" s="90">
        <f>IF($I$215=0,0,I132/$I$215)</f>
        <v>2.5821493692788538E-3</v>
      </c>
      <c r="L132" s="109">
        <f>IF(I132=0,0,I132/$I$235)</f>
        <v>0.73740366987881678</v>
      </c>
      <c r="M132" s="25">
        <v>0</v>
      </c>
      <c r="N132" s="116">
        <f>SUM('ALPINE MEADOW:WOODLAND'!L130)</f>
        <v>40156.509285714288</v>
      </c>
      <c r="O132" s="116">
        <f>SUM('ALPINE MEADOW:WOODLAND'!M130)</f>
        <v>43051.922857142854</v>
      </c>
      <c r="P132" s="117"/>
      <c r="Q132" s="118">
        <f>IF(N132=0,0,I132/O132)</f>
        <v>31.809916572222733</v>
      </c>
      <c r="R132" s="57"/>
      <c r="S132" s="119">
        <f>O132/$I$235</f>
        <v>2.3181565666938509E-2</v>
      </c>
      <c r="T132" s="68"/>
    </row>
    <row r="133" spans="1:20" s="25" customFormat="1" ht="15.5">
      <c r="A133" s="32"/>
      <c r="B133" s="257" t="s">
        <v>676</v>
      </c>
      <c r="C133" s="14">
        <f>SUM('ALPINE MEADOW:WOODLAND'!C131)</f>
        <v>142469.78999999998</v>
      </c>
      <c r="D133" s="14">
        <f>SUM('ALPINE MEADOW:WOODLAND'!D131)</f>
        <v>9454</v>
      </c>
      <c r="E133" s="14">
        <f>SUM('ALPINE MEADOW:WOODLAND'!E131)</f>
        <v>0</v>
      </c>
      <c r="F133" s="14">
        <f>SUM('ALPINE MEADOW:WOODLAND'!F131)</f>
        <v>151923.79</v>
      </c>
      <c r="G133" s="14">
        <f>SUM('ALPINE MEADOW:WOODLAND'!G131)</f>
        <v>-15187.67</v>
      </c>
      <c r="H133" s="14">
        <f>SUM('ALPINE MEADOW:WOODLAND'!H131)</f>
        <v>0</v>
      </c>
      <c r="I133" s="14">
        <f>SUM('ALPINE MEADOW:WOODLAND'!I131)</f>
        <v>136736.12</v>
      </c>
      <c r="J133" s="90">
        <f>IF($I$215=0,0,I133/$I$215)</f>
        <v>2.5781580050543928E-4</v>
      </c>
      <c r="L133" s="109">
        <f>IF(I133=0,0,I133/$I$235)</f>
        <v>7.3626382620363751E-2</v>
      </c>
      <c r="M133" s="25">
        <v>0</v>
      </c>
      <c r="N133" s="116">
        <f>SUM('ALPINE MEADOW:WOODLAND'!L131)</f>
        <v>10675.720000000001</v>
      </c>
      <c r="O133" s="116">
        <f>SUM('ALPINE MEADOW:WOODLAND'!M131)</f>
        <v>11563.93</v>
      </c>
      <c r="P133" s="117"/>
      <c r="Q133" s="118">
        <f>IF(N133=0,0,I133/O133)</f>
        <v>11.82436420836169</v>
      </c>
      <c r="R133" s="57"/>
      <c r="S133" s="119">
        <f>O133/$I$235</f>
        <v>6.2266673558903319E-3</v>
      </c>
      <c r="T133" s="68"/>
    </row>
    <row r="134" spans="1:20" s="25" customFormat="1" ht="15.5">
      <c r="A134" s="32"/>
      <c r="B134" s="257" t="s">
        <v>678</v>
      </c>
      <c r="C134" s="14">
        <f>SUM('ALPINE MEADOW:WOODLAND'!C132)</f>
        <v>6243583.1200000001</v>
      </c>
      <c r="D134" s="14">
        <f>SUM('ALPINE MEADOW:WOODLAND'!D132)</f>
        <v>-904642.65652619675</v>
      </c>
      <c r="E134" s="14">
        <f>SUM('ALPINE MEADOW:WOODLAND'!E132)</f>
        <v>-87600</v>
      </c>
      <c r="F134" s="14">
        <f>SUM('ALPINE MEADOW:WOODLAND'!F132)</f>
        <v>5251340.4634738024</v>
      </c>
      <c r="G134" s="14">
        <f>SUM('ALPINE MEADOW:WOODLAND'!G132)</f>
        <v>51610.67</v>
      </c>
      <c r="H134" s="14">
        <f>SUM('ALPINE MEADOW:WOODLAND'!H132)</f>
        <v>128538</v>
      </c>
      <c r="I134" s="14">
        <f>SUM('ALPINE MEADOW:WOODLAND'!I132)</f>
        <v>5431489.1334738024</v>
      </c>
      <c r="J134" s="90">
        <f>IF($I$215=0,0,I134/$I$215)</f>
        <v>1.0241066653662128E-2</v>
      </c>
      <c r="L134" s="109">
        <f>IF(I134=0,0,I134/$I$235)</f>
        <v>2.9246178488865282</v>
      </c>
      <c r="M134" s="25">
        <v>1679.72</v>
      </c>
      <c r="N134" s="116">
        <f>SUM('ALPINE MEADOW:WOODLAND'!L132)</f>
        <v>248991.79018846704</v>
      </c>
      <c r="O134" s="116">
        <f>SUM('ALPINE MEADOW:WOODLAND'!M132)</f>
        <v>272796.51918180275</v>
      </c>
      <c r="P134" s="117"/>
      <c r="Q134" s="118">
        <f>IF(N134=0,0,I134/O134)</f>
        <v>19.910404831280257</v>
      </c>
      <c r="R134" s="57"/>
      <c r="S134" s="119">
        <f>O134/$I$235</f>
        <v>0.14688891931980233</v>
      </c>
      <c r="T134" s="68"/>
    </row>
    <row r="135" spans="1:20" s="25" customFormat="1" ht="15.5">
      <c r="A135" s="32" t="s">
        <v>87</v>
      </c>
      <c r="B135" s="165" t="s">
        <v>144</v>
      </c>
      <c r="C135" s="9"/>
      <c r="D135" s="9"/>
      <c r="E135" s="9"/>
      <c r="F135" s="9"/>
      <c r="G135" s="9"/>
      <c r="H135" s="9"/>
      <c r="I135" s="9"/>
      <c r="J135" s="70"/>
      <c r="K135" s="66"/>
      <c r="L135" s="125"/>
      <c r="N135" s="88"/>
      <c r="O135" s="88"/>
      <c r="P135" s="88"/>
      <c r="Q135" s="110"/>
      <c r="R135" s="111"/>
      <c r="S135" s="123"/>
      <c r="T135" s="68"/>
    </row>
    <row r="136" spans="1:20" s="25" customFormat="1" ht="15.5">
      <c r="A136" s="32"/>
      <c r="B136" s="257" t="s">
        <v>680</v>
      </c>
      <c r="C136" s="14">
        <f>SUM('ALPINE MEADOW:WOODLAND'!C134)</f>
        <v>293869.93858036143</v>
      </c>
      <c r="D136" s="14">
        <f>SUM('ALPINE MEADOW:WOODLAND'!D134)</f>
        <v>23794</v>
      </c>
      <c r="E136" s="14">
        <f>SUM('ALPINE MEADOW:WOODLAND'!E134)</f>
        <v>0</v>
      </c>
      <c r="F136" s="14">
        <f>SUM('ALPINE MEADOW:WOODLAND'!F134)</f>
        <v>317663.93858036137</v>
      </c>
      <c r="G136" s="14">
        <f>SUM('ALPINE MEADOW:WOODLAND'!G134)</f>
        <v>-52514.520000000004</v>
      </c>
      <c r="H136" s="14">
        <f>SUM('ALPINE MEADOW:WOODLAND'!H134)</f>
        <v>0</v>
      </c>
      <c r="I136" s="14">
        <f>SUM('ALPINE MEADOW:WOODLAND'!I134)</f>
        <v>265149.41858036141</v>
      </c>
      <c r="J136" s="90">
        <f>IF($I$215=0,0,I136/$I$215)</f>
        <v>4.9993893058284582E-4</v>
      </c>
      <c r="L136" s="109">
        <f>IF(I136=0,0,I136/$I$235)</f>
        <v>0.14277129220841339</v>
      </c>
      <c r="N136" s="88"/>
      <c r="O136" s="88"/>
      <c r="P136" s="88"/>
      <c r="Q136" s="110"/>
      <c r="R136" s="111"/>
      <c r="S136" s="123"/>
      <c r="T136" s="68"/>
    </row>
    <row r="137" spans="1:20" s="25" customFormat="1" ht="15.5">
      <c r="A137" s="32"/>
      <c r="B137" s="323" t="s">
        <v>673</v>
      </c>
      <c r="C137" s="14">
        <f>SUM('ALPINE MEADOW:WOODLAND'!C135)</f>
        <v>2416422.6842091102</v>
      </c>
      <c r="D137" s="14">
        <f>SUM('ALPINE MEADOW:WOODLAND'!D135)</f>
        <v>199945.61196514397</v>
      </c>
      <c r="E137" s="14">
        <f>SUM('ALPINE MEADOW:WOODLAND'!E135)</f>
        <v>104912</v>
      </c>
      <c r="F137" s="14">
        <f>SUM('ALPINE MEADOW:WOODLAND'!F135)</f>
        <v>2721280.2961742543</v>
      </c>
      <c r="G137" s="14">
        <f>SUM('ALPINE MEADOW:WOODLAND'!G135)</f>
        <v>467872.43</v>
      </c>
      <c r="H137" s="14">
        <f>SUM('ALPINE MEADOW:WOODLAND'!H135)</f>
        <v>0</v>
      </c>
      <c r="I137" s="14">
        <f>SUM('ALPINE MEADOW:WOODLAND'!I135)</f>
        <v>3189152.726174254</v>
      </c>
      <c r="J137" s="90">
        <f>IF($I$215=0,0,I137/$I$215)</f>
        <v>6.0131438791207427E-3</v>
      </c>
      <c r="L137" s="109">
        <f>IF(I137=0,0,I137/$I$235)</f>
        <v>1.7172183827658836</v>
      </c>
      <c r="N137" s="88"/>
      <c r="O137" s="88"/>
      <c r="P137" s="88"/>
      <c r="Q137" s="110"/>
      <c r="R137" s="111"/>
      <c r="S137" s="123"/>
      <c r="T137" s="68"/>
    </row>
    <row r="138" spans="1:20" s="25" customFormat="1" ht="15.5">
      <c r="A138" s="32"/>
      <c r="B138" s="323" t="s">
        <v>674</v>
      </c>
      <c r="C138" s="14">
        <f>SUM('ALPINE MEADOW:WOODLAND'!C136)</f>
        <v>17018</v>
      </c>
      <c r="D138" s="14">
        <f>SUM('ALPINE MEADOW:WOODLAND'!D136)</f>
        <v>95761.117074304319</v>
      </c>
      <c r="E138" s="14">
        <f>SUM('ALPINE MEADOW:WOODLAND'!E136)</f>
        <v>0</v>
      </c>
      <c r="F138" s="14">
        <f>SUM('ALPINE MEADOW:WOODLAND'!F136)</f>
        <v>112779.11707430432</v>
      </c>
      <c r="G138" s="14">
        <f>SUM('ALPINE MEADOW:WOODLAND'!G136)</f>
        <v>137457</v>
      </c>
      <c r="H138" s="14">
        <f>SUM('ALPINE MEADOW:WOODLAND'!H136)</f>
        <v>0</v>
      </c>
      <c r="I138" s="14">
        <f>SUM('ALPINE MEADOW:WOODLAND'!I136)</f>
        <v>250236.11707430432</v>
      </c>
      <c r="J138" s="90">
        <f>IF($I$215=0,0,I138/$I$215)</f>
        <v>4.7181991736261486E-4</v>
      </c>
      <c r="L138" s="109">
        <f>IF(I138=0,0,I138/$I$235)</f>
        <v>0.13474113570830348</v>
      </c>
      <c r="N138" s="88"/>
      <c r="O138" s="88"/>
      <c r="P138" s="88"/>
      <c r="Q138" s="110"/>
      <c r="R138" s="111"/>
      <c r="S138" s="123"/>
      <c r="T138" s="68"/>
    </row>
    <row r="139" spans="1:20" s="25" customFormat="1" ht="15.5">
      <c r="A139" s="32"/>
      <c r="B139" s="323" t="s">
        <v>683</v>
      </c>
      <c r="C139" s="14">
        <f>SUM('ALPINE MEADOW:WOODLAND'!C137)</f>
        <v>46141.380000000005</v>
      </c>
      <c r="D139" s="14">
        <f>SUM('ALPINE MEADOW:WOODLAND'!D137)</f>
        <v>2384.5299999999997</v>
      </c>
      <c r="E139" s="14">
        <f>SUM('ALPINE MEADOW:WOODLAND'!E137)</f>
        <v>0</v>
      </c>
      <c r="F139" s="14">
        <f>SUM('ALPINE MEADOW:WOODLAND'!F137)</f>
        <v>48525.91</v>
      </c>
      <c r="G139" s="14">
        <f>SUM('ALPINE MEADOW:WOODLAND'!G137)</f>
        <v>-9194.86</v>
      </c>
      <c r="H139" s="14">
        <f>SUM('ALPINE MEADOW:WOODLAND'!H137)</f>
        <v>0</v>
      </c>
      <c r="I139" s="14">
        <f>SUM('ALPINE MEADOW:WOODLAND'!I137)</f>
        <v>39331.050000000003</v>
      </c>
      <c r="J139" s="90">
        <f>IF($I$215=0,0,I139/$I$215)</f>
        <v>7.4158650548731804E-5</v>
      </c>
      <c r="L139" s="109">
        <f>IF(I139=0,0,I139/$I$235)</f>
        <v>2.1178039395593925E-2</v>
      </c>
      <c r="N139" s="88"/>
      <c r="O139" s="88"/>
      <c r="P139" s="88"/>
      <c r="Q139" s="110"/>
      <c r="R139" s="111"/>
      <c r="S139" s="123"/>
      <c r="T139" s="68"/>
    </row>
    <row r="140" spans="1:20" s="25" customFormat="1" ht="15.5">
      <c r="A140" s="32"/>
      <c r="B140" s="323" t="s">
        <v>684</v>
      </c>
      <c r="C140" s="14">
        <f>SUM('ALPINE MEADOW:WOODLAND'!C138)</f>
        <v>552848.52000000014</v>
      </c>
      <c r="D140" s="14">
        <f>SUM('ALPINE MEADOW:WOODLAND'!D138)</f>
        <v>420880.25907525839</v>
      </c>
      <c r="E140" s="14">
        <f>SUM('ALPINE MEADOW:WOODLAND'!E138)</f>
        <v>0</v>
      </c>
      <c r="F140" s="14">
        <f>SUM('ALPINE MEADOW:WOODLAND'!F138)</f>
        <v>973728.77907525841</v>
      </c>
      <c r="G140" s="14">
        <f>SUM('ALPINE MEADOW:WOODLAND'!G138)</f>
        <v>90643.37</v>
      </c>
      <c r="H140" s="14">
        <f>SUM('ALPINE MEADOW:WOODLAND'!H138)</f>
        <v>0</v>
      </c>
      <c r="I140" s="14">
        <f>SUM('ALPINE MEADOW:WOODLAND'!I138)</f>
        <v>1064372.1490752585</v>
      </c>
      <c r="J140" s="90">
        <f>IF($I$215=0,0,I140/$I$215)</f>
        <v>2.0068724902354441E-3</v>
      </c>
      <c r="L140" s="109">
        <f>IF(I140=0,0,I140/$I$235)</f>
        <v>0.57311755736724024</v>
      </c>
      <c r="N140" s="88"/>
      <c r="O140" s="88"/>
      <c r="P140" s="88"/>
      <c r="Q140" s="110"/>
      <c r="R140" s="111"/>
      <c r="S140" s="123"/>
      <c r="T140" s="68"/>
    </row>
    <row r="141" spans="1:20" s="25" customFormat="1" ht="15.5">
      <c r="A141" s="32" t="s">
        <v>78</v>
      </c>
      <c r="B141" s="165" t="s">
        <v>56</v>
      </c>
      <c r="C141" s="9"/>
      <c r="D141" s="9"/>
      <c r="E141" s="9"/>
      <c r="F141" s="9"/>
      <c r="G141" s="9"/>
      <c r="H141" s="9"/>
      <c r="I141" s="9"/>
      <c r="J141" s="70"/>
      <c r="K141" s="66"/>
      <c r="L141" s="125"/>
      <c r="N141" s="94"/>
      <c r="O141" s="94"/>
      <c r="P141" s="94"/>
      <c r="Q141" s="94"/>
      <c r="R141" s="111"/>
      <c r="S141" s="120"/>
      <c r="T141" s="68"/>
    </row>
    <row r="142" spans="1:20" s="25" customFormat="1" ht="15.5">
      <c r="A142" s="32"/>
      <c r="B142" s="323" t="s">
        <v>686</v>
      </c>
      <c r="C142" s="14">
        <f>SUM('ALPINE MEADOW:WOODLAND'!C140)</f>
        <v>41805424.529999994</v>
      </c>
      <c r="D142" s="14">
        <f>SUM('ALPINE MEADOW:WOODLAND'!D140)</f>
        <v>1844929.7434362648</v>
      </c>
      <c r="E142" s="14">
        <f>SUM('ALPINE MEADOW:WOODLAND'!E140)</f>
        <v>0</v>
      </c>
      <c r="F142" s="14">
        <f>SUM('ALPINE MEADOW:WOODLAND'!F140)</f>
        <v>43650354.273436263</v>
      </c>
      <c r="G142" s="14">
        <f>SUM('ALPINE MEADOW:WOODLAND'!G140)</f>
        <v>35229</v>
      </c>
      <c r="H142" s="14">
        <f>SUM('ALPINE MEADOW:WOODLAND'!H140)</f>
        <v>0</v>
      </c>
      <c r="I142" s="14">
        <f>SUM('ALPINE MEADOW:WOODLAND'!I140)</f>
        <v>43685583.273436263</v>
      </c>
      <c r="J142" s="90">
        <f>IF($I$215=0,0,I142/$I$215)</f>
        <v>8.2369118139289016E-2</v>
      </c>
      <c r="L142" s="109">
        <f>IF(I142=0,0,I142/$I$235)</f>
        <v>23.522763912591504</v>
      </c>
      <c r="M142" s="25">
        <v>4815.4449999999997</v>
      </c>
      <c r="N142" s="116">
        <f>SUM('ALPINE MEADOW:WOODLAND'!L140)</f>
        <v>1407342.9302355463</v>
      </c>
      <c r="O142" s="116">
        <f>SUM('ALPINE MEADOW:WOODLAND'!M140)</f>
        <v>1497040.593866362</v>
      </c>
      <c r="P142" s="117"/>
      <c r="Q142" s="118">
        <f>IF(N142=0,0,I142/O142)</f>
        <v>29.181295051332452</v>
      </c>
      <c r="R142" s="57"/>
      <c r="S142" s="119">
        <f>O142/$I$235</f>
        <v>0.80609047238009501</v>
      </c>
      <c r="T142" s="68"/>
    </row>
    <row r="143" spans="1:20" s="25" customFormat="1" ht="15.5">
      <c r="A143" s="32"/>
      <c r="B143" s="323" t="s">
        <v>688</v>
      </c>
      <c r="C143" s="14">
        <f>SUM('ALPINE MEADOW:WOODLAND'!C141)</f>
        <v>24139034.699999999</v>
      </c>
      <c r="D143" s="14">
        <f>SUM('ALPINE MEADOW:WOODLAND'!D141)</f>
        <v>1302165.0265717236</v>
      </c>
      <c r="E143" s="14">
        <f>SUM('ALPINE MEADOW:WOODLAND'!E141)</f>
        <v>0</v>
      </c>
      <c r="F143" s="14">
        <f>SUM('ALPINE MEADOW:WOODLAND'!F141)</f>
        <v>25441199.72657172</v>
      </c>
      <c r="G143" s="14">
        <f>SUM('ALPINE MEADOW:WOODLAND'!G141)</f>
        <v>0</v>
      </c>
      <c r="H143" s="14">
        <f>SUM('ALPINE MEADOW:WOODLAND'!H141)</f>
        <v>0</v>
      </c>
      <c r="I143" s="14">
        <f>SUM('ALPINE MEADOW:WOODLAND'!I141)</f>
        <v>25441199.72657172</v>
      </c>
      <c r="J143" s="90">
        <f>IF($I$215=0,0,I143/$I$215)</f>
        <v>4.7969353476790558E-2</v>
      </c>
      <c r="L143" s="109">
        <f>IF(I143=0,0,I143/$I$235)</f>
        <v>13.698966340347111</v>
      </c>
      <c r="M143" s="25">
        <v>6591.04</v>
      </c>
      <c r="N143" s="116">
        <f>SUM('ALPINE MEADOW:WOODLAND'!L141)</f>
        <v>1021903.8428063742</v>
      </c>
      <c r="O143" s="116">
        <f>SUM('ALPINE MEADOW:WOODLAND'!M141)</f>
        <v>1081000.8075404766</v>
      </c>
      <c r="P143" s="117"/>
      <c r="Q143" s="118">
        <f>IF(N143=0,0,I143/O143)</f>
        <v>23.534857281426323</v>
      </c>
      <c r="R143" s="57"/>
      <c r="S143" s="119">
        <f>O143/$I$235</f>
        <v>0.58207135809395005</v>
      </c>
      <c r="T143" s="68"/>
    </row>
    <row r="144" spans="1:20" s="25" customFormat="1" ht="15.5">
      <c r="A144" s="32"/>
      <c r="B144" s="323" t="s">
        <v>690</v>
      </c>
      <c r="C144" s="14">
        <f>SUM('ALPINE MEADOW:WOODLAND'!C142)</f>
        <v>57101396.359999985</v>
      </c>
      <c r="D144" s="14">
        <f>SUM('ALPINE MEADOW:WOODLAND'!D142)</f>
        <v>2880463.0693225567</v>
      </c>
      <c r="E144" s="14">
        <f>SUM('ALPINE MEADOW:WOODLAND'!E142)</f>
        <v>0</v>
      </c>
      <c r="F144" s="14">
        <f>SUM('ALPINE MEADOW:WOODLAND'!F142)</f>
        <v>59981859.429322541</v>
      </c>
      <c r="G144" s="14">
        <f>SUM('ALPINE MEADOW:WOODLAND'!G142)</f>
        <v>-72753</v>
      </c>
      <c r="H144" s="14">
        <f>SUM('ALPINE MEADOW:WOODLAND'!H142)</f>
        <v>0</v>
      </c>
      <c r="I144" s="14">
        <f>SUM('ALPINE MEADOW:WOODLAND'!I142)</f>
        <v>59909106.429322541</v>
      </c>
      <c r="J144" s="90">
        <f>IF($I$215=0,0,I144/$I$215)</f>
        <v>0.11295855280697852</v>
      </c>
      <c r="L144" s="109">
        <f>IF(I144=0,0,I144/$I$235)</f>
        <v>32.258417105951196</v>
      </c>
      <c r="M144" s="25">
        <v>37934.71</v>
      </c>
      <c r="N144" s="116">
        <f>SUM('ALPINE MEADOW:WOODLAND'!L142)</f>
        <v>4538589.5666559106</v>
      </c>
      <c r="O144" s="116">
        <f>SUM('ALPINE MEADOW:WOODLAND'!M142)</f>
        <v>4810698.5930816783</v>
      </c>
      <c r="P144" s="117"/>
      <c r="Q144" s="118">
        <f>IF(N144=0,0,I144/O144)</f>
        <v>12.453306992767853</v>
      </c>
      <c r="R144" s="57"/>
      <c r="S144" s="119">
        <f>O144/$I$235</f>
        <v>2.5903494649802647</v>
      </c>
      <c r="T144" s="68"/>
    </row>
    <row r="145" spans="1:20" s="25" customFormat="1" ht="15.5">
      <c r="A145" s="32"/>
      <c r="B145" s="323" t="s">
        <v>692</v>
      </c>
      <c r="C145" s="14">
        <f>SUM('ALPINE MEADOW:WOODLAND'!C143)</f>
        <v>8278659.7800000003</v>
      </c>
      <c r="D145" s="14">
        <f>SUM('ALPINE MEADOW:WOODLAND'!D143)</f>
        <v>-4564477.5873531969</v>
      </c>
      <c r="E145" s="14">
        <f>SUM('ALPINE MEADOW:WOODLAND'!E143)</f>
        <v>0</v>
      </c>
      <c r="F145" s="14">
        <f>SUM('ALPINE MEADOW:WOODLAND'!F143)</f>
        <v>3714182.1926468024</v>
      </c>
      <c r="G145" s="14">
        <f>SUM('ALPINE MEADOW:WOODLAND'!G143)</f>
        <v>0</v>
      </c>
      <c r="H145" s="14">
        <f>SUM('ALPINE MEADOW:WOODLAND'!H143)</f>
        <v>0</v>
      </c>
      <c r="I145" s="14">
        <f>SUM('ALPINE MEADOW:WOODLAND'!I143)</f>
        <v>3714182.1926468024</v>
      </c>
      <c r="J145" s="90">
        <f>IF($I$215=0,0,I145/$I$215)</f>
        <v>7.003086347779088E-3</v>
      </c>
      <c r="L145" s="109">
        <f>IF(I145=0,0,I145/$I$235)</f>
        <v>1.9999236429814966</v>
      </c>
      <c r="M145" s="25">
        <v>0</v>
      </c>
      <c r="N145" s="116">
        <f>SUM('ALPINE MEADOW:WOODLAND'!L143)</f>
        <v>240773.85499999998</v>
      </c>
      <c r="O145" s="116">
        <f>SUM('ALPINE MEADOW:WOODLAND'!M143)</f>
        <v>254232.78530904162</v>
      </c>
      <c r="P145" s="117"/>
      <c r="Q145" s="118">
        <f>IF(N145=0,0,I145/O145)</f>
        <v>14.609375372778524</v>
      </c>
      <c r="R145" s="57"/>
      <c r="S145" s="119">
        <f>O145/$I$235</f>
        <v>0.136893165652238</v>
      </c>
      <c r="T145" s="68"/>
    </row>
    <row r="146" spans="1:20" s="25" customFormat="1" ht="15.5">
      <c r="A146" s="32" t="s">
        <v>88</v>
      </c>
      <c r="B146" s="165" t="s">
        <v>145</v>
      </c>
      <c r="C146" s="9"/>
      <c r="D146" s="9"/>
      <c r="E146" s="9"/>
      <c r="F146" s="9"/>
      <c r="G146" s="9"/>
      <c r="H146" s="9"/>
      <c r="I146" s="9"/>
      <c r="J146" s="70"/>
      <c r="K146" s="66"/>
      <c r="L146" s="125"/>
      <c r="N146" s="88"/>
      <c r="O146" s="88"/>
      <c r="P146" s="88"/>
      <c r="Q146" s="110"/>
      <c r="R146" s="111"/>
      <c r="S146" s="123"/>
      <c r="T146" s="68"/>
    </row>
    <row r="147" spans="1:20" s="25" customFormat="1" ht="15.5">
      <c r="A147" s="32"/>
      <c r="B147" s="323" t="s">
        <v>681</v>
      </c>
      <c r="C147" s="14">
        <f>SUM('ALPINE MEADOW:WOODLAND'!C145)</f>
        <v>8708651.2066954672</v>
      </c>
      <c r="D147" s="14">
        <f>SUM('ALPINE MEADOW:WOODLAND'!D145)</f>
        <v>-1211992.2382849294</v>
      </c>
      <c r="E147" s="14">
        <f>SUM('ALPINE MEADOW:WOODLAND'!E145)</f>
        <v>0</v>
      </c>
      <c r="F147" s="14">
        <f>SUM('ALPINE MEADOW:WOODLAND'!F145)</f>
        <v>7496658.9684105357</v>
      </c>
      <c r="G147" s="14">
        <f>SUM('ALPINE MEADOW:WOODLAND'!G145)</f>
        <v>788805.31</v>
      </c>
      <c r="H147" s="14">
        <f>SUM('ALPINE MEADOW:WOODLAND'!H145)</f>
        <v>0</v>
      </c>
      <c r="I147" s="14">
        <f>SUM('ALPINE MEADOW:WOODLAND'!I145)</f>
        <v>8285464.2784105362</v>
      </c>
      <c r="J147" s="90">
        <f>IF($I$215=0,0,I147/$I$215)</f>
        <v>1.5622233580253954E-2</v>
      </c>
      <c r="L147" s="109">
        <f>IF(I147=0,0,I147/$I$235)</f>
        <v>4.4613578559170044</v>
      </c>
      <c r="N147" s="88"/>
      <c r="O147" s="88"/>
      <c r="P147" s="88"/>
      <c r="Q147" s="110"/>
      <c r="R147" s="111"/>
      <c r="S147" s="123"/>
      <c r="T147" s="68"/>
    </row>
    <row r="148" spans="1:20" s="25" customFormat="1" ht="15.5">
      <c r="A148" s="32"/>
      <c r="B148" s="323" t="s">
        <v>688</v>
      </c>
      <c r="C148" s="14">
        <f>SUM('ALPINE MEADOW:WOODLAND'!C146)</f>
        <v>1143663.1176040927</v>
      </c>
      <c r="D148" s="14">
        <f>SUM('ALPINE MEADOW:WOODLAND'!D146)</f>
        <v>3073250.9967266712</v>
      </c>
      <c r="E148" s="14">
        <f>SUM('ALPINE MEADOW:WOODLAND'!E146)</f>
        <v>0</v>
      </c>
      <c r="F148" s="14">
        <f>SUM('ALPINE MEADOW:WOODLAND'!F146)</f>
        <v>4216914.1143307639</v>
      </c>
      <c r="G148" s="14">
        <f>SUM('ALPINE MEADOW:WOODLAND'!G146)</f>
        <v>589610.32000000007</v>
      </c>
      <c r="H148" s="14">
        <f>SUM('ALPINE MEADOW:WOODLAND'!H146)</f>
        <v>0</v>
      </c>
      <c r="I148" s="14">
        <f>SUM('ALPINE MEADOW:WOODLAND'!I146)</f>
        <v>4806524.4343307633</v>
      </c>
      <c r="J148" s="90">
        <f>IF($I$215=0,0,I148/$I$215)</f>
        <v>9.062696416176937E-3</v>
      </c>
      <c r="L148" s="109">
        <f>IF(I148=0,0,I148/$I$235)</f>
        <v>2.5881018642050413</v>
      </c>
      <c r="N148" s="88"/>
      <c r="O148" s="88"/>
      <c r="P148" s="88"/>
      <c r="Q148" s="110"/>
      <c r="R148" s="111"/>
      <c r="S148" s="123"/>
      <c r="T148" s="68"/>
    </row>
    <row r="149" spans="1:20" s="25" customFormat="1" ht="15.5">
      <c r="A149" s="32"/>
      <c r="B149" s="323" t="s">
        <v>690</v>
      </c>
      <c r="C149" s="14">
        <f>SUM('ALPINE MEADOW:WOODLAND'!C147)</f>
        <v>2902036.9216046887</v>
      </c>
      <c r="D149" s="14">
        <f>SUM('ALPINE MEADOW:WOODLAND'!D147)</f>
        <v>6733571.7968775313</v>
      </c>
      <c r="E149" s="14">
        <f>SUM('ALPINE MEADOW:WOODLAND'!E147)</f>
        <v>0</v>
      </c>
      <c r="F149" s="14">
        <f>SUM('ALPINE MEADOW:WOODLAND'!F147)</f>
        <v>9635608.7184822187</v>
      </c>
      <c r="G149" s="14">
        <f>SUM('ALPINE MEADOW:WOODLAND'!G147)</f>
        <v>1370686.88</v>
      </c>
      <c r="H149" s="14">
        <f>SUM('ALPINE MEADOW:WOODLAND'!H147)</f>
        <v>0</v>
      </c>
      <c r="I149" s="14">
        <f>SUM('ALPINE MEADOW:WOODLAND'!I147)</f>
        <v>11006295.59848222</v>
      </c>
      <c r="J149" s="90">
        <f>IF($I$215=0,0,I149/$I$215)</f>
        <v>2.0752357974777889E-2</v>
      </c>
      <c r="L149" s="109">
        <f>IF(I149=0,0,I149/$I$235)</f>
        <v>5.926405773153995</v>
      </c>
      <c r="N149" s="88"/>
      <c r="O149" s="88"/>
      <c r="P149" s="88"/>
      <c r="Q149" s="110"/>
      <c r="R149" s="111"/>
      <c r="S149" s="123"/>
      <c r="T149" s="68"/>
    </row>
    <row r="150" spans="1:20" s="25" customFormat="1" ht="15.5">
      <c r="A150" s="32"/>
      <c r="B150" s="323" t="s">
        <v>692</v>
      </c>
      <c r="C150" s="14">
        <f>SUM('ALPINE MEADOW:WOODLAND'!C148)</f>
        <v>4855445.2713062838</v>
      </c>
      <c r="D150" s="14">
        <f>SUM('ALPINE MEADOW:WOODLAND'!D148)</f>
        <v>-12096.250049392169</v>
      </c>
      <c r="E150" s="14">
        <f>SUM('ALPINE MEADOW:WOODLAND'!E148)</f>
        <v>0</v>
      </c>
      <c r="F150" s="14">
        <f>SUM('ALPINE MEADOW:WOODLAND'!F148)</f>
        <v>4843349.0212568901</v>
      </c>
      <c r="G150" s="14">
        <f>SUM('ALPINE MEADOW:WOODLAND'!G148)</f>
        <v>-3763473</v>
      </c>
      <c r="H150" s="14">
        <f>SUM('ALPINE MEADOW:WOODLAND'!H148)</f>
        <v>0</v>
      </c>
      <c r="I150" s="14">
        <f>SUM('ALPINE MEADOW:WOODLAND'!I148)</f>
        <v>1079876.0212568906</v>
      </c>
      <c r="J150" s="90">
        <f>IF($I$215=0,0,I150/$I$215)</f>
        <v>2.0361050238003977E-3</v>
      </c>
      <c r="L150" s="109">
        <f>IF(I150=0,0,I150/$I$235)</f>
        <v>0.58146571018408233</v>
      </c>
      <c r="N150" s="88"/>
      <c r="O150" s="88"/>
      <c r="P150" s="88"/>
      <c r="Q150" s="110"/>
      <c r="R150" s="111"/>
      <c r="S150" s="123"/>
      <c r="T150" s="68"/>
    </row>
    <row r="151" spans="1:20" s="25" customFormat="1" ht="15.5">
      <c r="A151" s="32" t="s">
        <v>79</v>
      </c>
      <c r="B151" s="165" t="s">
        <v>90</v>
      </c>
      <c r="C151" s="9"/>
      <c r="D151" s="9"/>
      <c r="E151" s="9"/>
      <c r="F151" s="9"/>
      <c r="G151" s="9"/>
      <c r="H151" s="9"/>
      <c r="I151" s="9"/>
      <c r="J151" s="70"/>
      <c r="K151" s="66"/>
      <c r="L151" s="125"/>
      <c r="N151" s="94"/>
      <c r="O151" s="94"/>
      <c r="P151" s="94"/>
      <c r="Q151" s="94"/>
      <c r="R151" s="111"/>
      <c r="S151" s="120"/>
      <c r="T151" s="68"/>
    </row>
    <row r="152" spans="1:20" s="25" customFormat="1" ht="15.5">
      <c r="A152" s="32"/>
      <c r="B152" s="323" t="s">
        <v>694</v>
      </c>
      <c r="C152" s="14">
        <f>SUM('ALPINE MEADOW:WOODLAND'!C150)</f>
        <v>3188186.7600000002</v>
      </c>
      <c r="D152" s="14">
        <f>SUM('ALPINE MEADOW:WOODLAND'!D150)</f>
        <v>162900</v>
      </c>
      <c r="E152" s="14">
        <f>SUM('ALPINE MEADOW:WOODLAND'!E150)</f>
        <v>1224.0004694796321</v>
      </c>
      <c r="F152" s="14">
        <f>SUM('ALPINE MEADOW:WOODLAND'!F150)</f>
        <v>3352310.7604694795</v>
      </c>
      <c r="G152" s="14">
        <f>SUM('ALPINE MEADOW:WOODLAND'!G150)</f>
        <v>56225</v>
      </c>
      <c r="H152" s="14">
        <f>SUM('ALPINE MEADOW:WOODLAND'!H150)</f>
        <v>0</v>
      </c>
      <c r="I152" s="14">
        <f>SUM('ALPINE MEADOW:WOODLAND'!I150)</f>
        <v>3408535.7604694795</v>
      </c>
      <c r="J152" s="90">
        <f t="shared" ref="J152:J160" si="15">IF($I$215=0,0,I152/$I$215)</f>
        <v>6.426790343596521E-3</v>
      </c>
      <c r="L152" s="109">
        <f t="shared" ref="L152:L160" si="16">IF(I152=0,0,I152/$I$235)</f>
        <v>1.8353464912966555</v>
      </c>
      <c r="M152" s="25">
        <v>0</v>
      </c>
      <c r="N152" s="116">
        <f>SUM('ALPINE MEADOW:WOODLAND'!L150)</f>
        <v>11460.359873953395</v>
      </c>
      <c r="O152" s="116">
        <f>SUM('ALPINE MEADOW:WOODLAND'!M150)</f>
        <v>11460.359873953395</v>
      </c>
      <c r="P152" s="117"/>
      <c r="Q152" s="118">
        <f>IF(N152=0,0,I152/O152)</f>
        <v>297.41960967702687</v>
      </c>
      <c r="R152" s="57"/>
      <c r="S152" s="119">
        <f>O152/$I$235</f>
        <v>6.170899401319538E-3</v>
      </c>
      <c r="T152" s="68"/>
    </row>
    <row r="153" spans="1:20" s="25" customFormat="1" ht="15.5">
      <c r="A153" s="32"/>
      <c r="B153" s="323" t="s">
        <v>696</v>
      </c>
      <c r="C153" s="14">
        <f>SUM('ALPINE MEADOW:WOODLAND'!C151)</f>
        <v>3000082.8099999996</v>
      </c>
      <c r="D153" s="14">
        <f>SUM('ALPINE MEADOW:WOODLAND'!D151)</f>
        <v>1561</v>
      </c>
      <c r="E153" s="14">
        <f>SUM('ALPINE MEADOW:WOODLAND'!E151)</f>
        <v>0</v>
      </c>
      <c r="F153" s="14">
        <f>SUM('ALPINE MEADOW:WOODLAND'!F151)</f>
        <v>3001643.8099999996</v>
      </c>
      <c r="G153" s="14">
        <f>SUM('ALPINE MEADOW:WOODLAND'!G151)</f>
        <v>-6980</v>
      </c>
      <c r="H153" s="14">
        <f>SUM('ALPINE MEADOW:WOODLAND'!H151)</f>
        <v>0</v>
      </c>
      <c r="I153" s="14">
        <f>SUM('ALPINE MEADOW:WOODLAND'!I151)</f>
        <v>2994663.8099999996</v>
      </c>
      <c r="J153" s="90">
        <f t="shared" si="15"/>
        <v>5.6464352463695671E-3</v>
      </c>
      <c r="L153" s="109">
        <f t="shared" si="16"/>
        <v>1.6124946612088766</v>
      </c>
      <c r="M153" s="25">
        <v>433</v>
      </c>
      <c r="N153" s="116">
        <f>SUM('ALPINE MEADOW:WOODLAND'!L151)</f>
        <v>39940.639999999999</v>
      </c>
      <c r="O153" s="116">
        <f>SUM('ALPINE MEADOW:WOODLAND'!M151)</f>
        <v>40134.03</v>
      </c>
      <c r="P153" s="117"/>
      <c r="Q153" s="118">
        <f>IF(N153=0,0,I153/O153)</f>
        <v>74.616573765455399</v>
      </c>
      <c r="R153" s="57"/>
      <c r="S153" s="119">
        <f>O153/$I$235</f>
        <v>2.1610408785017139E-2</v>
      </c>
      <c r="T153" s="68"/>
    </row>
    <row r="154" spans="1:20" s="25" customFormat="1" ht="15.5">
      <c r="A154" s="32"/>
      <c r="B154" s="323" t="s">
        <v>698</v>
      </c>
      <c r="C154" s="14">
        <f>SUM('ALPINE MEADOW:WOODLAND'!C152)</f>
        <v>1527752.8900000001</v>
      </c>
      <c r="D154" s="14">
        <f>SUM('ALPINE MEADOW:WOODLAND'!D152)</f>
        <v>432</v>
      </c>
      <c r="E154" s="14">
        <f>SUM('ALPINE MEADOW:WOODLAND'!E152)</f>
        <v>-2776.53</v>
      </c>
      <c r="F154" s="14">
        <f>SUM('ALPINE MEADOW:WOODLAND'!F152)</f>
        <v>1525408.36</v>
      </c>
      <c r="G154" s="14">
        <f>SUM('ALPINE MEADOW:WOODLAND'!G152)</f>
        <v>-130394</v>
      </c>
      <c r="H154" s="14">
        <f>SUM('ALPINE MEADOW:WOODLAND'!H152)</f>
        <v>0</v>
      </c>
      <c r="I154" s="14">
        <f>SUM('ALPINE MEADOW:WOODLAND'!I152)</f>
        <v>1395014.36</v>
      </c>
      <c r="J154" s="90">
        <f t="shared" si="15"/>
        <v>2.6302980071394675E-3</v>
      </c>
      <c r="L154" s="109">
        <f t="shared" si="16"/>
        <v>0.75115383579892336</v>
      </c>
      <c r="M154" s="25">
        <v>36</v>
      </c>
      <c r="N154" s="116">
        <f>SUM('ALPINE MEADOW:WOODLAND'!L152)</f>
        <v>17354.759999999998</v>
      </c>
      <c r="O154" s="116">
        <f>SUM('ALPINE MEADOW:WOODLAND'!M152)</f>
        <v>16820.759999999998</v>
      </c>
      <c r="P154" s="117"/>
      <c r="Q154" s="118">
        <f>IF(N154=0,0,I154/O154)</f>
        <v>82.934086212513591</v>
      </c>
      <c r="R154" s="57"/>
      <c r="S154" s="119">
        <f>O154/$I$235</f>
        <v>9.0572389484600696E-3</v>
      </c>
      <c r="T154" s="68"/>
    </row>
    <row r="155" spans="1:20" s="25" customFormat="1" ht="15.5">
      <c r="A155" s="32"/>
      <c r="B155" s="323" t="s">
        <v>683</v>
      </c>
      <c r="C155" s="14">
        <f>SUM('ALPINE MEADOW:WOODLAND'!C153)</f>
        <v>3987693.7699999991</v>
      </c>
      <c r="D155" s="14">
        <f>SUM('ALPINE MEADOW:WOODLAND'!D153)</f>
        <v>1895</v>
      </c>
      <c r="E155" s="14">
        <f>SUM('ALPINE MEADOW:WOODLAND'!E153)</f>
        <v>0</v>
      </c>
      <c r="F155" s="14">
        <f>SUM('ALPINE MEADOW:WOODLAND'!F153)</f>
        <v>3989588.7699999991</v>
      </c>
      <c r="G155" s="14">
        <f>SUM('ALPINE MEADOW:WOODLAND'!G153)</f>
        <v>8971</v>
      </c>
      <c r="H155" s="14">
        <f>SUM('ALPINE MEADOW:WOODLAND'!H153)</f>
        <v>0</v>
      </c>
      <c r="I155" s="14">
        <f>SUM('ALPINE MEADOW:WOODLAND'!I153)</f>
        <v>3998559.7699999991</v>
      </c>
      <c r="J155" s="90">
        <f t="shared" si="15"/>
        <v>7.5392799501067817E-3</v>
      </c>
      <c r="L155" s="109">
        <f t="shared" si="16"/>
        <v>2.153048452423644</v>
      </c>
      <c r="M155" s="25">
        <v>314</v>
      </c>
      <c r="N155" s="116">
        <f>SUM('ALPINE MEADOW:WOODLAND'!L153)</f>
        <v>118290.83333333333</v>
      </c>
      <c r="O155" s="116">
        <f>SUM('ALPINE MEADOW:WOODLAND'!M153)</f>
        <v>118290.83333333333</v>
      </c>
      <c r="P155" s="117"/>
      <c r="Q155" s="118">
        <f>IF(N155=0,0,I155/O155)</f>
        <v>33.802786381024163</v>
      </c>
      <c r="R155" s="57"/>
      <c r="S155" s="119">
        <f>O155/$I$235</f>
        <v>6.3694407560209249E-2</v>
      </c>
      <c r="T155" s="68"/>
    </row>
    <row r="156" spans="1:20" s="25" customFormat="1" ht="15.5">
      <c r="A156" s="32"/>
      <c r="B156" s="323" t="s">
        <v>700</v>
      </c>
      <c r="C156" s="14">
        <f>SUM('ALPINE MEADOW:WOODLAND'!C154)</f>
        <v>1530682.03</v>
      </c>
      <c r="D156" s="14">
        <f>SUM('ALPINE MEADOW:WOODLAND'!D154)</f>
        <v>-63880</v>
      </c>
      <c r="E156" s="14">
        <f>SUM('ALPINE MEADOW:WOODLAND'!E154)</f>
        <v>0</v>
      </c>
      <c r="F156" s="14">
        <f>SUM('ALPINE MEADOW:WOODLAND'!F154)</f>
        <v>1466802.03</v>
      </c>
      <c r="G156" s="14">
        <f>SUM('ALPINE MEADOW:WOODLAND'!G154)</f>
        <v>-27441</v>
      </c>
      <c r="H156" s="14">
        <f>SUM('ALPINE MEADOW:WOODLAND'!H154)</f>
        <v>167441</v>
      </c>
      <c r="I156" s="14">
        <f>SUM('ALPINE MEADOW:WOODLAND'!I154)</f>
        <v>1606802.03</v>
      </c>
      <c r="J156" s="90">
        <f t="shared" si="15"/>
        <v>3.0296234207772962E-3</v>
      </c>
      <c r="L156" s="109">
        <f t="shared" si="16"/>
        <v>0.8651921749421968</v>
      </c>
      <c r="M156" s="25">
        <v>0</v>
      </c>
      <c r="N156" s="116">
        <f>SUM('ALPINE MEADOW:WOODLAND'!L154)</f>
        <v>14229.14</v>
      </c>
      <c r="O156" s="116">
        <f>SUM('ALPINE MEADOW:WOODLAND'!M154)</f>
        <v>14501.36</v>
      </c>
      <c r="P156" s="117"/>
      <c r="Q156" s="118">
        <f>IF(N156=0,0,I156/O156)</f>
        <v>110.80354049551214</v>
      </c>
      <c r="R156" s="57"/>
      <c r="S156" s="119">
        <f>O156/$I$235</f>
        <v>7.8083441293758972E-3</v>
      </c>
      <c r="T156" s="68"/>
    </row>
    <row r="157" spans="1:20" s="25" customFormat="1" ht="15.5">
      <c r="A157" s="32">
        <v>110</v>
      </c>
      <c r="B157" s="25" t="s">
        <v>57</v>
      </c>
      <c r="C157" s="14">
        <f>SUM('ALPINE MEADOW:WOODLAND'!C155)</f>
        <v>10708985.770000003</v>
      </c>
      <c r="D157" s="14">
        <f>SUM('ALPINE MEADOW:WOODLAND'!D155)</f>
        <v>81045.81</v>
      </c>
      <c r="E157" s="14">
        <f>SUM('ALPINE MEADOW:WOODLAND'!E155)</f>
        <v>75.732581048113275</v>
      </c>
      <c r="F157" s="14">
        <f>SUM('ALPINE MEADOW:WOODLAND'!F155)</f>
        <v>10790107.312581049</v>
      </c>
      <c r="G157" s="14">
        <f>SUM('ALPINE MEADOW:WOODLAND'!G155)</f>
        <v>-128564.81</v>
      </c>
      <c r="H157" s="14">
        <f>SUM('ALPINE MEADOW:WOODLAND'!H155)</f>
        <v>0</v>
      </c>
      <c r="I157" s="14">
        <f>SUM('ALPINE MEADOW:WOODLAND'!I155)</f>
        <v>10661542.502581051</v>
      </c>
      <c r="J157" s="90">
        <f t="shared" si="15"/>
        <v>2.0102326400117963E-2</v>
      </c>
      <c r="L157" s="109">
        <f t="shared" si="16"/>
        <v>5.7407714042076297</v>
      </c>
      <c r="N157" s="88"/>
      <c r="O157" s="88"/>
      <c r="P157" s="88"/>
      <c r="Q157" s="110"/>
      <c r="R157" s="111"/>
      <c r="S157" s="123"/>
      <c r="T157" s="56"/>
    </row>
    <row r="158" spans="1:20" s="25" customFormat="1" ht="15.5">
      <c r="A158" s="32">
        <v>111</v>
      </c>
      <c r="B158" s="24" t="s">
        <v>89</v>
      </c>
      <c r="C158" s="14">
        <f>SUM('ALPINE MEADOW:WOODLAND'!C156)</f>
        <v>767807.47</v>
      </c>
      <c r="D158" s="14">
        <f>SUM('ALPINE MEADOW:WOODLAND'!D156)</f>
        <v>-2532</v>
      </c>
      <c r="E158" s="14">
        <f>SUM('ALPINE MEADOW:WOODLAND'!E156)</f>
        <v>0</v>
      </c>
      <c r="F158" s="14">
        <f>SUM('ALPINE MEADOW:WOODLAND'!F156)</f>
        <v>765275.47</v>
      </c>
      <c r="G158" s="14">
        <f>SUM('ALPINE MEADOW:WOODLAND'!G156)</f>
        <v>-35297</v>
      </c>
      <c r="H158" s="14">
        <f>SUM('ALPINE MEADOW:WOODLAND'!H156)</f>
        <v>0</v>
      </c>
      <c r="I158" s="14">
        <f>SUM('ALPINE MEADOW:WOODLAND'!I156)</f>
        <v>729978.47</v>
      </c>
      <c r="J158" s="90">
        <f t="shared" si="15"/>
        <v>1.3763735843520045E-3</v>
      </c>
      <c r="L158" s="109">
        <f t="shared" si="16"/>
        <v>0.39306127844528371</v>
      </c>
      <c r="N158" s="88"/>
      <c r="O158" s="88"/>
      <c r="P158" s="88"/>
      <c r="Q158" s="110"/>
      <c r="R158" s="111"/>
      <c r="S158" s="123"/>
      <c r="T158" s="56"/>
    </row>
    <row r="159" spans="1:20" s="25" customFormat="1" ht="15.5">
      <c r="A159" s="32">
        <v>230</v>
      </c>
      <c r="B159" s="24" t="s">
        <v>58</v>
      </c>
      <c r="C159" s="14">
        <f>SUM('ALPINE MEADOW:WOODLAND'!C157)</f>
        <v>192075.16999999995</v>
      </c>
      <c r="D159" s="14">
        <f>SUM('ALPINE MEADOW:WOODLAND'!D157)</f>
        <v>0</v>
      </c>
      <c r="E159" s="14">
        <f>SUM('ALPINE MEADOW:WOODLAND'!E157)</f>
        <v>0</v>
      </c>
      <c r="F159" s="14">
        <f>SUM('ALPINE MEADOW:WOODLAND'!F157)</f>
        <v>192075.16999999995</v>
      </c>
      <c r="G159" s="14">
        <f>SUM('ALPINE MEADOW:WOODLAND'!G157)</f>
        <v>-2565</v>
      </c>
      <c r="H159" s="14">
        <f>SUM('ALPINE MEADOW:WOODLAND'!H157)</f>
        <v>0</v>
      </c>
      <c r="I159" s="14">
        <f>SUM('ALPINE MEADOW:WOODLAND'!I157)</f>
        <v>189510.16999999995</v>
      </c>
      <c r="J159" s="90">
        <f t="shared" si="15"/>
        <v>3.5732121243802937E-4</v>
      </c>
      <c r="L159" s="109">
        <f t="shared" si="16"/>
        <v>0.10204288586563798</v>
      </c>
      <c r="N159" s="88"/>
      <c r="O159" s="88"/>
      <c r="P159" s="88"/>
      <c r="Q159" s="110"/>
      <c r="R159" s="111"/>
      <c r="S159" s="123"/>
      <c r="T159" s="56"/>
    </row>
    <row r="160" spans="1:20" s="25" customFormat="1" ht="15.5">
      <c r="A160" s="32">
        <v>430</v>
      </c>
      <c r="B160" s="24" t="s">
        <v>91</v>
      </c>
      <c r="C160" s="14">
        <f>SUM('ALPINE MEADOW:WOODLAND'!C158)</f>
        <v>917945.96000000008</v>
      </c>
      <c r="D160" s="14">
        <f>SUM('ALPINE MEADOW:WOODLAND'!D158)</f>
        <v>857872</v>
      </c>
      <c r="E160" s="14">
        <f>SUM('ALPINE MEADOW:WOODLAND'!E158)</f>
        <v>0</v>
      </c>
      <c r="F160" s="14">
        <f>SUM('ALPINE MEADOW:WOODLAND'!F158)</f>
        <v>1775817.96</v>
      </c>
      <c r="G160" s="14">
        <f>SUM('ALPINE MEADOW:WOODLAND'!G158)</f>
        <v>1194617</v>
      </c>
      <c r="H160" s="14">
        <f>SUM('ALPINE MEADOW:WOODLAND'!H158)</f>
        <v>0</v>
      </c>
      <c r="I160" s="14">
        <f>SUM('ALPINE MEADOW:WOODLAND'!I158)</f>
        <v>2970434.96</v>
      </c>
      <c r="J160" s="90">
        <f t="shared" si="15"/>
        <v>5.6007517769389864E-3</v>
      </c>
      <c r="L160" s="109">
        <f t="shared" si="16"/>
        <v>1.5994484918386225</v>
      </c>
      <c r="N160" s="88"/>
      <c r="O160" s="88"/>
      <c r="P160" s="88"/>
      <c r="Q160" s="110"/>
      <c r="R160" s="111"/>
      <c r="S160" s="123"/>
      <c r="T160" s="56"/>
    </row>
    <row r="161" spans="1:20" s="25" customFormat="1" ht="15.5">
      <c r="A161" s="32"/>
      <c r="B161" s="71" t="s">
        <v>283</v>
      </c>
      <c r="C161" s="13"/>
      <c r="D161" s="13"/>
      <c r="E161" s="13"/>
      <c r="F161" s="13"/>
      <c r="G161" s="13"/>
      <c r="H161" s="13"/>
      <c r="I161" s="13"/>
      <c r="J161" s="72"/>
      <c r="K161" s="66"/>
      <c r="L161" s="127"/>
      <c r="M161" s="66"/>
      <c r="N161" s="88"/>
      <c r="O161" s="88"/>
      <c r="P161" s="88"/>
      <c r="Q161" s="110"/>
      <c r="R161" s="111"/>
      <c r="S161" s="123"/>
      <c r="T161" s="68"/>
    </row>
    <row r="162" spans="1:20" s="25" customFormat="1" ht="15.5">
      <c r="A162" s="32">
        <v>440.1</v>
      </c>
      <c r="B162" s="35" t="s">
        <v>207</v>
      </c>
      <c r="C162" s="14">
        <f>SUM('ALPINE MEADOW:WOODLAND'!C160)</f>
        <v>0</v>
      </c>
      <c r="D162" s="14">
        <f>SUM('ALPINE MEADOW:WOODLAND'!D160)</f>
        <v>0</v>
      </c>
      <c r="E162" s="14">
        <f>SUM('ALPINE MEADOW:WOODLAND'!E160)</f>
        <v>0</v>
      </c>
      <c r="F162" s="14">
        <f>SUM('ALPINE MEADOW:WOODLAND'!F160)</f>
        <v>0</v>
      </c>
      <c r="G162" s="14">
        <f>SUM('ALPINE MEADOW:WOODLAND'!G160)</f>
        <v>0</v>
      </c>
      <c r="H162" s="14">
        <f>SUM('ALPINE MEADOW:WOODLAND'!H160)</f>
        <v>0</v>
      </c>
      <c r="I162" s="14">
        <f>SUM('ALPINE MEADOW:WOODLAND'!I160)</f>
        <v>0</v>
      </c>
      <c r="J162" s="90">
        <f t="shared" ref="J162:J168" si="17">IF($I$215=0,0,I162/$I$215)</f>
        <v>0</v>
      </c>
      <c r="L162" s="109">
        <f>IF(I162=0,0,I162/$I$235)</f>
        <v>0</v>
      </c>
      <c r="N162" s="88"/>
      <c r="O162" s="88"/>
      <c r="P162" s="88"/>
      <c r="Q162" s="110"/>
      <c r="R162" s="111"/>
      <c r="S162" s="123"/>
      <c r="T162" s="56"/>
    </row>
    <row r="163" spans="1:20" s="25" customFormat="1" ht="15.5">
      <c r="A163" s="32">
        <v>440.2</v>
      </c>
      <c r="B163" s="35" t="s">
        <v>208</v>
      </c>
      <c r="C163" s="14">
        <f>SUM('ALPINE MEADOW:WOODLAND'!C161)</f>
        <v>20072.34</v>
      </c>
      <c r="D163" s="14">
        <f>SUM('ALPINE MEADOW:WOODLAND'!D161)</f>
        <v>15254</v>
      </c>
      <c r="E163" s="14">
        <f>SUM('ALPINE MEADOW:WOODLAND'!E161)</f>
        <v>0</v>
      </c>
      <c r="F163" s="14">
        <f>SUM('ALPINE MEADOW:WOODLAND'!F161)</f>
        <v>35326.339999999997</v>
      </c>
      <c r="G163" s="14">
        <f>SUM('ALPINE MEADOW:WOODLAND'!G161)</f>
        <v>0</v>
      </c>
      <c r="H163" s="14">
        <f>SUM('ALPINE MEADOW:WOODLAND'!H161)</f>
        <v>0</v>
      </c>
      <c r="I163" s="14">
        <f>SUM('ALPINE MEADOW:WOODLAND'!I161)</f>
        <v>35326.339999999997</v>
      </c>
      <c r="J163" s="90">
        <f t="shared" si="17"/>
        <v>6.6607774346875718E-5</v>
      </c>
      <c r="L163" s="109">
        <f t="shared" ref="L163:L168" si="18">IF(I163=0,0,I163/$I$235)</f>
        <v>1.902167931499783E-2</v>
      </c>
      <c r="N163" s="88"/>
      <c r="O163" s="88"/>
      <c r="P163" s="88"/>
      <c r="Q163" s="110"/>
      <c r="R163" s="111"/>
      <c r="S163" s="123"/>
      <c r="T163" s="56"/>
    </row>
    <row r="164" spans="1:20" s="25" customFormat="1" ht="15.5">
      <c r="A164" s="32">
        <v>440.3</v>
      </c>
      <c r="B164" s="35" t="s">
        <v>209</v>
      </c>
      <c r="C164" s="14">
        <f>SUM('ALPINE MEADOW:WOODLAND'!C162)</f>
        <v>6067</v>
      </c>
      <c r="D164" s="14">
        <f>SUM('ALPINE MEADOW:WOODLAND'!D162)</f>
        <v>0</v>
      </c>
      <c r="E164" s="14">
        <f>SUM('ALPINE MEADOW:WOODLAND'!E162)</f>
        <v>0</v>
      </c>
      <c r="F164" s="14">
        <f>SUM('ALPINE MEADOW:WOODLAND'!F162)</f>
        <v>6067</v>
      </c>
      <c r="G164" s="14">
        <f>SUM('ALPINE MEADOW:WOODLAND'!G162)</f>
        <v>0</v>
      </c>
      <c r="H164" s="14">
        <f>SUM('ALPINE MEADOW:WOODLAND'!H162)</f>
        <v>0</v>
      </c>
      <c r="I164" s="14">
        <f>SUM('ALPINE MEADOW:WOODLAND'!I162)</f>
        <v>6067</v>
      </c>
      <c r="J164" s="90">
        <f t="shared" si="17"/>
        <v>1.14393216778895E-5</v>
      </c>
      <c r="L164" s="109">
        <f t="shared" si="18"/>
        <v>3.2668124805482774E-3</v>
      </c>
      <c r="N164" s="88"/>
      <c r="O164" s="88"/>
      <c r="P164" s="88"/>
      <c r="Q164" s="110"/>
      <c r="R164" s="111"/>
      <c r="S164" s="123"/>
      <c r="T164" s="56"/>
    </row>
    <row r="165" spans="1:20" s="25" customFormat="1" ht="15.5">
      <c r="A165" s="32">
        <v>440.4</v>
      </c>
      <c r="B165" s="35" t="s">
        <v>210</v>
      </c>
      <c r="C165" s="14">
        <f>SUM('ALPINE MEADOW:WOODLAND'!C163)</f>
        <v>1515</v>
      </c>
      <c r="D165" s="14">
        <f>SUM('ALPINE MEADOW:WOODLAND'!D163)</f>
        <v>0</v>
      </c>
      <c r="E165" s="14">
        <f>SUM('ALPINE MEADOW:WOODLAND'!E163)</f>
        <v>0</v>
      </c>
      <c r="F165" s="14">
        <f>SUM('ALPINE MEADOW:WOODLAND'!F163)</f>
        <v>1515</v>
      </c>
      <c r="G165" s="14">
        <f>SUM('ALPINE MEADOW:WOODLAND'!G163)</f>
        <v>0</v>
      </c>
      <c r="H165" s="14">
        <f>SUM('ALPINE MEADOW:WOODLAND'!H163)</f>
        <v>0</v>
      </c>
      <c r="I165" s="14">
        <f>SUM('ALPINE MEADOW:WOODLAND'!I163)</f>
        <v>1515</v>
      </c>
      <c r="J165" s="90">
        <f t="shared" si="17"/>
        <v>2.8565307964401835E-6</v>
      </c>
      <c r="L165" s="109">
        <f t="shared" si="18"/>
        <v>8.1576082215767929E-4</v>
      </c>
      <c r="N165" s="88"/>
      <c r="O165" s="88"/>
      <c r="P165" s="88"/>
      <c r="Q165" s="110"/>
      <c r="R165" s="111"/>
      <c r="S165" s="123"/>
      <c r="T165" s="56"/>
    </row>
    <row r="166" spans="1:20" s="25" customFormat="1" ht="15.5">
      <c r="A166" s="32">
        <v>440.5</v>
      </c>
      <c r="B166" s="35" t="s">
        <v>282</v>
      </c>
      <c r="C166" s="14">
        <f>SUM('ALPINE MEADOW:WOODLAND'!C164)</f>
        <v>24286.11</v>
      </c>
      <c r="D166" s="14">
        <f>SUM('ALPINE MEADOW:WOODLAND'!D164)</f>
        <v>-5900</v>
      </c>
      <c r="E166" s="14">
        <f>SUM('ALPINE MEADOW:WOODLAND'!E164)</f>
        <v>0</v>
      </c>
      <c r="F166" s="14">
        <f>SUM('ALPINE MEADOW:WOODLAND'!F164)</f>
        <v>18386.11</v>
      </c>
      <c r="G166" s="14">
        <f>SUM('ALPINE MEADOW:WOODLAND'!G164)</f>
        <v>0</v>
      </c>
      <c r="H166" s="14">
        <f>SUM('ALPINE MEADOW:WOODLAND'!H164)</f>
        <v>0</v>
      </c>
      <c r="I166" s="14">
        <f>SUM('ALPINE MEADOW:WOODLAND'!I164)</f>
        <v>18386.11</v>
      </c>
      <c r="J166" s="90">
        <f t="shared" si="17"/>
        <v>3.4666989730519359E-5</v>
      </c>
      <c r="L166" s="109">
        <f t="shared" si="18"/>
        <v>9.900111029624771E-3</v>
      </c>
      <c r="N166" s="88"/>
      <c r="O166" s="88"/>
      <c r="P166" s="88"/>
      <c r="Q166" s="110"/>
      <c r="R166" s="111"/>
      <c r="S166" s="123"/>
      <c r="T166" s="56"/>
    </row>
    <row r="167" spans="1:20" s="25" customFormat="1" ht="15.5">
      <c r="A167" s="32">
        <v>490</v>
      </c>
      <c r="B167" s="2" t="s">
        <v>284</v>
      </c>
      <c r="C167" s="14">
        <f>SUM('ALPINE MEADOW:WOODLAND'!C165)</f>
        <v>1262121.2300000002</v>
      </c>
      <c r="D167" s="14">
        <f>SUM('ALPINE MEADOW:WOODLAND'!D165)</f>
        <v>-128660.17</v>
      </c>
      <c r="E167" s="14">
        <f>SUM('ALPINE MEADOW:WOODLAND'!E165)</f>
        <v>0</v>
      </c>
      <c r="F167" s="14">
        <f>SUM('ALPINE MEADOW:WOODLAND'!F165)</f>
        <v>1133461.0600000003</v>
      </c>
      <c r="G167" s="14">
        <f>SUM('ALPINE MEADOW:WOODLAND'!G165)</f>
        <v>-267519.06</v>
      </c>
      <c r="H167" s="14">
        <f>SUM('ALPINE MEADOW:WOODLAND'!H165)</f>
        <v>0</v>
      </c>
      <c r="I167" s="14">
        <f>SUM('ALPINE MEADOW:WOODLAND'!I165)</f>
        <v>865941.99999999988</v>
      </c>
      <c r="J167" s="90">
        <f t="shared" si="17"/>
        <v>1.6327326672811915E-3</v>
      </c>
      <c r="L167" s="109">
        <f t="shared" si="18"/>
        <v>0.46627165535370629</v>
      </c>
      <c r="N167" s="88"/>
      <c r="O167" s="88"/>
      <c r="P167" s="88"/>
      <c r="Q167" s="110"/>
      <c r="R167" s="111"/>
      <c r="S167" s="123"/>
      <c r="T167" s="56"/>
    </row>
    <row r="168" spans="1:20" s="25" customFormat="1" ht="15.5">
      <c r="A168" s="32"/>
      <c r="B168" s="3" t="s">
        <v>216</v>
      </c>
      <c r="C168" s="14">
        <f>SUM('ALPINE MEADOW:WOODLAND'!C166)</f>
        <v>204291987.09999993</v>
      </c>
      <c r="D168" s="14">
        <f>SUM('ALPINE MEADOW:WOODLAND'!D166)</f>
        <v>12005203.438996162</v>
      </c>
      <c r="E168" s="14">
        <f>SUM('ALPINE MEADOW:WOODLAND'!E166)</f>
        <v>954256.20305052772</v>
      </c>
      <c r="F168" s="14">
        <f>SUM('ALPINE MEADOW:WOODLAND'!F166)</f>
        <v>217251446.74204668</v>
      </c>
      <c r="G168" s="14">
        <f>SUM('ALPINE MEADOW:WOODLAND'!G166)</f>
        <v>219178.06</v>
      </c>
      <c r="H168" s="14">
        <f>SUM('ALPINE MEADOW:WOODLAND'!H166)</f>
        <v>295979</v>
      </c>
      <c r="I168" s="14">
        <f>SUM('ALPINE MEADOW:WOODLAND'!I166)</f>
        <v>217766603.80204666</v>
      </c>
      <c r="J168" s="90">
        <f t="shared" si="17"/>
        <v>0.41059868659850446</v>
      </c>
      <c r="L168" s="109">
        <f t="shared" si="18"/>
        <v>117.25773185217372</v>
      </c>
      <c r="N168" s="88"/>
      <c r="O168" s="88"/>
      <c r="P168" s="88"/>
      <c r="Q168" s="110"/>
      <c r="R168" s="111"/>
      <c r="S168" s="123"/>
      <c r="T168" s="56"/>
    </row>
    <row r="169" spans="1:20" s="25" customFormat="1" ht="15.5">
      <c r="A169" s="32"/>
      <c r="B169" s="24"/>
      <c r="C169" s="17"/>
      <c r="D169" s="17"/>
      <c r="E169" s="17"/>
      <c r="F169" s="17"/>
      <c r="G169" s="17"/>
      <c r="H169" s="17"/>
      <c r="I169" s="17"/>
      <c r="J169" s="70"/>
      <c r="L169" s="121"/>
      <c r="N169" s="91"/>
      <c r="O169" s="91"/>
      <c r="P169" s="91"/>
      <c r="Q169" s="91"/>
      <c r="R169" s="91"/>
      <c r="S169" s="124"/>
    </row>
    <row r="170" spans="1:20" s="25" customFormat="1" ht="15.5">
      <c r="A170" s="32" t="s">
        <v>160</v>
      </c>
      <c r="B170" s="36" t="s">
        <v>92</v>
      </c>
      <c r="C170" s="73"/>
      <c r="D170" s="73"/>
      <c r="E170" s="73"/>
      <c r="F170" s="73"/>
      <c r="G170" s="73"/>
      <c r="H170" s="74"/>
      <c r="I170" s="74"/>
      <c r="J170" s="70"/>
      <c r="L170" s="121"/>
      <c r="N170" s="91"/>
      <c r="O170" s="91"/>
      <c r="P170" s="91"/>
      <c r="Q170" s="91"/>
      <c r="R170" s="91"/>
      <c r="S170" s="124"/>
    </row>
    <row r="171" spans="1:20" s="25" customFormat="1" ht="15.5">
      <c r="A171" s="32" t="s">
        <v>87</v>
      </c>
      <c r="B171" s="24" t="s">
        <v>94</v>
      </c>
      <c r="C171" s="14">
        <f>SUM('ALPINE MEADOW:WOODLAND'!C169)</f>
        <v>57849</v>
      </c>
      <c r="D171" s="14">
        <f>SUM('ALPINE MEADOW:WOODLAND'!D169)</f>
        <v>-57849</v>
      </c>
      <c r="E171" s="14">
        <f>SUM('ALPINE MEADOW:WOODLAND'!E169)</f>
        <v>0</v>
      </c>
      <c r="F171" s="14">
        <f>SUM('ALPINE MEADOW:WOODLAND'!F169)</f>
        <v>0</v>
      </c>
      <c r="G171" s="14">
        <f>SUM('ALPINE MEADOW:WOODLAND'!G169)</f>
        <v>0</v>
      </c>
      <c r="H171" s="14">
        <f>SUM('ALPINE MEADOW:WOODLAND'!H169)</f>
        <v>0</v>
      </c>
      <c r="I171" s="14">
        <f>SUM('ALPINE MEADOW:WOODLAND'!I169)</f>
        <v>0</v>
      </c>
      <c r="J171" s="90">
        <f t="shared" ref="J171:J194" si="19">IF($I$215=0,0,I171/$I$215)</f>
        <v>0</v>
      </c>
      <c r="L171" s="109">
        <f t="shared" ref="L171:L204" si="20">IF(I171=0,0,I171/$I$235)</f>
        <v>0</v>
      </c>
      <c r="M171" s="25">
        <v>0</v>
      </c>
      <c r="N171" s="116">
        <f>SUM('ALPINE MEADOW:WOODLAND'!L169)</f>
        <v>0</v>
      </c>
      <c r="O171" s="116">
        <f>SUM('ALPINE MEADOW:WOODLAND'!M169)</f>
        <v>0</v>
      </c>
      <c r="P171" s="117"/>
      <c r="Q171" s="118">
        <f>IF(N171=0,0,I171/O171)</f>
        <v>0</v>
      </c>
      <c r="R171" s="57"/>
      <c r="S171" s="119">
        <f>O171/$I$235</f>
        <v>0</v>
      </c>
      <c r="T171" s="56"/>
    </row>
    <row r="172" spans="1:20" s="25" customFormat="1" ht="15.5">
      <c r="A172" s="32" t="s">
        <v>115</v>
      </c>
      <c r="B172" s="24" t="s">
        <v>95</v>
      </c>
      <c r="C172" s="14">
        <f>SUM('ALPINE MEADOW:WOODLAND'!C170)</f>
        <v>0</v>
      </c>
      <c r="D172" s="14">
        <f>SUM('ALPINE MEADOW:WOODLAND'!D170)</f>
        <v>0</v>
      </c>
      <c r="E172" s="14">
        <f>SUM('ALPINE MEADOW:WOODLAND'!E170)</f>
        <v>0</v>
      </c>
      <c r="F172" s="14">
        <f>SUM('ALPINE MEADOW:WOODLAND'!F170)</f>
        <v>0</v>
      </c>
      <c r="G172" s="14">
        <f>SUM('ALPINE MEADOW:WOODLAND'!G170)</f>
        <v>0</v>
      </c>
      <c r="H172" s="14">
        <f>SUM('ALPINE MEADOW:WOODLAND'!H170)</f>
        <v>0</v>
      </c>
      <c r="I172" s="14">
        <f>SUM('ALPINE MEADOW:WOODLAND'!I170)</f>
        <v>0</v>
      </c>
      <c r="J172" s="90">
        <f t="shared" si="19"/>
        <v>0</v>
      </c>
      <c r="L172" s="109">
        <f t="shared" si="20"/>
        <v>0</v>
      </c>
      <c r="N172" s="88"/>
      <c r="O172" s="88"/>
      <c r="P172" s="88"/>
      <c r="Q172" s="128"/>
      <c r="R172" s="111"/>
      <c r="S172" s="123"/>
      <c r="T172" s="56"/>
    </row>
    <row r="173" spans="1:20" s="25" customFormat="1" ht="15.5">
      <c r="A173" s="32" t="s">
        <v>116</v>
      </c>
      <c r="B173" s="24" t="s">
        <v>96</v>
      </c>
      <c r="C173" s="14">
        <f>SUM('ALPINE MEADOW:WOODLAND'!C171)</f>
        <v>10011461.52</v>
      </c>
      <c r="D173" s="14">
        <f>SUM('ALPINE MEADOW:WOODLAND'!D171)</f>
        <v>115972.90322192847</v>
      </c>
      <c r="E173" s="14">
        <f>SUM('ALPINE MEADOW:WOODLAND'!E171)</f>
        <v>0</v>
      </c>
      <c r="F173" s="14">
        <f>SUM('ALPINE MEADOW:WOODLAND'!F171)</f>
        <v>10127434.423221927</v>
      </c>
      <c r="G173" s="14">
        <f>SUM('ALPINE MEADOW:WOODLAND'!G171)</f>
        <v>-538306</v>
      </c>
      <c r="H173" s="14">
        <f>SUM('ALPINE MEADOW:WOODLAND'!H171)</f>
        <v>39792</v>
      </c>
      <c r="I173" s="14">
        <f>SUM('ALPINE MEADOW:WOODLAND'!I171)</f>
        <v>9628920.4232219271</v>
      </c>
      <c r="J173" s="90">
        <f t="shared" si="19"/>
        <v>1.8155318630630548E-2</v>
      </c>
      <c r="L173" s="109">
        <f t="shared" si="20"/>
        <v>5.1847498620055372</v>
      </c>
      <c r="M173" s="25">
        <v>0</v>
      </c>
      <c r="N173" s="116">
        <f>SUM('ALPINE MEADOW:WOODLAND'!L171)</f>
        <v>305066.21240168379</v>
      </c>
      <c r="O173" s="116">
        <f>SUM('ALPINE MEADOW:WOODLAND'!M171)</f>
        <v>325229.23366642644</v>
      </c>
      <c r="P173" s="117"/>
      <c r="Q173" s="118">
        <f>IF(N173=0,0,I173/O173)</f>
        <v>29.606564928594008</v>
      </c>
      <c r="R173" s="57"/>
      <c r="S173" s="119">
        <f>O173/$I$235</f>
        <v>0.17512162841282905</v>
      </c>
      <c r="T173" s="56"/>
    </row>
    <row r="174" spans="1:20" s="25" customFormat="1" ht="15.5">
      <c r="A174" s="32" t="s">
        <v>149</v>
      </c>
      <c r="B174" s="24" t="s">
        <v>97</v>
      </c>
      <c r="C174" s="14">
        <f>SUM('ALPINE MEADOW:WOODLAND'!C172)</f>
        <v>1219147.6599999999</v>
      </c>
      <c r="D174" s="14">
        <f>SUM('ALPINE MEADOW:WOODLAND'!D172)</f>
        <v>717801.9836076973</v>
      </c>
      <c r="E174" s="14">
        <f>SUM('ALPINE MEADOW:WOODLAND'!E172)</f>
        <v>0</v>
      </c>
      <c r="F174" s="14">
        <f>SUM('ALPINE MEADOW:WOODLAND'!F172)</f>
        <v>1936949.6436076974</v>
      </c>
      <c r="G174" s="14">
        <f>SUM('ALPINE MEADOW:WOODLAND'!G172)</f>
        <v>-106096</v>
      </c>
      <c r="H174" s="14">
        <f>SUM('ALPINE MEADOW:WOODLAND'!H172)</f>
        <v>0</v>
      </c>
      <c r="I174" s="14">
        <f>SUM('ALPINE MEADOW:WOODLAND'!I172)</f>
        <v>1830853.6436076974</v>
      </c>
      <c r="J174" s="90">
        <f t="shared" si="19"/>
        <v>3.4520724862971012E-3</v>
      </c>
      <c r="L174" s="109">
        <f t="shared" si="20"/>
        <v>0.98583410796026272</v>
      </c>
      <c r="N174" s="88"/>
      <c r="O174" s="88"/>
      <c r="P174" s="88"/>
      <c r="Q174" s="128"/>
      <c r="R174" s="111"/>
      <c r="S174" s="123"/>
      <c r="T174" s="56"/>
    </row>
    <row r="175" spans="1:20" s="25" customFormat="1" ht="15.5">
      <c r="A175" s="32" t="s">
        <v>150</v>
      </c>
      <c r="B175" s="25" t="s">
        <v>98</v>
      </c>
      <c r="C175" s="14">
        <f>SUM('ALPINE MEADOW:WOODLAND'!C173)</f>
        <v>1566819.3</v>
      </c>
      <c r="D175" s="14">
        <f>SUM('ALPINE MEADOW:WOODLAND'!D173)</f>
        <v>73888.335367701104</v>
      </c>
      <c r="E175" s="14">
        <f>SUM('ALPINE MEADOW:WOODLAND'!E173)</f>
        <v>0</v>
      </c>
      <c r="F175" s="14">
        <f>SUM('ALPINE MEADOW:WOODLAND'!F173)</f>
        <v>1640707.6353677011</v>
      </c>
      <c r="G175" s="14">
        <f>SUM('ALPINE MEADOW:WOODLAND'!G173)</f>
        <v>0</v>
      </c>
      <c r="H175" s="14">
        <f>SUM('ALPINE MEADOW:WOODLAND'!H173)</f>
        <v>0</v>
      </c>
      <c r="I175" s="14">
        <f>SUM('ALPINE MEADOW:WOODLAND'!I173)</f>
        <v>1640707.6353677011</v>
      </c>
      <c r="J175" s="90">
        <f t="shared" si="19"/>
        <v>3.0935524015725342E-3</v>
      </c>
      <c r="L175" s="109">
        <f t="shared" si="20"/>
        <v>0.88344885118675753</v>
      </c>
      <c r="M175" s="25">
        <v>0</v>
      </c>
      <c r="N175" s="116">
        <f>SUM('ALPINE MEADOW:WOODLAND'!L173)</f>
        <v>39500.098653213128</v>
      </c>
      <c r="O175" s="116">
        <f>SUM('ALPINE MEADOW:WOODLAND'!M173)</f>
        <v>43063.90828765402</v>
      </c>
      <c r="P175" s="117"/>
      <c r="Q175" s="118">
        <f>IF(N175=0,0,I175/O175)</f>
        <v>38.099366746006076</v>
      </c>
      <c r="R175" s="57"/>
      <c r="S175" s="119">
        <f>O175/$I$235</f>
        <v>2.3188019293768673E-2</v>
      </c>
      <c r="T175" s="56"/>
    </row>
    <row r="176" spans="1:20" s="25" customFormat="1" ht="15.5">
      <c r="A176" s="32" t="s">
        <v>78</v>
      </c>
      <c r="B176" s="25" t="s">
        <v>99</v>
      </c>
      <c r="C176" s="14">
        <f>SUM('ALPINE MEADOW:WOODLAND'!C174)</f>
        <v>216357.36</v>
      </c>
      <c r="D176" s="14">
        <f>SUM('ALPINE MEADOW:WOODLAND'!D174)</f>
        <v>112506.27207684057</v>
      </c>
      <c r="E176" s="14">
        <f>SUM('ALPINE MEADOW:WOODLAND'!E174)</f>
        <v>0</v>
      </c>
      <c r="F176" s="14">
        <f>SUM('ALPINE MEADOW:WOODLAND'!F174)</f>
        <v>328863.63207684056</v>
      </c>
      <c r="G176" s="14">
        <f>SUM('ALPINE MEADOW:WOODLAND'!G174)</f>
        <v>-7799</v>
      </c>
      <c r="H176" s="14">
        <f>SUM('ALPINE MEADOW:WOODLAND'!H174)</f>
        <v>0</v>
      </c>
      <c r="I176" s="14">
        <f>SUM('ALPINE MEADOW:WOODLAND'!I174)</f>
        <v>321064.63207684056</v>
      </c>
      <c r="J176" s="90">
        <f t="shared" si="19"/>
        <v>6.0536700275592862E-4</v>
      </c>
      <c r="L176" s="109">
        <f t="shared" si="20"/>
        <v>0.17287917374835396</v>
      </c>
      <c r="N176" s="88"/>
      <c r="O176" s="88"/>
      <c r="P176" s="88"/>
      <c r="Q176" s="128"/>
      <c r="R176" s="111"/>
      <c r="S176" s="123"/>
      <c r="T176" s="56"/>
    </row>
    <row r="177" spans="1:20" s="25" customFormat="1" ht="15.5">
      <c r="A177" s="32" t="s">
        <v>88</v>
      </c>
      <c r="B177" s="24" t="s">
        <v>100</v>
      </c>
      <c r="C177" s="14">
        <f>SUM('ALPINE MEADOW:WOODLAND'!C175)</f>
        <v>0</v>
      </c>
      <c r="D177" s="14">
        <f>SUM('ALPINE MEADOW:WOODLAND'!D175)</f>
        <v>0</v>
      </c>
      <c r="E177" s="14">
        <f>SUM('ALPINE MEADOW:WOODLAND'!E175)</f>
        <v>0</v>
      </c>
      <c r="F177" s="14">
        <f>SUM('ALPINE MEADOW:WOODLAND'!F175)</f>
        <v>0</v>
      </c>
      <c r="G177" s="14">
        <f>SUM('ALPINE MEADOW:WOODLAND'!G175)</f>
        <v>0</v>
      </c>
      <c r="H177" s="14">
        <f>SUM('ALPINE MEADOW:WOODLAND'!H175)</f>
        <v>0</v>
      </c>
      <c r="I177" s="14">
        <f>SUM('ALPINE MEADOW:WOODLAND'!I175)</f>
        <v>0</v>
      </c>
      <c r="J177" s="90">
        <f t="shared" si="19"/>
        <v>0</v>
      </c>
      <c r="L177" s="109">
        <f t="shared" si="20"/>
        <v>0</v>
      </c>
      <c r="M177" s="25">
        <v>0</v>
      </c>
      <c r="N177" s="116">
        <f>SUM('ALPINE MEADOW:WOODLAND'!L175)</f>
        <v>0</v>
      </c>
      <c r="O177" s="116">
        <f>SUM('ALPINE MEADOW:WOODLAND'!M175)</f>
        <v>0</v>
      </c>
      <c r="P177" s="117"/>
      <c r="Q177" s="118">
        <f>IF(N177=0,0,I177/O177)</f>
        <v>0</v>
      </c>
      <c r="R177" s="57"/>
      <c r="S177" s="119">
        <f>O177/$I$235</f>
        <v>0</v>
      </c>
      <c r="T177" s="56"/>
    </row>
    <row r="178" spans="1:20" s="25" customFormat="1" ht="15.5">
      <c r="A178" s="32" t="s">
        <v>117</v>
      </c>
      <c r="B178" s="24" t="s">
        <v>101</v>
      </c>
      <c r="C178" s="14">
        <f>SUM('ALPINE MEADOW:WOODLAND'!C176)</f>
        <v>0</v>
      </c>
      <c r="D178" s="14">
        <f>SUM('ALPINE MEADOW:WOODLAND'!D176)</f>
        <v>0</v>
      </c>
      <c r="E178" s="14">
        <f>SUM('ALPINE MEADOW:WOODLAND'!E176)</f>
        <v>0</v>
      </c>
      <c r="F178" s="14">
        <f>SUM('ALPINE MEADOW:WOODLAND'!F176)</f>
        <v>0</v>
      </c>
      <c r="G178" s="14">
        <f>SUM('ALPINE MEADOW:WOODLAND'!G176)</f>
        <v>0</v>
      </c>
      <c r="H178" s="14">
        <f>SUM('ALPINE MEADOW:WOODLAND'!H176)</f>
        <v>0</v>
      </c>
      <c r="I178" s="14">
        <f>SUM('ALPINE MEADOW:WOODLAND'!I176)</f>
        <v>0</v>
      </c>
      <c r="J178" s="90">
        <f t="shared" si="19"/>
        <v>0</v>
      </c>
      <c r="L178" s="109">
        <f t="shared" si="20"/>
        <v>0</v>
      </c>
      <c r="N178" s="88"/>
      <c r="O178" s="88"/>
      <c r="P178" s="88"/>
      <c r="Q178" s="128"/>
      <c r="R178" s="111"/>
      <c r="S178" s="123"/>
      <c r="T178" s="56"/>
    </row>
    <row r="179" spans="1:20" s="25" customFormat="1" ht="15.5">
      <c r="A179" s="32" t="s">
        <v>118</v>
      </c>
      <c r="B179" s="24" t="s">
        <v>102</v>
      </c>
      <c r="C179" s="14">
        <f>SUM('ALPINE MEADOW:WOODLAND'!C177)</f>
        <v>5960826.1800000006</v>
      </c>
      <c r="D179" s="14">
        <f>SUM('ALPINE MEADOW:WOODLAND'!D177)</f>
        <v>176358.02728774134</v>
      </c>
      <c r="E179" s="14">
        <f>SUM('ALPINE MEADOW:WOODLAND'!E177)</f>
        <v>0</v>
      </c>
      <c r="F179" s="14">
        <f>SUM('ALPINE MEADOW:WOODLAND'!F177)</f>
        <v>6137184.2072877418</v>
      </c>
      <c r="G179" s="14">
        <f>SUM('ALPINE MEADOW:WOODLAND'!G177)</f>
        <v>217417</v>
      </c>
      <c r="H179" s="14">
        <f>SUM('ALPINE MEADOW:WOODLAND'!H177)</f>
        <v>0</v>
      </c>
      <c r="I179" s="14">
        <f>SUM('ALPINE MEADOW:WOODLAND'!I177)</f>
        <v>6354601.2072877418</v>
      </c>
      <c r="J179" s="90">
        <f t="shared" si="19"/>
        <v>1.1981593430833931E-2</v>
      </c>
      <c r="L179" s="109">
        <f t="shared" si="20"/>
        <v>3.4216730728324949</v>
      </c>
      <c r="M179" s="25">
        <v>0</v>
      </c>
      <c r="N179" s="116">
        <f>SUM('ALPINE MEADOW:WOODLAND'!L177)</f>
        <v>177771.99100064478</v>
      </c>
      <c r="O179" s="116">
        <f>SUM('ALPINE MEADOW:WOODLAND'!M177)</f>
        <v>192422.34916219153</v>
      </c>
      <c r="P179" s="117"/>
      <c r="Q179" s="118">
        <f>IF(N179=0,0,I179/O179)</f>
        <v>33.024236711357737</v>
      </c>
      <c r="R179" s="57"/>
      <c r="S179" s="119">
        <f>O179/$I$235</f>
        <v>0.10361096617429795</v>
      </c>
      <c r="T179" s="56"/>
    </row>
    <row r="180" spans="1:20" s="25" customFormat="1" ht="15.5">
      <c r="A180" s="32" t="s">
        <v>119</v>
      </c>
      <c r="B180" s="24" t="s">
        <v>103</v>
      </c>
      <c r="C180" s="14">
        <f>SUM('ALPINE MEADOW:WOODLAND'!C178)</f>
        <v>727847.41999999993</v>
      </c>
      <c r="D180" s="14">
        <f>SUM('ALPINE MEADOW:WOODLAND'!D178)</f>
        <v>489803.91113389068</v>
      </c>
      <c r="E180" s="14">
        <f>SUM('ALPINE MEADOW:WOODLAND'!E178)</f>
        <v>0</v>
      </c>
      <c r="F180" s="14">
        <f>SUM('ALPINE MEADOW:WOODLAND'!F178)</f>
        <v>1217651.3311338907</v>
      </c>
      <c r="G180" s="14">
        <f>SUM('ALPINE MEADOW:WOODLAND'!G178)</f>
        <v>15951</v>
      </c>
      <c r="H180" s="14">
        <f>SUM('ALPINE MEADOW:WOODLAND'!H178)</f>
        <v>0</v>
      </c>
      <c r="I180" s="14">
        <f>SUM('ALPINE MEADOW:WOODLAND'!I178)</f>
        <v>1233602.3311338907</v>
      </c>
      <c r="J180" s="90">
        <f t="shared" si="19"/>
        <v>2.3259558082140987E-3</v>
      </c>
      <c r="L180" s="109">
        <f t="shared" si="20"/>
        <v>0.66424056228476069</v>
      </c>
      <c r="N180" s="88"/>
      <c r="O180" s="88"/>
      <c r="P180" s="88"/>
      <c r="Q180" s="128"/>
      <c r="R180" s="111"/>
      <c r="S180" s="123"/>
      <c r="T180" s="56"/>
    </row>
    <row r="181" spans="1:20" s="25" customFormat="1" ht="15.5">
      <c r="A181" s="32" t="s">
        <v>120</v>
      </c>
      <c r="B181" s="24" t="s">
        <v>104</v>
      </c>
      <c r="C181" s="14">
        <f>SUM('ALPINE MEADOW:WOODLAND'!C179)</f>
        <v>0</v>
      </c>
      <c r="D181" s="14">
        <f>SUM('ALPINE MEADOW:WOODLAND'!D179)</f>
        <v>0</v>
      </c>
      <c r="E181" s="14">
        <f>SUM('ALPINE MEADOW:WOODLAND'!E179)</f>
        <v>0</v>
      </c>
      <c r="F181" s="14">
        <f>SUM('ALPINE MEADOW:WOODLAND'!F179)</f>
        <v>0</v>
      </c>
      <c r="G181" s="14">
        <f>SUM('ALPINE MEADOW:WOODLAND'!G179)</f>
        <v>0</v>
      </c>
      <c r="H181" s="14">
        <f>SUM('ALPINE MEADOW:WOODLAND'!H179)</f>
        <v>0</v>
      </c>
      <c r="I181" s="14">
        <f>SUM('ALPINE MEADOW:WOODLAND'!I179)</f>
        <v>0</v>
      </c>
      <c r="J181" s="90">
        <f t="shared" si="19"/>
        <v>0</v>
      </c>
      <c r="L181" s="109">
        <f t="shared" si="20"/>
        <v>0</v>
      </c>
      <c r="M181" s="25">
        <v>0</v>
      </c>
      <c r="N181" s="116">
        <f>SUM('ALPINE MEADOW:WOODLAND'!L179)</f>
        <v>0</v>
      </c>
      <c r="O181" s="116">
        <f>SUM('ALPINE MEADOW:WOODLAND'!M179)</f>
        <v>0</v>
      </c>
      <c r="P181" s="117"/>
      <c r="Q181" s="118">
        <f>IF(N181=0,0,I181/O181)</f>
        <v>0</v>
      </c>
      <c r="R181" s="57"/>
      <c r="S181" s="119">
        <f>O181/$I$235</f>
        <v>0</v>
      </c>
      <c r="T181" s="56"/>
    </row>
    <row r="182" spans="1:20" s="25" customFormat="1" ht="15.5">
      <c r="A182" s="32" t="s">
        <v>121</v>
      </c>
      <c r="B182" s="2" t="s">
        <v>105</v>
      </c>
      <c r="C182" s="14">
        <f>SUM('ALPINE MEADOW:WOODLAND'!C180)</f>
        <v>0</v>
      </c>
      <c r="D182" s="14">
        <f>SUM('ALPINE MEADOW:WOODLAND'!D180)</f>
        <v>0</v>
      </c>
      <c r="E182" s="14">
        <f>SUM('ALPINE MEADOW:WOODLAND'!E180)</f>
        <v>0</v>
      </c>
      <c r="F182" s="14">
        <f>SUM('ALPINE MEADOW:WOODLAND'!F180)</f>
        <v>0</v>
      </c>
      <c r="G182" s="14">
        <f>SUM('ALPINE MEADOW:WOODLAND'!G180)</f>
        <v>0</v>
      </c>
      <c r="H182" s="14">
        <f>SUM('ALPINE MEADOW:WOODLAND'!H180)</f>
        <v>0</v>
      </c>
      <c r="I182" s="14">
        <f>SUM('ALPINE MEADOW:WOODLAND'!I180)</f>
        <v>0</v>
      </c>
      <c r="J182" s="90">
        <f t="shared" si="19"/>
        <v>0</v>
      </c>
      <c r="L182" s="109">
        <f t="shared" si="20"/>
        <v>0</v>
      </c>
      <c r="N182" s="94"/>
      <c r="O182" s="94"/>
      <c r="P182" s="94"/>
      <c r="Q182" s="110"/>
      <c r="R182" s="111"/>
      <c r="S182" s="110"/>
      <c r="T182" s="56"/>
    </row>
    <row r="183" spans="1:20" s="25" customFormat="1" ht="15.5">
      <c r="A183" s="32">
        <v>112</v>
      </c>
      <c r="B183" s="2" t="s">
        <v>146</v>
      </c>
      <c r="C183" s="14">
        <f>SUM('ALPINE MEADOW:WOODLAND'!C181)</f>
        <v>0</v>
      </c>
      <c r="D183" s="14">
        <f>SUM('ALPINE MEADOW:WOODLAND'!D181)</f>
        <v>0</v>
      </c>
      <c r="E183" s="14">
        <f>SUM('ALPINE MEADOW:WOODLAND'!E181)</f>
        <v>0</v>
      </c>
      <c r="F183" s="14">
        <f>SUM('ALPINE MEADOW:WOODLAND'!F181)</f>
        <v>0</v>
      </c>
      <c r="G183" s="14">
        <f>SUM('ALPINE MEADOW:WOODLAND'!G181)</f>
        <v>0</v>
      </c>
      <c r="H183" s="14">
        <f>SUM('ALPINE MEADOW:WOODLAND'!H181)</f>
        <v>0</v>
      </c>
      <c r="I183" s="14">
        <f>SUM('ALPINE MEADOW:WOODLAND'!I181)</f>
        <v>0</v>
      </c>
      <c r="J183" s="90">
        <f t="shared" si="19"/>
        <v>0</v>
      </c>
      <c r="L183" s="109">
        <f t="shared" si="20"/>
        <v>0</v>
      </c>
      <c r="N183" s="88"/>
      <c r="O183" s="88"/>
      <c r="P183" s="88"/>
      <c r="Q183" s="110"/>
      <c r="R183" s="111"/>
      <c r="S183" s="110"/>
      <c r="T183" s="56"/>
    </row>
    <row r="184" spans="1:20" s="25" customFormat="1" ht="15.5">
      <c r="A184" s="32">
        <v>113</v>
      </c>
      <c r="B184" s="2" t="s">
        <v>106</v>
      </c>
      <c r="C184" s="14">
        <f>SUM('ALPINE MEADOW:WOODLAND'!C182)</f>
        <v>337358.14999999997</v>
      </c>
      <c r="D184" s="14">
        <f>SUM('ALPINE MEADOW:WOODLAND'!D182)</f>
        <v>0</v>
      </c>
      <c r="E184" s="14">
        <f>SUM('ALPINE MEADOW:WOODLAND'!E182)</f>
        <v>0</v>
      </c>
      <c r="F184" s="14">
        <f>SUM('ALPINE MEADOW:WOODLAND'!F182)</f>
        <v>337358.14999999997</v>
      </c>
      <c r="G184" s="14">
        <f>SUM('ALPINE MEADOW:WOODLAND'!G182)</f>
        <v>-2094</v>
      </c>
      <c r="H184" s="14">
        <f>SUM('ALPINE MEADOW:WOODLAND'!H182)</f>
        <v>0</v>
      </c>
      <c r="I184" s="14">
        <f>SUM('ALPINE MEADOW:WOODLAND'!I182)</f>
        <v>335264.14999999997</v>
      </c>
      <c r="J184" s="90">
        <f t="shared" si="19"/>
        <v>6.321401778332284E-4</v>
      </c>
      <c r="L184" s="109">
        <f t="shared" si="20"/>
        <v>0.18052498920395743</v>
      </c>
      <c r="N184" s="88"/>
      <c r="O184" s="88"/>
      <c r="P184" s="88"/>
      <c r="Q184" s="110"/>
      <c r="R184" s="111"/>
      <c r="S184" s="110"/>
      <c r="T184" s="56"/>
    </row>
    <row r="185" spans="1:20" s="25" customFormat="1" ht="15.5">
      <c r="A185" s="32">
        <v>114</v>
      </c>
      <c r="B185" s="25" t="s">
        <v>147</v>
      </c>
      <c r="C185" s="14">
        <f>SUM('ALPINE MEADOW:WOODLAND'!C183)</f>
        <v>77159.02</v>
      </c>
      <c r="D185" s="14">
        <f>SUM('ALPINE MEADOW:WOODLAND'!D183)</f>
        <v>0</v>
      </c>
      <c r="E185" s="14">
        <f>SUM('ALPINE MEADOW:WOODLAND'!E183)</f>
        <v>0</v>
      </c>
      <c r="F185" s="14">
        <f>SUM('ALPINE MEADOW:WOODLAND'!F183)</f>
        <v>77159.02</v>
      </c>
      <c r="G185" s="14">
        <f>SUM('ALPINE MEADOW:WOODLAND'!G183)</f>
        <v>0</v>
      </c>
      <c r="H185" s="14">
        <f>SUM('ALPINE MEADOW:WOODLAND'!H183)</f>
        <v>0</v>
      </c>
      <c r="I185" s="14">
        <f>SUM('ALPINE MEADOW:WOODLAND'!I183)</f>
        <v>77159.02</v>
      </c>
      <c r="J185" s="90">
        <f t="shared" si="19"/>
        <v>1.4548324544761985E-4</v>
      </c>
      <c r="L185" s="109">
        <f t="shared" si="20"/>
        <v>4.1546736364409788E-2</v>
      </c>
      <c r="N185" s="88"/>
      <c r="O185" s="88"/>
      <c r="P185" s="88"/>
      <c r="Q185" s="110"/>
      <c r="R185" s="111"/>
      <c r="S185" s="110"/>
      <c r="T185" s="56"/>
    </row>
    <row r="186" spans="1:20" s="25" customFormat="1" ht="15.5">
      <c r="A186" s="32">
        <v>115</v>
      </c>
      <c r="B186" s="2" t="s">
        <v>107</v>
      </c>
      <c r="C186" s="14">
        <f>SUM('ALPINE MEADOW:WOODLAND'!C184)</f>
        <v>0</v>
      </c>
      <c r="D186" s="14">
        <f>SUM('ALPINE MEADOW:WOODLAND'!D184)</f>
        <v>0</v>
      </c>
      <c r="E186" s="14">
        <f>SUM('ALPINE MEADOW:WOODLAND'!E184)</f>
        <v>0</v>
      </c>
      <c r="F186" s="14">
        <f>SUM('ALPINE MEADOW:WOODLAND'!F184)</f>
        <v>0</v>
      </c>
      <c r="G186" s="14">
        <f>SUM('ALPINE MEADOW:WOODLAND'!G184)</f>
        <v>0</v>
      </c>
      <c r="H186" s="14">
        <f>SUM('ALPINE MEADOW:WOODLAND'!H184)</f>
        <v>0</v>
      </c>
      <c r="I186" s="14">
        <f>SUM('ALPINE MEADOW:WOODLAND'!I184)</f>
        <v>0</v>
      </c>
      <c r="J186" s="90">
        <f t="shared" si="19"/>
        <v>0</v>
      </c>
      <c r="L186" s="109">
        <f t="shared" si="20"/>
        <v>0</v>
      </c>
      <c r="N186" s="88"/>
      <c r="O186" s="88"/>
      <c r="P186" s="88"/>
      <c r="Q186" s="110"/>
      <c r="R186" s="111"/>
      <c r="S186" s="110"/>
      <c r="T186" s="56"/>
    </row>
    <row r="187" spans="1:20" s="25" customFormat="1" ht="15.5">
      <c r="A187" s="32">
        <v>116</v>
      </c>
      <c r="B187" s="2" t="s">
        <v>108</v>
      </c>
      <c r="C187" s="14">
        <f>SUM('ALPINE MEADOW:WOODLAND'!C185)</f>
        <v>164622.68</v>
      </c>
      <c r="D187" s="14">
        <f>SUM('ALPINE MEADOW:WOODLAND'!D185)</f>
        <v>0</v>
      </c>
      <c r="E187" s="14">
        <f>SUM('ALPINE MEADOW:WOODLAND'!E185)</f>
        <v>0</v>
      </c>
      <c r="F187" s="14">
        <f>SUM('ALPINE MEADOW:WOODLAND'!F185)</f>
        <v>164622.68</v>
      </c>
      <c r="G187" s="14">
        <f>SUM('ALPINE MEADOW:WOODLAND'!G185)</f>
        <v>0</v>
      </c>
      <c r="H187" s="14">
        <f>SUM('ALPINE MEADOW:WOODLAND'!H185)</f>
        <v>0</v>
      </c>
      <c r="I187" s="14">
        <f>SUM('ALPINE MEADOW:WOODLAND'!I185)</f>
        <v>164622.68</v>
      </c>
      <c r="J187" s="90">
        <f t="shared" si="19"/>
        <v>3.1039587802806436E-4</v>
      </c>
      <c r="L187" s="109">
        <f t="shared" si="20"/>
        <v>8.8642067843300684E-2</v>
      </c>
      <c r="N187" s="88"/>
      <c r="O187" s="88"/>
      <c r="P187" s="88"/>
      <c r="Q187" s="110"/>
      <c r="R187" s="111"/>
      <c r="S187" s="110"/>
      <c r="T187" s="56"/>
    </row>
    <row r="188" spans="1:20" s="25" customFormat="1" ht="15.5">
      <c r="A188" s="32">
        <v>117</v>
      </c>
      <c r="B188" s="2" t="s">
        <v>109</v>
      </c>
      <c r="C188" s="14">
        <f>SUM('ALPINE MEADOW:WOODLAND'!C186)</f>
        <v>442417.96</v>
      </c>
      <c r="D188" s="14">
        <f>SUM('ALPINE MEADOW:WOODLAND'!D186)</f>
        <v>0</v>
      </c>
      <c r="E188" s="14">
        <f>SUM('ALPINE MEADOW:WOODLAND'!E186)</f>
        <v>0</v>
      </c>
      <c r="F188" s="14">
        <f>SUM('ALPINE MEADOW:WOODLAND'!F186)</f>
        <v>442417.96</v>
      </c>
      <c r="G188" s="14">
        <f>SUM('ALPINE MEADOW:WOODLAND'!G186)</f>
        <v>0</v>
      </c>
      <c r="H188" s="14">
        <f>SUM('ALPINE MEADOW:WOODLAND'!H186)</f>
        <v>-554</v>
      </c>
      <c r="I188" s="14">
        <f>SUM('ALPINE MEADOW:WOODLAND'!I186)</f>
        <v>441863.96</v>
      </c>
      <c r="J188" s="90">
        <f t="shared" si="19"/>
        <v>8.3313399972080094E-4</v>
      </c>
      <c r="L188" s="109">
        <f t="shared" si="20"/>
        <v>0.23792429524187983</v>
      </c>
      <c r="N188" s="88"/>
      <c r="O188" s="88"/>
      <c r="P188" s="88"/>
      <c r="Q188" s="110"/>
      <c r="R188" s="111"/>
      <c r="S188" s="110"/>
      <c r="T188" s="56"/>
    </row>
    <row r="189" spans="1:20" s="25" customFormat="1" ht="15.5">
      <c r="A189" s="32" t="s">
        <v>124</v>
      </c>
      <c r="B189" s="2" t="s">
        <v>110</v>
      </c>
      <c r="C189" s="14">
        <f>SUM('ALPINE MEADOW:WOODLAND'!C187)</f>
        <v>177621.88</v>
      </c>
      <c r="D189" s="14">
        <f>SUM('ALPINE MEADOW:WOODLAND'!D187)</f>
        <v>0</v>
      </c>
      <c r="E189" s="14">
        <f>SUM('ALPINE MEADOW:WOODLAND'!E187)</f>
        <v>0</v>
      </c>
      <c r="F189" s="14">
        <f>SUM('ALPINE MEADOW:WOODLAND'!F187)</f>
        <v>177621.88</v>
      </c>
      <c r="G189" s="14">
        <f>SUM('ALPINE MEADOW:WOODLAND'!G187)</f>
        <v>0</v>
      </c>
      <c r="H189" s="14">
        <f>SUM('ALPINE MEADOW:WOODLAND'!H187)</f>
        <v>0</v>
      </c>
      <c r="I189" s="14">
        <f>SUM('ALPINE MEADOW:WOODLAND'!I187)</f>
        <v>177621.88</v>
      </c>
      <c r="J189" s="90">
        <f t="shared" si="19"/>
        <v>3.3490585501095888E-4</v>
      </c>
      <c r="L189" s="109">
        <f t="shared" si="20"/>
        <v>9.5641564925407693E-2</v>
      </c>
      <c r="N189" s="88"/>
      <c r="O189" s="88"/>
      <c r="P189" s="88"/>
      <c r="Q189" s="110"/>
      <c r="R189" s="111"/>
      <c r="S189" s="110"/>
      <c r="T189" s="56"/>
    </row>
    <row r="190" spans="1:20" s="25" customFormat="1" ht="15.5">
      <c r="A190" s="32" t="s">
        <v>125</v>
      </c>
      <c r="B190" s="2" t="s">
        <v>111</v>
      </c>
      <c r="C190" s="14">
        <f>SUM('ALPINE MEADOW:WOODLAND'!C188)</f>
        <v>11673732.680000002</v>
      </c>
      <c r="D190" s="14">
        <f>SUM('ALPINE MEADOW:WOODLAND'!D188)</f>
        <v>0</v>
      </c>
      <c r="E190" s="14">
        <f>SUM('ALPINE MEADOW:WOODLAND'!E188)</f>
        <v>-77141.939999999988</v>
      </c>
      <c r="F190" s="14">
        <f>SUM('ALPINE MEADOW:WOODLAND'!F188)</f>
        <v>11596590.74</v>
      </c>
      <c r="G190" s="14">
        <f>SUM('ALPINE MEADOW:WOODLAND'!G188)</f>
        <v>542856</v>
      </c>
      <c r="H190" s="14">
        <f>SUM('ALPINE MEADOW:WOODLAND'!H188)</f>
        <v>51836</v>
      </c>
      <c r="I190" s="14">
        <f>SUM('ALPINE MEADOW:WOODLAND'!I188)</f>
        <v>12191282.74</v>
      </c>
      <c r="J190" s="90">
        <f t="shared" si="19"/>
        <v>2.2986649897636744E-2</v>
      </c>
      <c r="L190" s="109">
        <f t="shared" si="20"/>
        <v>6.5644691954713696</v>
      </c>
      <c r="N190" s="88"/>
      <c r="O190" s="88"/>
      <c r="P190" s="88"/>
      <c r="Q190" s="110"/>
      <c r="R190" s="111"/>
      <c r="S190" s="110"/>
      <c r="T190" s="56"/>
    </row>
    <row r="191" spans="1:20" s="25" customFormat="1" ht="15.5">
      <c r="A191" s="32" t="s">
        <v>126</v>
      </c>
      <c r="B191" s="2" t="s">
        <v>112</v>
      </c>
      <c r="C191" s="14">
        <f>SUM('ALPINE MEADOW:WOODLAND'!C189)</f>
        <v>2799150.77</v>
      </c>
      <c r="D191" s="14">
        <f>SUM('ALPINE MEADOW:WOODLAND'!D189)</f>
        <v>0</v>
      </c>
      <c r="E191" s="14">
        <f>SUM('ALPINE MEADOW:WOODLAND'!E189)</f>
        <v>-7888.85</v>
      </c>
      <c r="F191" s="14">
        <f>SUM('ALPINE MEADOW:WOODLAND'!F189)</f>
        <v>2791261.92</v>
      </c>
      <c r="G191" s="14">
        <f>SUM('ALPINE MEADOW:WOODLAND'!G189)</f>
        <v>0</v>
      </c>
      <c r="H191" s="14">
        <f>SUM('ALPINE MEADOW:WOODLAND'!H189)</f>
        <v>0</v>
      </c>
      <c r="I191" s="14">
        <f>SUM('ALPINE MEADOW:WOODLAND'!I189)</f>
        <v>2791261.92</v>
      </c>
      <c r="J191" s="90">
        <f t="shared" si="19"/>
        <v>5.2629212114922485E-3</v>
      </c>
      <c r="L191" s="109">
        <f t="shared" si="20"/>
        <v>1.502971695522523</v>
      </c>
      <c r="N191" s="88"/>
      <c r="O191" s="88"/>
      <c r="P191" s="88"/>
      <c r="Q191" s="110"/>
      <c r="R191" s="111"/>
      <c r="S191" s="110"/>
      <c r="T191" s="56"/>
    </row>
    <row r="192" spans="1:20" s="25" customFormat="1" ht="15.5">
      <c r="A192" s="32" t="s">
        <v>127</v>
      </c>
      <c r="B192" s="2" t="s">
        <v>123</v>
      </c>
      <c r="C192" s="14">
        <f>SUM('ALPINE MEADOW:WOODLAND'!C190)</f>
        <v>0</v>
      </c>
      <c r="D192" s="14">
        <f>SUM('ALPINE MEADOW:WOODLAND'!D190)</f>
        <v>0</v>
      </c>
      <c r="E192" s="14">
        <f>SUM('ALPINE MEADOW:WOODLAND'!E190)</f>
        <v>0</v>
      </c>
      <c r="F192" s="14">
        <f>SUM('ALPINE MEADOW:WOODLAND'!F190)</f>
        <v>0</v>
      </c>
      <c r="G192" s="14">
        <f>SUM('ALPINE MEADOW:WOODLAND'!G190)</f>
        <v>0</v>
      </c>
      <c r="H192" s="14">
        <f>SUM('ALPINE MEADOW:WOODLAND'!H190)</f>
        <v>0</v>
      </c>
      <c r="I192" s="14">
        <f>SUM('ALPINE MEADOW:WOODLAND'!I190)</f>
        <v>0</v>
      </c>
      <c r="J192" s="90">
        <f t="shared" si="19"/>
        <v>0</v>
      </c>
      <c r="L192" s="109">
        <f t="shared" si="20"/>
        <v>0</v>
      </c>
      <c r="N192" s="88"/>
      <c r="O192" s="88"/>
      <c r="P192" s="88"/>
      <c r="Q192" s="110"/>
      <c r="R192" s="111"/>
      <c r="S192" s="110"/>
      <c r="T192" s="56"/>
    </row>
    <row r="193" spans="1:20" s="25" customFormat="1" ht="15.5">
      <c r="A193" s="32" t="s">
        <v>128</v>
      </c>
      <c r="B193" s="2" t="s">
        <v>113</v>
      </c>
      <c r="C193" s="14">
        <f>SUM('ALPINE MEADOW:WOODLAND'!C191)</f>
        <v>9370847.5700000022</v>
      </c>
      <c r="D193" s="14">
        <f>SUM('ALPINE MEADOW:WOODLAND'!D191)</f>
        <v>0</v>
      </c>
      <c r="E193" s="14">
        <f>SUM('ALPINE MEADOW:WOODLAND'!E191)</f>
        <v>-59140.650000000009</v>
      </c>
      <c r="F193" s="14">
        <f>SUM('ALPINE MEADOW:WOODLAND'!F191)</f>
        <v>9311706.9199999999</v>
      </c>
      <c r="G193" s="14">
        <f>SUM('ALPINE MEADOW:WOODLAND'!G191)</f>
        <v>-217417</v>
      </c>
      <c r="H193" s="14">
        <f>SUM('ALPINE MEADOW:WOODLAND'!H191)</f>
        <v>0</v>
      </c>
      <c r="I193" s="14">
        <f>SUM('ALPINE MEADOW:WOODLAND'!I191)</f>
        <v>9094289.9200000018</v>
      </c>
      <c r="J193" s="90">
        <f t="shared" si="19"/>
        <v>1.7147273417977255E-2</v>
      </c>
      <c r="L193" s="109">
        <f t="shared" si="20"/>
        <v>4.8968748660590737</v>
      </c>
      <c r="N193" s="88"/>
      <c r="O193" s="88"/>
      <c r="P193" s="88"/>
      <c r="Q193" s="110"/>
      <c r="R193" s="111"/>
      <c r="S193" s="110"/>
      <c r="T193" s="56"/>
    </row>
    <row r="194" spans="1:20" s="25" customFormat="1" ht="15.5">
      <c r="A194" s="32" t="s">
        <v>129</v>
      </c>
      <c r="B194" s="2" t="s">
        <v>114</v>
      </c>
      <c r="C194" s="14">
        <f>SUM('ALPINE MEADOW:WOODLAND'!C192)</f>
        <v>2437460.9900000002</v>
      </c>
      <c r="D194" s="14">
        <f>SUM('ALPINE MEADOW:WOODLAND'!D192)</f>
        <v>0</v>
      </c>
      <c r="E194" s="14">
        <f>SUM('ALPINE MEADOW:WOODLAND'!E192)</f>
        <v>-23388</v>
      </c>
      <c r="F194" s="14">
        <f>SUM('ALPINE MEADOW:WOODLAND'!F192)</f>
        <v>2414072.9900000002</v>
      </c>
      <c r="G194" s="14">
        <f>SUM('ALPINE MEADOW:WOODLAND'!G192)</f>
        <v>0</v>
      </c>
      <c r="H194" s="14">
        <f>SUM('ALPINE MEADOW:WOODLAND'!H192)</f>
        <v>-334</v>
      </c>
      <c r="I194" s="14">
        <f>SUM('ALPINE MEADOW:WOODLAND'!I192)</f>
        <v>2413738.9900000002</v>
      </c>
      <c r="J194" s="90">
        <f t="shared" si="19"/>
        <v>4.551102151487409E-3</v>
      </c>
      <c r="L194" s="109">
        <f t="shared" si="20"/>
        <v>1.2996922131725721</v>
      </c>
      <c r="N194" s="88"/>
      <c r="O194" s="88"/>
      <c r="P194" s="88"/>
      <c r="Q194" s="110"/>
      <c r="R194" s="111"/>
      <c r="S194" s="110"/>
      <c r="T194" s="56"/>
    </row>
    <row r="195" spans="1:20" s="25" customFormat="1" ht="15.5">
      <c r="A195" s="37" t="s">
        <v>256</v>
      </c>
      <c r="B195" s="38" t="s">
        <v>257</v>
      </c>
      <c r="C195" s="14">
        <f>SUM('ALPINE MEADOW:WOODLAND'!C193)</f>
        <v>1084336.1100000001</v>
      </c>
      <c r="D195" s="14">
        <f>SUM('ALPINE MEADOW:WOODLAND'!D193)</f>
        <v>0</v>
      </c>
      <c r="E195" s="14">
        <f>SUM('ALPINE MEADOW:WOODLAND'!E193)</f>
        <v>0</v>
      </c>
      <c r="F195" s="14">
        <f>SUM('ALPINE MEADOW:WOODLAND'!F193)</f>
        <v>1084336.1100000001</v>
      </c>
      <c r="G195" s="14">
        <f>SUM('ALPINE MEADOW:WOODLAND'!G193)</f>
        <v>-1080431</v>
      </c>
      <c r="H195" s="14">
        <f>SUM('ALPINE MEADOW:WOODLAND'!H193)</f>
        <v>0</v>
      </c>
      <c r="I195" s="14">
        <f>SUM('ALPINE MEADOW:WOODLAND'!I193)</f>
        <v>3905.11</v>
      </c>
      <c r="J195" s="90">
        <f t="shared" ref="J195:J204" si="21">IF($I$215=0,0,I195/$I$215)</f>
        <v>7.3630805138524927E-6</v>
      </c>
      <c r="L195" s="109">
        <f t="shared" si="20"/>
        <v>2.1027298641690924E-3</v>
      </c>
      <c r="N195" s="88"/>
      <c r="O195" s="88"/>
      <c r="P195" s="88"/>
      <c r="Q195" s="110"/>
      <c r="R195" s="111"/>
      <c r="S195" s="110"/>
      <c r="T195" s="56"/>
    </row>
    <row r="196" spans="1:20" s="25" customFormat="1" ht="15.5">
      <c r="A196" s="37" t="s">
        <v>258</v>
      </c>
      <c r="B196" s="38" t="s">
        <v>259</v>
      </c>
      <c r="C196" s="14">
        <f>SUM('ALPINE MEADOW:WOODLAND'!C194)</f>
        <v>2935.1</v>
      </c>
      <c r="D196" s="14">
        <f>SUM('ALPINE MEADOW:WOODLAND'!D194)</f>
        <v>0</v>
      </c>
      <c r="E196" s="14">
        <f>SUM('ALPINE MEADOW:WOODLAND'!E194)</f>
        <v>0</v>
      </c>
      <c r="F196" s="14">
        <f>SUM('ALPINE MEADOW:WOODLAND'!F194)</f>
        <v>2935.1</v>
      </c>
      <c r="G196" s="14">
        <f>SUM('ALPINE MEADOW:WOODLAND'!G194)</f>
        <v>2975</v>
      </c>
      <c r="H196" s="14">
        <f>SUM('ALPINE MEADOW:WOODLAND'!H194)</f>
        <v>0</v>
      </c>
      <c r="I196" s="14">
        <f>SUM('ALPINE MEADOW:WOODLAND'!I194)</f>
        <v>5910.1</v>
      </c>
      <c r="J196" s="90">
        <f t="shared" si="21"/>
        <v>1.1143486904317578E-5</v>
      </c>
      <c r="L196" s="109">
        <f t="shared" si="20"/>
        <v>3.182328735996106E-3</v>
      </c>
      <c r="N196" s="88"/>
      <c r="O196" s="88"/>
      <c r="P196" s="88"/>
      <c r="Q196" s="110"/>
      <c r="R196" s="111"/>
      <c r="S196" s="110"/>
      <c r="T196" s="56"/>
    </row>
    <row r="197" spans="1:20" s="25" customFormat="1" ht="15.5">
      <c r="A197" s="37" t="s">
        <v>260</v>
      </c>
      <c r="B197" s="38" t="s">
        <v>261</v>
      </c>
      <c r="C197" s="14">
        <f>SUM('ALPINE MEADOW:WOODLAND'!C195)</f>
        <v>4654</v>
      </c>
      <c r="D197" s="14">
        <f>SUM('ALPINE MEADOW:WOODLAND'!D195)</f>
        <v>0</v>
      </c>
      <c r="E197" s="14">
        <f>SUM('ALPINE MEADOW:WOODLAND'!E195)</f>
        <v>0</v>
      </c>
      <c r="F197" s="14">
        <f>SUM('ALPINE MEADOW:WOODLAND'!F195)</f>
        <v>4654</v>
      </c>
      <c r="G197" s="14">
        <f>SUM('ALPINE MEADOW:WOODLAND'!G195)</f>
        <v>403</v>
      </c>
      <c r="H197" s="14">
        <f>SUM('ALPINE MEADOW:WOODLAND'!H195)</f>
        <v>0</v>
      </c>
      <c r="I197" s="14">
        <f>SUM('ALPINE MEADOW:WOODLAND'!I195)</f>
        <v>5057</v>
      </c>
      <c r="J197" s="90">
        <f t="shared" si="21"/>
        <v>9.5349678135960446E-6</v>
      </c>
      <c r="L197" s="109">
        <f t="shared" si="20"/>
        <v>2.7229719324431581E-3</v>
      </c>
      <c r="N197" s="88"/>
      <c r="O197" s="88"/>
      <c r="P197" s="88"/>
      <c r="Q197" s="110"/>
      <c r="R197" s="111"/>
      <c r="S197" s="110"/>
      <c r="T197" s="56"/>
    </row>
    <row r="198" spans="1:20" s="25" customFormat="1" ht="15.5">
      <c r="A198" s="37" t="s">
        <v>262</v>
      </c>
      <c r="B198" s="38" t="s">
        <v>263</v>
      </c>
      <c r="C198" s="14">
        <f>SUM('ALPINE MEADOW:WOODLAND'!C196)</f>
        <v>61.35</v>
      </c>
      <c r="D198" s="14">
        <f>SUM('ALPINE MEADOW:WOODLAND'!D196)</f>
        <v>0</v>
      </c>
      <c r="E198" s="14">
        <f>SUM('ALPINE MEADOW:WOODLAND'!E196)</f>
        <v>0</v>
      </c>
      <c r="F198" s="14">
        <f>SUM('ALPINE MEADOW:WOODLAND'!F196)</f>
        <v>61.35</v>
      </c>
      <c r="G198" s="14">
        <f>SUM('ALPINE MEADOW:WOODLAND'!G196)</f>
        <v>2840</v>
      </c>
      <c r="H198" s="14">
        <f>SUM('ALPINE MEADOW:WOODLAND'!H196)</f>
        <v>0</v>
      </c>
      <c r="I198" s="14">
        <f>SUM('ALPINE MEADOW:WOODLAND'!I196)</f>
        <v>2901.35</v>
      </c>
      <c r="J198" s="90">
        <f t="shared" si="21"/>
        <v>5.4704921625423939E-6</v>
      </c>
      <c r="L198" s="109">
        <f t="shared" si="20"/>
        <v>1.5622492814304837E-3</v>
      </c>
      <c r="N198" s="88"/>
      <c r="O198" s="88"/>
      <c r="P198" s="88"/>
      <c r="Q198" s="110"/>
      <c r="R198" s="111"/>
      <c r="S198" s="110"/>
      <c r="T198" s="56"/>
    </row>
    <row r="199" spans="1:20" s="25" customFormat="1" ht="15.5">
      <c r="A199" s="37" t="s">
        <v>264</v>
      </c>
      <c r="B199" s="38" t="s">
        <v>265</v>
      </c>
      <c r="C199" s="14">
        <f>SUM('ALPINE MEADOW:WOODLAND'!C197)</f>
        <v>160404.71</v>
      </c>
      <c r="D199" s="14">
        <f>SUM('ALPINE MEADOW:WOODLAND'!D197)</f>
        <v>0</v>
      </c>
      <c r="E199" s="14">
        <f>SUM('ALPINE MEADOW:WOODLAND'!E197)</f>
        <v>0</v>
      </c>
      <c r="F199" s="14">
        <f>SUM('ALPINE MEADOW:WOODLAND'!F197)</f>
        <v>160404.71</v>
      </c>
      <c r="G199" s="14">
        <f>SUM('ALPINE MEADOW:WOODLAND'!G197)</f>
        <v>0</v>
      </c>
      <c r="H199" s="14">
        <f>SUM('ALPINE MEADOW:WOODLAND'!H197)</f>
        <v>0</v>
      </c>
      <c r="I199" s="14">
        <f>SUM('ALPINE MEADOW:WOODLAND'!I197)</f>
        <v>160404.71</v>
      </c>
      <c r="J199" s="90">
        <f t="shared" si="21"/>
        <v>3.0244290033601097E-4</v>
      </c>
      <c r="L199" s="109">
        <f t="shared" si="20"/>
        <v>8.6370876638656183E-2</v>
      </c>
      <c r="N199" s="88"/>
      <c r="O199" s="88"/>
      <c r="P199" s="88"/>
      <c r="Q199" s="110"/>
      <c r="R199" s="111"/>
      <c r="S199" s="110"/>
      <c r="T199" s="56"/>
    </row>
    <row r="200" spans="1:20" s="25" customFormat="1" ht="15.5">
      <c r="A200" s="37" t="s">
        <v>266</v>
      </c>
      <c r="B200" s="38" t="s">
        <v>267</v>
      </c>
      <c r="C200" s="14">
        <f>SUM('ALPINE MEADOW:WOODLAND'!C198)</f>
        <v>49949</v>
      </c>
      <c r="D200" s="14">
        <f>SUM('ALPINE MEADOW:WOODLAND'!D198)</f>
        <v>0</v>
      </c>
      <c r="E200" s="14">
        <f>SUM('ALPINE MEADOW:WOODLAND'!E198)</f>
        <v>0</v>
      </c>
      <c r="F200" s="14">
        <f>SUM('ALPINE MEADOW:WOODLAND'!F198)</f>
        <v>49949</v>
      </c>
      <c r="G200" s="14">
        <f>SUM('ALPINE MEADOW:WOODLAND'!G198)</f>
        <v>0</v>
      </c>
      <c r="H200" s="14">
        <f>SUM('ALPINE MEADOW:WOODLAND'!H198)</f>
        <v>0</v>
      </c>
      <c r="I200" s="14">
        <f>SUM('ALPINE MEADOW:WOODLAND'!I198)</f>
        <v>49949</v>
      </c>
      <c r="J200" s="90">
        <f t="shared" si="21"/>
        <v>9.4178783334251311E-5</v>
      </c>
      <c r="L200" s="109">
        <f t="shared" si="20"/>
        <v>2.6895338155745165E-2</v>
      </c>
      <c r="N200" s="88"/>
      <c r="O200" s="88"/>
      <c r="P200" s="88"/>
      <c r="Q200" s="110"/>
      <c r="R200" s="111"/>
      <c r="S200" s="110"/>
      <c r="T200" s="56"/>
    </row>
    <row r="201" spans="1:20" s="25" customFormat="1" ht="15.5">
      <c r="A201" s="37" t="s">
        <v>130</v>
      </c>
      <c r="B201" s="38" t="s">
        <v>268</v>
      </c>
      <c r="C201" s="14">
        <f>SUM('ALPINE MEADOW:WOODLAND'!C199)</f>
        <v>17471559.340000004</v>
      </c>
      <c r="D201" s="14">
        <f>SUM('ALPINE MEADOW:WOODLAND'!D199)</f>
        <v>-1335</v>
      </c>
      <c r="E201" s="14">
        <f>SUM('ALPINE MEADOW:WOODLAND'!E199)</f>
        <v>-2090318.27</v>
      </c>
      <c r="F201" s="14">
        <f>SUM('ALPINE MEADOW:WOODLAND'!F199)</f>
        <v>15379906.07</v>
      </c>
      <c r="G201" s="14">
        <f>SUM('ALPINE MEADOW:WOODLAND'!G199)</f>
        <v>2753</v>
      </c>
      <c r="H201" s="14">
        <f>SUM('ALPINE MEADOW:WOODLAND'!H199)</f>
        <v>0</v>
      </c>
      <c r="I201" s="14">
        <f>SUM('ALPINE MEADOW:WOODLAND'!I199)</f>
        <v>15382659.07</v>
      </c>
      <c r="J201" s="90">
        <f t="shared" si="21"/>
        <v>2.9003986379270572E-2</v>
      </c>
      <c r="L201" s="109">
        <f t="shared" si="20"/>
        <v>8.282884891032662</v>
      </c>
      <c r="N201" s="88"/>
      <c r="O201" s="88"/>
      <c r="P201" s="88"/>
      <c r="Q201" s="110"/>
      <c r="R201" s="111"/>
      <c r="S201" s="110"/>
      <c r="T201" s="56"/>
    </row>
    <row r="202" spans="1:20" s="25" customFormat="1" ht="15.5">
      <c r="A202" s="37" t="s">
        <v>131</v>
      </c>
      <c r="B202" s="38" t="s">
        <v>59</v>
      </c>
      <c r="C202" s="14">
        <f>SUM('ALPINE MEADOW:WOODLAND'!C200)</f>
        <v>932591.47000000009</v>
      </c>
      <c r="D202" s="14">
        <f>SUM('ALPINE MEADOW:WOODLAND'!D200)</f>
        <v>0</v>
      </c>
      <c r="E202" s="14">
        <f>SUM('ALPINE MEADOW:WOODLAND'!E200)</f>
        <v>0</v>
      </c>
      <c r="F202" s="14">
        <f>SUM('ALPINE MEADOW:WOODLAND'!F200)</f>
        <v>932591.47000000009</v>
      </c>
      <c r="G202" s="14">
        <f>SUM('ALPINE MEADOW:WOODLAND'!G200)</f>
        <v>-2429</v>
      </c>
      <c r="H202" s="14">
        <f>SUM('ALPINE MEADOW:WOODLAND'!H200)</f>
        <v>0</v>
      </c>
      <c r="I202" s="14">
        <f>SUM('ALPINE MEADOW:WOODLAND'!I200)</f>
        <v>930162.47000000009</v>
      </c>
      <c r="J202" s="90">
        <f t="shared" si="21"/>
        <v>1.7538202912527187E-3</v>
      </c>
      <c r="L202" s="109">
        <f t="shared" si="20"/>
        <v>0.50085155199169495</v>
      </c>
      <c r="N202" s="88"/>
      <c r="O202" s="88"/>
      <c r="P202" s="88"/>
      <c r="Q202" s="110"/>
      <c r="R202" s="111"/>
      <c r="S202" s="110"/>
      <c r="T202" s="56"/>
    </row>
    <row r="203" spans="1:20" s="25" customFormat="1" ht="15.5">
      <c r="A203" s="37" t="s">
        <v>135</v>
      </c>
      <c r="B203" s="39" t="s">
        <v>247</v>
      </c>
      <c r="C203" s="14">
        <f>SUM('ALPINE MEADOW:WOODLAND'!C201)</f>
        <v>952325.16</v>
      </c>
      <c r="D203" s="14">
        <f>SUM('ALPINE MEADOW:WOODLAND'!D201)</f>
        <v>-211096.8798</v>
      </c>
      <c r="E203" s="14">
        <f>SUM('ALPINE MEADOW:WOODLAND'!E201)</f>
        <v>-1082</v>
      </c>
      <c r="F203" s="14">
        <f>SUM('ALPINE MEADOW:WOODLAND'!F201)</f>
        <v>740146.28020000004</v>
      </c>
      <c r="G203" s="14">
        <f>SUM('ALPINE MEADOW:WOODLAND'!G201)</f>
        <v>10648</v>
      </c>
      <c r="H203" s="14">
        <f>SUM('ALPINE MEADOW:WOODLAND'!H201)</f>
        <v>-37468.9</v>
      </c>
      <c r="I203" s="14">
        <f>SUM('ALPINE MEADOW:WOODLAND'!I201)</f>
        <v>713325.38020000001</v>
      </c>
      <c r="J203" s="90">
        <f t="shared" si="21"/>
        <v>1.34497420225987E-3</v>
      </c>
      <c r="L203" s="109">
        <f t="shared" si="20"/>
        <v>0.38409432252006021</v>
      </c>
      <c r="N203" s="88"/>
      <c r="O203" s="88"/>
      <c r="P203" s="88"/>
      <c r="Q203" s="110"/>
      <c r="R203" s="111"/>
      <c r="S203" s="110"/>
      <c r="T203" s="56"/>
    </row>
    <row r="204" spans="1:20" s="25" customFormat="1" ht="15.5">
      <c r="A204" s="35"/>
      <c r="B204" s="40" t="s">
        <v>122</v>
      </c>
      <c r="C204" s="14">
        <f>SUM('ALPINE MEADOW:WOODLAND'!C202)</f>
        <v>67899496.379999995</v>
      </c>
      <c r="D204" s="14">
        <f>SUM('ALPINE MEADOW:WOODLAND'!D202)</f>
        <v>1416050.5528957995</v>
      </c>
      <c r="E204" s="14">
        <f>SUM('ALPINE MEADOW:WOODLAND'!E202)</f>
        <v>-2258959.71</v>
      </c>
      <c r="F204" s="14">
        <f>SUM('ALPINE MEADOW:WOODLAND'!F202)</f>
        <v>67056587.222895794</v>
      </c>
      <c r="G204" s="14">
        <f>SUM('ALPINE MEADOW:WOODLAND'!G202)</f>
        <v>-1158729</v>
      </c>
      <c r="H204" s="14">
        <f>SUM('ALPINE MEADOW:WOODLAND'!H202)</f>
        <v>53271.1</v>
      </c>
      <c r="I204" s="14">
        <f>SUM('ALPINE MEADOW:WOODLAND'!I202)</f>
        <v>65951129.322895803</v>
      </c>
      <c r="J204" s="90">
        <f t="shared" si="21"/>
        <v>0.1243507801787862</v>
      </c>
      <c r="L204" s="109">
        <f t="shared" si="20"/>
        <v>35.511780513975516</v>
      </c>
      <c r="N204" s="88"/>
      <c r="O204" s="88"/>
      <c r="P204" s="88"/>
      <c r="Q204" s="110"/>
      <c r="R204" s="111"/>
      <c r="S204" s="110"/>
      <c r="T204" s="56"/>
    </row>
    <row r="205" spans="1:20" s="25" customFormat="1" ht="15.5">
      <c r="A205" s="35"/>
      <c r="C205" s="17"/>
      <c r="D205" s="17"/>
      <c r="E205" s="17"/>
      <c r="F205" s="17"/>
      <c r="G205" s="17"/>
      <c r="H205" s="17"/>
      <c r="I205" s="17"/>
      <c r="J205" s="92"/>
      <c r="L205" s="121"/>
      <c r="N205" s="91"/>
      <c r="O205" s="91"/>
      <c r="P205" s="91"/>
      <c r="Q205" s="91"/>
      <c r="R205" s="91"/>
      <c r="S205" s="91"/>
    </row>
    <row r="206" spans="1:20" s="25" customFormat="1" ht="15.5">
      <c r="A206" s="32" t="s">
        <v>161</v>
      </c>
      <c r="B206" s="24" t="s">
        <v>60</v>
      </c>
      <c r="C206" s="62"/>
      <c r="D206" s="62"/>
      <c r="E206" s="62"/>
      <c r="F206" s="62"/>
      <c r="G206" s="62"/>
      <c r="H206" s="63"/>
      <c r="I206" s="63"/>
      <c r="J206" s="92"/>
      <c r="L206" s="121"/>
      <c r="N206" s="91"/>
      <c r="O206" s="91"/>
      <c r="P206" s="91"/>
      <c r="Q206" s="91"/>
      <c r="R206" s="91"/>
      <c r="S206" s="91"/>
    </row>
    <row r="207" spans="1:20" s="25" customFormat="1" ht="15.5">
      <c r="A207" s="32" t="s">
        <v>77</v>
      </c>
      <c r="B207" s="24" t="s">
        <v>61</v>
      </c>
      <c r="C207" s="14">
        <f>SUM('ALPINE MEADOW:WOODLAND'!C205)</f>
        <v>11092097.139999999</v>
      </c>
      <c r="D207" s="14">
        <f>SUM('ALPINE MEADOW:WOODLAND'!D205)</f>
        <v>-93312.134334090195</v>
      </c>
      <c r="E207" s="14">
        <f>SUM('ALPINE MEADOW:WOODLAND'!E205)</f>
        <v>0</v>
      </c>
      <c r="F207" s="14">
        <f>SUM('ALPINE MEADOW:WOODLAND'!F205)</f>
        <v>10998785.005665908</v>
      </c>
      <c r="G207" s="14">
        <f>SUM('ALPINE MEADOW:WOODLAND'!G205)</f>
        <v>-292346</v>
      </c>
      <c r="H207" s="14">
        <f>SUM('ALPINE MEADOW:WOODLAND'!H205)</f>
        <v>-32034</v>
      </c>
      <c r="I207" s="14">
        <f>SUM('ALPINE MEADOW:WOODLAND'!I205)</f>
        <v>10674405.005665908</v>
      </c>
      <c r="J207" s="90">
        <f t="shared" ref="J207:J213" si="22">IF($I$215=0,0,I207/$I$215)</f>
        <v>2.0126578635221069E-2</v>
      </c>
      <c r="L207" s="109">
        <f t="shared" ref="L207:L212" si="23">IF(I207=0,0,I207/$I$235)</f>
        <v>5.7476972960172068</v>
      </c>
      <c r="M207" s="25">
        <v>3997.91</v>
      </c>
      <c r="N207" s="116">
        <f>SUM('ALPINE MEADOW:WOODLAND'!L205)</f>
        <v>609831.33556001412</v>
      </c>
      <c r="O207" s="116">
        <f>SUM('ALPINE MEADOW:WOODLAND'!M205)</f>
        <v>649720.76328495564</v>
      </c>
      <c r="P207" s="117"/>
      <c r="Q207" s="118">
        <f>IF(N207=0,0,I207/O207)</f>
        <v>16.429219456827347</v>
      </c>
      <c r="R207" s="57"/>
      <c r="S207" s="119">
        <f>O207/$I$235</f>
        <v>0.34984603566353156</v>
      </c>
      <c r="T207" s="56"/>
    </row>
    <row r="208" spans="1:20" s="25" customFormat="1" ht="15.5">
      <c r="A208" s="32" t="s">
        <v>78</v>
      </c>
      <c r="B208" s="24" t="s">
        <v>37</v>
      </c>
      <c r="C208" s="14">
        <f>SUM('ALPINE MEADOW:WOODLAND'!C206)</f>
        <v>1862138.35</v>
      </c>
      <c r="D208" s="14">
        <f>SUM('ALPINE MEADOW:WOODLAND'!D206)</f>
        <v>568429.85342683131</v>
      </c>
      <c r="E208" s="14">
        <f>SUM('ALPINE MEADOW:WOODLAND'!E206)</f>
        <v>0</v>
      </c>
      <c r="F208" s="14">
        <f>SUM('ALPINE MEADOW:WOODLAND'!F206)</f>
        <v>2430568.2034268314</v>
      </c>
      <c r="G208" s="14">
        <f>SUM('ALPINE MEADOW:WOODLAND'!G206)</f>
        <v>-59378.22</v>
      </c>
      <c r="H208" s="14">
        <f>SUM('ALPINE MEADOW:WOODLAND'!H206)</f>
        <v>-6111</v>
      </c>
      <c r="I208" s="14">
        <f>SUM('ALPINE MEADOW:WOODLAND'!I206)</f>
        <v>2365078.9834268317</v>
      </c>
      <c r="J208" s="90">
        <f t="shared" si="22"/>
        <v>4.4593537638100249E-3</v>
      </c>
      <c r="L208" s="109">
        <f t="shared" si="23"/>
        <v>1.2734909412462843</v>
      </c>
      <c r="N208" s="88"/>
      <c r="O208" s="88"/>
      <c r="P208" s="88"/>
      <c r="Q208" s="110"/>
      <c r="R208" s="111"/>
      <c r="S208" s="123"/>
      <c r="T208" s="56"/>
    </row>
    <row r="209" spans="1:20" s="25" customFormat="1" ht="15.5">
      <c r="A209" s="32" t="s">
        <v>132</v>
      </c>
      <c r="B209" s="24" t="s">
        <v>46</v>
      </c>
      <c r="C209" s="14">
        <f>SUM('ALPINE MEADOW:WOODLAND'!C207)</f>
        <v>987185.94000000006</v>
      </c>
      <c r="D209" s="14">
        <f>SUM('ALPINE MEADOW:WOODLAND'!D207)</f>
        <v>0</v>
      </c>
      <c r="E209" s="14">
        <f>SUM('ALPINE MEADOW:WOODLAND'!E207)</f>
        <v>146.36720014084389</v>
      </c>
      <c r="F209" s="14">
        <f>SUM('ALPINE MEADOW:WOODLAND'!F207)</f>
        <v>987332.3072001409</v>
      </c>
      <c r="G209" s="14">
        <f>SUM('ALPINE MEADOW:WOODLAND'!G207)</f>
        <v>-27984</v>
      </c>
      <c r="H209" s="14">
        <f>SUM('ALPINE MEADOW:WOODLAND'!H207)</f>
        <v>0</v>
      </c>
      <c r="I209" s="14">
        <f>SUM('ALPINE MEADOW:WOODLAND'!I207)</f>
        <v>959348.3072001409</v>
      </c>
      <c r="J209" s="90">
        <f t="shared" si="22"/>
        <v>1.8088501544752213E-3</v>
      </c>
      <c r="L209" s="109">
        <f t="shared" si="23"/>
        <v>0.51656684080340909</v>
      </c>
      <c r="N209" s="88"/>
      <c r="O209" s="88"/>
      <c r="P209" s="88"/>
      <c r="Q209" s="110"/>
      <c r="R209" s="111"/>
      <c r="S209" s="123"/>
      <c r="T209" s="56"/>
    </row>
    <row r="210" spans="1:20" s="25" customFormat="1" ht="15.5">
      <c r="A210" s="32" t="s">
        <v>133</v>
      </c>
      <c r="B210" s="24" t="s">
        <v>62</v>
      </c>
      <c r="C210" s="14">
        <f>SUM('ALPINE MEADOW:WOODLAND'!C208)</f>
        <v>42918.04</v>
      </c>
      <c r="D210" s="14">
        <f>SUM('ALPINE MEADOW:WOODLAND'!D208)</f>
        <v>0</v>
      </c>
      <c r="E210" s="14">
        <f>SUM('ALPINE MEADOW:WOODLAND'!E208)</f>
        <v>0</v>
      </c>
      <c r="F210" s="14">
        <f>SUM('ALPINE MEADOW:WOODLAND'!F208)</f>
        <v>42918.04</v>
      </c>
      <c r="G210" s="14">
        <f>SUM('ALPINE MEADOW:WOODLAND'!G208)</f>
        <v>-8923</v>
      </c>
      <c r="H210" s="14">
        <f>SUM('ALPINE MEADOW:WOODLAND'!H208)</f>
        <v>0</v>
      </c>
      <c r="I210" s="14">
        <f>SUM('ALPINE MEADOW:WOODLAND'!I208)</f>
        <v>33995.040000000001</v>
      </c>
      <c r="J210" s="90">
        <f t="shared" si="22"/>
        <v>6.4097609693871879E-5</v>
      </c>
      <c r="L210" s="109">
        <f t="shared" si="23"/>
        <v>1.8304832857876697E-2</v>
      </c>
      <c r="N210" s="88"/>
      <c r="O210" s="88"/>
      <c r="P210" s="88"/>
      <c r="Q210" s="110"/>
      <c r="R210" s="111"/>
      <c r="S210" s="123"/>
      <c r="T210" s="56"/>
    </row>
    <row r="211" spans="1:20" s="25" customFormat="1" ht="15.5">
      <c r="A211" s="32" t="s">
        <v>134</v>
      </c>
      <c r="B211" s="2" t="s">
        <v>63</v>
      </c>
      <c r="C211" s="14">
        <f>SUM('ALPINE MEADOW:WOODLAND'!C209)</f>
        <v>0</v>
      </c>
      <c r="D211" s="14">
        <f>SUM('ALPINE MEADOW:WOODLAND'!D209)</f>
        <v>0</v>
      </c>
      <c r="E211" s="14">
        <f>SUM('ALPINE MEADOW:WOODLAND'!E209)</f>
        <v>0</v>
      </c>
      <c r="F211" s="14">
        <f>SUM('ALPINE MEADOW:WOODLAND'!F209)</f>
        <v>0</v>
      </c>
      <c r="G211" s="14">
        <f>SUM('ALPINE MEADOW:WOODLAND'!G209)</f>
        <v>0</v>
      </c>
      <c r="H211" s="14">
        <f>SUM('ALPINE MEADOW:WOODLAND'!H209)</f>
        <v>0</v>
      </c>
      <c r="I211" s="14">
        <f>SUM('ALPINE MEADOW:WOODLAND'!I209)</f>
        <v>0</v>
      </c>
      <c r="J211" s="90">
        <f t="shared" si="22"/>
        <v>0</v>
      </c>
      <c r="L211" s="109">
        <f t="shared" si="23"/>
        <v>0</v>
      </c>
      <c r="N211" s="88"/>
      <c r="O211" s="88"/>
      <c r="P211" s="88"/>
      <c r="Q211" s="110"/>
      <c r="R211" s="111"/>
      <c r="S211" s="123"/>
      <c r="T211" s="56"/>
    </row>
    <row r="212" spans="1:20" s="25" customFormat="1" ht="15.5">
      <c r="A212" s="32" t="s">
        <v>135</v>
      </c>
      <c r="B212" s="24" t="s">
        <v>247</v>
      </c>
      <c r="C212" s="14">
        <f>SUM('ALPINE MEADOW:WOODLAND'!C210)</f>
        <v>1489079.4099999997</v>
      </c>
      <c r="D212" s="14">
        <f>SUM('ALPINE MEADOW:WOODLAND'!D210)</f>
        <v>-27180.46</v>
      </c>
      <c r="E212" s="14">
        <f>SUM('ALPINE MEADOW:WOODLAND'!E210)</f>
        <v>-439435.02635792794</v>
      </c>
      <c r="F212" s="14">
        <f>SUM('ALPINE MEADOW:WOODLAND'!F210)</f>
        <v>1022463.9236420722</v>
      </c>
      <c r="G212" s="14">
        <f>SUM('ALPINE MEADOW:WOODLAND'!G210)</f>
        <v>-433536</v>
      </c>
      <c r="H212" s="14">
        <f>SUM('ALPINE MEADOW:WOODLAND'!H210)</f>
        <v>0</v>
      </c>
      <c r="I212" s="14">
        <f>SUM('ALPINE MEADOW:WOODLAND'!I210)</f>
        <v>588927.92364207213</v>
      </c>
      <c r="J212" s="90">
        <f t="shared" si="22"/>
        <v>1.1104229378001004E-3</v>
      </c>
      <c r="L212" s="109">
        <f t="shared" si="23"/>
        <v>0.31711176711674705</v>
      </c>
      <c r="N212" s="88"/>
      <c r="O212" s="88"/>
      <c r="P212" s="88"/>
      <c r="Q212" s="110"/>
      <c r="R212" s="111"/>
      <c r="S212" s="123"/>
      <c r="T212" s="56"/>
    </row>
    <row r="213" spans="1:20" s="25" customFormat="1" ht="15.5">
      <c r="A213" s="35"/>
      <c r="B213" s="3" t="s">
        <v>136</v>
      </c>
      <c r="C213" s="14">
        <f>SUM('ALPINE MEADOW:WOODLAND'!C211)</f>
        <v>15473418.880000003</v>
      </c>
      <c r="D213" s="14">
        <f>SUM('ALPINE MEADOW:WOODLAND'!D211)</f>
        <v>447937.25909274112</v>
      </c>
      <c r="E213" s="14">
        <f>SUM('ALPINE MEADOW:WOODLAND'!E211)</f>
        <v>-439288.6591577871</v>
      </c>
      <c r="F213" s="14">
        <f>SUM('ALPINE MEADOW:WOODLAND'!F211)</f>
        <v>15482067.479934953</v>
      </c>
      <c r="G213" s="14">
        <f>SUM('ALPINE MEADOW:WOODLAND'!G211)</f>
        <v>-822167.22</v>
      </c>
      <c r="H213" s="14">
        <f>SUM('ALPINE MEADOW:WOODLAND'!H211)</f>
        <v>-38145</v>
      </c>
      <c r="I213" s="14">
        <f>SUM('ALPINE MEADOW:WOODLAND'!I211)</f>
        <v>14621755.259934952</v>
      </c>
      <c r="J213" s="90">
        <f t="shared" si="22"/>
        <v>2.7569303101000288E-2</v>
      </c>
      <c r="L213" s="109">
        <f>IF(I213=0,0,I213/$I$235)</f>
        <v>7.8731716780415235</v>
      </c>
      <c r="N213" s="95"/>
      <c r="O213" s="88"/>
      <c r="P213" s="88"/>
      <c r="Q213" s="110"/>
      <c r="R213" s="111"/>
      <c r="S213" s="123"/>
      <c r="T213" s="56"/>
    </row>
    <row r="214" spans="1:20" s="25" customFormat="1" ht="15.5">
      <c r="A214" s="35"/>
      <c r="C214" s="17"/>
      <c r="D214" s="17"/>
      <c r="E214" s="17"/>
      <c r="F214" s="17"/>
      <c r="G214" s="17"/>
      <c r="H214" s="17"/>
      <c r="I214" s="17"/>
      <c r="J214" s="92"/>
      <c r="L214" s="121"/>
      <c r="N214" s="135"/>
      <c r="O214" s="135"/>
      <c r="P214" s="91"/>
      <c r="Q214" s="91"/>
      <c r="R214" s="91"/>
      <c r="S214" s="124"/>
    </row>
    <row r="215" spans="1:20" s="25" customFormat="1" ht="16" thickBot="1">
      <c r="A215" s="41" t="s">
        <v>138</v>
      </c>
      <c r="B215" s="3" t="s">
        <v>137</v>
      </c>
      <c r="C215" s="18">
        <f>SUM('ALPINE MEADOW:WOODLAND'!C213)</f>
        <v>565697823.87</v>
      </c>
      <c r="D215" s="18">
        <f>SUM('ALPINE MEADOW:WOODLAND'!D213)</f>
        <v>-17534411.129096333</v>
      </c>
      <c r="E215" s="18">
        <f>SUM('ALPINE MEADOW:WOODLAND'!E213)</f>
        <v>-14859130.516466284</v>
      </c>
      <c r="F215" s="18">
        <f>SUM('ALPINE MEADOW:WOODLAND'!F213)</f>
        <v>533304282.22443748</v>
      </c>
      <c r="G215" s="18">
        <f>SUM('ALPINE MEADOW:WOODLAND'!G213)</f>
        <v>-58700.160000000033</v>
      </c>
      <c r="H215" s="18">
        <f>SUM('ALPINE MEADOW:WOODLAND'!H213)</f>
        <v>-2881966.91</v>
      </c>
      <c r="I215" s="18">
        <f>SUM('ALPINE MEADOW:WOODLAND'!I213)</f>
        <v>530363615.15443736</v>
      </c>
      <c r="J215" s="129">
        <f>IF($I$215=0,0,I215/$I$215)</f>
        <v>1</v>
      </c>
      <c r="L215" s="109">
        <f>IF(I215=0,0,I215/$I$235)</f>
        <v>285.57746451544745</v>
      </c>
      <c r="N215" s="130">
        <f>SUM('ALPINE MEADOW:WOODLAND'!L213)</f>
        <v>12369468.644153832</v>
      </c>
      <c r="O215" s="116">
        <f>SUM('ALPINE MEADOW:WOODLAND'!M213)</f>
        <v>13131313.356970411</v>
      </c>
      <c r="P215" s="117"/>
      <c r="Q215" s="118">
        <f>IF(N215=0,0,I215/O215)</f>
        <v>40.389228459993141</v>
      </c>
      <c r="R215" s="57"/>
      <c r="S215" s="119">
        <f>O215/$I$235</f>
        <v>7.070634310291946</v>
      </c>
      <c r="T215" s="56"/>
    </row>
    <row r="216" spans="1:20" s="25" customFormat="1" ht="16" thickTop="1">
      <c r="A216" s="35"/>
      <c r="B216" s="24"/>
      <c r="C216" s="62"/>
      <c r="D216" s="62"/>
      <c r="E216" s="62"/>
      <c r="F216" s="62"/>
      <c r="G216" s="62"/>
      <c r="H216" s="62"/>
      <c r="I216" s="62"/>
      <c r="J216" s="68"/>
      <c r="L216" s="121"/>
      <c r="P216" s="66"/>
    </row>
    <row r="217" spans="1:20" s="25" customFormat="1" ht="15.5">
      <c r="A217" s="35"/>
      <c r="B217" s="24"/>
      <c r="C217" s="9"/>
      <c r="D217" s="9"/>
      <c r="E217" s="9"/>
      <c r="F217" s="9"/>
      <c r="G217" s="9"/>
      <c r="H217" s="9"/>
      <c r="I217" s="9"/>
      <c r="J217" s="68"/>
      <c r="L217" s="121"/>
      <c r="P217" s="66"/>
    </row>
    <row r="218" spans="1:20" s="25" customFormat="1" ht="15.5">
      <c r="A218" s="35"/>
      <c r="B218" s="3" t="s">
        <v>172</v>
      </c>
      <c r="C218" s="14">
        <f>SUM('ALPINE MEADOW:WOODLAND'!C216)</f>
        <v>565697829.9799999</v>
      </c>
      <c r="D218" s="65"/>
      <c r="E218" s="65"/>
      <c r="F218" s="65"/>
      <c r="G218" s="65"/>
      <c r="H218" s="62"/>
      <c r="I218" s="62"/>
      <c r="J218" s="68"/>
      <c r="L218" s="121"/>
      <c r="N218" s="84"/>
      <c r="O218" s="84"/>
      <c r="P218" s="104"/>
      <c r="Q218" s="75"/>
      <c r="R218" s="56"/>
      <c r="S218" s="85"/>
      <c r="T218" s="57"/>
    </row>
    <row r="219" spans="1:20" s="25" customFormat="1" ht="15.5">
      <c r="A219" s="35"/>
      <c r="B219" s="24" t="s">
        <v>139</v>
      </c>
      <c r="C219" s="14">
        <f>SUM('ALPINE MEADOW:WOODLAND'!C217)</f>
        <v>-6.1100000026635826</v>
      </c>
      <c r="D219" s="76"/>
      <c r="E219" s="76"/>
      <c r="F219" s="76"/>
      <c r="G219" s="76"/>
      <c r="H219" s="62"/>
      <c r="I219" s="62"/>
      <c r="J219" s="96"/>
      <c r="L219" s="96"/>
      <c r="N219" s="27"/>
      <c r="O219" s="27"/>
      <c r="P219" s="27"/>
      <c r="Q219" s="8"/>
      <c r="R219" s="111"/>
      <c r="S219" s="131"/>
      <c r="T219" s="111"/>
    </row>
    <row r="220" spans="1:20" s="25" customFormat="1" ht="15.5">
      <c r="A220" s="35"/>
      <c r="B220" s="4"/>
      <c r="C220" s="77"/>
      <c r="D220" s="78"/>
      <c r="E220" s="78"/>
      <c r="F220" s="78"/>
      <c r="G220" s="78"/>
      <c r="H220" s="79"/>
      <c r="I220" s="79"/>
      <c r="J220" s="96"/>
      <c r="L220" s="96"/>
      <c r="N220" s="97"/>
      <c r="O220" s="97"/>
      <c r="P220" s="97"/>
      <c r="Q220" s="131"/>
      <c r="R220" s="111"/>
      <c r="S220" s="131"/>
      <c r="T220" s="111"/>
    </row>
    <row r="221" spans="1:20" s="25" customFormat="1" ht="15.5">
      <c r="A221" s="35"/>
      <c r="B221" s="4"/>
      <c r="C221" s="19"/>
      <c r="D221" s="19"/>
      <c r="E221" s="19"/>
      <c r="F221" s="19"/>
      <c r="G221" s="19"/>
      <c r="H221" s="19"/>
      <c r="I221" s="19"/>
      <c r="J221" s="96"/>
      <c r="L221" s="96"/>
      <c r="N221" s="97"/>
      <c r="O221" s="97"/>
      <c r="P221" s="97"/>
      <c r="Q221" s="131"/>
      <c r="R221" s="111"/>
      <c r="S221" s="131"/>
      <c r="T221" s="111"/>
    </row>
    <row r="222" spans="1:20" s="25" customFormat="1" ht="15.5">
      <c r="A222" s="35"/>
      <c r="B222" s="3" t="s">
        <v>70</v>
      </c>
      <c r="C222" s="14">
        <f>SUM('ALPINE MEADOW:WOODLAND'!C220)</f>
        <v>-13299524.099999987</v>
      </c>
      <c r="D222" s="14">
        <f>SUM('ALPINE MEADOW:WOODLAND'!D220)</f>
        <v>51978004.238260321</v>
      </c>
      <c r="E222" s="14">
        <f>SUM('ALPINE MEADOW:WOODLAND'!E220)</f>
        <v>14859130.516466284</v>
      </c>
      <c r="F222" s="14">
        <f>SUM('ALPINE MEADOW:WOODLAND'!F220)</f>
        <v>53537610.654726632</v>
      </c>
      <c r="G222" s="14">
        <f>SUM('ALPINE MEADOW:WOODLAND'!G220)</f>
        <v>359369.15999999933</v>
      </c>
      <c r="H222" s="14">
        <f>SUM('ALPINE MEADOW:WOODLAND'!H220)</f>
        <v>2879483.91</v>
      </c>
      <c r="I222" s="14">
        <f>SUM('ALPINE MEADOW:WOODLAND'!I220)</f>
        <v>56785167.724726632</v>
      </c>
      <c r="J222" s="68"/>
      <c r="L222" s="326"/>
      <c r="P222" s="66"/>
    </row>
    <row r="223" spans="1:20" s="25" customFormat="1" ht="15.5">
      <c r="A223" s="35"/>
      <c r="B223" s="3"/>
      <c r="C223" s="65"/>
      <c r="D223" s="65" t="s">
        <v>74</v>
      </c>
      <c r="E223" s="65"/>
      <c r="F223" s="65"/>
      <c r="G223" s="65"/>
      <c r="H223" s="65"/>
      <c r="I223" s="65"/>
      <c r="J223" s="68" t="s">
        <v>73</v>
      </c>
      <c r="L223" s="132"/>
      <c r="P223" s="66"/>
    </row>
    <row r="224" spans="1:20" s="25" customFormat="1" ht="15.5">
      <c r="A224" s="35"/>
      <c r="D224" s="25" t="s">
        <v>217</v>
      </c>
      <c r="J224" s="68" t="s">
        <v>183</v>
      </c>
      <c r="L224" s="132"/>
      <c r="P224" s="66"/>
    </row>
    <row r="225" spans="1:16" s="25" customFormat="1" ht="15.5">
      <c r="A225" s="35"/>
      <c r="B225" s="5" t="s">
        <v>151</v>
      </c>
      <c r="C225" s="62"/>
      <c r="D225" s="62"/>
      <c r="E225" s="62"/>
      <c r="F225" s="62"/>
      <c r="G225" s="62"/>
      <c r="H225" s="62"/>
      <c r="I225" s="62"/>
      <c r="J225" s="98"/>
      <c r="L225" s="132"/>
      <c r="P225" s="66"/>
    </row>
    <row r="226" spans="1:16" s="25" customFormat="1" ht="15.5">
      <c r="A226" s="35"/>
      <c r="B226" s="24" t="s">
        <v>202</v>
      </c>
      <c r="C226" s="15">
        <f>SUM('ALPINE MEADOW:WOODLAND'!C224)</f>
        <v>1033912</v>
      </c>
      <c r="D226" s="15">
        <f>SUM('ALPINE MEADOW:WOODLAND'!D224)</f>
        <v>0</v>
      </c>
      <c r="E226" s="15">
        <f>SUM('ALPINE MEADOW:WOODLAND'!E224)</f>
        <v>0</v>
      </c>
      <c r="F226" s="15">
        <f>SUM('ALPINE MEADOW:WOODLAND'!F224)</f>
        <v>1033912</v>
      </c>
      <c r="G226" s="15">
        <f>SUM('ALPINE MEADOW:WOODLAND'!G224)</f>
        <v>-1332</v>
      </c>
      <c r="H226" s="15">
        <f>SUM('ALPINE MEADOW:WOODLAND'!H224)</f>
        <v>0</v>
      </c>
      <c r="I226" s="15">
        <f>SUM('ALPINE MEADOW:WOODLAND'!I224)</f>
        <v>1032580</v>
      </c>
      <c r="J226" s="26">
        <f t="shared" ref="J226:J235" si="24">I226/$I$235</f>
        <v>0.55599888431919242</v>
      </c>
      <c r="O226" s="66"/>
    </row>
    <row r="227" spans="1:16" s="25" customFormat="1" ht="15.5">
      <c r="A227" s="35"/>
      <c r="B227" s="24" t="s">
        <v>201</v>
      </c>
      <c r="C227" s="15">
        <f>SUM('ALPINE MEADOW:WOODLAND'!C225)</f>
        <v>16634</v>
      </c>
      <c r="D227" s="15">
        <f>SUM('ALPINE MEADOW:WOODLAND'!D225)</f>
        <v>0</v>
      </c>
      <c r="E227" s="15">
        <f>SUM('ALPINE MEADOW:WOODLAND'!E225)</f>
        <v>0</v>
      </c>
      <c r="F227" s="15">
        <f>SUM('ALPINE MEADOW:WOODLAND'!F225)</f>
        <v>16634</v>
      </c>
      <c r="G227" s="15">
        <f>SUM('ALPINE MEADOW:WOODLAND'!G225)</f>
        <v>397</v>
      </c>
      <c r="H227" s="15">
        <f>SUM('ALPINE MEADOW:WOODLAND'!H225)</f>
        <v>0</v>
      </c>
      <c r="I227" s="15">
        <f>SUM('ALPINE MEADOW:WOODLAND'!I225)</f>
        <v>17031</v>
      </c>
      <c r="J227" s="26">
        <f t="shared" si="24"/>
        <v>9.1704439354240511E-3</v>
      </c>
      <c r="O227" s="66"/>
    </row>
    <row r="228" spans="1:16" s="25" customFormat="1" ht="15.5">
      <c r="A228" s="35"/>
      <c r="B228" s="24" t="s">
        <v>64</v>
      </c>
      <c r="C228" s="15">
        <f>SUM('ALPINE MEADOW:WOODLAND'!C226)</f>
        <v>231880</v>
      </c>
      <c r="D228" s="15">
        <f>SUM('ALPINE MEADOW:WOODLAND'!D226)</f>
        <v>0</v>
      </c>
      <c r="E228" s="15">
        <f>SUM('ALPINE MEADOW:WOODLAND'!E226)</f>
        <v>0</v>
      </c>
      <c r="F228" s="15">
        <f>SUM('ALPINE MEADOW:WOODLAND'!F226)</f>
        <v>231880</v>
      </c>
      <c r="G228" s="15">
        <f>SUM('ALPINE MEADOW:WOODLAND'!G226)</f>
        <v>-8</v>
      </c>
      <c r="H228" s="15">
        <f>SUM('ALPINE MEADOW:WOODLAND'!H226)</f>
        <v>0</v>
      </c>
      <c r="I228" s="15">
        <f>SUM('ALPINE MEADOW:WOODLAND'!I226)</f>
        <v>231872</v>
      </c>
      <c r="J228" s="26">
        <f t="shared" si="24"/>
        <v>0.12485286690121809</v>
      </c>
      <c r="O228" s="66"/>
    </row>
    <row r="229" spans="1:16" s="25" customFormat="1" ht="15.5">
      <c r="A229" s="35"/>
      <c r="B229" s="24" t="s">
        <v>270</v>
      </c>
      <c r="C229" s="15">
        <f>SUM('ALPINE MEADOW:WOODLAND'!C227)</f>
        <v>98061</v>
      </c>
      <c r="D229" s="15">
        <f>SUM('ALPINE MEADOW:WOODLAND'!D227)</f>
        <v>0</v>
      </c>
      <c r="E229" s="15">
        <f>SUM('ALPINE MEADOW:WOODLAND'!E227)</f>
        <v>0</v>
      </c>
      <c r="F229" s="15">
        <f>SUM('ALPINE MEADOW:WOODLAND'!F227)</f>
        <v>98061</v>
      </c>
      <c r="G229" s="15">
        <f>SUM('ALPINE MEADOW:WOODLAND'!G227)</f>
        <v>50</v>
      </c>
      <c r="H229" s="15">
        <f>SUM('ALPINE MEADOW:WOODLAND'!H227)</f>
        <v>0</v>
      </c>
      <c r="I229" s="15">
        <f>SUM('ALPINE MEADOW:WOODLAND'!I227)</f>
        <v>98111</v>
      </c>
      <c r="J229" s="26">
        <f t="shared" si="24"/>
        <v>5.2828455460536022E-2</v>
      </c>
      <c r="O229" s="66"/>
    </row>
    <row r="230" spans="1:16" s="25" customFormat="1" ht="15.5">
      <c r="A230" s="35"/>
      <c r="B230" s="24" t="s">
        <v>65</v>
      </c>
      <c r="C230" s="15">
        <f>SUM('ALPINE MEADOW:WOODLAND'!C228)</f>
        <v>79515</v>
      </c>
      <c r="D230" s="15">
        <f>SUM('ALPINE MEADOW:WOODLAND'!D228)</f>
        <v>0</v>
      </c>
      <c r="E230" s="15">
        <f>SUM('ALPINE MEADOW:WOODLAND'!E228)</f>
        <v>0</v>
      </c>
      <c r="F230" s="15">
        <f>SUM('ALPINE MEADOW:WOODLAND'!F228)</f>
        <v>79515</v>
      </c>
      <c r="G230" s="15">
        <f>SUM('ALPINE MEADOW:WOODLAND'!G228)</f>
        <v>30</v>
      </c>
      <c r="H230" s="15">
        <f>SUM('ALPINE MEADOW:WOODLAND'!H228)</f>
        <v>0</v>
      </c>
      <c r="I230" s="15">
        <f>SUM('ALPINE MEADOW:WOODLAND'!I228)</f>
        <v>79545</v>
      </c>
      <c r="J230" s="26">
        <f t="shared" si="24"/>
        <v>4.2831481583189834E-2</v>
      </c>
      <c r="O230" s="66"/>
    </row>
    <row r="231" spans="1:16" s="25" customFormat="1" ht="15.5">
      <c r="A231" s="35"/>
      <c r="B231" s="24" t="s">
        <v>66</v>
      </c>
      <c r="C231" s="15">
        <f>SUM('ALPINE MEADOW:WOODLAND'!C229)</f>
        <v>266507</v>
      </c>
      <c r="D231" s="15">
        <f>SUM('ALPINE MEADOW:WOODLAND'!D229)</f>
        <v>0</v>
      </c>
      <c r="E231" s="15">
        <f>SUM('ALPINE MEADOW:WOODLAND'!E229)</f>
        <v>0</v>
      </c>
      <c r="F231" s="15">
        <f>SUM('ALPINE MEADOW:WOODLAND'!F229)</f>
        <v>266507</v>
      </c>
      <c r="G231" s="15">
        <f>SUM('ALPINE MEADOW:WOODLAND'!G229)</f>
        <v>-86</v>
      </c>
      <c r="H231" s="15">
        <f>SUM('ALPINE MEADOW:WOODLAND'!H229)</f>
        <v>0</v>
      </c>
      <c r="I231" s="15">
        <f>SUM('ALPINE MEADOW:WOODLAND'!I229)</f>
        <v>266421</v>
      </c>
      <c r="J231" s="26">
        <f t="shared" si="24"/>
        <v>0.14345598283833075</v>
      </c>
      <c r="O231" s="66"/>
    </row>
    <row r="232" spans="1:16" s="25" customFormat="1" ht="15.5">
      <c r="A232" s="35"/>
      <c r="B232" s="24" t="s">
        <v>219</v>
      </c>
      <c r="C232" s="15">
        <f>SUM('ALPINE MEADOW:WOODLAND'!C230)</f>
        <v>97522</v>
      </c>
      <c r="D232" s="15">
        <f>SUM('ALPINE MEADOW:WOODLAND'!D230)</f>
        <v>0</v>
      </c>
      <c r="E232" s="15">
        <f>SUM('ALPINE MEADOW:WOODLAND'!E230)</f>
        <v>0</v>
      </c>
      <c r="F232" s="15">
        <f>SUM('ALPINE MEADOW:WOODLAND'!F230)</f>
        <v>97522</v>
      </c>
      <c r="G232" s="15">
        <f>SUM('ALPINE MEADOW:WOODLAND'!G230)</f>
        <v>0</v>
      </c>
      <c r="H232" s="15">
        <f>SUM('ALPINE MEADOW:WOODLAND'!H230)</f>
        <v>0</v>
      </c>
      <c r="I232" s="15">
        <f>SUM('ALPINE MEADOW:WOODLAND'!I230)</f>
        <v>97522</v>
      </c>
      <c r="J232" s="26">
        <f t="shared" si="24"/>
        <v>5.2511304883472741E-2</v>
      </c>
      <c r="O232" s="66"/>
    </row>
    <row r="233" spans="1:16" s="25" customFormat="1" ht="15.5">
      <c r="A233" s="35"/>
      <c r="B233" s="24" t="s">
        <v>218</v>
      </c>
      <c r="C233" s="15">
        <f>SUM('ALPINE MEADOW:WOODLAND'!C231)</f>
        <v>14765</v>
      </c>
      <c r="D233" s="15">
        <f>SUM('ALPINE MEADOW:WOODLAND'!D231)</f>
        <v>0</v>
      </c>
      <c r="E233" s="15">
        <f>SUM('ALPINE MEADOW:WOODLAND'!E231)</f>
        <v>0</v>
      </c>
      <c r="F233" s="15">
        <f>SUM('ALPINE MEADOW:WOODLAND'!F231)</f>
        <v>14765</v>
      </c>
      <c r="G233" s="15">
        <f>SUM('ALPINE MEADOW:WOODLAND'!G231)</f>
        <v>0</v>
      </c>
      <c r="H233" s="15">
        <f>SUM('ALPINE MEADOW:WOODLAND'!H231)</f>
        <v>0</v>
      </c>
      <c r="I233" s="15">
        <f>SUM('ALPINE MEADOW:WOODLAND'!I231)</f>
        <v>14765</v>
      </c>
      <c r="J233" s="26">
        <f t="shared" si="24"/>
        <v>7.95030266611098E-3</v>
      </c>
      <c r="O233" s="66"/>
    </row>
    <row r="234" spans="1:16" s="25" customFormat="1" ht="15.5">
      <c r="A234" s="35"/>
      <c r="B234" s="24" t="s">
        <v>170</v>
      </c>
      <c r="C234" s="15">
        <f>SUM('ALPINE MEADOW:WOODLAND'!C232)</f>
        <v>18438</v>
      </c>
      <c r="D234" s="15">
        <f>SUM('ALPINE MEADOW:WOODLAND'!D232)</f>
        <v>0</v>
      </c>
      <c r="E234" s="15">
        <f>SUM('ALPINE MEADOW:WOODLAND'!E232)</f>
        <v>0</v>
      </c>
      <c r="F234" s="15">
        <f>SUM('ALPINE MEADOW:WOODLAND'!F232)</f>
        <v>18438</v>
      </c>
      <c r="G234" s="15">
        <f>SUM('ALPINE MEADOW:WOODLAND'!G232)</f>
        <v>877</v>
      </c>
      <c r="H234" s="15">
        <f>SUM('ALPINE MEADOW:WOODLAND'!H232)</f>
        <v>0</v>
      </c>
      <c r="I234" s="15">
        <f>SUM('ALPINE MEADOW:WOODLAND'!I232)</f>
        <v>19315</v>
      </c>
      <c r="J234" s="26">
        <f t="shared" si="24"/>
        <v>1.0400277412525133E-2</v>
      </c>
      <c r="O234" s="66"/>
    </row>
    <row r="235" spans="1:16" s="25" customFormat="1" ht="15.5">
      <c r="A235" s="35"/>
      <c r="B235" s="6" t="s">
        <v>67</v>
      </c>
      <c r="C235" s="15">
        <f>SUM('ALPINE MEADOW:WOODLAND'!C233)</f>
        <v>1857234</v>
      </c>
      <c r="D235" s="15">
        <f>SUM('ALPINE MEADOW:WOODLAND'!D233)</f>
        <v>0</v>
      </c>
      <c r="E235" s="15">
        <f>SUM('ALPINE MEADOW:WOODLAND'!E233)</f>
        <v>0</v>
      </c>
      <c r="F235" s="15">
        <f>SUM('ALPINE MEADOW:WOODLAND'!F233)</f>
        <v>1857234</v>
      </c>
      <c r="G235" s="15">
        <f>SUM('ALPINE MEADOW:WOODLAND'!G233)</f>
        <v>-72</v>
      </c>
      <c r="H235" s="15">
        <f>SUM('ALPINE MEADOW:WOODLAND'!H233)</f>
        <v>0</v>
      </c>
      <c r="I235" s="15">
        <f>SUM('ALPINE MEADOW:WOODLAND'!I233)</f>
        <v>1857162</v>
      </c>
      <c r="J235" s="26">
        <f t="shared" si="24"/>
        <v>1</v>
      </c>
      <c r="O235" s="66"/>
    </row>
    <row r="236" spans="1:16" s="25" customFormat="1" ht="15.5">
      <c r="A236" s="35"/>
      <c r="C236" s="16"/>
      <c r="D236" s="16"/>
      <c r="E236" s="619"/>
      <c r="F236" s="16"/>
      <c r="G236" s="619"/>
      <c r="H236" s="16"/>
      <c r="I236" s="16"/>
      <c r="J236" s="68"/>
      <c r="L236" s="133"/>
      <c r="P236" s="66"/>
    </row>
    <row r="237" spans="1:16" s="25" customFormat="1" ht="15.5">
      <c r="A237" s="35"/>
      <c r="B237" s="5" t="s">
        <v>152</v>
      </c>
      <c r="C237" s="77"/>
      <c r="D237" s="78"/>
      <c r="E237" s="78"/>
      <c r="F237" s="78"/>
      <c r="G237" s="78"/>
      <c r="H237" s="79"/>
      <c r="I237" s="79"/>
      <c r="J237" s="68"/>
      <c r="L237" s="133"/>
      <c r="P237" s="66"/>
    </row>
    <row r="238" spans="1:16" s="25" customFormat="1" ht="15.5">
      <c r="A238" s="35"/>
      <c r="B238" s="2" t="s">
        <v>204</v>
      </c>
      <c r="C238" s="15">
        <f>SUM('ALPINE MEADOW:WOODLAND'!C236)</f>
        <v>8345.27</v>
      </c>
      <c r="D238" s="15">
        <f>SUM('ALPINE MEADOW:WOODLAND'!D236)</f>
        <v>0</v>
      </c>
      <c r="E238" s="15">
        <f>SUM('ALPINE MEADOW:WOODLAND'!E236)</f>
        <v>0</v>
      </c>
      <c r="F238" s="15">
        <f>SUM('ALPINE MEADOW:WOODLAND'!F236)</f>
        <v>8345.27</v>
      </c>
      <c r="G238" s="15">
        <f>SUM('ALPINE MEADOW:WOODLAND'!G236)</f>
        <v>16</v>
      </c>
      <c r="H238" s="15">
        <f>SUM('ALPINE MEADOW:WOODLAND'!H236)</f>
        <v>0</v>
      </c>
      <c r="I238" s="15">
        <f>SUM('ALPINE MEADOW:WOODLAND'!I236)</f>
        <v>8361.27</v>
      </c>
      <c r="J238" s="68"/>
      <c r="L238" s="133"/>
      <c r="P238" s="66"/>
    </row>
    <row r="239" spans="1:16" s="25" customFormat="1" ht="15.5">
      <c r="A239" s="35"/>
      <c r="B239" s="23" t="s">
        <v>271</v>
      </c>
      <c r="C239" s="15">
        <f>SUM('ALPINE MEADOW:WOODLAND'!C237)</f>
        <v>7504</v>
      </c>
      <c r="D239" s="15">
        <f>SUM('ALPINE MEADOW:WOODLAND'!D237)</f>
        <v>0</v>
      </c>
      <c r="E239" s="15">
        <f>SUM('ALPINE MEADOW:WOODLAND'!E237)</f>
        <v>0</v>
      </c>
      <c r="F239" s="15">
        <f>SUM('ALPINE MEADOW:WOODLAND'!F237)</f>
        <v>7504</v>
      </c>
      <c r="G239" s="15">
        <f>SUM('ALPINE MEADOW:WOODLAND'!G237)</f>
        <v>16</v>
      </c>
      <c r="H239" s="15">
        <f>SUM('ALPINE MEADOW:WOODLAND'!H237)</f>
        <v>0</v>
      </c>
      <c r="I239" s="15">
        <f>SUM('ALPINE MEADOW:WOODLAND'!I237)</f>
        <v>7520</v>
      </c>
      <c r="J239" s="68"/>
      <c r="L239" s="133"/>
      <c r="P239" s="66"/>
    </row>
    <row r="240" spans="1:16" s="25" customFormat="1" ht="15.5">
      <c r="A240" s="35"/>
      <c r="B240" s="2" t="s">
        <v>68</v>
      </c>
      <c r="C240" s="15">
        <f>C3-C2+1</f>
        <v>365</v>
      </c>
      <c r="D240" s="80"/>
      <c r="E240" s="80"/>
      <c r="F240" s="28">
        <f>C240</f>
        <v>365</v>
      </c>
      <c r="G240" s="618"/>
      <c r="H240" s="81"/>
      <c r="I240" s="28">
        <f>C240+G240+H240</f>
        <v>365</v>
      </c>
      <c r="J240" s="68"/>
      <c r="L240" s="133"/>
      <c r="P240" s="66"/>
    </row>
    <row r="241" spans="1:16" s="66" customFormat="1" ht="15.5">
      <c r="A241" s="42"/>
      <c r="B241" s="11"/>
      <c r="C241" s="82"/>
      <c r="D241" s="80"/>
      <c r="E241" s="80"/>
      <c r="F241" s="99"/>
      <c r="G241" s="641"/>
      <c r="H241" s="81"/>
      <c r="I241" s="99"/>
      <c r="J241" s="68"/>
      <c r="L241" s="134"/>
    </row>
    <row r="242" spans="1:16" s="25" customFormat="1" ht="26.5">
      <c r="A242" s="35"/>
      <c r="B242" s="10" t="s">
        <v>224</v>
      </c>
      <c r="C242" s="15">
        <f>SUM('ALPINE MEADOW:WOODLAND'!C240)</f>
        <v>2922152.99</v>
      </c>
      <c r="D242" s="80"/>
      <c r="E242" s="80"/>
      <c r="F242" s="15">
        <f>SUM('ALPINE MEADOW:WOODLAND'!F240)</f>
        <v>2922152.99</v>
      </c>
      <c r="G242"/>
      <c r="H242" s="81"/>
      <c r="I242" s="15">
        <f>SUM('ALPINE MEADOW:WOODLAND'!I240)</f>
        <v>2927992.99</v>
      </c>
      <c r="J242" s="68"/>
      <c r="L242" s="133"/>
      <c r="P242" s="66"/>
    </row>
    <row r="243" spans="1:16" s="25" customFormat="1" ht="26.5">
      <c r="A243" s="35"/>
      <c r="B243" s="10" t="s">
        <v>225</v>
      </c>
      <c r="C243" s="20">
        <f>C235/C242</f>
        <v>0.63557041891909971</v>
      </c>
      <c r="D243" s="87"/>
      <c r="E243" s="87"/>
      <c r="F243" s="20">
        <f>F235/F242</f>
        <v>0.63557041891909971</v>
      </c>
      <c r="G243"/>
      <c r="H243" s="83"/>
      <c r="I243" s="20">
        <f>I235/I242</f>
        <v>0.63427815788589026</v>
      </c>
      <c r="J243" s="68"/>
      <c r="L243" s="133"/>
      <c r="P243" s="66"/>
    </row>
    <row r="244" spans="1:16" s="25" customFormat="1" ht="26.5">
      <c r="A244" s="35"/>
      <c r="B244" s="10" t="s">
        <v>226</v>
      </c>
      <c r="C244" s="20">
        <f>C226/C242</f>
        <v>0.35381857265454125</v>
      </c>
      <c r="D244" s="87"/>
      <c r="E244" s="87"/>
      <c r="F244" s="20">
        <f>F226/F242</f>
        <v>0.35381857265454125</v>
      </c>
      <c r="G244"/>
      <c r="H244" s="83"/>
      <c r="I244" s="20">
        <f>I226/I242</f>
        <v>0.35265794813258755</v>
      </c>
      <c r="J244" s="68"/>
      <c r="L244" s="133"/>
      <c r="P244" s="66"/>
    </row>
    <row r="245" spans="1:16" s="25" customFormat="1" ht="26.5">
      <c r="A245" s="35"/>
      <c r="B245" s="10" t="s">
        <v>227</v>
      </c>
      <c r="C245" s="20">
        <f>C244/C243</f>
        <v>0.55669452529945074</v>
      </c>
      <c r="D245" s="87"/>
      <c r="E245" s="87"/>
      <c r="F245" s="20">
        <f>F244/F243</f>
        <v>0.55669452529945074</v>
      </c>
      <c r="G245"/>
      <c r="H245" s="83"/>
      <c r="I245" s="20">
        <f>I244/I243</f>
        <v>0.55599888431919242</v>
      </c>
      <c r="J245" s="68"/>
      <c r="L245" s="133"/>
      <c r="P245" s="66"/>
    </row>
    <row r="246" spans="1:16" s="25" customFormat="1" ht="15.5">
      <c r="A246" s="35"/>
      <c r="C246" s="62"/>
      <c r="D246" s="62"/>
      <c r="E246" s="62"/>
      <c r="F246" s="100"/>
      <c r="G246" s="100"/>
      <c r="H246" s="63"/>
      <c r="I246" s="62"/>
      <c r="J246" s="66"/>
      <c r="L246" s="133"/>
      <c r="P246" s="66"/>
    </row>
    <row r="247" spans="1:16" ht="15.5">
      <c r="A247" s="52"/>
      <c r="F247" s="57"/>
      <c r="G247" s="57"/>
    </row>
    <row r="248" spans="1:16" ht="15.5">
      <c r="A248" s="52"/>
      <c r="F248" s="57"/>
      <c r="G248" s="57"/>
    </row>
    <row r="249" spans="1:16" ht="15.5">
      <c r="A249" s="52"/>
      <c r="F249" s="57"/>
      <c r="G249" s="57"/>
    </row>
    <row r="250" spans="1:16" ht="15.5">
      <c r="A250" s="52"/>
      <c r="F250" s="57"/>
      <c r="G250" s="57"/>
    </row>
    <row r="251" spans="1:16" ht="15.5">
      <c r="A251" s="52"/>
      <c r="F251" s="57"/>
      <c r="G251" s="57"/>
    </row>
    <row r="252" spans="1:16" ht="15.5">
      <c r="A252" s="52"/>
      <c r="F252" s="57"/>
      <c r="G252" s="57"/>
    </row>
    <row r="253" spans="1:16" ht="15.5">
      <c r="A253" s="52"/>
      <c r="F253" s="57"/>
      <c r="G253" s="57"/>
    </row>
    <row r="254" spans="1:16" ht="15.5">
      <c r="A254" s="52"/>
      <c r="F254" s="57"/>
      <c r="G254" s="57"/>
    </row>
    <row r="255" spans="1:16" ht="15.5">
      <c r="A255" s="52"/>
      <c r="F255" s="57"/>
      <c r="G255" s="57"/>
    </row>
    <row r="256" spans="1:16" ht="15.5">
      <c r="A256" s="52"/>
      <c r="F256" s="57"/>
      <c r="G256" s="57"/>
    </row>
    <row r="257" spans="1:7" ht="15.5">
      <c r="A257" s="52"/>
      <c r="F257" s="57"/>
      <c r="G257" s="57"/>
    </row>
    <row r="258" spans="1:7" ht="15.5">
      <c r="A258" s="52"/>
      <c r="F258" s="57"/>
      <c r="G258" s="57"/>
    </row>
    <row r="259" spans="1:7" ht="15.5">
      <c r="A259" s="52"/>
      <c r="F259" s="57"/>
      <c r="G259" s="57"/>
    </row>
    <row r="260" spans="1:7" ht="15.5">
      <c r="A260" s="52"/>
      <c r="F260" s="57"/>
      <c r="G260" s="57"/>
    </row>
    <row r="261" spans="1:7" ht="15.5">
      <c r="A261" s="52"/>
      <c r="F261" s="57"/>
      <c r="G261" s="57"/>
    </row>
    <row r="262" spans="1:7" ht="15.5">
      <c r="A262" s="52"/>
      <c r="F262" s="57"/>
      <c r="G262" s="57"/>
    </row>
    <row r="263" spans="1:7" ht="15.5">
      <c r="A263" s="52"/>
      <c r="F263" s="57"/>
      <c r="G263" s="57"/>
    </row>
    <row r="264" spans="1:7" ht="15.5">
      <c r="A264" s="52"/>
      <c r="F264" s="57"/>
      <c r="G264" s="57"/>
    </row>
    <row r="265" spans="1:7" ht="15.5">
      <c r="A265" s="52"/>
      <c r="F265" s="57"/>
      <c r="G265" s="57"/>
    </row>
    <row r="266" spans="1:7" ht="15.5">
      <c r="A266" s="52"/>
      <c r="F266" s="57"/>
      <c r="G266" s="57"/>
    </row>
    <row r="267" spans="1:7" ht="15.5">
      <c r="A267" s="52"/>
      <c r="F267" s="57"/>
      <c r="G267" s="57"/>
    </row>
    <row r="268" spans="1:7" ht="15.5">
      <c r="A268" s="52"/>
      <c r="F268" s="57"/>
      <c r="G268" s="57"/>
    </row>
    <row r="269" spans="1:7" ht="15.5">
      <c r="A269" s="52"/>
      <c r="F269" s="57"/>
      <c r="G269" s="57"/>
    </row>
    <row r="270" spans="1:7" ht="15.5">
      <c r="A270" s="52"/>
      <c r="F270" s="57"/>
      <c r="G270" s="57"/>
    </row>
    <row r="271" spans="1:7" ht="15.5">
      <c r="A271" s="52"/>
      <c r="F271" s="57"/>
      <c r="G271" s="57"/>
    </row>
    <row r="272" spans="1:7" ht="15.5">
      <c r="A272" s="52"/>
      <c r="F272" s="57"/>
      <c r="G272" s="57"/>
    </row>
    <row r="273" spans="1:7" ht="15.5">
      <c r="A273" s="52"/>
      <c r="F273" s="57"/>
      <c r="G273" s="57"/>
    </row>
    <row r="274" spans="1:7" ht="15.5">
      <c r="A274" s="52"/>
      <c r="F274" s="57"/>
      <c r="G274" s="57"/>
    </row>
    <row r="275" spans="1:7" ht="15.5">
      <c r="A275" s="52"/>
      <c r="F275" s="57"/>
      <c r="G275" s="57"/>
    </row>
    <row r="276" spans="1:7" ht="15.5">
      <c r="A276" s="52"/>
      <c r="F276" s="57"/>
      <c r="G276" s="57"/>
    </row>
    <row r="277" spans="1:7" ht="15.5">
      <c r="A277" s="52"/>
      <c r="F277" s="57"/>
      <c r="G277" s="57"/>
    </row>
    <row r="278" spans="1:7" ht="15.5">
      <c r="A278" s="52"/>
      <c r="F278" s="57"/>
      <c r="G278" s="57"/>
    </row>
    <row r="279" spans="1:7" ht="15.5">
      <c r="A279" s="52"/>
      <c r="F279" s="57"/>
      <c r="G279" s="57"/>
    </row>
    <row r="280" spans="1:7" ht="15.5">
      <c r="A280" s="52"/>
      <c r="F280" s="57"/>
      <c r="G280" s="57"/>
    </row>
    <row r="281" spans="1:7" ht="15.5">
      <c r="A281" s="52"/>
      <c r="F281" s="57"/>
      <c r="G281" s="57"/>
    </row>
    <row r="282" spans="1:7" ht="15.5">
      <c r="A282" s="52"/>
      <c r="F282" s="57"/>
      <c r="G282" s="57"/>
    </row>
    <row r="283" spans="1:7" ht="15.5">
      <c r="A283" s="52"/>
      <c r="F283" s="57"/>
      <c r="G283" s="57"/>
    </row>
    <row r="284" spans="1:7" ht="15.5">
      <c r="A284" s="52"/>
      <c r="F284" s="57"/>
      <c r="G284" s="57"/>
    </row>
    <row r="285" spans="1:7" ht="15.5">
      <c r="A285" s="52"/>
      <c r="F285" s="57"/>
      <c r="G285" s="57"/>
    </row>
    <row r="286" spans="1:7" ht="15.5">
      <c r="A286" s="52"/>
      <c r="F286" s="57"/>
      <c r="G286" s="57"/>
    </row>
    <row r="287" spans="1:7" ht="15.5">
      <c r="A287" s="52"/>
      <c r="F287" s="57"/>
      <c r="G287" s="57"/>
    </row>
    <row r="288" spans="1:7" ht="15.5">
      <c r="A288" s="52"/>
      <c r="F288" s="57"/>
      <c r="G288" s="57"/>
    </row>
    <row r="289" spans="1:7" ht="15.5">
      <c r="A289" s="52"/>
      <c r="F289" s="57"/>
      <c r="G289" s="57"/>
    </row>
    <row r="290" spans="1:7" ht="15.5">
      <c r="A290" s="52"/>
      <c r="F290" s="57"/>
      <c r="G290" s="57"/>
    </row>
    <row r="291" spans="1:7" ht="15.5">
      <c r="A291" s="52"/>
      <c r="F291" s="57"/>
      <c r="G291" s="57"/>
    </row>
    <row r="292" spans="1:7" ht="15.5">
      <c r="A292" s="52"/>
      <c r="F292" s="57"/>
      <c r="G292" s="57"/>
    </row>
    <row r="293" spans="1:7" ht="15.5">
      <c r="A293" s="52"/>
      <c r="F293" s="57"/>
      <c r="G293" s="57"/>
    </row>
    <row r="294" spans="1:7" ht="15.5">
      <c r="A294" s="52"/>
      <c r="F294" s="57"/>
      <c r="G294" s="57"/>
    </row>
    <row r="295" spans="1:7" ht="15.5">
      <c r="A295" s="52"/>
      <c r="F295" s="57"/>
      <c r="G295" s="57"/>
    </row>
    <row r="296" spans="1:7" ht="15.5">
      <c r="A296" s="52"/>
      <c r="F296" s="57"/>
      <c r="G296" s="57"/>
    </row>
    <row r="297" spans="1:7" ht="15.5">
      <c r="A297" s="52"/>
      <c r="F297" s="57"/>
      <c r="G297" s="57"/>
    </row>
    <row r="298" spans="1:7" ht="15.5">
      <c r="A298" s="52"/>
      <c r="F298" s="57"/>
      <c r="G298" s="57"/>
    </row>
    <row r="299" spans="1:7" ht="15.5">
      <c r="A299" s="52"/>
      <c r="F299" s="57"/>
      <c r="G299" s="57"/>
    </row>
    <row r="300" spans="1:7" ht="15.5">
      <c r="A300" s="52"/>
      <c r="F300" s="57"/>
      <c r="G300" s="57"/>
    </row>
    <row r="301" spans="1:7" ht="15.5">
      <c r="A301" s="52"/>
      <c r="F301" s="57"/>
      <c r="G301" s="57"/>
    </row>
    <row r="302" spans="1:7" ht="15.5">
      <c r="A302" s="52"/>
      <c r="F302" s="57"/>
      <c r="G302" s="57"/>
    </row>
    <row r="303" spans="1:7" ht="15.5">
      <c r="A303" s="52"/>
      <c r="F303" s="57"/>
      <c r="G303" s="57"/>
    </row>
    <row r="304" spans="1:7" ht="15.5">
      <c r="A304" s="52"/>
      <c r="F304" s="57"/>
      <c r="G304" s="57"/>
    </row>
    <row r="305" spans="1:7" ht="15.5">
      <c r="A305" s="52"/>
      <c r="F305" s="57"/>
      <c r="G305" s="57"/>
    </row>
    <row r="306" spans="1:7" ht="15.5">
      <c r="A306" s="52"/>
      <c r="F306" s="57"/>
      <c r="G306" s="57"/>
    </row>
    <row r="307" spans="1:7" ht="15.5">
      <c r="A307" s="52"/>
      <c r="F307" s="57"/>
      <c r="G307" s="57"/>
    </row>
    <row r="308" spans="1:7" ht="15.5">
      <c r="A308" s="52"/>
      <c r="F308" s="57"/>
      <c r="G308" s="57"/>
    </row>
    <row r="309" spans="1:7" ht="15.5">
      <c r="A309" s="52"/>
      <c r="F309" s="57"/>
      <c r="G309" s="57"/>
    </row>
    <row r="310" spans="1:7" ht="15.5">
      <c r="A310" s="52"/>
      <c r="F310" s="57"/>
      <c r="G310" s="57"/>
    </row>
    <row r="311" spans="1:7" ht="15.5">
      <c r="A311" s="52"/>
      <c r="F311" s="57"/>
      <c r="G311" s="57"/>
    </row>
    <row r="312" spans="1:7" ht="15.5">
      <c r="A312" s="52"/>
      <c r="F312" s="57"/>
      <c r="G312" s="57"/>
    </row>
    <row r="313" spans="1:7" ht="15.5">
      <c r="A313" s="52"/>
      <c r="F313" s="57"/>
      <c r="G313" s="57"/>
    </row>
    <row r="314" spans="1:7" ht="15.5">
      <c r="A314" s="52"/>
      <c r="F314" s="57"/>
      <c r="G314" s="57"/>
    </row>
    <row r="315" spans="1:7" ht="15.5">
      <c r="A315" s="52"/>
      <c r="F315" s="57"/>
      <c r="G315" s="57"/>
    </row>
    <row r="316" spans="1:7" ht="15.5">
      <c r="A316" s="52"/>
      <c r="F316" s="57"/>
      <c r="G316" s="57"/>
    </row>
    <row r="317" spans="1:7" ht="15.5">
      <c r="A317" s="52"/>
      <c r="F317" s="57"/>
      <c r="G317" s="57"/>
    </row>
    <row r="318" spans="1:7" ht="15.5">
      <c r="A318" s="52"/>
      <c r="F318" s="57"/>
      <c r="G318" s="57"/>
    </row>
    <row r="319" spans="1:7" ht="15.5">
      <c r="A319" s="52"/>
      <c r="F319" s="57"/>
      <c r="G319" s="57"/>
    </row>
    <row r="320" spans="1:7" ht="15.5">
      <c r="A320" s="52"/>
      <c r="F320" s="57"/>
      <c r="G320" s="57"/>
    </row>
    <row r="321" spans="1:7" ht="15.5">
      <c r="A321" s="52"/>
      <c r="F321" s="57"/>
      <c r="G321" s="57"/>
    </row>
    <row r="322" spans="1:7" ht="15.5">
      <c r="F322" s="57"/>
      <c r="G322" s="57"/>
    </row>
    <row r="323" spans="1:7" ht="15.5">
      <c r="F323" s="57"/>
      <c r="G323" s="57"/>
    </row>
    <row r="324" spans="1:7" ht="15.5">
      <c r="F324" s="57"/>
      <c r="G324" s="57"/>
    </row>
    <row r="325" spans="1:7" ht="15.5">
      <c r="F325" s="57"/>
      <c r="G325" s="57"/>
    </row>
    <row r="326" spans="1:7" ht="15.5">
      <c r="F326" s="57"/>
      <c r="G326" s="57"/>
    </row>
    <row r="327" spans="1:7" ht="15.5">
      <c r="F327" s="57"/>
      <c r="G327" s="57"/>
    </row>
    <row r="328" spans="1:7" ht="15.5">
      <c r="F328" s="57"/>
      <c r="G328" s="57"/>
    </row>
    <row r="329" spans="1:7" ht="15.5">
      <c r="F329" s="57"/>
      <c r="G329" s="57"/>
    </row>
    <row r="330" spans="1:7" ht="15.5">
      <c r="F330" s="57"/>
      <c r="G330" s="57"/>
    </row>
    <row r="331" spans="1:7" ht="15.5">
      <c r="F331" s="57"/>
      <c r="G331" s="57"/>
    </row>
    <row r="332" spans="1:7" ht="15.5">
      <c r="F332" s="57"/>
      <c r="G332" s="57"/>
    </row>
    <row r="333" spans="1:7" ht="15.5">
      <c r="F333" s="57"/>
      <c r="G333" s="57"/>
    </row>
    <row r="334" spans="1:7" ht="15.5">
      <c r="F334" s="57"/>
      <c r="G334" s="57"/>
    </row>
    <row r="335" spans="1:7" ht="15.5">
      <c r="F335" s="57"/>
      <c r="G335" s="57"/>
    </row>
    <row r="336" spans="1:7" ht="15.5">
      <c r="F336" s="57"/>
      <c r="G336" s="57"/>
    </row>
  </sheetData>
  <customSheetViews>
    <customSheetView guid="{8B6AA640-12E9-11D5-ABB1-E7A21A3D4A14}" showGridLines="0" showRuler="0" topLeftCell="A142">
      <selection activeCell="A161" sqref="A161"/>
      <pageMargins left="0" right="0" top="0" bottom="0" header="0.5" footer="0.5"/>
      <printOptions horizontalCentered="1"/>
      <pageSetup scale="5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mergeCells count="4">
    <mergeCell ref="C1:F1"/>
    <mergeCell ref="N10:N12"/>
    <mergeCell ref="O10:O12"/>
    <mergeCell ref="D2:K8"/>
  </mergeCells>
  <phoneticPr fontId="0" type="noConversion"/>
  <printOptions horizontalCentered="1" headings="1"/>
  <pageMargins left="0" right="0" top="0" bottom="1" header="0.5" footer="0.5"/>
  <pageSetup scale="45" fitToHeight="4" orientation="landscape" r:id="rId3"/>
  <headerFooter alignWithMargins="0">
    <oddFooter>&amp;RDJ
&amp;D
&amp;T
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32</vt:i4>
      </vt:variant>
    </vt:vector>
  </HeadingPairs>
  <TitlesOfParts>
    <vt:vector size="125" baseType="lpstr">
      <vt:lpstr>ALPINE MEADOW</vt:lpstr>
      <vt:lpstr>AVALON BOUNTIFUL</vt:lpstr>
      <vt:lpstr>AVALON VALLEY</vt:lpstr>
      <vt:lpstr>BELLA TERRA C C</vt:lpstr>
      <vt:lpstr>BELLA TERRA St. G.</vt:lpstr>
      <vt:lpstr>BENNION dba Ava. West</vt:lpstr>
      <vt:lpstr>BROOKDALE</vt:lpstr>
      <vt:lpstr>CANYON RIM</vt:lpstr>
      <vt:lpstr>CANYONLANDS</vt:lpstr>
      <vt:lpstr>Cascades at Orch Pk</vt:lpstr>
      <vt:lpstr>CASCADES at RIVERWALK</vt:lpstr>
      <vt:lpstr>CENTRAL UT VH -PAYSON</vt:lpstr>
      <vt:lpstr>CITY CREEK</vt:lpstr>
      <vt:lpstr>COPPER RIDGE</vt:lpstr>
      <vt:lpstr>CORAL DESERT</vt:lpstr>
      <vt:lpstr>COUNTRY LIFE</vt:lpstr>
      <vt:lpstr>CRESTWOOD</vt:lpstr>
      <vt:lpstr>DRAPER</vt:lpstr>
      <vt:lpstr>EMERY COUNTY</vt:lpstr>
      <vt:lpstr>FAIRVIEW</vt:lpstr>
      <vt:lpstr>FOUR CORNERS</vt:lpstr>
      <vt:lpstr>GARFIELD CO. NH</vt:lpstr>
      <vt:lpstr>George E. Wahlen OGDEN VH</vt:lpstr>
      <vt:lpstr>HARRISON POINTE En</vt:lpstr>
      <vt:lpstr>HERITAGE CARE</vt:lpstr>
      <vt:lpstr>HERITAGE HILLS</vt:lpstr>
      <vt:lpstr>HERITAGE PARK</vt:lpstr>
      <vt:lpstr>HIGHLAND</vt:lpstr>
      <vt:lpstr>HOLLADAY En</vt:lpstr>
      <vt:lpstr>HURRICANE En</vt:lpstr>
      <vt:lpstr>LIFE CARE BOUNTIFUL</vt:lpstr>
      <vt:lpstr>LIFE CARE of SLC</vt:lpstr>
      <vt:lpstr>Little Cottonwood</vt:lpstr>
      <vt:lpstr>LOMOND PEAK</vt:lpstr>
      <vt:lpstr>MEADOW BROOK</vt:lpstr>
      <vt:lpstr>MIDTOWN</vt:lpstr>
      <vt:lpstr>MILLARD COUNTY</vt:lpstr>
      <vt:lpstr>MILLCREEK</vt:lpstr>
      <vt:lpstr>MISSION at ALPINE</vt:lpstr>
      <vt:lpstr>Mission at Bear River</vt:lpstr>
      <vt:lpstr>MISSION at Comm Rehab</vt:lpstr>
      <vt:lpstr>MISSION at HILLSIDE</vt:lpstr>
      <vt:lpstr>MTN VIEW</vt:lpstr>
      <vt:lpstr>MT OGDEN</vt:lpstr>
      <vt:lpstr>MT OLYMPUS</vt:lpstr>
      <vt:lpstr>NORTH CANYON</vt:lpstr>
      <vt:lpstr>OREM</vt:lpstr>
      <vt:lpstr>PARAMOUNT</vt:lpstr>
      <vt:lpstr>PARKDALE</vt:lpstr>
      <vt:lpstr>PARKWAY</vt:lpstr>
      <vt:lpstr>PINE CREEK</vt:lpstr>
      <vt:lpstr>PINNACLE</vt:lpstr>
      <vt:lpstr>PIONEER</vt:lpstr>
      <vt:lpstr>POINTE MEADOWS</vt:lpstr>
      <vt:lpstr>PROVO</vt:lpstr>
      <vt:lpstr>RED CLIFFS</vt:lpstr>
      <vt:lpstr>RICHFIELD</vt:lpstr>
      <vt:lpstr>RMC CLEARFIELD</vt:lpstr>
      <vt:lpstr>RMC Cottage on Vine</vt:lpstr>
      <vt:lpstr>RMC HUNTER HOLLOW</vt:lpstr>
      <vt:lpstr>RMC Logan</vt:lpstr>
      <vt:lpstr>RMC Mountain View</vt:lpstr>
      <vt:lpstr>RMC RIVERTON</vt:lpstr>
      <vt:lpstr>RMC Willow Springs</vt:lpstr>
      <vt:lpstr>SANDY HLTH &amp; REHAB</vt:lpstr>
      <vt:lpstr>SEASONS</vt:lpstr>
      <vt:lpstr>SOUTH DAVIS CCC</vt:lpstr>
      <vt:lpstr>South Davis Specialty</vt:lpstr>
      <vt:lpstr>So Ogden</vt:lpstr>
      <vt:lpstr>Southern UT VH-IVINS</vt:lpstr>
      <vt:lpstr>SPANISH FORK</vt:lpstr>
      <vt:lpstr>SPRING CREEK</vt:lpstr>
      <vt:lpstr>ST GEORGE</vt:lpstr>
      <vt:lpstr>ST. JOSEPH VILLA</vt:lpstr>
      <vt:lpstr>Stonehenge Am Fk 12-10-17</vt:lpstr>
      <vt:lpstr>Stonehenge Am Fk 6-30-18</vt:lpstr>
      <vt:lpstr>StoneH Cedar City 12-10-17</vt:lpstr>
      <vt:lpstr>StoneH Cedar City 6-30-18</vt:lpstr>
      <vt:lpstr>StoneH Ogden 12-10-17</vt:lpstr>
      <vt:lpstr>StoneH Ogden 6-30-18</vt:lpstr>
      <vt:lpstr>StoneH Richfield 12-10-17</vt:lpstr>
      <vt:lpstr>StoneH Richfield 6-30-18</vt:lpstr>
      <vt:lpstr>StoneH Springville 12-10-17</vt:lpstr>
      <vt:lpstr>StoneH Springville 6-30-18</vt:lpstr>
      <vt:lpstr>SUNSHINE TERRACE</vt:lpstr>
      <vt:lpstr>UINTAH BASIN REHAB</vt:lpstr>
      <vt:lpstr>UINTAH CARE</vt:lpstr>
      <vt:lpstr>VA Salt Lake (W.E.C. SLVH)</vt:lpstr>
      <vt:lpstr>WASHINGTON TERRACE</vt:lpstr>
      <vt:lpstr>WILLOW GLEN</vt:lpstr>
      <vt:lpstr>WILLOW WOOD</vt:lpstr>
      <vt:lpstr>WOODLAND</vt:lpstr>
      <vt:lpstr>SUMMARY</vt:lpstr>
      <vt:lpstr>'ALPINE MEADOW'!Print_Area</vt:lpstr>
      <vt:lpstr>'LIFE CARE of SLC'!Print_Area</vt:lpstr>
      <vt:lpstr>'Little Cottonwood'!Print_Area</vt:lpstr>
      <vt:lpstr>'LOMOND PEAK'!Print_Area</vt:lpstr>
      <vt:lpstr>PARAMOUNT!Print_Area</vt:lpstr>
      <vt:lpstr>SUMMARY!Print_Area</vt:lpstr>
      <vt:lpstr>'BELLA TERRA C C'!Print_Titles</vt:lpstr>
      <vt:lpstr>'BELLA TERRA St. G.'!Print_Titles</vt:lpstr>
      <vt:lpstr>CRESTWOOD!Print_Titles</vt:lpstr>
      <vt:lpstr>FAIRVIEW!Print_Titles</vt:lpstr>
      <vt:lpstr>'FOUR CORNERS'!Print_Titles</vt:lpstr>
      <vt:lpstr>'HERITAGE CARE'!Print_Titles</vt:lpstr>
      <vt:lpstr>'HERITAGE HILLS'!Print_Titles</vt:lpstr>
      <vt:lpstr>'HERITAGE PARK'!Print_Titles</vt:lpstr>
      <vt:lpstr>HIGHLAND!Print_Titles</vt:lpstr>
      <vt:lpstr>'HOLLADAY En'!Print_Titles</vt:lpstr>
      <vt:lpstr>'LIFE CARE of SLC'!Print_Titles</vt:lpstr>
      <vt:lpstr>'Little Cottonwood'!Print_Titles</vt:lpstr>
      <vt:lpstr>'LOMOND PEAK'!Print_Titles</vt:lpstr>
      <vt:lpstr>MIDTOWN!Print_Titles</vt:lpstr>
      <vt:lpstr>MILLCREEK!Print_Titles</vt:lpstr>
      <vt:lpstr>'MISSION at HILLSIDE'!Print_Titles</vt:lpstr>
      <vt:lpstr>PARAMOUNT!Print_Titles</vt:lpstr>
      <vt:lpstr>'PINE CREEK'!Print_Titles</vt:lpstr>
      <vt:lpstr>'POINTE MEADOWS'!Print_Titles</vt:lpstr>
      <vt:lpstr>PROVO!Print_Titles</vt:lpstr>
      <vt:lpstr>'RMC Logan'!Print_Titles</vt:lpstr>
      <vt:lpstr>'SPANISH FORK'!Print_Titles</vt:lpstr>
      <vt:lpstr>SUMMARY!Print_Titles</vt:lpstr>
      <vt:lpstr>'WASHINGTON TERRACE'!Print_Titles</vt:lpstr>
      <vt:lpstr>'WILLOW WOOD'!Print_Titles</vt:lpstr>
      <vt:lpstr>WOODLAND!Print_Titles</vt:lpstr>
    </vt:vector>
  </TitlesOfParts>
  <Company>UTAH DEPT of HEALTH - HCF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Price</dc:creator>
  <cp:lastModifiedBy>Cody Simonsen</cp:lastModifiedBy>
  <cp:lastPrinted>2019-04-18T19:43:09Z</cp:lastPrinted>
  <dcterms:created xsi:type="dcterms:W3CDTF">1999-03-26T16:15:21Z</dcterms:created>
  <dcterms:modified xsi:type="dcterms:W3CDTF">2020-07-01T16:17:31Z</dcterms:modified>
</cp:coreProperties>
</file>